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C:\Users\haerkoso\Downloads\"/>
    </mc:Choice>
  </mc:AlternateContent>
  <xr:revisionPtr revIDLastSave="0" documentId="8_{30E02068-706E-49A9-9A4A-23AAD9BF4F89}" xr6:coauthVersionLast="47" xr6:coauthVersionMax="47" xr10:uidLastSave="{00000000-0000-0000-0000-000000000000}"/>
  <bookViews>
    <workbookView xWindow="-28920" yWindow="-120" windowWidth="29040" windowHeight="17640" tabRatio="817" xr2:uid="{00000000-000D-0000-FFFF-FFFF00000000}"/>
  </bookViews>
  <sheets>
    <sheet name="Cover sheet" sheetId="2" r:id="rId1"/>
    <sheet name="A7(a)" sheetId="8" r:id="rId2"/>
    <sheet name="A7(b)" sheetId="10" r:id="rId3"/>
    <sheet name="A7(c)" sheetId="9" r:id="rId4"/>
    <sheet name="A8" sheetId="11" r:id="rId5"/>
    <sheet name="A9(a)" sheetId="19" r:id="rId6"/>
    <sheet name="A9(b)" sheetId="20" r:id="rId7"/>
    <sheet name="A9(c)" sheetId="21" r:id="rId8"/>
    <sheet name="A10" sheetId="12" r:id="rId9"/>
    <sheet name="A11" sheetId="7" r:id="rId10"/>
    <sheet name="A12" sheetId="24" r:id="rId11"/>
    <sheet name="A13(a)" sheetId="23" r:id="rId12"/>
    <sheet name="A13(b)" sheetId="16" r:id="rId13"/>
    <sheet name="A13(c)" sheetId="17" r:id="rId14"/>
    <sheet name="A13(d)" sheetId="22" r:id="rId15"/>
    <sheet name="A13(e)" sheetId="18" r:id="rId16"/>
  </sheets>
  <externalReferences>
    <externalReference r:id="rId17"/>
    <externalReference r:id="rId18"/>
  </externalReferences>
  <definedNames>
    <definedName name="_xlnm._FilterDatabase" localSheetId="9" hidden="1">'A11'!$B$17:$BZ$812</definedName>
    <definedName name="_xlnm._FilterDatabase" localSheetId="1" hidden="1">'A7(a)'!$B$8:$CD$104</definedName>
    <definedName name="_xlnm._FilterDatabase" localSheetId="2" hidden="1">'A7(b)'!$B$9:$Z$75</definedName>
    <definedName name="_Ref51324995" localSheetId="3">'A7(c)'!$Q$9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9" i="24" l="1" a="1"/>
  <c r="J29" i="24" s="1"/>
  <c r="I29" i="24" a="1"/>
  <c r="I29" i="24" s="1"/>
  <c r="G29" i="24" a="1"/>
  <c r="G29" i="24" s="1"/>
  <c r="F29" i="24" a="1"/>
  <c r="F29" i="24" s="1"/>
  <c r="D29" i="24" a="1"/>
  <c r="D29" i="24" s="1"/>
  <c r="C29" i="24" a="1"/>
  <c r="C29" i="24" s="1"/>
  <c r="Q28" i="24"/>
  <c r="R28" i="24" s="1"/>
  <c r="N28" i="24"/>
  <c r="J28" i="24" a="1"/>
  <c r="J28" i="24" s="1"/>
  <c r="I28" i="24"/>
  <c r="L28" i="24" s="1"/>
  <c r="I28" i="24" a="1"/>
  <c r="G28" i="24"/>
  <c r="G28" i="24" a="1"/>
  <c r="F28" i="24"/>
  <c r="F28" i="24" a="1"/>
  <c r="D28" i="24" a="1"/>
  <c r="D28" i="24" s="1"/>
  <c r="C28" i="24"/>
  <c r="C28" i="24" a="1"/>
  <c r="P27" i="24"/>
  <c r="O27" i="24"/>
  <c r="N27" i="24"/>
  <c r="Q27" i="24" s="1"/>
  <c r="R27" i="24" s="1"/>
  <c r="J26" i="24" a="1"/>
  <c r="J26" i="24" s="1"/>
  <c r="M26" i="24" s="1"/>
  <c r="I26" i="24" a="1"/>
  <c r="I26" i="24" s="1"/>
  <c r="L26" i="24" s="1"/>
  <c r="G26" i="24" a="1"/>
  <c r="G26" i="24" s="1"/>
  <c r="F26" i="24" a="1"/>
  <c r="F26" i="24" s="1"/>
  <c r="D26" i="24" a="1"/>
  <c r="D26" i="24" s="1"/>
  <c r="C26" i="24" a="1"/>
  <c r="C26" i="24" s="1"/>
  <c r="J25" i="24" a="1"/>
  <c r="J25" i="24" s="1"/>
  <c r="I25" i="24" a="1"/>
  <c r="I25" i="24" s="1"/>
  <c r="L25" i="24" s="1"/>
  <c r="G25" i="24" a="1"/>
  <c r="G25" i="24" s="1"/>
  <c r="F25" i="24" a="1"/>
  <c r="F25" i="24" s="1"/>
  <c r="D25" i="24" a="1"/>
  <c r="D25" i="24" s="1"/>
  <c r="C25" i="24" a="1"/>
  <c r="C25" i="24" s="1"/>
  <c r="J24" i="24" a="1"/>
  <c r="J24" i="24" s="1"/>
  <c r="I24" i="24" a="1"/>
  <c r="I24" i="24" s="1"/>
  <c r="G24" i="24" a="1"/>
  <c r="G24" i="24" s="1"/>
  <c r="F24" i="24" a="1"/>
  <c r="F24" i="24" s="1"/>
  <c r="D24" i="24" a="1"/>
  <c r="D24" i="24" s="1"/>
  <c r="C24" i="24" a="1"/>
  <c r="C24" i="24" s="1"/>
  <c r="C27" i="24" s="1"/>
  <c r="J23" i="24" a="1"/>
  <c r="J23" i="24" s="1"/>
  <c r="M23" i="24" s="1"/>
  <c r="I23" i="24" a="1"/>
  <c r="I23" i="24" s="1"/>
  <c r="G23" i="24" a="1"/>
  <c r="G23" i="24" s="1"/>
  <c r="F23" i="24" a="1"/>
  <c r="F23" i="24" s="1"/>
  <c r="D23" i="24" a="1"/>
  <c r="D23" i="24" s="1"/>
  <c r="C23" i="24" a="1"/>
  <c r="C23" i="24" s="1"/>
  <c r="J22" i="24" a="1"/>
  <c r="J22" i="24" s="1"/>
  <c r="M22" i="24" s="1"/>
  <c r="I22" i="24" a="1"/>
  <c r="I22" i="24" s="1"/>
  <c r="L22" i="24" s="1"/>
  <c r="G22" i="24" a="1"/>
  <c r="G22" i="24" s="1"/>
  <c r="F22" i="24" a="1"/>
  <c r="F22" i="24" s="1"/>
  <c r="D22" i="24" a="1"/>
  <c r="D22" i="24" s="1"/>
  <c r="C22" i="24" a="1"/>
  <c r="C22" i="24" s="1"/>
  <c r="J21" i="24" a="1"/>
  <c r="J21" i="24" s="1"/>
  <c r="I21" i="24" a="1"/>
  <c r="I21" i="24" s="1"/>
  <c r="L21" i="24" s="1"/>
  <c r="G21" i="24" a="1"/>
  <c r="G21" i="24" s="1"/>
  <c r="F21" i="24" a="1"/>
  <c r="F21" i="24" s="1"/>
  <c r="D21" i="24" a="1"/>
  <c r="D21" i="24" s="1"/>
  <c r="C21" i="24" a="1"/>
  <c r="C21" i="24" s="1"/>
  <c r="J20" i="24" a="1"/>
  <c r="J20" i="24" s="1"/>
  <c r="I20" i="24" a="1"/>
  <c r="I20" i="24" s="1"/>
  <c r="G20" i="24" a="1"/>
  <c r="G20" i="24" s="1"/>
  <c r="F20" i="24" a="1"/>
  <c r="F20" i="24" s="1"/>
  <c r="D20" i="24" a="1"/>
  <c r="D20" i="24" s="1"/>
  <c r="C20" i="24" a="1"/>
  <c r="C20" i="24" s="1"/>
  <c r="J19" i="24" a="1"/>
  <c r="J19" i="24" s="1"/>
  <c r="M19" i="24" s="1"/>
  <c r="I19" i="24" a="1"/>
  <c r="I19" i="24" s="1"/>
  <c r="G19" i="24" a="1"/>
  <c r="G19" i="24" s="1"/>
  <c r="F19" i="24" a="1"/>
  <c r="F19" i="24" s="1"/>
  <c r="D19" i="24" a="1"/>
  <c r="D19" i="24" s="1"/>
  <c r="C19" i="24" a="1"/>
  <c r="C19" i="24" s="1"/>
  <c r="J18" i="24" a="1"/>
  <c r="J18" i="24" s="1"/>
  <c r="M18" i="24" s="1"/>
  <c r="I18" i="24" a="1"/>
  <c r="I18" i="24" s="1"/>
  <c r="L18" i="24" s="1"/>
  <c r="G18" i="24" a="1"/>
  <c r="G18" i="24" s="1"/>
  <c r="F18" i="24" a="1"/>
  <c r="F18" i="24" s="1"/>
  <c r="D18" i="24" a="1"/>
  <c r="D18" i="24" s="1"/>
  <c r="C18" i="24" a="1"/>
  <c r="C18" i="24" s="1"/>
  <c r="J17" i="24" a="1"/>
  <c r="J17" i="24" s="1"/>
  <c r="I17" i="24" a="1"/>
  <c r="I17" i="24" s="1"/>
  <c r="L17" i="24" s="1"/>
  <c r="G17" i="24" a="1"/>
  <c r="G17" i="24" s="1"/>
  <c r="F17" i="24" a="1"/>
  <c r="F17" i="24" s="1"/>
  <c r="D17" i="24" a="1"/>
  <c r="D17" i="24" s="1"/>
  <c r="C17" i="24" a="1"/>
  <c r="C17" i="24" s="1"/>
  <c r="J16" i="24" a="1"/>
  <c r="J16" i="24" s="1"/>
  <c r="I16" i="24" a="1"/>
  <c r="I16" i="24" s="1"/>
  <c r="G16" i="24" a="1"/>
  <c r="G16" i="24" s="1"/>
  <c r="F16" i="24" a="1"/>
  <c r="F16" i="24" s="1"/>
  <c r="D16" i="24" a="1"/>
  <c r="D16" i="24" s="1"/>
  <c r="C16" i="24" a="1"/>
  <c r="C16" i="24" s="1"/>
  <c r="J15" i="24" a="1"/>
  <c r="J15" i="24" s="1"/>
  <c r="M15" i="24" s="1"/>
  <c r="I15" i="24" a="1"/>
  <c r="I15" i="24" s="1"/>
  <c r="G15" i="24" a="1"/>
  <c r="G15" i="24" s="1"/>
  <c r="F15" i="24" a="1"/>
  <c r="F15" i="24" s="1"/>
  <c r="D15" i="24" a="1"/>
  <c r="D15" i="24" s="1"/>
  <c r="C15" i="24" a="1"/>
  <c r="C15" i="24" s="1"/>
  <c r="J14" i="24" a="1"/>
  <c r="J14" i="24" s="1"/>
  <c r="M14" i="24" s="1"/>
  <c r="I14" i="24" a="1"/>
  <c r="I14" i="24" s="1"/>
  <c r="L14" i="24" s="1"/>
  <c r="G14" i="24" a="1"/>
  <c r="G14" i="24" s="1"/>
  <c r="F14" i="24" a="1"/>
  <c r="F14" i="24" s="1"/>
  <c r="D14" i="24" a="1"/>
  <c r="D14" i="24" s="1"/>
  <c r="C14" i="24" a="1"/>
  <c r="C14" i="24" s="1"/>
  <c r="J13" i="24" a="1"/>
  <c r="J13" i="24" s="1"/>
  <c r="I13" i="24" a="1"/>
  <c r="I13" i="24" s="1"/>
  <c r="L13" i="24" s="1"/>
  <c r="G13" i="24" a="1"/>
  <c r="G13" i="24" s="1"/>
  <c r="F13" i="24" a="1"/>
  <c r="F13" i="24" s="1"/>
  <c r="D13" i="24" a="1"/>
  <c r="D13" i="24" s="1"/>
  <c r="C13" i="24" a="1"/>
  <c r="C13" i="24" s="1"/>
  <c r="P12" i="24"/>
  <c r="O12" i="24"/>
  <c r="N12" i="24"/>
  <c r="Q12" i="24" s="1"/>
  <c r="R12" i="24" s="1"/>
  <c r="M11" i="24"/>
  <c r="J11" i="24"/>
  <c r="J11" i="24" a="1"/>
  <c r="I11" i="24"/>
  <c r="L11" i="24" s="1"/>
  <c r="I11" i="24" a="1"/>
  <c r="G11" i="24" a="1"/>
  <c r="G11" i="24" s="1"/>
  <c r="F11" i="24"/>
  <c r="F11" i="24" a="1"/>
  <c r="D11" i="24"/>
  <c r="D11" i="24" a="1"/>
  <c r="C11" i="24"/>
  <c r="C11" i="24" a="1"/>
  <c r="J10" i="24"/>
  <c r="M10" i="24" s="1"/>
  <c r="J10" i="24" a="1"/>
  <c r="I10" i="24"/>
  <c r="L10" i="24" s="1"/>
  <c r="I10" i="24" a="1"/>
  <c r="G10" i="24"/>
  <c r="G10" i="24" a="1"/>
  <c r="F10" i="24" a="1"/>
  <c r="F10" i="24" s="1"/>
  <c r="D10" i="24"/>
  <c r="D10" i="24" a="1"/>
  <c r="C10" i="24"/>
  <c r="C10" i="24" a="1"/>
  <c r="J9" i="24" a="1"/>
  <c r="J9" i="24" s="1"/>
  <c r="M9" i="24" s="1"/>
  <c r="I9" i="24"/>
  <c r="L9" i="24" s="1"/>
  <c r="I9" i="24" a="1"/>
  <c r="G9" i="24"/>
  <c r="G9" i="24" a="1"/>
  <c r="F9" i="24"/>
  <c r="F9" i="24" a="1"/>
  <c r="D9" i="24" a="1"/>
  <c r="D9" i="24" s="1"/>
  <c r="C9" i="24"/>
  <c r="C9" i="24" a="1"/>
  <c r="M8" i="24"/>
  <c r="J8" i="24"/>
  <c r="J8" i="24" a="1"/>
  <c r="I8" i="24" a="1"/>
  <c r="I8" i="24" s="1"/>
  <c r="G8" i="24"/>
  <c r="G8" i="24" a="1"/>
  <c r="F8" i="24"/>
  <c r="F8" i="24" a="1"/>
  <c r="D8" i="24"/>
  <c r="D8" i="24" a="1"/>
  <c r="C8" i="24" a="1"/>
  <c r="C8" i="24" s="1"/>
  <c r="M7" i="24"/>
  <c r="J7" i="24"/>
  <c r="J7" i="24" a="1"/>
  <c r="I7" i="24"/>
  <c r="L7" i="24" s="1"/>
  <c r="I7" i="24" a="1"/>
  <c r="G7" i="24" a="1"/>
  <c r="G7" i="24" s="1"/>
  <c r="F7" i="24"/>
  <c r="F7" i="24" a="1"/>
  <c r="D7" i="24"/>
  <c r="D7" i="24" a="1"/>
  <c r="C7" i="24"/>
  <c r="C7" i="24" a="1"/>
  <c r="J6" i="24"/>
  <c r="M6" i="24" s="1"/>
  <c r="M12" i="24" s="1"/>
  <c r="J6" i="24" a="1"/>
  <c r="I6" i="24"/>
  <c r="I12" i="24" s="1"/>
  <c r="I6" i="24" a="1"/>
  <c r="G6" i="24"/>
  <c r="G6" i="24" a="1"/>
  <c r="F6" i="24" a="1"/>
  <c r="F6" i="24" s="1"/>
  <c r="D6" i="24"/>
  <c r="D12" i="24" s="1"/>
  <c r="D6" i="24" a="1"/>
  <c r="C6" i="24"/>
  <c r="C6" i="24" a="1"/>
  <c r="D27" i="24" l="1"/>
  <c r="F27" i="24"/>
  <c r="M17" i="24"/>
  <c r="M25" i="24"/>
  <c r="F12" i="24"/>
  <c r="L16" i="24"/>
  <c r="L20" i="24"/>
  <c r="L24" i="24"/>
  <c r="L27" i="24" s="1"/>
  <c r="I27" i="24"/>
  <c r="M21" i="24"/>
  <c r="M16" i="24"/>
  <c r="M20" i="24"/>
  <c r="M24" i="24"/>
  <c r="M27" i="24" s="1"/>
  <c r="J27" i="24"/>
  <c r="L29" i="24"/>
  <c r="C12" i="24"/>
  <c r="M13" i="24"/>
  <c r="G27" i="24"/>
  <c r="G12" i="24"/>
  <c r="L8" i="24"/>
  <c r="L15" i="24"/>
  <c r="L19" i="24"/>
  <c r="L23" i="24"/>
  <c r="M28" i="24"/>
  <c r="M29" i="24"/>
  <c r="J12" i="24"/>
  <c r="L6" i="24"/>
  <c r="L12" i="24" s="1"/>
  <c r="L496" i="11" l="1"/>
  <c r="L495" i="11"/>
  <c r="L494" i="11"/>
  <c r="J496" i="11"/>
  <c r="J495" i="11"/>
  <c r="J494" i="11"/>
  <c r="M491" i="11"/>
  <c r="M490" i="11"/>
  <c r="M489" i="11"/>
  <c r="M488" i="11"/>
  <c r="M487" i="11"/>
  <c r="J491" i="11"/>
  <c r="J490" i="11"/>
  <c r="J489" i="11"/>
  <c r="J488" i="11"/>
  <c r="J487" i="11"/>
  <c r="G26" i="9"/>
  <c r="M477" i="11" s="1"/>
  <c r="F26" i="9"/>
  <c r="J477" i="11" s="1"/>
  <c r="G23" i="9"/>
  <c r="F23" i="9"/>
  <c r="G22" i="9"/>
  <c r="M473" i="11" s="1"/>
  <c r="F22" i="9"/>
  <c r="J473" i="11" s="1"/>
  <c r="G21" i="9"/>
  <c r="F21" i="9"/>
  <c r="J472" i="11" s="1"/>
  <c r="G18" i="9"/>
  <c r="M469" i="11" s="1"/>
  <c r="F18" i="9"/>
  <c r="J469" i="11" s="1"/>
  <c r="G17" i="9"/>
  <c r="F17" i="9"/>
  <c r="J468" i="11" s="1"/>
  <c r="G24" i="9"/>
  <c r="M475" i="11" s="1"/>
  <c r="F24" i="9"/>
  <c r="J475" i="11" s="1"/>
  <c r="G20" i="9"/>
  <c r="M471" i="11" s="1"/>
  <c r="F20" i="9"/>
  <c r="J471" i="11" s="1"/>
  <c r="G19" i="9"/>
  <c r="M470" i="11" s="1"/>
  <c r="F19" i="9"/>
  <c r="J470" i="11" s="1"/>
  <c r="G16" i="9"/>
  <c r="M467" i="11" s="1"/>
  <c r="F16" i="9"/>
  <c r="J467" i="11" s="1"/>
  <c r="G15" i="9"/>
  <c r="M466" i="11" s="1"/>
  <c r="F15" i="9"/>
  <c r="J466" i="11" s="1"/>
  <c r="G13" i="9"/>
  <c r="M464" i="11" s="1"/>
  <c r="F13" i="9"/>
  <c r="J464" i="11" s="1"/>
  <c r="F12" i="9"/>
  <c r="J463" i="11" s="1"/>
  <c r="G12" i="9"/>
  <c r="M463" i="11" s="1"/>
  <c r="M482" i="11"/>
  <c r="M481" i="11"/>
  <c r="M480" i="11"/>
  <c r="M479" i="11"/>
  <c r="M478" i="11"/>
  <c r="M476" i="11"/>
  <c r="M474" i="11"/>
  <c r="M472" i="11"/>
  <c r="M468" i="11"/>
  <c r="M465" i="11"/>
  <c r="M462" i="11"/>
  <c r="M460" i="11"/>
  <c r="J482" i="11"/>
  <c r="J481" i="11"/>
  <c r="J480" i="11"/>
  <c r="J479" i="11"/>
  <c r="J478" i="11"/>
  <c r="J476" i="11"/>
  <c r="J474" i="11"/>
  <c r="J465" i="11"/>
  <c r="J462" i="11"/>
  <c r="J460" i="11"/>
  <c r="M459" i="11"/>
  <c r="J459" i="11"/>
  <c r="G10" i="9" l="1"/>
  <c r="M461" i="11" s="1"/>
  <c r="F10" i="9"/>
  <c r="J461" i="11" s="1"/>
  <c r="J504" i="11"/>
  <c r="BG174" i="11" s="1"/>
  <c r="J503" i="11"/>
  <c r="BC173" i="11" s="1"/>
  <c r="J502" i="11"/>
  <c r="BC171" i="11" s="1"/>
  <c r="J501" i="11"/>
  <c r="BF172" i="11" s="1"/>
  <c r="J500" i="11"/>
  <c r="BE169" i="11" s="1"/>
  <c r="J499" i="11"/>
  <c r="BG170" i="11" s="1"/>
  <c r="BB174" i="11"/>
  <c r="BB173" i="11"/>
  <c r="BB172" i="11"/>
  <c r="BB171" i="11"/>
  <c r="BB170" i="11"/>
  <c r="BF169" i="11"/>
  <c r="BB169" i="11"/>
  <c r="BG169" i="11" l="1"/>
  <c r="BD173" i="11"/>
  <c r="BE173" i="11"/>
  <c r="BF173" i="11"/>
  <c r="BC174" i="11"/>
  <c r="BD174" i="11"/>
  <c r="BE174" i="11"/>
  <c r="BG171" i="11"/>
  <c r="BF174" i="11"/>
  <c r="BG173" i="11"/>
  <c r="BE171" i="11"/>
  <c r="BD171" i="11"/>
  <c r="BF171" i="11"/>
  <c r="BD172" i="11"/>
  <c r="BC172" i="11"/>
  <c r="BE172" i="11"/>
  <c r="BG172" i="11"/>
  <c r="BC169" i="11"/>
  <c r="BD169" i="11"/>
  <c r="BC170" i="11"/>
  <c r="BD170" i="11"/>
  <c r="BE170" i="11"/>
  <c r="BF170" i="11"/>
  <c r="B9" i="8"/>
  <c r="B10" i="8"/>
  <c r="B11" i="8"/>
  <c r="B12" i="8"/>
  <c r="B13" i="8"/>
  <c r="B14" i="8"/>
  <c r="B15" i="8"/>
  <c r="B16" i="8"/>
  <c r="B17" i="8"/>
  <c r="M17" i="8" s="1"/>
  <c r="B18" i="8"/>
  <c r="B19" i="8"/>
  <c r="B20" i="8"/>
  <c r="B21" i="8"/>
  <c r="B22" i="8"/>
  <c r="B23" i="8"/>
  <c r="B24" i="8"/>
  <c r="M24" i="8" s="1"/>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S6" i="7"/>
  <c r="S5" i="7"/>
  <c r="S4" i="7"/>
  <c r="BJ11" i="8"/>
  <c r="BJ10" i="8"/>
  <c r="BJ9" i="8"/>
  <c r="BI9" i="8"/>
  <c r="AV37" i="8"/>
  <c r="AU37" i="8"/>
  <c r="BJ27" i="8"/>
  <c r="BI27" i="8"/>
  <c r="AV18" i="8"/>
  <c r="AU18" i="8"/>
  <c r="BQ17" i="8"/>
  <c r="BJ17" i="8"/>
  <c r="BI17" i="8"/>
  <c r="BH17" i="8"/>
  <c r="BF17" i="8" s="1"/>
  <c r="AV17" i="8"/>
  <c r="AU17" i="8"/>
  <c r="AT17" i="8"/>
  <c r="AR17" i="8" s="1"/>
  <c r="AE17" i="8"/>
  <c r="AC17" i="8" s="1"/>
  <c r="N17" i="8"/>
  <c r="AG84" i="8"/>
  <c r="AF84" i="8"/>
  <c r="AV42" i="8"/>
  <c r="AV39" i="8"/>
  <c r="AU39" i="8"/>
  <c r="AG35" i="8"/>
  <c r="AF35" i="8"/>
  <c r="AV35" i="8"/>
  <c r="AU35" i="8"/>
  <c r="AG31" i="8"/>
  <c r="AF31" i="8"/>
  <c r="AV31" i="8"/>
  <c r="AU31" i="8"/>
  <c r="BW27" i="8"/>
  <c r="BV27" i="8"/>
  <c r="BQ27" i="8"/>
  <c r="BH27" i="8"/>
  <c r="BG27" i="8" s="1"/>
  <c r="AV27" i="8"/>
  <c r="AU27" i="8"/>
  <c r="AT27" i="8"/>
  <c r="AR27" i="8" s="1"/>
  <c r="AG27" i="8"/>
  <c r="AF27" i="8"/>
  <c r="AE27" i="8"/>
  <c r="AC27" i="8" s="1"/>
  <c r="M27" i="8"/>
  <c r="BW24" i="8"/>
  <c r="BQ24" i="8"/>
  <c r="BH24" i="8"/>
  <c r="BG24" i="8" s="1"/>
  <c r="AV24" i="8"/>
  <c r="AU24" i="8"/>
  <c r="AT24" i="8"/>
  <c r="AS24" i="8" s="1"/>
  <c r="AG24" i="8"/>
  <c r="AF24" i="8"/>
  <c r="AE24" i="8"/>
  <c r="AD24" i="8" s="1"/>
  <c r="P24" i="8"/>
  <c r="N24" i="8" s="1"/>
  <c r="BB98" i="11"/>
  <c r="CD233" i="11"/>
  <c r="CD234" i="11"/>
  <c r="CD235" i="11"/>
  <c r="CD236" i="11"/>
  <c r="CD237" i="11"/>
  <c r="CD238" i="11"/>
  <c r="CD239" i="11"/>
  <c r="CD240" i="11"/>
  <c r="CD241" i="11"/>
  <c r="CD242" i="11"/>
  <c r="CD243" i="11"/>
  <c r="CD244" i="11"/>
  <c r="CD245" i="11"/>
  <c r="CD246" i="11"/>
  <c r="CD247" i="11"/>
  <c r="CD232" i="11"/>
  <c r="BN17" i="8" l="1"/>
  <c r="BN24" i="8"/>
  <c r="Y17" i="8"/>
  <c r="X17" i="8" s="1"/>
  <c r="AS17" i="8"/>
  <c r="BG17" i="8"/>
  <c r="AD27" i="8"/>
  <c r="AS27" i="8"/>
  <c r="AD17" i="8"/>
  <c r="BC17" i="8"/>
  <c r="AN17" i="8"/>
  <c r="BC24" i="8"/>
  <c r="BA24" i="8" s="1"/>
  <c r="BF24" i="8"/>
  <c r="AR24" i="8"/>
  <c r="BF27" i="8"/>
  <c r="BC27" i="8" s="1"/>
  <c r="AC24" i="8"/>
  <c r="Y24" i="8" s="1"/>
  <c r="BN27" i="8"/>
  <c r="AN27" i="8"/>
  <c r="Y27" i="8"/>
  <c r="CF214" i="11"/>
  <c r="BT223" i="11" s="1"/>
  <c r="W17" i="8" l="1"/>
  <c r="V17" i="8" s="1"/>
  <c r="BB24" i="8"/>
  <c r="AZ24" i="8" s="1"/>
  <c r="AL17" i="8"/>
  <c r="AM17" i="8"/>
  <c r="BB17" i="8"/>
  <c r="BA17" i="8"/>
  <c r="AN24" i="8"/>
  <c r="AK24" i="8"/>
  <c r="W27" i="8"/>
  <c r="X27" i="8"/>
  <c r="BA27" i="8"/>
  <c r="BB27" i="8"/>
  <c r="AM27" i="8"/>
  <c r="AL27" i="8"/>
  <c r="X24" i="8"/>
  <c r="W24" i="8"/>
  <c r="BG215" i="11"/>
  <c r="BW223" i="11"/>
  <c r="BS215" i="11"/>
  <c r="BJ223" i="11"/>
  <c r="BT215" i="11"/>
  <c r="BK223" i="11"/>
  <c r="BH215" i="11"/>
  <c r="BV223" i="11"/>
  <c r="BF215" i="11"/>
  <c r="BR215" i="11"/>
  <c r="BI223" i="11"/>
  <c r="BU223" i="11"/>
  <c r="BU215" i="11"/>
  <c r="BX223" i="11"/>
  <c r="BL223" i="11"/>
  <c r="BV215" i="11"/>
  <c r="BM223" i="11"/>
  <c r="BW215" i="11"/>
  <c r="BN223" i="11"/>
  <c r="BL215" i="11"/>
  <c r="BX215" i="11"/>
  <c r="BO223" i="11"/>
  <c r="BI215" i="11"/>
  <c r="BK215" i="11"/>
  <c r="BM215" i="11"/>
  <c r="BD223" i="11"/>
  <c r="BP223" i="11"/>
  <c r="BJ215" i="11"/>
  <c r="BN215" i="11"/>
  <c r="BE223" i="11"/>
  <c r="BQ223" i="11"/>
  <c r="BF223" i="11"/>
  <c r="BR223" i="11"/>
  <c r="BO215" i="11"/>
  <c r="BD215" i="11"/>
  <c r="BP215" i="11"/>
  <c r="BG223" i="11"/>
  <c r="BS223" i="11"/>
  <c r="BE215" i="11"/>
  <c r="BQ215" i="11"/>
  <c r="BH223" i="11"/>
  <c r="AZ17" i="8" l="1"/>
  <c r="V24" i="8"/>
  <c r="AK17" i="8"/>
  <c r="AM24" i="8"/>
  <c r="AL24" i="8"/>
  <c r="AK27" i="8"/>
  <c r="AZ27" i="8"/>
  <c r="V27" i="8"/>
  <c r="BG199" i="11"/>
  <c r="BF199" i="11"/>
  <c r="BE199" i="11"/>
  <c r="BD199" i="11"/>
  <c r="BG198" i="11"/>
  <c r="BF198" i="11"/>
  <c r="BE198" i="11"/>
  <c r="BD198" i="11"/>
  <c r="BG197" i="11"/>
  <c r="BF197" i="11"/>
  <c r="BE197" i="11"/>
  <c r="BD197" i="11"/>
  <c r="BG196" i="11"/>
  <c r="BF196" i="11"/>
  <c r="BE196" i="11"/>
  <c r="BD196" i="11"/>
  <c r="BG195" i="11"/>
  <c r="BF195" i="11"/>
  <c r="BE195" i="11"/>
  <c r="BD195" i="11"/>
  <c r="BG194" i="11"/>
  <c r="BF194" i="11"/>
  <c r="BE194" i="11"/>
  <c r="BD194" i="11"/>
  <c r="BG193" i="11"/>
  <c r="BF193" i="11"/>
  <c r="BE193" i="11"/>
  <c r="BD193" i="11"/>
  <c r="BG192" i="11"/>
  <c r="BF192" i="11"/>
  <c r="BE192" i="11"/>
  <c r="BD192" i="11"/>
  <c r="BG191" i="11"/>
  <c r="BF191" i="11"/>
  <c r="BE191" i="11"/>
  <c r="BD191" i="11"/>
  <c r="BG190" i="11"/>
  <c r="BF190" i="11"/>
  <c r="BE190" i="11"/>
  <c r="BD190" i="11"/>
  <c r="BG189" i="11"/>
  <c r="BF189" i="11"/>
  <c r="BE189" i="11"/>
  <c r="BD189" i="11"/>
  <c r="BG188" i="11"/>
  <c r="BF188" i="11"/>
  <c r="BE188" i="11"/>
  <c r="BD188" i="11"/>
  <c r="BG187" i="11"/>
  <c r="BF187" i="11"/>
  <c r="BE187" i="11"/>
  <c r="BD187" i="11"/>
  <c r="BG186" i="11"/>
  <c r="BF186" i="11"/>
  <c r="BE186" i="11"/>
  <c r="BD186" i="11"/>
  <c r="BG185" i="11"/>
  <c r="BF185" i="11"/>
  <c r="BE185" i="11"/>
  <c r="BD185" i="11"/>
  <c r="BG184" i="11"/>
  <c r="BF184" i="11"/>
  <c r="BE184" i="11"/>
  <c r="BD184" i="11"/>
  <c r="BG183" i="11"/>
  <c r="BF183" i="11"/>
  <c r="BE183" i="11"/>
  <c r="BD183" i="11"/>
  <c r="BG182" i="11"/>
  <c r="BF182" i="11"/>
  <c r="BE182" i="11"/>
  <c r="BD182" i="11"/>
  <c r="BG181" i="11"/>
  <c r="BF181" i="11"/>
  <c r="BE181" i="11"/>
  <c r="BD181" i="11"/>
  <c r="BG180" i="11"/>
  <c r="BF180" i="11"/>
  <c r="BE180" i="11"/>
  <c r="BD180" i="11"/>
  <c r="BG179" i="11"/>
  <c r="BF179" i="11"/>
  <c r="BE179" i="11"/>
  <c r="BD179" i="11"/>
  <c r="BG178" i="11"/>
  <c r="BF178" i="11"/>
  <c r="BE178" i="11"/>
  <c r="BD178" i="11"/>
  <c r="BG177" i="11"/>
  <c r="BF177" i="11"/>
  <c r="BE177" i="11"/>
  <c r="BD177" i="11"/>
  <c r="BG176" i="11"/>
  <c r="BF176" i="11"/>
  <c r="BE176" i="11"/>
  <c r="BD176" i="11"/>
  <c r="F76" i="11" l="1"/>
  <c r="F77" i="11"/>
  <c r="F78" i="11"/>
  <c r="F79" i="11"/>
  <c r="F80" i="11"/>
  <c r="F81" i="11"/>
  <c r="F82" i="11"/>
  <c r="F83" i="11"/>
  <c r="F84" i="11"/>
  <c r="F85" i="11"/>
  <c r="F86" i="11"/>
  <c r="F87" i="11"/>
  <c r="F88" i="11"/>
  <c r="F89" i="11"/>
  <c r="F90" i="11"/>
  <c r="F91" i="11"/>
  <c r="F92" i="11"/>
  <c r="F93" i="11"/>
  <c r="F94" i="11"/>
  <c r="F95" i="11"/>
  <c r="F75" i="11"/>
  <c r="F55" i="11"/>
  <c r="F56" i="11"/>
  <c r="F57" i="11"/>
  <c r="F58" i="11"/>
  <c r="F59" i="11"/>
  <c r="F60" i="11"/>
  <c r="F61" i="11"/>
  <c r="F62" i="11"/>
  <c r="F63" i="11"/>
  <c r="F64" i="11"/>
  <c r="F65" i="11"/>
  <c r="F66" i="11"/>
  <c r="F67" i="11"/>
  <c r="F68" i="11"/>
  <c r="F69" i="11"/>
  <c r="F70" i="11"/>
  <c r="F71" i="11"/>
  <c r="F72" i="11"/>
  <c r="F73" i="11"/>
  <c r="F74" i="11"/>
  <c r="F54" i="11"/>
  <c r="F31" i="11"/>
  <c r="F32" i="11"/>
  <c r="F33" i="11"/>
  <c r="F34" i="11"/>
  <c r="F35" i="11"/>
  <c r="F36" i="11"/>
  <c r="F37" i="11"/>
  <c r="F38" i="11"/>
  <c r="F39" i="11"/>
  <c r="F40" i="11"/>
  <c r="F41" i="11"/>
  <c r="F42" i="11"/>
  <c r="F43" i="11"/>
  <c r="F44" i="11"/>
  <c r="F45" i="11"/>
  <c r="F46" i="11"/>
  <c r="F47" i="11"/>
  <c r="F48" i="11"/>
  <c r="F49" i="11"/>
  <c r="F50" i="11"/>
  <c r="F30" i="11"/>
  <c r="F10" i="11"/>
  <c r="F11" i="11"/>
  <c r="F12" i="11"/>
  <c r="F13" i="11"/>
  <c r="F14" i="11"/>
  <c r="F15" i="11"/>
  <c r="F16" i="11"/>
  <c r="F17" i="11"/>
  <c r="F18" i="11"/>
  <c r="F19" i="11"/>
  <c r="F20" i="11"/>
  <c r="F21" i="11"/>
  <c r="F22" i="11"/>
  <c r="F23" i="11"/>
  <c r="F24" i="11"/>
  <c r="F25" i="11"/>
  <c r="F26" i="11"/>
  <c r="F27" i="11"/>
  <c r="F28" i="11"/>
  <c r="F29" i="11"/>
  <c r="F9" i="11"/>
  <c r="H29" i="12"/>
  <c r="H28" i="12"/>
  <c r="H27" i="12"/>
  <c r="H26" i="12"/>
  <c r="H25" i="12"/>
  <c r="L24" i="12"/>
  <c r="H24" i="12"/>
  <c r="L23" i="12"/>
  <c r="H23" i="12" s="1"/>
  <c r="L22" i="12"/>
  <c r="H22" i="12" s="1"/>
  <c r="L21" i="12"/>
  <c r="H21" i="12" s="1"/>
  <c r="L20" i="12"/>
  <c r="H20" i="12" s="1"/>
  <c r="L19" i="12"/>
  <c r="H19" i="12" s="1"/>
  <c r="L18" i="12"/>
  <c r="H18" i="12" s="1"/>
  <c r="L17" i="12"/>
  <c r="H17" i="12" s="1"/>
  <c r="L16" i="12"/>
  <c r="H16" i="12" s="1"/>
  <c r="L15" i="12"/>
  <c r="H15" i="12" s="1"/>
  <c r="L14" i="12"/>
  <c r="H14" i="12" s="1"/>
  <c r="L13" i="12"/>
  <c r="H13" i="12" s="1"/>
  <c r="L12" i="12"/>
  <c r="H12" i="12" s="1"/>
  <c r="L11" i="12"/>
  <c r="H11" i="12" s="1"/>
  <c r="L10" i="12"/>
  <c r="H10" i="12" s="1"/>
  <c r="L9" i="12"/>
  <c r="H9" i="12" s="1"/>
  <c r="L8" i="12"/>
  <c r="H8" i="12" s="1"/>
  <c r="L7" i="12"/>
  <c r="H7" i="12" s="1"/>
  <c r="F168" i="11" l="1"/>
  <c r="F167" i="11"/>
  <c r="F166" i="11"/>
  <c r="F165" i="11"/>
  <c r="F164" i="11"/>
  <c r="F163" i="11"/>
  <c r="F162" i="11"/>
  <c r="F161" i="11"/>
  <c r="F160" i="11"/>
  <c r="F159" i="11"/>
  <c r="F158" i="11"/>
  <c r="F157" i="11"/>
  <c r="F156" i="11"/>
  <c r="F155" i="11"/>
  <c r="F154" i="11"/>
  <c r="F153" i="11"/>
  <c r="F152" i="11"/>
  <c r="F151" i="11"/>
  <c r="F150" i="11"/>
  <c r="F149"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BX219" i="11" l="1"/>
  <c r="BX227" i="11"/>
  <c r="BE219" i="11"/>
  <c r="BF219" i="11"/>
  <c r="BG219" i="11"/>
  <c r="BH219" i="11"/>
  <c r="BI219" i="11"/>
  <c r="BJ219" i="11"/>
  <c r="BK219" i="11"/>
  <c r="BL219" i="11"/>
  <c r="BM219" i="11"/>
  <c r="BN219" i="11"/>
  <c r="BO219" i="11"/>
  <c r="BP219" i="11"/>
  <c r="BQ219" i="11"/>
  <c r="BR219" i="11"/>
  <c r="BS219" i="11"/>
  <c r="BT219" i="11"/>
  <c r="BU219" i="11"/>
  <c r="BV219" i="11"/>
  <c r="BW219" i="11"/>
  <c r="BE227" i="11"/>
  <c r="BF227" i="11"/>
  <c r="BG227" i="11"/>
  <c r="BG235" i="11" s="1"/>
  <c r="BH227" i="11"/>
  <c r="BI227" i="11"/>
  <c r="BJ227" i="11"/>
  <c r="BK227" i="11"/>
  <c r="BL227" i="11"/>
  <c r="BM227" i="11"/>
  <c r="BN227" i="11"/>
  <c r="BO227" i="11"/>
  <c r="BO235" i="11" s="1"/>
  <c r="BP227" i="11"/>
  <c r="BQ227" i="11"/>
  <c r="BR227" i="11"/>
  <c r="BS227" i="11"/>
  <c r="BT227" i="11"/>
  <c r="BU227" i="11"/>
  <c r="BV227" i="11"/>
  <c r="BW227" i="11"/>
  <c r="BC144" i="11"/>
  <c r="BC143" i="11"/>
  <c r="BC142" i="11"/>
  <c r="BC141" i="11"/>
  <c r="BC140" i="11"/>
  <c r="BC139" i="11"/>
  <c r="BC138" i="11"/>
  <c r="BC137" i="11"/>
  <c r="BC136" i="11"/>
  <c r="BC135" i="11"/>
  <c r="BC134" i="11"/>
  <c r="BC133" i="11"/>
  <c r="BC132" i="11"/>
  <c r="BC131" i="11"/>
  <c r="BC130" i="11"/>
  <c r="BC129" i="11"/>
  <c r="BC128" i="11"/>
  <c r="BC127" i="11"/>
  <c r="BC126" i="11"/>
  <c r="BC125" i="11"/>
  <c r="BC123" i="11"/>
  <c r="BC122" i="11"/>
  <c r="BC121" i="11"/>
  <c r="BC119" i="11"/>
  <c r="BC118" i="11"/>
  <c r="BC117" i="11"/>
  <c r="BC114" i="11"/>
  <c r="AT382" i="11"/>
  <c r="AT381" i="11"/>
  <c r="AT380" i="11"/>
  <c r="AT379" i="11"/>
  <c r="AT378" i="11"/>
  <c r="AT377" i="11"/>
  <c r="AT376" i="11"/>
  <c r="AT375" i="11"/>
  <c r="AT374" i="11"/>
  <c r="AT373" i="11"/>
  <c r="AT372" i="11"/>
  <c r="AT371" i="11"/>
  <c r="AT370" i="11"/>
  <c r="AT369" i="11"/>
  <c r="AT368" i="11"/>
  <c r="AT367" i="11"/>
  <c r="AT366" i="11"/>
  <c r="AT365" i="11"/>
  <c r="AT364" i="11"/>
  <c r="AT363" i="11"/>
  <c r="AT362" i="11"/>
  <c r="AT340" i="11"/>
  <c r="AT339" i="11"/>
  <c r="AT338" i="11"/>
  <c r="AT337" i="11"/>
  <c r="AT336" i="11"/>
  <c r="AT335" i="11"/>
  <c r="AT334" i="11"/>
  <c r="AT333" i="11"/>
  <c r="AT332" i="11"/>
  <c r="AT331" i="11"/>
  <c r="AT330" i="11"/>
  <c r="AT329" i="11"/>
  <c r="AT328" i="11"/>
  <c r="AT327" i="11"/>
  <c r="AT326" i="11"/>
  <c r="AT325" i="11"/>
  <c r="AT324" i="11"/>
  <c r="AT323" i="11"/>
  <c r="AT322" i="11"/>
  <c r="AT321" i="11"/>
  <c r="AT320" i="11"/>
  <c r="AT319" i="11"/>
  <c r="AT318" i="11"/>
  <c r="AT317" i="11"/>
  <c r="AT316" i="11"/>
  <c r="AT315" i="11"/>
  <c r="AT314" i="11"/>
  <c r="AT313" i="11"/>
  <c r="AT312" i="11"/>
  <c r="AT311" i="11"/>
  <c r="AT310" i="11"/>
  <c r="AT309" i="11"/>
  <c r="AT308" i="11"/>
  <c r="AT307" i="11"/>
  <c r="AT306" i="11"/>
  <c r="AT305" i="11"/>
  <c r="AT304" i="11"/>
  <c r="AT303" i="11"/>
  <c r="AT302" i="11"/>
  <c r="AT301" i="11"/>
  <c r="AT300" i="11"/>
  <c r="AT299" i="11"/>
  <c r="AT277" i="11"/>
  <c r="AT276" i="11"/>
  <c r="AT275" i="11"/>
  <c r="AT274" i="11"/>
  <c r="AT273" i="11"/>
  <c r="AT272" i="11"/>
  <c r="AT271" i="11"/>
  <c r="AT270" i="11"/>
  <c r="AT269" i="11"/>
  <c r="AT268" i="11"/>
  <c r="AT267" i="11"/>
  <c r="AT266" i="11"/>
  <c r="AT265" i="11"/>
  <c r="AT264" i="11"/>
  <c r="AT263" i="11"/>
  <c r="AT262" i="11"/>
  <c r="AT261" i="11"/>
  <c r="AT260" i="11"/>
  <c r="AT259" i="11"/>
  <c r="AT258" i="11"/>
  <c r="AT257" i="11"/>
  <c r="AN382" i="11"/>
  <c r="AN381" i="11"/>
  <c r="AN380" i="11"/>
  <c r="AN379" i="11"/>
  <c r="AN378" i="11"/>
  <c r="AN377" i="11"/>
  <c r="AN376" i="11"/>
  <c r="AN375" i="11"/>
  <c r="AN374" i="11"/>
  <c r="AN373" i="11"/>
  <c r="AN372" i="11"/>
  <c r="AN371" i="11"/>
  <c r="AN370" i="11"/>
  <c r="AN369" i="11"/>
  <c r="AN368" i="11"/>
  <c r="AN367" i="11"/>
  <c r="AN366" i="11"/>
  <c r="AN365" i="11"/>
  <c r="AN364" i="11"/>
  <c r="AN363" i="11"/>
  <c r="AN362" i="11"/>
  <c r="AN340" i="11"/>
  <c r="AN339" i="11"/>
  <c r="AN338" i="11"/>
  <c r="AN337" i="11"/>
  <c r="AN336" i="11"/>
  <c r="AN335" i="11"/>
  <c r="AN334" i="11"/>
  <c r="AN333" i="11"/>
  <c r="AN332" i="11"/>
  <c r="AN331" i="11"/>
  <c r="AN330" i="11"/>
  <c r="AN329" i="11"/>
  <c r="AN328" i="11"/>
  <c r="AN327" i="11"/>
  <c r="AN326" i="11"/>
  <c r="AN325" i="11"/>
  <c r="AN324" i="11"/>
  <c r="AN323" i="11"/>
  <c r="AN322" i="11"/>
  <c r="AN321" i="11"/>
  <c r="AN320" i="11"/>
  <c r="AN319" i="11"/>
  <c r="AN318" i="11"/>
  <c r="AN317" i="11"/>
  <c r="AN316" i="11"/>
  <c r="AN315" i="11"/>
  <c r="AN314" i="11"/>
  <c r="AN313" i="11"/>
  <c r="AN312" i="11"/>
  <c r="AN311" i="11"/>
  <c r="AN310" i="11"/>
  <c r="AN309" i="11"/>
  <c r="AN308" i="11"/>
  <c r="AN307" i="11"/>
  <c r="AN306" i="11"/>
  <c r="AN305" i="11"/>
  <c r="AN304" i="11"/>
  <c r="AN303" i="11"/>
  <c r="AN302" i="11"/>
  <c r="AN301" i="11"/>
  <c r="AN300" i="11"/>
  <c r="AN299" i="11"/>
  <c r="AN277" i="11"/>
  <c r="AN276" i="11"/>
  <c r="AN275" i="11"/>
  <c r="AN274" i="11"/>
  <c r="AN273" i="11"/>
  <c r="AN272" i="11"/>
  <c r="AN271" i="11"/>
  <c r="AN270" i="11"/>
  <c r="AN269" i="11"/>
  <c r="AN268" i="11"/>
  <c r="AN267" i="11"/>
  <c r="AN266" i="11"/>
  <c r="AN265" i="11"/>
  <c r="AN264" i="11"/>
  <c r="AN263" i="11"/>
  <c r="AN262" i="11"/>
  <c r="AN261" i="11"/>
  <c r="AN260" i="11"/>
  <c r="AN259" i="11"/>
  <c r="AN258" i="11"/>
  <c r="AN257" i="11"/>
  <c r="AH382" i="11"/>
  <c r="AH381" i="11"/>
  <c r="AH380" i="11"/>
  <c r="AH379" i="11"/>
  <c r="AH378" i="11"/>
  <c r="AH377" i="11"/>
  <c r="AH376" i="11"/>
  <c r="AH375" i="11"/>
  <c r="AH374" i="11"/>
  <c r="AH373" i="11"/>
  <c r="AH372" i="11"/>
  <c r="AH371" i="11"/>
  <c r="AH370" i="11"/>
  <c r="AH369" i="11"/>
  <c r="AH368" i="11"/>
  <c r="AH367" i="11"/>
  <c r="AH366" i="11"/>
  <c r="AH365" i="11"/>
  <c r="AH364" i="11"/>
  <c r="AH363" i="11"/>
  <c r="AH362" i="11"/>
  <c r="AH340" i="11"/>
  <c r="AH339" i="11"/>
  <c r="AH338" i="11"/>
  <c r="AH337" i="11"/>
  <c r="AH336" i="11"/>
  <c r="AH335" i="11"/>
  <c r="AH334" i="11"/>
  <c r="AH333" i="11"/>
  <c r="AH332" i="11"/>
  <c r="AH331" i="11"/>
  <c r="AH330" i="11"/>
  <c r="AH329" i="11"/>
  <c r="AH328" i="11"/>
  <c r="AH327" i="11"/>
  <c r="AH326" i="11"/>
  <c r="AH325" i="11"/>
  <c r="AH324" i="11"/>
  <c r="AH323" i="11"/>
  <c r="AH322" i="11"/>
  <c r="AH321" i="11"/>
  <c r="AH320" i="11"/>
  <c r="AH319" i="11"/>
  <c r="AH318" i="11"/>
  <c r="AH317" i="11"/>
  <c r="AH316" i="11"/>
  <c r="AH315" i="11"/>
  <c r="AH314" i="11"/>
  <c r="AH313" i="11"/>
  <c r="AH312" i="11"/>
  <c r="AH311" i="11"/>
  <c r="AH310" i="11"/>
  <c r="AH309" i="11"/>
  <c r="AH308" i="11"/>
  <c r="AH307" i="11"/>
  <c r="AH306" i="11"/>
  <c r="AH305" i="11"/>
  <c r="AH304" i="11"/>
  <c r="AH303" i="11"/>
  <c r="AH302" i="11"/>
  <c r="AH301" i="11"/>
  <c r="AH300" i="11"/>
  <c r="AH299" i="11"/>
  <c r="AH277" i="11"/>
  <c r="AH276" i="11"/>
  <c r="AH275" i="11"/>
  <c r="AH274" i="11"/>
  <c r="AH273" i="11"/>
  <c r="AH272" i="11"/>
  <c r="AH271" i="11"/>
  <c r="AH270" i="11"/>
  <c r="AH269" i="11"/>
  <c r="AH268" i="11"/>
  <c r="AH267" i="11"/>
  <c r="AH266" i="11"/>
  <c r="AH265" i="11"/>
  <c r="AH264" i="11"/>
  <c r="AH263" i="11"/>
  <c r="AH262" i="11"/>
  <c r="AH261" i="11"/>
  <c r="AH260" i="11"/>
  <c r="AH259" i="11"/>
  <c r="AH258" i="11"/>
  <c r="AH257" i="11"/>
  <c r="AB455" i="11"/>
  <c r="AB382" i="11"/>
  <c r="AB381" i="11"/>
  <c r="AB380" i="11"/>
  <c r="AB379" i="11"/>
  <c r="AB378" i="11"/>
  <c r="AB377" i="11"/>
  <c r="AB376" i="11"/>
  <c r="AB375" i="11"/>
  <c r="AB374" i="11"/>
  <c r="AB373" i="11"/>
  <c r="AB372" i="11"/>
  <c r="AB371" i="11"/>
  <c r="AB370" i="11"/>
  <c r="AB369" i="11"/>
  <c r="AB368" i="11"/>
  <c r="AB367" i="11"/>
  <c r="AB366" i="11"/>
  <c r="AB365" i="11"/>
  <c r="AB364" i="11"/>
  <c r="AB363" i="11"/>
  <c r="AB362" i="11"/>
  <c r="AB340" i="11"/>
  <c r="AB339" i="11"/>
  <c r="AB338" i="11"/>
  <c r="AB337" i="11"/>
  <c r="AB336" i="11"/>
  <c r="AB335" i="11"/>
  <c r="AB334" i="11"/>
  <c r="AB333" i="11"/>
  <c r="AB332" i="11"/>
  <c r="AB331" i="11"/>
  <c r="AB330" i="11"/>
  <c r="AB329" i="11"/>
  <c r="AB328" i="11"/>
  <c r="AB327" i="11"/>
  <c r="AB326" i="11"/>
  <c r="AB325" i="11"/>
  <c r="AB324" i="11"/>
  <c r="AB323" i="11"/>
  <c r="AB322" i="11"/>
  <c r="AB321" i="11"/>
  <c r="AB320" i="11"/>
  <c r="AB319" i="11"/>
  <c r="AB318" i="11"/>
  <c r="AB317" i="11"/>
  <c r="AB316" i="11"/>
  <c r="AB315" i="11"/>
  <c r="AB314" i="11"/>
  <c r="AB313" i="11"/>
  <c r="AB312" i="11"/>
  <c r="AB311" i="11"/>
  <c r="AB310" i="11"/>
  <c r="AB309" i="11"/>
  <c r="AB308" i="11"/>
  <c r="AB307" i="11"/>
  <c r="AB306" i="11"/>
  <c r="AB305" i="11"/>
  <c r="AB304" i="11"/>
  <c r="AB303" i="11"/>
  <c r="AB302" i="11"/>
  <c r="AB301" i="11"/>
  <c r="AB300" i="11"/>
  <c r="AB299" i="11"/>
  <c r="AB277" i="11"/>
  <c r="AB276" i="11"/>
  <c r="AB275" i="11"/>
  <c r="AB274" i="11"/>
  <c r="AB273" i="11"/>
  <c r="AB272" i="11"/>
  <c r="AB271" i="11"/>
  <c r="AB270" i="11"/>
  <c r="AB269" i="11"/>
  <c r="AB268" i="11"/>
  <c r="AB267" i="11"/>
  <c r="AB266" i="11"/>
  <c r="AB265" i="11"/>
  <c r="AB264" i="11"/>
  <c r="AB263" i="11"/>
  <c r="AB262" i="11"/>
  <c r="AB261" i="11"/>
  <c r="AB260" i="11"/>
  <c r="AB259" i="11"/>
  <c r="AB258" i="11"/>
  <c r="AB257" i="11"/>
  <c r="V455" i="11"/>
  <c r="V382" i="11"/>
  <c r="V381" i="11"/>
  <c r="V380" i="11"/>
  <c r="V379" i="11"/>
  <c r="V378" i="11"/>
  <c r="V377" i="11"/>
  <c r="V376" i="11"/>
  <c r="V375" i="11"/>
  <c r="V374" i="11"/>
  <c r="V373" i="11"/>
  <c r="V372" i="11"/>
  <c r="V371" i="11"/>
  <c r="V370" i="11"/>
  <c r="V369" i="11"/>
  <c r="V368" i="11"/>
  <c r="V367" i="11"/>
  <c r="V366" i="11"/>
  <c r="V365" i="11"/>
  <c r="V364" i="11"/>
  <c r="V363" i="11"/>
  <c r="V362"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77" i="11"/>
  <c r="V276" i="11"/>
  <c r="V275" i="11"/>
  <c r="V274" i="11"/>
  <c r="V273" i="11"/>
  <c r="V272" i="11"/>
  <c r="V271" i="11"/>
  <c r="V270" i="11"/>
  <c r="V269" i="11"/>
  <c r="V268" i="11"/>
  <c r="V267" i="11"/>
  <c r="V266" i="11"/>
  <c r="V265" i="11"/>
  <c r="V264" i="11"/>
  <c r="V263" i="11"/>
  <c r="V262" i="11"/>
  <c r="V261" i="11"/>
  <c r="V260" i="11"/>
  <c r="V259" i="11"/>
  <c r="V258" i="11"/>
  <c r="V257" i="11"/>
  <c r="P382" i="11"/>
  <c r="P381" i="11"/>
  <c r="P380" i="11"/>
  <c r="P379" i="11"/>
  <c r="P378" i="11"/>
  <c r="P377" i="11"/>
  <c r="P376" i="11"/>
  <c r="P375" i="11"/>
  <c r="P374" i="11"/>
  <c r="P373" i="11"/>
  <c r="P372" i="11"/>
  <c r="P371" i="11"/>
  <c r="P370" i="11"/>
  <c r="P369" i="11"/>
  <c r="P368" i="11"/>
  <c r="P367" i="11"/>
  <c r="P366" i="11"/>
  <c r="P365" i="11"/>
  <c r="P364" i="11"/>
  <c r="P363" i="11"/>
  <c r="P362"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77" i="11"/>
  <c r="P276" i="11"/>
  <c r="P275" i="11"/>
  <c r="P274" i="11"/>
  <c r="P273" i="11"/>
  <c r="P272" i="11"/>
  <c r="P271" i="11"/>
  <c r="P270" i="11"/>
  <c r="P269" i="11"/>
  <c r="P268" i="11"/>
  <c r="P267" i="11"/>
  <c r="P266" i="11"/>
  <c r="P265" i="11"/>
  <c r="P264" i="11"/>
  <c r="P263" i="11"/>
  <c r="P262" i="11"/>
  <c r="P261" i="11"/>
  <c r="P260" i="11"/>
  <c r="P259" i="11"/>
  <c r="P258" i="11"/>
  <c r="P257" i="11"/>
  <c r="J382" i="11"/>
  <c r="J381" i="11"/>
  <c r="J380" i="11"/>
  <c r="J379" i="11"/>
  <c r="J378" i="11"/>
  <c r="J377" i="11"/>
  <c r="J376" i="11"/>
  <c r="J375" i="11"/>
  <c r="J374" i="11"/>
  <c r="J373" i="11"/>
  <c r="J372" i="11"/>
  <c r="J371" i="11"/>
  <c r="J370" i="11"/>
  <c r="J369" i="11"/>
  <c r="J368" i="11"/>
  <c r="J367" i="11"/>
  <c r="J366" i="11"/>
  <c r="J365" i="11"/>
  <c r="J364" i="11"/>
  <c r="J363" i="11"/>
  <c r="J362" i="11"/>
  <c r="J340" i="11"/>
  <c r="J339" i="11"/>
  <c r="J338" i="11"/>
  <c r="J337" i="11"/>
  <c r="J336" i="11"/>
  <c r="J335" i="11"/>
  <c r="J334" i="11"/>
  <c r="J333" i="11"/>
  <c r="J332" i="11"/>
  <c r="J331" i="11"/>
  <c r="J330" i="11"/>
  <c r="J329" i="11"/>
  <c r="J328" i="11"/>
  <c r="J327" i="11"/>
  <c r="J326" i="11"/>
  <c r="J325" i="11"/>
  <c r="J324" i="11"/>
  <c r="J323" i="11"/>
  <c r="J322" i="11"/>
  <c r="J321" i="11"/>
  <c r="J320" i="11"/>
  <c r="J319" i="11"/>
  <c r="J318" i="11"/>
  <c r="J317" i="11"/>
  <c r="J316" i="11"/>
  <c r="J315" i="11"/>
  <c r="J314" i="11"/>
  <c r="J313" i="11"/>
  <c r="J312" i="11"/>
  <c r="J311" i="11"/>
  <c r="J310" i="11"/>
  <c r="J309" i="11"/>
  <c r="J308" i="11"/>
  <c r="J307" i="11"/>
  <c r="J306" i="11"/>
  <c r="J305" i="11"/>
  <c r="J304" i="11"/>
  <c r="J303" i="11"/>
  <c r="J302" i="11"/>
  <c r="J301" i="11"/>
  <c r="J300" i="11"/>
  <c r="J299" i="11"/>
  <c r="J277" i="11"/>
  <c r="J276" i="11"/>
  <c r="J275" i="11"/>
  <c r="J274" i="11"/>
  <c r="J273" i="11"/>
  <c r="J272" i="11"/>
  <c r="J271" i="11"/>
  <c r="J270" i="11"/>
  <c r="J269" i="11"/>
  <c r="J268" i="11"/>
  <c r="J267" i="11"/>
  <c r="J266" i="11"/>
  <c r="J265" i="11"/>
  <c r="J264" i="11"/>
  <c r="J263" i="11"/>
  <c r="J262" i="11"/>
  <c r="J261" i="11"/>
  <c r="J260" i="11"/>
  <c r="J259" i="11"/>
  <c r="J258" i="11"/>
  <c r="J257" i="11"/>
  <c r="BC151" i="11" l="1"/>
  <c r="BC156" i="11"/>
  <c r="BX235" i="11"/>
  <c r="BS235" i="11"/>
  <c r="BW235" i="11"/>
  <c r="BK235" i="11"/>
  <c r="BF235" i="11"/>
  <c r="BQ235" i="11"/>
  <c r="BM235" i="11"/>
  <c r="BT235" i="11"/>
  <c r="BL235" i="11"/>
  <c r="BH235" i="11"/>
  <c r="BU235" i="11"/>
  <c r="BI235" i="11"/>
  <c r="BE235" i="11"/>
  <c r="BV235" i="11"/>
  <c r="BJ235" i="11"/>
  <c r="BR235" i="11"/>
  <c r="BN235" i="11"/>
  <c r="BP235" i="11"/>
  <c r="BD227" i="11"/>
  <c r="BD219" i="11"/>
  <c r="AN455" i="11"/>
  <c r="AM455" i="11"/>
  <c r="AL455" i="11"/>
  <c r="AK455" i="11"/>
  <c r="AJ455" i="11"/>
  <c r="AI455" i="11"/>
  <c r="AH455" i="11"/>
  <c r="AG455" i="11"/>
  <c r="AF455" i="11"/>
  <c r="AE455" i="11"/>
  <c r="AD455" i="11"/>
  <c r="AC455" i="11"/>
  <c r="AA455" i="11"/>
  <c r="Z455" i="11"/>
  <c r="Y455" i="11"/>
  <c r="X455" i="11"/>
  <c r="W455" i="11"/>
  <c r="U455" i="11"/>
  <c r="T455" i="11"/>
  <c r="AX361" i="11"/>
  <c r="AW361" i="11"/>
  <c r="AS361" i="11"/>
  <c r="AR361" i="11"/>
  <c r="AQ361" i="11"/>
  <c r="AM361" i="11"/>
  <c r="AL361" i="11"/>
  <c r="AK361" i="11"/>
  <c r="AG361" i="11"/>
  <c r="AF361" i="11"/>
  <c r="AE361" i="11"/>
  <c r="AA361" i="11"/>
  <c r="Z361" i="11"/>
  <c r="Y361" i="11"/>
  <c r="U361" i="11"/>
  <c r="T361" i="11"/>
  <c r="S361" i="11"/>
  <c r="O361" i="11"/>
  <c r="N361" i="11"/>
  <c r="M361" i="11"/>
  <c r="I361" i="11"/>
  <c r="AX360" i="11"/>
  <c r="AW360" i="11"/>
  <c r="AS360" i="11"/>
  <c r="AR360" i="11"/>
  <c r="AQ360" i="11"/>
  <c r="AM360" i="11"/>
  <c r="AL360" i="11"/>
  <c r="AK360" i="11"/>
  <c r="AG360" i="11"/>
  <c r="AF360" i="11"/>
  <c r="AE360" i="11"/>
  <c r="AA360" i="11"/>
  <c r="Z360" i="11"/>
  <c r="Y360" i="11"/>
  <c r="U360" i="11"/>
  <c r="T360" i="11"/>
  <c r="S360" i="11"/>
  <c r="O360" i="11"/>
  <c r="N360" i="11"/>
  <c r="M360" i="11"/>
  <c r="I360" i="11"/>
  <c r="AX359" i="11"/>
  <c r="AW359" i="11"/>
  <c r="AS359" i="11"/>
  <c r="AR359" i="11"/>
  <c r="AQ359" i="11"/>
  <c r="AM359" i="11"/>
  <c r="AL359" i="11"/>
  <c r="AK359" i="11"/>
  <c r="AG359" i="11"/>
  <c r="AF359" i="11"/>
  <c r="AE359" i="11"/>
  <c r="AA359" i="11"/>
  <c r="Z359" i="11"/>
  <c r="Y359" i="11"/>
  <c r="U359" i="11"/>
  <c r="T359" i="11"/>
  <c r="S359" i="11"/>
  <c r="O359" i="11"/>
  <c r="N359" i="11"/>
  <c r="M359" i="11"/>
  <c r="I359" i="11"/>
  <c r="AX358" i="11"/>
  <c r="AW358" i="11"/>
  <c r="AS358" i="11"/>
  <c r="AR358" i="11"/>
  <c r="AQ358" i="11"/>
  <c r="AM358" i="11"/>
  <c r="AL358" i="11"/>
  <c r="AK358" i="11"/>
  <c r="AG358" i="11"/>
  <c r="AF358" i="11"/>
  <c r="AE358" i="11"/>
  <c r="AA358" i="11"/>
  <c r="Z358" i="11"/>
  <c r="Y358" i="11"/>
  <c r="U358" i="11"/>
  <c r="T358" i="11"/>
  <c r="S358" i="11"/>
  <c r="O358" i="11"/>
  <c r="N358" i="11"/>
  <c r="M358" i="11"/>
  <c r="I358" i="11"/>
  <c r="AX357" i="11"/>
  <c r="AW357" i="11"/>
  <c r="AS357" i="11"/>
  <c r="AR357" i="11"/>
  <c r="AQ357" i="11"/>
  <c r="AM357" i="11"/>
  <c r="AL357" i="11"/>
  <c r="AK357" i="11"/>
  <c r="AG357" i="11"/>
  <c r="AF357" i="11"/>
  <c r="AE357" i="11"/>
  <c r="AA357" i="11"/>
  <c r="Z357" i="11"/>
  <c r="Y357" i="11"/>
  <c r="U357" i="11"/>
  <c r="T357" i="11"/>
  <c r="S357" i="11"/>
  <c r="O357" i="11"/>
  <c r="N357" i="11"/>
  <c r="M357" i="11"/>
  <c r="I357" i="11"/>
  <c r="AX356" i="11"/>
  <c r="AW356" i="11"/>
  <c r="AS356" i="11"/>
  <c r="AR356" i="11"/>
  <c r="AQ356" i="11"/>
  <c r="AM356" i="11"/>
  <c r="AL356" i="11"/>
  <c r="AK356" i="11"/>
  <c r="AG356" i="11"/>
  <c r="AF356" i="11"/>
  <c r="AE356" i="11"/>
  <c r="AA356" i="11"/>
  <c r="Z356" i="11"/>
  <c r="Y356" i="11"/>
  <c r="U356" i="11"/>
  <c r="T356" i="11"/>
  <c r="S356" i="11"/>
  <c r="O356" i="11"/>
  <c r="N356" i="11"/>
  <c r="M356" i="11"/>
  <c r="I356" i="11"/>
  <c r="AX355" i="11"/>
  <c r="AW355" i="11"/>
  <c r="AS355" i="11"/>
  <c r="AR355" i="11"/>
  <c r="AQ355" i="11"/>
  <c r="AM355" i="11"/>
  <c r="AL355" i="11"/>
  <c r="AK355" i="11"/>
  <c r="AG355" i="11"/>
  <c r="AF355" i="11"/>
  <c r="AE355" i="11"/>
  <c r="AA355" i="11"/>
  <c r="Z355" i="11"/>
  <c r="Y355" i="11"/>
  <c r="U355" i="11"/>
  <c r="T355" i="11"/>
  <c r="S355" i="11"/>
  <c r="O355" i="11"/>
  <c r="N355" i="11"/>
  <c r="M355" i="11"/>
  <c r="I355" i="11"/>
  <c r="AX354" i="11"/>
  <c r="AW354" i="11"/>
  <c r="AS354" i="11"/>
  <c r="AR354" i="11"/>
  <c r="AQ354" i="11"/>
  <c r="AM354" i="11"/>
  <c r="AL354" i="11"/>
  <c r="AK354" i="11"/>
  <c r="AG354" i="11"/>
  <c r="AF354" i="11"/>
  <c r="AE354" i="11"/>
  <c r="AA354" i="11"/>
  <c r="Z354" i="11"/>
  <c r="Y354" i="11"/>
  <c r="U354" i="11"/>
  <c r="T354" i="11"/>
  <c r="S354" i="11"/>
  <c r="O354" i="11"/>
  <c r="N354" i="11"/>
  <c r="M354" i="11"/>
  <c r="I354" i="11"/>
  <c r="AX353" i="11"/>
  <c r="AW353" i="11"/>
  <c r="AS353" i="11"/>
  <c r="AR353" i="11"/>
  <c r="AQ353" i="11"/>
  <c r="AM353" i="11"/>
  <c r="AL353" i="11"/>
  <c r="AK353" i="11"/>
  <c r="AG353" i="11"/>
  <c r="AF353" i="11"/>
  <c r="AE353" i="11"/>
  <c r="AA353" i="11"/>
  <c r="Z353" i="11"/>
  <c r="Y353" i="11"/>
  <c r="U353" i="11"/>
  <c r="T353" i="11"/>
  <c r="S353" i="11"/>
  <c r="O353" i="11"/>
  <c r="N353" i="11"/>
  <c r="M353" i="11"/>
  <c r="I353" i="11"/>
  <c r="AX352" i="11"/>
  <c r="AW352" i="11"/>
  <c r="AS352" i="11"/>
  <c r="AR352" i="11"/>
  <c r="AQ352" i="11"/>
  <c r="AM352" i="11"/>
  <c r="AL352" i="11"/>
  <c r="AK352" i="11"/>
  <c r="AG352" i="11"/>
  <c r="AF352" i="11"/>
  <c r="AE352" i="11"/>
  <c r="AA352" i="11"/>
  <c r="Z352" i="11"/>
  <c r="Y352" i="11"/>
  <c r="U352" i="11"/>
  <c r="T352" i="11"/>
  <c r="S352" i="11"/>
  <c r="O352" i="11"/>
  <c r="N352" i="11"/>
  <c r="M352" i="11"/>
  <c r="I352" i="11"/>
  <c r="AS351" i="11"/>
  <c r="AM351" i="11"/>
  <c r="AG351" i="11"/>
  <c r="AA351" i="11"/>
  <c r="U351" i="11"/>
  <c r="O351" i="11"/>
  <c r="I351" i="11"/>
  <c r="AX350" i="11"/>
  <c r="AW350" i="11"/>
  <c r="AS350" i="11"/>
  <c r="AR350" i="11"/>
  <c r="AQ350" i="11"/>
  <c r="AM350" i="11"/>
  <c r="AL350" i="11"/>
  <c r="AK350" i="11"/>
  <c r="AG350" i="11"/>
  <c r="AF350" i="11"/>
  <c r="AE350" i="11"/>
  <c r="AA350" i="11"/>
  <c r="Z350" i="11"/>
  <c r="Y350" i="11"/>
  <c r="U350" i="11"/>
  <c r="T350" i="11"/>
  <c r="S350" i="11"/>
  <c r="O350" i="11"/>
  <c r="N350" i="11"/>
  <c r="M350" i="11"/>
  <c r="I350" i="11"/>
  <c r="AX349" i="11"/>
  <c r="AW349" i="11"/>
  <c r="AS349" i="11"/>
  <c r="AR349" i="11"/>
  <c r="AQ349" i="11"/>
  <c r="AM349" i="11"/>
  <c r="AL349" i="11"/>
  <c r="AK349" i="11"/>
  <c r="AG349" i="11"/>
  <c r="AF349" i="11"/>
  <c r="AE349" i="11"/>
  <c r="AA349" i="11"/>
  <c r="Z349" i="11"/>
  <c r="Y349" i="11"/>
  <c r="U349" i="11"/>
  <c r="T349" i="11"/>
  <c r="S349" i="11"/>
  <c r="O349" i="11"/>
  <c r="N349" i="11"/>
  <c r="M349" i="11"/>
  <c r="I349" i="11"/>
  <c r="AX348" i="11"/>
  <c r="AW348" i="11"/>
  <c r="AS348" i="11"/>
  <c r="AR348" i="11"/>
  <c r="AQ348" i="11"/>
  <c r="AM348" i="11"/>
  <c r="AL348" i="11"/>
  <c r="AK348" i="11"/>
  <c r="AG348" i="11"/>
  <c r="AF348" i="11"/>
  <c r="AE348" i="11"/>
  <c r="AA348" i="11"/>
  <c r="Z348" i="11"/>
  <c r="Y348" i="11"/>
  <c r="U348" i="11"/>
  <c r="T348" i="11"/>
  <c r="S348" i="11"/>
  <c r="O348" i="11"/>
  <c r="N348" i="11"/>
  <c r="M348" i="11"/>
  <c r="I348" i="11"/>
  <c r="AX346" i="11"/>
  <c r="AW346" i="11"/>
  <c r="AS346" i="11"/>
  <c r="AR346" i="11"/>
  <c r="AQ346" i="11"/>
  <c r="AM346" i="11"/>
  <c r="AL346" i="11"/>
  <c r="AK346" i="11"/>
  <c r="AG346" i="11"/>
  <c r="AF346" i="11"/>
  <c r="AE346" i="11"/>
  <c r="AA346" i="11"/>
  <c r="Z346" i="11"/>
  <c r="Y346" i="11"/>
  <c r="U346" i="11"/>
  <c r="T346" i="11"/>
  <c r="S346" i="11"/>
  <c r="O346" i="11"/>
  <c r="N346" i="11"/>
  <c r="M346" i="11"/>
  <c r="I346" i="11"/>
  <c r="AX345" i="11"/>
  <c r="AW345" i="11"/>
  <c r="AS345" i="11"/>
  <c r="AR345" i="11"/>
  <c r="AQ345" i="11"/>
  <c r="AM345" i="11"/>
  <c r="AL345" i="11"/>
  <c r="AK345" i="11"/>
  <c r="AG345" i="11"/>
  <c r="AF345" i="11"/>
  <c r="AE345" i="11"/>
  <c r="AA345" i="11"/>
  <c r="Z345" i="11"/>
  <c r="Y345" i="11"/>
  <c r="U345" i="11"/>
  <c r="T345" i="11"/>
  <c r="S345" i="11"/>
  <c r="O345" i="11"/>
  <c r="N345" i="11"/>
  <c r="M345" i="11"/>
  <c r="I345" i="11"/>
  <c r="AX344" i="11"/>
  <c r="AW344" i="11"/>
  <c r="AS344" i="11"/>
  <c r="AR344" i="11"/>
  <c r="AQ344" i="11"/>
  <c r="AM344" i="11"/>
  <c r="AL344" i="11"/>
  <c r="AK344" i="11"/>
  <c r="AG344" i="11"/>
  <c r="AF344" i="11"/>
  <c r="AE344" i="11"/>
  <c r="AA344" i="11"/>
  <c r="Z344" i="11"/>
  <c r="Y344" i="11"/>
  <c r="U344" i="11"/>
  <c r="T344" i="11"/>
  <c r="S344" i="11"/>
  <c r="O344" i="11"/>
  <c r="N344" i="11"/>
  <c r="M344" i="11"/>
  <c r="I344" i="11"/>
  <c r="AS343" i="11"/>
  <c r="AM343" i="11"/>
  <c r="AG343" i="11"/>
  <c r="AA343" i="11"/>
  <c r="U343" i="11"/>
  <c r="O343" i="11"/>
  <c r="I343" i="11"/>
  <c r="AS342" i="11"/>
  <c r="AM342" i="11"/>
  <c r="AG342" i="11"/>
  <c r="AA342" i="11"/>
  <c r="U342" i="11"/>
  <c r="O342" i="11"/>
  <c r="I342" i="11"/>
  <c r="AX341" i="11"/>
  <c r="AW341" i="11"/>
  <c r="AS341" i="11"/>
  <c r="AR341" i="11"/>
  <c r="AQ341" i="11"/>
  <c r="AM341" i="11"/>
  <c r="AL341" i="11"/>
  <c r="AK341" i="11"/>
  <c r="AG341" i="11"/>
  <c r="AF341" i="11"/>
  <c r="AE341" i="11"/>
  <c r="AA341" i="11"/>
  <c r="Z341" i="11"/>
  <c r="Y341" i="11"/>
  <c r="U341" i="11"/>
  <c r="T341" i="11"/>
  <c r="S341" i="11"/>
  <c r="O341" i="11"/>
  <c r="N341" i="11"/>
  <c r="M341" i="11"/>
  <c r="I341" i="11"/>
  <c r="AX319" i="11"/>
  <c r="AW319" i="11"/>
  <c r="AV319" i="11"/>
  <c r="AU319" i="11"/>
  <c r="AS319" i="11"/>
  <c r="AR319" i="11"/>
  <c r="AQ319" i="11"/>
  <c r="AP319" i="11"/>
  <c r="AO319" i="11"/>
  <c r="AM319" i="11"/>
  <c r="AL319" i="11"/>
  <c r="AK319" i="11"/>
  <c r="AJ319" i="11"/>
  <c r="AI319" i="11"/>
  <c r="AG319" i="11"/>
  <c r="AF319" i="11"/>
  <c r="AE319" i="11"/>
  <c r="AD319" i="11"/>
  <c r="AC319" i="11"/>
  <c r="AA319" i="11"/>
  <c r="Z319" i="11"/>
  <c r="Y319" i="11"/>
  <c r="X319" i="11"/>
  <c r="W319" i="11"/>
  <c r="U319" i="11"/>
  <c r="T319" i="11"/>
  <c r="S319" i="11"/>
  <c r="R319" i="11"/>
  <c r="Q319" i="11"/>
  <c r="O319" i="11"/>
  <c r="N319" i="11"/>
  <c r="M319" i="11"/>
  <c r="L319" i="11"/>
  <c r="K319" i="11"/>
  <c r="I319" i="11"/>
  <c r="AX318" i="11"/>
  <c r="AW318" i="11"/>
  <c r="AV318" i="11"/>
  <c r="AU318" i="11"/>
  <c r="AS318" i="11"/>
  <c r="AR318" i="11"/>
  <c r="AQ318" i="11"/>
  <c r="AP318" i="11"/>
  <c r="AO318" i="11"/>
  <c r="AM318" i="11"/>
  <c r="AL318" i="11"/>
  <c r="AK318" i="11"/>
  <c r="AJ318" i="11"/>
  <c r="AI318" i="11"/>
  <c r="AG318" i="11"/>
  <c r="AF318" i="11"/>
  <c r="AE318" i="11"/>
  <c r="AD318" i="11"/>
  <c r="AC318" i="11"/>
  <c r="AA318" i="11"/>
  <c r="Z318" i="11"/>
  <c r="Y318" i="11"/>
  <c r="X318" i="11"/>
  <c r="W318" i="11"/>
  <c r="U318" i="11"/>
  <c r="T318" i="11"/>
  <c r="S318" i="11"/>
  <c r="R318" i="11"/>
  <c r="Q318" i="11"/>
  <c r="O318" i="11"/>
  <c r="N318" i="11"/>
  <c r="M318" i="11"/>
  <c r="L318" i="11"/>
  <c r="K318" i="11"/>
  <c r="I318" i="11"/>
  <c r="AX317" i="11"/>
  <c r="AW317" i="11"/>
  <c r="AV317" i="11"/>
  <c r="AU317" i="11"/>
  <c r="AS317" i="11"/>
  <c r="AR317" i="11"/>
  <c r="AQ317" i="11"/>
  <c r="AP317" i="11"/>
  <c r="AO317" i="11"/>
  <c r="AM317" i="11"/>
  <c r="AL317" i="11"/>
  <c r="AK317" i="11"/>
  <c r="AJ317" i="11"/>
  <c r="AI317" i="11"/>
  <c r="AG317" i="11"/>
  <c r="AF317" i="11"/>
  <c r="AE317" i="11"/>
  <c r="AD317" i="11"/>
  <c r="AC317" i="11"/>
  <c r="AA317" i="11"/>
  <c r="Z317" i="11"/>
  <c r="Y317" i="11"/>
  <c r="X317" i="11"/>
  <c r="W317" i="11"/>
  <c r="U317" i="11"/>
  <c r="T317" i="11"/>
  <c r="S317" i="11"/>
  <c r="R317" i="11"/>
  <c r="Q317" i="11"/>
  <c r="O317" i="11"/>
  <c r="N317" i="11"/>
  <c r="M317" i="11"/>
  <c r="L317" i="11"/>
  <c r="K317" i="11"/>
  <c r="I317" i="11"/>
  <c r="AX316" i="11"/>
  <c r="AW316" i="11"/>
  <c r="AV316" i="11"/>
  <c r="AU316" i="11"/>
  <c r="AS316" i="11"/>
  <c r="AR316" i="11"/>
  <c r="AQ316" i="11"/>
  <c r="AP316" i="11"/>
  <c r="AO316" i="11"/>
  <c r="AM316" i="11"/>
  <c r="AL316" i="11"/>
  <c r="AK316" i="11"/>
  <c r="AJ316" i="11"/>
  <c r="AI316" i="11"/>
  <c r="AG316" i="11"/>
  <c r="AF316" i="11"/>
  <c r="AE316" i="11"/>
  <c r="AD316" i="11"/>
  <c r="AC316" i="11"/>
  <c r="AA316" i="11"/>
  <c r="Z316" i="11"/>
  <c r="Y316" i="11"/>
  <c r="X316" i="11"/>
  <c r="W316" i="11"/>
  <c r="U316" i="11"/>
  <c r="T316" i="11"/>
  <c r="S316" i="11"/>
  <c r="R316" i="11"/>
  <c r="Q316" i="11"/>
  <c r="O316" i="11"/>
  <c r="N316" i="11"/>
  <c r="M316" i="11"/>
  <c r="L316" i="11"/>
  <c r="K316" i="11"/>
  <c r="I316" i="11"/>
  <c r="AX315" i="11"/>
  <c r="AW315" i="11"/>
  <c r="AV315" i="11"/>
  <c r="AU315" i="11"/>
  <c r="AS315" i="11"/>
  <c r="AR315" i="11"/>
  <c r="AQ315" i="11"/>
  <c r="AP315" i="11"/>
  <c r="AO315" i="11"/>
  <c r="AM315" i="11"/>
  <c r="AL315" i="11"/>
  <c r="AK315" i="11"/>
  <c r="AJ315" i="11"/>
  <c r="AI315" i="11"/>
  <c r="AG315" i="11"/>
  <c r="AF315" i="11"/>
  <c r="AE315" i="11"/>
  <c r="AD315" i="11"/>
  <c r="AC315" i="11"/>
  <c r="AA315" i="11"/>
  <c r="Z315" i="11"/>
  <c r="Y315" i="11"/>
  <c r="X315" i="11"/>
  <c r="W315" i="11"/>
  <c r="U315" i="11"/>
  <c r="T315" i="11"/>
  <c r="S315" i="11"/>
  <c r="R315" i="11"/>
  <c r="Q315" i="11"/>
  <c r="O315" i="11"/>
  <c r="N315" i="11"/>
  <c r="M315" i="11"/>
  <c r="L315" i="11"/>
  <c r="K315" i="11"/>
  <c r="I315" i="11"/>
  <c r="AX314" i="11"/>
  <c r="AW314" i="11"/>
  <c r="AV314" i="11"/>
  <c r="AU314" i="11"/>
  <c r="AS314" i="11"/>
  <c r="AR314" i="11"/>
  <c r="AQ314" i="11"/>
  <c r="AP314" i="11"/>
  <c r="AO314" i="11"/>
  <c r="AM314" i="11"/>
  <c r="AL314" i="11"/>
  <c r="AK314" i="11"/>
  <c r="AJ314" i="11"/>
  <c r="AI314" i="11"/>
  <c r="AG314" i="11"/>
  <c r="AF314" i="11"/>
  <c r="AE314" i="11"/>
  <c r="AD314" i="11"/>
  <c r="AC314" i="11"/>
  <c r="AA314" i="11"/>
  <c r="Z314" i="11"/>
  <c r="Y314" i="11"/>
  <c r="X314" i="11"/>
  <c r="W314" i="11"/>
  <c r="U314" i="11"/>
  <c r="T314" i="11"/>
  <c r="S314" i="11"/>
  <c r="R314" i="11"/>
  <c r="Q314" i="11"/>
  <c r="O314" i="11"/>
  <c r="N314" i="11"/>
  <c r="M314" i="11"/>
  <c r="L314" i="11"/>
  <c r="K314" i="11"/>
  <c r="I314" i="11"/>
  <c r="AX313" i="11"/>
  <c r="AW313" i="11"/>
  <c r="AV313" i="11"/>
  <c r="AU313" i="11"/>
  <c r="AS313" i="11"/>
  <c r="AR313" i="11"/>
  <c r="AQ313" i="11"/>
  <c r="AP313" i="11"/>
  <c r="AO313" i="11"/>
  <c r="AM313" i="11"/>
  <c r="AL313" i="11"/>
  <c r="AK313" i="11"/>
  <c r="AJ313" i="11"/>
  <c r="AI313" i="11"/>
  <c r="AG313" i="11"/>
  <c r="AF313" i="11"/>
  <c r="AE313" i="11"/>
  <c r="AD313" i="11"/>
  <c r="AC313" i="11"/>
  <c r="AA313" i="11"/>
  <c r="Z313" i="11"/>
  <c r="Y313" i="11"/>
  <c r="X313" i="11"/>
  <c r="W313" i="11"/>
  <c r="U313" i="11"/>
  <c r="T313" i="11"/>
  <c r="S313" i="11"/>
  <c r="R313" i="11"/>
  <c r="Q313" i="11"/>
  <c r="O313" i="11"/>
  <c r="N313" i="11"/>
  <c r="M313" i="11"/>
  <c r="L313" i="11"/>
  <c r="K313" i="11"/>
  <c r="I313" i="11"/>
  <c r="AX312" i="11"/>
  <c r="AW312" i="11"/>
  <c r="AV312" i="11"/>
  <c r="AU312" i="11"/>
  <c r="AS312" i="11"/>
  <c r="AR312" i="11"/>
  <c r="AQ312" i="11"/>
  <c r="AP312" i="11"/>
  <c r="AO312" i="11"/>
  <c r="AM312" i="11"/>
  <c r="AL312" i="11"/>
  <c r="AK312" i="11"/>
  <c r="AJ312" i="11"/>
  <c r="AI312" i="11"/>
  <c r="AG312" i="11"/>
  <c r="AF312" i="11"/>
  <c r="AE312" i="11"/>
  <c r="AD312" i="11"/>
  <c r="AC312" i="11"/>
  <c r="AA312" i="11"/>
  <c r="Z312" i="11"/>
  <c r="Y312" i="11"/>
  <c r="X312" i="11"/>
  <c r="W312" i="11"/>
  <c r="U312" i="11"/>
  <c r="T312" i="11"/>
  <c r="S312" i="11"/>
  <c r="R312" i="11"/>
  <c r="Q312" i="11"/>
  <c r="O312" i="11"/>
  <c r="N312" i="11"/>
  <c r="M312" i="11"/>
  <c r="L312" i="11"/>
  <c r="K312" i="11"/>
  <c r="I312" i="11"/>
  <c r="AX311" i="11"/>
  <c r="AW311" i="11"/>
  <c r="AV311" i="11"/>
  <c r="AU311" i="11"/>
  <c r="AS311" i="11"/>
  <c r="AR311" i="11"/>
  <c r="AQ311" i="11"/>
  <c r="AP311" i="11"/>
  <c r="AO311" i="11"/>
  <c r="AM311" i="11"/>
  <c r="AL311" i="11"/>
  <c r="AK311" i="11"/>
  <c r="AJ311" i="11"/>
  <c r="AI311" i="11"/>
  <c r="AG311" i="11"/>
  <c r="AF311" i="11"/>
  <c r="AE311" i="11"/>
  <c r="AD311" i="11"/>
  <c r="AC311" i="11"/>
  <c r="AA311" i="11"/>
  <c r="Z311" i="11"/>
  <c r="Y311" i="11"/>
  <c r="X311" i="11"/>
  <c r="W311" i="11"/>
  <c r="U311" i="11"/>
  <c r="T311" i="11"/>
  <c r="S311" i="11"/>
  <c r="R311" i="11"/>
  <c r="Q311" i="11"/>
  <c r="O311" i="11"/>
  <c r="N311" i="11"/>
  <c r="M311" i="11"/>
  <c r="L311" i="11"/>
  <c r="K311" i="11"/>
  <c r="I311" i="11"/>
  <c r="AX310" i="11"/>
  <c r="AW310" i="11"/>
  <c r="AV310" i="11"/>
  <c r="AU310" i="11"/>
  <c r="AS310" i="11"/>
  <c r="AR310" i="11"/>
  <c r="AQ310" i="11"/>
  <c r="AP310" i="11"/>
  <c r="AO310" i="11"/>
  <c r="AM310" i="11"/>
  <c r="AL310" i="11"/>
  <c r="AK310" i="11"/>
  <c r="AJ310" i="11"/>
  <c r="AI310" i="11"/>
  <c r="AG310" i="11"/>
  <c r="AF310" i="11"/>
  <c r="AE310" i="11"/>
  <c r="AD310" i="11"/>
  <c r="AC310" i="11"/>
  <c r="AA310" i="11"/>
  <c r="Z310" i="11"/>
  <c r="Y310" i="11"/>
  <c r="X310" i="11"/>
  <c r="W310" i="11"/>
  <c r="U310" i="11"/>
  <c r="T310" i="11"/>
  <c r="S310" i="11"/>
  <c r="R310" i="11"/>
  <c r="Q310" i="11"/>
  <c r="O310" i="11"/>
  <c r="N310" i="11"/>
  <c r="M310" i="11"/>
  <c r="L310" i="11"/>
  <c r="K310" i="11"/>
  <c r="I310" i="11"/>
  <c r="AX309" i="11"/>
  <c r="AW309" i="11"/>
  <c r="AV309" i="11"/>
  <c r="AU309" i="11"/>
  <c r="AS309" i="11"/>
  <c r="AR309" i="11"/>
  <c r="AQ309" i="11"/>
  <c r="AP309" i="11"/>
  <c r="AO309" i="11"/>
  <c r="AM309" i="11"/>
  <c r="AL309" i="11"/>
  <c r="AK309" i="11"/>
  <c r="AJ309" i="11"/>
  <c r="AI309" i="11"/>
  <c r="AG309" i="11"/>
  <c r="AF309" i="11"/>
  <c r="AE309" i="11"/>
  <c r="AD309" i="11"/>
  <c r="AC309" i="11"/>
  <c r="AA309" i="11"/>
  <c r="Z309" i="11"/>
  <c r="Y309" i="11"/>
  <c r="X309" i="11"/>
  <c r="W309" i="11"/>
  <c r="U309" i="11"/>
  <c r="T309" i="11"/>
  <c r="S309" i="11"/>
  <c r="R309" i="11"/>
  <c r="Q309" i="11"/>
  <c r="O309" i="11"/>
  <c r="N309" i="11"/>
  <c r="M309" i="11"/>
  <c r="L309" i="11"/>
  <c r="K309" i="11"/>
  <c r="I309" i="11"/>
  <c r="AX308" i="11"/>
  <c r="AW308" i="11"/>
  <c r="AV308" i="11"/>
  <c r="AU308" i="11"/>
  <c r="AS308" i="11"/>
  <c r="AR308" i="11"/>
  <c r="AQ308" i="11"/>
  <c r="AP308" i="11"/>
  <c r="AO308" i="11"/>
  <c r="AM308" i="11"/>
  <c r="AL308" i="11"/>
  <c r="AK308" i="11"/>
  <c r="AJ308" i="11"/>
  <c r="AI308" i="11"/>
  <c r="AG308" i="11"/>
  <c r="AF308" i="11"/>
  <c r="AE308" i="11"/>
  <c r="AD308" i="11"/>
  <c r="AC308" i="11"/>
  <c r="AA308" i="11"/>
  <c r="Z308" i="11"/>
  <c r="Y308" i="11"/>
  <c r="X308" i="11"/>
  <c r="W308" i="11"/>
  <c r="U308" i="11"/>
  <c r="T308" i="11"/>
  <c r="S308" i="11"/>
  <c r="R308" i="11"/>
  <c r="Q308" i="11"/>
  <c r="O308" i="11"/>
  <c r="N308" i="11"/>
  <c r="M308" i="11"/>
  <c r="L308" i="11"/>
  <c r="K308" i="11"/>
  <c r="I308" i="11"/>
  <c r="AX307" i="11"/>
  <c r="AW307" i="11"/>
  <c r="AV307" i="11"/>
  <c r="AU307" i="11"/>
  <c r="AS307" i="11"/>
  <c r="AR307" i="11"/>
  <c r="AQ307" i="11"/>
  <c r="AP307" i="11"/>
  <c r="AO307" i="11"/>
  <c r="AM307" i="11"/>
  <c r="AL307" i="11"/>
  <c r="AK307" i="11"/>
  <c r="AJ307" i="11"/>
  <c r="AI307" i="11"/>
  <c r="AG307" i="11"/>
  <c r="AF307" i="11"/>
  <c r="AE307" i="11"/>
  <c r="AD307" i="11"/>
  <c r="AC307" i="11"/>
  <c r="AA307" i="11"/>
  <c r="Z307" i="11"/>
  <c r="Y307" i="11"/>
  <c r="X307" i="11"/>
  <c r="W307" i="11"/>
  <c r="U307" i="11"/>
  <c r="T307" i="11"/>
  <c r="S307" i="11"/>
  <c r="R307" i="11"/>
  <c r="Q307" i="11"/>
  <c r="O307" i="11"/>
  <c r="N307" i="11"/>
  <c r="M307" i="11"/>
  <c r="L307" i="11"/>
  <c r="K307" i="11"/>
  <c r="I307" i="11"/>
  <c r="CB258" i="11"/>
  <c r="CA258" i="11"/>
  <c r="BZ258" i="11"/>
  <c r="AX306" i="11"/>
  <c r="AW306" i="11"/>
  <c r="AV306" i="11"/>
  <c r="AU306" i="11"/>
  <c r="AS306" i="11"/>
  <c r="AR306" i="11"/>
  <c r="AQ306" i="11"/>
  <c r="AP306" i="11"/>
  <c r="AO306" i="11"/>
  <c r="AM306" i="11"/>
  <c r="AL306" i="11"/>
  <c r="AK306" i="11"/>
  <c r="AJ306" i="11"/>
  <c r="AI306" i="11"/>
  <c r="AG306" i="11"/>
  <c r="AF306" i="11"/>
  <c r="AE306" i="11"/>
  <c r="AD306" i="11"/>
  <c r="AC306" i="11"/>
  <c r="AA306" i="11"/>
  <c r="Z306" i="11"/>
  <c r="Y306" i="11"/>
  <c r="X306" i="11"/>
  <c r="W306" i="11"/>
  <c r="U306" i="11"/>
  <c r="T306" i="11"/>
  <c r="S306" i="11"/>
  <c r="R306" i="11"/>
  <c r="Q306" i="11"/>
  <c r="O306" i="11"/>
  <c r="N306" i="11"/>
  <c r="M306" i="11"/>
  <c r="L306" i="11"/>
  <c r="K306" i="11"/>
  <c r="I306" i="11"/>
  <c r="CB257" i="11"/>
  <c r="CA257" i="11"/>
  <c r="BZ257" i="11"/>
  <c r="AX305" i="11"/>
  <c r="AW305" i="11"/>
  <c r="AV305" i="11"/>
  <c r="AU305" i="11"/>
  <c r="AS305" i="11"/>
  <c r="AR305" i="11"/>
  <c r="AQ305" i="11"/>
  <c r="AP305" i="11"/>
  <c r="AO305" i="11"/>
  <c r="AM305" i="11"/>
  <c r="AL305" i="11"/>
  <c r="AK305" i="11"/>
  <c r="AJ305" i="11"/>
  <c r="AI305" i="11"/>
  <c r="AG305" i="11"/>
  <c r="AF305" i="11"/>
  <c r="AE305" i="11"/>
  <c r="AD305" i="11"/>
  <c r="AC305" i="11"/>
  <c r="AA305" i="11"/>
  <c r="Z305" i="11"/>
  <c r="Y305" i="11"/>
  <c r="X305" i="11"/>
  <c r="W305" i="11"/>
  <c r="U305" i="11"/>
  <c r="T305" i="11"/>
  <c r="S305" i="11"/>
  <c r="R305" i="11"/>
  <c r="Q305" i="11"/>
  <c r="O305" i="11"/>
  <c r="N305" i="11"/>
  <c r="M305" i="11"/>
  <c r="L305" i="11"/>
  <c r="K305" i="11"/>
  <c r="I305" i="11"/>
  <c r="AX304" i="11"/>
  <c r="AW304" i="11"/>
  <c r="AV304" i="11"/>
  <c r="AU304" i="11"/>
  <c r="AS304" i="11"/>
  <c r="AR304" i="11"/>
  <c r="AQ304" i="11"/>
  <c r="AP304" i="11"/>
  <c r="AO304" i="11"/>
  <c r="AM304" i="11"/>
  <c r="AL304" i="11"/>
  <c r="AK304" i="11"/>
  <c r="AJ304" i="11"/>
  <c r="AI304" i="11"/>
  <c r="AG304" i="11"/>
  <c r="AF304" i="11"/>
  <c r="AE304" i="11"/>
  <c r="AD304" i="11"/>
  <c r="AC304" i="11"/>
  <c r="AA304" i="11"/>
  <c r="Z304" i="11"/>
  <c r="Y304" i="11"/>
  <c r="X304" i="11"/>
  <c r="W304" i="11"/>
  <c r="U304" i="11"/>
  <c r="T304" i="11"/>
  <c r="S304" i="11"/>
  <c r="R304" i="11"/>
  <c r="Q304" i="11"/>
  <c r="O304" i="11"/>
  <c r="N304" i="11"/>
  <c r="M304" i="11"/>
  <c r="L304" i="11"/>
  <c r="K304" i="11"/>
  <c r="I304" i="11"/>
  <c r="CB255" i="11"/>
  <c r="CA255" i="11"/>
  <c r="BZ255" i="11"/>
  <c r="AX303" i="11"/>
  <c r="AW303" i="11"/>
  <c r="AV303" i="11"/>
  <c r="AU303" i="11"/>
  <c r="AS303" i="11"/>
  <c r="AR303" i="11"/>
  <c r="AQ303" i="11"/>
  <c r="AP303" i="11"/>
  <c r="AO303" i="11"/>
  <c r="AM303" i="11"/>
  <c r="AL303" i="11"/>
  <c r="AK303" i="11"/>
  <c r="AJ303" i="11"/>
  <c r="AI303" i="11"/>
  <c r="AG303" i="11"/>
  <c r="AF303" i="11"/>
  <c r="AE303" i="11"/>
  <c r="AD303" i="11"/>
  <c r="AC303" i="11"/>
  <c r="AA303" i="11"/>
  <c r="Z303" i="11"/>
  <c r="Y303" i="11"/>
  <c r="X303" i="11"/>
  <c r="W303" i="11"/>
  <c r="U303" i="11"/>
  <c r="T303" i="11"/>
  <c r="S303" i="11"/>
  <c r="R303" i="11"/>
  <c r="Q303" i="11"/>
  <c r="O303" i="11"/>
  <c r="N303" i="11"/>
  <c r="M303" i="11"/>
  <c r="L303" i="11"/>
  <c r="K303" i="11"/>
  <c r="I303" i="11"/>
  <c r="CB254" i="11"/>
  <c r="CA254" i="11"/>
  <c r="BZ254" i="11"/>
  <c r="AX302" i="11"/>
  <c r="AW302" i="11"/>
  <c r="AV302" i="11"/>
  <c r="AU302" i="11"/>
  <c r="AS302" i="11"/>
  <c r="AR302" i="11"/>
  <c r="AQ302" i="11"/>
  <c r="AP302" i="11"/>
  <c r="AO302" i="11"/>
  <c r="AM302" i="11"/>
  <c r="AL302" i="11"/>
  <c r="AK302" i="11"/>
  <c r="AJ302" i="11"/>
  <c r="AI302" i="11"/>
  <c r="AG302" i="11"/>
  <c r="AF302" i="11"/>
  <c r="AE302" i="11"/>
  <c r="AD302" i="11"/>
  <c r="AC302" i="11"/>
  <c r="AA302" i="11"/>
  <c r="Z302" i="11"/>
  <c r="Y302" i="11"/>
  <c r="X302" i="11"/>
  <c r="W302" i="11"/>
  <c r="U302" i="11"/>
  <c r="T302" i="11"/>
  <c r="S302" i="11"/>
  <c r="R302" i="11"/>
  <c r="Q302" i="11"/>
  <c r="O302" i="11"/>
  <c r="N302" i="11"/>
  <c r="M302" i="11"/>
  <c r="L302" i="11"/>
  <c r="K302" i="11"/>
  <c r="I302" i="11"/>
  <c r="CB253" i="11"/>
  <c r="CA253" i="11"/>
  <c r="BZ253" i="11"/>
  <c r="AX301" i="11"/>
  <c r="AW301" i="11"/>
  <c r="AV301" i="11"/>
  <c r="AU301" i="11"/>
  <c r="AS301" i="11"/>
  <c r="AR301" i="11"/>
  <c r="AQ301" i="11"/>
  <c r="AP301" i="11"/>
  <c r="AO301" i="11"/>
  <c r="AM301" i="11"/>
  <c r="AL301" i="11"/>
  <c r="AK301" i="11"/>
  <c r="AJ301" i="11"/>
  <c r="AI301" i="11"/>
  <c r="AG301" i="11"/>
  <c r="AF301" i="11"/>
  <c r="AE301" i="11"/>
  <c r="AD301" i="11"/>
  <c r="AC301" i="11"/>
  <c r="AA301" i="11"/>
  <c r="Z301" i="11"/>
  <c r="Y301" i="11"/>
  <c r="X301" i="11"/>
  <c r="W301" i="11"/>
  <c r="U301" i="11"/>
  <c r="T301" i="11"/>
  <c r="S301" i="11"/>
  <c r="R301" i="11"/>
  <c r="Q301" i="11"/>
  <c r="O301" i="11"/>
  <c r="N301" i="11"/>
  <c r="M301" i="11"/>
  <c r="L301" i="11"/>
  <c r="K301" i="11"/>
  <c r="I301" i="11"/>
  <c r="AX300" i="11"/>
  <c r="AW300" i="11"/>
  <c r="AV300" i="11"/>
  <c r="AU300" i="11"/>
  <c r="AS300" i="11"/>
  <c r="AR300" i="11"/>
  <c r="AQ300" i="11"/>
  <c r="AP300" i="11"/>
  <c r="AO300" i="11"/>
  <c r="AM300" i="11"/>
  <c r="AL300" i="11"/>
  <c r="AK300" i="11"/>
  <c r="AJ300" i="11"/>
  <c r="AI300" i="11"/>
  <c r="AG300" i="11"/>
  <c r="AF300" i="11"/>
  <c r="AE300" i="11"/>
  <c r="AD300" i="11"/>
  <c r="AC300" i="11"/>
  <c r="AA300" i="11"/>
  <c r="Z300" i="11"/>
  <c r="Y300" i="11"/>
  <c r="X300" i="11"/>
  <c r="W300" i="11"/>
  <c r="U300" i="11"/>
  <c r="T300" i="11"/>
  <c r="S300" i="11"/>
  <c r="R300" i="11"/>
  <c r="Q300" i="11"/>
  <c r="O300" i="11"/>
  <c r="N300" i="11"/>
  <c r="M300" i="11"/>
  <c r="L300" i="11"/>
  <c r="K300" i="11"/>
  <c r="I300" i="11"/>
  <c r="CB251" i="11"/>
  <c r="CA251" i="11"/>
  <c r="BZ251" i="11"/>
  <c r="AX299" i="11"/>
  <c r="AW299" i="11"/>
  <c r="AV299" i="11"/>
  <c r="AU299" i="11"/>
  <c r="AS299" i="11"/>
  <c r="AR299" i="11"/>
  <c r="AQ299" i="11"/>
  <c r="AP299" i="11"/>
  <c r="AO299" i="11"/>
  <c r="AM299" i="11"/>
  <c r="AL299" i="11"/>
  <c r="AK299" i="11"/>
  <c r="AJ299" i="11"/>
  <c r="AI299" i="11"/>
  <c r="AG299" i="11"/>
  <c r="AF299" i="11"/>
  <c r="AE299" i="11"/>
  <c r="AD299" i="11"/>
  <c r="AC299" i="11"/>
  <c r="AA299" i="11"/>
  <c r="Z299" i="11"/>
  <c r="Y299" i="11"/>
  <c r="X299" i="11"/>
  <c r="W299" i="11"/>
  <c r="U299" i="11"/>
  <c r="T299" i="11"/>
  <c r="S299" i="11"/>
  <c r="R299" i="11"/>
  <c r="Q299" i="11"/>
  <c r="O299" i="11"/>
  <c r="N299" i="11"/>
  <c r="M299" i="11"/>
  <c r="L299" i="11"/>
  <c r="K299" i="11"/>
  <c r="I299" i="11"/>
  <c r="CB250" i="11"/>
  <c r="CA250" i="11"/>
  <c r="BZ250" i="11"/>
  <c r="AX298" i="11"/>
  <c r="AW298" i="11"/>
  <c r="AS298" i="11"/>
  <c r="AR298" i="11"/>
  <c r="AQ298" i="11"/>
  <c r="AM298" i="11"/>
  <c r="AL298" i="11"/>
  <c r="AK298" i="11"/>
  <c r="AG298" i="11"/>
  <c r="AF298" i="11"/>
  <c r="AE298" i="11"/>
  <c r="AA298" i="11"/>
  <c r="Z298" i="11"/>
  <c r="Y298" i="11"/>
  <c r="U298" i="11"/>
  <c r="T298" i="11"/>
  <c r="S298" i="11"/>
  <c r="O298" i="11"/>
  <c r="N298" i="11"/>
  <c r="M298" i="11"/>
  <c r="I298" i="11"/>
  <c r="CB249" i="11"/>
  <c r="CA249" i="11"/>
  <c r="BZ249" i="11"/>
  <c r="AX297" i="11"/>
  <c r="AW297" i="11"/>
  <c r="AS297" i="11"/>
  <c r="AR297" i="11"/>
  <c r="AQ297" i="11"/>
  <c r="AM297" i="11"/>
  <c r="AL297" i="11"/>
  <c r="AK297" i="11"/>
  <c r="AG297" i="11"/>
  <c r="AF297" i="11"/>
  <c r="AE297" i="11"/>
  <c r="AA297" i="11"/>
  <c r="Z297" i="11"/>
  <c r="Y297" i="11"/>
  <c r="U297" i="11"/>
  <c r="T297" i="11"/>
  <c r="S297" i="11"/>
  <c r="O297" i="11"/>
  <c r="N297" i="11"/>
  <c r="M297" i="11"/>
  <c r="I297" i="11"/>
  <c r="AX296" i="11"/>
  <c r="AW296" i="11"/>
  <c r="AS296" i="11"/>
  <c r="AR296" i="11"/>
  <c r="AQ296" i="11"/>
  <c r="AM296" i="11"/>
  <c r="AL296" i="11"/>
  <c r="AK296" i="11"/>
  <c r="AG296" i="11"/>
  <c r="AF296" i="11"/>
  <c r="AE296" i="11"/>
  <c r="AA296" i="11"/>
  <c r="Z296" i="11"/>
  <c r="Y296" i="11"/>
  <c r="U296" i="11"/>
  <c r="T296" i="11"/>
  <c r="S296" i="11"/>
  <c r="O296" i="11"/>
  <c r="N296" i="11"/>
  <c r="M296" i="11"/>
  <c r="I296" i="11"/>
  <c r="CB247" i="11"/>
  <c r="CA247" i="11"/>
  <c r="BZ247" i="11"/>
  <c r="AX295" i="11"/>
  <c r="AW295" i="11"/>
  <c r="AS295" i="11"/>
  <c r="AR295" i="11"/>
  <c r="AQ295" i="11"/>
  <c r="AM295" i="11"/>
  <c r="AL295" i="11"/>
  <c r="AK295" i="11"/>
  <c r="AG295" i="11"/>
  <c r="AF295" i="11"/>
  <c r="AE295" i="11"/>
  <c r="AA295" i="11"/>
  <c r="Z295" i="11"/>
  <c r="Y295" i="11"/>
  <c r="U295" i="11"/>
  <c r="T295" i="11"/>
  <c r="S295" i="11"/>
  <c r="O295" i="11"/>
  <c r="N295" i="11"/>
  <c r="M295" i="11"/>
  <c r="I295" i="11"/>
  <c r="CB246" i="11"/>
  <c r="CA246" i="11"/>
  <c r="BZ246" i="11"/>
  <c r="AX294" i="11"/>
  <c r="AW294" i="11"/>
  <c r="AS294" i="11"/>
  <c r="AR294" i="11"/>
  <c r="AQ294" i="11"/>
  <c r="AM294" i="11"/>
  <c r="AL294" i="11"/>
  <c r="AK294" i="11"/>
  <c r="AG294" i="11"/>
  <c r="AF294" i="11"/>
  <c r="AE294" i="11"/>
  <c r="AA294" i="11"/>
  <c r="Z294" i="11"/>
  <c r="Y294" i="11"/>
  <c r="U294" i="11"/>
  <c r="T294" i="11"/>
  <c r="S294" i="11"/>
  <c r="O294" i="11"/>
  <c r="N294" i="11"/>
  <c r="M294" i="11"/>
  <c r="I294" i="11"/>
  <c r="CB245" i="11"/>
  <c r="CA245" i="11"/>
  <c r="BZ245" i="11"/>
  <c r="AX293" i="11"/>
  <c r="AW293" i="11"/>
  <c r="AS293" i="11"/>
  <c r="AR293" i="11"/>
  <c r="AQ293" i="11"/>
  <c r="AM293" i="11"/>
  <c r="AL293" i="11"/>
  <c r="AK293" i="11"/>
  <c r="AG293" i="11"/>
  <c r="AF293" i="11"/>
  <c r="AE293" i="11"/>
  <c r="AA293" i="11"/>
  <c r="Z293" i="11"/>
  <c r="Y293" i="11"/>
  <c r="U293" i="11"/>
  <c r="T293" i="11"/>
  <c r="S293" i="11"/>
  <c r="O293" i="11"/>
  <c r="N293" i="11"/>
  <c r="M293" i="11"/>
  <c r="I293" i="11"/>
  <c r="AX292" i="11"/>
  <c r="AW292" i="11"/>
  <c r="AS292" i="11"/>
  <c r="AR292" i="11"/>
  <c r="AQ292" i="11"/>
  <c r="AM292" i="11"/>
  <c r="AL292" i="11"/>
  <c r="AK292" i="11"/>
  <c r="AG292" i="11"/>
  <c r="AF292" i="11"/>
  <c r="AE292" i="11"/>
  <c r="AA292" i="11"/>
  <c r="Z292" i="11"/>
  <c r="Y292" i="11"/>
  <c r="U292" i="11"/>
  <c r="T292" i="11"/>
  <c r="S292" i="11"/>
  <c r="O292" i="11"/>
  <c r="N292" i="11"/>
  <c r="M292" i="11"/>
  <c r="I292" i="11"/>
  <c r="CB243" i="11"/>
  <c r="CA243" i="11"/>
  <c r="BZ243" i="11"/>
  <c r="AX291" i="11"/>
  <c r="AW291" i="11"/>
  <c r="AS291" i="11"/>
  <c r="AR291" i="11"/>
  <c r="AQ291" i="11"/>
  <c r="AM291" i="11"/>
  <c r="AL291" i="11"/>
  <c r="AK291" i="11"/>
  <c r="AG291" i="11"/>
  <c r="AF291" i="11"/>
  <c r="AE291" i="11"/>
  <c r="AA291" i="11"/>
  <c r="Z291" i="11"/>
  <c r="Y291" i="11"/>
  <c r="U291" i="11"/>
  <c r="T291" i="11"/>
  <c r="S291" i="11"/>
  <c r="O291" i="11"/>
  <c r="N291" i="11"/>
  <c r="M291" i="11"/>
  <c r="I291" i="11"/>
  <c r="CB242" i="11"/>
  <c r="CA242" i="11"/>
  <c r="BZ242" i="11"/>
  <c r="AX290" i="11"/>
  <c r="AW290" i="11"/>
  <c r="AS290" i="11"/>
  <c r="AR290" i="11"/>
  <c r="AQ290" i="11"/>
  <c r="AM290" i="11"/>
  <c r="AL290" i="11"/>
  <c r="AK290" i="11"/>
  <c r="AG290" i="11"/>
  <c r="AF290" i="11"/>
  <c r="AE290" i="11"/>
  <c r="AA290" i="11"/>
  <c r="Z290" i="11"/>
  <c r="Y290" i="11"/>
  <c r="U290" i="11"/>
  <c r="T290" i="11"/>
  <c r="S290" i="11"/>
  <c r="O290" i="11"/>
  <c r="N290" i="11"/>
  <c r="M290" i="11"/>
  <c r="I290" i="11"/>
  <c r="CB241" i="11"/>
  <c r="CA241" i="11"/>
  <c r="BZ241" i="11"/>
  <c r="AX289" i="11"/>
  <c r="AW289" i="11"/>
  <c r="AS289" i="11"/>
  <c r="AR289" i="11"/>
  <c r="AQ289" i="11"/>
  <c r="AM289" i="11"/>
  <c r="AL289" i="11"/>
  <c r="AK289" i="11"/>
  <c r="AG289" i="11"/>
  <c r="AF289" i="11"/>
  <c r="AE289" i="11"/>
  <c r="AA289" i="11"/>
  <c r="Z289" i="11"/>
  <c r="Y289" i="11"/>
  <c r="U289" i="11"/>
  <c r="T289" i="11"/>
  <c r="S289" i="11"/>
  <c r="O289" i="11"/>
  <c r="N289" i="11"/>
  <c r="M289" i="11"/>
  <c r="I289" i="11"/>
  <c r="AX288" i="11"/>
  <c r="AW288" i="11"/>
  <c r="AS288" i="11"/>
  <c r="AR288" i="11"/>
  <c r="AQ288" i="11"/>
  <c r="AM288" i="11"/>
  <c r="AL288" i="11"/>
  <c r="AK288" i="11"/>
  <c r="AG288" i="11"/>
  <c r="AF288" i="11"/>
  <c r="AE288" i="11"/>
  <c r="AA288" i="11"/>
  <c r="Z288" i="11"/>
  <c r="Y288" i="11"/>
  <c r="U288" i="11"/>
  <c r="T288" i="11"/>
  <c r="S288" i="11"/>
  <c r="O288" i="11"/>
  <c r="N288" i="11"/>
  <c r="M288" i="11"/>
  <c r="I288" i="11"/>
  <c r="CB239" i="11"/>
  <c r="CA239" i="11"/>
  <c r="BZ239" i="11"/>
  <c r="AX287" i="11"/>
  <c r="AW287" i="11"/>
  <c r="AS287" i="11"/>
  <c r="AR287" i="11"/>
  <c r="AQ287" i="11"/>
  <c r="AM287" i="11"/>
  <c r="AL287" i="11"/>
  <c r="AK287" i="11"/>
  <c r="AG287" i="11"/>
  <c r="AF287" i="11"/>
  <c r="AE287" i="11"/>
  <c r="AA287" i="11"/>
  <c r="Z287" i="11"/>
  <c r="Y287" i="11"/>
  <c r="U287" i="11"/>
  <c r="T287" i="11"/>
  <c r="S287" i="11"/>
  <c r="O287" i="11"/>
  <c r="N287" i="11"/>
  <c r="M287" i="11"/>
  <c r="I287" i="11"/>
  <c r="AX286" i="11"/>
  <c r="AW286" i="11"/>
  <c r="AS286" i="11"/>
  <c r="AR286" i="11"/>
  <c r="AQ286" i="11"/>
  <c r="AM286" i="11"/>
  <c r="AL286" i="11"/>
  <c r="AK286" i="11"/>
  <c r="AG286" i="11"/>
  <c r="AF286" i="11"/>
  <c r="AE286" i="11"/>
  <c r="AA286" i="11"/>
  <c r="Z286" i="11"/>
  <c r="Y286" i="11"/>
  <c r="U286" i="11"/>
  <c r="T286" i="11"/>
  <c r="S286" i="11"/>
  <c r="O286" i="11"/>
  <c r="N286" i="11"/>
  <c r="M286" i="11"/>
  <c r="I286" i="11"/>
  <c r="AX285" i="11"/>
  <c r="AW285" i="11"/>
  <c r="AS285" i="11"/>
  <c r="AR285" i="11"/>
  <c r="AQ285" i="11"/>
  <c r="AM285" i="11"/>
  <c r="AL285" i="11"/>
  <c r="AK285" i="11"/>
  <c r="AG285" i="11"/>
  <c r="AF285" i="11"/>
  <c r="AE285" i="11"/>
  <c r="AA285" i="11"/>
  <c r="Z285" i="11"/>
  <c r="Y285" i="11"/>
  <c r="U285" i="11"/>
  <c r="T285" i="11"/>
  <c r="S285" i="11"/>
  <c r="O285" i="11"/>
  <c r="N285" i="11"/>
  <c r="M285" i="11"/>
  <c r="I285" i="11"/>
  <c r="AX284" i="11"/>
  <c r="AW284" i="11"/>
  <c r="AS284" i="11"/>
  <c r="AR284" i="11"/>
  <c r="AQ284" i="11"/>
  <c r="AM284" i="11"/>
  <c r="AL284" i="11"/>
  <c r="AK284" i="11"/>
  <c r="AG284" i="11"/>
  <c r="AF284" i="11"/>
  <c r="AE284" i="11"/>
  <c r="AA284" i="11"/>
  <c r="Z284" i="11"/>
  <c r="Y284" i="11"/>
  <c r="U284" i="11"/>
  <c r="T284" i="11"/>
  <c r="S284" i="11"/>
  <c r="O284" i="11"/>
  <c r="N284" i="11"/>
  <c r="M284" i="11"/>
  <c r="I284" i="11"/>
  <c r="AX283" i="11"/>
  <c r="AW283" i="11"/>
  <c r="AS283" i="11"/>
  <c r="AR283" i="11"/>
  <c r="AQ283" i="11"/>
  <c r="AM283" i="11"/>
  <c r="AL283" i="11"/>
  <c r="AK283" i="11"/>
  <c r="AG283" i="11"/>
  <c r="AF283" i="11"/>
  <c r="AE283" i="11"/>
  <c r="AA283" i="11"/>
  <c r="Z283" i="11"/>
  <c r="Y283" i="11"/>
  <c r="U283" i="11"/>
  <c r="T283" i="11"/>
  <c r="S283" i="11"/>
  <c r="O283" i="11"/>
  <c r="N283" i="11"/>
  <c r="M283" i="11"/>
  <c r="I283" i="11"/>
  <c r="AX282" i="11"/>
  <c r="AW282" i="11"/>
  <c r="AS282" i="11"/>
  <c r="AR282" i="11"/>
  <c r="AQ282" i="11"/>
  <c r="AM282" i="11"/>
  <c r="AL282" i="11"/>
  <c r="AK282" i="11"/>
  <c r="AG282" i="11"/>
  <c r="AF282" i="11"/>
  <c r="AE282" i="11"/>
  <c r="AA282" i="11"/>
  <c r="Z282" i="11"/>
  <c r="Y282" i="11"/>
  <c r="U282" i="11"/>
  <c r="T282" i="11"/>
  <c r="S282" i="11"/>
  <c r="O282" i="11"/>
  <c r="N282" i="11"/>
  <c r="M282" i="11"/>
  <c r="I282" i="11"/>
  <c r="AX281" i="11"/>
  <c r="AW281" i="11"/>
  <c r="AS281" i="11"/>
  <c r="AR281" i="11"/>
  <c r="AQ281" i="11"/>
  <c r="AM281" i="11"/>
  <c r="AL281" i="11"/>
  <c r="AK281" i="11"/>
  <c r="AG281" i="11"/>
  <c r="AF281" i="11"/>
  <c r="AE281" i="11"/>
  <c r="AA281" i="11"/>
  <c r="Z281" i="11"/>
  <c r="Y281" i="11"/>
  <c r="U281" i="11"/>
  <c r="T281" i="11"/>
  <c r="S281" i="11"/>
  <c r="O281" i="11"/>
  <c r="N281" i="11"/>
  <c r="M281" i="11"/>
  <c r="I281" i="11"/>
  <c r="AX280" i="11"/>
  <c r="AW280" i="11"/>
  <c r="AS280" i="11"/>
  <c r="AR280" i="11"/>
  <c r="AQ280" i="11"/>
  <c r="AM280" i="11"/>
  <c r="AL280" i="11"/>
  <c r="AK280" i="11"/>
  <c r="AG280" i="11"/>
  <c r="AF280" i="11"/>
  <c r="AE280" i="11"/>
  <c r="AA280" i="11"/>
  <c r="Z280" i="11"/>
  <c r="Y280" i="11"/>
  <c r="U280" i="11"/>
  <c r="T280" i="11"/>
  <c r="S280" i="11"/>
  <c r="O280" i="11"/>
  <c r="N280" i="11"/>
  <c r="M280" i="11"/>
  <c r="I280" i="11"/>
  <c r="AX279" i="11"/>
  <c r="AW279" i="11"/>
  <c r="AS279" i="11"/>
  <c r="AR279" i="11"/>
  <c r="AQ279" i="11"/>
  <c r="AM279" i="11"/>
  <c r="AL279" i="11"/>
  <c r="AK279" i="11"/>
  <c r="AG279" i="11"/>
  <c r="AF279" i="11"/>
  <c r="AE279" i="11"/>
  <c r="AA279" i="11"/>
  <c r="Z279" i="11"/>
  <c r="Y279" i="11"/>
  <c r="U279" i="11"/>
  <c r="T279" i="11"/>
  <c r="S279" i="11"/>
  <c r="O279" i="11"/>
  <c r="N279" i="11"/>
  <c r="M279" i="11"/>
  <c r="I279" i="11"/>
  <c r="AX278" i="11"/>
  <c r="AW278" i="11"/>
  <c r="AS278" i="11"/>
  <c r="AR278" i="11"/>
  <c r="AQ278" i="11"/>
  <c r="AM278" i="11"/>
  <c r="AL278" i="11"/>
  <c r="AK278" i="11"/>
  <c r="AG278" i="11"/>
  <c r="AF278" i="11"/>
  <c r="AE278" i="11"/>
  <c r="AA278" i="11"/>
  <c r="Z278" i="11"/>
  <c r="Y278" i="11"/>
  <c r="U278" i="11"/>
  <c r="T278" i="11"/>
  <c r="S278" i="11"/>
  <c r="O278" i="11"/>
  <c r="N278" i="11"/>
  <c r="M278" i="11"/>
  <c r="I278" i="11"/>
  <c r="BG148" i="11"/>
  <c r="BF148" i="11"/>
  <c r="BB148" i="11"/>
  <c r="BG147" i="11"/>
  <c r="BF147" i="11"/>
  <c r="BB147" i="11"/>
  <c r="BG146" i="11"/>
  <c r="BF146" i="11"/>
  <c r="BB146" i="11"/>
  <c r="BG145" i="11"/>
  <c r="BF145" i="11"/>
  <c r="BB145" i="11"/>
  <c r="BG144" i="11"/>
  <c r="BF144" i="11"/>
  <c r="BB144" i="11"/>
  <c r="BG143" i="11"/>
  <c r="BF143" i="11"/>
  <c r="BB143" i="11"/>
  <c r="BG142" i="11"/>
  <c r="BF142" i="11"/>
  <c r="BB142" i="11"/>
  <c r="BG141" i="11"/>
  <c r="BF141" i="11"/>
  <c r="BB141" i="11"/>
  <c r="BG140" i="11"/>
  <c r="BF140" i="11"/>
  <c r="BB140" i="11"/>
  <c r="BG139" i="11"/>
  <c r="BF139" i="11"/>
  <c r="BB139" i="11"/>
  <c r="BG138" i="11"/>
  <c r="BF138" i="11"/>
  <c r="BB138" i="11"/>
  <c r="BG137" i="11"/>
  <c r="BF137" i="11"/>
  <c r="BB137" i="11"/>
  <c r="BG136" i="11"/>
  <c r="BF136" i="11"/>
  <c r="BB136" i="11"/>
  <c r="BG135" i="11"/>
  <c r="BF135" i="11"/>
  <c r="BB135" i="11"/>
  <c r="BG134" i="11"/>
  <c r="BF134" i="11"/>
  <c r="BB134" i="11"/>
  <c r="BG133" i="11"/>
  <c r="BF133" i="11"/>
  <c r="BB133" i="11"/>
  <c r="BG132" i="11"/>
  <c r="BF132" i="11"/>
  <c r="BB132" i="11"/>
  <c r="BG131" i="11"/>
  <c r="BF131" i="11"/>
  <c r="BB131" i="11"/>
  <c r="BG130" i="11"/>
  <c r="BF130" i="11"/>
  <c r="BB130" i="11"/>
  <c r="BG129" i="11"/>
  <c r="BF129" i="11"/>
  <c r="BB129" i="11"/>
  <c r="BG128" i="11"/>
  <c r="BF128" i="11"/>
  <c r="BB128" i="11"/>
  <c r="BG127" i="11"/>
  <c r="BF127" i="11"/>
  <c r="BB127" i="11"/>
  <c r="BG126" i="11"/>
  <c r="BF126" i="11"/>
  <c r="BB126" i="11"/>
  <c r="BG125" i="11"/>
  <c r="BF125" i="11"/>
  <c r="BB125" i="11"/>
  <c r="BB124" i="11"/>
  <c r="BG123" i="11"/>
  <c r="BF123" i="11"/>
  <c r="BB123" i="11"/>
  <c r="BG122" i="11"/>
  <c r="BF122" i="11"/>
  <c r="BB122" i="11"/>
  <c r="BG121" i="11"/>
  <c r="BF121" i="11"/>
  <c r="BB121" i="11"/>
  <c r="BG119" i="11"/>
  <c r="BF119" i="11"/>
  <c r="BB119" i="11"/>
  <c r="BG118" i="11"/>
  <c r="BF118" i="11"/>
  <c r="BB118" i="11"/>
  <c r="BG117" i="11"/>
  <c r="BF117" i="11"/>
  <c r="BB117" i="11"/>
  <c r="BB116" i="11"/>
  <c r="BB115" i="11"/>
  <c r="BG114" i="11"/>
  <c r="BF114" i="11"/>
  <c r="BB114" i="11"/>
  <c r="K459" i="11"/>
  <c r="L459" i="11"/>
  <c r="BE114" i="11" s="1"/>
  <c r="K460" i="11"/>
  <c r="BD119" i="11" s="1"/>
  <c r="L460" i="11"/>
  <c r="I461" i="11"/>
  <c r="K462" i="11"/>
  <c r="L462" i="11"/>
  <c r="BE122" i="11" s="1"/>
  <c r="K463" i="11"/>
  <c r="L463" i="11"/>
  <c r="BE127" i="11" s="1"/>
  <c r="K464" i="11"/>
  <c r="L464" i="11"/>
  <c r="K465" i="11"/>
  <c r="L465" i="11"/>
  <c r="BE132" i="11" s="1"/>
  <c r="BC115" i="11"/>
  <c r="K468" i="11"/>
  <c r="BD118" i="11" s="1"/>
  <c r="L468" i="11"/>
  <c r="BE118" i="11" s="1"/>
  <c r="K469" i="11"/>
  <c r="L469" i="11"/>
  <c r="BE121" i="11" s="1"/>
  <c r="K470" i="11"/>
  <c r="L470" i="11"/>
  <c r="BE123" i="11" s="1"/>
  <c r="BC124" i="11"/>
  <c r="K472" i="11"/>
  <c r="L472" i="11"/>
  <c r="BE117" i="11" s="1"/>
  <c r="K473" i="11"/>
  <c r="L473" i="11"/>
  <c r="BE126" i="11" s="1"/>
  <c r="K474" i="11"/>
  <c r="L474" i="11"/>
  <c r="BE130" i="11" s="1"/>
  <c r="K475" i="11"/>
  <c r="L475" i="11"/>
  <c r="BE128" i="11" s="1"/>
  <c r="K476" i="11"/>
  <c r="BD125" i="11" s="1"/>
  <c r="L476" i="11"/>
  <c r="BE125" i="11" s="1"/>
  <c r="K477" i="11"/>
  <c r="L477" i="11"/>
  <c r="K478" i="11"/>
  <c r="BD133" i="11" s="1"/>
  <c r="L478" i="11"/>
  <c r="BE133" i="11" s="1"/>
  <c r="K479" i="11"/>
  <c r="BD134" i="11" s="1"/>
  <c r="L479" i="11"/>
  <c r="BE134" i="11" s="1"/>
  <c r="K480" i="11"/>
  <c r="BD135" i="11" s="1"/>
  <c r="L480" i="11"/>
  <c r="BE135" i="11" s="1"/>
  <c r="K481" i="11"/>
  <c r="BD136" i="11" s="1"/>
  <c r="L481" i="11"/>
  <c r="BE136" i="11" s="1"/>
  <c r="K482" i="11"/>
  <c r="BD137" i="11" s="1"/>
  <c r="L482" i="11"/>
  <c r="BE137" i="11" s="1"/>
  <c r="K483" i="11"/>
  <c r="L483" i="11"/>
  <c r="BE138" i="11" s="1"/>
  <c r="K484" i="11"/>
  <c r="L484" i="11"/>
  <c r="K487" i="11"/>
  <c r="BD140" i="11" s="1"/>
  <c r="L487" i="11"/>
  <c r="BE140" i="11" s="1"/>
  <c r="K488" i="11"/>
  <c r="BD141" i="11" s="1"/>
  <c r="L488" i="11"/>
  <c r="BE141" i="11" s="1"/>
  <c r="K489" i="11"/>
  <c r="BD142" i="11" s="1"/>
  <c r="L489" i="11"/>
  <c r="BE142" i="11" s="1"/>
  <c r="K490" i="11"/>
  <c r="BD143" i="11" s="1"/>
  <c r="L490" i="11"/>
  <c r="BE143" i="11" s="1"/>
  <c r="K491" i="11"/>
  <c r="BD144" i="11" s="1"/>
  <c r="L491" i="11"/>
  <c r="BE144" i="11" s="1"/>
  <c r="AX382" i="11"/>
  <c r="AW382" i="11"/>
  <c r="AV382" i="11"/>
  <c r="AU382" i="11"/>
  <c r="AS382" i="11"/>
  <c r="AR382" i="11"/>
  <c r="AQ382" i="11"/>
  <c r="AP382" i="11"/>
  <c r="AO382" i="11"/>
  <c r="AM382" i="11"/>
  <c r="AL382" i="11"/>
  <c r="AK382" i="11"/>
  <c r="AJ382" i="11"/>
  <c r="AI382" i="11"/>
  <c r="AG382" i="11"/>
  <c r="AF382" i="11"/>
  <c r="AE382" i="11"/>
  <c r="AD382" i="11"/>
  <c r="AC382" i="11"/>
  <c r="AA382" i="11"/>
  <c r="Z382" i="11"/>
  <c r="Y382" i="11"/>
  <c r="X382" i="11"/>
  <c r="W382" i="11"/>
  <c r="U382" i="11"/>
  <c r="T382" i="11"/>
  <c r="S382" i="11"/>
  <c r="R382" i="11"/>
  <c r="Q382" i="11"/>
  <c r="O382" i="11"/>
  <c r="N382" i="11"/>
  <c r="M382" i="11"/>
  <c r="L382" i="11"/>
  <c r="K382" i="11"/>
  <c r="I382" i="11"/>
  <c r="AX381" i="11"/>
  <c r="AW381" i="11"/>
  <c r="AV381" i="11"/>
  <c r="AU381" i="11"/>
  <c r="AS381" i="11"/>
  <c r="AR381" i="11"/>
  <c r="AQ381" i="11"/>
  <c r="AP381" i="11"/>
  <c r="AO381" i="11"/>
  <c r="AM381" i="11"/>
  <c r="AL381" i="11"/>
  <c r="AK381" i="11"/>
  <c r="AJ381" i="11"/>
  <c r="AI381" i="11"/>
  <c r="AG381" i="11"/>
  <c r="AF381" i="11"/>
  <c r="AE381" i="11"/>
  <c r="AD381" i="11"/>
  <c r="AC381" i="11"/>
  <c r="AA381" i="11"/>
  <c r="Z381" i="11"/>
  <c r="Y381" i="11"/>
  <c r="X381" i="11"/>
  <c r="W381" i="11"/>
  <c r="U381" i="11"/>
  <c r="T381" i="11"/>
  <c r="S381" i="11"/>
  <c r="R381" i="11"/>
  <c r="Q381" i="11"/>
  <c r="O381" i="11"/>
  <c r="N381" i="11"/>
  <c r="M381" i="11"/>
  <c r="L381" i="11"/>
  <c r="K381" i="11"/>
  <c r="I381" i="11"/>
  <c r="AX380" i="11"/>
  <c r="AW380" i="11"/>
  <c r="AV380" i="11"/>
  <c r="AU380" i="11"/>
  <c r="AS380" i="11"/>
  <c r="AR380" i="11"/>
  <c r="AQ380" i="11"/>
  <c r="AP380" i="11"/>
  <c r="AO380" i="11"/>
  <c r="AM380" i="11"/>
  <c r="AL380" i="11"/>
  <c r="AK380" i="11"/>
  <c r="AJ380" i="11"/>
  <c r="AI380" i="11"/>
  <c r="AG380" i="11"/>
  <c r="AF380" i="11"/>
  <c r="AE380" i="11"/>
  <c r="AD380" i="11"/>
  <c r="AC380" i="11"/>
  <c r="AA380" i="11"/>
  <c r="Z380" i="11"/>
  <c r="Y380" i="11"/>
  <c r="X380" i="11"/>
  <c r="W380" i="11"/>
  <c r="U380" i="11"/>
  <c r="T380" i="11"/>
  <c r="S380" i="11"/>
  <c r="R380" i="11"/>
  <c r="Q380" i="11"/>
  <c r="O380" i="11"/>
  <c r="N380" i="11"/>
  <c r="M380" i="11"/>
  <c r="L380" i="11"/>
  <c r="K380" i="11"/>
  <c r="I380" i="11"/>
  <c r="AX379" i="11"/>
  <c r="AW379" i="11"/>
  <c r="AV379" i="11"/>
  <c r="AU379" i="11"/>
  <c r="AS379" i="11"/>
  <c r="AR379" i="11"/>
  <c r="AQ379" i="11"/>
  <c r="AP379" i="11"/>
  <c r="AO379" i="11"/>
  <c r="AM379" i="11"/>
  <c r="AL379" i="11"/>
  <c r="AK379" i="11"/>
  <c r="AJ379" i="11"/>
  <c r="AI379" i="11"/>
  <c r="AG379" i="11"/>
  <c r="AF379" i="11"/>
  <c r="AE379" i="11"/>
  <c r="AD379" i="11"/>
  <c r="AC379" i="11"/>
  <c r="AA379" i="11"/>
  <c r="Z379" i="11"/>
  <c r="Y379" i="11"/>
  <c r="X379" i="11"/>
  <c r="W379" i="11"/>
  <c r="U379" i="11"/>
  <c r="T379" i="11"/>
  <c r="S379" i="11"/>
  <c r="R379" i="11"/>
  <c r="Q379" i="11"/>
  <c r="O379" i="11"/>
  <c r="N379" i="11"/>
  <c r="M379" i="11"/>
  <c r="L379" i="11"/>
  <c r="K379" i="11"/>
  <c r="I379" i="11"/>
  <c r="AX378" i="11"/>
  <c r="AW378" i="11"/>
  <c r="AV378" i="11"/>
  <c r="AU378" i="11"/>
  <c r="AS378" i="11"/>
  <c r="AR378" i="11"/>
  <c r="AQ378" i="11"/>
  <c r="AP378" i="11"/>
  <c r="AO378" i="11"/>
  <c r="AM378" i="11"/>
  <c r="AL378" i="11"/>
  <c r="AK378" i="11"/>
  <c r="AJ378" i="11"/>
  <c r="AI378" i="11"/>
  <c r="AG378" i="11"/>
  <c r="AF378" i="11"/>
  <c r="AE378" i="11"/>
  <c r="AD378" i="11"/>
  <c r="AC378" i="11"/>
  <c r="AA378" i="11"/>
  <c r="Z378" i="11"/>
  <c r="Y378" i="11"/>
  <c r="X378" i="11"/>
  <c r="W378" i="11"/>
  <c r="U378" i="11"/>
  <c r="T378" i="11"/>
  <c r="S378" i="11"/>
  <c r="R378" i="11"/>
  <c r="Q378" i="11"/>
  <c r="O378" i="11"/>
  <c r="N378" i="11"/>
  <c r="M378" i="11"/>
  <c r="L378" i="11"/>
  <c r="K378" i="11"/>
  <c r="I378" i="11"/>
  <c r="AX377" i="11"/>
  <c r="AW377" i="11"/>
  <c r="AV377" i="11"/>
  <c r="AU377" i="11"/>
  <c r="AS377" i="11"/>
  <c r="AR377" i="11"/>
  <c r="AQ377" i="11"/>
  <c r="AP377" i="11"/>
  <c r="AO377" i="11"/>
  <c r="AM377" i="11"/>
  <c r="AL377" i="11"/>
  <c r="AK377" i="11"/>
  <c r="AJ377" i="11"/>
  <c r="AI377" i="11"/>
  <c r="AG377" i="11"/>
  <c r="AF377" i="11"/>
  <c r="AE377" i="11"/>
  <c r="AD377" i="11"/>
  <c r="AC377" i="11"/>
  <c r="AA377" i="11"/>
  <c r="Z377" i="11"/>
  <c r="Y377" i="11"/>
  <c r="X377" i="11"/>
  <c r="W377" i="11"/>
  <c r="U377" i="11"/>
  <c r="T377" i="11"/>
  <c r="S377" i="11"/>
  <c r="R377" i="11"/>
  <c r="Q377" i="11"/>
  <c r="O377" i="11"/>
  <c r="N377" i="11"/>
  <c r="M377" i="11"/>
  <c r="L377" i="11"/>
  <c r="K377" i="11"/>
  <c r="I377" i="11"/>
  <c r="AX376" i="11"/>
  <c r="AW376" i="11"/>
  <c r="AV376" i="11"/>
  <c r="AU376" i="11"/>
  <c r="AS376" i="11"/>
  <c r="AR376" i="11"/>
  <c r="AQ376" i="11"/>
  <c r="AP376" i="11"/>
  <c r="AO376" i="11"/>
  <c r="AM376" i="11"/>
  <c r="AL376" i="11"/>
  <c r="AK376" i="11"/>
  <c r="AJ376" i="11"/>
  <c r="AI376" i="11"/>
  <c r="AG376" i="11"/>
  <c r="AF376" i="11"/>
  <c r="AE376" i="11"/>
  <c r="AD376" i="11"/>
  <c r="AC376" i="11"/>
  <c r="AA376" i="11"/>
  <c r="Z376" i="11"/>
  <c r="Y376" i="11"/>
  <c r="X376" i="11"/>
  <c r="W376" i="11"/>
  <c r="U376" i="11"/>
  <c r="T376" i="11"/>
  <c r="S376" i="11"/>
  <c r="R376" i="11"/>
  <c r="Q376" i="11"/>
  <c r="O376" i="11"/>
  <c r="N376" i="11"/>
  <c r="M376" i="11"/>
  <c r="L376" i="11"/>
  <c r="K376" i="11"/>
  <c r="I376" i="11"/>
  <c r="AX375" i="11"/>
  <c r="AW375" i="11"/>
  <c r="AV375" i="11"/>
  <c r="AU375" i="11"/>
  <c r="AS375" i="11"/>
  <c r="AR375" i="11"/>
  <c r="AQ375" i="11"/>
  <c r="AP375" i="11"/>
  <c r="AO375" i="11"/>
  <c r="AM375" i="11"/>
  <c r="AL375" i="11"/>
  <c r="AK375" i="11"/>
  <c r="AJ375" i="11"/>
  <c r="AI375" i="11"/>
  <c r="AG375" i="11"/>
  <c r="AF375" i="11"/>
  <c r="AE375" i="11"/>
  <c r="AD375" i="11"/>
  <c r="AC375" i="11"/>
  <c r="AA375" i="11"/>
  <c r="Z375" i="11"/>
  <c r="Y375" i="11"/>
  <c r="X375" i="11"/>
  <c r="W375" i="11"/>
  <c r="U375" i="11"/>
  <c r="T375" i="11"/>
  <c r="S375" i="11"/>
  <c r="R375" i="11"/>
  <c r="Q375" i="11"/>
  <c r="O375" i="11"/>
  <c r="N375" i="11"/>
  <c r="M375" i="11"/>
  <c r="L375" i="11"/>
  <c r="K375" i="11"/>
  <c r="I375" i="11"/>
  <c r="AX374" i="11"/>
  <c r="AW374" i="11"/>
  <c r="AV374" i="11"/>
  <c r="AU374" i="11"/>
  <c r="AS374" i="11"/>
  <c r="AR374" i="11"/>
  <c r="AQ374" i="11"/>
  <c r="AP374" i="11"/>
  <c r="AO374" i="11"/>
  <c r="AM374" i="11"/>
  <c r="AL374" i="11"/>
  <c r="AK374" i="11"/>
  <c r="AJ374" i="11"/>
  <c r="AI374" i="11"/>
  <c r="AG374" i="11"/>
  <c r="AF374" i="11"/>
  <c r="AE374" i="11"/>
  <c r="AD374" i="11"/>
  <c r="AC374" i="11"/>
  <c r="AA374" i="11"/>
  <c r="Z374" i="11"/>
  <c r="Y374" i="11"/>
  <c r="X374" i="11"/>
  <c r="W374" i="11"/>
  <c r="U374" i="11"/>
  <c r="T374" i="11"/>
  <c r="S374" i="11"/>
  <c r="R374" i="11"/>
  <c r="Q374" i="11"/>
  <c r="O374" i="11"/>
  <c r="N374" i="11"/>
  <c r="M374" i="11"/>
  <c r="L374" i="11"/>
  <c r="K374" i="11"/>
  <c r="I374" i="11"/>
  <c r="AX373" i="11"/>
  <c r="AW373" i="11"/>
  <c r="AV373" i="11"/>
  <c r="AU373" i="11"/>
  <c r="AS373" i="11"/>
  <c r="AR373" i="11"/>
  <c r="AQ373" i="11"/>
  <c r="AP373" i="11"/>
  <c r="AO373" i="11"/>
  <c r="AM373" i="11"/>
  <c r="AL373" i="11"/>
  <c r="AK373" i="11"/>
  <c r="AJ373" i="11"/>
  <c r="AI373" i="11"/>
  <c r="AG373" i="11"/>
  <c r="AF373" i="11"/>
  <c r="AE373" i="11"/>
  <c r="AD373" i="11"/>
  <c r="AC373" i="11"/>
  <c r="AA373" i="11"/>
  <c r="Z373" i="11"/>
  <c r="Y373" i="11"/>
  <c r="X373" i="11"/>
  <c r="W373" i="11"/>
  <c r="U373" i="11"/>
  <c r="T373" i="11"/>
  <c r="S373" i="11"/>
  <c r="R373" i="11"/>
  <c r="Q373" i="11"/>
  <c r="O373" i="11"/>
  <c r="N373" i="11"/>
  <c r="M373" i="11"/>
  <c r="L373" i="11"/>
  <c r="K373" i="11"/>
  <c r="I373" i="11"/>
  <c r="AX372" i="11"/>
  <c r="AW372" i="11"/>
  <c r="AV372" i="11"/>
  <c r="AU372" i="11"/>
  <c r="AS372" i="11"/>
  <c r="AR372" i="11"/>
  <c r="AQ372" i="11"/>
  <c r="AP372" i="11"/>
  <c r="AO372" i="11"/>
  <c r="AM372" i="11"/>
  <c r="AL372" i="11"/>
  <c r="AK372" i="11"/>
  <c r="AJ372" i="11"/>
  <c r="AI372" i="11"/>
  <c r="AG372" i="11"/>
  <c r="AF372" i="11"/>
  <c r="AE372" i="11"/>
  <c r="AD372" i="11"/>
  <c r="AC372" i="11"/>
  <c r="AA372" i="11"/>
  <c r="Z372" i="11"/>
  <c r="Y372" i="11"/>
  <c r="X372" i="11"/>
  <c r="W372" i="11"/>
  <c r="U372" i="11"/>
  <c r="T372" i="11"/>
  <c r="S372" i="11"/>
  <c r="R372" i="11"/>
  <c r="Q372" i="11"/>
  <c r="O372" i="11"/>
  <c r="N372" i="11"/>
  <c r="M372" i="11"/>
  <c r="L372" i="11"/>
  <c r="K372" i="11"/>
  <c r="I372" i="11"/>
  <c r="AX371" i="11"/>
  <c r="AW371" i="11"/>
  <c r="AV371" i="11"/>
  <c r="AU371" i="11"/>
  <c r="AS371" i="11"/>
  <c r="AR371" i="11"/>
  <c r="AQ371" i="11"/>
  <c r="AP371" i="11"/>
  <c r="AO371" i="11"/>
  <c r="AM371" i="11"/>
  <c r="AL371" i="11"/>
  <c r="AK371" i="11"/>
  <c r="AJ371" i="11"/>
  <c r="AI371" i="11"/>
  <c r="AG371" i="11"/>
  <c r="AF371" i="11"/>
  <c r="AE371" i="11"/>
  <c r="AD371" i="11"/>
  <c r="AC371" i="11"/>
  <c r="AA371" i="11"/>
  <c r="Z371" i="11"/>
  <c r="Y371" i="11"/>
  <c r="X371" i="11"/>
  <c r="W371" i="11"/>
  <c r="U371" i="11"/>
  <c r="T371" i="11"/>
  <c r="S371" i="11"/>
  <c r="R371" i="11"/>
  <c r="Q371" i="11"/>
  <c r="O371" i="11"/>
  <c r="N371" i="11"/>
  <c r="M371" i="11"/>
  <c r="L371" i="11"/>
  <c r="K371" i="11"/>
  <c r="I371" i="11"/>
  <c r="AX370" i="11"/>
  <c r="AW370" i="11"/>
  <c r="AV370" i="11"/>
  <c r="AU370" i="11"/>
  <c r="AS370" i="11"/>
  <c r="AR370" i="11"/>
  <c r="AQ370" i="11"/>
  <c r="AP370" i="11"/>
  <c r="AO370" i="11"/>
  <c r="AM370" i="11"/>
  <c r="AL370" i="11"/>
  <c r="AK370" i="11"/>
  <c r="AJ370" i="11"/>
  <c r="AI370" i="11"/>
  <c r="AG370" i="11"/>
  <c r="AF370" i="11"/>
  <c r="AE370" i="11"/>
  <c r="AD370" i="11"/>
  <c r="AC370" i="11"/>
  <c r="AA370" i="11"/>
  <c r="Z370" i="11"/>
  <c r="Y370" i="11"/>
  <c r="X370" i="11"/>
  <c r="W370" i="11"/>
  <c r="U370" i="11"/>
  <c r="T370" i="11"/>
  <c r="S370" i="11"/>
  <c r="R370" i="11"/>
  <c r="Q370" i="11"/>
  <c r="O370" i="11"/>
  <c r="N370" i="11"/>
  <c r="M370" i="11"/>
  <c r="L370" i="11"/>
  <c r="K370" i="11"/>
  <c r="I370" i="11"/>
  <c r="AX369" i="11"/>
  <c r="AW369" i="11"/>
  <c r="AV369" i="11"/>
  <c r="AU369" i="11"/>
  <c r="AS369" i="11"/>
  <c r="AR369" i="11"/>
  <c r="AQ369" i="11"/>
  <c r="AP369" i="11"/>
  <c r="AO369" i="11"/>
  <c r="AM369" i="11"/>
  <c r="AL369" i="11"/>
  <c r="AK369" i="11"/>
  <c r="AJ369" i="11"/>
  <c r="AI369" i="11"/>
  <c r="AG369" i="11"/>
  <c r="AF369" i="11"/>
  <c r="AE369" i="11"/>
  <c r="AD369" i="11"/>
  <c r="AC369" i="11"/>
  <c r="AA369" i="11"/>
  <c r="Z369" i="11"/>
  <c r="Y369" i="11"/>
  <c r="X369" i="11"/>
  <c r="W369" i="11"/>
  <c r="U369" i="11"/>
  <c r="T369" i="11"/>
  <c r="S369" i="11"/>
  <c r="R369" i="11"/>
  <c r="Q369" i="11"/>
  <c r="O369" i="11"/>
  <c r="N369" i="11"/>
  <c r="M369" i="11"/>
  <c r="L369" i="11"/>
  <c r="K369" i="11"/>
  <c r="I369" i="11"/>
  <c r="AX368" i="11"/>
  <c r="AW368" i="11"/>
  <c r="AV368" i="11"/>
  <c r="AU368" i="11"/>
  <c r="AS368" i="11"/>
  <c r="AR368" i="11"/>
  <c r="AQ368" i="11"/>
  <c r="AP368" i="11"/>
  <c r="AO368" i="11"/>
  <c r="AM368" i="11"/>
  <c r="AL368" i="11"/>
  <c r="AK368" i="11"/>
  <c r="AJ368" i="11"/>
  <c r="AI368" i="11"/>
  <c r="AG368" i="11"/>
  <c r="AF368" i="11"/>
  <c r="AE368" i="11"/>
  <c r="AD368" i="11"/>
  <c r="AC368" i="11"/>
  <c r="AA368" i="11"/>
  <c r="Z368" i="11"/>
  <c r="Y368" i="11"/>
  <c r="X368" i="11"/>
  <c r="W368" i="11"/>
  <c r="U368" i="11"/>
  <c r="T368" i="11"/>
  <c r="S368" i="11"/>
  <c r="R368" i="11"/>
  <c r="Q368" i="11"/>
  <c r="O368" i="11"/>
  <c r="N368" i="11"/>
  <c r="M368" i="11"/>
  <c r="L368" i="11"/>
  <c r="K368" i="11"/>
  <c r="I368" i="11"/>
  <c r="AX367" i="11"/>
  <c r="AW367" i="11"/>
  <c r="AV367" i="11"/>
  <c r="AU367" i="11"/>
  <c r="AS367" i="11"/>
  <c r="AR367" i="11"/>
  <c r="AQ367" i="11"/>
  <c r="AP367" i="11"/>
  <c r="AO367" i="11"/>
  <c r="AM367" i="11"/>
  <c r="AL367" i="11"/>
  <c r="AK367" i="11"/>
  <c r="AJ367" i="11"/>
  <c r="AI367" i="11"/>
  <c r="AG367" i="11"/>
  <c r="AF367" i="11"/>
  <c r="AE367" i="11"/>
  <c r="AD367" i="11"/>
  <c r="AC367" i="11"/>
  <c r="AA367" i="11"/>
  <c r="Z367" i="11"/>
  <c r="Y367" i="11"/>
  <c r="X367" i="11"/>
  <c r="W367" i="11"/>
  <c r="U367" i="11"/>
  <c r="T367" i="11"/>
  <c r="S367" i="11"/>
  <c r="R367" i="11"/>
  <c r="Q367" i="11"/>
  <c r="O367" i="11"/>
  <c r="N367" i="11"/>
  <c r="M367" i="11"/>
  <c r="L367" i="11"/>
  <c r="K367" i="11"/>
  <c r="I367" i="11"/>
  <c r="AX366" i="11"/>
  <c r="AW366" i="11"/>
  <c r="AV366" i="11"/>
  <c r="AU366" i="11"/>
  <c r="AS366" i="11"/>
  <c r="AR366" i="11"/>
  <c r="AQ366" i="11"/>
  <c r="AP366" i="11"/>
  <c r="AO366" i="11"/>
  <c r="AM366" i="11"/>
  <c r="AL366" i="11"/>
  <c r="AK366" i="11"/>
  <c r="AJ366" i="11"/>
  <c r="AI366" i="11"/>
  <c r="AG366" i="11"/>
  <c r="AF366" i="11"/>
  <c r="AE366" i="11"/>
  <c r="AD366" i="11"/>
  <c r="AC366" i="11"/>
  <c r="AA366" i="11"/>
  <c r="Z366" i="11"/>
  <c r="Y366" i="11"/>
  <c r="X366" i="11"/>
  <c r="W366" i="11"/>
  <c r="U366" i="11"/>
  <c r="T366" i="11"/>
  <c r="S366" i="11"/>
  <c r="R366" i="11"/>
  <c r="Q366" i="11"/>
  <c r="O366" i="11"/>
  <c r="N366" i="11"/>
  <c r="M366" i="11"/>
  <c r="L366" i="11"/>
  <c r="K366" i="11"/>
  <c r="I366" i="11"/>
  <c r="AX365" i="11"/>
  <c r="AW365" i="11"/>
  <c r="AV365" i="11"/>
  <c r="AU365" i="11"/>
  <c r="AS365" i="11"/>
  <c r="AR365" i="11"/>
  <c r="AQ365" i="11"/>
  <c r="AP365" i="11"/>
  <c r="AO365" i="11"/>
  <c r="AM365" i="11"/>
  <c r="AL365" i="11"/>
  <c r="AK365" i="11"/>
  <c r="AJ365" i="11"/>
  <c r="AI365" i="11"/>
  <c r="AG365" i="11"/>
  <c r="AF365" i="11"/>
  <c r="AE365" i="11"/>
  <c r="AD365" i="11"/>
  <c r="AC365" i="11"/>
  <c r="AA365" i="11"/>
  <c r="Z365" i="11"/>
  <c r="Y365" i="11"/>
  <c r="X365" i="11"/>
  <c r="W365" i="11"/>
  <c r="U365" i="11"/>
  <c r="T365" i="11"/>
  <c r="S365" i="11"/>
  <c r="R365" i="11"/>
  <c r="Q365" i="11"/>
  <c r="O365" i="11"/>
  <c r="N365" i="11"/>
  <c r="M365" i="11"/>
  <c r="L365" i="11"/>
  <c r="K365" i="11"/>
  <c r="I365" i="11"/>
  <c r="AX364" i="11"/>
  <c r="AW364" i="11"/>
  <c r="AV364" i="11"/>
  <c r="AU364" i="11"/>
  <c r="AS364" i="11"/>
  <c r="AR364" i="11"/>
  <c r="AQ364" i="11"/>
  <c r="AP364" i="11"/>
  <c r="AO364" i="11"/>
  <c r="AM364" i="11"/>
  <c r="AL364" i="11"/>
  <c r="AK364" i="11"/>
  <c r="AJ364" i="11"/>
  <c r="AI364" i="11"/>
  <c r="AG364" i="11"/>
  <c r="AF364" i="11"/>
  <c r="AE364" i="11"/>
  <c r="AD364" i="11"/>
  <c r="AC364" i="11"/>
  <c r="AA364" i="11"/>
  <c r="Z364" i="11"/>
  <c r="Y364" i="11"/>
  <c r="X364" i="11"/>
  <c r="W364" i="11"/>
  <c r="U364" i="11"/>
  <c r="T364" i="11"/>
  <c r="S364" i="11"/>
  <c r="R364" i="11"/>
  <c r="Q364" i="11"/>
  <c r="O364" i="11"/>
  <c r="N364" i="11"/>
  <c r="M364" i="11"/>
  <c r="L364" i="11"/>
  <c r="K364" i="11"/>
  <c r="I364" i="11"/>
  <c r="AX363" i="11"/>
  <c r="AW363" i="11"/>
  <c r="AV363" i="11"/>
  <c r="AU363" i="11"/>
  <c r="AS363" i="11"/>
  <c r="AR363" i="11"/>
  <c r="AQ363" i="11"/>
  <c r="AP363" i="11"/>
  <c r="AO363" i="11"/>
  <c r="AM363" i="11"/>
  <c r="AL363" i="11"/>
  <c r="AK363" i="11"/>
  <c r="AJ363" i="11"/>
  <c r="AI363" i="11"/>
  <c r="AG363" i="11"/>
  <c r="AF363" i="11"/>
  <c r="AE363" i="11"/>
  <c r="AD363" i="11"/>
  <c r="AC363" i="11"/>
  <c r="AA363" i="11"/>
  <c r="Z363" i="11"/>
  <c r="Y363" i="11"/>
  <c r="X363" i="11"/>
  <c r="W363" i="11"/>
  <c r="U363" i="11"/>
  <c r="T363" i="11"/>
  <c r="S363" i="11"/>
  <c r="R363" i="11"/>
  <c r="Q363" i="11"/>
  <c r="O363" i="11"/>
  <c r="N363" i="11"/>
  <c r="M363" i="11"/>
  <c r="L363" i="11"/>
  <c r="K363" i="11"/>
  <c r="I363" i="11"/>
  <c r="AX362" i="11"/>
  <c r="AW362" i="11"/>
  <c r="AV362" i="11"/>
  <c r="AU362" i="11"/>
  <c r="AS362" i="11"/>
  <c r="AR362" i="11"/>
  <c r="AQ362" i="11"/>
  <c r="AP362" i="11"/>
  <c r="AO362" i="11"/>
  <c r="AM362" i="11"/>
  <c r="AL362" i="11"/>
  <c r="AK362" i="11"/>
  <c r="AJ362" i="11"/>
  <c r="AI362" i="11"/>
  <c r="AG362" i="11"/>
  <c r="AF362" i="11"/>
  <c r="AE362" i="11"/>
  <c r="AD362" i="11"/>
  <c r="AC362" i="11"/>
  <c r="AA362" i="11"/>
  <c r="Z362" i="11"/>
  <c r="Y362" i="11"/>
  <c r="X362" i="11"/>
  <c r="W362" i="11"/>
  <c r="U362" i="11"/>
  <c r="T362" i="11"/>
  <c r="S362" i="11"/>
  <c r="R362" i="11"/>
  <c r="Q362" i="11"/>
  <c r="O362" i="11"/>
  <c r="N362" i="11"/>
  <c r="M362" i="11"/>
  <c r="L362" i="11"/>
  <c r="K362" i="11"/>
  <c r="I362" i="11"/>
  <c r="AX340" i="11"/>
  <c r="AW340" i="11"/>
  <c r="AV340" i="11"/>
  <c r="AU340" i="11"/>
  <c r="AS340" i="11"/>
  <c r="AR340" i="11"/>
  <c r="AQ340" i="11"/>
  <c r="AP340" i="11"/>
  <c r="AO340" i="11"/>
  <c r="AM340" i="11"/>
  <c r="AL340" i="11"/>
  <c r="AK340" i="11"/>
  <c r="AJ340" i="11"/>
  <c r="AI340" i="11"/>
  <c r="AG340" i="11"/>
  <c r="AF340" i="11"/>
  <c r="AE340" i="11"/>
  <c r="AD340" i="11"/>
  <c r="AC340" i="11"/>
  <c r="AA340" i="11"/>
  <c r="Z340" i="11"/>
  <c r="Y340" i="11"/>
  <c r="X340" i="11"/>
  <c r="W340" i="11"/>
  <c r="U340" i="11"/>
  <c r="T340" i="11"/>
  <c r="S340" i="11"/>
  <c r="R340" i="11"/>
  <c r="Q340" i="11"/>
  <c r="O340" i="11"/>
  <c r="N340" i="11"/>
  <c r="M340" i="11"/>
  <c r="L340" i="11"/>
  <c r="K340" i="11"/>
  <c r="I340" i="11"/>
  <c r="AX339" i="11"/>
  <c r="AW339" i="11"/>
  <c r="AV339" i="11"/>
  <c r="AU339" i="11"/>
  <c r="AS339" i="11"/>
  <c r="AR339" i="11"/>
  <c r="AQ339" i="11"/>
  <c r="AP339" i="11"/>
  <c r="AO339" i="11"/>
  <c r="AM339" i="11"/>
  <c r="AL339" i="11"/>
  <c r="AK339" i="11"/>
  <c r="AJ339" i="11"/>
  <c r="AI339" i="11"/>
  <c r="AG339" i="11"/>
  <c r="AF339" i="11"/>
  <c r="AE339" i="11"/>
  <c r="AD339" i="11"/>
  <c r="AC339" i="11"/>
  <c r="AA339" i="11"/>
  <c r="Z339" i="11"/>
  <c r="Y339" i="11"/>
  <c r="X339" i="11"/>
  <c r="W339" i="11"/>
  <c r="U339" i="11"/>
  <c r="T339" i="11"/>
  <c r="S339" i="11"/>
  <c r="R339" i="11"/>
  <c r="Q339" i="11"/>
  <c r="O339" i="11"/>
  <c r="N339" i="11"/>
  <c r="M339" i="11"/>
  <c r="L339" i="11"/>
  <c r="K339" i="11"/>
  <c r="I339" i="11"/>
  <c r="AX338" i="11"/>
  <c r="AW338" i="11"/>
  <c r="AV338" i="11"/>
  <c r="AU338" i="11"/>
  <c r="AS338" i="11"/>
  <c r="AR338" i="11"/>
  <c r="AQ338" i="11"/>
  <c r="AP338" i="11"/>
  <c r="AO338" i="11"/>
  <c r="AM338" i="11"/>
  <c r="AL338" i="11"/>
  <c r="AK338" i="11"/>
  <c r="AJ338" i="11"/>
  <c r="AI338" i="11"/>
  <c r="AG338" i="11"/>
  <c r="AF338" i="11"/>
  <c r="AE338" i="11"/>
  <c r="AD338" i="11"/>
  <c r="AC338" i="11"/>
  <c r="AA338" i="11"/>
  <c r="Z338" i="11"/>
  <c r="Y338" i="11"/>
  <c r="X338" i="11"/>
  <c r="W338" i="11"/>
  <c r="U338" i="11"/>
  <c r="T338" i="11"/>
  <c r="S338" i="11"/>
  <c r="R338" i="11"/>
  <c r="Q338" i="11"/>
  <c r="O338" i="11"/>
  <c r="N338" i="11"/>
  <c r="M338" i="11"/>
  <c r="L338" i="11"/>
  <c r="K338" i="11"/>
  <c r="I338" i="11"/>
  <c r="AX337" i="11"/>
  <c r="AW337" i="11"/>
  <c r="AV337" i="11"/>
  <c r="AU337" i="11"/>
  <c r="AS337" i="11"/>
  <c r="AR337" i="11"/>
  <c r="AQ337" i="11"/>
  <c r="AP337" i="11"/>
  <c r="AO337" i="11"/>
  <c r="AM337" i="11"/>
  <c r="AL337" i="11"/>
  <c r="AK337" i="11"/>
  <c r="AJ337" i="11"/>
  <c r="AI337" i="11"/>
  <c r="AG337" i="11"/>
  <c r="AF337" i="11"/>
  <c r="AE337" i="11"/>
  <c r="AD337" i="11"/>
  <c r="AC337" i="11"/>
  <c r="AA337" i="11"/>
  <c r="Z337" i="11"/>
  <c r="Y337" i="11"/>
  <c r="X337" i="11"/>
  <c r="W337" i="11"/>
  <c r="U337" i="11"/>
  <c r="T337" i="11"/>
  <c r="S337" i="11"/>
  <c r="R337" i="11"/>
  <c r="Q337" i="11"/>
  <c r="O337" i="11"/>
  <c r="N337" i="11"/>
  <c r="M337" i="11"/>
  <c r="L337" i="11"/>
  <c r="K337" i="11"/>
  <c r="I337" i="11"/>
  <c r="AX336" i="11"/>
  <c r="AW336" i="11"/>
  <c r="AV336" i="11"/>
  <c r="AU336" i="11"/>
  <c r="AS336" i="11"/>
  <c r="AR336" i="11"/>
  <c r="AQ336" i="11"/>
  <c r="AP336" i="11"/>
  <c r="AO336" i="11"/>
  <c r="AM336" i="11"/>
  <c r="AL336" i="11"/>
  <c r="AK336" i="11"/>
  <c r="AJ336" i="11"/>
  <c r="AI336" i="11"/>
  <c r="AG336" i="11"/>
  <c r="AF336" i="11"/>
  <c r="AE336" i="11"/>
  <c r="AD336" i="11"/>
  <c r="AC336" i="11"/>
  <c r="AA336" i="11"/>
  <c r="Z336" i="11"/>
  <c r="Y336" i="11"/>
  <c r="X336" i="11"/>
  <c r="W336" i="11"/>
  <c r="U336" i="11"/>
  <c r="T336" i="11"/>
  <c r="S336" i="11"/>
  <c r="R336" i="11"/>
  <c r="Q336" i="11"/>
  <c r="O336" i="11"/>
  <c r="N336" i="11"/>
  <c r="M336" i="11"/>
  <c r="L336" i="11"/>
  <c r="K336" i="11"/>
  <c r="I336" i="11"/>
  <c r="AX335" i="11"/>
  <c r="AW335" i="11"/>
  <c r="AV335" i="11"/>
  <c r="AU335" i="11"/>
  <c r="AS335" i="11"/>
  <c r="AR335" i="11"/>
  <c r="AQ335" i="11"/>
  <c r="AP335" i="11"/>
  <c r="AO335" i="11"/>
  <c r="AM335" i="11"/>
  <c r="AL335" i="11"/>
  <c r="AK335" i="11"/>
  <c r="AJ335" i="11"/>
  <c r="AI335" i="11"/>
  <c r="AG335" i="11"/>
  <c r="AF335" i="11"/>
  <c r="AE335" i="11"/>
  <c r="AD335" i="11"/>
  <c r="AC335" i="11"/>
  <c r="AA335" i="11"/>
  <c r="Z335" i="11"/>
  <c r="Y335" i="11"/>
  <c r="X335" i="11"/>
  <c r="W335" i="11"/>
  <c r="U335" i="11"/>
  <c r="T335" i="11"/>
  <c r="S335" i="11"/>
  <c r="R335" i="11"/>
  <c r="Q335" i="11"/>
  <c r="O335" i="11"/>
  <c r="N335" i="11"/>
  <c r="M335" i="11"/>
  <c r="L335" i="11"/>
  <c r="K335" i="11"/>
  <c r="I335" i="11"/>
  <c r="AX334" i="11"/>
  <c r="AW334" i="11"/>
  <c r="AV334" i="11"/>
  <c r="AU334" i="11"/>
  <c r="AS334" i="11"/>
  <c r="AR334" i="11"/>
  <c r="AQ334" i="11"/>
  <c r="AP334" i="11"/>
  <c r="AO334" i="11"/>
  <c r="AM334" i="11"/>
  <c r="AL334" i="11"/>
  <c r="AK334" i="11"/>
  <c r="AJ334" i="11"/>
  <c r="AI334" i="11"/>
  <c r="AG334" i="11"/>
  <c r="AF334" i="11"/>
  <c r="AE334" i="11"/>
  <c r="AD334" i="11"/>
  <c r="AC334" i="11"/>
  <c r="AA334" i="11"/>
  <c r="Z334" i="11"/>
  <c r="Y334" i="11"/>
  <c r="X334" i="11"/>
  <c r="W334" i="11"/>
  <c r="U334" i="11"/>
  <c r="T334" i="11"/>
  <c r="S334" i="11"/>
  <c r="R334" i="11"/>
  <c r="Q334" i="11"/>
  <c r="O334" i="11"/>
  <c r="N334" i="11"/>
  <c r="M334" i="11"/>
  <c r="L334" i="11"/>
  <c r="K334" i="11"/>
  <c r="I334" i="11"/>
  <c r="AX333" i="11"/>
  <c r="AW333" i="11"/>
  <c r="AV333" i="11"/>
  <c r="AU333" i="11"/>
  <c r="AS333" i="11"/>
  <c r="AR333" i="11"/>
  <c r="AQ333" i="11"/>
  <c r="AP333" i="11"/>
  <c r="AO333" i="11"/>
  <c r="AM333" i="11"/>
  <c r="AL333" i="11"/>
  <c r="AK333" i="11"/>
  <c r="AJ333" i="11"/>
  <c r="AI333" i="11"/>
  <c r="AG333" i="11"/>
  <c r="AF333" i="11"/>
  <c r="AE333" i="11"/>
  <c r="AD333" i="11"/>
  <c r="AC333" i="11"/>
  <c r="AA333" i="11"/>
  <c r="Z333" i="11"/>
  <c r="Y333" i="11"/>
  <c r="X333" i="11"/>
  <c r="W333" i="11"/>
  <c r="U333" i="11"/>
  <c r="T333" i="11"/>
  <c r="S333" i="11"/>
  <c r="R333" i="11"/>
  <c r="Q333" i="11"/>
  <c r="O333" i="11"/>
  <c r="N333" i="11"/>
  <c r="M333" i="11"/>
  <c r="L333" i="11"/>
  <c r="K333" i="11"/>
  <c r="I333" i="11"/>
  <c r="AX332" i="11"/>
  <c r="AW332" i="11"/>
  <c r="AV332" i="11"/>
  <c r="AU332" i="11"/>
  <c r="AS332" i="11"/>
  <c r="AR332" i="11"/>
  <c r="AQ332" i="11"/>
  <c r="AP332" i="11"/>
  <c r="AO332" i="11"/>
  <c r="AM332" i="11"/>
  <c r="AL332" i="11"/>
  <c r="AK332" i="11"/>
  <c r="AJ332" i="11"/>
  <c r="AI332" i="11"/>
  <c r="AG332" i="11"/>
  <c r="AF332" i="11"/>
  <c r="AE332" i="11"/>
  <c r="AD332" i="11"/>
  <c r="AC332" i="11"/>
  <c r="AA332" i="11"/>
  <c r="Z332" i="11"/>
  <c r="Y332" i="11"/>
  <c r="X332" i="11"/>
  <c r="W332" i="11"/>
  <c r="U332" i="11"/>
  <c r="T332" i="11"/>
  <c r="S332" i="11"/>
  <c r="R332" i="11"/>
  <c r="Q332" i="11"/>
  <c r="O332" i="11"/>
  <c r="N332" i="11"/>
  <c r="M332" i="11"/>
  <c r="L332" i="11"/>
  <c r="K332" i="11"/>
  <c r="I332" i="11"/>
  <c r="AX331" i="11"/>
  <c r="AW331" i="11"/>
  <c r="AV331" i="11"/>
  <c r="AU331" i="11"/>
  <c r="AS331" i="11"/>
  <c r="AR331" i="11"/>
  <c r="AQ331" i="11"/>
  <c r="AP331" i="11"/>
  <c r="AO331" i="11"/>
  <c r="AM331" i="11"/>
  <c r="AL331" i="11"/>
  <c r="AK331" i="11"/>
  <c r="AJ331" i="11"/>
  <c r="AI331" i="11"/>
  <c r="AG331" i="11"/>
  <c r="AF331" i="11"/>
  <c r="AE331" i="11"/>
  <c r="AD331" i="11"/>
  <c r="AC331" i="11"/>
  <c r="AA331" i="11"/>
  <c r="Z331" i="11"/>
  <c r="Y331" i="11"/>
  <c r="X331" i="11"/>
  <c r="W331" i="11"/>
  <c r="U331" i="11"/>
  <c r="T331" i="11"/>
  <c r="S331" i="11"/>
  <c r="R331" i="11"/>
  <c r="Q331" i="11"/>
  <c r="O331" i="11"/>
  <c r="N331" i="11"/>
  <c r="M331" i="11"/>
  <c r="L331" i="11"/>
  <c r="K331" i="11"/>
  <c r="I331" i="11"/>
  <c r="AX330" i="11"/>
  <c r="AW330" i="11"/>
  <c r="AV330" i="11"/>
  <c r="AU330" i="11"/>
  <c r="AS330" i="11"/>
  <c r="AR330" i="11"/>
  <c r="AQ330" i="11"/>
  <c r="AP330" i="11"/>
  <c r="AO330" i="11"/>
  <c r="AM330" i="11"/>
  <c r="AL330" i="11"/>
  <c r="AK330" i="11"/>
  <c r="AJ330" i="11"/>
  <c r="AI330" i="11"/>
  <c r="AG330" i="11"/>
  <c r="AF330" i="11"/>
  <c r="AE330" i="11"/>
  <c r="AD330" i="11"/>
  <c r="AC330" i="11"/>
  <c r="AA330" i="11"/>
  <c r="Z330" i="11"/>
  <c r="Y330" i="11"/>
  <c r="X330" i="11"/>
  <c r="W330" i="11"/>
  <c r="U330" i="11"/>
  <c r="T330" i="11"/>
  <c r="S330" i="11"/>
  <c r="R330" i="11"/>
  <c r="Q330" i="11"/>
  <c r="O330" i="11"/>
  <c r="N330" i="11"/>
  <c r="M330" i="11"/>
  <c r="L330" i="11"/>
  <c r="K330" i="11"/>
  <c r="I330" i="11"/>
  <c r="AX329" i="11"/>
  <c r="AW329" i="11"/>
  <c r="AV329" i="11"/>
  <c r="AU329" i="11"/>
  <c r="AS329" i="11"/>
  <c r="AR329" i="11"/>
  <c r="AQ329" i="11"/>
  <c r="AP329" i="11"/>
  <c r="AO329" i="11"/>
  <c r="AM329" i="11"/>
  <c r="AL329" i="11"/>
  <c r="AK329" i="11"/>
  <c r="AJ329" i="11"/>
  <c r="AI329" i="11"/>
  <c r="AG329" i="11"/>
  <c r="AF329" i="11"/>
  <c r="AE329" i="11"/>
  <c r="AD329" i="11"/>
  <c r="AC329" i="11"/>
  <c r="AA329" i="11"/>
  <c r="Z329" i="11"/>
  <c r="Y329" i="11"/>
  <c r="X329" i="11"/>
  <c r="W329" i="11"/>
  <c r="U329" i="11"/>
  <c r="T329" i="11"/>
  <c r="S329" i="11"/>
  <c r="R329" i="11"/>
  <c r="Q329" i="11"/>
  <c r="O329" i="11"/>
  <c r="N329" i="11"/>
  <c r="M329" i="11"/>
  <c r="L329" i="11"/>
  <c r="K329" i="11"/>
  <c r="I329" i="11"/>
  <c r="AX328" i="11"/>
  <c r="AW328" i="11"/>
  <c r="AV328" i="11"/>
  <c r="AU328" i="11"/>
  <c r="AS328" i="11"/>
  <c r="AR328" i="11"/>
  <c r="AQ328" i="11"/>
  <c r="AP328" i="11"/>
  <c r="AO328" i="11"/>
  <c r="AM328" i="11"/>
  <c r="AL328" i="11"/>
  <c r="AK328" i="11"/>
  <c r="AJ328" i="11"/>
  <c r="AI328" i="11"/>
  <c r="AG328" i="11"/>
  <c r="AF328" i="11"/>
  <c r="AE328" i="11"/>
  <c r="AD328" i="11"/>
  <c r="AC328" i="11"/>
  <c r="AA328" i="11"/>
  <c r="Z328" i="11"/>
  <c r="Y328" i="11"/>
  <c r="X328" i="11"/>
  <c r="W328" i="11"/>
  <c r="U328" i="11"/>
  <c r="T328" i="11"/>
  <c r="S328" i="11"/>
  <c r="R328" i="11"/>
  <c r="Q328" i="11"/>
  <c r="O328" i="11"/>
  <c r="N328" i="11"/>
  <c r="M328" i="11"/>
  <c r="L328" i="11"/>
  <c r="K328" i="11"/>
  <c r="I328" i="11"/>
  <c r="AX327" i="11"/>
  <c r="AW327" i="11"/>
  <c r="AV327" i="11"/>
  <c r="AU327" i="11"/>
  <c r="AS327" i="11"/>
  <c r="AR327" i="11"/>
  <c r="AQ327" i="11"/>
  <c r="AP327" i="11"/>
  <c r="AO327" i="11"/>
  <c r="AM327" i="11"/>
  <c r="AL327" i="11"/>
  <c r="AK327" i="11"/>
  <c r="AJ327" i="11"/>
  <c r="AI327" i="11"/>
  <c r="AG327" i="11"/>
  <c r="AF327" i="11"/>
  <c r="AE327" i="11"/>
  <c r="AD327" i="11"/>
  <c r="AC327" i="11"/>
  <c r="AA327" i="11"/>
  <c r="Z327" i="11"/>
  <c r="Y327" i="11"/>
  <c r="X327" i="11"/>
  <c r="W327" i="11"/>
  <c r="U327" i="11"/>
  <c r="T327" i="11"/>
  <c r="S327" i="11"/>
  <c r="R327" i="11"/>
  <c r="Q327" i="11"/>
  <c r="O327" i="11"/>
  <c r="N327" i="11"/>
  <c r="M327" i="11"/>
  <c r="L327" i="11"/>
  <c r="K327" i="11"/>
  <c r="I327" i="11"/>
  <c r="AX326" i="11"/>
  <c r="AW326" i="11"/>
  <c r="AV326" i="11"/>
  <c r="AU326" i="11"/>
  <c r="AS326" i="11"/>
  <c r="AR326" i="11"/>
  <c r="AQ326" i="11"/>
  <c r="AP326" i="11"/>
  <c r="AO326" i="11"/>
  <c r="AM326" i="11"/>
  <c r="AL326" i="11"/>
  <c r="AK326" i="11"/>
  <c r="AJ326" i="11"/>
  <c r="AI326" i="11"/>
  <c r="AG326" i="11"/>
  <c r="AF326" i="11"/>
  <c r="AE326" i="11"/>
  <c r="AD326" i="11"/>
  <c r="AC326" i="11"/>
  <c r="AA326" i="11"/>
  <c r="Z326" i="11"/>
  <c r="Y326" i="11"/>
  <c r="X326" i="11"/>
  <c r="W326" i="11"/>
  <c r="U326" i="11"/>
  <c r="T326" i="11"/>
  <c r="S326" i="11"/>
  <c r="R326" i="11"/>
  <c r="Q326" i="11"/>
  <c r="O326" i="11"/>
  <c r="N326" i="11"/>
  <c r="M326" i="11"/>
  <c r="L326" i="11"/>
  <c r="K326" i="11"/>
  <c r="I326" i="11"/>
  <c r="AX325" i="11"/>
  <c r="AW325" i="11"/>
  <c r="AV325" i="11"/>
  <c r="AU325" i="11"/>
  <c r="AS325" i="11"/>
  <c r="AR325" i="11"/>
  <c r="AQ325" i="11"/>
  <c r="AP325" i="11"/>
  <c r="AO325" i="11"/>
  <c r="AM325" i="11"/>
  <c r="AL325" i="11"/>
  <c r="AK325" i="11"/>
  <c r="AJ325" i="11"/>
  <c r="AI325" i="11"/>
  <c r="AG325" i="11"/>
  <c r="AF325" i="11"/>
  <c r="AE325" i="11"/>
  <c r="AD325" i="11"/>
  <c r="AC325" i="11"/>
  <c r="AA325" i="11"/>
  <c r="Z325" i="11"/>
  <c r="Y325" i="11"/>
  <c r="X325" i="11"/>
  <c r="W325" i="11"/>
  <c r="U325" i="11"/>
  <c r="T325" i="11"/>
  <c r="S325" i="11"/>
  <c r="R325" i="11"/>
  <c r="Q325" i="11"/>
  <c r="O325" i="11"/>
  <c r="N325" i="11"/>
  <c r="M325" i="11"/>
  <c r="L325" i="11"/>
  <c r="K325" i="11"/>
  <c r="I325" i="11"/>
  <c r="AX324" i="11"/>
  <c r="AW324" i="11"/>
  <c r="AV324" i="11"/>
  <c r="AU324" i="11"/>
  <c r="AS324" i="11"/>
  <c r="AR324" i="11"/>
  <c r="AQ324" i="11"/>
  <c r="AP324" i="11"/>
  <c r="AO324" i="11"/>
  <c r="AM324" i="11"/>
  <c r="AL324" i="11"/>
  <c r="AK324" i="11"/>
  <c r="AJ324" i="11"/>
  <c r="AI324" i="11"/>
  <c r="AG324" i="11"/>
  <c r="AF324" i="11"/>
  <c r="AE324" i="11"/>
  <c r="AD324" i="11"/>
  <c r="AC324" i="11"/>
  <c r="AA324" i="11"/>
  <c r="Z324" i="11"/>
  <c r="Y324" i="11"/>
  <c r="X324" i="11"/>
  <c r="W324" i="11"/>
  <c r="U324" i="11"/>
  <c r="T324" i="11"/>
  <c r="S324" i="11"/>
  <c r="R324" i="11"/>
  <c r="Q324" i="11"/>
  <c r="O324" i="11"/>
  <c r="N324" i="11"/>
  <c r="M324" i="11"/>
  <c r="L324" i="11"/>
  <c r="K324" i="11"/>
  <c r="I324" i="11"/>
  <c r="AX323" i="11"/>
  <c r="AW323" i="11"/>
  <c r="AV323" i="11"/>
  <c r="AU323" i="11"/>
  <c r="AS323" i="11"/>
  <c r="AR323" i="11"/>
  <c r="AQ323" i="11"/>
  <c r="AP323" i="11"/>
  <c r="AO323" i="11"/>
  <c r="AM323" i="11"/>
  <c r="AL323" i="11"/>
  <c r="AK323" i="11"/>
  <c r="AJ323" i="11"/>
  <c r="AI323" i="11"/>
  <c r="AG323" i="11"/>
  <c r="AF323" i="11"/>
  <c r="AE323" i="11"/>
  <c r="AD323" i="11"/>
  <c r="AC323" i="11"/>
  <c r="AA323" i="11"/>
  <c r="Z323" i="11"/>
  <c r="Y323" i="11"/>
  <c r="X323" i="11"/>
  <c r="W323" i="11"/>
  <c r="U323" i="11"/>
  <c r="T323" i="11"/>
  <c r="S323" i="11"/>
  <c r="R323" i="11"/>
  <c r="Q323" i="11"/>
  <c r="O323" i="11"/>
  <c r="N323" i="11"/>
  <c r="M323" i="11"/>
  <c r="L323" i="11"/>
  <c r="K323" i="11"/>
  <c r="I323" i="11"/>
  <c r="AX322" i="11"/>
  <c r="AW322" i="11"/>
  <c r="AV322" i="11"/>
  <c r="AU322" i="11"/>
  <c r="AS322" i="11"/>
  <c r="AR322" i="11"/>
  <c r="AQ322" i="11"/>
  <c r="AP322" i="11"/>
  <c r="AO322" i="11"/>
  <c r="AM322" i="11"/>
  <c r="AL322" i="11"/>
  <c r="AK322" i="11"/>
  <c r="AJ322" i="11"/>
  <c r="AI322" i="11"/>
  <c r="AG322" i="11"/>
  <c r="AF322" i="11"/>
  <c r="AE322" i="11"/>
  <c r="AD322" i="11"/>
  <c r="AC322" i="11"/>
  <c r="AA322" i="11"/>
  <c r="Z322" i="11"/>
  <c r="Y322" i="11"/>
  <c r="X322" i="11"/>
  <c r="W322" i="11"/>
  <c r="U322" i="11"/>
  <c r="T322" i="11"/>
  <c r="S322" i="11"/>
  <c r="R322" i="11"/>
  <c r="Q322" i="11"/>
  <c r="O322" i="11"/>
  <c r="N322" i="11"/>
  <c r="M322" i="11"/>
  <c r="L322" i="11"/>
  <c r="K322" i="11"/>
  <c r="I322" i="11"/>
  <c r="AX321" i="11"/>
  <c r="AW321" i="11"/>
  <c r="AV321" i="11"/>
  <c r="AU321" i="11"/>
  <c r="AS321" i="11"/>
  <c r="AR321" i="11"/>
  <c r="AQ321" i="11"/>
  <c r="AP321" i="11"/>
  <c r="AO321" i="11"/>
  <c r="AM321" i="11"/>
  <c r="AL321" i="11"/>
  <c r="AK321" i="11"/>
  <c r="AJ321" i="11"/>
  <c r="AI321" i="11"/>
  <c r="AG321" i="11"/>
  <c r="AF321" i="11"/>
  <c r="AE321" i="11"/>
  <c r="AD321" i="11"/>
  <c r="AC321" i="11"/>
  <c r="AA321" i="11"/>
  <c r="Z321" i="11"/>
  <c r="Y321" i="11"/>
  <c r="X321" i="11"/>
  <c r="W321" i="11"/>
  <c r="U321" i="11"/>
  <c r="T321" i="11"/>
  <c r="S321" i="11"/>
  <c r="R321" i="11"/>
  <c r="Q321" i="11"/>
  <c r="O321" i="11"/>
  <c r="N321" i="11"/>
  <c r="M321" i="11"/>
  <c r="L321" i="11"/>
  <c r="K321" i="11"/>
  <c r="I321" i="11"/>
  <c r="AX320" i="11"/>
  <c r="AW320" i="11"/>
  <c r="AV320" i="11"/>
  <c r="AU320" i="11"/>
  <c r="AS320" i="11"/>
  <c r="AR320" i="11"/>
  <c r="AQ320" i="11"/>
  <c r="AP320" i="11"/>
  <c r="AO320" i="11"/>
  <c r="AM320" i="11"/>
  <c r="AL320" i="11"/>
  <c r="AK320" i="11"/>
  <c r="AJ320" i="11"/>
  <c r="AI320" i="11"/>
  <c r="AG320" i="11"/>
  <c r="AF320" i="11"/>
  <c r="AE320" i="11"/>
  <c r="AD320" i="11"/>
  <c r="AC320" i="11"/>
  <c r="AA320" i="11"/>
  <c r="Z320" i="11"/>
  <c r="Y320" i="11"/>
  <c r="X320" i="11"/>
  <c r="W320" i="11"/>
  <c r="U320" i="11"/>
  <c r="T320" i="11"/>
  <c r="S320" i="11"/>
  <c r="R320" i="11"/>
  <c r="Q320" i="11"/>
  <c r="O320" i="11"/>
  <c r="N320" i="11"/>
  <c r="M320" i="11"/>
  <c r="L320" i="11"/>
  <c r="K320" i="11"/>
  <c r="I320" i="11"/>
  <c r="AX277" i="11"/>
  <c r="AW277" i="11"/>
  <c r="AV277" i="11"/>
  <c r="AU277" i="11"/>
  <c r="AS277" i="11"/>
  <c r="AR277" i="11"/>
  <c r="AQ277" i="11"/>
  <c r="AP277" i="11"/>
  <c r="AO277" i="11"/>
  <c r="AM277" i="11"/>
  <c r="AL277" i="11"/>
  <c r="AK277" i="11"/>
  <c r="AJ277" i="11"/>
  <c r="AI277" i="11"/>
  <c r="AG277" i="11"/>
  <c r="AF277" i="11"/>
  <c r="AE277" i="11"/>
  <c r="AD277" i="11"/>
  <c r="AC277" i="11"/>
  <c r="AA277" i="11"/>
  <c r="Z277" i="11"/>
  <c r="Y277" i="11"/>
  <c r="X277" i="11"/>
  <c r="W277" i="11"/>
  <c r="U277" i="11"/>
  <c r="T277" i="11"/>
  <c r="S277" i="11"/>
  <c r="R277" i="11"/>
  <c r="Q277" i="11"/>
  <c r="O277" i="11"/>
  <c r="N277" i="11"/>
  <c r="M277" i="11"/>
  <c r="L277" i="11"/>
  <c r="K277" i="11"/>
  <c r="I277" i="11"/>
  <c r="AX276" i="11"/>
  <c r="AW276" i="11"/>
  <c r="AV276" i="11"/>
  <c r="AU276" i="11"/>
  <c r="AS276" i="11"/>
  <c r="AR276" i="11"/>
  <c r="AQ276" i="11"/>
  <c r="AP276" i="11"/>
  <c r="AO276" i="11"/>
  <c r="AM276" i="11"/>
  <c r="AL276" i="11"/>
  <c r="AK276" i="11"/>
  <c r="AJ276" i="11"/>
  <c r="AI276" i="11"/>
  <c r="AG276" i="11"/>
  <c r="AF276" i="11"/>
  <c r="AE276" i="11"/>
  <c r="AD276" i="11"/>
  <c r="AC276" i="11"/>
  <c r="AA276" i="11"/>
  <c r="Z276" i="11"/>
  <c r="Y276" i="11"/>
  <c r="X276" i="11"/>
  <c r="W276" i="11"/>
  <c r="U276" i="11"/>
  <c r="T276" i="11"/>
  <c r="S276" i="11"/>
  <c r="R276" i="11"/>
  <c r="Q276" i="11"/>
  <c r="O276" i="11"/>
  <c r="N276" i="11"/>
  <c r="M276" i="11"/>
  <c r="L276" i="11"/>
  <c r="K276" i="11"/>
  <c r="I276" i="11"/>
  <c r="AX275" i="11"/>
  <c r="AW275" i="11"/>
  <c r="AV275" i="11"/>
  <c r="AU275" i="11"/>
  <c r="AS275" i="11"/>
  <c r="AR275" i="11"/>
  <c r="AQ275" i="11"/>
  <c r="AP275" i="11"/>
  <c r="AO275" i="11"/>
  <c r="AM275" i="11"/>
  <c r="AL275" i="11"/>
  <c r="AK275" i="11"/>
  <c r="AJ275" i="11"/>
  <c r="AI275" i="11"/>
  <c r="AG275" i="11"/>
  <c r="AF275" i="11"/>
  <c r="AE275" i="11"/>
  <c r="AD275" i="11"/>
  <c r="AC275" i="11"/>
  <c r="AA275" i="11"/>
  <c r="Z275" i="11"/>
  <c r="Y275" i="11"/>
  <c r="X275" i="11"/>
  <c r="W275" i="11"/>
  <c r="U275" i="11"/>
  <c r="T275" i="11"/>
  <c r="S275" i="11"/>
  <c r="R275" i="11"/>
  <c r="Q275" i="11"/>
  <c r="O275" i="11"/>
  <c r="N275" i="11"/>
  <c r="M275" i="11"/>
  <c r="L275" i="11"/>
  <c r="K275" i="11"/>
  <c r="I275" i="11"/>
  <c r="AX274" i="11"/>
  <c r="AW274" i="11"/>
  <c r="AV274" i="11"/>
  <c r="AU274" i="11"/>
  <c r="AS274" i="11"/>
  <c r="AR274" i="11"/>
  <c r="AQ274" i="11"/>
  <c r="AP274" i="11"/>
  <c r="AO274" i="11"/>
  <c r="AM274" i="11"/>
  <c r="AL274" i="11"/>
  <c r="AK274" i="11"/>
  <c r="AJ274" i="11"/>
  <c r="AI274" i="11"/>
  <c r="AG274" i="11"/>
  <c r="AF274" i="11"/>
  <c r="AE274" i="11"/>
  <c r="AD274" i="11"/>
  <c r="AC274" i="11"/>
  <c r="AA274" i="11"/>
  <c r="Z274" i="11"/>
  <c r="Y274" i="11"/>
  <c r="X274" i="11"/>
  <c r="W274" i="11"/>
  <c r="U274" i="11"/>
  <c r="T274" i="11"/>
  <c r="S274" i="11"/>
  <c r="R274" i="11"/>
  <c r="Q274" i="11"/>
  <c r="O274" i="11"/>
  <c r="N274" i="11"/>
  <c r="M274" i="11"/>
  <c r="L274" i="11"/>
  <c r="K274" i="11"/>
  <c r="I274" i="11"/>
  <c r="AX273" i="11"/>
  <c r="AW273" i="11"/>
  <c r="AV273" i="11"/>
  <c r="AU273" i="11"/>
  <c r="AS273" i="11"/>
  <c r="AR273" i="11"/>
  <c r="AQ273" i="11"/>
  <c r="AP273" i="11"/>
  <c r="AO273" i="11"/>
  <c r="AM273" i="11"/>
  <c r="AL273" i="11"/>
  <c r="AK273" i="11"/>
  <c r="AJ273" i="11"/>
  <c r="AI273" i="11"/>
  <c r="AG273" i="11"/>
  <c r="AF273" i="11"/>
  <c r="AE273" i="11"/>
  <c r="AD273" i="11"/>
  <c r="AC273" i="11"/>
  <c r="AA273" i="11"/>
  <c r="Z273" i="11"/>
  <c r="Y273" i="11"/>
  <c r="X273" i="11"/>
  <c r="W273" i="11"/>
  <c r="U273" i="11"/>
  <c r="T273" i="11"/>
  <c r="S273" i="11"/>
  <c r="R273" i="11"/>
  <c r="Q273" i="11"/>
  <c r="O273" i="11"/>
  <c r="N273" i="11"/>
  <c r="M273" i="11"/>
  <c r="L273" i="11"/>
  <c r="K273" i="11"/>
  <c r="I273" i="11"/>
  <c r="AX272" i="11"/>
  <c r="AW272" i="11"/>
  <c r="AV272" i="11"/>
  <c r="AU272" i="11"/>
  <c r="AS272" i="11"/>
  <c r="AR272" i="11"/>
  <c r="AQ272" i="11"/>
  <c r="AP272" i="11"/>
  <c r="AO272" i="11"/>
  <c r="AM272" i="11"/>
  <c r="AL272" i="11"/>
  <c r="AK272" i="11"/>
  <c r="AJ272" i="11"/>
  <c r="AI272" i="11"/>
  <c r="AG272" i="11"/>
  <c r="AF272" i="11"/>
  <c r="AE272" i="11"/>
  <c r="AD272" i="11"/>
  <c r="AC272" i="11"/>
  <c r="AA272" i="11"/>
  <c r="Z272" i="11"/>
  <c r="Y272" i="11"/>
  <c r="X272" i="11"/>
  <c r="W272" i="11"/>
  <c r="U272" i="11"/>
  <c r="T272" i="11"/>
  <c r="S272" i="11"/>
  <c r="R272" i="11"/>
  <c r="Q272" i="11"/>
  <c r="O272" i="11"/>
  <c r="N272" i="11"/>
  <c r="M272" i="11"/>
  <c r="L272" i="11"/>
  <c r="K272" i="11"/>
  <c r="I272" i="11"/>
  <c r="AX271" i="11"/>
  <c r="AW271" i="11"/>
  <c r="AV271" i="11"/>
  <c r="AU271" i="11"/>
  <c r="AS271" i="11"/>
  <c r="AR271" i="11"/>
  <c r="AQ271" i="11"/>
  <c r="AP271" i="11"/>
  <c r="AO271" i="11"/>
  <c r="AM271" i="11"/>
  <c r="AL271" i="11"/>
  <c r="AK271" i="11"/>
  <c r="AJ271" i="11"/>
  <c r="AI271" i="11"/>
  <c r="AG271" i="11"/>
  <c r="AF271" i="11"/>
  <c r="AE271" i="11"/>
  <c r="AD271" i="11"/>
  <c r="AC271" i="11"/>
  <c r="AA271" i="11"/>
  <c r="Z271" i="11"/>
  <c r="Y271" i="11"/>
  <c r="X271" i="11"/>
  <c r="W271" i="11"/>
  <c r="U271" i="11"/>
  <c r="T271" i="11"/>
  <c r="S271" i="11"/>
  <c r="R271" i="11"/>
  <c r="Q271" i="11"/>
  <c r="O271" i="11"/>
  <c r="N271" i="11"/>
  <c r="M271" i="11"/>
  <c r="L271" i="11"/>
  <c r="K271" i="11"/>
  <c r="I271" i="11"/>
  <c r="AX270" i="11"/>
  <c r="AW270" i="11"/>
  <c r="AV270" i="11"/>
  <c r="AU270" i="11"/>
  <c r="AS270" i="11"/>
  <c r="AR270" i="11"/>
  <c r="AQ270" i="11"/>
  <c r="AP270" i="11"/>
  <c r="AO270" i="11"/>
  <c r="AM270" i="11"/>
  <c r="AL270" i="11"/>
  <c r="AK270" i="11"/>
  <c r="AJ270" i="11"/>
  <c r="AI270" i="11"/>
  <c r="AG270" i="11"/>
  <c r="AF270" i="11"/>
  <c r="AE270" i="11"/>
  <c r="AD270" i="11"/>
  <c r="AC270" i="11"/>
  <c r="AA270" i="11"/>
  <c r="Z270" i="11"/>
  <c r="Y270" i="11"/>
  <c r="X270" i="11"/>
  <c r="W270" i="11"/>
  <c r="U270" i="11"/>
  <c r="T270" i="11"/>
  <c r="S270" i="11"/>
  <c r="R270" i="11"/>
  <c r="Q270" i="11"/>
  <c r="O270" i="11"/>
  <c r="N270" i="11"/>
  <c r="M270" i="11"/>
  <c r="L270" i="11"/>
  <c r="K270" i="11"/>
  <c r="I270" i="11"/>
  <c r="AX269" i="11"/>
  <c r="AW269" i="11"/>
  <c r="AV269" i="11"/>
  <c r="AU269" i="11"/>
  <c r="AS269" i="11"/>
  <c r="AR269" i="11"/>
  <c r="AQ269" i="11"/>
  <c r="AP269" i="11"/>
  <c r="AO269" i="11"/>
  <c r="AM269" i="11"/>
  <c r="AL269" i="11"/>
  <c r="AK269" i="11"/>
  <c r="AJ269" i="11"/>
  <c r="AI269" i="11"/>
  <c r="AG269" i="11"/>
  <c r="AF269" i="11"/>
  <c r="AE269" i="11"/>
  <c r="AD269" i="11"/>
  <c r="AC269" i="11"/>
  <c r="AA269" i="11"/>
  <c r="Z269" i="11"/>
  <c r="Y269" i="11"/>
  <c r="X269" i="11"/>
  <c r="W269" i="11"/>
  <c r="U269" i="11"/>
  <c r="T269" i="11"/>
  <c r="S269" i="11"/>
  <c r="R269" i="11"/>
  <c r="Q269" i="11"/>
  <c r="O269" i="11"/>
  <c r="N269" i="11"/>
  <c r="M269" i="11"/>
  <c r="L269" i="11"/>
  <c r="K269" i="11"/>
  <c r="I269" i="11"/>
  <c r="AX268" i="11"/>
  <c r="AW268" i="11"/>
  <c r="AV268" i="11"/>
  <c r="AU268" i="11"/>
  <c r="AS268" i="11"/>
  <c r="AR268" i="11"/>
  <c r="AQ268" i="11"/>
  <c r="AP268" i="11"/>
  <c r="AO268" i="11"/>
  <c r="AM268" i="11"/>
  <c r="AL268" i="11"/>
  <c r="AK268" i="11"/>
  <c r="AJ268" i="11"/>
  <c r="AI268" i="11"/>
  <c r="AG268" i="11"/>
  <c r="AF268" i="11"/>
  <c r="AE268" i="11"/>
  <c r="AD268" i="11"/>
  <c r="AC268" i="11"/>
  <c r="AA268" i="11"/>
  <c r="Z268" i="11"/>
  <c r="Y268" i="11"/>
  <c r="X268" i="11"/>
  <c r="W268" i="11"/>
  <c r="U268" i="11"/>
  <c r="T268" i="11"/>
  <c r="S268" i="11"/>
  <c r="R268" i="11"/>
  <c r="Q268" i="11"/>
  <c r="O268" i="11"/>
  <c r="N268" i="11"/>
  <c r="M268" i="11"/>
  <c r="L268" i="11"/>
  <c r="K268" i="11"/>
  <c r="I268" i="11"/>
  <c r="AX267" i="11"/>
  <c r="AW267" i="11"/>
  <c r="AV267" i="11"/>
  <c r="AU267" i="11"/>
  <c r="AS267" i="11"/>
  <c r="AR267" i="11"/>
  <c r="AQ267" i="11"/>
  <c r="AP267" i="11"/>
  <c r="AO267" i="11"/>
  <c r="AM267" i="11"/>
  <c r="AL267" i="11"/>
  <c r="AK267" i="11"/>
  <c r="AJ267" i="11"/>
  <c r="AI267" i="11"/>
  <c r="AG267" i="11"/>
  <c r="AF267" i="11"/>
  <c r="AE267" i="11"/>
  <c r="AD267" i="11"/>
  <c r="AC267" i="11"/>
  <c r="AA267" i="11"/>
  <c r="Z267" i="11"/>
  <c r="Y267" i="11"/>
  <c r="X267" i="11"/>
  <c r="W267" i="11"/>
  <c r="U267" i="11"/>
  <c r="T267" i="11"/>
  <c r="S267" i="11"/>
  <c r="R267" i="11"/>
  <c r="Q267" i="11"/>
  <c r="O267" i="11"/>
  <c r="N267" i="11"/>
  <c r="M267" i="11"/>
  <c r="L267" i="11"/>
  <c r="K267" i="11"/>
  <c r="I267" i="11"/>
  <c r="AX266" i="11"/>
  <c r="AW266" i="11"/>
  <c r="AV266" i="11"/>
  <c r="AU266" i="11"/>
  <c r="AS266" i="11"/>
  <c r="AR266" i="11"/>
  <c r="AQ266" i="11"/>
  <c r="AP266" i="11"/>
  <c r="AO266" i="11"/>
  <c r="AM266" i="11"/>
  <c r="AL266" i="11"/>
  <c r="AK266" i="11"/>
  <c r="AJ266" i="11"/>
  <c r="AI266" i="11"/>
  <c r="AG266" i="11"/>
  <c r="AF266" i="11"/>
  <c r="AE266" i="11"/>
  <c r="AD266" i="11"/>
  <c r="AC266" i="11"/>
  <c r="AA266" i="11"/>
  <c r="Z266" i="11"/>
  <c r="Y266" i="11"/>
  <c r="X266" i="11"/>
  <c r="W266" i="11"/>
  <c r="U266" i="11"/>
  <c r="T266" i="11"/>
  <c r="S266" i="11"/>
  <c r="R266" i="11"/>
  <c r="Q266" i="11"/>
  <c r="O266" i="11"/>
  <c r="N266" i="11"/>
  <c r="M266" i="11"/>
  <c r="L266" i="11"/>
  <c r="K266" i="11"/>
  <c r="I266" i="11"/>
  <c r="AX265" i="11"/>
  <c r="AW265" i="11"/>
  <c r="AV265" i="11"/>
  <c r="AU265" i="11"/>
  <c r="AS265" i="11"/>
  <c r="AR265" i="11"/>
  <c r="AQ265" i="11"/>
  <c r="AP265" i="11"/>
  <c r="AO265" i="11"/>
  <c r="AM265" i="11"/>
  <c r="AL265" i="11"/>
  <c r="AK265" i="11"/>
  <c r="AJ265" i="11"/>
  <c r="AI265" i="11"/>
  <c r="AG265" i="11"/>
  <c r="AF265" i="11"/>
  <c r="AE265" i="11"/>
  <c r="AD265" i="11"/>
  <c r="AC265" i="11"/>
  <c r="AA265" i="11"/>
  <c r="Z265" i="11"/>
  <c r="Y265" i="11"/>
  <c r="X265" i="11"/>
  <c r="W265" i="11"/>
  <c r="U265" i="11"/>
  <c r="T265" i="11"/>
  <c r="S265" i="11"/>
  <c r="R265" i="11"/>
  <c r="Q265" i="11"/>
  <c r="O265" i="11"/>
  <c r="N265" i="11"/>
  <c r="M265" i="11"/>
  <c r="L265" i="11"/>
  <c r="K265" i="11"/>
  <c r="I265" i="11"/>
  <c r="AX264" i="11"/>
  <c r="AW264" i="11"/>
  <c r="AV264" i="11"/>
  <c r="AU264" i="11"/>
  <c r="AS264" i="11"/>
  <c r="AR264" i="11"/>
  <c r="AQ264" i="11"/>
  <c r="AP264" i="11"/>
  <c r="AO264" i="11"/>
  <c r="AM264" i="11"/>
  <c r="AL264" i="11"/>
  <c r="AK264" i="11"/>
  <c r="AJ264" i="11"/>
  <c r="AI264" i="11"/>
  <c r="AG264" i="11"/>
  <c r="AF264" i="11"/>
  <c r="AE264" i="11"/>
  <c r="AD264" i="11"/>
  <c r="AC264" i="11"/>
  <c r="AA264" i="11"/>
  <c r="Z264" i="11"/>
  <c r="Y264" i="11"/>
  <c r="X264" i="11"/>
  <c r="W264" i="11"/>
  <c r="U264" i="11"/>
  <c r="T264" i="11"/>
  <c r="S264" i="11"/>
  <c r="R264" i="11"/>
  <c r="Q264" i="11"/>
  <c r="O264" i="11"/>
  <c r="N264" i="11"/>
  <c r="M264" i="11"/>
  <c r="L264" i="11"/>
  <c r="K264" i="11"/>
  <c r="I264" i="11"/>
  <c r="AX263" i="11"/>
  <c r="AW263" i="11"/>
  <c r="AV263" i="11"/>
  <c r="AU263" i="11"/>
  <c r="AS263" i="11"/>
  <c r="AR263" i="11"/>
  <c r="AQ263" i="11"/>
  <c r="AP263" i="11"/>
  <c r="AO263" i="11"/>
  <c r="AM263" i="11"/>
  <c r="AL263" i="11"/>
  <c r="AK263" i="11"/>
  <c r="AJ263" i="11"/>
  <c r="AI263" i="11"/>
  <c r="AG263" i="11"/>
  <c r="AF263" i="11"/>
  <c r="AE263" i="11"/>
  <c r="AD263" i="11"/>
  <c r="AC263" i="11"/>
  <c r="AA263" i="11"/>
  <c r="Z263" i="11"/>
  <c r="Y263" i="11"/>
  <c r="X263" i="11"/>
  <c r="W263" i="11"/>
  <c r="U263" i="11"/>
  <c r="T263" i="11"/>
  <c r="S263" i="11"/>
  <c r="R263" i="11"/>
  <c r="Q263" i="11"/>
  <c r="O263" i="11"/>
  <c r="N263" i="11"/>
  <c r="M263" i="11"/>
  <c r="L263" i="11"/>
  <c r="K263" i="11"/>
  <c r="I263" i="11"/>
  <c r="AX262" i="11"/>
  <c r="AW262" i="11"/>
  <c r="AV262" i="11"/>
  <c r="AU262" i="11"/>
  <c r="AS262" i="11"/>
  <c r="AR262" i="11"/>
  <c r="AQ262" i="11"/>
  <c r="AP262" i="11"/>
  <c r="AO262" i="11"/>
  <c r="AM262" i="11"/>
  <c r="AL262" i="11"/>
  <c r="AK262" i="11"/>
  <c r="AJ262" i="11"/>
  <c r="AI262" i="11"/>
  <c r="AG262" i="11"/>
  <c r="AF262" i="11"/>
  <c r="AE262" i="11"/>
  <c r="AD262" i="11"/>
  <c r="AC262" i="11"/>
  <c r="AA262" i="11"/>
  <c r="Z262" i="11"/>
  <c r="Y262" i="11"/>
  <c r="X262" i="11"/>
  <c r="W262" i="11"/>
  <c r="U262" i="11"/>
  <c r="T262" i="11"/>
  <c r="S262" i="11"/>
  <c r="R262" i="11"/>
  <c r="Q262" i="11"/>
  <c r="O262" i="11"/>
  <c r="N262" i="11"/>
  <c r="M262" i="11"/>
  <c r="L262" i="11"/>
  <c r="K262" i="11"/>
  <c r="I262" i="11"/>
  <c r="AX261" i="11"/>
  <c r="AW261" i="11"/>
  <c r="AV261" i="11"/>
  <c r="AU261" i="11"/>
  <c r="AS261" i="11"/>
  <c r="AR261" i="11"/>
  <c r="AQ261" i="11"/>
  <c r="AP261" i="11"/>
  <c r="AO261" i="11"/>
  <c r="AM261" i="11"/>
  <c r="AL261" i="11"/>
  <c r="AK261" i="11"/>
  <c r="AJ261" i="11"/>
  <c r="AI261" i="11"/>
  <c r="AG261" i="11"/>
  <c r="AF261" i="11"/>
  <c r="AE261" i="11"/>
  <c r="AD261" i="11"/>
  <c r="AC261" i="11"/>
  <c r="AA261" i="11"/>
  <c r="Z261" i="11"/>
  <c r="Y261" i="11"/>
  <c r="X261" i="11"/>
  <c r="W261" i="11"/>
  <c r="U261" i="11"/>
  <c r="T261" i="11"/>
  <c r="S261" i="11"/>
  <c r="R261" i="11"/>
  <c r="Q261" i="11"/>
  <c r="O261" i="11"/>
  <c r="N261" i="11"/>
  <c r="M261" i="11"/>
  <c r="L261" i="11"/>
  <c r="K261" i="11"/>
  <c r="I261" i="11"/>
  <c r="AX260" i="11"/>
  <c r="AW260" i="11"/>
  <c r="AV260" i="11"/>
  <c r="AU260" i="11"/>
  <c r="AS260" i="11"/>
  <c r="AR260" i="11"/>
  <c r="AQ260" i="11"/>
  <c r="AP260" i="11"/>
  <c r="AO260" i="11"/>
  <c r="AM260" i="11"/>
  <c r="AL260" i="11"/>
  <c r="AK260" i="11"/>
  <c r="AJ260" i="11"/>
  <c r="AI260" i="11"/>
  <c r="AG260" i="11"/>
  <c r="AF260" i="11"/>
  <c r="AE260" i="11"/>
  <c r="AD260" i="11"/>
  <c r="AC260" i="11"/>
  <c r="AA260" i="11"/>
  <c r="Z260" i="11"/>
  <c r="Y260" i="11"/>
  <c r="X260" i="11"/>
  <c r="W260" i="11"/>
  <c r="U260" i="11"/>
  <c r="T260" i="11"/>
  <c r="S260" i="11"/>
  <c r="R260" i="11"/>
  <c r="Q260" i="11"/>
  <c r="O260" i="11"/>
  <c r="N260" i="11"/>
  <c r="M260" i="11"/>
  <c r="L260" i="11"/>
  <c r="K260" i="11"/>
  <c r="I260" i="11"/>
  <c r="AX259" i="11"/>
  <c r="AW259" i="11"/>
  <c r="AV259" i="11"/>
  <c r="AU259" i="11"/>
  <c r="AS259" i="11"/>
  <c r="AR259" i="11"/>
  <c r="AQ259" i="11"/>
  <c r="AP259" i="11"/>
  <c r="AO259" i="11"/>
  <c r="AM259" i="11"/>
  <c r="AL259" i="11"/>
  <c r="AK259" i="11"/>
  <c r="AJ259" i="11"/>
  <c r="AI259" i="11"/>
  <c r="AG259" i="11"/>
  <c r="AF259" i="11"/>
  <c r="AE259" i="11"/>
  <c r="AD259" i="11"/>
  <c r="AC259" i="11"/>
  <c r="AA259" i="11"/>
  <c r="Z259" i="11"/>
  <c r="Y259" i="11"/>
  <c r="X259" i="11"/>
  <c r="W259" i="11"/>
  <c r="U259" i="11"/>
  <c r="T259" i="11"/>
  <c r="S259" i="11"/>
  <c r="R259" i="11"/>
  <c r="Q259" i="11"/>
  <c r="O259" i="11"/>
  <c r="N259" i="11"/>
  <c r="M259" i="11"/>
  <c r="L259" i="11"/>
  <c r="K259" i="11"/>
  <c r="I259" i="11"/>
  <c r="AX258" i="11"/>
  <c r="AW258" i="11"/>
  <c r="AV258" i="11"/>
  <c r="AU258" i="11"/>
  <c r="AS258" i="11"/>
  <c r="AR258" i="11"/>
  <c r="AQ258" i="11"/>
  <c r="AP258" i="11"/>
  <c r="AO258" i="11"/>
  <c r="AM258" i="11"/>
  <c r="AL258" i="11"/>
  <c r="AK258" i="11"/>
  <c r="AJ258" i="11"/>
  <c r="AI258" i="11"/>
  <c r="AG258" i="11"/>
  <c r="AF258" i="11"/>
  <c r="AE258" i="11"/>
  <c r="AD258" i="11"/>
  <c r="AC258" i="11"/>
  <c r="AA258" i="11"/>
  <c r="Z258" i="11"/>
  <c r="Y258" i="11"/>
  <c r="X258" i="11"/>
  <c r="W258" i="11"/>
  <c r="U258" i="11"/>
  <c r="T258" i="11"/>
  <c r="S258" i="11"/>
  <c r="R258" i="11"/>
  <c r="Q258" i="11"/>
  <c r="O258" i="11"/>
  <c r="N258" i="11"/>
  <c r="M258" i="11"/>
  <c r="L258" i="11"/>
  <c r="K258" i="11"/>
  <c r="I258" i="11"/>
  <c r="AX257" i="11"/>
  <c r="AW257" i="11"/>
  <c r="AV257" i="11"/>
  <c r="AU257" i="11"/>
  <c r="AS257" i="11"/>
  <c r="AR257" i="11"/>
  <c r="AQ257" i="11"/>
  <c r="AP257" i="11"/>
  <c r="AO257" i="11"/>
  <c r="AM257" i="11"/>
  <c r="AL257" i="11"/>
  <c r="AK257" i="11"/>
  <c r="AJ257" i="11"/>
  <c r="AI257" i="11"/>
  <c r="AG257" i="11"/>
  <c r="AF257" i="11"/>
  <c r="AE257" i="11"/>
  <c r="AD257" i="11"/>
  <c r="AC257" i="11"/>
  <c r="AA257" i="11"/>
  <c r="Z257" i="11"/>
  <c r="Y257" i="11"/>
  <c r="X257" i="11"/>
  <c r="W257" i="11"/>
  <c r="U257" i="11"/>
  <c r="T257" i="11"/>
  <c r="S257" i="11"/>
  <c r="R257" i="11"/>
  <c r="Q257" i="11"/>
  <c r="O257" i="11"/>
  <c r="N257" i="11"/>
  <c r="M257" i="11"/>
  <c r="L257" i="11"/>
  <c r="K257" i="11"/>
  <c r="I257" i="11"/>
  <c r="BF102" i="11"/>
  <c r="BB102" i="11"/>
  <c r="BF101" i="11"/>
  <c r="BB101" i="11"/>
  <c r="BF100" i="11"/>
  <c r="BB100" i="11"/>
  <c r="BF99" i="11"/>
  <c r="BB99" i="11"/>
  <c r="BC157" i="11" l="1"/>
  <c r="BC158" i="11"/>
  <c r="BC159" i="11"/>
  <c r="BC160" i="11"/>
  <c r="BC161" i="11"/>
  <c r="BC149" i="11"/>
  <c r="BC162" i="11"/>
  <c r="BC150" i="11"/>
  <c r="BC163" i="11"/>
  <c r="BC152" i="11"/>
  <c r="BC164" i="11"/>
  <c r="I347" i="11"/>
  <c r="BC153" i="11"/>
  <c r="BC165" i="11"/>
  <c r="BC154" i="11"/>
  <c r="BC166" i="11"/>
  <c r="BC167" i="11"/>
  <c r="BC155" i="11"/>
  <c r="BC168" i="11"/>
  <c r="BG115" i="11"/>
  <c r="T342" i="11"/>
  <c r="AR342" i="11"/>
  <c r="BG124" i="11"/>
  <c r="Z351" i="11"/>
  <c r="AX351" i="11"/>
  <c r="Z342" i="11"/>
  <c r="AX342" i="11"/>
  <c r="AF351" i="11"/>
  <c r="AF342" i="11"/>
  <c r="N351" i="11"/>
  <c r="AL351" i="11"/>
  <c r="N342" i="11"/>
  <c r="AL342" i="11"/>
  <c r="T351" i="11"/>
  <c r="AR351" i="11"/>
  <c r="BF120" i="11"/>
  <c r="BC120" i="11"/>
  <c r="V356" i="11"/>
  <c r="AN356" i="11"/>
  <c r="AH356" i="11"/>
  <c r="J356" i="11"/>
  <c r="AB356" i="11"/>
  <c r="AT356" i="11"/>
  <c r="P356" i="11"/>
  <c r="J352" i="11"/>
  <c r="AB352" i="11"/>
  <c r="AT352" i="11"/>
  <c r="V352" i="11"/>
  <c r="AN352" i="11"/>
  <c r="P352" i="11"/>
  <c r="AH352" i="11"/>
  <c r="BD122" i="11"/>
  <c r="P349" i="11"/>
  <c r="AH349" i="11"/>
  <c r="AT349" i="11"/>
  <c r="V349" i="11"/>
  <c r="AN349" i="11"/>
  <c r="J349" i="11"/>
  <c r="AB349" i="11"/>
  <c r="BD121" i="11"/>
  <c r="P348" i="11"/>
  <c r="AH348" i="11"/>
  <c r="AB348" i="11"/>
  <c r="AT348" i="11"/>
  <c r="V348" i="11"/>
  <c r="AN348" i="11"/>
  <c r="J348" i="11"/>
  <c r="BD128" i="11"/>
  <c r="AT355" i="11"/>
  <c r="V355" i="11"/>
  <c r="AN355" i="11"/>
  <c r="P355" i="11"/>
  <c r="AH355" i="11"/>
  <c r="J355" i="11"/>
  <c r="AB355" i="11"/>
  <c r="V345" i="11"/>
  <c r="AN345" i="11"/>
  <c r="P345" i="11"/>
  <c r="J345" i="11"/>
  <c r="AB345" i="11"/>
  <c r="AT345" i="11"/>
  <c r="AH345" i="11"/>
  <c r="BD130" i="11"/>
  <c r="V357" i="11"/>
  <c r="AN357" i="11"/>
  <c r="P357" i="11"/>
  <c r="J357" i="11"/>
  <c r="AB357" i="11"/>
  <c r="AT357" i="11"/>
  <c r="AH357" i="11"/>
  <c r="V346" i="11"/>
  <c r="AN346" i="11"/>
  <c r="P346" i="11"/>
  <c r="AH346" i="11"/>
  <c r="AB346" i="11"/>
  <c r="AT346" i="11"/>
  <c r="J346" i="11"/>
  <c r="BD123" i="11"/>
  <c r="AH350" i="11"/>
  <c r="AB350" i="11"/>
  <c r="V350" i="11"/>
  <c r="AN350" i="11"/>
  <c r="P350" i="11"/>
  <c r="J350" i="11"/>
  <c r="AT350" i="11"/>
  <c r="BD126" i="11"/>
  <c r="AB353" i="11"/>
  <c r="AT353" i="11"/>
  <c r="AN353" i="11"/>
  <c r="P353" i="11"/>
  <c r="AH353" i="11"/>
  <c r="J353" i="11"/>
  <c r="V353" i="11"/>
  <c r="BD132" i="11"/>
  <c r="AN359" i="11"/>
  <c r="P359" i="11"/>
  <c r="AH359" i="11"/>
  <c r="AB359" i="11"/>
  <c r="AT359" i="11"/>
  <c r="V359" i="11"/>
  <c r="J359" i="11"/>
  <c r="BD114" i="11"/>
  <c r="AB341" i="11"/>
  <c r="AT341" i="11"/>
  <c r="AN341" i="11"/>
  <c r="P341" i="11"/>
  <c r="AH341" i="11"/>
  <c r="V341" i="11"/>
  <c r="J341" i="11"/>
  <c r="BD139" i="11"/>
  <c r="P361" i="11"/>
  <c r="AH361" i="11"/>
  <c r="J361" i="11"/>
  <c r="AT361" i="11"/>
  <c r="V361" i="11"/>
  <c r="AN361" i="11"/>
  <c r="AB361" i="11"/>
  <c r="BD117" i="11"/>
  <c r="V344" i="11"/>
  <c r="AN344" i="11"/>
  <c r="AH344" i="11"/>
  <c r="J344" i="11"/>
  <c r="AB344" i="11"/>
  <c r="AT344" i="11"/>
  <c r="P344" i="11"/>
  <c r="BD131" i="11"/>
  <c r="V358" i="11"/>
  <c r="AN358" i="11"/>
  <c r="P358" i="11"/>
  <c r="AH358" i="11"/>
  <c r="AB358" i="11"/>
  <c r="AT358" i="11"/>
  <c r="J358" i="11"/>
  <c r="BD138" i="11"/>
  <c r="P360" i="11"/>
  <c r="AH360" i="11"/>
  <c r="AB360" i="11"/>
  <c r="AT360" i="11"/>
  <c r="V360" i="11"/>
  <c r="AN360" i="11"/>
  <c r="J360" i="11"/>
  <c r="AB354" i="11"/>
  <c r="AT354" i="11"/>
  <c r="V354" i="11"/>
  <c r="P354" i="11"/>
  <c r="AH354" i="11"/>
  <c r="J354" i="11"/>
  <c r="AN354" i="11"/>
  <c r="AU361" i="11"/>
  <c r="AI361" i="11"/>
  <c r="W361" i="11"/>
  <c r="K361" i="11"/>
  <c r="AO361" i="11"/>
  <c r="AC361" i="11"/>
  <c r="Q361" i="11"/>
  <c r="AO344" i="11"/>
  <c r="AC344" i="11"/>
  <c r="Q344" i="11"/>
  <c r="AU344" i="11"/>
  <c r="AI344" i="11"/>
  <c r="W344" i="11"/>
  <c r="K344" i="11"/>
  <c r="AO358" i="11"/>
  <c r="AC358" i="11"/>
  <c r="Q358" i="11"/>
  <c r="AU358" i="11"/>
  <c r="AI358" i="11"/>
  <c r="W358" i="11"/>
  <c r="K358" i="11"/>
  <c r="BB120" i="11"/>
  <c r="AS347" i="11"/>
  <c r="AO360" i="11"/>
  <c r="AC360" i="11"/>
  <c r="Q360" i="11"/>
  <c r="AU360" i="11"/>
  <c r="AI360" i="11"/>
  <c r="W360" i="11"/>
  <c r="K360" i="11"/>
  <c r="AO356" i="11"/>
  <c r="AC356" i="11"/>
  <c r="Q356" i="11"/>
  <c r="AU356" i="11"/>
  <c r="AI356" i="11"/>
  <c r="W356" i="11"/>
  <c r="K356" i="11"/>
  <c r="AP350" i="11"/>
  <c r="AD350" i="11"/>
  <c r="R350" i="11"/>
  <c r="AV350" i="11"/>
  <c r="AJ350" i="11"/>
  <c r="X350" i="11"/>
  <c r="L350" i="11"/>
  <c r="AO354" i="11"/>
  <c r="AC354" i="11"/>
  <c r="Q354" i="11"/>
  <c r="AU354" i="11"/>
  <c r="AI354" i="11"/>
  <c r="W354" i="11"/>
  <c r="K354" i="11"/>
  <c r="K471" i="11"/>
  <c r="AW351" i="11"/>
  <c r="AK351" i="11"/>
  <c r="Y351" i="11"/>
  <c r="M351" i="11"/>
  <c r="AQ351" i="11"/>
  <c r="AE351" i="11"/>
  <c r="S351" i="11"/>
  <c r="AP352" i="11"/>
  <c r="AD352" i="11"/>
  <c r="R352" i="11"/>
  <c r="AV352" i="11"/>
  <c r="AJ352" i="11"/>
  <c r="X352" i="11"/>
  <c r="L352" i="11"/>
  <c r="AO350" i="11"/>
  <c r="AC350" i="11"/>
  <c r="Q350" i="11"/>
  <c r="AU350" i="11"/>
  <c r="AI350" i="11"/>
  <c r="W350" i="11"/>
  <c r="K350" i="11"/>
  <c r="AV349" i="11"/>
  <c r="AJ349" i="11"/>
  <c r="X349" i="11"/>
  <c r="L349" i="11"/>
  <c r="AP349" i="11"/>
  <c r="AD349" i="11"/>
  <c r="R349" i="11"/>
  <c r="BF124" i="11"/>
  <c r="AV361" i="11"/>
  <c r="AJ361" i="11"/>
  <c r="X361" i="11"/>
  <c r="L361" i="11"/>
  <c r="AP361" i="11"/>
  <c r="AD361" i="11"/>
  <c r="R361" i="11"/>
  <c r="AP356" i="11"/>
  <c r="AD356" i="11"/>
  <c r="R356" i="11"/>
  <c r="AV356" i="11"/>
  <c r="AJ356" i="11"/>
  <c r="X356" i="11"/>
  <c r="L356" i="11"/>
  <c r="AO352" i="11"/>
  <c r="AC352" i="11"/>
  <c r="Q352" i="11"/>
  <c r="AU352" i="11"/>
  <c r="AI352" i="11"/>
  <c r="W352" i="11"/>
  <c r="K352" i="11"/>
  <c r="AP348" i="11"/>
  <c r="AD348" i="11"/>
  <c r="R348" i="11"/>
  <c r="AV348" i="11"/>
  <c r="AJ348" i="11"/>
  <c r="X348" i="11"/>
  <c r="L348" i="11"/>
  <c r="AU349" i="11"/>
  <c r="AI349" i="11"/>
  <c r="W349" i="11"/>
  <c r="K349" i="11"/>
  <c r="AO349" i="11"/>
  <c r="AC349" i="11"/>
  <c r="Q349" i="11"/>
  <c r="AV355" i="11"/>
  <c r="AJ355" i="11"/>
  <c r="X355" i="11"/>
  <c r="L355" i="11"/>
  <c r="AP355" i="11"/>
  <c r="AD355" i="11"/>
  <c r="R355" i="11"/>
  <c r="AO348" i="11"/>
  <c r="AC348" i="11"/>
  <c r="Q348" i="11"/>
  <c r="AU348" i="11"/>
  <c r="AI348" i="11"/>
  <c r="W348" i="11"/>
  <c r="K348" i="11"/>
  <c r="BG120" i="11"/>
  <c r="AP360" i="11"/>
  <c r="AD360" i="11"/>
  <c r="R360" i="11"/>
  <c r="AV360" i="11"/>
  <c r="AJ360" i="11"/>
  <c r="X360" i="11"/>
  <c r="L360" i="11"/>
  <c r="AU355" i="11"/>
  <c r="AI355" i="11"/>
  <c r="W355" i="11"/>
  <c r="K355" i="11"/>
  <c r="AO355" i="11"/>
  <c r="AC355" i="11"/>
  <c r="Q355" i="11"/>
  <c r="AV345" i="11"/>
  <c r="AJ345" i="11"/>
  <c r="X345" i="11"/>
  <c r="L345" i="11"/>
  <c r="AP345" i="11"/>
  <c r="AD345" i="11"/>
  <c r="R345" i="11"/>
  <c r="AW347" i="11"/>
  <c r="AK347" i="11"/>
  <c r="Y347" i="11"/>
  <c r="M347" i="11"/>
  <c r="AQ347" i="11"/>
  <c r="AE347" i="11"/>
  <c r="S347" i="11"/>
  <c r="AP358" i="11"/>
  <c r="AD358" i="11"/>
  <c r="R358" i="11"/>
  <c r="AV358" i="11"/>
  <c r="AJ358" i="11"/>
  <c r="X358" i="11"/>
  <c r="L358" i="11"/>
  <c r="AV357" i="11"/>
  <c r="AJ357" i="11"/>
  <c r="X357" i="11"/>
  <c r="L357" i="11"/>
  <c r="AP357" i="11"/>
  <c r="AD357" i="11"/>
  <c r="R357" i="11"/>
  <c r="AU345" i="11"/>
  <c r="AI345" i="11"/>
  <c r="W345" i="11"/>
  <c r="K345" i="11"/>
  <c r="AO345" i="11"/>
  <c r="AC345" i="11"/>
  <c r="Q345" i="11"/>
  <c r="AR347" i="11"/>
  <c r="AF347" i="11"/>
  <c r="T347" i="11"/>
  <c r="AM347" i="11"/>
  <c r="AA347" i="11"/>
  <c r="O347" i="11"/>
  <c r="AX347" i="11"/>
  <c r="AL347" i="11"/>
  <c r="Z347" i="11"/>
  <c r="N347" i="11"/>
  <c r="BD127" i="11"/>
  <c r="BD129" i="11"/>
  <c r="AU341" i="11"/>
  <c r="AI341" i="11"/>
  <c r="W341" i="11"/>
  <c r="K341" i="11"/>
  <c r="AO341" i="11"/>
  <c r="AC341" i="11"/>
  <c r="Q341" i="11"/>
  <c r="AU357" i="11"/>
  <c r="AI357" i="11"/>
  <c r="W357" i="11"/>
  <c r="K357" i="11"/>
  <c r="AO357" i="11"/>
  <c r="AC357" i="11"/>
  <c r="Q357" i="11"/>
  <c r="K466" i="11"/>
  <c r="AQ342" i="11"/>
  <c r="AE342" i="11"/>
  <c r="S342" i="11"/>
  <c r="AW342" i="11"/>
  <c r="AK342" i="11"/>
  <c r="Y342" i="11"/>
  <c r="M342" i="11"/>
  <c r="AP346" i="11"/>
  <c r="AD346" i="11"/>
  <c r="R346" i="11"/>
  <c r="AV346" i="11"/>
  <c r="AJ346" i="11"/>
  <c r="X346" i="11"/>
  <c r="L346" i="11"/>
  <c r="BE119" i="11"/>
  <c r="BE129" i="11"/>
  <c r="BE131" i="11"/>
  <c r="BE139" i="11"/>
  <c r="U347" i="11"/>
  <c r="AP354" i="11"/>
  <c r="AD354" i="11"/>
  <c r="R354" i="11"/>
  <c r="AV354" i="11"/>
  <c r="AJ354" i="11"/>
  <c r="X354" i="11"/>
  <c r="L354" i="11"/>
  <c r="AV353" i="11"/>
  <c r="AJ353" i="11"/>
  <c r="X353" i="11"/>
  <c r="L353" i="11"/>
  <c r="AP353" i="11"/>
  <c r="AD353" i="11"/>
  <c r="R353" i="11"/>
  <c r="AV359" i="11"/>
  <c r="AJ359" i="11"/>
  <c r="X359" i="11"/>
  <c r="L359" i="11"/>
  <c r="AP359" i="11"/>
  <c r="AD359" i="11"/>
  <c r="R359" i="11"/>
  <c r="AO346" i="11"/>
  <c r="AC346" i="11"/>
  <c r="Q346" i="11"/>
  <c r="AU346" i="11"/>
  <c r="AI346" i="11"/>
  <c r="W346" i="11"/>
  <c r="K346" i="11"/>
  <c r="BF115" i="11"/>
  <c r="AP344" i="11"/>
  <c r="AD344" i="11"/>
  <c r="R344" i="11"/>
  <c r="AV344" i="11"/>
  <c r="AJ344" i="11"/>
  <c r="X344" i="11"/>
  <c r="L344" i="11"/>
  <c r="AU353" i="11"/>
  <c r="AI353" i="11"/>
  <c r="W353" i="11"/>
  <c r="K353" i="11"/>
  <c r="AO353" i="11"/>
  <c r="AC353" i="11"/>
  <c r="Q353" i="11"/>
  <c r="AU359" i="11"/>
  <c r="AI359" i="11"/>
  <c r="W359" i="11"/>
  <c r="K359" i="11"/>
  <c r="AO359" i="11"/>
  <c r="AC359" i="11"/>
  <c r="Q359" i="11"/>
  <c r="AV341" i="11"/>
  <c r="AJ341" i="11"/>
  <c r="X341" i="11"/>
  <c r="L341" i="11"/>
  <c r="AP341" i="11"/>
  <c r="AD341" i="11"/>
  <c r="R341" i="11"/>
  <c r="AG347" i="11"/>
  <c r="L461" i="11"/>
  <c r="K461" i="11"/>
  <c r="L471" i="11"/>
  <c r="L466" i="11"/>
  <c r="BC116" i="11" l="1"/>
  <c r="BG116" i="11"/>
  <c r="AR343" i="11"/>
  <c r="T343" i="11"/>
  <c r="AL343" i="11"/>
  <c r="N343" i="11"/>
  <c r="AF343" i="11"/>
  <c r="AX343" i="11"/>
  <c r="Z343" i="11"/>
  <c r="AB342" i="11"/>
  <c r="AT342" i="11"/>
  <c r="V342" i="11"/>
  <c r="P342" i="11"/>
  <c r="AH342" i="11"/>
  <c r="J342" i="11"/>
  <c r="AN342" i="11"/>
  <c r="AN347" i="11"/>
  <c r="P347" i="11"/>
  <c r="AH347" i="11"/>
  <c r="AB347" i="11"/>
  <c r="AT347" i="11"/>
  <c r="V347" i="11"/>
  <c r="J347" i="11"/>
  <c r="AB351" i="11"/>
  <c r="AT351" i="11"/>
  <c r="V351" i="11"/>
  <c r="AN351" i="11"/>
  <c r="P351" i="11"/>
  <c r="AH351" i="11"/>
  <c r="J351" i="11"/>
  <c r="AO342" i="11"/>
  <c r="AC342" i="11"/>
  <c r="Q342" i="11"/>
  <c r="AU342" i="11"/>
  <c r="AI342" i="11"/>
  <c r="W342" i="11"/>
  <c r="K342" i="11"/>
  <c r="BD115" i="11"/>
  <c r="AP342" i="11"/>
  <c r="AD342" i="11"/>
  <c r="R342" i="11"/>
  <c r="AV342" i="11"/>
  <c r="AJ342" i="11"/>
  <c r="X342" i="11"/>
  <c r="L342" i="11"/>
  <c r="BE115" i="11"/>
  <c r="AV351" i="11"/>
  <c r="AJ351" i="11"/>
  <c r="X351" i="11"/>
  <c r="L351" i="11"/>
  <c r="AP351" i="11"/>
  <c r="AD351" i="11"/>
  <c r="R351" i="11"/>
  <c r="BE124" i="11"/>
  <c r="AW343" i="11"/>
  <c r="AK343" i="11"/>
  <c r="Y343" i="11"/>
  <c r="M343" i="11"/>
  <c r="AQ343" i="11"/>
  <c r="AE343" i="11"/>
  <c r="S343" i="11"/>
  <c r="BF116" i="11"/>
  <c r="AU347" i="11"/>
  <c r="AI347" i="11"/>
  <c r="W347" i="11"/>
  <c r="K347" i="11"/>
  <c r="AO347" i="11"/>
  <c r="AC347" i="11"/>
  <c r="Q347" i="11"/>
  <c r="BD120" i="11"/>
  <c r="AV347" i="11"/>
  <c r="AJ347" i="11"/>
  <c r="X347" i="11"/>
  <c r="L347" i="11"/>
  <c r="AP347" i="11"/>
  <c r="AD347" i="11"/>
  <c r="R347" i="11"/>
  <c r="BE120" i="11"/>
  <c r="AU351" i="11"/>
  <c r="AI351" i="11"/>
  <c r="W351" i="11"/>
  <c r="K351" i="11"/>
  <c r="AO351" i="11"/>
  <c r="AC351" i="11"/>
  <c r="Q351" i="11"/>
  <c r="BD124" i="11"/>
  <c r="K467" i="11"/>
  <c r="L467" i="11"/>
  <c r="AT343" i="11" l="1"/>
  <c r="V343" i="11"/>
  <c r="AN343" i="11"/>
  <c r="AH343" i="11"/>
  <c r="J343" i="11"/>
  <c r="AB343" i="11"/>
  <c r="P343" i="11"/>
  <c r="AU343" i="11"/>
  <c r="AI343" i="11"/>
  <c r="W343" i="11"/>
  <c r="K343" i="11"/>
  <c r="AO343" i="11"/>
  <c r="AC343" i="11"/>
  <c r="Q343" i="11"/>
  <c r="BD116" i="11"/>
  <c r="AV343" i="11"/>
  <c r="AJ343" i="11"/>
  <c r="X343" i="11"/>
  <c r="L343" i="11"/>
  <c r="AP343" i="11"/>
  <c r="AD343" i="11"/>
  <c r="R343" i="11"/>
  <c r="BE116" i="11"/>
  <c r="BC208" i="11" l="1"/>
  <c r="BC207" i="11"/>
  <c r="BC206" i="11"/>
  <c r="BC205" i="11"/>
  <c r="BC204" i="11"/>
  <c r="BC203" i="11"/>
  <c r="BC202" i="11"/>
  <c r="BC201" i="11"/>
  <c r="BC200" i="11"/>
  <c r="CF218" i="11"/>
  <c r="CF217" i="11"/>
  <c r="CF216" i="11"/>
  <c r="CF215" i="11"/>
  <c r="BH225" i="11" l="1"/>
  <c r="BT225" i="11"/>
  <c r="BK217" i="11"/>
  <c r="BI106" i="11" s="1"/>
  <c r="BW217" i="11"/>
  <c r="BU106" i="11" s="1"/>
  <c r="BR225" i="11"/>
  <c r="BI225" i="11"/>
  <c r="BU225" i="11"/>
  <c r="BL217" i="11"/>
  <c r="BJ106" i="11" s="1"/>
  <c r="BX217" i="11"/>
  <c r="BV106" i="11" s="1"/>
  <c r="BQ217" i="11"/>
  <c r="BO106" i="11" s="1"/>
  <c r="BU217" i="11"/>
  <c r="BS106" i="11" s="1"/>
  <c r="BJ225" i="11"/>
  <c r="BV225" i="11"/>
  <c r="BM217" i="11"/>
  <c r="BK106" i="11" s="1"/>
  <c r="BK225" i="11"/>
  <c r="BW225" i="11"/>
  <c r="BN217" i="11"/>
  <c r="BL106" i="11" s="1"/>
  <c r="BR217" i="11"/>
  <c r="BP106" i="11" s="1"/>
  <c r="BG225" i="11"/>
  <c r="BL225" i="11"/>
  <c r="BX225" i="11"/>
  <c r="BO217" i="11"/>
  <c r="BM106" i="11" s="1"/>
  <c r="BN225" i="11"/>
  <c r="BH217" i="11"/>
  <c r="BF106" i="11" s="1"/>
  <c r="BJ217" i="11"/>
  <c r="BH106" i="11" s="1"/>
  <c r="BM225" i="11"/>
  <c r="BD217" i="11"/>
  <c r="BB106" i="11" s="1"/>
  <c r="BP217" i="11"/>
  <c r="BN106" i="11" s="1"/>
  <c r="BE217" i="11"/>
  <c r="BC106" i="11" s="1"/>
  <c r="BT217" i="11"/>
  <c r="BR106" i="11" s="1"/>
  <c r="BV217" i="11"/>
  <c r="BT106" i="11" s="1"/>
  <c r="BO225" i="11"/>
  <c r="BF217" i="11"/>
  <c r="BD106" i="11" s="1"/>
  <c r="BF225" i="11"/>
  <c r="BD225" i="11"/>
  <c r="BP225" i="11"/>
  <c r="BG217" i="11"/>
  <c r="BE106" i="11" s="1"/>
  <c r="BS217" i="11"/>
  <c r="BQ106" i="11" s="1"/>
  <c r="BQ225" i="11"/>
  <c r="BI217" i="11"/>
  <c r="BG106" i="11" s="1"/>
  <c r="BE225" i="11"/>
  <c r="BS225" i="11"/>
  <c r="BQ239" i="11"/>
  <c r="BO108" i="11" s="1"/>
  <c r="BK239" i="11"/>
  <c r="BI108" i="11" s="1"/>
  <c r="BN242" i="11"/>
  <c r="BS242" i="11"/>
  <c r="BJ241" i="11"/>
  <c r="BP241" i="11"/>
  <c r="BE239" i="11"/>
  <c r="BC108" i="11" s="1"/>
  <c r="BV239" i="11"/>
  <c r="BT108" i="11" s="1"/>
  <c r="BM242" i="11"/>
  <c r="BG242" i="11"/>
  <c r="BU241" i="11"/>
  <c r="BD241" i="11"/>
  <c r="BP239" i="11"/>
  <c r="BN108" i="11" s="1"/>
  <c r="BJ239" i="11"/>
  <c r="BH108" i="11" s="1"/>
  <c r="BX242" i="11"/>
  <c r="BD242" i="11"/>
  <c r="BI241" i="11"/>
  <c r="BO241" i="11"/>
  <c r="BD239" i="11"/>
  <c r="BB108" i="11" s="1"/>
  <c r="BG239" i="11"/>
  <c r="BE108" i="11" s="1"/>
  <c r="BL242" i="11"/>
  <c r="BT242" i="11"/>
  <c r="BT241" i="11"/>
  <c r="BN241" i="11"/>
  <c r="BO239" i="11"/>
  <c r="BM108" i="11" s="1"/>
  <c r="BI239" i="11"/>
  <c r="BG108" i="11" s="1"/>
  <c r="BW242" i="11"/>
  <c r="BF242" i="11"/>
  <c r="BH241" i="11"/>
  <c r="BX241" i="11"/>
  <c r="BN239" i="11"/>
  <c r="BL108" i="11" s="1"/>
  <c r="BT239" i="11"/>
  <c r="BR108" i="11" s="1"/>
  <c r="BK242" i="11"/>
  <c r="BR242" i="11"/>
  <c r="BS241" i="11"/>
  <c r="BL241" i="11"/>
  <c r="BU239" i="11"/>
  <c r="BS108" i="11" s="1"/>
  <c r="BH239" i="11"/>
  <c r="BF108" i="11" s="1"/>
  <c r="BV242" i="11"/>
  <c r="BQ242" i="11"/>
  <c r="BG241" i="11"/>
  <c r="BM239" i="11"/>
  <c r="BK108" i="11" s="1"/>
  <c r="BR239" i="11"/>
  <c r="BP108" i="11" s="1"/>
  <c r="BJ242" i="11"/>
  <c r="BE242" i="11"/>
  <c r="BQ241" i="11"/>
  <c r="BW239" i="11"/>
  <c r="BU108" i="11" s="1"/>
  <c r="BF239" i="11"/>
  <c r="BD108" i="11" s="1"/>
  <c r="BP242" i="11"/>
  <c r="BO242" i="11"/>
  <c r="BE241" i="11"/>
  <c r="BS239" i="11"/>
  <c r="BQ108" i="11" s="1"/>
  <c r="BU242" i="11"/>
  <c r="BW241" i="11"/>
  <c r="BM241" i="11"/>
  <c r="BX239" i="11"/>
  <c r="BV108" i="11" s="1"/>
  <c r="BI242" i="11"/>
  <c r="BK241" i="11"/>
  <c r="BR241" i="11"/>
  <c r="BL239" i="11"/>
  <c r="BJ108" i="11" s="1"/>
  <c r="BH242" i="11"/>
  <c r="BV241" i="11"/>
  <c r="BF241" i="11"/>
  <c r="BJ255" i="11"/>
  <c r="BF255" i="11"/>
  <c r="BF258" i="11"/>
  <c r="BI258" i="11"/>
  <c r="BJ257" i="11"/>
  <c r="BU255" i="11"/>
  <c r="BP255" i="11"/>
  <c r="BJ258" i="11"/>
  <c r="BW258" i="11"/>
  <c r="BI257" i="11"/>
  <c r="BL255" i="11"/>
  <c r="BE255" i="11"/>
  <c r="BQ258" i="11"/>
  <c r="BU258" i="11"/>
  <c r="BX257" i="11"/>
  <c r="BT255" i="11"/>
  <c r="BX255" i="11"/>
  <c r="BE258" i="11"/>
  <c r="BQ257" i="11"/>
  <c r="BL257" i="11"/>
  <c r="BM255" i="11"/>
  <c r="BO255" i="11"/>
  <c r="BP258" i="11"/>
  <c r="BE257" i="11"/>
  <c r="BK257" i="11"/>
  <c r="BI255" i="11"/>
  <c r="BN255" i="11"/>
  <c r="BD258" i="11"/>
  <c r="BD257" i="11"/>
  <c r="BV257" i="11"/>
  <c r="BH255" i="11"/>
  <c r="BT258" i="11"/>
  <c r="BO258" i="11"/>
  <c r="BS257" i="11"/>
  <c r="BT257" i="11"/>
  <c r="BS255" i="11"/>
  <c r="BH258" i="11"/>
  <c r="BL258" i="11"/>
  <c r="BP257" i="11"/>
  <c r="BG257" i="11"/>
  <c r="BG255" i="11"/>
  <c r="BG258" i="11"/>
  <c r="BN258" i="11"/>
  <c r="BO257" i="11"/>
  <c r="BW257" i="11"/>
  <c r="BW255" i="11"/>
  <c r="BQ255" i="11"/>
  <c r="BK258" i="11"/>
  <c r="BM258" i="11"/>
  <c r="BN257" i="11"/>
  <c r="BU257" i="11"/>
  <c r="BK255" i="11"/>
  <c r="BD255" i="11"/>
  <c r="BS258" i="11"/>
  <c r="BV258" i="11"/>
  <c r="BR257" i="11"/>
  <c r="BH257" i="11"/>
  <c r="BV255" i="11"/>
  <c r="BR255" i="11"/>
  <c r="BR258" i="11"/>
  <c r="BX258" i="11"/>
  <c r="BM257" i="11"/>
  <c r="BF257" i="11"/>
  <c r="BF202" i="11"/>
  <c r="BE202" i="11"/>
  <c r="BG202" i="11"/>
  <c r="BD202" i="11"/>
  <c r="BF206" i="11"/>
  <c r="BE206" i="11"/>
  <c r="BG206" i="11"/>
  <c r="BD206" i="11"/>
  <c r="BE207" i="11"/>
  <c r="BG207" i="11"/>
  <c r="BD207" i="11"/>
  <c r="BF207" i="11"/>
  <c r="BG204" i="11"/>
  <c r="BD204" i="11"/>
  <c r="BF204" i="11"/>
  <c r="BE204" i="11"/>
  <c r="BG208" i="11"/>
  <c r="BD208" i="11"/>
  <c r="BF208" i="11"/>
  <c r="BE208" i="11"/>
  <c r="BE203" i="11"/>
  <c r="BG203" i="11"/>
  <c r="BD203" i="11"/>
  <c r="BF203" i="11"/>
  <c r="BG200" i="11"/>
  <c r="BD200" i="11"/>
  <c r="BF200" i="11"/>
  <c r="BE200" i="11"/>
  <c r="BF201" i="11"/>
  <c r="BE201" i="11"/>
  <c r="BG201" i="11"/>
  <c r="BD201" i="11"/>
  <c r="BF205" i="11"/>
  <c r="BE205" i="11"/>
  <c r="BG205" i="11"/>
  <c r="BD205" i="11"/>
  <c r="BX220" i="11"/>
  <c r="BV107" i="11" s="1"/>
  <c r="BX228" i="11"/>
  <c r="BX251" i="11"/>
  <c r="BV110" i="11" s="1"/>
  <c r="BX253" i="11"/>
  <c r="BX254" i="11"/>
  <c r="BX216" i="11"/>
  <c r="BV105" i="11" s="1"/>
  <c r="BX224" i="11"/>
  <c r="BX221" i="11"/>
  <c r="BX229" i="11"/>
  <c r="BX250" i="11"/>
  <c r="BX247" i="11"/>
  <c r="BV111" i="11" s="1"/>
  <c r="BX246" i="11"/>
  <c r="BX243" i="11"/>
  <c r="BV109" i="11" s="1"/>
  <c r="BX245" i="11"/>
  <c r="BX249" i="11"/>
  <c r="BM233" i="11"/>
  <c r="BU231" i="11"/>
  <c r="BI216" i="11"/>
  <c r="BG105" i="11" s="1"/>
  <c r="BU216" i="11"/>
  <c r="BS105" i="11" s="1"/>
  <c r="BE224" i="11"/>
  <c r="BQ224" i="11"/>
  <c r="BJ216" i="11"/>
  <c r="BH105" i="11" s="1"/>
  <c r="BV216" i="11"/>
  <c r="BT105" i="11" s="1"/>
  <c r="BF224" i="11"/>
  <c r="BR224" i="11"/>
  <c r="BK216" i="11"/>
  <c r="BI105" i="11" s="1"/>
  <c r="BW216" i="11"/>
  <c r="BU105" i="11" s="1"/>
  <c r="BG224" i="11"/>
  <c r="BS224" i="11"/>
  <c r="BL216" i="11"/>
  <c r="BJ105" i="11" s="1"/>
  <c r="BH224" i="11"/>
  <c r="BT224" i="11"/>
  <c r="BM216" i="11"/>
  <c r="BK105" i="11" s="1"/>
  <c r="BI224" i="11"/>
  <c r="BU224" i="11"/>
  <c r="BP216" i="11"/>
  <c r="BN105" i="11" s="1"/>
  <c r="BL224" i="11"/>
  <c r="BE216" i="11"/>
  <c r="BC105" i="11" s="1"/>
  <c r="BQ216" i="11"/>
  <c r="BO105" i="11" s="1"/>
  <c r="BF216" i="11"/>
  <c r="BD105" i="11" s="1"/>
  <c r="BR216" i="11"/>
  <c r="BP105" i="11" s="1"/>
  <c r="BN224" i="11"/>
  <c r="BG216" i="11"/>
  <c r="BE105" i="11" s="1"/>
  <c r="BS216" i="11"/>
  <c r="BQ105" i="11" s="1"/>
  <c r="BO224" i="11"/>
  <c r="BH216" i="11"/>
  <c r="BF105" i="11" s="1"/>
  <c r="BT216" i="11"/>
  <c r="BR105" i="11" s="1"/>
  <c r="BP224" i="11"/>
  <c r="BN216" i="11"/>
  <c r="BL105" i="11" s="1"/>
  <c r="BO216" i="11"/>
  <c r="BM105" i="11" s="1"/>
  <c r="BW224" i="11"/>
  <c r="BW232" i="11" s="1"/>
  <c r="BJ224" i="11"/>
  <c r="BK224" i="11"/>
  <c r="BM224" i="11"/>
  <c r="BV224" i="11"/>
  <c r="BM250" i="11"/>
  <c r="BK250" i="11"/>
  <c r="BG245" i="11"/>
  <c r="BJ245" i="11"/>
  <c r="BM243" i="11"/>
  <c r="BK109" i="11" s="1"/>
  <c r="BI249" i="11"/>
  <c r="BF249" i="11"/>
  <c r="BK246" i="11"/>
  <c r="BH246" i="11"/>
  <c r="BH247" i="11"/>
  <c r="BF111" i="11" s="1"/>
  <c r="BR247" i="11"/>
  <c r="BP111" i="11" s="1"/>
  <c r="BN250" i="11"/>
  <c r="BW250" i="11"/>
  <c r="BS245" i="11"/>
  <c r="BK245" i="11"/>
  <c r="BP243" i="11"/>
  <c r="BN109" i="11" s="1"/>
  <c r="BU249" i="11"/>
  <c r="BR249" i="11"/>
  <c r="BW246" i="11"/>
  <c r="BT246" i="11"/>
  <c r="BT247" i="11"/>
  <c r="BR111" i="11" s="1"/>
  <c r="BS247" i="11"/>
  <c r="BQ111" i="11" s="1"/>
  <c r="BO250" i="11"/>
  <c r="BL250" i="11"/>
  <c r="BH245" i="11"/>
  <c r="BV245" i="11"/>
  <c r="BE243" i="11"/>
  <c r="BC109" i="11" s="1"/>
  <c r="BJ249" i="11"/>
  <c r="BG249" i="11"/>
  <c r="BL246" i="11"/>
  <c r="BN246" i="11"/>
  <c r="BI247" i="11"/>
  <c r="BG111" i="11" s="1"/>
  <c r="BP250" i="11"/>
  <c r="BT245" i="11"/>
  <c r="BW245" i="11"/>
  <c r="BQ243" i="11"/>
  <c r="BO109" i="11" s="1"/>
  <c r="BV249" i="11"/>
  <c r="BS249" i="11"/>
  <c r="BO246" i="11"/>
  <c r="BU247" i="11"/>
  <c r="BS111" i="11" s="1"/>
  <c r="BE250" i="11"/>
  <c r="BF250" i="11"/>
  <c r="BI245" i="11"/>
  <c r="BI243" i="11"/>
  <c r="BG109" i="11" s="1"/>
  <c r="BF243" i="11"/>
  <c r="BD109" i="11" s="1"/>
  <c r="BK249" i="11"/>
  <c r="BH249" i="11"/>
  <c r="BM246" i="11"/>
  <c r="BJ247" i="11"/>
  <c r="BH111" i="11" s="1"/>
  <c r="BQ250" i="11"/>
  <c r="BG250" i="11"/>
  <c r="BU245" i="11"/>
  <c r="BU243" i="11"/>
  <c r="BS109" i="11" s="1"/>
  <c r="BR243" i="11"/>
  <c r="BP109" i="11" s="1"/>
  <c r="BW249" i="11"/>
  <c r="BT249" i="11"/>
  <c r="BP246" i="11"/>
  <c r="BV247" i="11"/>
  <c r="BT111" i="11" s="1"/>
  <c r="BH250" i="11"/>
  <c r="BR250" i="11"/>
  <c r="BL245" i="11"/>
  <c r="BJ243" i="11"/>
  <c r="BH109" i="11" s="1"/>
  <c r="BG243" i="11"/>
  <c r="BE109" i="11" s="1"/>
  <c r="BL249" i="11"/>
  <c r="BO249" i="11"/>
  <c r="BE246" i="11"/>
  <c r="BM247" i="11"/>
  <c r="BK111" i="11" s="1"/>
  <c r="BK247" i="11"/>
  <c r="BI111" i="11" s="1"/>
  <c r="BQ245" i="11"/>
  <c r="BT250" i="11"/>
  <c r="BS250" i="11"/>
  <c r="BV243" i="11"/>
  <c r="BT109" i="11" s="1"/>
  <c r="BS243" i="11"/>
  <c r="BQ109" i="11" s="1"/>
  <c r="BN249" i="11"/>
  <c r="BQ246" i="11"/>
  <c r="BN247" i="11"/>
  <c r="BL111" i="11" s="1"/>
  <c r="BW247" i="11"/>
  <c r="BU111" i="11" s="1"/>
  <c r="BI250" i="11"/>
  <c r="BE245" i="11"/>
  <c r="BM245" i="11"/>
  <c r="BK243" i="11"/>
  <c r="BI109" i="11" s="1"/>
  <c r="BH243" i="11"/>
  <c r="BF109" i="11" s="1"/>
  <c r="BM249" i="11"/>
  <c r="BI246" i="11"/>
  <c r="BF246" i="11"/>
  <c r="BO247" i="11"/>
  <c r="BM111" i="11" s="1"/>
  <c r="BL247" i="11"/>
  <c r="BJ111" i="11" s="1"/>
  <c r="BU250" i="11"/>
  <c r="BU267" i="11" s="1"/>
  <c r="BN245" i="11"/>
  <c r="BW243" i="11"/>
  <c r="BU109" i="11" s="1"/>
  <c r="BT243" i="11"/>
  <c r="BR109" i="11" s="1"/>
  <c r="BP249" i="11"/>
  <c r="BU246" i="11"/>
  <c r="BR246" i="11"/>
  <c r="BP247" i="11"/>
  <c r="BN111" i="11" s="1"/>
  <c r="BJ250" i="11"/>
  <c r="BF245" i="11"/>
  <c r="BO245" i="11"/>
  <c r="BL243" i="11"/>
  <c r="BJ109" i="11" s="1"/>
  <c r="BN243" i="11"/>
  <c r="BL109" i="11" s="1"/>
  <c r="BE249" i="11"/>
  <c r="BJ246" i="11"/>
  <c r="BG246" i="11"/>
  <c r="BE247" i="11"/>
  <c r="BC111" i="11" s="1"/>
  <c r="BF247" i="11"/>
  <c r="BD111" i="11" s="1"/>
  <c r="BV250" i="11"/>
  <c r="BR245" i="11"/>
  <c r="BP245" i="11"/>
  <c r="BO243" i="11"/>
  <c r="BM109" i="11" s="1"/>
  <c r="BQ249" i="11"/>
  <c r="BV246" i="11"/>
  <c r="BS246" i="11"/>
  <c r="BQ247" i="11"/>
  <c r="BO111" i="11" s="1"/>
  <c r="BG247" i="11"/>
  <c r="BE111" i="11" s="1"/>
  <c r="BM220" i="11"/>
  <c r="BK107" i="11" s="1"/>
  <c r="BI228" i="11"/>
  <c r="BU228" i="11"/>
  <c r="BN220" i="11"/>
  <c r="BL107" i="11" s="1"/>
  <c r="BO220" i="11"/>
  <c r="BM107" i="11" s="1"/>
  <c r="BP220" i="11"/>
  <c r="BN107" i="11" s="1"/>
  <c r="BE220" i="11"/>
  <c r="BC107" i="11" s="1"/>
  <c r="BQ220" i="11"/>
  <c r="BO107" i="11" s="1"/>
  <c r="BM228" i="11"/>
  <c r="BH220" i="11"/>
  <c r="BF107" i="11" s="1"/>
  <c r="BT220" i="11"/>
  <c r="BR107" i="11" s="1"/>
  <c r="BP228" i="11"/>
  <c r="BJ220" i="11"/>
  <c r="BH107" i="11" s="1"/>
  <c r="BV220" i="11"/>
  <c r="BT107" i="11" s="1"/>
  <c r="BF228" i="11"/>
  <c r="BR228" i="11"/>
  <c r="BK220" i="11"/>
  <c r="BI107" i="11" s="1"/>
  <c r="BW220" i="11"/>
  <c r="BU107" i="11" s="1"/>
  <c r="BL220" i="11"/>
  <c r="BJ107" i="11" s="1"/>
  <c r="BI220" i="11"/>
  <c r="BG107" i="11" s="1"/>
  <c r="BN228" i="11"/>
  <c r="BR220" i="11"/>
  <c r="BP107" i="11" s="1"/>
  <c r="BO228" i="11"/>
  <c r="BS220" i="11"/>
  <c r="BQ107" i="11" s="1"/>
  <c r="BQ228" i="11"/>
  <c r="BU220" i="11"/>
  <c r="BS107" i="11" s="1"/>
  <c r="BS228" i="11"/>
  <c r="BT228" i="11"/>
  <c r="BG220" i="11"/>
  <c r="BE107" i="11" s="1"/>
  <c r="BV228" i="11"/>
  <c r="BE228" i="11"/>
  <c r="BE236" i="11" s="1"/>
  <c r="BW228" i="11"/>
  <c r="BG228" i="11"/>
  <c r="BH228" i="11"/>
  <c r="BH236" i="11" s="1"/>
  <c r="BL228" i="11"/>
  <c r="BJ228" i="11"/>
  <c r="BF220" i="11"/>
  <c r="BD107" i="11" s="1"/>
  <c r="BK228" i="11"/>
  <c r="BE253" i="11"/>
  <c r="BR253" i="11"/>
  <c r="BH251" i="11"/>
  <c r="BF110" i="11" s="1"/>
  <c r="BV251" i="11"/>
  <c r="BT110" i="11" s="1"/>
  <c r="BL254" i="11"/>
  <c r="BQ253" i="11"/>
  <c r="BS253" i="11"/>
  <c r="BT251" i="11"/>
  <c r="BR110" i="11" s="1"/>
  <c r="BW251" i="11"/>
  <c r="BU110" i="11" s="1"/>
  <c r="BH253" i="11"/>
  <c r="BF253" i="11"/>
  <c r="BI251" i="11"/>
  <c r="BG110" i="11" s="1"/>
  <c r="BE254" i="11"/>
  <c r="BM254" i="11"/>
  <c r="BT253" i="11"/>
  <c r="BG253" i="11"/>
  <c r="BU251" i="11"/>
  <c r="BS110" i="11" s="1"/>
  <c r="BQ254" i="11"/>
  <c r="BN254" i="11"/>
  <c r="BI253" i="11"/>
  <c r="BL251" i="11"/>
  <c r="BJ110" i="11" s="1"/>
  <c r="BF254" i="11"/>
  <c r="BO254" i="11"/>
  <c r="BU253" i="11"/>
  <c r="BR254" i="11"/>
  <c r="BP254" i="11"/>
  <c r="BW253" i="11"/>
  <c r="BJ253" i="11"/>
  <c r="BE251" i="11"/>
  <c r="BC110" i="11" s="1"/>
  <c r="BM251" i="11"/>
  <c r="BK110" i="11" s="1"/>
  <c r="BG254" i="11"/>
  <c r="BJ254" i="11"/>
  <c r="BP251" i="11"/>
  <c r="BN110" i="11" s="1"/>
  <c r="BV253" i="11"/>
  <c r="BQ251" i="11"/>
  <c r="BO110" i="11" s="1"/>
  <c r="BN251" i="11"/>
  <c r="BL110" i="11" s="1"/>
  <c r="BS254" i="11"/>
  <c r="BK254" i="11"/>
  <c r="BM253" i="11"/>
  <c r="BK253" i="11"/>
  <c r="BF251" i="11"/>
  <c r="BD110" i="11" s="1"/>
  <c r="BO251" i="11"/>
  <c r="BM110" i="11" s="1"/>
  <c r="BH254" i="11"/>
  <c r="BV254" i="11"/>
  <c r="BN253" i="11"/>
  <c r="BR251" i="11"/>
  <c r="BP110" i="11" s="1"/>
  <c r="BT254" i="11"/>
  <c r="BW254" i="11"/>
  <c r="BO253" i="11"/>
  <c r="BL253" i="11"/>
  <c r="BG251" i="11"/>
  <c r="BE110" i="11" s="1"/>
  <c r="BJ251" i="11"/>
  <c r="BH110" i="11" s="1"/>
  <c r="BI254" i="11"/>
  <c r="BP253" i="11"/>
  <c r="BS251" i="11"/>
  <c r="BQ110" i="11" s="1"/>
  <c r="BK251" i="11"/>
  <c r="BI110" i="11" s="1"/>
  <c r="BU254" i="11"/>
  <c r="BE221" i="11"/>
  <c r="BQ221" i="11"/>
  <c r="BM229" i="11"/>
  <c r="BF221" i="11"/>
  <c r="BR221" i="11"/>
  <c r="BG221" i="11"/>
  <c r="BS221" i="11"/>
  <c r="BH221" i="11"/>
  <c r="BT221" i="11"/>
  <c r="BI221" i="11"/>
  <c r="BU221" i="11"/>
  <c r="BE229" i="11"/>
  <c r="BQ229" i="11"/>
  <c r="BL221" i="11"/>
  <c r="BH229" i="11"/>
  <c r="BT229" i="11"/>
  <c r="BN221" i="11"/>
  <c r="BJ229" i="11"/>
  <c r="BV229" i="11"/>
  <c r="BO221" i="11"/>
  <c r="BP221" i="11"/>
  <c r="BL229" i="11"/>
  <c r="BN229" i="11"/>
  <c r="BO229" i="11"/>
  <c r="BP229" i="11"/>
  <c r="BJ221" i="11"/>
  <c r="BR229" i="11"/>
  <c r="BK229" i="11"/>
  <c r="BK221" i="11"/>
  <c r="BS229" i="11"/>
  <c r="BM221" i="11"/>
  <c r="BU229" i="11"/>
  <c r="BV221" i="11"/>
  <c r="BW229" i="11"/>
  <c r="BW221" i="11"/>
  <c r="BF229" i="11"/>
  <c r="BG229" i="11"/>
  <c r="BI229" i="11"/>
  <c r="BD250" i="11"/>
  <c r="BD247" i="11"/>
  <c r="BB111" i="11" s="1"/>
  <c r="BD243" i="11"/>
  <c r="BB109" i="11" s="1"/>
  <c r="BD249" i="11"/>
  <c r="BD246" i="11"/>
  <c r="BD245" i="11"/>
  <c r="BD228" i="11"/>
  <c r="BD220" i="11"/>
  <c r="BB107" i="11" s="1"/>
  <c r="BD253" i="11"/>
  <c r="BD251" i="11"/>
  <c r="BB110" i="11" s="1"/>
  <c r="BD254" i="11"/>
  <c r="BD224" i="11"/>
  <c r="BD216" i="11"/>
  <c r="BB105" i="11" s="1"/>
  <c r="BD229" i="11"/>
  <c r="BD221" i="11"/>
  <c r="BE152" i="11"/>
  <c r="BD152" i="11"/>
  <c r="BB152" i="11"/>
  <c r="BG152" i="11"/>
  <c r="BF152" i="11"/>
  <c r="BF163" i="11"/>
  <c r="BE163" i="11"/>
  <c r="BD163" i="11"/>
  <c r="BG163" i="11"/>
  <c r="BB163" i="11"/>
  <c r="BE162" i="11"/>
  <c r="BD162" i="11"/>
  <c r="BB162" i="11"/>
  <c r="BG162" i="11"/>
  <c r="BF162" i="11"/>
  <c r="BF153" i="11"/>
  <c r="BE153" i="11"/>
  <c r="BD153" i="11"/>
  <c r="BG153" i="11"/>
  <c r="BB153" i="11"/>
  <c r="BE166" i="11"/>
  <c r="BD166" i="11"/>
  <c r="BB166" i="11"/>
  <c r="BF166" i="11"/>
  <c r="BG166" i="11"/>
  <c r="BF151" i="11"/>
  <c r="BE151" i="11"/>
  <c r="BD151" i="11"/>
  <c r="BG151" i="11"/>
  <c r="BB151" i="11"/>
  <c r="BE156" i="11"/>
  <c r="BD156" i="11"/>
  <c r="BB156" i="11"/>
  <c r="BG156" i="11"/>
  <c r="BF156" i="11"/>
  <c r="BE168" i="11"/>
  <c r="BD168" i="11"/>
  <c r="BB168" i="11"/>
  <c r="BG168" i="11"/>
  <c r="BF168" i="11"/>
  <c r="BF157" i="11"/>
  <c r="BE157" i="11"/>
  <c r="BD157" i="11"/>
  <c r="BG157" i="11"/>
  <c r="BB157" i="11"/>
  <c r="BE154" i="11"/>
  <c r="BD154" i="11"/>
  <c r="BB154" i="11"/>
  <c r="BG154" i="11"/>
  <c r="BF154" i="11"/>
  <c r="BE158" i="11"/>
  <c r="BD158" i="11"/>
  <c r="BB158" i="11"/>
  <c r="BG158" i="11"/>
  <c r="BF158" i="11"/>
  <c r="BF165" i="11"/>
  <c r="BE165" i="11"/>
  <c r="BD165" i="11"/>
  <c r="BG165" i="11"/>
  <c r="BB165" i="11"/>
  <c r="BF155" i="11"/>
  <c r="BE155" i="11"/>
  <c r="BD155" i="11"/>
  <c r="BG155" i="11"/>
  <c r="BB155" i="11"/>
  <c r="BF159" i="11"/>
  <c r="BE159" i="11"/>
  <c r="BD159" i="11"/>
  <c r="BG159" i="11"/>
  <c r="BB159" i="11"/>
  <c r="BF167" i="11"/>
  <c r="BE167" i="11"/>
  <c r="BD167" i="11"/>
  <c r="BG167" i="11"/>
  <c r="BB167" i="11"/>
  <c r="BF149" i="11"/>
  <c r="BE149" i="11"/>
  <c r="BD149" i="11"/>
  <c r="BG149" i="11"/>
  <c r="BB149" i="11"/>
  <c r="BE160" i="11"/>
  <c r="BD160" i="11"/>
  <c r="BB160" i="11"/>
  <c r="BF160" i="11"/>
  <c r="BG160" i="11"/>
  <c r="BE164" i="11"/>
  <c r="BD164" i="11"/>
  <c r="BB164" i="11"/>
  <c r="BG164" i="11"/>
  <c r="BF164" i="11"/>
  <c r="BE150" i="11"/>
  <c r="BD150" i="11"/>
  <c r="BB150" i="11"/>
  <c r="BG150" i="11"/>
  <c r="BF150" i="11"/>
  <c r="BF161" i="11"/>
  <c r="BE161" i="11"/>
  <c r="BD161" i="11"/>
  <c r="BG161" i="11"/>
  <c r="BB161" i="11"/>
  <c r="BD235" i="11"/>
  <c r="BU272" i="11" l="1"/>
  <c r="BX266" i="11"/>
  <c r="BW261" i="11"/>
  <c r="BI264" i="11"/>
  <c r="BM266" i="11"/>
  <c r="BE263" i="11"/>
  <c r="BU232" i="11"/>
  <c r="BN233" i="11"/>
  <c r="BU270" i="11"/>
  <c r="BG264" i="11"/>
  <c r="BH231" i="11"/>
  <c r="BQ233" i="11"/>
  <c r="BE273" i="11"/>
  <c r="BL237" i="11"/>
  <c r="BG236" i="11"/>
  <c r="BV232" i="11"/>
  <c r="BT231" i="11"/>
  <c r="BI269" i="11"/>
  <c r="BR263" i="11"/>
  <c r="BE233" i="11"/>
  <c r="BT233" i="11"/>
  <c r="BI270" i="11"/>
  <c r="BQ263" i="11"/>
  <c r="BG260" i="11"/>
  <c r="BP261" i="11"/>
  <c r="BV272" i="11"/>
  <c r="BS237" i="11"/>
  <c r="BQ264" i="11"/>
  <c r="BS261" i="11"/>
  <c r="BO261" i="11"/>
  <c r="BE260" i="11"/>
  <c r="BO260" i="11"/>
  <c r="BR231" i="11"/>
  <c r="BL231" i="11"/>
  <c r="BQ231" i="11"/>
  <c r="BV269" i="11"/>
  <c r="BP236" i="11"/>
  <c r="BP260" i="11"/>
  <c r="BI231" i="11"/>
  <c r="BE231" i="11"/>
  <c r="BO233" i="11"/>
  <c r="BH233" i="11"/>
  <c r="BX273" i="11"/>
  <c r="BN269" i="11"/>
  <c r="BT273" i="11"/>
  <c r="BN270" i="11"/>
  <c r="BF233" i="11"/>
  <c r="BW270" i="11"/>
  <c r="BM263" i="11"/>
  <c r="BT266" i="11"/>
  <c r="BM264" i="11"/>
  <c r="BH260" i="11"/>
  <c r="BX267" i="11"/>
  <c r="BX272" i="11"/>
  <c r="BX236" i="11"/>
  <c r="BS273" i="11"/>
  <c r="BG233" i="11"/>
  <c r="BX270" i="11"/>
  <c r="BG237" i="11"/>
  <c r="BP269" i="11"/>
  <c r="BK270" i="11"/>
  <c r="BP270" i="11"/>
  <c r="BJ236" i="11"/>
  <c r="BT267" i="11"/>
  <c r="BE264" i="11"/>
  <c r="BJ260" i="11"/>
  <c r="BM232" i="11"/>
  <c r="BP233" i="11"/>
  <c r="BX237" i="11"/>
  <c r="BX269" i="11"/>
  <c r="BX231" i="11"/>
  <c r="BN272" i="11"/>
  <c r="BR237" i="11"/>
  <c r="BN237" i="11"/>
  <c r="BK269" i="11"/>
  <c r="BK236" i="11"/>
  <c r="BP266" i="11"/>
  <c r="BK264" i="11"/>
  <c r="BQ260" i="11"/>
  <c r="BL260" i="11"/>
  <c r="BJ232" i="11"/>
  <c r="BT232" i="11"/>
  <c r="BE232" i="11"/>
  <c r="BX263" i="11"/>
  <c r="BO267" i="11"/>
  <c r="BG263" i="11"/>
  <c r="BK260" i="11"/>
  <c r="BX233" i="11"/>
  <c r="BX260" i="11"/>
  <c r="BQ270" i="11"/>
  <c r="BQ269" i="11"/>
  <c r="BL261" i="11"/>
  <c r="BV231" i="11"/>
  <c r="BM231" i="11"/>
  <c r="BX264" i="11"/>
  <c r="BX261" i="11"/>
  <c r="BL272" i="11"/>
  <c r="BN273" i="11"/>
  <c r="BE237" i="11"/>
  <c r="BS236" i="11"/>
  <c r="BO236" i="11"/>
  <c r="BE266" i="11"/>
  <c r="BO266" i="11"/>
  <c r="BE267" i="11"/>
  <c r="BT260" i="11"/>
  <c r="BR260" i="11"/>
  <c r="BQ261" i="11"/>
  <c r="BU261" i="11"/>
  <c r="BU260" i="11"/>
  <c r="BK232" i="11"/>
  <c r="BS232" i="11"/>
  <c r="BK233" i="11"/>
  <c r="BX232" i="11"/>
  <c r="BH237" i="11"/>
  <c r="BT269" i="11"/>
  <c r="BQ266" i="11"/>
  <c r="BT264" i="11"/>
  <c r="BM237" i="11"/>
  <c r="BO269" i="11"/>
  <c r="BM270" i="11"/>
  <c r="BN264" i="11"/>
  <c r="BG261" i="11"/>
  <c r="BK231" i="11"/>
  <c r="BV233" i="11"/>
  <c r="BJ261" i="11"/>
  <c r="BL232" i="11"/>
  <c r="BJ233" i="11"/>
  <c r="BO273" i="11"/>
  <c r="BO270" i="11"/>
  <c r="BF269" i="11"/>
  <c r="BR236" i="11"/>
  <c r="BQ267" i="11"/>
  <c r="BJ266" i="11"/>
  <c r="BH261" i="11"/>
  <c r="BR232" i="11"/>
  <c r="BF232" i="11"/>
  <c r="BG231" i="11"/>
  <c r="BJ231" i="11"/>
  <c r="BE272" i="11"/>
  <c r="BV270" i="11"/>
  <c r="BJ270" i="11"/>
  <c r="BQ236" i="11"/>
  <c r="BI236" i="11"/>
  <c r="BR264" i="11"/>
  <c r="BR267" i="11"/>
  <c r="BV266" i="11"/>
  <c r="BV263" i="11"/>
  <c r="BK267" i="11"/>
  <c r="BR261" i="11"/>
  <c r="BO232" i="11"/>
  <c r="BI232" i="11"/>
  <c r="BU237" i="11"/>
  <c r="BG270" i="11"/>
  <c r="BW267" i="11"/>
  <c r="BM267" i="11"/>
  <c r="BM272" i="11"/>
  <c r="BW273" i="11"/>
  <c r="BV273" i="11"/>
  <c r="BW237" i="11"/>
  <c r="BF270" i="11"/>
  <c r="BH269" i="11"/>
  <c r="BF236" i="11"/>
  <c r="BU236" i="11"/>
  <c r="BV267" i="11"/>
  <c r="BL263" i="11"/>
  <c r="BS266" i="11"/>
  <c r="BK263" i="11"/>
  <c r="BV261" i="11"/>
  <c r="BF260" i="11"/>
  <c r="BM260" i="11"/>
  <c r="BG232" i="11"/>
  <c r="BS231" i="11"/>
  <c r="BW231" i="11"/>
  <c r="BF273" i="11"/>
  <c r="BO272" i="11"/>
  <c r="BH270" i="11"/>
  <c r="BL236" i="11"/>
  <c r="BU264" i="11"/>
  <c r="BS267" i="11"/>
  <c r="BH267" i="11"/>
  <c r="BH266" i="11"/>
  <c r="BH263" i="11"/>
  <c r="BN261" i="11"/>
  <c r="BP232" i="11"/>
  <c r="BI273" i="11"/>
  <c r="BJ272" i="11"/>
  <c r="BF272" i="11"/>
  <c r="BV237" i="11"/>
  <c r="BK266" i="11"/>
  <c r="BW263" i="11"/>
  <c r="BL267" i="11"/>
  <c r="BN267" i="11"/>
  <c r="BP231" i="11"/>
  <c r="BS233" i="11"/>
  <c r="BH272" i="11"/>
  <c r="BG272" i="11"/>
  <c r="BG273" i="11"/>
  <c r="BJ237" i="11"/>
  <c r="BS269" i="11"/>
  <c r="BJ264" i="11"/>
  <c r="BP264" i="11"/>
  <c r="BT263" i="11"/>
  <c r="BV260" i="11"/>
  <c r="BU233" i="11"/>
  <c r="BQ273" i="11"/>
  <c r="BI272" i="11"/>
  <c r="BH273" i="11"/>
  <c r="BJ273" i="11"/>
  <c r="BJ269" i="11"/>
  <c r="BN236" i="11"/>
  <c r="BS264" i="11"/>
  <c r="BI267" i="11"/>
  <c r="BI261" i="11"/>
  <c r="BI233" i="11"/>
  <c r="BM273" i="11"/>
  <c r="BL273" i="11"/>
  <c r="BK273" i="11"/>
  <c r="BK237" i="11"/>
  <c r="BT237" i="11"/>
  <c r="BM269" i="11"/>
  <c r="BW269" i="11"/>
  <c r="BG269" i="11"/>
  <c r="BL270" i="11"/>
  <c r="BW236" i="11"/>
  <c r="BM236" i="11"/>
  <c r="BV264" i="11"/>
  <c r="BN263" i="11"/>
  <c r="BW266" i="11"/>
  <c r="BI263" i="11"/>
  <c r="BP267" i="11"/>
  <c r="BH264" i="11"/>
  <c r="BW260" i="11"/>
  <c r="BI260" i="11"/>
  <c r="BF231" i="11"/>
  <c r="BO231" i="11"/>
  <c r="BI237" i="11"/>
  <c r="BL269" i="11"/>
  <c r="BF267" i="11"/>
  <c r="BN260" i="11"/>
  <c r="BQ232" i="11"/>
  <c r="BR233" i="11"/>
  <c r="BS263" i="11"/>
  <c r="BQ272" i="11"/>
  <c r="BS270" i="11"/>
  <c r="BR270" i="11"/>
  <c r="BV236" i="11"/>
  <c r="BO263" i="11"/>
  <c r="BW264" i="11"/>
  <c r="BF266" i="11"/>
  <c r="BN232" i="11"/>
  <c r="BH232" i="11"/>
  <c r="BL233" i="11"/>
  <c r="BJ263" i="11"/>
  <c r="BP273" i="11"/>
  <c r="BR273" i="11"/>
  <c r="BW272" i="11"/>
  <c r="BK272" i="11"/>
  <c r="BP272" i="11"/>
  <c r="BP237" i="11"/>
  <c r="BE270" i="11"/>
  <c r="BR269" i="11"/>
  <c r="BF263" i="11"/>
  <c r="BN266" i="11"/>
  <c r="BL266" i="11"/>
  <c r="BU263" i="11"/>
  <c r="BL264" i="11"/>
  <c r="BR266" i="11"/>
  <c r="BI266" i="11"/>
  <c r="BM261" i="11"/>
  <c r="BK261" i="11"/>
  <c r="BN231" i="11"/>
  <c r="BU273" i="11"/>
  <c r="BT272" i="11"/>
  <c r="BS272" i="11"/>
  <c r="BR272" i="11"/>
  <c r="BF237" i="11"/>
  <c r="BO237" i="11"/>
  <c r="BQ237" i="11"/>
  <c r="BT270" i="11"/>
  <c r="BU269" i="11"/>
  <c r="BE269" i="11"/>
  <c r="BT236" i="11"/>
  <c r="BP263" i="11"/>
  <c r="BJ267" i="11"/>
  <c r="BF264" i="11"/>
  <c r="BG267" i="11"/>
  <c r="BO264" i="11"/>
  <c r="BG266" i="11"/>
  <c r="BU266" i="11"/>
  <c r="BS260" i="11"/>
  <c r="BF261" i="11"/>
  <c r="BE261" i="11"/>
  <c r="BT261" i="11"/>
  <c r="BW233" i="11"/>
  <c r="BD231" i="11"/>
  <c r="CG240" i="11" l="1"/>
  <c r="CG239" i="11"/>
  <c r="CG238" i="11"/>
  <c r="CG237" i="11"/>
  <c r="CG236" i="11"/>
  <c r="CG235" i="11"/>
  <c r="CE234" i="11"/>
  <c r="CG233" i="11"/>
  <c r="BX222" i="11" l="1"/>
  <c r="BX214" i="11"/>
  <c r="BM214" i="11"/>
  <c r="BE214" i="11"/>
  <c r="BK214" i="11"/>
  <c r="BR214" i="11"/>
  <c r="BI222" i="11"/>
  <c r="BQ214" i="11"/>
  <c r="BW214" i="11"/>
  <c r="BN222" i="11"/>
  <c r="BF214" i="11"/>
  <c r="BU222" i="11"/>
  <c r="BM222" i="11"/>
  <c r="BG222" i="11"/>
  <c r="BS214" i="11"/>
  <c r="BN214" i="11"/>
  <c r="BH214" i="11"/>
  <c r="BS222" i="11"/>
  <c r="BO222" i="11"/>
  <c r="BJ222" i="11"/>
  <c r="BT214" i="11"/>
  <c r="BL214" i="11"/>
  <c r="BV222" i="11"/>
  <c r="BP222" i="11"/>
  <c r="BO214" i="11"/>
  <c r="BI214" i="11"/>
  <c r="BH222" i="11"/>
  <c r="BV214" i="11"/>
  <c r="BK222" i="11"/>
  <c r="BK230" i="11" s="1"/>
  <c r="BU214" i="11"/>
  <c r="BT222" i="11"/>
  <c r="BW222" i="11"/>
  <c r="BJ214" i="11"/>
  <c r="BQ222" i="11"/>
  <c r="BP214" i="11"/>
  <c r="BL222" i="11"/>
  <c r="BF222" i="11"/>
  <c r="BG214" i="11"/>
  <c r="BR222" i="11"/>
  <c r="BE222" i="11"/>
  <c r="BE230" i="11" s="1"/>
  <c r="BD214" i="11"/>
  <c r="BD222" i="11"/>
  <c r="BD233" i="11"/>
  <c r="CG234" i="11"/>
  <c r="BD226" i="11" s="1"/>
  <c r="BC147" i="11" l="1"/>
  <c r="BC146" i="11"/>
  <c r="BL230" i="11"/>
  <c r="BW230" i="11"/>
  <c r="BT230" i="11"/>
  <c r="BR230" i="11"/>
  <c r="BF230" i="11"/>
  <c r="BM230" i="11"/>
  <c r="BS230" i="11"/>
  <c r="BH230" i="11"/>
  <c r="BQ230" i="11"/>
  <c r="BX230" i="11"/>
  <c r="BJ218" i="11"/>
  <c r="BS226" i="11"/>
  <c r="BG218" i="11"/>
  <c r="BO218" i="11"/>
  <c r="BG230" i="11"/>
  <c r="BN230" i="11"/>
  <c r="BL226" i="11"/>
  <c r="BE218" i="11"/>
  <c r="BU230" i="11"/>
  <c r="BX226" i="11"/>
  <c r="BV230" i="11"/>
  <c r="BI230" i="11"/>
  <c r="BX218" i="11"/>
  <c r="BI218" i="11"/>
  <c r="BT218" i="11"/>
  <c r="BG226" i="11"/>
  <c r="BF218" i="11"/>
  <c r="BN218" i="11"/>
  <c r="BU226" i="11"/>
  <c r="BH218" i="11"/>
  <c r="BQ226" i="11"/>
  <c r="BM226" i="11"/>
  <c r="BW226" i="11"/>
  <c r="BV218" i="11"/>
  <c r="BQ218" i="11"/>
  <c r="BQ234" i="11" s="1"/>
  <c r="BP218" i="11"/>
  <c r="BW218" i="11"/>
  <c r="BH226" i="11"/>
  <c r="BN226" i="11"/>
  <c r="BP230" i="11"/>
  <c r="BF226" i="11"/>
  <c r="BR226" i="11"/>
  <c r="BM218" i="11"/>
  <c r="BJ230" i="11"/>
  <c r="BE226" i="11"/>
  <c r="BV226" i="11"/>
  <c r="BO226" i="11"/>
  <c r="BO230" i="11"/>
  <c r="BP226" i="11"/>
  <c r="BK218" i="11"/>
  <c r="BT226" i="11"/>
  <c r="BI226" i="11"/>
  <c r="BL218" i="11"/>
  <c r="BL234" i="11" s="1"/>
  <c r="BR218" i="11"/>
  <c r="BK226" i="11"/>
  <c r="BC148" i="11"/>
  <c r="BC145" i="11"/>
  <c r="BS218" i="11"/>
  <c r="BU218" i="11"/>
  <c r="BJ226" i="11"/>
  <c r="AT295" i="11"/>
  <c r="AT283" i="11"/>
  <c r="AN287" i="11"/>
  <c r="AH290" i="11"/>
  <c r="AH278" i="11"/>
  <c r="AB294" i="11"/>
  <c r="AB282" i="11"/>
  <c r="V298" i="11"/>
  <c r="V286" i="11"/>
  <c r="P289" i="11"/>
  <c r="J292" i="11"/>
  <c r="J280" i="11"/>
  <c r="AT294" i="11"/>
  <c r="AT282" i="11"/>
  <c r="AN298" i="11"/>
  <c r="AN286" i="11"/>
  <c r="AH289" i="11"/>
  <c r="AB293" i="11"/>
  <c r="AB281" i="11"/>
  <c r="V297" i="11"/>
  <c r="V285" i="11"/>
  <c r="P288" i="11"/>
  <c r="AT293" i="11"/>
  <c r="AT281" i="11"/>
  <c r="AN297" i="11"/>
  <c r="AN285" i="11"/>
  <c r="AH288" i="11"/>
  <c r="AB292" i="11"/>
  <c r="AB280" i="11"/>
  <c r="V296" i="11"/>
  <c r="V284" i="11"/>
  <c r="P287" i="11"/>
  <c r="AT292" i="11"/>
  <c r="AT280" i="11"/>
  <c r="AN296" i="11"/>
  <c r="AN284" i="11"/>
  <c r="AH287" i="11"/>
  <c r="AB291" i="11"/>
  <c r="AB279" i="11"/>
  <c r="V295" i="11"/>
  <c r="V283" i="11"/>
  <c r="P298" i="11"/>
  <c r="P286" i="11"/>
  <c r="AT291" i="11"/>
  <c r="AT279" i="11"/>
  <c r="AN295" i="11"/>
  <c r="AN283" i="11"/>
  <c r="AH298" i="11"/>
  <c r="AH286" i="11"/>
  <c r="AB290" i="11"/>
  <c r="AB278" i="11"/>
  <c r="V294" i="11"/>
  <c r="V282" i="11"/>
  <c r="AT289" i="11"/>
  <c r="AN293" i="11"/>
  <c r="AN281" i="11"/>
  <c r="AH296" i="11"/>
  <c r="AH284" i="11"/>
  <c r="AB288" i="11"/>
  <c r="V292" i="11"/>
  <c r="V280" i="11"/>
  <c r="AT288" i="11"/>
  <c r="AN292" i="11"/>
  <c r="AN280" i="11"/>
  <c r="AH295" i="11"/>
  <c r="AH283" i="11"/>
  <c r="AB287" i="11"/>
  <c r="V291" i="11"/>
  <c r="V279" i="11"/>
  <c r="P294" i="11"/>
  <c r="P282" i="11"/>
  <c r="J297" i="11"/>
  <c r="J285" i="11"/>
  <c r="AT287" i="11"/>
  <c r="AN291" i="11"/>
  <c r="AN279" i="11"/>
  <c r="AH294" i="11"/>
  <c r="AH282" i="11"/>
  <c r="AB298" i="11"/>
  <c r="AB286" i="11"/>
  <c r="V290" i="11"/>
  <c r="V278" i="11"/>
  <c r="P293" i="11"/>
  <c r="P281" i="11"/>
  <c r="AT298" i="11"/>
  <c r="AT286" i="11"/>
  <c r="AN290" i="11"/>
  <c r="AN278" i="11"/>
  <c r="AH293" i="11"/>
  <c r="AH281" i="11"/>
  <c r="AB297" i="11"/>
  <c r="AB285" i="11"/>
  <c r="V289" i="11"/>
  <c r="P292" i="11"/>
  <c r="P280" i="11"/>
  <c r="AT297" i="11"/>
  <c r="AT285" i="11"/>
  <c r="AN289" i="11"/>
  <c r="AH292" i="11"/>
  <c r="AH280" i="11"/>
  <c r="AB296" i="11"/>
  <c r="AB284" i="11"/>
  <c r="V288" i="11"/>
  <c r="P291" i="11"/>
  <c r="P279" i="11"/>
  <c r="AT296" i="11"/>
  <c r="AT284" i="11"/>
  <c r="AN288" i="11"/>
  <c r="AH291" i="11"/>
  <c r="AH279" i="11"/>
  <c r="AB295" i="11"/>
  <c r="AB283" i="11"/>
  <c r="V287" i="11"/>
  <c r="P290" i="11"/>
  <c r="P278" i="11"/>
  <c r="V281" i="11"/>
  <c r="P297" i="11"/>
  <c r="J298" i="11"/>
  <c r="J283" i="11"/>
  <c r="P296" i="11"/>
  <c r="J296" i="11"/>
  <c r="J282" i="11"/>
  <c r="P295" i="11"/>
  <c r="J295" i="11"/>
  <c r="J281" i="11"/>
  <c r="P285" i="11"/>
  <c r="J294" i="11"/>
  <c r="J279" i="11"/>
  <c r="P284" i="11"/>
  <c r="J293" i="11"/>
  <c r="J278" i="11"/>
  <c r="P283" i="11"/>
  <c r="J291" i="11"/>
  <c r="AB289" i="11"/>
  <c r="AT290" i="11"/>
  <c r="J290" i="11"/>
  <c r="J286" i="11"/>
  <c r="AT278" i="11"/>
  <c r="J289" i="11"/>
  <c r="J284" i="11"/>
  <c r="AN294" i="11"/>
  <c r="AH297" i="11"/>
  <c r="J288" i="11"/>
  <c r="AN282" i="11"/>
  <c r="AH285" i="11"/>
  <c r="J287" i="11"/>
  <c r="V293" i="11"/>
  <c r="BD230" i="11"/>
  <c r="BD218" i="11"/>
  <c r="BD234" i="11" s="1"/>
  <c r="CB244" i="11"/>
  <c r="CB248" i="11"/>
  <c r="BE147" i="11"/>
  <c r="CB240" i="11"/>
  <c r="CB256" i="11"/>
  <c r="CB252" i="11"/>
  <c r="BD147" i="11"/>
  <c r="AV297" i="11"/>
  <c r="AJ297" i="11"/>
  <c r="X297" i="11"/>
  <c r="L297" i="11"/>
  <c r="AU297" i="11"/>
  <c r="AI297" i="11"/>
  <c r="W297" i="11"/>
  <c r="K297" i="11"/>
  <c r="AO295" i="11"/>
  <c r="AC295" i="11"/>
  <c r="Q295" i="11"/>
  <c r="AU293" i="11"/>
  <c r="AI293" i="11"/>
  <c r="W293" i="11"/>
  <c r="K293" i="11"/>
  <c r="AP297" i="11"/>
  <c r="AD297" i="11"/>
  <c r="R297" i="11"/>
  <c r="AO297" i="11"/>
  <c r="AC297" i="11"/>
  <c r="Q297" i="11"/>
  <c r="AU295" i="11"/>
  <c r="AI295" i="11"/>
  <c r="W295" i="11"/>
  <c r="K295" i="11"/>
  <c r="AO293" i="11"/>
  <c r="AC293" i="11"/>
  <c r="Q293" i="11"/>
  <c r="X295" i="11"/>
  <c r="AP294" i="11"/>
  <c r="AD294" i="11"/>
  <c r="R294" i="11"/>
  <c r="AO292" i="11"/>
  <c r="AC292" i="11"/>
  <c r="Q292" i="11"/>
  <c r="AU290" i="11"/>
  <c r="AI290" i="11"/>
  <c r="W290" i="11"/>
  <c r="K290" i="11"/>
  <c r="AO288" i="11"/>
  <c r="AC288" i="11"/>
  <c r="Q288" i="11"/>
  <c r="AU286" i="11"/>
  <c r="K284" i="11"/>
  <c r="AO281" i="11"/>
  <c r="W280" i="11"/>
  <c r="AP296" i="11"/>
  <c r="AD296" i="11"/>
  <c r="R296" i="11"/>
  <c r="AO294" i="11"/>
  <c r="AC294" i="11"/>
  <c r="Q294" i="11"/>
  <c r="AJ293" i="11"/>
  <c r="BZ244" i="11"/>
  <c r="BZ240" i="11"/>
  <c r="AC285" i="11"/>
  <c r="AU282" i="11"/>
  <c r="AC279" i="11"/>
  <c r="AP288" i="11"/>
  <c r="AO296" i="11"/>
  <c r="AC296" i="11"/>
  <c r="Q296" i="11"/>
  <c r="AJ295" i="11"/>
  <c r="AV291" i="11"/>
  <c r="AJ291" i="11"/>
  <c r="X291" i="11"/>
  <c r="L291" i="11"/>
  <c r="AP289" i="11"/>
  <c r="AD289" i="11"/>
  <c r="R289" i="11"/>
  <c r="AV287" i="11"/>
  <c r="AJ287" i="11"/>
  <c r="X287" i="11"/>
  <c r="L287" i="11"/>
  <c r="AP286" i="11"/>
  <c r="AD286" i="11"/>
  <c r="R286" i="11"/>
  <c r="AV285" i="11"/>
  <c r="AJ285" i="11"/>
  <c r="X285" i="11"/>
  <c r="L285" i="11"/>
  <c r="AP284" i="11"/>
  <c r="AD284" i="11"/>
  <c r="R284" i="11"/>
  <c r="AV283" i="11"/>
  <c r="AJ283" i="11"/>
  <c r="X283" i="11"/>
  <c r="L283" i="11"/>
  <c r="AP282" i="11"/>
  <c r="AD282" i="11"/>
  <c r="R282" i="11"/>
  <c r="AV281" i="11"/>
  <c r="AJ281" i="11"/>
  <c r="X281" i="11"/>
  <c r="L281" i="11"/>
  <c r="AP280" i="11"/>
  <c r="AD280" i="11"/>
  <c r="R280" i="11"/>
  <c r="AV279" i="11"/>
  <c r="AJ279" i="11"/>
  <c r="X279" i="11"/>
  <c r="L279" i="11"/>
  <c r="AP278" i="11"/>
  <c r="AD278" i="11"/>
  <c r="R278" i="11"/>
  <c r="BE145" i="11"/>
  <c r="AI286" i="11"/>
  <c r="AO283" i="11"/>
  <c r="Q281" i="11"/>
  <c r="AI278" i="11"/>
  <c r="AV298" i="11"/>
  <c r="AJ298" i="11"/>
  <c r="X298" i="11"/>
  <c r="L298" i="11"/>
  <c r="BZ248" i="11"/>
  <c r="AV293" i="11"/>
  <c r="AU291" i="11"/>
  <c r="AI291" i="11"/>
  <c r="W291" i="11"/>
  <c r="K291" i="11"/>
  <c r="AO289" i="11"/>
  <c r="AC289" i="11"/>
  <c r="Q289" i="11"/>
  <c r="AU287" i="11"/>
  <c r="AI287" i="11"/>
  <c r="W287" i="11"/>
  <c r="K287" i="11"/>
  <c r="AO286" i="11"/>
  <c r="AC286" i="11"/>
  <c r="Q286" i="11"/>
  <c r="AU285" i="11"/>
  <c r="AI285" i="11"/>
  <c r="W285" i="11"/>
  <c r="K285" i="11"/>
  <c r="AO284" i="11"/>
  <c r="AC284" i="11"/>
  <c r="Q284" i="11"/>
  <c r="AU283" i="11"/>
  <c r="AI283" i="11"/>
  <c r="W283" i="11"/>
  <c r="K283" i="11"/>
  <c r="AO282" i="11"/>
  <c r="AC282" i="11"/>
  <c r="Q282" i="11"/>
  <c r="AU281" i="11"/>
  <c r="AI281" i="11"/>
  <c r="W281" i="11"/>
  <c r="K281" i="11"/>
  <c r="AO280" i="11"/>
  <c r="AC280" i="11"/>
  <c r="Q280" i="11"/>
  <c r="AU279" i="11"/>
  <c r="AI279" i="11"/>
  <c r="W279" i="11"/>
  <c r="K279" i="11"/>
  <c r="AO278" i="11"/>
  <c r="AC278" i="11"/>
  <c r="Q278" i="11"/>
  <c r="BD145" i="11"/>
  <c r="K286" i="11"/>
  <c r="AC283" i="11"/>
  <c r="AU280" i="11"/>
  <c r="W278" i="11"/>
  <c r="X293" i="11"/>
  <c r="AJ290" i="11"/>
  <c r="R288" i="11"/>
  <c r="AU298" i="11"/>
  <c r="AI298" i="11"/>
  <c r="W298" i="11"/>
  <c r="K298" i="11"/>
  <c r="AV295" i="11"/>
  <c r="R293" i="11"/>
  <c r="AC291" i="11"/>
  <c r="AO285" i="11"/>
  <c r="Q283" i="11"/>
  <c r="AI280" i="11"/>
  <c r="K278" i="11"/>
  <c r="AP292" i="11"/>
  <c r="X290" i="11"/>
  <c r="BZ256" i="11"/>
  <c r="BZ252" i="11"/>
  <c r="R295" i="11"/>
  <c r="AV292" i="11"/>
  <c r="AJ292" i="11"/>
  <c r="X292" i="11"/>
  <c r="L292" i="11"/>
  <c r="AP290" i="11"/>
  <c r="AD290" i="11"/>
  <c r="R290" i="11"/>
  <c r="AV288" i="11"/>
  <c r="AJ288" i="11"/>
  <c r="X288" i="11"/>
  <c r="L288" i="11"/>
  <c r="AC287" i="11"/>
  <c r="AI284" i="11"/>
  <c r="K282" i="11"/>
  <c r="K280" i="11"/>
  <c r="AV294" i="11"/>
  <c r="AJ294" i="11"/>
  <c r="X294" i="11"/>
  <c r="L294" i="11"/>
  <c r="AD293" i="11"/>
  <c r="AU292" i="11"/>
  <c r="AI292" i="11"/>
  <c r="W292" i="11"/>
  <c r="K292" i="11"/>
  <c r="AO290" i="11"/>
  <c r="AC290" i="11"/>
  <c r="Q290" i="11"/>
  <c r="AU288" i="11"/>
  <c r="AI288" i="11"/>
  <c r="W288" i="11"/>
  <c r="K288" i="11"/>
  <c r="AD298" i="11"/>
  <c r="L293" i="11"/>
  <c r="AO291" i="11"/>
  <c r="AU289" i="11"/>
  <c r="K289" i="11"/>
  <c r="Q287" i="11"/>
  <c r="AU284" i="11"/>
  <c r="AC281" i="11"/>
  <c r="AU278" i="11"/>
  <c r="AD292" i="11"/>
  <c r="L290" i="11"/>
  <c r="AV296" i="11"/>
  <c r="AJ296" i="11"/>
  <c r="X296" i="11"/>
  <c r="L296" i="11"/>
  <c r="AD295" i="11"/>
  <c r="AU294" i="11"/>
  <c r="AI294" i="11"/>
  <c r="W294" i="11"/>
  <c r="K294" i="11"/>
  <c r="AP298" i="11"/>
  <c r="Q291" i="11"/>
  <c r="AI289" i="11"/>
  <c r="AO287" i="11"/>
  <c r="Q285" i="11"/>
  <c r="W282" i="11"/>
  <c r="Q279" i="11"/>
  <c r="R292" i="11"/>
  <c r="AU296" i="11"/>
  <c r="AI296" i="11"/>
  <c r="W296" i="11"/>
  <c r="K296" i="11"/>
  <c r="AP293" i="11"/>
  <c r="AP291" i="11"/>
  <c r="AD291" i="11"/>
  <c r="R291" i="11"/>
  <c r="AV289" i="11"/>
  <c r="AJ289" i="11"/>
  <c r="X289" i="11"/>
  <c r="L289" i="11"/>
  <c r="AP287" i="11"/>
  <c r="AD287" i="11"/>
  <c r="R287" i="11"/>
  <c r="AV286" i="11"/>
  <c r="AJ286" i="11"/>
  <c r="X286" i="11"/>
  <c r="L286" i="11"/>
  <c r="AP285" i="11"/>
  <c r="AD285" i="11"/>
  <c r="R285" i="11"/>
  <c r="AV284" i="11"/>
  <c r="AJ284" i="11"/>
  <c r="X284" i="11"/>
  <c r="L284" i="11"/>
  <c r="AP283" i="11"/>
  <c r="AD283" i="11"/>
  <c r="R283" i="11"/>
  <c r="AV282" i="11"/>
  <c r="AJ282" i="11"/>
  <c r="X282" i="11"/>
  <c r="L282" i="11"/>
  <c r="AP281" i="11"/>
  <c r="AD281" i="11"/>
  <c r="R281" i="11"/>
  <c r="AV280" i="11"/>
  <c r="AJ280" i="11"/>
  <c r="X280" i="11"/>
  <c r="L280" i="11"/>
  <c r="AP279" i="11"/>
  <c r="AD279" i="11"/>
  <c r="R279" i="11"/>
  <c r="AV278" i="11"/>
  <c r="AJ278" i="11"/>
  <c r="X278" i="11"/>
  <c r="L278" i="11"/>
  <c r="BE148" i="11"/>
  <c r="R298" i="11"/>
  <c r="AP295" i="11"/>
  <c r="W289" i="11"/>
  <c r="W286" i="11"/>
  <c r="W284" i="11"/>
  <c r="AI282" i="11"/>
  <c r="AO279" i="11"/>
  <c r="BD148" i="11"/>
  <c r="AV290" i="11"/>
  <c r="AD288" i="11"/>
  <c r="AO298" i="11"/>
  <c r="AC298" i="11"/>
  <c r="Q298" i="11"/>
  <c r="L295" i="11"/>
  <c r="CA244" i="11"/>
  <c r="CA240" i="11"/>
  <c r="BD146" i="11"/>
  <c r="CA248" i="11"/>
  <c r="CA256" i="11"/>
  <c r="CA252" i="11"/>
  <c r="BE146" i="11"/>
  <c r="BD237" i="11"/>
  <c r="BD232" i="11"/>
  <c r="BD236" i="11"/>
  <c r="BG102" i="11"/>
  <c r="BG101" i="11"/>
  <c r="AR384" i="11"/>
  <c r="AR236" i="11" s="1"/>
  <c r="AL395" i="11"/>
  <c r="AL247" i="11" s="1"/>
  <c r="AX383" i="11"/>
  <c r="AX235" i="11" s="1"/>
  <c r="S394" i="11"/>
  <c r="S246" i="11" s="1"/>
  <c r="AR386" i="11"/>
  <c r="AR238" i="11" s="1"/>
  <c r="M385" i="11"/>
  <c r="M237" i="11" s="1"/>
  <c r="AF396" i="11"/>
  <c r="AF248" i="11" s="1"/>
  <c r="T384" i="11"/>
  <c r="T236" i="11" s="1"/>
  <c r="AL393" i="11"/>
  <c r="AL245" i="11" s="1"/>
  <c r="S401" i="11"/>
  <c r="S253" i="11" s="1"/>
  <c r="AK400" i="11"/>
  <c r="AK252" i="11" s="1"/>
  <c r="AL385" i="11"/>
  <c r="AL237" i="11" s="1"/>
  <c r="T388" i="11"/>
  <c r="T240" i="11" s="1"/>
  <c r="AF395" i="11"/>
  <c r="AF247" i="11" s="1"/>
  <c r="AA394" i="11"/>
  <c r="AA246" i="11" s="1"/>
  <c r="Z401" i="11"/>
  <c r="Z253" i="11" s="1"/>
  <c r="AE401" i="11"/>
  <c r="AE253" i="11" s="1"/>
  <c r="AX389" i="11"/>
  <c r="AX241" i="11" s="1"/>
  <c r="S386" i="11"/>
  <c r="S238" i="11" s="1"/>
  <c r="U403" i="11"/>
  <c r="U255" i="11" s="1"/>
  <c r="AM402" i="11"/>
  <c r="AM254" i="11" s="1"/>
  <c r="AG400" i="11"/>
  <c r="AG252" i="11" s="1"/>
  <c r="AW400" i="11"/>
  <c r="AW252" i="11" s="1"/>
  <c r="T390" i="11"/>
  <c r="T242" i="11" s="1"/>
  <c r="Z387" i="11"/>
  <c r="Z239" i="11" s="1"/>
  <c r="AA387" i="11"/>
  <c r="AA239" i="11" s="1"/>
  <c r="S79" i="11" s="1"/>
  <c r="L79" i="11" s="1"/>
  <c r="Y391" i="11"/>
  <c r="Y243" i="11" s="1"/>
  <c r="N397" i="11"/>
  <c r="N249" i="11" s="1"/>
  <c r="AL388" i="11"/>
  <c r="AL240" i="11" s="1"/>
  <c r="AS388" i="11"/>
  <c r="AS240" i="11" s="1"/>
  <c r="Z384" i="11"/>
  <c r="Z236" i="11" s="1"/>
  <c r="AS395" i="11"/>
  <c r="AS247" i="11" s="1"/>
  <c r="AF393" i="11"/>
  <c r="AF245" i="11" s="1"/>
  <c r="AL392" i="11"/>
  <c r="AL244" i="11" s="1"/>
  <c r="AS389" i="11"/>
  <c r="AS241" i="11" s="1"/>
  <c r="AS398" i="11"/>
  <c r="AS250" i="11" s="1"/>
  <c r="N398" i="11"/>
  <c r="N250" i="11" s="1"/>
  <c r="Z403" i="11"/>
  <c r="Z255" i="11" s="1"/>
  <c r="O402" i="11"/>
  <c r="O254" i="11" s="1"/>
  <c r="AF400" i="11"/>
  <c r="AF252" i="11" s="1"/>
  <c r="AX399" i="11"/>
  <c r="AX251" i="11" s="1"/>
  <c r="AQ390" i="11"/>
  <c r="AQ242" i="11" s="1"/>
  <c r="T387" i="11"/>
  <c r="T239" i="11" s="1"/>
  <c r="O397" i="11"/>
  <c r="O249" i="11" s="1"/>
  <c r="M388" i="11"/>
  <c r="M240" i="11" s="1"/>
  <c r="S395" i="11"/>
  <c r="S247" i="11" s="1"/>
  <c r="AS383" i="11"/>
  <c r="AS235" i="11" s="1"/>
  <c r="U389" i="11"/>
  <c r="U241" i="11" s="1"/>
  <c r="AF387" i="11"/>
  <c r="AF239" i="11" s="1"/>
  <c r="AM396" i="11"/>
  <c r="AM248" i="11" s="1"/>
  <c r="AX394" i="11"/>
  <c r="AX246" i="11" s="1"/>
  <c r="I392" i="11"/>
  <c r="I244" i="11" s="1"/>
  <c r="AF401" i="11"/>
  <c r="AF253" i="11" s="1"/>
  <c r="AG398" i="11"/>
  <c r="AG250" i="11" s="1"/>
  <c r="AL398" i="11"/>
  <c r="AL250" i="11" s="1"/>
  <c r="I386" i="11"/>
  <c r="I238" i="11" s="1"/>
  <c r="P78" i="11" s="1"/>
  <c r="I78" i="11" s="1"/>
  <c r="AK403" i="11"/>
  <c r="AK255" i="11" s="1"/>
  <c r="T402" i="11"/>
  <c r="T254" i="11" s="1"/>
  <c r="AL402" i="11"/>
  <c r="AL254" i="11" s="1"/>
  <c r="AK399" i="11"/>
  <c r="AK251" i="11" s="1"/>
  <c r="U387" i="11"/>
  <c r="U239" i="11" s="1"/>
  <c r="R79" i="11" s="1"/>
  <c r="K79" i="11" s="1"/>
  <c r="AW391" i="11"/>
  <c r="AW243" i="11" s="1"/>
  <c r="AE391" i="11"/>
  <c r="AE243" i="11" s="1"/>
  <c r="AG396" i="11"/>
  <c r="AG248" i="11" s="1"/>
  <c r="AX396" i="11"/>
  <c r="AX248" i="11" s="1"/>
  <c r="U384" i="11"/>
  <c r="U236" i="11" s="1"/>
  <c r="R76" i="11" s="1"/>
  <c r="K76" i="11" s="1"/>
  <c r="U394" i="11"/>
  <c r="U246" i="11" s="1"/>
  <c r="AS393" i="11"/>
  <c r="AS245" i="11" s="1"/>
  <c r="AM392" i="11"/>
  <c r="AM244" i="11" s="1"/>
  <c r="AE386" i="11"/>
  <c r="AE238" i="11" s="1"/>
  <c r="Y403" i="11"/>
  <c r="Y255" i="11" s="1"/>
  <c r="AR403" i="11"/>
  <c r="AR255" i="11" s="1"/>
  <c r="AX402" i="11"/>
  <c r="AX254" i="11" s="1"/>
  <c r="U399" i="11"/>
  <c r="U251" i="11" s="1"/>
  <c r="Z390" i="11"/>
  <c r="Z242" i="11" s="1"/>
  <c r="AR387" i="11"/>
  <c r="AR239" i="11" s="1"/>
  <c r="AQ387" i="11"/>
  <c r="AQ239" i="11" s="1"/>
  <c r="N391" i="11"/>
  <c r="N243" i="11" s="1"/>
  <c r="Z397" i="11"/>
  <c r="Z249" i="11" s="1"/>
  <c r="S388" i="11"/>
  <c r="S240" i="11" s="1"/>
  <c r="AM384" i="11"/>
  <c r="AM236" i="11" s="1"/>
  <c r="U76" i="11" s="1"/>
  <c r="N76" i="11" s="1"/>
  <c r="Y395" i="11"/>
  <c r="Y247" i="11" s="1"/>
  <c r="T393" i="11"/>
  <c r="T245" i="11" s="1"/>
  <c r="O393" i="11"/>
  <c r="O245" i="11" s="1"/>
  <c r="S392" i="11"/>
  <c r="S244" i="11" s="1"/>
  <c r="O401" i="11"/>
  <c r="O253" i="11" s="1"/>
  <c r="AR389" i="11"/>
  <c r="AR241" i="11" s="1"/>
  <c r="AG386" i="11"/>
  <c r="AG238" i="11" s="1"/>
  <c r="T78" i="11" s="1"/>
  <c r="M78" i="11" s="1"/>
  <c r="AA402" i="11"/>
  <c r="AA254" i="11" s="1"/>
  <c r="N385" i="11"/>
  <c r="N237" i="11" s="1"/>
  <c r="O385" i="11"/>
  <c r="O237" i="11" s="1"/>
  <c r="Q77" i="11" s="1"/>
  <c r="J77" i="11" s="1"/>
  <c r="AA397" i="11"/>
  <c r="AA249" i="11" s="1"/>
  <c r="S397" i="11"/>
  <c r="S249" i="11" s="1"/>
  <c r="AM388" i="11"/>
  <c r="AM240" i="11" s="1"/>
  <c r="U80" i="11" s="1"/>
  <c r="N80" i="11" s="1"/>
  <c r="AS384" i="11"/>
  <c r="AS236" i="11" s="1"/>
  <c r="Z394" i="11"/>
  <c r="Z246" i="11" s="1"/>
  <c r="AA393" i="11"/>
  <c r="AA245" i="11" s="1"/>
  <c r="AA401" i="11"/>
  <c r="AA253" i="11" s="1"/>
  <c r="AA389" i="11"/>
  <c r="AA241" i="11" s="1"/>
  <c r="AX403" i="11"/>
  <c r="AX255" i="11" s="1"/>
  <c r="O400" i="11"/>
  <c r="O252" i="11" s="1"/>
  <c r="AL399" i="11"/>
  <c r="AL251" i="11" s="1"/>
  <c r="S390" i="11"/>
  <c r="S242" i="11" s="1"/>
  <c r="AK391" i="11"/>
  <c r="AK243" i="11" s="1"/>
  <c r="M397" i="11"/>
  <c r="M249" i="11" s="1"/>
  <c r="O388" i="11"/>
  <c r="O240" i="11" s="1"/>
  <c r="Q80" i="11" s="1"/>
  <c r="J80" i="11" s="1"/>
  <c r="AQ394" i="11"/>
  <c r="AQ246" i="11" s="1"/>
  <c r="M394" i="11"/>
  <c r="M246" i="11" s="1"/>
  <c r="I393" i="11"/>
  <c r="I245" i="11" s="1"/>
  <c r="AL401" i="11"/>
  <c r="AL253" i="11" s="1"/>
  <c r="AL389" i="11"/>
  <c r="AL241" i="11" s="1"/>
  <c r="AQ399" i="11"/>
  <c r="AQ251" i="11" s="1"/>
  <c r="AL390" i="11"/>
  <c r="AL242" i="11" s="1"/>
  <c r="T385" i="11"/>
  <c r="T237" i="11" s="1"/>
  <c r="AM385" i="11"/>
  <c r="AM237" i="11" s="1"/>
  <c r="U77" i="11" s="1"/>
  <c r="N77" i="11" s="1"/>
  <c r="AG397" i="11"/>
  <c r="AG249" i="11" s="1"/>
  <c r="AQ397" i="11"/>
  <c r="AQ249" i="11" s="1"/>
  <c r="AE384" i="11"/>
  <c r="AE236" i="11" s="1"/>
  <c r="AX384" i="11"/>
  <c r="AX236" i="11" s="1"/>
  <c r="Y384" i="11"/>
  <c r="Y236" i="11" s="1"/>
  <c r="Z395" i="11"/>
  <c r="Z247" i="11" s="1"/>
  <c r="O395" i="11"/>
  <c r="O247" i="11" s="1"/>
  <c r="I383" i="11"/>
  <c r="I235" i="11" s="1"/>
  <c r="P75" i="11" s="1"/>
  <c r="I75" i="11" s="1"/>
  <c r="S383" i="11"/>
  <c r="S235" i="11" s="1"/>
  <c r="AL394" i="11"/>
  <c r="AL246" i="11" s="1"/>
  <c r="Y394" i="11"/>
  <c r="Y246" i="11" s="1"/>
  <c r="S393" i="11"/>
  <c r="S245" i="11" s="1"/>
  <c r="Z392" i="11"/>
  <c r="Z244" i="11" s="1"/>
  <c r="Y392" i="11"/>
  <c r="Y244" i="11" s="1"/>
  <c r="U401" i="11"/>
  <c r="U253" i="11" s="1"/>
  <c r="I389" i="11"/>
  <c r="I241" i="11" s="1"/>
  <c r="AG389" i="11"/>
  <c r="AG241" i="11" s="1"/>
  <c r="S389" i="11"/>
  <c r="S241" i="11" s="1"/>
  <c r="S398" i="11"/>
  <c r="S250" i="11" s="1"/>
  <c r="Y386" i="11"/>
  <c r="Y238" i="11" s="1"/>
  <c r="S403" i="11"/>
  <c r="S255" i="11" s="1"/>
  <c r="I402" i="11"/>
  <c r="I254" i="11" s="1"/>
  <c r="Y402" i="11"/>
  <c r="Y254" i="11" s="1"/>
  <c r="T400" i="11"/>
  <c r="T252" i="11" s="1"/>
  <c r="AM399" i="11"/>
  <c r="AM251" i="11" s="1"/>
  <c r="T399" i="11"/>
  <c r="T251" i="11" s="1"/>
  <c r="AX390" i="11"/>
  <c r="AX242" i="11" s="1"/>
  <c r="Y390" i="11"/>
  <c r="Y242" i="11" s="1"/>
  <c r="AK385" i="11"/>
  <c r="AK237" i="11" s="1"/>
  <c r="S385" i="11"/>
  <c r="S237" i="11" s="1"/>
  <c r="M387" i="11"/>
  <c r="M239" i="11" s="1"/>
  <c r="AG391" i="11"/>
  <c r="AG243" i="11" s="1"/>
  <c r="U397" i="11"/>
  <c r="U249" i="11" s="1"/>
  <c r="AW397" i="11"/>
  <c r="AW249" i="11" s="1"/>
  <c r="T397" i="11"/>
  <c r="T249" i="11" s="1"/>
  <c r="AK396" i="11"/>
  <c r="AK248" i="11" s="1"/>
  <c r="M401" i="11"/>
  <c r="M253" i="11" s="1"/>
  <c r="AK398" i="11"/>
  <c r="AK250" i="11" s="1"/>
  <c r="S400" i="11"/>
  <c r="S252" i="11" s="1"/>
  <c r="Z385" i="11"/>
  <c r="Z237" i="11" s="1"/>
  <c r="O387" i="11"/>
  <c r="O239" i="11" s="1"/>
  <c r="Q79" i="11" s="1"/>
  <c r="J79" i="11" s="1"/>
  <c r="AQ388" i="11"/>
  <c r="AQ240" i="11" s="1"/>
  <c r="AW396" i="11"/>
  <c r="AW248" i="11" s="1"/>
  <c r="Z383" i="11"/>
  <c r="Z235" i="11" s="1"/>
  <c r="U393" i="11"/>
  <c r="U245" i="11" s="1"/>
  <c r="AS401" i="11"/>
  <c r="AS253" i="11" s="1"/>
  <c r="AA386" i="11"/>
  <c r="AA238" i="11" s="1"/>
  <c r="S78" i="11" s="1"/>
  <c r="L78" i="11" s="1"/>
  <c r="AQ402" i="11"/>
  <c r="AQ254" i="11" s="1"/>
  <c r="AL391" i="11"/>
  <c r="AL243" i="11" s="1"/>
  <c r="AA391" i="11"/>
  <c r="AA243" i="11" s="1"/>
  <c r="S396" i="11"/>
  <c r="S248" i="11" s="1"/>
  <c r="AF384" i="11"/>
  <c r="AF236" i="11" s="1"/>
  <c r="AM395" i="11"/>
  <c r="AM247" i="11" s="1"/>
  <c r="O392" i="11"/>
  <c r="O244" i="11" s="1"/>
  <c r="N401" i="11"/>
  <c r="N253" i="11" s="1"/>
  <c r="AQ398" i="11"/>
  <c r="AQ250" i="11" s="1"/>
  <c r="AL403" i="11"/>
  <c r="AL255" i="11" s="1"/>
  <c r="N400" i="11"/>
  <c r="N252" i="11" s="1"/>
  <c r="AM387" i="11"/>
  <c r="AM239" i="11" s="1"/>
  <c r="U79" i="11" s="1"/>
  <c r="N79" i="11" s="1"/>
  <c r="AX397" i="11"/>
  <c r="AX249" i="11" s="1"/>
  <c r="O396" i="11"/>
  <c r="O248" i="11" s="1"/>
  <c r="AA383" i="11"/>
  <c r="AA235" i="11" s="1"/>
  <c r="S75" i="11" s="1"/>
  <c r="L75" i="11" s="1"/>
  <c r="AQ392" i="11"/>
  <c r="AQ244" i="11" s="1"/>
  <c r="T401" i="11"/>
  <c r="T253" i="11" s="1"/>
  <c r="Z398" i="11"/>
  <c r="Z250" i="11" s="1"/>
  <c r="I403" i="11"/>
  <c r="I255" i="11" s="1"/>
  <c r="AS402" i="11"/>
  <c r="AS254" i="11" s="1"/>
  <c r="Z402" i="11"/>
  <c r="Z254" i="11" s="1"/>
  <c r="O399" i="11"/>
  <c r="O251" i="11" s="1"/>
  <c r="AK387" i="11"/>
  <c r="AK239" i="11" s="1"/>
  <c r="U391" i="11"/>
  <c r="U243" i="11" s="1"/>
  <c r="Y388" i="11"/>
  <c r="Y240" i="11" s="1"/>
  <c r="AQ384" i="11"/>
  <c r="AQ236" i="11" s="1"/>
  <c r="AE395" i="11"/>
  <c r="AE247" i="11" s="1"/>
  <c r="T383" i="11"/>
  <c r="T235" i="11" s="1"/>
  <c r="N394" i="11"/>
  <c r="N246" i="11" s="1"/>
  <c r="I401" i="11"/>
  <c r="I253" i="11" s="1"/>
  <c r="N386" i="11"/>
  <c r="N238" i="11" s="1"/>
  <c r="AW403" i="11"/>
  <c r="AW255" i="11" s="1"/>
  <c r="AF403" i="11"/>
  <c r="AF255" i="11" s="1"/>
  <c r="AE400" i="11"/>
  <c r="AE252" i="11" s="1"/>
  <c r="AL400" i="11"/>
  <c r="AL252" i="11" s="1"/>
  <c r="AR385" i="11"/>
  <c r="AR237" i="11" s="1"/>
  <c r="N387" i="11"/>
  <c r="N239" i="11" s="1"/>
  <c r="AE387" i="11"/>
  <c r="AE239" i="11" s="1"/>
  <c r="AE388" i="11"/>
  <c r="AE240" i="11" s="1"/>
  <c r="AK388" i="11"/>
  <c r="AK240" i="11" s="1"/>
  <c r="AG395" i="11"/>
  <c r="AG247" i="11" s="1"/>
  <c r="AQ395" i="11"/>
  <c r="AQ247" i="11" s="1"/>
  <c r="AG383" i="11"/>
  <c r="AG235" i="11" s="1"/>
  <c r="T75" i="11" s="1"/>
  <c r="M75" i="11" s="1"/>
  <c r="AE394" i="11"/>
  <c r="AE246" i="11" s="1"/>
  <c r="N393" i="11"/>
  <c r="N245" i="11" s="1"/>
  <c r="U392" i="11"/>
  <c r="U244" i="11" s="1"/>
  <c r="AX401" i="11"/>
  <c r="AX253" i="11" s="1"/>
  <c r="AR401" i="11"/>
  <c r="AR253" i="11" s="1"/>
  <c r="AX400" i="11"/>
  <c r="AX252" i="11" s="1"/>
  <c r="AA390" i="11"/>
  <c r="AA242" i="11" s="1"/>
  <c r="T391" i="11"/>
  <c r="T243" i="11" s="1"/>
  <c r="AQ391" i="11"/>
  <c r="AQ243" i="11" s="1"/>
  <c r="AG384" i="11"/>
  <c r="AG236" i="11" s="1"/>
  <c r="T76" i="11" s="1"/>
  <c r="M76" i="11" s="1"/>
  <c r="M395" i="11"/>
  <c r="M247" i="11" s="1"/>
  <c r="AG394" i="11"/>
  <c r="AG246" i="11" s="1"/>
  <c r="Y393" i="11"/>
  <c r="Y245" i="11" s="1"/>
  <c r="N392" i="11"/>
  <c r="N244" i="11" s="1"/>
  <c r="AF389" i="11"/>
  <c r="AF241" i="11" s="1"/>
  <c r="AA398" i="11"/>
  <c r="AA250" i="11" s="1"/>
  <c r="AQ386" i="11"/>
  <c r="AQ238" i="11" s="1"/>
  <c r="S399" i="11"/>
  <c r="S251" i="11" s="1"/>
  <c r="Y387" i="11"/>
  <c r="Y239" i="11" s="1"/>
  <c r="I391" i="11"/>
  <c r="I243" i="11" s="1"/>
  <c r="T396" i="11"/>
  <c r="T248" i="11" s="1"/>
  <c r="U383" i="11"/>
  <c r="U235" i="11" s="1"/>
  <c r="R75" i="11" s="1"/>
  <c r="K75" i="11" s="1"/>
  <c r="T394" i="11"/>
  <c r="T246" i="11" s="1"/>
  <c r="AS394" i="11"/>
  <c r="AS246" i="11" s="1"/>
  <c r="AW389" i="11"/>
  <c r="AW241" i="11" s="1"/>
  <c r="I398" i="11"/>
  <c r="I250" i="11" s="1"/>
  <c r="Z386" i="11"/>
  <c r="Z238" i="11" s="1"/>
  <c r="AS386" i="11"/>
  <c r="AS238" i="11" s="1"/>
  <c r="AE402" i="11"/>
  <c r="AE254" i="11" s="1"/>
  <c r="AR390" i="11"/>
  <c r="AR242" i="11" s="1"/>
  <c r="AA385" i="11"/>
  <c r="AA237" i="11" s="1"/>
  <c r="S77" i="11" s="1"/>
  <c r="L77" i="11" s="1"/>
  <c r="AL387" i="11"/>
  <c r="AL239" i="11" s="1"/>
  <c r="AF391" i="11"/>
  <c r="AF243" i="11" s="1"/>
  <c r="AM397" i="11"/>
  <c r="AM249" i="11" s="1"/>
  <c r="AE397" i="11"/>
  <c r="AE249" i="11" s="1"/>
  <c r="I396" i="11"/>
  <c r="I248" i="11" s="1"/>
  <c r="AL384" i="11"/>
  <c r="AL236" i="11" s="1"/>
  <c r="AX395" i="11"/>
  <c r="AX247" i="11" s="1"/>
  <c r="AM383" i="11"/>
  <c r="AM235" i="11" s="1"/>
  <c r="U75" i="11" s="1"/>
  <c r="N75" i="11" s="1"/>
  <c r="AR393" i="11"/>
  <c r="AR245" i="11" s="1"/>
  <c r="AM393" i="11"/>
  <c r="AM245" i="11" s="1"/>
  <c r="AX392" i="11"/>
  <c r="AX244" i="11" s="1"/>
  <c r="M403" i="11"/>
  <c r="M255" i="11" s="1"/>
  <c r="M402" i="11"/>
  <c r="M254" i="11" s="1"/>
  <c r="M399" i="11"/>
  <c r="M251" i="11" s="1"/>
  <c r="M390" i="11"/>
  <c r="M242" i="11" s="1"/>
  <c r="I385" i="11"/>
  <c r="I237" i="11" s="1"/>
  <c r="P77" i="11" s="1"/>
  <c r="I77" i="11" s="1"/>
  <c r="AX387" i="11"/>
  <c r="AX239" i="11" s="1"/>
  <c r="AR396" i="11"/>
  <c r="AR248" i="11" s="1"/>
  <c r="M396" i="11"/>
  <c r="M248" i="11" s="1"/>
  <c r="AK384" i="11"/>
  <c r="AK236" i="11" s="1"/>
  <c r="AA395" i="11"/>
  <c r="AA247" i="11" s="1"/>
  <c r="AR395" i="11"/>
  <c r="AR247" i="11" s="1"/>
  <c r="AL383" i="11"/>
  <c r="AL235" i="11" s="1"/>
  <c r="AE383" i="11"/>
  <c r="AE235" i="11" s="1"/>
  <c r="AM394" i="11"/>
  <c r="AM246" i="11" s="1"/>
  <c r="AK394" i="11"/>
  <c r="AK246" i="11" s="1"/>
  <c r="AX393" i="11"/>
  <c r="AX245" i="11" s="1"/>
  <c r="AG393" i="11"/>
  <c r="AG245" i="11" s="1"/>
  <c r="AE393" i="11"/>
  <c r="AE245" i="11" s="1"/>
  <c r="AA392" i="11"/>
  <c r="AA244" i="11" s="1"/>
  <c r="AK392" i="11"/>
  <c r="AK244" i="11" s="1"/>
  <c r="Z389" i="11"/>
  <c r="Z241" i="11" s="1"/>
  <c r="AE389" i="11"/>
  <c r="AE241" i="11" s="1"/>
  <c r="U398" i="11"/>
  <c r="U250" i="11" s="1"/>
  <c r="AF398" i="11"/>
  <c r="AF250" i="11" s="1"/>
  <c r="M398" i="11"/>
  <c r="M250" i="11" s="1"/>
  <c r="AL386" i="11"/>
  <c r="AL238" i="11" s="1"/>
  <c r="AM386" i="11"/>
  <c r="AM238" i="11" s="1"/>
  <c r="U78" i="11" s="1"/>
  <c r="N78" i="11" s="1"/>
  <c r="AK386" i="11"/>
  <c r="AK238" i="11" s="1"/>
  <c r="AM403" i="11"/>
  <c r="AM255" i="11" s="1"/>
  <c r="AE403" i="11"/>
  <c r="AE255" i="11" s="1"/>
  <c r="AR402" i="11"/>
  <c r="AR254" i="11" s="1"/>
  <c r="AK402" i="11"/>
  <c r="AK254" i="11" s="1"/>
  <c r="U400" i="11"/>
  <c r="U252" i="11" s="1"/>
  <c r="M400" i="11"/>
  <c r="M252" i="11" s="1"/>
  <c r="AW399" i="11"/>
  <c r="AW251" i="11" s="1"/>
  <c r="N399" i="11"/>
  <c r="N251" i="11" s="1"/>
  <c r="AF399" i="11"/>
  <c r="AF251" i="11" s="1"/>
  <c r="N390" i="11"/>
  <c r="N242" i="11" s="1"/>
  <c r="AM390" i="11"/>
  <c r="AM242" i="11" s="1"/>
  <c r="AK390" i="11"/>
  <c r="AK242" i="11" s="1"/>
  <c r="AG385" i="11"/>
  <c r="AG237" i="11" s="1"/>
  <c r="T77" i="11" s="1"/>
  <c r="M77" i="11" s="1"/>
  <c r="AE385" i="11"/>
  <c r="AE237" i="11" s="1"/>
  <c r="AG387" i="11"/>
  <c r="AG239" i="11" s="1"/>
  <c r="T79" i="11" s="1"/>
  <c r="M79" i="11" s="1"/>
  <c r="I397" i="11"/>
  <c r="I249" i="11" s="1"/>
  <c r="AS397" i="11"/>
  <c r="AS249" i="11" s="1"/>
  <c r="AF397" i="11"/>
  <c r="AF249" i="11" s="1"/>
  <c r="N388" i="11"/>
  <c r="N240" i="11" s="1"/>
  <c r="I388" i="11"/>
  <c r="I240" i="11" s="1"/>
  <c r="P80" i="11" s="1"/>
  <c r="I80" i="11" s="1"/>
  <c r="AA396" i="11"/>
  <c r="AA248" i="11" s="1"/>
  <c r="M383" i="11"/>
  <c r="M235" i="11" s="1"/>
  <c r="AR394" i="11"/>
  <c r="AR246" i="11" s="1"/>
  <c r="Z393" i="11"/>
  <c r="Z245" i="11" s="1"/>
  <c r="AX386" i="11"/>
  <c r="AX238" i="11" s="1"/>
  <c r="AG403" i="11"/>
  <c r="AG255" i="11" s="1"/>
  <c r="AG402" i="11"/>
  <c r="AG254" i="11" s="1"/>
  <c r="I400" i="11"/>
  <c r="I252" i="11" s="1"/>
  <c r="I399" i="11"/>
  <c r="I251" i="11" s="1"/>
  <c r="O391" i="11"/>
  <c r="O243" i="11" s="1"/>
  <c r="AG388" i="11"/>
  <c r="AG240" i="11" s="1"/>
  <c r="T80" i="11" s="1"/>
  <c r="M80" i="11" s="1"/>
  <c r="AR383" i="11"/>
  <c r="AR235" i="11" s="1"/>
  <c r="AF392" i="11"/>
  <c r="AF244" i="11" s="1"/>
  <c r="Y389" i="11"/>
  <c r="Y241" i="11" s="1"/>
  <c r="AR398" i="11"/>
  <c r="AR250" i="11" s="1"/>
  <c r="AW398" i="11"/>
  <c r="AW250" i="11" s="1"/>
  <c r="AS400" i="11"/>
  <c r="AS252" i="11" s="1"/>
  <c r="AG399" i="11"/>
  <c r="AG251" i="11" s="1"/>
  <c r="U385" i="11"/>
  <c r="U237" i="11" s="1"/>
  <c r="R77" i="11" s="1"/>
  <c r="K77" i="11" s="1"/>
  <c r="AR391" i="11"/>
  <c r="AR243" i="11" s="1"/>
  <c r="Y397" i="11"/>
  <c r="Y249" i="11" s="1"/>
  <c r="AE396" i="11"/>
  <c r="AE248" i="11" s="1"/>
  <c r="N396" i="11"/>
  <c r="N248" i="11" s="1"/>
  <c r="AF383" i="11"/>
  <c r="AF235" i="11" s="1"/>
  <c r="AW393" i="11"/>
  <c r="AW245" i="11" s="1"/>
  <c r="AK401" i="11"/>
  <c r="AK253" i="11" s="1"/>
  <c r="AQ401" i="11"/>
  <c r="AQ253" i="11" s="1"/>
  <c r="O398" i="11"/>
  <c r="O250" i="11" s="1"/>
  <c r="S402" i="11"/>
  <c r="S254" i="11" s="1"/>
  <c r="N402" i="11"/>
  <c r="N254" i="11" s="1"/>
  <c r="Z399" i="11"/>
  <c r="Z251" i="11" s="1"/>
  <c r="AW385" i="11"/>
  <c r="AW237" i="11" s="1"/>
  <c r="AX391" i="11"/>
  <c r="AX243" i="11" s="1"/>
  <c r="AM391" i="11"/>
  <c r="AM243" i="11" s="1"/>
  <c r="AA388" i="11"/>
  <c r="AA240" i="11" s="1"/>
  <c r="S80" i="11" s="1"/>
  <c r="L80" i="11" s="1"/>
  <c r="AS396" i="11"/>
  <c r="AS248" i="11" s="1"/>
  <c r="Z396" i="11"/>
  <c r="Z248" i="11" s="1"/>
  <c r="O384" i="11"/>
  <c r="O236" i="11" s="1"/>
  <c r="Q76" i="11" s="1"/>
  <c r="J76" i="11" s="1"/>
  <c r="T395" i="11"/>
  <c r="T247" i="11" s="1"/>
  <c r="N383" i="11"/>
  <c r="N235" i="11" s="1"/>
  <c r="AW401" i="11"/>
  <c r="AW253" i="11" s="1"/>
  <c r="T386" i="11"/>
  <c r="T238" i="11" s="1"/>
  <c r="O403" i="11"/>
  <c r="O255" i="11" s="1"/>
  <c r="T403" i="11"/>
  <c r="T255" i="11" s="1"/>
  <c r="Z400" i="11"/>
  <c r="Z252" i="11" s="1"/>
  <c r="AE390" i="11"/>
  <c r="AE242" i="11" s="1"/>
  <c r="AW387" i="11"/>
  <c r="AW239" i="11" s="1"/>
  <c r="S387" i="11"/>
  <c r="S239" i="11" s="1"/>
  <c r="S391" i="11"/>
  <c r="S243" i="11" s="1"/>
  <c r="U396" i="11"/>
  <c r="U248" i="11" s="1"/>
  <c r="AL396" i="11"/>
  <c r="AL248" i="11" s="1"/>
  <c r="AW395" i="11"/>
  <c r="AW247" i="11" s="1"/>
  <c r="I394" i="11"/>
  <c r="I246" i="11" s="1"/>
  <c r="U402" i="11"/>
  <c r="U254" i="11" s="1"/>
  <c r="I390" i="11"/>
  <c r="I242" i="11" s="1"/>
  <c r="AS391" i="11"/>
  <c r="AS243" i="11" s="1"/>
  <c r="AL397" i="11"/>
  <c r="AL249" i="11" s="1"/>
  <c r="O383" i="11"/>
  <c r="O235" i="11" s="1"/>
  <c r="Q75" i="11" s="1"/>
  <c r="J75" i="11" s="1"/>
  <c r="AR392" i="11"/>
  <c r="AR244" i="11" s="1"/>
  <c r="AG401" i="11"/>
  <c r="AG253" i="11" s="1"/>
  <c r="M389" i="11"/>
  <c r="M241" i="11" s="1"/>
  <c r="AM398" i="11"/>
  <c r="AM250" i="11" s="1"/>
  <c r="AX398" i="11"/>
  <c r="AX250" i="11" s="1"/>
  <c r="U386" i="11"/>
  <c r="U238" i="11" s="1"/>
  <c r="R78" i="11" s="1"/>
  <c r="K78" i="11" s="1"/>
  <c r="N403" i="11"/>
  <c r="N255" i="11" s="1"/>
  <c r="AA400" i="11"/>
  <c r="AA252" i="11" s="1"/>
  <c r="U390" i="11"/>
  <c r="U242" i="11" s="1"/>
  <c r="AS385" i="11"/>
  <c r="AS237" i="11" s="1"/>
  <c r="Z391" i="11"/>
  <c r="Z243" i="11" s="1"/>
  <c r="AW388" i="11"/>
  <c r="AW240" i="11" s="1"/>
  <c r="I384" i="11"/>
  <c r="I236" i="11" s="1"/>
  <c r="P76" i="11" s="1"/>
  <c r="I76" i="11" s="1"/>
  <c r="AK395" i="11"/>
  <c r="AK247" i="11" s="1"/>
  <c r="Y383" i="11"/>
  <c r="Y235" i="11" s="1"/>
  <c r="AW383" i="11"/>
  <c r="AW235" i="11" s="1"/>
  <c r="AG392" i="11"/>
  <c r="AG244" i="11" s="1"/>
  <c r="Y401" i="11"/>
  <c r="Y253" i="11" s="1"/>
  <c r="T389" i="11"/>
  <c r="T241" i="11" s="1"/>
  <c r="O389" i="11"/>
  <c r="O241" i="11" s="1"/>
  <c r="AS403" i="11"/>
  <c r="AS255" i="11" s="1"/>
  <c r="AG390" i="11"/>
  <c r="AG242" i="11" s="1"/>
  <c r="Y385" i="11"/>
  <c r="Y237" i="11" s="1"/>
  <c r="AS387" i="11"/>
  <c r="AS239" i="11" s="1"/>
  <c r="AR388" i="11"/>
  <c r="AR240" i="11" s="1"/>
  <c r="N384" i="11"/>
  <c r="N236" i="11" s="1"/>
  <c r="S384" i="11"/>
  <c r="S236" i="11" s="1"/>
  <c r="O394" i="11"/>
  <c r="O246" i="11" s="1"/>
  <c r="AE392" i="11"/>
  <c r="AE244" i="11" s="1"/>
  <c r="AS392" i="11"/>
  <c r="AS244" i="11" s="1"/>
  <c r="AM401" i="11"/>
  <c r="AM253" i="11" s="1"/>
  <c r="O386" i="11"/>
  <c r="O238" i="11" s="1"/>
  <c r="Q78" i="11" s="1"/>
  <c r="J78" i="11" s="1"/>
  <c r="AQ400" i="11"/>
  <c r="AQ252" i="11" s="1"/>
  <c r="AS399" i="11"/>
  <c r="AS251" i="11" s="1"/>
  <c r="AE399" i="11"/>
  <c r="AE251" i="11" s="1"/>
  <c r="AS390" i="11"/>
  <c r="AS242" i="11" s="1"/>
  <c r="AX385" i="11"/>
  <c r="AX237" i="11" s="1"/>
  <c r="AX388" i="11"/>
  <c r="AX240" i="11" s="1"/>
  <c r="AQ396" i="11"/>
  <c r="AQ248" i="11" s="1"/>
  <c r="M384" i="11"/>
  <c r="M236" i="11" s="1"/>
  <c r="I395" i="11"/>
  <c r="I247" i="11" s="1"/>
  <c r="AK393" i="11"/>
  <c r="AK245" i="11" s="1"/>
  <c r="M392" i="11"/>
  <c r="M244" i="11" s="1"/>
  <c r="AM389" i="11"/>
  <c r="AM241" i="11" s="1"/>
  <c r="AE398" i="11"/>
  <c r="AE250" i="11" s="1"/>
  <c r="M386" i="11"/>
  <c r="M238" i="11" s="1"/>
  <c r="AR400" i="11"/>
  <c r="AR252" i="11" s="1"/>
  <c r="Y399" i="11"/>
  <c r="Y251" i="11" s="1"/>
  <c r="AF390" i="11"/>
  <c r="AF242" i="11" s="1"/>
  <c r="AF385" i="11"/>
  <c r="AF237" i="11" s="1"/>
  <c r="Y396" i="11"/>
  <c r="Y248" i="11" s="1"/>
  <c r="AA384" i="11"/>
  <c r="AA236" i="11" s="1"/>
  <c r="S76" i="11" s="1"/>
  <c r="L76" i="11" s="1"/>
  <c r="AW384" i="11"/>
  <c r="AW236" i="11" s="1"/>
  <c r="N395" i="11"/>
  <c r="N247" i="11" s="1"/>
  <c r="U395" i="11"/>
  <c r="U247" i="11" s="1"/>
  <c r="AK383" i="11"/>
  <c r="AK235" i="11" s="1"/>
  <c r="AQ383" i="11"/>
  <c r="AQ235" i="11" s="1"/>
  <c r="AF394" i="11"/>
  <c r="AF246" i="11" s="1"/>
  <c r="AW394" i="11"/>
  <c r="AW246" i="11" s="1"/>
  <c r="M393" i="11"/>
  <c r="M245" i="11" s="1"/>
  <c r="AQ393" i="11"/>
  <c r="AQ245" i="11" s="1"/>
  <c r="T392" i="11"/>
  <c r="T244" i="11" s="1"/>
  <c r="AW392" i="11"/>
  <c r="AW244" i="11" s="1"/>
  <c r="AK389" i="11"/>
  <c r="AK241" i="11" s="1"/>
  <c r="N389" i="11"/>
  <c r="N241" i="11" s="1"/>
  <c r="AQ389" i="11"/>
  <c r="AQ241" i="11" s="1"/>
  <c r="T398" i="11"/>
  <c r="T250" i="11" s="1"/>
  <c r="Y398" i="11"/>
  <c r="Y250" i="11" s="1"/>
  <c r="AF386" i="11"/>
  <c r="AF238" i="11" s="1"/>
  <c r="AW386" i="11"/>
  <c r="AW238" i="11" s="1"/>
  <c r="AA403" i="11"/>
  <c r="AA255" i="11" s="1"/>
  <c r="AQ403" i="11"/>
  <c r="AQ255" i="11" s="1"/>
  <c r="AF402" i="11"/>
  <c r="AF254" i="11" s="1"/>
  <c r="AW402" i="11"/>
  <c r="AW254" i="11" s="1"/>
  <c r="AM400" i="11"/>
  <c r="AM252" i="11" s="1"/>
  <c r="Y400" i="11"/>
  <c r="Y252" i="11" s="1"/>
  <c r="AA399" i="11"/>
  <c r="AA251" i="11" s="1"/>
  <c r="AR399" i="11"/>
  <c r="AR251" i="11" s="1"/>
  <c r="O390" i="11"/>
  <c r="O242" i="11" s="1"/>
  <c r="AW390" i="11"/>
  <c r="AW242" i="11" s="1"/>
  <c r="AQ385" i="11"/>
  <c r="AQ237" i="11" s="1"/>
  <c r="I387" i="11"/>
  <c r="I239" i="11" s="1"/>
  <c r="P79" i="11" s="1"/>
  <c r="I79" i="11" s="1"/>
  <c r="M391" i="11"/>
  <c r="M243" i="11" s="1"/>
  <c r="AK397" i="11"/>
  <c r="AK249" i="11" s="1"/>
  <c r="AR397" i="11"/>
  <c r="AR249" i="11" s="1"/>
  <c r="AF388" i="11"/>
  <c r="AF240" i="11" s="1"/>
  <c r="Z388" i="11"/>
  <c r="Z240" i="11" s="1"/>
  <c r="U388" i="11"/>
  <c r="U240" i="11" s="1"/>
  <c r="R80" i="11" s="1"/>
  <c r="K80" i="11" s="1"/>
  <c r="BE234" i="11" l="1"/>
  <c r="BH234" i="11"/>
  <c r="BC98" i="11"/>
  <c r="BD98" i="11"/>
  <c r="BE98" i="11"/>
  <c r="BF98" i="11"/>
  <c r="BG98" i="11"/>
  <c r="BN256" i="11"/>
  <c r="BN271" i="11" s="1"/>
  <c r="BM256" i="11"/>
  <c r="BM271" i="11" s="1"/>
  <c r="BO256" i="11"/>
  <c r="BO271" i="11" s="1"/>
  <c r="BX256" i="11"/>
  <c r="BX271" i="11" s="1"/>
  <c r="BL256" i="11"/>
  <c r="BL271" i="11" s="1"/>
  <c r="BW256" i="11"/>
  <c r="BW271" i="11" s="1"/>
  <c r="BC102" i="11" s="1"/>
  <c r="BK256" i="11"/>
  <c r="BK271" i="11" s="1"/>
  <c r="BV256" i="11"/>
  <c r="BV271" i="11" s="1"/>
  <c r="BJ256" i="11"/>
  <c r="BQ256" i="11"/>
  <c r="BD256" i="11"/>
  <c r="BU256" i="11"/>
  <c r="BU271" i="11" s="1"/>
  <c r="BI256" i="11"/>
  <c r="BI271" i="11" s="1"/>
  <c r="BH256" i="11"/>
  <c r="BH271" i="11" s="1"/>
  <c r="BR256" i="11"/>
  <c r="BR271" i="11" s="1"/>
  <c r="BT256" i="11"/>
  <c r="BT271" i="11" s="1"/>
  <c r="BG256" i="11"/>
  <c r="BG271" i="11" s="1"/>
  <c r="BF256" i="11"/>
  <c r="BF271" i="11" s="1"/>
  <c r="BP256" i="11"/>
  <c r="BS256" i="11"/>
  <c r="BE256" i="11"/>
  <c r="BT240" i="11"/>
  <c r="BT259" i="11" s="1"/>
  <c r="BH240" i="11"/>
  <c r="BH259" i="11" s="1"/>
  <c r="BS240" i="11"/>
  <c r="BS259" i="11" s="1"/>
  <c r="BR240" i="11"/>
  <c r="BR259" i="11" s="1"/>
  <c r="BF240" i="11"/>
  <c r="BF259" i="11" s="1"/>
  <c r="BJ240" i="11"/>
  <c r="BJ259" i="11" s="1"/>
  <c r="BG240" i="11"/>
  <c r="BG259" i="11" s="1"/>
  <c r="BQ240" i="11"/>
  <c r="BQ259" i="11" s="1"/>
  <c r="BE240" i="11"/>
  <c r="BE259" i="11" s="1"/>
  <c r="BM240" i="11"/>
  <c r="BX240" i="11"/>
  <c r="BX259" i="11" s="1"/>
  <c r="BP240" i="11"/>
  <c r="BP259" i="11" s="1"/>
  <c r="BD240" i="11"/>
  <c r="BO240" i="11"/>
  <c r="BO259" i="11" s="1"/>
  <c r="BN240" i="11"/>
  <c r="BN259" i="11" s="1"/>
  <c r="BV240" i="11"/>
  <c r="BL240" i="11"/>
  <c r="BL259" i="11" s="1"/>
  <c r="BW240" i="11"/>
  <c r="BW259" i="11" s="1"/>
  <c r="BC101" i="11" s="1"/>
  <c r="BK240" i="11"/>
  <c r="BK259" i="11" s="1"/>
  <c r="BU240" i="11"/>
  <c r="BU259" i="11" s="1"/>
  <c r="BI240" i="11"/>
  <c r="BI259" i="11" s="1"/>
  <c r="BG234" i="11"/>
  <c r="BT234" i="11"/>
  <c r="BO234" i="11"/>
  <c r="BM234" i="11"/>
  <c r="BS234" i="11"/>
  <c r="BX244" i="11"/>
  <c r="BX262" i="11" s="1"/>
  <c r="BF234" i="11"/>
  <c r="BJ234" i="11"/>
  <c r="BX234" i="11"/>
  <c r="BW234" i="11"/>
  <c r="BX248" i="11"/>
  <c r="BX265" i="11" s="1"/>
  <c r="BN234" i="11"/>
  <c r="BX252" i="11"/>
  <c r="BX268" i="11" s="1"/>
  <c r="BP234" i="11"/>
  <c r="BI234" i="11"/>
  <c r="BU234" i="11"/>
  <c r="BV234" i="11"/>
  <c r="BK234" i="11"/>
  <c r="BV259" i="11"/>
  <c r="BM259" i="11"/>
  <c r="BM244" i="11"/>
  <c r="BM262" i="11" s="1"/>
  <c r="BN244" i="11"/>
  <c r="BN262" i="11" s="1"/>
  <c r="BO244" i="11"/>
  <c r="BO262" i="11" s="1"/>
  <c r="BP244" i="11"/>
  <c r="BP262" i="11" s="1"/>
  <c r="BE244" i="11"/>
  <c r="BE262" i="11" s="1"/>
  <c r="BQ244" i="11"/>
  <c r="BQ262" i="11" s="1"/>
  <c r="BH244" i="11"/>
  <c r="BH262" i="11" s="1"/>
  <c r="BT244" i="11"/>
  <c r="BT262" i="11" s="1"/>
  <c r="BI244" i="11"/>
  <c r="BI262" i="11" s="1"/>
  <c r="BU244" i="11"/>
  <c r="BU262" i="11" s="1"/>
  <c r="BJ244" i="11"/>
  <c r="BJ262" i="11" s="1"/>
  <c r="BV244" i="11"/>
  <c r="BV262" i="11" s="1"/>
  <c r="BK244" i="11"/>
  <c r="BK262" i="11" s="1"/>
  <c r="BW244" i="11"/>
  <c r="BW262" i="11" s="1"/>
  <c r="BL244" i="11"/>
  <c r="BL262" i="11" s="1"/>
  <c r="BF244" i="11"/>
  <c r="BF262" i="11" s="1"/>
  <c r="BG244" i="11"/>
  <c r="BG262" i="11" s="1"/>
  <c r="BR244" i="11"/>
  <c r="BR262" i="11" s="1"/>
  <c r="BS244" i="11"/>
  <c r="BS262" i="11" s="1"/>
  <c r="BR234" i="11"/>
  <c r="BI252" i="11"/>
  <c r="BI268" i="11" s="1"/>
  <c r="BU252" i="11"/>
  <c r="BU268" i="11" s="1"/>
  <c r="BJ252" i="11"/>
  <c r="BJ268" i="11" s="1"/>
  <c r="BV252" i="11"/>
  <c r="BV268" i="11" s="1"/>
  <c r="BK252" i="11"/>
  <c r="BK268" i="11" s="1"/>
  <c r="BW252" i="11"/>
  <c r="BW268" i="11" s="1"/>
  <c r="BL252" i="11"/>
  <c r="BL268" i="11" s="1"/>
  <c r="BM252" i="11"/>
  <c r="BM268" i="11" s="1"/>
  <c r="BP252" i="11"/>
  <c r="BP268" i="11" s="1"/>
  <c r="BE252" i="11"/>
  <c r="BE268" i="11" s="1"/>
  <c r="BQ252" i="11"/>
  <c r="BQ268" i="11" s="1"/>
  <c r="BF252" i="11"/>
  <c r="BF268" i="11" s="1"/>
  <c r="BR252" i="11"/>
  <c r="BR268" i="11" s="1"/>
  <c r="BG252" i="11"/>
  <c r="BG268" i="11" s="1"/>
  <c r="BS252" i="11"/>
  <c r="BS268" i="11" s="1"/>
  <c r="BH252" i="11"/>
  <c r="BH268" i="11" s="1"/>
  <c r="BT252" i="11"/>
  <c r="BT268" i="11" s="1"/>
  <c r="BN252" i="11"/>
  <c r="BN268" i="11" s="1"/>
  <c r="BO252" i="11"/>
  <c r="BO268" i="11" s="1"/>
  <c r="BP271" i="11"/>
  <c r="BE271" i="11"/>
  <c r="BQ271" i="11"/>
  <c r="BJ271" i="11"/>
  <c r="BS271" i="11"/>
  <c r="BE248" i="11"/>
  <c r="BE265" i="11" s="1"/>
  <c r="BQ248" i="11"/>
  <c r="BQ265" i="11" s="1"/>
  <c r="BF248" i="11"/>
  <c r="BF265" i="11" s="1"/>
  <c r="BR248" i="11"/>
  <c r="BR265" i="11" s="1"/>
  <c r="BG248" i="11"/>
  <c r="BG265" i="11" s="1"/>
  <c r="BS248" i="11"/>
  <c r="BS265" i="11" s="1"/>
  <c r="BH248" i="11"/>
  <c r="BH265" i="11" s="1"/>
  <c r="BT248" i="11"/>
  <c r="BT265" i="11" s="1"/>
  <c r="BI248" i="11"/>
  <c r="BI265" i="11" s="1"/>
  <c r="BU248" i="11"/>
  <c r="BU265" i="11" s="1"/>
  <c r="BL248" i="11"/>
  <c r="BL265" i="11" s="1"/>
  <c r="BM248" i="11"/>
  <c r="BM265" i="11" s="1"/>
  <c r="BN248" i="11"/>
  <c r="BN265" i="11" s="1"/>
  <c r="BO248" i="11"/>
  <c r="BO265" i="11" s="1"/>
  <c r="BP248" i="11"/>
  <c r="BP265" i="11" s="1"/>
  <c r="BJ248" i="11"/>
  <c r="BJ265" i="11" s="1"/>
  <c r="BK248" i="11"/>
  <c r="BK265" i="11" s="1"/>
  <c r="BV248" i="11"/>
  <c r="BV265" i="11" s="1"/>
  <c r="BW248" i="11"/>
  <c r="BW265" i="11" s="1"/>
  <c r="J394" i="11"/>
  <c r="J246" i="11" s="1"/>
  <c r="J41" i="11" s="1"/>
  <c r="J399" i="11"/>
  <c r="J251" i="11" s="1"/>
  <c r="J46" i="11" s="1"/>
  <c r="P383" i="11"/>
  <c r="P235" i="11" s="1"/>
  <c r="P30" i="11" s="1"/>
  <c r="V393" i="11"/>
  <c r="V245" i="11" s="1"/>
  <c r="V40" i="11" s="1"/>
  <c r="AB402" i="11"/>
  <c r="AB254" i="11" s="1"/>
  <c r="AB49" i="11" s="1"/>
  <c r="AB403" i="11"/>
  <c r="AB255" i="11" s="1"/>
  <c r="AB50" i="11" s="1"/>
  <c r="AB392" i="11"/>
  <c r="AB244" i="11" s="1"/>
  <c r="AB39" i="11" s="1"/>
  <c r="AN398" i="11"/>
  <c r="AN250" i="11" s="1"/>
  <c r="AN45" i="11" s="1"/>
  <c r="P391" i="11"/>
  <c r="P243" i="11" s="1"/>
  <c r="P38" i="11" s="1"/>
  <c r="V389" i="11"/>
  <c r="V241" i="11" s="1"/>
  <c r="V36" i="11" s="1"/>
  <c r="AB386" i="11"/>
  <c r="AB238" i="11" s="1"/>
  <c r="AB33" i="11" s="1"/>
  <c r="AB387" i="11"/>
  <c r="AB239" i="11" s="1"/>
  <c r="AB34" i="11" s="1"/>
  <c r="AT383" i="11"/>
  <c r="AT235" i="11" s="1"/>
  <c r="AT30" i="11" s="1"/>
  <c r="P390" i="11"/>
  <c r="P242" i="11" s="1"/>
  <c r="P37" i="11" s="1"/>
  <c r="P395" i="11"/>
  <c r="P247" i="11" s="1"/>
  <c r="P42" i="11" s="1"/>
  <c r="AB389" i="11"/>
  <c r="AB241" i="11" s="1"/>
  <c r="AB36" i="11" s="1"/>
  <c r="AH386" i="11"/>
  <c r="AH238" i="11" s="1"/>
  <c r="AH33" i="11" s="1"/>
  <c r="AH387" i="11"/>
  <c r="AH239" i="11" s="1"/>
  <c r="AH34" i="11" s="1"/>
  <c r="AH388" i="11"/>
  <c r="AH240" i="11" s="1"/>
  <c r="AH35" i="11" s="1"/>
  <c r="AT394" i="11"/>
  <c r="AT246" i="11" s="1"/>
  <c r="AT41" i="11" s="1"/>
  <c r="P403" i="11"/>
  <c r="P255" i="11" s="1"/>
  <c r="P50" i="11" s="1"/>
  <c r="V401" i="11"/>
  <c r="V253" i="11" s="1"/>
  <c r="V48" i="11" s="1"/>
  <c r="AB398" i="11"/>
  <c r="AB250" i="11" s="1"/>
  <c r="AB45" i="11" s="1"/>
  <c r="AB399" i="11"/>
  <c r="AB251" i="11" s="1"/>
  <c r="AB46" i="11" s="1"/>
  <c r="J386" i="11"/>
  <c r="J238" i="11" s="1"/>
  <c r="J33" i="11" s="1"/>
  <c r="AH383" i="11"/>
  <c r="AH235" i="11" s="1"/>
  <c r="AH30" i="11" s="1"/>
  <c r="J395" i="11"/>
  <c r="J247" i="11" s="1"/>
  <c r="J42" i="11" s="1"/>
  <c r="J400" i="11"/>
  <c r="J252" i="11" s="1"/>
  <c r="J47" i="11" s="1"/>
  <c r="AB388" i="11"/>
  <c r="AB240" i="11" s="1"/>
  <c r="AB35" i="11" s="1"/>
  <c r="AH385" i="11"/>
  <c r="AH237" i="11" s="1"/>
  <c r="AH32" i="11" s="1"/>
  <c r="AN383" i="11"/>
  <c r="AN235" i="11" s="1"/>
  <c r="AN30" i="11" s="1"/>
  <c r="AN384" i="11"/>
  <c r="AN236" i="11" s="1"/>
  <c r="AN31" i="11" s="1"/>
  <c r="AN385" i="11"/>
  <c r="AN237" i="11" s="1"/>
  <c r="AN32" i="11" s="1"/>
  <c r="V399" i="11"/>
  <c r="V251" i="11" s="1"/>
  <c r="V46" i="11" s="1"/>
  <c r="V400" i="11"/>
  <c r="V252" i="11" s="1"/>
  <c r="V47" i="11" s="1"/>
  <c r="AB397" i="11"/>
  <c r="AB249" i="11" s="1"/>
  <c r="AB44" i="11" s="1"/>
  <c r="AN391" i="11"/>
  <c r="AN243" i="11" s="1"/>
  <c r="AN38" i="11" s="1"/>
  <c r="AH395" i="11"/>
  <c r="AH247" i="11" s="1"/>
  <c r="AH42" i="11" s="1"/>
  <c r="AH398" i="11"/>
  <c r="AH250" i="11" s="1"/>
  <c r="AH45" i="11" s="1"/>
  <c r="V398" i="11"/>
  <c r="V250" i="11" s="1"/>
  <c r="V45" i="11" s="1"/>
  <c r="AT395" i="11"/>
  <c r="AT247" i="11" s="1"/>
  <c r="AT42" i="11" s="1"/>
  <c r="P400" i="11"/>
  <c r="P252" i="11" s="1"/>
  <c r="P47" i="11" s="1"/>
  <c r="AB400" i="11"/>
  <c r="AB252" i="11" s="1"/>
  <c r="AB47" i="11" s="1"/>
  <c r="AH397" i="11"/>
  <c r="AH249" i="11" s="1"/>
  <c r="AH44" i="11" s="1"/>
  <c r="AN395" i="11"/>
  <c r="AN247" i="11" s="1"/>
  <c r="AN42" i="11" s="1"/>
  <c r="AN396" i="11"/>
  <c r="AN248" i="11" s="1"/>
  <c r="AN43" i="11" s="1"/>
  <c r="AN397" i="11"/>
  <c r="AN249" i="11" s="1"/>
  <c r="AN44" i="11" s="1"/>
  <c r="AB383" i="11"/>
  <c r="AB235" i="11" s="1"/>
  <c r="AB30" i="11" s="1"/>
  <c r="AB384" i="11"/>
  <c r="AB236" i="11" s="1"/>
  <c r="AB31" i="11" s="1"/>
  <c r="AH393" i="11"/>
  <c r="AH245" i="11" s="1"/>
  <c r="AH40" i="11" s="1"/>
  <c r="AN403" i="11"/>
  <c r="AN255" i="11" s="1"/>
  <c r="AN50" i="11" s="1"/>
  <c r="AN392" i="11"/>
  <c r="AN244" i="11" s="1"/>
  <c r="AN39" i="11" s="1"/>
  <c r="AB401" i="11"/>
  <c r="AB253" i="11" s="1"/>
  <c r="AB48" i="11" s="1"/>
  <c r="J392" i="11"/>
  <c r="J244" i="11" s="1"/>
  <c r="J39" i="11" s="1"/>
  <c r="AB394" i="11"/>
  <c r="AB246" i="11" s="1"/>
  <c r="AB41" i="11" s="1"/>
  <c r="J387" i="11"/>
  <c r="J239" i="11" s="1"/>
  <c r="J34" i="11" s="1"/>
  <c r="AH384" i="11"/>
  <c r="AH236" i="11" s="1"/>
  <c r="AH31" i="11" s="1"/>
  <c r="AN394" i="11"/>
  <c r="AN246" i="11" s="1"/>
  <c r="AN41" i="11" s="1"/>
  <c r="AT391" i="11"/>
  <c r="AT243" i="11" s="1"/>
  <c r="AT38" i="11" s="1"/>
  <c r="AT392" i="11"/>
  <c r="AT244" i="11" s="1"/>
  <c r="AT39" i="11" s="1"/>
  <c r="AT393" i="11"/>
  <c r="AT245" i="11" s="1"/>
  <c r="AT40" i="11" s="1"/>
  <c r="AB395" i="11"/>
  <c r="AB247" i="11" s="1"/>
  <c r="AB42" i="11" s="1"/>
  <c r="AB396" i="11"/>
  <c r="AB248" i="11" s="1"/>
  <c r="AB43" i="11" s="1"/>
  <c r="AN390" i="11"/>
  <c r="AN242" i="11" s="1"/>
  <c r="AN37" i="11" s="1"/>
  <c r="AT387" i="11"/>
  <c r="AT239" i="11" s="1"/>
  <c r="AT34" i="11" s="1"/>
  <c r="AT388" i="11"/>
  <c r="AT240" i="11" s="1"/>
  <c r="AT35" i="11" s="1"/>
  <c r="J391" i="11"/>
  <c r="J243" i="11" s="1"/>
  <c r="J38" i="11" s="1"/>
  <c r="V388" i="11"/>
  <c r="V240" i="11" s="1"/>
  <c r="V35" i="11" s="1"/>
  <c r="AH390" i="11"/>
  <c r="AH242" i="11" s="1"/>
  <c r="AH37" i="11" s="1"/>
  <c r="J396" i="11"/>
  <c r="J248" i="11" s="1"/>
  <c r="J43" i="11" s="1"/>
  <c r="J401" i="11"/>
  <c r="J253" i="11" s="1"/>
  <c r="J48" i="11" s="1"/>
  <c r="AH396" i="11"/>
  <c r="AH248" i="11" s="1"/>
  <c r="AH43" i="11" s="1"/>
  <c r="AT390" i="11"/>
  <c r="AT242" i="11" s="1"/>
  <c r="AT37" i="11" s="1"/>
  <c r="AT403" i="11"/>
  <c r="AT255" i="11" s="1"/>
  <c r="AT50" i="11" s="1"/>
  <c r="J390" i="11"/>
  <c r="J242" i="11" s="1"/>
  <c r="J37" i="11" s="1"/>
  <c r="V385" i="11"/>
  <c r="V237" i="11" s="1"/>
  <c r="V32" i="11" s="1"/>
  <c r="AH391" i="11"/>
  <c r="AH243" i="11" s="1"/>
  <c r="AH38" i="11" s="1"/>
  <c r="AH392" i="11"/>
  <c r="AH244" i="11" s="1"/>
  <c r="AH39" i="11" s="1"/>
  <c r="AN402" i="11"/>
  <c r="AN254" i="11" s="1"/>
  <c r="AN49" i="11" s="1"/>
  <c r="AT399" i="11"/>
  <c r="AT251" i="11" s="1"/>
  <c r="AT46" i="11" s="1"/>
  <c r="AT400" i="11"/>
  <c r="AT252" i="11" s="1"/>
  <c r="AT47" i="11" s="1"/>
  <c r="AH400" i="11"/>
  <c r="AH252" i="11" s="1"/>
  <c r="AH47" i="11" s="1"/>
  <c r="AN387" i="11"/>
  <c r="AN239" i="11" s="1"/>
  <c r="AN34" i="11" s="1"/>
  <c r="P388" i="11"/>
  <c r="P240" i="11" s="1"/>
  <c r="P35" i="11" s="1"/>
  <c r="P401" i="11"/>
  <c r="P253" i="11" s="1"/>
  <c r="P48" i="11" s="1"/>
  <c r="AN393" i="11"/>
  <c r="AN245" i="11" s="1"/>
  <c r="AN40" i="11" s="1"/>
  <c r="AT402" i="11"/>
  <c r="AT254" i="11" s="1"/>
  <c r="AT49" i="11" s="1"/>
  <c r="P386" i="11"/>
  <c r="P238" i="11" s="1"/>
  <c r="P33" i="11" s="1"/>
  <c r="J402" i="11"/>
  <c r="J254" i="11" s="1"/>
  <c r="J49" i="11" s="1"/>
  <c r="V397" i="11"/>
  <c r="V249" i="11" s="1"/>
  <c r="V44" i="11" s="1"/>
  <c r="AH403" i="11"/>
  <c r="AH255" i="11" s="1"/>
  <c r="AH50" i="11" s="1"/>
  <c r="AN389" i="11"/>
  <c r="AN241" i="11" s="1"/>
  <c r="AN36" i="11" s="1"/>
  <c r="AT386" i="11"/>
  <c r="AT238" i="11" s="1"/>
  <c r="AT33" i="11" s="1"/>
  <c r="J385" i="11"/>
  <c r="J237" i="11" s="1"/>
  <c r="J32" i="11" s="1"/>
  <c r="V392" i="11"/>
  <c r="V244" i="11" s="1"/>
  <c r="V39" i="11" s="1"/>
  <c r="AH399" i="11"/>
  <c r="AH251" i="11" s="1"/>
  <c r="AH46" i="11" s="1"/>
  <c r="J393" i="11"/>
  <c r="J245" i="11" s="1"/>
  <c r="J40" i="11" s="1"/>
  <c r="J383" i="11"/>
  <c r="J235" i="11" s="1"/>
  <c r="J30" i="11" s="1"/>
  <c r="J388" i="11"/>
  <c r="J240" i="11" s="1"/>
  <c r="J35" i="11" s="1"/>
  <c r="AT389" i="11"/>
  <c r="AT241" i="11" s="1"/>
  <c r="AT36" i="11" s="1"/>
  <c r="P385" i="11"/>
  <c r="P237" i="11" s="1"/>
  <c r="P32" i="11" s="1"/>
  <c r="P398" i="11"/>
  <c r="P250" i="11" s="1"/>
  <c r="P45" i="11" s="1"/>
  <c r="P387" i="11"/>
  <c r="P239" i="11" s="1"/>
  <c r="P34" i="11" s="1"/>
  <c r="AB393" i="11"/>
  <c r="AB245" i="11" s="1"/>
  <c r="AB40" i="11" s="1"/>
  <c r="AN388" i="11"/>
  <c r="AN240" i="11" s="1"/>
  <c r="AN35" i="11" s="1"/>
  <c r="AN401" i="11"/>
  <c r="AN253" i="11" s="1"/>
  <c r="AN48" i="11" s="1"/>
  <c r="AT398" i="11"/>
  <c r="AT250" i="11" s="1"/>
  <c r="AT45" i="11" s="1"/>
  <c r="J397" i="11"/>
  <c r="J249" i="11" s="1"/>
  <c r="J44" i="11" s="1"/>
  <c r="AB385" i="11"/>
  <c r="AB237" i="11" s="1"/>
  <c r="AB32" i="11" s="1"/>
  <c r="AH402" i="11"/>
  <c r="AH254" i="11" s="1"/>
  <c r="AH49" i="11" s="1"/>
  <c r="J398" i="11"/>
  <c r="J250" i="11" s="1"/>
  <c r="J45" i="11" s="1"/>
  <c r="J403" i="11"/>
  <c r="J255" i="11" s="1"/>
  <c r="J50" i="11" s="1"/>
  <c r="AT401" i="11"/>
  <c r="AT253" i="11" s="1"/>
  <c r="AT48" i="11" s="1"/>
  <c r="P397" i="11"/>
  <c r="P249" i="11" s="1"/>
  <c r="P44" i="11" s="1"/>
  <c r="V383" i="11"/>
  <c r="V235" i="11" s="1"/>
  <c r="V30" i="11" s="1"/>
  <c r="P399" i="11"/>
  <c r="P251" i="11" s="1"/>
  <c r="P46" i="11" s="1"/>
  <c r="AH389" i="11"/>
  <c r="AH241" i="11" s="1"/>
  <c r="AH36" i="11" s="1"/>
  <c r="AN400" i="11"/>
  <c r="AN252" i="11" s="1"/>
  <c r="AN47" i="11" s="1"/>
  <c r="AT385" i="11"/>
  <c r="AT237" i="11" s="1"/>
  <c r="AT32" i="11" s="1"/>
  <c r="P393" i="11"/>
  <c r="P245" i="11" s="1"/>
  <c r="P40" i="11" s="1"/>
  <c r="P394" i="11"/>
  <c r="P246" i="11" s="1"/>
  <c r="P41" i="11" s="1"/>
  <c r="AH394" i="11"/>
  <c r="AH246" i="11" s="1"/>
  <c r="AH41" i="11" s="1"/>
  <c r="AN399" i="11"/>
  <c r="AN251" i="11" s="1"/>
  <c r="AN46" i="11" s="1"/>
  <c r="P389" i="11"/>
  <c r="P241" i="11" s="1"/>
  <c r="P36" i="11" s="1"/>
  <c r="P402" i="11"/>
  <c r="P254" i="11" s="1"/>
  <c r="P49" i="11" s="1"/>
  <c r="P384" i="11"/>
  <c r="P236" i="11" s="1"/>
  <c r="P31" i="11" s="1"/>
  <c r="V394" i="11"/>
  <c r="V246" i="11" s="1"/>
  <c r="V41" i="11" s="1"/>
  <c r="V395" i="11"/>
  <c r="V247" i="11" s="1"/>
  <c r="V42" i="11" s="1"/>
  <c r="V384" i="11"/>
  <c r="V236" i="11" s="1"/>
  <c r="V31" i="11" s="1"/>
  <c r="AH401" i="11"/>
  <c r="AH253" i="11" s="1"/>
  <c r="AH48" i="11" s="1"/>
  <c r="AT384" i="11"/>
  <c r="AT236" i="11" s="1"/>
  <c r="AT31" i="11" s="1"/>
  <c r="AT397" i="11"/>
  <c r="AT249" i="11" s="1"/>
  <c r="AT44" i="11" s="1"/>
  <c r="V390" i="11"/>
  <c r="V242" i="11" s="1"/>
  <c r="V37" i="11" s="1"/>
  <c r="V391" i="11"/>
  <c r="V243" i="11" s="1"/>
  <c r="V38" i="11" s="1"/>
  <c r="V387" i="11"/>
  <c r="V239" i="11" s="1"/>
  <c r="V34" i="11" s="1"/>
  <c r="J389" i="11"/>
  <c r="J241" i="11" s="1"/>
  <c r="J36" i="11" s="1"/>
  <c r="J384" i="11"/>
  <c r="J236" i="11" s="1"/>
  <c r="J31" i="11" s="1"/>
  <c r="V386" i="11"/>
  <c r="V238" i="11" s="1"/>
  <c r="V33" i="11" s="1"/>
  <c r="P396" i="11"/>
  <c r="P248" i="11" s="1"/>
  <c r="P43" i="11" s="1"/>
  <c r="AB390" i="11"/>
  <c r="AB242" i="11" s="1"/>
  <c r="AB37" i="11" s="1"/>
  <c r="AB391" i="11"/>
  <c r="AB243" i="11" s="1"/>
  <c r="AB38" i="11" s="1"/>
  <c r="V396" i="11"/>
  <c r="V248" i="11" s="1"/>
  <c r="V43" i="11" s="1"/>
  <c r="AN386" i="11"/>
  <c r="AN238" i="11" s="1"/>
  <c r="AN33" i="11" s="1"/>
  <c r="AT396" i="11"/>
  <c r="AT248" i="11" s="1"/>
  <c r="AT43" i="11" s="1"/>
  <c r="P392" i="11"/>
  <c r="P244" i="11" s="1"/>
  <c r="P39" i="11" s="1"/>
  <c r="V402" i="11"/>
  <c r="V254" i="11" s="1"/>
  <c r="V49" i="11" s="1"/>
  <c r="V403" i="11"/>
  <c r="V255" i="11" s="1"/>
  <c r="V50" i="11" s="1"/>
  <c r="BD244" i="11"/>
  <c r="BD248" i="11"/>
  <c r="BD252" i="11"/>
  <c r="S221" i="11"/>
  <c r="S228" i="11"/>
  <c r="T227" i="11"/>
  <c r="N215" i="11"/>
  <c r="N218" i="11"/>
  <c r="M231" i="11"/>
  <c r="M220" i="11"/>
  <c r="N221" i="11"/>
  <c r="T221" i="11"/>
  <c r="I224" i="11"/>
  <c r="P64" i="11" s="1"/>
  <c r="I64" i="11" s="1"/>
  <c r="S224" i="11"/>
  <c r="M230" i="11"/>
  <c r="N231" i="11"/>
  <c r="M223" i="11"/>
  <c r="S223" i="11"/>
  <c r="O224" i="11"/>
  <c r="Q64" i="11" s="1"/>
  <c r="J64" i="11" s="1"/>
  <c r="T225" i="11"/>
  <c r="T218" i="11"/>
  <c r="O215" i="11"/>
  <c r="Q55" i="11" s="1"/>
  <c r="J55" i="11" s="1"/>
  <c r="M226" i="11"/>
  <c r="S229" i="11"/>
  <c r="M215" i="11"/>
  <c r="I230" i="11"/>
  <c r="P70" i="11" s="1"/>
  <c r="I70" i="11" s="1"/>
  <c r="O219" i="11"/>
  <c r="Q59" i="11" s="1"/>
  <c r="J59" i="11" s="1"/>
  <c r="O227" i="11"/>
  <c r="Q67" i="11" s="1"/>
  <c r="J67" i="11" s="1"/>
  <c r="M228" i="11"/>
  <c r="M218" i="11"/>
  <c r="M217" i="11"/>
  <c r="O225" i="11"/>
  <c r="Q65" i="11" s="1"/>
  <c r="J65" i="11" s="1"/>
  <c r="N222" i="11"/>
  <c r="O216" i="11"/>
  <c r="Q56" i="11" s="1"/>
  <c r="J56" i="11" s="1"/>
  <c r="N223" i="11"/>
  <c r="I222" i="11"/>
  <c r="P62" i="11" s="1"/>
  <c r="I62" i="11" s="1"/>
  <c r="I225" i="11"/>
  <c r="P65" i="11" s="1"/>
  <c r="I65" i="11" s="1"/>
  <c r="S220" i="11"/>
  <c r="I228" i="11"/>
  <c r="P68" i="11" s="1"/>
  <c r="I68" i="11" s="1"/>
  <c r="I226" i="11"/>
  <c r="P66" i="11" s="1"/>
  <c r="I66" i="11" s="1"/>
  <c r="O230" i="11"/>
  <c r="Q70" i="11" s="1"/>
  <c r="J70" i="11" s="1"/>
  <c r="O223" i="11"/>
  <c r="Q63" i="11" s="1"/>
  <c r="J63" i="11" s="1"/>
  <c r="N230" i="11"/>
  <c r="S230" i="11"/>
  <c r="M227" i="11"/>
  <c r="I215" i="11"/>
  <c r="P55" i="11" s="1"/>
  <c r="I55" i="11" s="1"/>
  <c r="M216" i="11"/>
  <c r="M229" i="11"/>
  <c r="S222" i="11"/>
  <c r="M225" i="11"/>
  <c r="M221" i="11"/>
  <c r="N225" i="11"/>
  <c r="N217" i="11"/>
  <c r="S219" i="11"/>
  <c r="T214" i="11"/>
  <c r="N228" i="11"/>
  <c r="O228" i="11"/>
  <c r="Q68" i="11" s="1"/>
  <c r="J68" i="11" s="1"/>
  <c r="N229" i="11"/>
  <c r="T226" i="11"/>
  <c r="O214" i="11"/>
  <c r="Q54" i="11" s="1"/>
  <c r="J54" i="11" s="1"/>
  <c r="S214" i="11"/>
  <c r="S217" i="11"/>
  <c r="I218" i="11"/>
  <c r="P58" i="11" s="1"/>
  <c r="I58" i="11" s="1"/>
  <c r="S216" i="11"/>
  <c r="N216" i="11"/>
  <c r="O218" i="11"/>
  <c r="Q58" i="11" s="1"/>
  <c r="J58" i="11" s="1"/>
  <c r="T223" i="11"/>
  <c r="T215" i="11"/>
  <c r="O231" i="11"/>
  <c r="Q71" i="11" s="1"/>
  <c r="J71" i="11" s="1"/>
  <c r="M224" i="11"/>
  <c r="I223" i="11"/>
  <c r="P63" i="11" s="1"/>
  <c r="I63" i="11" s="1"/>
  <c r="T228" i="11"/>
  <c r="I214" i="11"/>
  <c r="P54" i="11" s="1"/>
  <c r="N224" i="11"/>
  <c r="N220" i="11"/>
  <c r="T230" i="11"/>
  <c r="I227" i="11"/>
  <c r="P67" i="11" s="1"/>
  <c r="I67" i="11" s="1"/>
  <c r="M214" i="11"/>
  <c r="O217" i="11"/>
  <c r="Q57" i="11" s="1"/>
  <c r="J57" i="11" s="1"/>
  <c r="T224" i="11"/>
  <c r="T219" i="11"/>
  <c r="M222" i="11"/>
  <c r="N226" i="11"/>
  <c r="I219" i="11"/>
  <c r="P59" i="11" s="1"/>
  <c r="I59" i="11" s="1"/>
  <c r="I220" i="11"/>
  <c r="P60" i="11" s="1"/>
  <c r="I60" i="11" s="1"/>
  <c r="T231" i="11"/>
  <c r="I217" i="11"/>
  <c r="P57" i="11" s="1"/>
  <c r="I57" i="11" s="1"/>
  <c r="I216" i="11"/>
  <c r="P56" i="11" s="1"/>
  <c r="I56" i="11" s="1"/>
  <c r="N227" i="11"/>
  <c r="S231" i="11"/>
  <c r="T222" i="11"/>
  <c r="O220" i="11"/>
  <c r="Q60" i="11" s="1"/>
  <c r="J60" i="11" s="1"/>
  <c r="I231" i="11"/>
  <c r="P71" i="11" s="1"/>
  <c r="I71" i="11" s="1"/>
  <c r="S218" i="11"/>
  <c r="O226" i="11"/>
  <c r="Q66" i="11" s="1"/>
  <c r="J66" i="11" s="1"/>
  <c r="I221" i="11"/>
  <c r="P61" i="11" s="1"/>
  <c r="I61" i="11" s="1"/>
  <c r="T217" i="11"/>
  <c r="M219" i="11"/>
  <c r="T216" i="11"/>
  <c r="S227" i="11"/>
  <c r="S225" i="11"/>
  <c r="I229" i="11"/>
  <c r="P69" i="11" s="1"/>
  <c r="I69" i="11" s="1"/>
  <c r="T229" i="11"/>
  <c r="O222" i="11"/>
  <c r="Q62" i="11" s="1"/>
  <c r="J62" i="11" s="1"/>
  <c r="T220" i="11"/>
  <c r="O221" i="11"/>
  <c r="Q61" i="11" s="1"/>
  <c r="J61" i="11" s="1"/>
  <c r="N219" i="11"/>
  <c r="O229" i="11"/>
  <c r="Q69" i="11" s="1"/>
  <c r="J69" i="11" s="1"/>
  <c r="S215" i="11"/>
  <c r="S226" i="11"/>
  <c r="N214" i="11"/>
  <c r="AW31" i="11"/>
  <c r="AX35" i="11"/>
  <c r="AF35" i="11"/>
  <c r="AF233" i="11"/>
  <c r="U226" i="11"/>
  <c r="R66" i="11" s="1"/>
  <c r="K66" i="11" s="1"/>
  <c r="AA219" i="11"/>
  <c r="S59" i="11" s="1"/>
  <c r="L59" i="11" s="1"/>
  <c r="Z222" i="11"/>
  <c r="AA232" i="11"/>
  <c r="S72" i="11" s="1"/>
  <c r="L72" i="11" s="1"/>
  <c r="Y223" i="11"/>
  <c r="T39" i="11"/>
  <c r="AF230" i="11"/>
  <c r="AA234" i="11"/>
  <c r="S74" i="11" s="1"/>
  <c r="L74" i="11" s="1"/>
  <c r="AR214" i="11"/>
  <c r="AL217" i="11"/>
  <c r="AX42" i="11"/>
  <c r="I232" i="11"/>
  <c r="P72" i="11" s="1"/>
  <c r="I72" i="11" s="1"/>
  <c r="AW228" i="11"/>
  <c r="AF45" i="11"/>
  <c r="AQ229" i="11"/>
  <c r="AQ30" i="11"/>
  <c r="AL214" i="11"/>
  <c r="AS229" i="11"/>
  <c r="V69" i="11" s="1"/>
  <c r="O69" i="11" s="1"/>
  <c r="AA227" i="11"/>
  <c r="S67" i="11" s="1"/>
  <c r="L67" i="11" s="1"/>
  <c r="AR232" i="11"/>
  <c r="Y47" i="11"/>
  <c r="AF37" i="11"/>
  <c r="AK215" i="11"/>
  <c r="AA222" i="11"/>
  <c r="S62" i="11" s="1"/>
  <c r="L62" i="11" s="1"/>
  <c r="T47" i="11"/>
  <c r="Y45" i="11"/>
  <c r="U229" i="11"/>
  <c r="R69" i="11" s="1"/>
  <c r="K69" i="11" s="1"/>
  <c r="AX232" i="11"/>
  <c r="S34" i="11"/>
  <c r="AL226" i="11"/>
  <c r="M38" i="11"/>
  <c r="AR39" i="11"/>
  <c r="AX30" i="11"/>
  <c r="AR215" i="11"/>
  <c r="AK36" i="11"/>
  <c r="AA230" i="11"/>
  <c r="S70" i="11" s="1"/>
  <c r="L70" i="11" s="1"/>
  <c r="AX218" i="11"/>
  <c r="AL47" i="11"/>
  <c r="AG231" i="11"/>
  <c r="T71" i="11" s="1"/>
  <c r="M71" i="11" s="1"/>
  <c r="AQ231" i="11"/>
  <c r="AG223" i="11"/>
  <c r="T63" i="11" s="1"/>
  <c r="M63" i="11" s="1"/>
  <c r="AL44" i="11"/>
  <c r="AX48" i="11"/>
  <c r="U224" i="11"/>
  <c r="R64" i="11" s="1"/>
  <c r="K64" i="11" s="1"/>
  <c r="AM219" i="11"/>
  <c r="U59" i="11" s="1"/>
  <c r="N59" i="11" s="1"/>
  <c r="AA233" i="11"/>
  <c r="S73" i="11" s="1"/>
  <c r="L73" i="11" s="1"/>
  <c r="AW215" i="11"/>
  <c r="AE45" i="11"/>
  <c r="AS234" i="11"/>
  <c r="V74" i="11" s="1"/>
  <c r="O74" i="11" s="1"/>
  <c r="Z40" i="11"/>
  <c r="AW30" i="11"/>
  <c r="AW48" i="11"/>
  <c r="S233" i="11"/>
  <c r="AG220" i="11"/>
  <c r="T60" i="11" s="1"/>
  <c r="M60" i="11" s="1"/>
  <c r="AQ39" i="11"/>
  <c r="Y40" i="11"/>
  <c r="AR34" i="11"/>
  <c r="AM223" i="11"/>
  <c r="U63" i="11" s="1"/>
  <c r="N63" i="11" s="1"/>
  <c r="AE37" i="11"/>
  <c r="AG230" i="11"/>
  <c r="T70" i="11" s="1"/>
  <c r="M70" i="11" s="1"/>
  <c r="AS228" i="11"/>
  <c r="V68" i="11" s="1"/>
  <c r="O68" i="11" s="1"/>
  <c r="AL215" i="11"/>
  <c r="AG226" i="11"/>
  <c r="T66" i="11" s="1"/>
  <c r="M66" i="11" s="1"/>
  <c r="AX219" i="11"/>
  <c r="Z47" i="11"/>
  <c r="AE222" i="11"/>
  <c r="S44" i="11"/>
  <c r="AF49" i="11"/>
  <c r="Z219" i="11"/>
  <c r="AQ219" i="11"/>
  <c r="AX216" i="11"/>
  <c r="AM234" i="11"/>
  <c r="U74" i="11" s="1"/>
  <c r="N74" i="11" s="1"/>
  <c r="AW220" i="11"/>
  <c r="T44" i="11"/>
  <c r="S40" i="11"/>
  <c r="AS214" i="11"/>
  <c r="V54" i="11" s="1"/>
  <c r="O54" i="11" s="1"/>
  <c r="AQ32" i="11"/>
  <c r="AQ44" i="11"/>
  <c r="Y30" i="11"/>
  <c r="AR228" i="11"/>
  <c r="M40" i="11"/>
  <c r="AE223" i="11"/>
  <c r="AR221" i="11"/>
  <c r="AQ226" i="11"/>
  <c r="AR32" i="11"/>
  <c r="Z229" i="11"/>
  <c r="AX227" i="11"/>
  <c r="AF226" i="11"/>
  <c r="U219" i="11"/>
  <c r="R59" i="11" s="1"/>
  <c r="K59" i="11" s="1"/>
  <c r="M33" i="11"/>
  <c r="M36" i="11"/>
  <c r="AW232" i="11"/>
  <c r="AF229" i="11"/>
  <c r="M234" i="11"/>
  <c r="AX226" i="11"/>
  <c r="Y224" i="11"/>
  <c r="AE34" i="11"/>
  <c r="AQ225" i="11"/>
  <c r="T49" i="11"/>
  <c r="S232" i="11"/>
  <c r="Z35" i="11"/>
  <c r="AQ50" i="11"/>
  <c r="AF216" i="11"/>
  <c r="AM220" i="11"/>
  <c r="U60" i="11" s="1"/>
  <c r="N60" i="11" s="1"/>
  <c r="AS230" i="11"/>
  <c r="V70" i="11" s="1"/>
  <c r="O70" i="11" s="1"/>
  <c r="AK226" i="11"/>
  <c r="T43" i="11"/>
  <c r="AA218" i="11"/>
  <c r="S58" i="11" s="1"/>
  <c r="L58" i="11" s="1"/>
  <c r="S47" i="11"/>
  <c r="Y48" i="11"/>
  <c r="AR30" i="11"/>
  <c r="AE233" i="11"/>
  <c r="AL37" i="11"/>
  <c r="Y50" i="11"/>
  <c r="AW35" i="11"/>
  <c r="AW37" i="11"/>
  <c r="AM231" i="11"/>
  <c r="U71" i="11" s="1"/>
  <c r="N71" i="11" s="1"/>
  <c r="Y46" i="11"/>
  <c r="U217" i="11"/>
  <c r="R57" i="11" s="1"/>
  <c r="K57" i="11" s="1"/>
  <c r="AK232" i="11"/>
  <c r="AK221" i="11"/>
  <c r="AF222" i="11"/>
  <c r="AS225" i="11"/>
  <c r="AK45" i="11"/>
  <c r="AE217" i="11"/>
  <c r="AE48" i="11"/>
  <c r="N36" i="11"/>
  <c r="Y44" i="11"/>
  <c r="AR43" i="11"/>
  <c r="AX44" i="11"/>
  <c r="N31" i="11"/>
  <c r="AK48" i="11"/>
  <c r="AW49" i="11"/>
  <c r="AF41" i="11"/>
  <c r="AW224" i="11"/>
  <c r="AR226" i="11"/>
  <c r="Z217" i="11"/>
  <c r="N33" i="11"/>
  <c r="AF44" i="11"/>
  <c r="AW221" i="11"/>
  <c r="AA215" i="11"/>
  <c r="S55" i="11" s="1"/>
  <c r="L55" i="11" s="1"/>
  <c r="AS222" i="11"/>
  <c r="V62" i="11" s="1"/>
  <c r="O62" i="11" s="1"/>
  <c r="O234" i="11"/>
  <c r="Q74" i="11" s="1"/>
  <c r="J74" i="11" s="1"/>
  <c r="AM222" i="11"/>
  <c r="U62" i="11" s="1"/>
  <c r="N62" i="11" s="1"/>
  <c r="Y36" i="11"/>
  <c r="AX217" i="11"/>
  <c r="M30" i="11"/>
  <c r="AL31" i="11"/>
  <c r="AG215" i="11"/>
  <c r="T55" i="11" s="1"/>
  <c r="M55" i="11" s="1"/>
  <c r="AG214" i="11"/>
  <c r="T54" i="11" s="1"/>
  <c r="M54" i="11" s="1"/>
  <c r="AW234" i="11"/>
  <c r="U222" i="11"/>
  <c r="R62" i="11" s="1"/>
  <c r="K62" i="11" s="1"/>
  <c r="AQ230" i="11"/>
  <c r="AL232" i="11"/>
  <c r="Z225" i="11"/>
  <c r="AA228" i="11"/>
  <c r="S68" i="11" s="1"/>
  <c r="L68" i="11" s="1"/>
  <c r="Z221" i="11"/>
  <c r="AX230" i="11"/>
  <c r="AK231" i="11"/>
  <c r="AL224" i="11"/>
  <c r="AL33" i="11"/>
  <c r="AM232" i="11"/>
  <c r="U72" i="11" s="1"/>
  <c r="N72" i="11" s="1"/>
  <c r="AR219" i="11"/>
  <c r="AE221" i="11"/>
  <c r="N30" i="11"/>
  <c r="AE227" i="11"/>
  <c r="AG216" i="11"/>
  <c r="T56" i="11" s="1"/>
  <c r="M56" i="11" s="1"/>
  <c r="AE234" i="11"/>
  <c r="M45" i="11"/>
  <c r="M37" i="11"/>
  <c r="AE228" i="11"/>
  <c r="N39" i="11"/>
  <c r="AX221" i="11"/>
  <c r="Y225" i="11"/>
  <c r="O233" i="11"/>
  <c r="Q73" i="11" s="1"/>
  <c r="J73" i="11" s="1"/>
  <c r="Y222" i="11"/>
  <c r="Z46" i="11"/>
  <c r="AR40" i="11"/>
  <c r="AK39" i="11"/>
  <c r="AR42" i="11"/>
  <c r="AF38" i="11"/>
  <c r="AL231" i="11"/>
  <c r="Y219" i="11"/>
  <c r="AL43" i="11"/>
  <c r="M43" i="11"/>
  <c r="AR44" i="11"/>
  <c r="AQ234" i="11"/>
  <c r="AR47" i="11"/>
  <c r="AQ47" i="11"/>
  <c r="Y32" i="11"/>
  <c r="AW214" i="11"/>
  <c r="Z38" i="11"/>
  <c r="AR222" i="11"/>
  <c r="U231" i="11"/>
  <c r="R71" i="11" s="1"/>
  <c r="K71" i="11" s="1"/>
  <c r="AK217" i="11"/>
  <c r="AE220" i="11"/>
  <c r="AM225" i="11"/>
  <c r="U65" i="11" s="1"/>
  <c r="N65" i="11" s="1"/>
  <c r="AL218" i="11"/>
  <c r="AQ222" i="11"/>
  <c r="AG222" i="11"/>
  <c r="T62" i="11" s="1"/>
  <c r="M62" i="11" s="1"/>
  <c r="AK216" i="11"/>
  <c r="AX215" i="11"/>
  <c r="O232" i="11"/>
  <c r="Q72" i="11" s="1"/>
  <c r="J72" i="11" s="1"/>
  <c r="AR234" i="11"/>
  <c r="AA225" i="11"/>
  <c r="S65" i="11" s="1"/>
  <c r="L65" i="11" s="1"/>
  <c r="T42" i="11"/>
  <c r="AK33" i="11"/>
  <c r="AE44" i="11"/>
  <c r="M39" i="11"/>
  <c r="AK43" i="11"/>
  <c r="AQ214" i="11"/>
  <c r="AL228" i="11"/>
  <c r="S49" i="11"/>
  <c r="AR229" i="11"/>
  <c r="AR225" i="11"/>
  <c r="AG218" i="11"/>
  <c r="T58" i="11" s="1"/>
  <c r="M58" i="11" s="1"/>
  <c r="AK233" i="11"/>
  <c r="AK31" i="11"/>
  <c r="AA216" i="11"/>
  <c r="S56" i="11" s="1"/>
  <c r="L56" i="11" s="1"/>
  <c r="Y34" i="11"/>
  <c r="AL234" i="11"/>
  <c r="AE31" i="11"/>
  <c r="S37" i="11"/>
  <c r="S39" i="11"/>
  <c r="AQ34" i="11"/>
  <c r="U218" i="11"/>
  <c r="R58" i="11" s="1"/>
  <c r="K58" i="11" s="1"/>
  <c r="AF48" i="11"/>
  <c r="N232" i="11"/>
  <c r="M232" i="11"/>
  <c r="S234" i="11"/>
  <c r="Y215" i="11"/>
  <c r="AR220" i="11"/>
  <c r="Y226" i="11"/>
  <c r="U225" i="11"/>
  <c r="R65" i="11" s="1"/>
  <c r="K65" i="11" s="1"/>
  <c r="AL233" i="11"/>
  <c r="AS226" i="11"/>
  <c r="V66" i="11" s="1"/>
  <c r="O66" i="11" s="1"/>
  <c r="Z232" i="11"/>
  <c r="AL216" i="11"/>
  <c r="AQ46" i="11"/>
  <c r="Z41" i="11"/>
  <c r="Y231" i="11"/>
  <c r="AK214" i="11"/>
  <c r="AR231" i="11"/>
  <c r="AS216" i="11"/>
  <c r="V56" i="11" s="1"/>
  <c r="O56" i="11" s="1"/>
  <c r="AX229" i="11"/>
  <c r="Z231" i="11"/>
  <c r="AG219" i="11"/>
  <c r="T59" i="11" s="1"/>
  <c r="M59" i="11" s="1"/>
  <c r="AG233" i="11"/>
  <c r="T73" i="11" s="1"/>
  <c r="M73" i="11" s="1"/>
  <c r="AR49" i="11"/>
  <c r="AE224" i="11"/>
  <c r="AX223" i="11"/>
  <c r="U214" i="11"/>
  <c r="R54" i="11" s="1"/>
  <c r="K54" i="11" s="1"/>
  <c r="Y218" i="11"/>
  <c r="AQ42" i="11"/>
  <c r="Z45" i="11"/>
  <c r="AA214" i="11"/>
  <c r="S54" i="11" s="1"/>
  <c r="L54" i="11" s="1"/>
  <c r="AX31" i="11"/>
  <c r="AG228" i="11"/>
  <c r="T68" i="11" s="1"/>
  <c r="M68" i="11" s="1"/>
  <c r="AA220" i="11"/>
  <c r="S60" i="11" s="1"/>
  <c r="L60" i="11" s="1"/>
  <c r="AE38" i="11"/>
  <c r="AK234" i="11"/>
  <c r="Z215" i="11"/>
  <c r="Z34" i="11"/>
  <c r="AR217" i="11"/>
  <c r="AR35" i="11"/>
  <c r="AQ220" i="11"/>
  <c r="AW223" i="11"/>
  <c r="M31" i="11"/>
  <c r="U221" i="11"/>
  <c r="R61" i="11" s="1"/>
  <c r="K61" i="11" s="1"/>
  <c r="AM229" i="11"/>
  <c r="U69" i="11" s="1"/>
  <c r="N69" i="11" s="1"/>
  <c r="AW226" i="11"/>
  <c r="Z227" i="11"/>
  <c r="AW216" i="11"/>
  <c r="AF30" i="11"/>
  <c r="AR41" i="11"/>
  <c r="AF228" i="11"/>
  <c r="AW46" i="11"/>
  <c r="AE30" i="11"/>
  <c r="M233" i="11"/>
  <c r="AM224" i="11"/>
  <c r="U64" i="11" s="1"/>
  <c r="N64" i="11" s="1"/>
  <c r="AQ35" i="11"/>
  <c r="Y217" i="11"/>
  <c r="AL230" i="11"/>
  <c r="N50" i="11"/>
  <c r="AE39" i="11"/>
  <c r="AF39" i="11"/>
  <c r="AX45" i="11"/>
  <c r="AQ36" i="11"/>
  <c r="AW42" i="11"/>
  <c r="Z43" i="11"/>
  <c r="AK37" i="11"/>
  <c r="M49" i="11"/>
  <c r="AW36" i="11"/>
  <c r="AA229" i="11"/>
  <c r="S69" i="11" s="1"/>
  <c r="L69" i="11" s="1"/>
  <c r="AX231" i="11"/>
  <c r="AQ233" i="11"/>
  <c r="Z228" i="11"/>
  <c r="AL229" i="11"/>
  <c r="AX225" i="11"/>
  <c r="Z234" i="11"/>
  <c r="AL223" i="11"/>
  <c r="AS219" i="11"/>
  <c r="M32" i="11"/>
  <c r="AK30" i="11"/>
  <c r="AK228" i="11"/>
  <c r="AQ216" i="11"/>
  <c r="AF217" i="11"/>
  <c r="AW41" i="11"/>
  <c r="Y227" i="11"/>
  <c r="AE230" i="11"/>
  <c r="AW219" i="11"/>
  <c r="AS227" i="11"/>
  <c r="AS22" i="11" s="1"/>
  <c r="U216" i="11"/>
  <c r="R56" i="11" s="1"/>
  <c r="K56" i="11" s="1"/>
  <c r="AW229" i="11"/>
  <c r="Z233" i="11"/>
  <c r="AX37" i="11"/>
  <c r="Y233" i="11"/>
  <c r="Y41" i="11"/>
  <c r="AG217" i="11"/>
  <c r="T57" i="11" s="1"/>
  <c r="M57" i="11" s="1"/>
  <c r="AL45" i="11"/>
  <c r="Z50" i="11"/>
  <c r="T36" i="11"/>
  <c r="AW40" i="11"/>
  <c r="Z36" i="11"/>
  <c r="N46" i="11"/>
  <c r="AW38" i="11"/>
  <c r="AK44" i="11"/>
  <c r="AR230" i="11"/>
  <c r="AF33" i="11"/>
  <c r="AF225" i="11"/>
  <c r="Y43" i="11"/>
  <c r="AK224" i="11"/>
  <c r="AQ43" i="11"/>
  <c r="Y216" i="11"/>
  <c r="AG232" i="11"/>
  <c r="T72" i="11" s="1"/>
  <c r="M72" i="11" s="1"/>
  <c r="AW218" i="11"/>
  <c r="AW45" i="11"/>
  <c r="AX224" i="11"/>
  <c r="M50" i="11"/>
  <c r="AF36" i="11"/>
  <c r="Z214" i="11"/>
  <c r="T46" i="11"/>
  <c r="AM216" i="11"/>
  <c r="U56" i="11" s="1"/>
  <c r="N56" i="11" s="1"/>
  <c r="M41" i="11"/>
  <c r="AS215" i="11"/>
  <c r="AX233" i="11"/>
  <c r="AK230" i="11"/>
  <c r="AG229" i="11"/>
  <c r="T69" i="11" s="1"/>
  <c r="M69" i="11" s="1"/>
  <c r="AF34" i="11"/>
  <c r="AF40" i="11"/>
  <c r="AR46" i="11"/>
  <c r="S31" i="11"/>
  <c r="AX40" i="11"/>
  <c r="Z30" i="11"/>
  <c r="AX49" i="11"/>
  <c r="AW231" i="11"/>
  <c r="AX220" i="11"/>
  <c r="N49" i="11"/>
  <c r="AF32" i="11"/>
  <c r="U227" i="11"/>
  <c r="R67" i="11" s="1"/>
  <c r="K67" i="11" s="1"/>
  <c r="AE216" i="11"/>
  <c r="AE36" i="11"/>
  <c r="AL30" i="11"/>
  <c r="AE219" i="11"/>
  <c r="I234" i="11"/>
  <c r="P74" i="11" s="1"/>
  <c r="I74" i="11" s="1"/>
  <c r="AQ223" i="11"/>
  <c r="AF215" i="11"/>
  <c r="AA217" i="11"/>
  <c r="S57" i="11" s="1"/>
  <c r="L57" i="11" s="1"/>
  <c r="I233" i="11"/>
  <c r="P73" i="11" s="1"/>
  <c r="I73" i="11" s="1"/>
  <c r="AX234" i="11"/>
  <c r="AA224" i="11"/>
  <c r="S64" i="11" s="1"/>
  <c r="L64" i="11" s="1"/>
  <c r="AQ218" i="11"/>
  <c r="U220" i="11"/>
  <c r="R60" i="11" s="1"/>
  <c r="K60" i="11" s="1"/>
  <c r="N45" i="11"/>
  <c r="AX36" i="11"/>
  <c r="AF227" i="11"/>
  <c r="U35" i="11"/>
  <c r="S91" i="11"/>
  <c r="L91" i="11" s="1"/>
  <c r="AA46" i="11"/>
  <c r="AW39" i="11"/>
  <c r="N42" i="11"/>
  <c r="V91" i="11"/>
  <c r="O91" i="11" s="1"/>
  <c r="AS46" i="11"/>
  <c r="Q81" i="11"/>
  <c r="J81" i="11" s="1"/>
  <c r="O36" i="11"/>
  <c r="R82" i="11"/>
  <c r="K82" i="11" s="1"/>
  <c r="U37" i="11"/>
  <c r="S38" i="11"/>
  <c r="T33" i="11"/>
  <c r="V88" i="11"/>
  <c r="O88" i="11" s="1"/>
  <c r="AS43" i="11"/>
  <c r="AW32" i="11"/>
  <c r="AE43" i="11"/>
  <c r="AG35" i="11"/>
  <c r="P92" i="11"/>
  <c r="I92" i="11" s="1"/>
  <c r="I47" i="11"/>
  <c r="AK49" i="11"/>
  <c r="R90" i="11"/>
  <c r="K90" i="11" s="1"/>
  <c r="U45" i="11"/>
  <c r="AE40" i="11"/>
  <c r="U86" i="11"/>
  <c r="N86" i="11" s="1"/>
  <c r="AM41" i="11"/>
  <c r="AX34" i="11"/>
  <c r="AX39" i="11"/>
  <c r="AL34" i="11"/>
  <c r="AE49" i="11"/>
  <c r="AG31" i="11"/>
  <c r="T38" i="11"/>
  <c r="AX47" i="11"/>
  <c r="AR48" i="11"/>
  <c r="N41" i="11"/>
  <c r="Y35" i="11"/>
  <c r="Q88" i="11"/>
  <c r="J88" i="11" s="1"/>
  <c r="O43" i="11"/>
  <c r="Q84" i="11"/>
  <c r="J84" i="11" s="1"/>
  <c r="O39" i="11"/>
  <c r="S43" i="11"/>
  <c r="M48" i="11"/>
  <c r="S32" i="11"/>
  <c r="S50" i="11"/>
  <c r="P81" i="11"/>
  <c r="I81" i="11" s="1"/>
  <c r="I36" i="11"/>
  <c r="I30" i="11"/>
  <c r="Y31" i="11"/>
  <c r="AM32" i="11"/>
  <c r="AX50" i="11"/>
  <c r="AR36" i="11"/>
  <c r="N38" i="11"/>
  <c r="T90" i="11"/>
  <c r="M90" i="11" s="1"/>
  <c r="AG45" i="11"/>
  <c r="AX41" i="11"/>
  <c r="T34" i="11"/>
  <c r="Y38" i="11"/>
  <c r="AW47" i="11"/>
  <c r="T35" i="11"/>
  <c r="AK47" i="11"/>
  <c r="Q82" i="11"/>
  <c r="J82" i="11" s="1"/>
  <c r="O37" i="11"/>
  <c r="P87" i="11"/>
  <c r="I87" i="11" s="1"/>
  <c r="I42" i="11"/>
  <c r="U93" i="11"/>
  <c r="N93" i="11" s="1"/>
  <c r="AM48" i="11"/>
  <c r="U90" i="11"/>
  <c r="N90" i="11" s="1"/>
  <c r="AM45" i="11"/>
  <c r="O30" i="11"/>
  <c r="V83" i="11"/>
  <c r="O83" i="11" s="1"/>
  <c r="AS38" i="11"/>
  <c r="AA35" i="11"/>
  <c r="T91" i="11"/>
  <c r="M91" i="11" s="1"/>
  <c r="AG46" i="11"/>
  <c r="AR45" i="11"/>
  <c r="T94" i="11"/>
  <c r="M94" i="11" s="1"/>
  <c r="AG49" i="11"/>
  <c r="S88" i="11"/>
  <c r="L88" i="11" s="1"/>
  <c r="AA43" i="11"/>
  <c r="V89" i="11"/>
  <c r="O89" i="11" s="1"/>
  <c r="AS44" i="11"/>
  <c r="AG34" i="11"/>
  <c r="I32" i="11"/>
  <c r="U85" i="11"/>
  <c r="N85" i="11" s="1"/>
  <c r="AM40" i="11"/>
  <c r="P88" i="11"/>
  <c r="I88" i="11" s="1"/>
  <c r="I43" i="11"/>
  <c r="AA32" i="11"/>
  <c r="T87" i="11"/>
  <c r="M87" i="11" s="1"/>
  <c r="AG42" i="11"/>
  <c r="T30" i="11"/>
  <c r="Q91" i="11"/>
  <c r="J91" i="11" s="1"/>
  <c r="O46" i="11"/>
  <c r="AL50" i="11"/>
  <c r="AA33" i="11"/>
  <c r="T83" i="11"/>
  <c r="M83" i="11" s="1"/>
  <c r="AG38" i="11"/>
  <c r="T32" i="11"/>
  <c r="P85" i="11"/>
  <c r="I85" i="11" s="1"/>
  <c r="I40" i="11"/>
  <c r="S85" i="11"/>
  <c r="L85" i="11" s="1"/>
  <c r="AA40" i="11"/>
  <c r="V76" i="11"/>
  <c r="O76" i="11" s="1"/>
  <c r="AS31" i="11"/>
  <c r="S94" i="11"/>
  <c r="L94" i="11" s="1"/>
  <c r="AA49" i="11"/>
  <c r="Q93" i="11"/>
  <c r="J93" i="11" s="1"/>
  <c r="O48" i="11"/>
  <c r="Y42" i="11"/>
  <c r="AL49" i="11"/>
  <c r="AL39" i="11"/>
  <c r="Z31" i="11"/>
  <c r="AA34" i="11"/>
  <c r="T92" i="11"/>
  <c r="M92" i="11" s="1"/>
  <c r="AG47" i="11"/>
  <c r="S86" i="11"/>
  <c r="L86" i="11" s="1"/>
  <c r="AA41" i="11"/>
  <c r="AL40" i="11"/>
  <c r="AR33" i="11"/>
  <c r="S41" i="11"/>
  <c r="AF219" i="11"/>
  <c r="Y229" i="11"/>
  <c r="AK220" i="11"/>
  <c r="AW225" i="11"/>
  <c r="AF221" i="11"/>
  <c r="AS223" i="11"/>
  <c r="AS218" i="11"/>
  <c r="Y232" i="11"/>
  <c r="Y214" i="11"/>
  <c r="AA231" i="11"/>
  <c r="S71" i="11" s="1"/>
  <c r="L71" i="11" s="1"/>
  <c r="U233" i="11"/>
  <c r="R73" i="11" s="1"/>
  <c r="K73" i="11" s="1"/>
  <c r="AL227" i="11"/>
  <c r="Z230" i="11"/>
  <c r="AF214" i="11"/>
  <c r="Y228" i="11"/>
  <c r="AS231" i="11"/>
  <c r="Y220" i="11"/>
  <c r="AG234" i="11"/>
  <c r="T74" i="11" s="1"/>
  <c r="M74" i="11" s="1"/>
  <c r="Z224" i="11"/>
  <c r="AM221" i="11"/>
  <c r="U61" i="11" s="1"/>
  <c r="N61" i="11" s="1"/>
  <c r="AW230" i="11"/>
  <c r="AR233" i="11"/>
  <c r="AM217" i="11"/>
  <c r="U57" i="11" s="1"/>
  <c r="N57" i="11" s="1"/>
  <c r="AK223" i="11"/>
  <c r="AG224" i="11"/>
  <c r="T64" i="11" s="1"/>
  <c r="M64" i="11" s="1"/>
  <c r="AE214" i="11"/>
  <c r="AA226" i="11"/>
  <c r="S66" i="11" s="1"/>
  <c r="L66" i="11" s="1"/>
  <c r="AR227" i="11"/>
  <c r="AR224" i="11"/>
  <c r="AS217" i="11"/>
  <c r="AQ217" i="11"/>
  <c r="AG225" i="11"/>
  <c r="T65" i="11" s="1"/>
  <c r="M65" i="11" s="1"/>
  <c r="U223" i="11"/>
  <c r="R63" i="11" s="1"/>
  <c r="K63" i="11" s="1"/>
  <c r="AE218" i="11"/>
  <c r="AE231" i="11"/>
  <c r="AE226" i="11"/>
  <c r="AX228" i="11"/>
  <c r="Z223" i="11"/>
  <c r="AE215" i="11"/>
  <c r="AQ228" i="11"/>
  <c r="AL221" i="11"/>
  <c r="AM215" i="11"/>
  <c r="U55" i="11" s="1"/>
  <c r="N55" i="11" s="1"/>
  <c r="AR218" i="11"/>
  <c r="U215" i="11"/>
  <c r="R55" i="11" s="1"/>
  <c r="K55" i="11" s="1"/>
  <c r="AW222" i="11"/>
  <c r="T233" i="11"/>
  <c r="AF232" i="11"/>
  <c r="AF218" i="11"/>
  <c r="AQ221" i="11"/>
  <c r="AF224" i="11"/>
  <c r="Z218" i="11"/>
  <c r="AM233" i="11"/>
  <c r="U73" i="11" s="1"/>
  <c r="N73" i="11" s="1"/>
  <c r="AE232" i="11"/>
  <c r="AX214" i="11"/>
  <c r="AM31" i="11"/>
  <c r="S95" i="11"/>
  <c r="L95" i="11" s="1"/>
  <c r="AA50" i="11"/>
  <c r="T45" i="11"/>
  <c r="AK42" i="11"/>
  <c r="T93" i="11"/>
  <c r="M93" i="11" s="1"/>
  <c r="AG48" i="11"/>
  <c r="AW34" i="11"/>
  <c r="U83" i="11"/>
  <c r="N83" i="11" s="1"/>
  <c r="AM38" i="11"/>
  <c r="AX33" i="11"/>
  <c r="AE32" i="11"/>
  <c r="M47" i="11"/>
  <c r="S90" i="11"/>
  <c r="L90" i="11" s="1"/>
  <c r="AA45" i="11"/>
  <c r="N34" i="11"/>
  <c r="P93" i="11"/>
  <c r="I93" i="11" s="1"/>
  <c r="I48" i="11"/>
  <c r="Z49" i="11"/>
  <c r="AA30" i="11"/>
  <c r="N47" i="11"/>
  <c r="AQ45" i="11"/>
  <c r="S83" i="11"/>
  <c r="L83" i="11" s="1"/>
  <c r="AA38" i="11"/>
  <c r="O34" i="11"/>
  <c r="AW44" i="11"/>
  <c r="AK32" i="11"/>
  <c r="Y49" i="11"/>
  <c r="Y33" i="11"/>
  <c r="S45" i="11"/>
  <c r="Q87" i="11"/>
  <c r="J87" i="11" s="1"/>
  <c r="O42" i="11"/>
  <c r="T89" i="11"/>
  <c r="M89" i="11" s="1"/>
  <c r="AG44" i="11"/>
  <c r="AQ41" i="11"/>
  <c r="M44" i="11"/>
  <c r="AL46" i="11"/>
  <c r="S81" i="11"/>
  <c r="L81" i="11" s="1"/>
  <c r="AA36" i="11"/>
  <c r="AM35" i="11"/>
  <c r="N32" i="11"/>
  <c r="AG33" i="11"/>
  <c r="Q85" i="11"/>
  <c r="J85" i="11" s="1"/>
  <c r="O40" i="11"/>
  <c r="Z37" i="11"/>
  <c r="AR50" i="11"/>
  <c r="U84" i="11"/>
  <c r="N84" i="11" s="1"/>
  <c r="AM39" i="11"/>
  <c r="AX43" i="11"/>
  <c r="U34" i="11"/>
  <c r="AK50" i="11"/>
  <c r="V75" i="11"/>
  <c r="O75" i="11" s="1"/>
  <c r="AS30" i="11"/>
  <c r="AX46" i="11"/>
  <c r="V90" i="11"/>
  <c r="O90" i="11" s="1"/>
  <c r="AS45" i="11"/>
  <c r="V80" i="11"/>
  <c r="O80" i="11" s="1"/>
  <c r="AS35" i="11"/>
  <c r="Z48" i="11"/>
  <c r="AF42" i="11"/>
  <c r="T31" i="11"/>
  <c r="AL42" i="11"/>
  <c r="Q90" i="11"/>
  <c r="J90" i="11" s="1"/>
  <c r="O45" i="11"/>
  <c r="R84" i="11"/>
  <c r="K84" i="11" s="1"/>
  <c r="U39" i="11"/>
  <c r="AE42" i="11"/>
  <c r="O35" i="11"/>
  <c r="U31" i="11"/>
  <c r="M35" i="11"/>
  <c r="U94" i="11"/>
  <c r="N94" i="11" s="1"/>
  <c r="AM49" i="11"/>
  <c r="U92" i="11"/>
  <c r="N92" i="11" s="1"/>
  <c r="AM47" i="11"/>
  <c r="AA31" i="11"/>
  <c r="AK40" i="11"/>
  <c r="AX32" i="11"/>
  <c r="V95" i="11"/>
  <c r="O95" i="11" s="1"/>
  <c r="AS50" i="11"/>
  <c r="T84" i="11"/>
  <c r="M84" i="11" s="1"/>
  <c r="AG39" i="11"/>
  <c r="R88" i="11"/>
  <c r="K88" i="11" s="1"/>
  <c r="U43" i="11"/>
  <c r="AR38" i="11"/>
  <c r="AE50" i="11"/>
  <c r="AR37" i="11"/>
  <c r="Z33" i="11"/>
  <c r="V86" i="11"/>
  <c r="O86" i="11" s="1"/>
  <c r="AS41" i="11"/>
  <c r="S46" i="11"/>
  <c r="N40" i="11"/>
  <c r="R83" i="11"/>
  <c r="K83" i="11" s="1"/>
  <c r="U38" i="11"/>
  <c r="AW233" i="11"/>
  <c r="AW217" i="11"/>
  <c r="AQ224" i="11"/>
  <c r="Y230" i="11"/>
  <c r="AE229" i="11"/>
  <c r="AQ227" i="11"/>
  <c r="AS221" i="11"/>
  <c r="AG221" i="11"/>
  <c r="T61" i="11" s="1"/>
  <c r="M61" i="11" s="1"/>
  <c r="N234" i="11"/>
  <c r="AR223" i="11"/>
  <c r="T234" i="11"/>
  <c r="AX222" i="11"/>
  <c r="N233" i="11"/>
  <c r="AQ232" i="11"/>
  <c r="AF223" i="11"/>
  <c r="Z220" i="11"/>
  <c r="AA223" i="11"/>
  <c r="S63" i="11" s="1"/>
  <c r="L63" i="11" s="1"/>
  <c r="AK225" i="11"/>
  <c r="AM214" i="11"/>
  <c r="U54" i="11" s="1"/>
  <c r="N54" i="11" s="1"/>
  <c r="AM228" i="11"/>
  <c r="U68" i="11" s="1"/>
  <c r="N68" i="11" s="1"/>
  <c r="AF220" i="11"/>
  <c r="AA221" i="11"/>
  <c r="S61" i="11" s="1"/>
  <c r="L61" i="11" s="1"/>
  <c r="AE225" i="11"/>
  <c r="AK219" i="11"/>
  <c r="AR216" i="11"/>
  <c r="AF234" i="11"/>
  <c r="AQ215" i="11"/>
  <c r="AK218" i="11"/>
  <c r="AS233" i="11"/>
  <c r="T232" i="11"/>
  <c r="AM218" i="11"/>
  <c r="U58" i="11" s="1"/>
  <c r="N58" i="11" s="1"/>
  <c r="AM226" i="11"/>
  <c r="U66" i="11" s="1"/>
  <c r="N66" i="11" s="1"/>
  <c r="AL222" i="11"/>
  <c r="AS232" i="11"/>
  <c r="AW227" i="11"/>
  <c r="Z216" i="11"/>
  <c r="AK229" i="11"/>
  <c r="AK227" i="11"/>
  <c r="U228" i="11"/>
  <c r="R68" i="11" s="1"/>
  <c r="K68" i="11" s="1"/>
  <c r="Y221" i="11"/>
  <c r="AM230" i="11"/>
  <c r="U70" i="11" s="1"/>
  <c r="N70" i="11" s="1"/>
  <c r="U232" i="11"/>
  <c r="R72" i="11" s="1"/>
  <c r="K72" i="11" s="1"/>
  <c r="AL225" i="11"/>
  <c r="Z226" i="11"/>
  <c r="AL220" i="11"/>
  <c r="AK222" i="11"/>
  <c r="U230" i="11"/>
  <c r="R70" i="11" s="1"/>
  <c r="K70" i="11" s="1"/>
  <c r="Y234" i="11"/>
  <c r="AS224" i="11"/>
  <c r="AG227" i="11"/>
  <c r="T67" i="11" s="1"/>
  <c r="M67" i="11" s="1"/>
  <c r="AM227" i="11"/>
  <c r="U67" i="11" s="1"/>
  <c r="N67" i="11" s="1"/>
  <c r="AF231" i="11"/>
  <c r="AS220" i="11"/>
  <c r="AL219" i="11"/>
  <c r="U234" i="11"/>
  <c r="R74" i="11" s="1"/>
  <c r="K74" i="11" s="1"/>
  <c r="Q83" i="11"/>
  <c r="J83" i="11" s="1"/>
  <c r="O38" i="11"/>
  <c r="I35" i="11"/>
  <c r="AM33" i="11"/>
  <c r="T85" i="11"/>
  <c r="M85" i="11" s="1"/>
  <c r="AG40" i="11"/>
  <c r="AE47" i="11"/>
  <c r="Z39" i="11"/>
  <c r="AW33" i="11"/>
  <c r="AQ40" i="11"/>
  <c r="V82" i="11"/>
  <c r="O82" i="11" s="1"/>
  <c r="AS37" i="11"/>
  <c r="O33" i="11"/>
  <c r="T82" i="11"/>
  <c r="M82" i="11" s="1"/>
  <c r="AG37" i="11"/>
  <c r="I31" i="11"/>
  <c r="P82" i="11"/>
  <c r="I82" i="11" s="1"/>
  <c r="I37" i="11"/>
  <c r="P86" i="11"/>
  <c r="I86" i="11" s="1"/>
  <c r="I41" i="11"/>
  <c r="T50" i="11"/>
  <c r="O31" i="11"/>
  <c r="AX38" i="11"/>
  <c r="AQ48" i="11"/>
  <c r="N35" i="11"/>
  <c r="N37" i="11"/>
  <c r="S84" i="11"/>
  <c r="L84" i="11" s="1"/>
  <c r="AA39" i="11"/>
  <c r="AK41" i="11"/>
  <c r="M46" i="11"/>
  <c r="AM30" i="11"/>
  <c r="U89" i="11"/>
  <c r="N89" i="11" s="1"/>
  <c r="AM44" i="11"/>
  <c r="P90" i="11"/>
  <c r="I90" i="11" s="1"/>
  <c r="I45" i="11"/>
  <c r="T41" i="11"/>
  <c r="S82" i="11"/>
  <c r="L82" i="11" s="1"/>
  <c r="AA37" i="11"/>
  <c r="AE41" i="11"/>
  <c r="AK35" i="11"/>
  <c r="AF50" i="11"/>
  <c r="AQ31" i="11"/>
  <c r="AK34" i="11"/>
  <c r="V94" i="11"/>
  <c r="O94" i="11" s="1"/>
  <c r="AS49" i="11"/>
  <c r="T48" i="11"/>
  <c r="AM34" i="11"/>
  <c r="U87" i="11"/>
  <c r="N87" i="11" s="1"/>
  <c r="AM42" i="11"/>
  <c r="AL38" i="11"/>
  <c r="V93" i="11"/>
  <c r="O93" i="11" s="1"/>
  <c r="AS48" i="11"/>
  <c r="AW43" i="11"/>
  <c r="Z32" i="11"/>
  <c r="R89" i="11"/>
  <c r="K89" i="11" s="1"/>
  <c r="U44" i="11"/>
  <c r="M34" i="11"/>
  <c r="Y37" i="11"/>
  <c r="U91" i="11"/>
  <c r="N91" i="11" s="1"/>
  <c r="AM46" i="11"/>
  <c r="S36" i="11"/>
  <c r="R93" i="11"/>
  <c r="K93" i="11" s="1"/>
  <c r="U48" i="11"/>
  <c r="AL41" i="11"/>
  <c r="Z42" i="11"/>
  <c r="AL36" i="11"/>
  <c r="AK38" i="11"/>
  <c r="Q92" i="11"/>
  <c r="J92" i="11" s="1"/>
  <c r="O47" i="11"/>
  <c r="T40" i="11"/>
  <c r="S35" i="11"/>
  <c r="R91" i="11"/>
  <c r="K91" i="11" s="1"/>
  <c r="U46" i="11"/>
  <c r="V85" i="11"/>
  <c r="O85" i="11" s="1"/>
  <c r="AS40" i="11"/>
  <c r="T88" i="11"/>
  <c r="M88" i="11" s="1"/>
  <c r="AG43" i="11"/>
  <c r="I33" i="11"/>
  <c r="P84" i="11"/>
  <c r="I84" i="11" s="1"/>
  <c r="I39" i="11"/>
  <c r="U88" i="11"/>
  <c r="N88" i="11" s="1"/>
  <c r="AM43" i="11"/>
  <c r="S42" i="11"/>
  <c r="Q89" i="11"/>
  <c r="J89" i="11" s="1"/>
  <c r="O44" i="11"/>
  <c r="AF47" i="11"/>
  <c r="V81" i="11"/>
  <c r="O81" i="11" s="1"/>
  <c r="AS36" i="11"/>
  <c r="AL35" i="11"/>
  <c r="T37" i="11"/>
  <c r="R95" i="11"/>
  <c r="K95" i="11" s="1"/>
  <c r="U50" i="11"/>
  <c r="AL32" i="11"/>
  <c r="AF43" i="11"/>
  <c r="AR31" i="11"/>
  <c r="V84" i="11"/>
  <c r="O84" i="11" s="1"/>
  <c r="AS39" i="11"/>
  <c r="V79" i="11"/>
  <c r="O79" i="11" s="1"/>
  <c r="AS34" i="11"/>
  <c r="R94" i="11"/>
  <c r="K94" i="11" s="1"/>
  <c r="U49" i="11"/>
  <c r="V92" i="11"/>
  <c r="O92" i="11" s="1"/>
  <c r="AS47" i="11"/>
  <c r="T95" i="11"/>
  <c r="M95" i="11" s="1"/>
  <c r="AG50" i="11"/>
  <c r="P89" i="11"/>
  <c r="I89" i="11" s="1"/>
  <c r="I44" i="11"/>
  <c r="U82" i="11"/>
  <c r="N82" i="11" s="1"/>
  <c r="AM37" i="11"/>
  <c r="V78" i="11"/>
  <c r="O78" i="11" s="1"/>
  <c r="AS33" i="11"/>
  <c r="O32" i="11"/>
  <c r="S92" i="11"/>
  <c r="L92" i="11" s="1"/>
  <c r="AA47" i="11"/>
  <c r="S87" i="11"/>
  <c r="L87" i="11" s="1"/>
  <c r="AA42" i="11"/>
  <c r="AQ33" i="11"/>
  <c r="T86" i="11"/>
  <c r="M86" i="11" s="1"/>
  <c r="AG41" i="11"/>
  <c r="AQ37" i="11"/>
  <c r="I34" i="11"/>
  <c r="R87" i="11"/>
  <c r="K87" i="11" s="1"/>
  <c r="U42" i="11"/>
  <c r="U81" i="11"/>
  <c r="N81" i="11" s="1"/>
  <c r="AM36" i="11"/>
  <c r="AE46" i="11"/>
  <c r="Q86" i="11"/>
  <c r="J86" i="11" s="1"/>
  <c r="O41" i="11"/>
  <c r="V77" i="11"/>
  <c r="O77" i="11" s="1"/>
  <c r="AS32" i="11"/>
  <c r="U33" i="11"/>
  <c r="Q95" i="11"/>
  <c r="J95" i="11" s="1"/>
  <c r="O50" i="11"/>
  <c r="N43" i="11"/>
  <c r="U32" i="11"/>
  <c r="P91" i="11"/>
  <c r="I91" i="11" s="1"/>
  <c r="I46" i="11"/>
  <c r="AG32" i="11"/>
  <c r="AF46" i="11"/>
  <c r="R92" i="11"/>
  <c r="K92" i="11" s="1"/>
  <c r="U47" i="11"/>
  <c r="U95" i="11"/>
  <c r="N95" i="11" s="1"/>
  <c r="AM50" i="11"/>
  <c r="U30" i="11"/>
  <c r="P83" i="11"/>
  <c r="I83" i="11" s="1"/>
  <c r="I38" i="11"/>
  <c r="M42" i="11"/>
  <c r="AQ38" i="11"/>
  <c r="AG30" i="11"/>
  <c r="AE35" i="11"/>
  <c r="AW50" i="11"/>
  <c r="P95" i="11"/>
  <c r="I95" i="11" s="1"/>
  <c r="I50" i="11"/>
  <c r="N48" i="11"/>
  <c r="AF31" i="11"/>
  <c r="AQ49" i="11"/>
  <c r="R85" i="11"/>
  <c r="K85" i="11" s="1"/>
  <c r="U40" i="11"/>
  <c r="P94" i="11"/>
  <c r="I94" i="11" s="1"/>
  <c r="I49" i="11"/>
  <c r="T81" i="11"/>
  <c r="M81" i="11" s="1"/>
  <c r="AG36" i="11"/>
  <c r="Y39" i="11"/>
  <c r="S30" i="11"/>
  <c r="AL48" i="11"/>
  <c r="S93" i="11"/>
  <c r="L93" i="11" s="1"/>
  <c r="AA48" i="11"/>
  <c r="S89" i="11"/>
  <c r="L89" i="11" s="1"/>
  <c r="AA44" i="11"/>
  <c r="Z44" i="11"/>
  <c r="AE33" i="11"/>
  <c r="R86" i="11"/>
  <c r="K86" i="11" s="1"/>
  <c r="U41" i="11"/>
  <c r="AK46" i="11"/>
  <c r="R81" i="11"/>
  <c r="K81" i="11" s="1"/>
  <c r="U36" i="11"/>
  <c r="Q94" i="11"/>
  <c r="J94" i="11" s="1"/>
  <c r="O49" i="11"/>
  <c r="V87" i="11"/>
  <c r="O87" i="11" s="1"/>
  <c r="AS42" i="11"/>
  <c r="N44" i="11"/>
  <c r="S33" i="11"/>
  <c r="S48" i="11"/>
  <c r="U19" i="11" l="1"/>
  <c r="AA29" i="11"/>
  <c r="O21" i="11"/>
  <c r="U13" i="11"/>
  <c r="AM26" i="11"/>
  <c r="AM19" i="11"/>
  <c r="AG14" i="11"/>
  <c r="AG25" i="11"/>
  <c r="I11" i="11"/>
  <c r="AA19" i="11"/>
  <c r="AA12" i="11"/>
  <c r="U15" i="11"/>
  <c r="U22" i="11"/>
  <c r="AG23" i="11"/>
  <c r="U9" i="11"/>
  <c r="AG9" i="11"/>
  <c r="AM14" i="11"/>
  <c r="U24" i="11"/>
  <c r="AN233" i="11"/>
  <c r="AN28" i="11" s="1"/>
  <c r="V233" i="11"/>
  <c r="V28" i="11" s="1"/>
  <c r="AB219" i="11"/>
  <c r="AB14" i="11" s="1"/>
  <c r="AB223" i="11"/>
  <c r="AB18" i="11" s="1"/>
  <c r="AB216" i="11"/>
  <c r="AB11" i="11" s="1"/>
  <c r="AB215" i="11"/>
  <c r="AB10" i="11" s="1"/>
  <c r="J226" i="11"/>
  <c r="AB233" i="11"/>
  <c r="AB28" i="11" s="1"/>
  <c r="AT227" i="11"/>
  <c r="AT22" i="11" s="1"/>
  <c r="AN217" i="11"/>
  <c r="AN12" i="11" s="1"/>
  <c r="AT219" i="11"/>
  <c r="AT14" i="11" s="1"/>
  <c r="AB231" i="11"/>
  <c r="AB26" i="11" s="1"/>
  <c r="AN215" i="11"/>
  <c r="AN10" i="11" s="1"/>
  <c r="AT229" i="11"/>
  <c r="AT24" i="11" s="1"/>
  <c r="P222" i="11"/>
  <c r="P17" i="11" s="1"/>
  <c r="V217" i="11"/>
  <c r="V12" i="11" s="1"/>
  <c r="P228" i="11"/>
  <c r="P23" i="11" s="1"/>
  <c r="AT217" i="11"/>
  <c r="AT12" i="11" s="1"/>
  <c r="AT223" i="11"/>
  <c r="AT18" i="11" s="1"/>
  <c r="P223" i="11"/>
  <c r="P18" i="11" s="1"/>
  <c r="V225" i="11"/>
  <c r="V20" i="11" s="1"/>
  <c r="J228" i="11"/>
  <c r="J23" i="11" s="1"/>
  <c r="J219" i="11"/>
  <c r="J14" i="11" s="1"/>
  <c r="J222" i="11"/>
  <c r="J17" i="11" s="1"/>
  <c r="J231" i="11"/>
  <c r="J26" i="11" s="1"/>
  <c r="V221" i="11"/>
  <c r="V16" i="11" s="1"/>
  <c r="P220" i="11"/>
  <c r="P15" i="11" s="1"/>
  <c r="V230" i="11"/>
  <c r="V25" i="11" s="1"/>
  <c r="AT228" i="11"/>
  <c r="AT23" i="11" s="1"/>
  <c r="AN230" i="11"/>
  <c r="AN25" i="11" s="1"/>
  <c r="AN219" i="11"/>
  <c r="AN14" i="11" s="1"/>
  <c r="P219" i="11"/>
  <c r="P14" i="11" s="1"/>
  <c r="V234" i="11"/>
  <c r="V29" i="11" s="1"/>
  <c r="AH225" i="11"/>
  <c r="AH20" i="11" s="1"/>
  <c r="AH224" i="11"/>
  <c r="AH19" i="11" s="1"/>
  <c r="P230" i="11"/>
  <c r="P25" i="11" s="1"/>
  <c r="P216" i="11"/>
  <c r="P11" i="11" s="1"/>
  <c r="AH231" i="11"/>
  <c r="AH26" i="11" s="1"/>
  <c r="AN221" i="11"/>
  <c r="AN16" i="11" s="1"/>
  <c r="AB228" i="11"/>
  <c r="AB23" i="11" s="1"/>
  <c r="AH232" i="11"/>
  <c r="AH27" i="11" s="1"/>
  <c r="V214" i="11"/>
  <c r="V9" i="11" s="1"/>
  <c r="AB227" i="11"/>
  <c r="AB22" i="11" s="1"/>
  <c r="V231" i="11"/>
  <c r="V26" i="11" s="1"/>
  <c r="J220" i="11"/>
  <c r="J15" i="11" s="1"/>
  <c r="J214" i="11"/>
  <c r="J9" i="11" s="1"/>
  <c r="V219" i="11"/>
  <c r="V14" i="11" s="1"/>
  <c r="P231" i="11"/>
  <c r="P26" i="11" s="1"/>
  <c r="V222" i="11"/>
  <c r="V17" i="11" s="1"/>
  <c r="P233" i="11"/>
  <c r="P28" i="11" s="1"/>
  <c r="AN231" i="11"/>
  <c r="AN26" i="11" s="1"/>
  <c r="J229" i="11"/>
  <c r="J24" i="11" s="1"/>
  <c r="V216" i="11"/>
  <c r="V11" i="11" s="1"/>
  <c r="AH220" i="11"/>
  <c r="AH15" i="11" s="1"/>
  <c r="P229" i="11"/>
  <c r="P24" i="11" s="1"/>
  <c r="AH215" i="11"/>
  <c r="AH10" i="11" s="1"/>
  <c r="P234" i="11"/>
  <c r="P29" i="11" s="1"/>
  <c r="AB218" i="11"/>
  <c r="AB13" i="11" s="1"/>
  <c r="J215" i="11"/>
  <c r="J10" i="11" s="1"/>
  <c r="AT215" i="11"/>
  <c r="AT10" i="11" s="1"/>
  <c r="AH230" i="11"/>
  <c r="AH25" i="11" s="1"/>
  <c r="V228" i="11"/>
  <c r="V23" i="11" s="1"/>
  <c r="AH227" i="11"/>
  <c r="AH22" i="11" s="1"/>
  <c r="AH216" i="11"/>
  <c r="AH11" i="11" s="1"/>
  <c r="AB234" i="11"/>
  <c r="AB29" i="11" s="1"/>
  <c r="V227" i="11"/>
  <c r="V22" i="11" s="1"/>
  <c r="AT216" i="11"/>
  <c r="AT11" i="11" s="1"/>
  <c r="AT232" i="11"/>
  <c r="AT27" i="11" s="1"/>
  <c r="V223" i="11"/>
  <c r="V18" i="11" s="1"/>
  <c r="J233" i="11"/>
  <c r="J28" i="11" s="1"/>
  <c r="AN218" i="11"/>
  <c r="AN13" i="11" s="1"/>
  <c r="AH222" i="11"/>
  <c r="AH17" i="11" s="1"/>
  <c r="J232" i="11"/>
  <c r="J27" i="11" s="1"/>
  <c r="AT218" i="11"/>
  <c r="AT13" i="11" s="1"/>
  <c r="AT222" i="11"/>
  <c r="AT17" i="11" s="1"/>
  <c r="AB232" i="11"/>
  <c r="AB27" i="11" s="1"/>
  <c r="AN228" i="11"/>
  <c r="AN23" i="11" s="1"/>
  <c r="AT226" i="11"/>
  <c r="AT21" i="11" s="1"/>
  <c r="AB229" i="11"/>
  <c r="AB24" i="11" s="1"/>
  <c r="AH217" i="11"/>
  <c r="AH12" i="11" s="1"/>
  <c r="AB217" i="11"/>
  <c r="AB12" i="11" s="1"/>
  <c r="AB214" i="11"/>
  <c r="AB9" i="11" s="1"/>
  <c r="AH218" i="11"/>
  <c r="AH13" i="11" s="1"/>
  <c r="AB230" i="11"/>
  <c r="AB25" i="11" s="1"/>
  <c r="AB222" i="11"/>
  <c r="AB17" i="11" s="1"/>
  <c r="V218" i="11"/>
  <c r="V13" i="11" s="1"/>
  <c r="V215" i="11"/>
  <c r="V10" i="11" s="1"/>
  <c r="J234" i="11"/>
  <c r="J29" i="11" s="1"/>
  <c r="AN232" i="11"/>
  <c r="AN27" i="11" s="1"/>
  <c r="AT220" i="11"/>
  <c r="AT15" i="11" s="1"/>
  <c r="J216" i="11"/>
  <c r="J11" i="11" s="1"/>
  <c r="P217" i="11"/>
  <c r="P12" i="11" s="1"/>
  <c r="J227" i="11"/>
  <c r="J22" i="11" s="1"/>
  <c r="AN225" i="11"/>
  <c r="AN20" i="11" s="1"/>
  <c r="AN223" i="11"/>
  <c r="AN18" i="11" s="1"/>
  <c r="AN227" i="11"/>
  <c r="AN22" i="11" s="1"/>
  <c r="V229" i="11"/>
  <c r="V24" i="11" s="1"/>
  <c r="V232" i="11"/>
  <c r="V27" i="11" s="1"/>
  <c r="AB220" i="11"/>
  <c r="AB15" i="11" s="1"/>
  <c r="V220" i="11"/>
  <c r="V15" i="11" s="1"/>
  <c r="V224" i="11"/>
  <c r="V19" i="11" s="1"/>
  <c r="AH223" i="11"/>
  <c r="AH18" i="11" s="1"/>
  <c r="J21" i="11"/>
  <c r="AB221" i="11"/>
  <c r="AB16" i="11" s="1"/>
  <c r="V226" i="11"/>
  <c r="V21" i="11" s="1"/>
  <c r="AT233" i="11"/>
  <c r="AT28" i="11" s="1"/>
  <c r="AT231" i="11"/>
  <c r="AT26" i="11" s="1"/>
  <c r="J221" i="11"/>
  <c r="J16" i="11" s="1"/>
  <c r="AH221" i="11"/>
  <c r="AH16" i="11" s="1"/>
  <c r="AN234" i="11"/>
  <c r="AN29" i="11" s="1"/>
  <c r="AN226" i="11"/>
  <c r="AN21" i="11" s="1"/>
  <c r="AH229" i="11"/>
  <c r="AH24" i="11" s="1"/>
  <c r="AN216" i="11"/>
  <c r="AN11" i="11" s="1"/>
  <c r="P226" i="11"/>
  <c r="P21" i="11" s="1"/>
  <c r="P214" i="11"/>
  <c r="P9" i="11" s="1"/>
  <c r="J223" i="11"/>
  <c r="J18" i="11" s="1"/>
  <c r="P224" i="11"/>
  <c r="P19" i="11" s="1"/>
  <c r="P227" i="11"/>
  <c r="P22" i="11" s="1"/>
  <c r="AH233" i="11"/>
  <c r="AH28" i="11" s="1"/>
  <c r="AB224" i="11"/>
  <c r="AB19" i="11" s="1"/>
  <c r="AN220" i="11"/>
  <c r="AN15" i="11" s="1"/>
  <c r="AN224" i="11"/>
  <c r="AN19" i="11" s="1"/>
  <c r="AT230" i="11"/>
  <c r="AT25" i="11" s="1"/>
  <c r="AT234" i="11"/>
  <c r="AT29" i="11" s="1"/>
  <c r="AB226" i="11"/>
  <c r="AB21" i="11" s="1"/>
  <c r="J218" i="11"/>
  <c r="J13" i="11" s="1"/>
  <c r="AH228" i="11"/>
  <c r="AH23" i="11" s="1"/>
  <c r="AH226" i="11"/>
  <c r="AH21" i="11" s="1"/>
  <c r="AH214" i="11"/>
  <c r="AH9" i="11" s="1"/>
  <c r="AT225" i="11"/>
  <c r="AT20" i="11" s="1"/>
  <c r="P221" i="11"/>
  <c r="P16" i="11" s="1"/>
  <c r="AN229" i="11"/>
  <c r="AN24" i="11" s="1"/>
  <c r="J230" i="11"/>
  <c r="J25" i="11" s="1"/>
  <c r="P215" i="11"/>
  <c r="P10" i="11" s="1"/>
  <c r="P225" i="11"/>
  <c r="P20" i="11" s="1"/>
  <c r="P218" i="11"/>
  <c r="P13" i="11" s="1"/>
  <c r="J224" i="11"/>
  <c r="J19" i="11" s="1"/>
  <c r="AH234" i="11"/>
  <c r="AH29" i="11" s="1"/>
  <c r="P232" i="11"/>
  <c r="P27" i="11" s="1"/>
  <c r="AT221" i="11"/>
  <c r="AT16" i="11" s="1"/>
  <c r="AT224" i="11"/>
  <c r="AT19" i="11" s="1"/>
  <c r="AB225" i="11"/>
  <c r="AB20" i="11" s="1"/>
  <c r="AN222" i="11"/>
  <c r="AN17" i="11" s="1"/>
  <c r="AN214" i="11"/>
  <c r="AN9" i="11" s="1"/>
  <c r="J217" i="11"/>
  <c r="J12" i="11" s="1"/>
  <c r="AH219" i="11"/>
  <c r="AH14" i="11" s="1"/>
  <c r="AT214" i="11"/>
  <c r="AT9" i="11" s="1"/>
  <c r="J225" i="11"/>
  <c r="J20" i="11" s="1"/>
  <c r="S29" i="11"/>
  <c r="N19" i="11"/>
  <c r="Z21" i="11"/>
  <c r="M27" i="11"/>
  <c r="AK25" i="11"/>
  <c r="M14" i="11"/>
  <c r="AK21" i="11"/>
  <c r="AL18" i="11"/>
  <c r="N11" i="11"/>
  <c r="AF28" i="11"/>
  <c r="Y21" i="11"/>
  <c r="M17" i="11"/>
  <c r="U21" i="11"/>
  <c r="AE20" i="11"/>
  <c r="N21" i="11"/>
  <c r="Z24" i="11"/>
  <c r="Z17" i="11"/>
  <c r="AA20" i="11"/>
  <c r="AE27" i="11"/>
  <c r="AF27" i="11"/>
  <c r="S17" i="11"/>
  <c r="AA27" i="11"/>
  <c r="AX9" i="11"/>
  <c r="AA14" i="11"/>
  <c r="AF14" i="11"/>
  <c r="AE14" i="11"/>
  <c r="AS21" i="11"/>
  <c r="M11" i="11"/>
  <c r="AE29" i="11"/>
  <c r="N27" i="11"/>
  <c r="AK26" i="11"/>
  <c r="AE16" i="11"/>
  <c r="AG26" i="11"/>
  <c r="S19" i="11"/>
  <c r="AG15" i="11"/>
  <c r="O19" i="11"/>
  <c r="T26" i="11"/>
  <c r="AL17" i="11"/>
  <c r="AK28" i="11"/>
  <c r="Z13" i="11"/>
  <c r="M26" i="11"/>
  <c r="AX13" i="11"/>
  <c r="AL21" i="11"/>
  <c r="M19" i="11"/>
  <c r="AL15" i="11"/>
  <c r="I27" i="11"/>
  <c r="M25" i="11"/>
  <c r="AS24" i="11"/>
  <c r="AQ14" i="11"/>
  <c r="I25" i="11"/>
  <c r="AK15" i="11"/>
  <c r="N25" i="11"/>
  <c r="AR14" i="11"/>
  <c r="AG18" i="11"/>
  <c r="AW24" i="11"/>
  <c r="AX24" i="11"/>
  <c r="AL26" i="11"/>
  <c r="AF25" i="11"/>
  <c r="AL25" i="11"/>
  <c r="AR15" i="11"/>
  <c r="AK24" i="11"/>
  <c r="T28" i="11"/>
  <c r="Y24" i="11"/>
  <c r="O15" i="11"/>
  <c r="AA25" i="11"/>
  <c r="AR26" i="11"/>
  <c r="AF29" i="11"/>
  <c r="AF9" i="11"/>
  <c r="AA22" i="11"/>
  <c r="T25" i="11"/>
  <c r="Z12" i="11"/>
  <c r="AS9" i="11"/>
  <c r="T13" i="11"/>
  <c r="AR27" i="11"/>
  <c r="AA15" i="11"/>
  <c r="T18" i="11"/>
  <c r="S9" i="11"/>
  <c r="AK10" i="11"/>
  <c r="AW21" i="11"/>
  <c r="O9" i="11"/>
  <c r="AG24" i="11"/>
  <c r="T9" i="11"/>
  <c r="Y20" i="11"/>
  <c r="Z22" i="11"/>
  <c r="AR11" i="11"/>
  <c r="AX12" i="11"/>
  <c r="AQ24" i="11"/>
  <c r="AW10" i="11"/>
  <c r="AF15" i="11"/>
  <c r="AE23" i="11"/>
  <c r="AE10" i="11"/>
  <c r="AW9" i="11"/>
  <c r="T15" i="11"/>
  <c r="AR29" i="11"/>
  <c r="S15" i="11"/>
  <c r="AQ29" i="11"/>
  <c r="S28" i="11"/>
  <c r="AQ15" i="11"/>
  <c r="AK29" i="11"/>
  <c r="AF22" i="11"/>
  <c r="AE22" i="11"/>
  <c r="S11" i="11"/>
  <c r="N10" i="11"/>
  <c r="O25" i="11"/>
  <c r="AK18" i="11"/>
  <c r="AX18" i="11"/>
  <c r="AK12" i="11"/>
  <c r="I9" i="11"/>
  <c r="AE17" i="11"/>
  <c r="AA17" i="11"/>
  <c r="AM18" i="11"/>
  <c r="I19" i="11"/>
  <c r="AQ18" i="11"/>
  <c r="S13" i="11"/>
  <c r="AS29" i="11"/>
  <c r="AW19" i="11"/>
  <c r="AQ27" i="11"/>
  <c r="AR18" i="11"/>
  <c r="AG21" i="11"/>
  <c r="S25" i="11"/>
  <c r="AQ26" i="11"/>
  <c r="I17" i="11"/>
  <c r="Y15" i="11"/>
  <c r="AE25" i="11"/>
  <c r="AF17" i="11"/>
  <c r="U12" i="11"/>
  <c r="O13" i="11"/>
  <c r="AK16" i="11"/>
  <c r="Z15" i="11"/>
  <c r="AM29" i="11"/>
  <c r="T19" i="11"/>
  <c r="Y14" i="11"/>
  <c r="N17" i="11"/>
  <c r="AA28" i="11"/>
  <c r="N28" i="11"/>
  <c r="AE24" i="11"/>
  <c r="Z19" i="11"/>
  <c r="AE28" i="11"/>
  <c r="AW29" i="11"/>
  <c r="Y19" i="11"/>
  <c r="AX23" i="11"/>
  <c r="I28" i="11"/>
  <c r="S21" i="11"/>
  <c r="M9" i="11"/>
  <c r="AS23" i="11"/>
  <c r="AE18" i="11"/>
  <c r="AW23" i="11"/>
  <c r="AX29" i="11"/>
  <c r="AL29" i="11"/>
  <c r="AL13" i="11"/>
  <c r="AR17" i="11"/>
  <c r="AF24" i="11"/>
  <c r="AF13" i="11"/>
  <c r="U17" i="11"/>
  <c r="AR24" i="11"/>
  <c r="AQ28" i="11"/>
  <c r="AM24" i="11"/>
  <c r="Y22" i="11"/>
  <c r="N26" i="11"/>
  <c r="AA24" i="11"/>
  <c r="AX21" i="11"/>
  <c r="AL10" i="11"/>
  <c r="M18" i="11"/>
  <c r="AF18" i="11"/>
  <c r="AM27" i="11"/>
  <c r="AE15" i="11"/>
  <c r="Z14" i="11"/>
  <c r="AM17" i="11"/>
  <c r="S18" i="11"/>
  <c r="O18" i="11"/>
  <c r="AS20" i="11"/>
  <c r="AQ17" i="11"/>
  <c r="U14" i="11"/>
  <c r="AX11" i="11"/>
  <c r="AG10" i="11"/>
  <c r="AG17" i="11"/>
  <c r="AF20" i="11"/>
  <c r="N15" i="11"/>
  <c r="AF12" i="11"/>
  <c r="AW11" i="11"/>
  <c r="S12" i="11"/>
  <c r="AE12" i="11"/>
  <c r="AS11" i="11"/>
  <c r="AS25" i="11"/>
  <c r="Z23" i="11"/>
  <c r="AK13" i="11"/>
  <c r="AF19" i="11"/>
  <c r="M15" i="11"/>
  <c r="AG13" i="11"/>
  <c r="AX25" i="11"/>
  <c r="I15" i="11"/>
  <c r="N23" i="11"/>
  <c r="Y12" i="11"/>
  <c r="AM15" i="11"/>
  <c r="T12" i="11"/>
  <c r="AW20" i="11"/>
  <c r="Y17" i="11"/>
  <c r="S27" i="11"/>
  <c r="I54" i="11"/>
  <c r="S20" i="11"/>
  <c r="T21" i="11"/>
  <c r="T10" i="11"/>
  <c r="AX17" i="11"/>
  <c r="O27" i="11"/>
  <c r="AW17" i="11"/>
  <c r="AE13" i="11"/>
  <c r="I26" i="11"/>
  <c r="V65" i="11"/>
  <c r="O65" i="11" s="1"/>
  <c r="AG27" i="11"/>
  <c r="O20" i="11"/>
  <c r="AR20" i="11"/>
  <c r="AS14" i="11"/>
  <c r="AW25" i="11"/>
  <c r="AE11" i="11"/>
  <c r="V59" i="11"/>
  <c r="O59" i="11" s="1"/>
  <c r="AX20" i="11"/>
  <c r="T27" i="11"/>
  <c r="N9" i="11"/>
  <c r="AA13" i="11"/>
  <c r="AL24" i="11"/>
  <c r="AS17" i="11"/>
  <c r="AX14" i="11"/>
  <c r="Y13" i="11"/>
  <c r="AL9" i="11"/>
  <c r="U20" i="11"/>
  <c r="AL14" i="11"/>
  <c r="AK17" i="11"/>
  <c r="AK14" i="11"/>
  <c r="AQ22" i="11"/>
  <c r="AW28" i="11"/>
  <c r="AQ20" i="11"/>
  <c r="AR12" i="11"/>
  <c r="AL28" i="11"/>
  <c r="Y16" i="11"/>
  <c r="T22" i="11"/>
  <c r="AL12" i="11"/>
  <c r="O28" i="11"/>
  <c r="AF10" i="11"/>
  <c r="N22" i="11"/>
  <c r="S22" i="11"/>
  <c r="M22" i="11"/>
  <c r="T14" i="11"/>
  <c r="N29" i="11"/>
  <c r="AM20" i="11"/>
  <c r="U26" i="11"/>
  <c r="O29" i="11"/>
  <c r="T29" i="11"/>
  <c r="Y10" i="11"/>
  <c r="AM11" i="11"/>
  <c r="O22" i="11"/>
  <c r="AW13" i="11"/>
  <c r="Y28" i="11"/>
  <c r="Z26" i="11"/>
  <c r="AK9" i="11"/>
  <c r="AA11" i="11"/>
  <c r="AF11" i="11"/>
  <c r="AA23" i="11"/>
  <c r="S23" i="11"/>
  <c r="AG12" i="11"/>
  <c r="I22" i="11"/>
  <c r="Z20" i="11"/>
  <c r="AW14" i="11"/>
  <c r="AL11" i="11"/>
  <c r="T20" i="11"/>
  <c r="AA10" i="11"/>
  <c r="AG11" i="11"/>
  <c r="AF23" i="11"/>
  <c r="Y26" i="11"/>
  <c r="AK11" i="11"/>
  <c r="V67" i="11"/>
  <c r="O67" i="11" s="1"/>
  <c r="U16" i="11"/>
  <c r="AW15" i="11"/>
  <c r="AK27" i="11"/>
  <c r="AL23" i="11"/>
  <c r="N13" i="11"/>
  <c r="AW18" i="11"/>
  <c r="AW26" i="11"/>
  <c r="S14" i="11"/>
  <c r="AK19" i="11"/>
  <c r="V55" i="11"/>
  <c r="O55" i="11" s="1"/>
  <c r="S16" i="11"/>
  <c r="AQ13" i="11"/>
  <c r="Z9" i="11"/>
  <c r="M28" i="11"/>
  <c r="I29" i="11"/>
  <c r="M21" i="11"/>
  <c r="AA9" i="11"/>
  <c r="AR19" i="11"/>
  <c r="Y11" i="11"/>
  <c r="AQ11" i="11"/>
  <c r="AL27" i="11"/>
  <c r="Z11" i="11"/>
  <c r="Z16" i="11"/>
  <c r="Z25" i="11"/>
  <c r="AK23" i="11"/>
  <c r="AX10" i="11"/>
  <c r="AS10" i="11"/>
  <c r="T11" i="11"/>
  <c r="AW22" i="11"/>
  <c r="AQ19" i="11"/>
  <c r="AR13" i="11"/>
  <c r="AL16" i="11"/>
  <c r="AF16" i="11"/>
  <c r="AL19" i="11"/>
  <c r="M29" i="11"/>
  <c r="AE19" i="11"/>
  <c r="AX22" i="11"/>
  <c r="Z28" i="11"/>
  <c r="O16" i="11"/>
  <c r="AG28" i="11"/>
  <c r="T23" i="11"/>
  <c r="AR22" i="11"/>
  <c r="Y9" i="11"/>
  <c r="I21" i="11"/>
  <c r="M13" i="11"/>
  <c r="AR23" i="11"/>
  <c r="AR21" i="11"/>
  <c r="U11" i="11"/>
  <c r="I13" i="11"/>
  <c r="M24" i="11"/>
  <c r="AX28" i="11"/>
  <c r="T16" i="11"/>
  <c r="AW12" i="11"/>
  <c r="AQ12" i="11"/>
  <c r="AE9" i="11"/>
  <c r="V72" i="11"/>
  <c r="O72" i="11" s="1"/>
  <c r="AS27" i="11"/>
  <c r="U29" i="11"/>
  <c r="I24" i="11"/>
  <c r="N18" i="11"/>
  <c r="AW27" i="11"/>
  <c r="Y29" i="11"/>
  <c r="AF26" i="11"/>
  <c r="U25" i="11"/>
  <c r="Y25" i="11"/>
  <c r="AW16" i="11"/>
  <c r="O23" i="11"/>
  <c r="U23" i="11"/>
  <c r="N14" i="11"/>
  <c r="O10" i="11"/>
  <c r="I10" i="11"/>
  <c r="Z18" i="11"/>
  <c r="AE21" i="11"/>
  <c r="AL22" i="11"/>
  <c r="S10" i="11"/>
  <c r="Z10" i="11"/>
  <c r="Z29" i="11"/>
  <c r="I20" i="11"/>
  <c r="M20" i="11"/>
  <c r="I12" i="11"/>
  <c r="AA26" i="11"/>
  <c r="O26" i="11"/>
  <c r="M16" i="11"/>
  <c r="I23" i="11"/>
  <c r="T24" i="11"/>
  <c r="AM9" i="11"/>
  <c r="AA21" i="11"/>
  <c r="S26" i="11"/>
  <c r="AK22" i="11"/>
  <c r="V63" i="11"/>
  <c r="O63" i="11" s="1"/>
  <c r="AS18" i="11"/>
  <c r="AQ21" i="11"/>
  <c r="U27" i="11"/>
  <c r="U18" i="11"/>
  <c r="O24" i="11"/>
  <c r="I16" i="11"/>
  <c r="AQ16" i="11"/>
  <c r="I14" i="11"/>
  <c r="V64" i="11"/>
  <c r="O64" i="11" s="1"/>
  <c r="AS19" i="11"/>
  <c r="AM25" i="11"/>
  <c r="N16" i="11"/>
  <c r="Y27" i="11"/>
  <c r="AR10" i="11"/>
  <c r="AX16" i="11"/>
  <c r="V73" i="11"/>
  <c r="O73" i="11" s="1"/>
  <c r="AS28" i="11"/>
  <c r="AM28" i="11"/>
  <c r="AE26" i="11"/>
  <c r="V57" i="11"/>
  <c r="O57" i="11" s="1"/>
  <c r="AS12" i="11"/>
  <c r="AM12" i="11"/>
  <c r="V71" i="11"/>
  <c r="O71" i="11" s="1"/>
  <c r="AS26" i="11"/>
  <c r="U28" i="11"/>
  <c r="AM16" i="11"/>
  <c r="AR16" i="11"/>
  <c r="O12" i="11"/>
  <c r="S24" i="11"/>
  <c r="N24" i="11"/>
  <c r="M12" i="11"/>
  <c r="AQ23" i="11"/>
  <c r="V60" i="11"/>
  <c r="O60" i="11" s="1"/>
  <c r="AS15" i="11"/>
  <c r="AG29" i="11"/>
  <c r="N20" i="11"/>
  <c r="AM13" i="11"/>
  <c r="AR9" i="11"/>
  <c r="AX19" i="11"/>
  <c r="AL20" i="11"/>
  <c r="AK20" i="11"/>
  <c r="AG16" i="11"/>
  <c r="AR28" i="11"/>
  <c r="Y23" i="11"/>
  <c r="AX26" i="11"/>
  <c r="I18" i="11"/>
  <c r="V61" i="11"/>
  <c r="O61" i="11" s="1"/>
  <c r="AS16" i="11"/>
  <c r="AG22" i="11"/>
  <c r="AM21" i="11"/>
  <c r="AM23" i="11"/>
  <c r="AM10" i="11"/>
  <c r="Y18" i="11"/>
  <c r="AQ25" i="11"/>
  <c r="AG20" i="11"/>
  <c r="AR25" i="11"/>
  <c r="M23" i="11"/>
  <c r="AA16" i="11"/>
  <c r="O11" i="11"/>
  <c r="AG19" i="11"/>
  <c r="O17" i="11"/>
  <c r="V58" i="11"/>
  <c r="O58" i="11" s="1"/>
  <c r="AS13" i="11"/>
  <c r="N12" i="11"/>
  <c r="AX27" i="11"/>
  <c r="Z27" i="11"/>
  <c r="AX15" i="11"/>
  <c r="AM22" i="11"/>
  <c r="AQ10" i="11"/>
  <c r="AA18" i="11"/>
  <c r="AF21" i="11"/>
  <c r="U10" i="11"/>
  <c r="O14" i="11"/>
  <c r="M10" i="11"/>
  <c r="AQ9" i="11"/>
  <c r="T17" i="11"/>
  <c r="BD272" i="11" l="1"/>
  <c r="BD270" i="11"/>
  <c r="BD263" i="11" l="1"/>
  <c r="BD264" i="11"/>
  <c r="BD269" i="11"/>
  <c r="BD273" i="11"/>
  <c r="BG100" i="11" s="1"/>
  <c r="BD266" i="11"/>
  <c r="BD267" i="11"/>
  <c r="BD261" i="11"/>
  <c r="BG99" i="11" s="1"/>
  <c r="BD260" i="11"/>
  <c r="F75" i="10"/>
  <c r="E75" i="10"/>
  <c r="H74" i="10"/>
  <c r="H73" i="10"/>
  <c r="H72" i="10"/>
  <c r="H71" i="10"/>
  <c r="H70" i="10"/>
  <c r="H69" i="10"/>
  <c r="H68" i="10"/>
  <c r="H67" i="10"/>
  <c r="H66" i="10"/>
  <c r="L65" i="10"/>
  <c r="K65" i="10"/>
  <c r="F65" i="10"/>
  <c r="E65" i="10"/>
  <c r="L64" i="10"/>
  <c r="K64" i="10"/>
  <c r="F64" i="10"/>
  <c r="H64" i="10" s="1"/>
  <c r="L63" i="10"/>
  <c r="K63" i="10"/>
  <c r="F63" i="10"/>
  <c r="H63" i="10" s="1"/>
  <c r="F62" i="10"/>
  <c r="E62" i="10"/>
  <c r="L61" i="10"/>
  <c r="L62" i="10" s="1"/>
  <c r="F61" i="10"/>
  <c r="E61" i="10"/>
  <c r="F60" i="10"/>
  <c r="H60" i="10" s="1"/>
  <c r="F59" i="10"/>
  <c r="H59" i="10" s="1"/>
  <c r="F58" i="10"/>
  <c r="H58" i="10" s="1"/>
  <c r="F57" i="10"/>
  <c r="E57" i="10"/>
  <c r="L56" i="10"/>
  <c r="K56" i="10"/>
  <c r="F56" i="10"/>
  <c r="E56" i="10"/>
  <c r="H55" i="10"/>
  <c r="H54" i="10"/>
  <c r="L52" i="10"/>
  <c r="K52" i="10"/>
  <c r="F52" i="10"/>
  <c r="E52" i="10"/>
  <c r="F51" i="10"/>
  <c r="E51" i="10"/>
  <c r="F50" i="10"/>
  <c r="E50" i="10"/>
  <c r="H49" i="10"/>
  <c r="L48" i="10"/>
  <c r="K48" i="10"/>
  <c r="L47" i="10"/>
  <c r="K47" i="10"/>
  <c r="H47" i="10"/>
  <c r="H46" i="10"/>
  <c r="H45" i="10"/>
  <c r="F44" i="10"/>
  <c r="H44" i="10" s="1"/>
  <c r="L43" i="10"/>
  <c r="K43" i="10"/>
  <c r="F43" i="10"/>
  <c r="E43" i="10"/>
  <c r="L42" i="10"/>
  <c r="K42" i="10"/>
  <c r="F42" i="10"/>
  <c r="E42" i="10"/>
  <c r="H41" i="10"/>
  <c r="H40" i="10"/>
  <c r="L39" i="10"/>
  <c r="K39" i="10"/>
  <c r="H39" i="10"/>
  <c r="L38" i="10"/>
  <c r="K38" i="10"/>
  <c r="F38" i="10"/>
  <c r="E38" i="10"/>
  <c r="H37" i="10"/>
  <c r="H36" i="10"/>
  <c r="H35" i="10"/>
  <c r="H34" i="10"/>
  <c r="L33" i="10"/>
  <c r="K33" i="10"/>
  <c r="H33" i="10"/>
  <c r="F32" i="10"/>
  <c r="E32" i="10"/>
  <c r="F31" i="10"/>
  <c r="E31" i="10"/>
  <c r="H30" i="10"/>
  <c r="H29" i="10"/>
  <c r="H28" i="10"/>
  <c r="L27" i="10"/>
  <c r="H27" i="10"/>
  <c r="L26" i="10"/>
  <c r="H26" i="10"/>
  <c r="L25" i="10"/>
  <c r="H25" i="10"/>
  <c r="L24" i="10"/>
  <c r="H24" i="10"/>
  <c r="H23" i="10"/>
  <c r="H22" i="10"/>
  <c r="H21" i="10"/>
  <c r="H20" i="10"/>
  <c r="H19" i="10"/>
  <c r="H18" i="10"/>
  <c r="H17" i="10"/>
  <c r="H16" i="10"/>
  <c r="H15" i="10"/>
  <c r="E14" i="10"/>
  <c r="H14" i="10" s="1"/>
  <c r="H13" i="10"/>
  <c r="H12" i="10"/>
  <c r="H11" i="10"/>
  <c r="H10" i="10"/>
  <c r="BQ104" i="8"/>
  <c r="BH104" i="8"/>
  <c r="BC104" i="8" s="1"/>
  <c r="AT104" i="8"/>
  <c r="AE104" i="8"/>
  <c r="AC104" i="8" s="1"/>
  <c r="P104" i="8"/>
  <c r="O104" i="8"/>
  <c r="M104" i="8"/>
  <c r="BQ103" i="8"/>
  <c r="BH103" i="8"/>
  <c r="BG103" i="8" s="1"/>
  <c r="AT103" i="8"/>
  <c r="AR103" i="8" s="1"/>
  <c r="AE103" i="8"/>
  <c r="Y103" i="8" s="1"/>
  <c r="P103" i="8"/>
  <c r="O103" i="8"/>
  <c r="N103" i="8" s="1"/>
  <c r="M103" i="8"/>
  <c r="BQ102" i="8"/>
  <c r="BH102" i="8"/>
  <c r="BG102" i="8" s="1"/>
  <c r="AT102" i="8"/>
  <c r="AE102" i="8"/>
  <c r="Y102" i="8" s="1"/>
  <c r="P102" i="8"/>
  <c r="O102" i="8"/>
  <c r="M102" i="8"/>
  <c r="BQ101" i="8"/>
  <c r="BH101" i="8"/>
  <c r="AT101" i="8"/>
  <c r="AE101" i="8"/>
  <c r="P101" i="8"/>
  <c r="O101" i="8"/>
  <c r="M101" i="8"/>
  <c r="BQ100" i="8"/>
  <c r="BH100" i="8"/>
  <c r="BF100" i="8" s="1"/>
  <c r="AT100" i="8"/>
  <c r="AE100" i="8"/>
  <c r="AC100" i="8" s="1"/>
  <c r="P100" i="8"/>
  <c r="O100" i="8"/>
  <c r="M100" i="8"/>
  <c r="BQ99" i="8"/>
  <c r="BH99" i="8"/>
  <c r="BG99" i="8" s="1"/>
  <c r="AT99" i="8"/>
  <c r="AE99" i="8"/>
  <c r="P99" i="8"/>
  <c r="O99" i="8"/>
  <c r="M99" i="8"/>
  <c r="BQ98" i="8"/>
  <c r="BH98" i="8"/>
  <c r="AT98" i="8"/>
  <c r="AR98" i="8" s="1"/>
  <c r="AE98" i="8"/>
  <c r="AC98" i="8" s="1"/>
  <c r="P98" i="8"/>
  <c r="O98" i="8"/>
  <c r="M98" i="8"/>
  <c r="BQ97" i="8"/>
  <c r="BH97" i="8"/>
  <c r="BF97" i="8" s="1"/>
  <c r="AT97" i="8"/>
  <c r="AR97" i="8" s="1"/>
  <c r="AE97" i="8"/>
  <c r="AC97" i="8" s="1"/>
  <c r="P97" i="8"/>
  <c r="O97" i="8"/>
  <c r="M97" i="8"/>
  <c r="BQ96" i="8"/>
  <c r="BH96" i="8"/>
  <c r="BF96" i="8" s="1"/>
  <c r="AT96" i="8"/>
  <c r="AS96" i="8" s="1"/>
  <c r="AE96" i="8"/>
  <c r="AC96" i="8" s="1"/>
  <c r="N96" i="8"/>
  <c r="M96" i="8"/>
  <c r="BQ95" i="8"/>
  <c r="BH95" i="8"/>
  <c r="AT95" i="8"/>
  <c r="AR95" i="8" s="1"/>
  <c r="AE95" i="8"/>
  <c r="AC95" i="8" s="1"/>
  <c r="P95" i="8"/>
  <c r="O95" i="8"/>
  <c r="M95" i="8"/>
  <c r="BQ94" i="8"/>
  <c r="BH94" i="8"/>
  <c r="BF94" i="8" s="1"/>
  <c r="AT94" i="8"/>
  <c r="AE94" i="8"/>
  <c r="AC94" i="8" s="1"/>
  <c r="P94" i="8"/>
  <c r="M94" i="8"/>
  <c r="BQ93" i="8"/>
  <c r="BH93" i="8"/>
  <c r="BF93" i="8" s="1"/>
  <c r="AT93" i="8"/>
  <c r="AE93" i="8"/>
  <c r="P93" i="8"/>
  <c r="O93" i="8"/>
  <c r="M93" i="8"/>
  <c r="BQ92" i="8"/>
  <c r="BH92" i="8"/>
  <c r="AT92" i="8"/>
  <c r="AR92" i="8" s="1"/>
  <c r="AE92" i="8"/>
  <c r="P92" i="8"/>
  <c r="M92" i="8"/>
  <c r="BQ91" i="8"/>
  <c r="BH91" i="8"/>
  <c r="BF91" i="8" s="1"/>
  <c r="AT91" i="8"/>
  <c r="AR91" i="8" s="1"/>
  <c r="AE91" i="8"/>
  <c r="P91" i="8"/>
  <c r="O91" i="8"/>
  <c r="M91" i="8"/>
  <c r="BQ90" i="8"/>
  <c r="BH90" i="8"/>
  <c r="AT90" i="8"/>
  <c r="AR90" i="8" s="1"/>
  <c r="AE90" i="8"/>
  <c r="P90" i="8"/>
  <c r="O90" i="8"/>
  <c r="M90" i="8"/>
  <c r="BQ89" i="8"/>
  <c r="BH89" i="8"/>
  <c r="AT89" i="8"/>
  <c r="AE89" i="8"/>
  <c r="Y89" i="8" s="1"/>
  <c r="N89" i="8"/>
  <c r="M89" i="8"/>
  <c r="BQ88" i="8"/>
  <c r="BH88" i="8"/>
  <c r="AT88" i="8"/>
  <c r="AE88" i="8"/>
  <c r="N88" i="8"/>
  <c r="M88" i="8"/>
  <c r="BQ87" i="8"/>
  <c r="BH87" i="8"/>
  <c r="BG87" i="8" s="1"/>
  <c r="AT87" i="8"/>
  <c r="AR87" i="8" s="1"/>
  <c r="AE87" i="8"/>
  <c r="AC87" i="8" s="1"/>
  <c r="P87" i="8"/>
  <c r="N87" i="8" s="1"/>
  <c r="M87" i="8"/>
  <c r="P86" i="8"/>
  <c r="O86" i="8"/>
  <c r="BQ85" i="8"/>
  <c r="BH85" i="8"/>
  <c r="AV85" i="8"/>
  <c r="AU85" i="8"/>
  <c r="AT85" i="8"/>
  <c r="AS85" i="8" s="1"/>
  <c r="AG85" i="8"/>
  <c r="AF85" i="8"/>
  <c r="AE85" i="8"/>
  <c r="P85" i="8"/>
  <c r="O85" i="8"/>
  <c r="M85" i="8"/>
  <c r="BQ84" i="8"/>
  <c r="BH84" i="8"/>
  <c r="BF84" i="8" s="1"/>
  <c r="AT84" i="8"/>
  <c r="AE84" i="8"/>
  <c r="AC84" i="8" s="1"/>
  <c r="Y84" i="8" s="1"/>
  <c r="P84" i="8"/>
  <c r="O84" i="8"/>
  <c r="M84" i="8"/>
  <c r="BQ83" i="8"/>
  <c r="BH83" i="8"/>
  <c r="AT83" i="8"/>
  <c r="AE83" i="8"/>
  <c r="AD83" i="8" s="1"/>
  <c r="P83" i="8"/>
  <c r="O83" i="8"/>
  <c r="M83" i="8"/>
  <c r="BQ82" i="8"/>
  <c r="BH82" i="8"/>
  <c r="BF82" i="8" s="1"/>
  <c r="AT82" i="8"/>
  <c r="AR82" i="8" s="1"/>
  <c r="AE82" i="8"/>
  <c r="AD82" i="8" s="1"/>
  <c r="P82" i="8"/>
  <c r="O82" i="8"/>
  <c r="M82" i="8"/>
  <c r="BQ81" i="8"/>
  <c r="BH81" i="8"/>
  <c r="BF81" i="8" s="1"/>
  <c r="AT81" i="8"/>
  <c r="AS81" i="8" s="1"/>
  <c r="AE81" i="8"/>
  <c r="P81" i="8"/>
  <c r="O81" i="8"/>
  <c r="M81" i="8"/>
  <c r="BQ80" i="8"/>
  <c r="BH80" i="8"/>
  <c r="BF80" i="8" s="1"/>
  <c r="AT80" i="8"/>
  <c r="AS80" i="8" s="1"/>
  <c r="AE80" i="8"/>
  <c r="AC80" i="8" s="1"/>
  <c r="N80" i="8"/>
  <c r="M80" i="8"/>
  <c r="BQ79" i="8"/>
  <c r="BH79" i="8"/>
  <c r="BF79" i="8" s="1"/>
  <c r="AT79" i="8"/>
  <c r="AS79" i="8" s="1"/>
  <c r="AE79" i="8"/>
  <c r="AC79" i="8" s="1"/>
  <c r="M79" i="8"/>
  <c r="BQ78" i="8"/>
  <c r="BH78" i="8"/>
  <c r="BG78" i="8" s="1"/>
  <c r="AT78" i="8"/>
  <c r="AR78" i="8" s="1"/>
  <c r="AE78" i="8"/>
  <c r="N78" i="8"/>
  <c r="M78" i="8"/>
  <c r="BQ77" i="8"/>
  <c r="BH77" i="8"/>
  <c r="AT77" i="8"/>
  <c r="AR77" i="8" s="1"/>
  <c r="AE77" i="8"/>
  <c r="P77" i="8"/>
  <c r="O77" i="8"/>
  <c r="M77" i="8"/>
  <c r="BQ76" i="8"/>
  <c r="BH76" i="8"/>
  <c r="AT76" i="8"/>
  <c r="AE76" i="8"/>
  <c r="Y76" i="8" s="1"/>
  <c r="W76" i="8" s="1"/>
  <c r="M76" i="8"/>
  <c r="BQ75" i="8"/>
  <c r="BH75" i="8"/>
  <c r="AT75" i="8"/>
  <c r="AN75" i="8" s="1"/>
  <c r="AL75" i="8" s="1"/>
  <c r="AE75" i="8"/>
  <c r="P75" i="8"/>
  <c r="O75" i="8"/>
  <c r="M75" i="8"/>
  <c r="BQ74" i="8"/>
  <c r="BH74" i="8"/>
  <c r="BF74" i="8" s="1"/>
  <c r="AT74" i="8"/>
  <c r="AR74" i="8" s="1"/>
  <c r="AE74" i="8"/>
  <c r="P74" i="8"/>
  <c r="O74" i="8"/>
  <c r="M74" i="8"/>
  <c r="BQ73" i="8"/>
  <c r="BH73" i="8"/>
  <c r="BC73" i="8" s="1"/>
  <c r="AT73" i="8"/>
  <c r="AE73" i="8"/>
  <c r="AC73" i="8" s="1"/>
  <c r="N73" i="8"/>
  <c r="M73" i="8"/>
  <c r="BQ72" i="8"/>
  <c r="BH72" i="8"/>
  <c r="BC72" i="8" s="1"/>
  <c r="AT72" i="8"/>
  <c r="AE72" i="8"/>
  <c r="AD72" i="8" s="1"/>
  <c r="N72" i="8"/>
  <c r="M72" i="8"/>
  <c r="BQ71" i="8"/>
  <c r="BH71" i="8"/>
  <c r="BG71" i="8" s="1"/>
  <c r="AT71" i="8"/>
  <c r="AE71" i="8"/>
  <c r="AD71" i="8" s="1"/>
  <c r="N71" i="8"/>
  <c r="M71" i="8"/>
  <c r="BQ70" i="8"/>
  <c r="BH70" i="8"/>
  <c r="BC70" i="8" s="1"/>
  <c r="AT70" i="8"/>
  <c r="AE70" i="8"/>
  <c r="AD70" i="8" s="1"/>
  <c r="N70" i="8"/>
  <c r="M70" i="8"/>
  <c r="BQ69" i="8"/>
  <c r="BH69" i="8"/>
  <c r="AT69" i="8"/>
  <c r="AE69" i="8"/>
  <c r="N69" i="8"/>
  <c r="M69" i="8"/>
  <c r="BQ68" i="8"/>
  <c r="BH68" i="8"/>
  <c r="AT68" i="8"/>
  <c r="AE68" i="8"/>
  <c r="N68" i="8"/>
  <c r="M68" i="8"/>
  <c r="BQ67" i="8"/>
  <c r="BH67" i="8"/>
  <c r="AT67" i="8"/>
  <c r="AR67" i="8" s="1"/>
  <c r="AE67" i="8"/>
  <c r="N67" i="8"/>
  <c r="M67" i="8"/>
  <c r="BQ66" i="8"/>
  <c r="BH66" i="8"/>
  <c r="BF66" i="8" s="1"/>
  <c r="AT66" i="8"/>
  <c r="AS66" i="8" s="1"/>
  <c r="AE66" i="8"/>
  <c r="AD66" i="8" s="1"/>
  <c r="N66" i="8"/>
  <c r="M66" i="8"/>
  <c r="BQ65" i="8"/>
  <c r="BH65" i="8"/>
  <c r="BG65" i="8" s="1"/>
  <c r="AT65" i="8"/>
  <c r="AE65" i="8"/>
  <c r="AC65" i="8" s="1"/>
  <c r="M65" i="8"/>
  <c r="BQ64" i="8"/>
  <c r="BH64" i="8"/>
  <c r="BG64" i="8" s="1"/>
  <c r="AT64" i="8"/>
  <c r="AR64" i="8" s="1"/>
  <c r="AE64" i="8"/>
  <c r="P64" i="8"/>
  <c r="O64" i="8"/>
  <c r="M64" i="8"/>
  <c r="BQ63" i="8"/>
  <c r="BH63" i="8"/>
  <c r="BG63" i="8" s="1"/>
  <c r="AT63" i="8"/>
  <c r="AR63" i="8" s="1"/>
  <c r="AE63" i="8"/>
  <c r="P63" i="8"/>
  <c r="O63" i="8"/>
  <c r="M63" i="8"/>
  <c r="BS62" i="8"/>
  <c r="BR62" i="8"/>
  <c r="BQ62" i="8"/>
  <c r="BH62" i="8"/>
  <c r="AT62" i="8"/>
  <c r="AE62" i="8"/>
  <c r="AC62" i="8" s="1"/>
  <c r="P62" i="8"/>
  <c r="O62" i="8"/>
  <c r="M62" i="8"/>
  <c r="BS61" i="8"/>
  <c r="BR61" i="8"/>
  <c r="BQ61" i="8"/>
  <c r="BH61" i="8"/>
  <c r="BF61" i="8" s="1"/>
  <c r="AT61" i="8"/>
  <c r="AR61" i="8" s="1"/>
  <c r="AE61" i="8"/>
  <c r="P61" i="8"/>
  <c r="O61" i="8"/>
  <c r="M61" i="8"/>
  <c r="BS60" i="8"/>
  <c r="BR60" i="8"/>
  <c r="BQ60" i="8"/>
  <c r="BH60" i="8"/>
  <c r="BF60" i="8" s="1"/>
  <c r="AT60" i="8"/>
  <c r="AR60" i="8" s="1"/>
  <c r="AE60" i="8"/>
  <c r="Y60" i="8" s="1"/>
  <c r="P60" i="8"/>
  <c r="O60" i="8"/>
  <c r="M60" i="8"/>
  <c r="BQ59" i="8"/>
  <c r="BH59" i="8"/>
  <c r="AT59" i="8"/>
  <c r="AR59" i="8" s="1"/>
  <c r="AG59" i="8"/>
  <c r="AE59" i="8"/>
  <c r="AC59" i="8" s="1"/>
  <c r="M59" i="8"/>
  <c r="BQ58" i="8"/>
  <c r="BH58" i="8"/>
  <c r="BG58" i="8" s="1"/>
  <c r="AT58" i="8"/>
  <c r="AS58" i="8" s="1"/>
  <c r="AG58" i="8"/>
  <c r="AE58" i="8"/>
  <c r="AC58" i="8" s="1"/>
  <c r="M58" i="8"/>
  <c r="BV57" i="8"/>
  <c r="BQ57" i="8"/>
  <c r="BH57" i="8"/>
  <c r="BF57" i="8" s="1"/>
  <c r="AT57" i="8"/>
  <c r="AN57" i="8" s="1"/>
  <c r="AG57" i="8"/>
  <c r="AE57" i="8"/>
  <c r="AC57" i="8" s="1"/>
  <c r="M57" i="8"/>
  <c r="BQ56" i="8"/>
  <c r="BH56" i="8"/>
  <c r="BF56" i="8" s="1"/>
  <c r="AT56" i="8"/>
  <c r="AR56" i="8" s="1"/>
  <c r="AG56" i="8"/>
  <c r="AE56" i="8"/>
  <c r="AC56" i="8" s="1"/>
  <c r="M56" i="8"/>
  <c r="BQ55" i="8"/>
  <c r="BH55" i="8"/>
  <c r="BC55" i="8" s="1"/>
  <c r="AT55" i="8"/>
  <c r="AE55" i="8"/>
  <c r="AD55" i="8" s="1"/>
  <c r="P55" i="8"/>
  <c r="O55" i="8"/>
  <c r="M55" i="8"/>
  <c r="BS54" i="8"/>
  <c r="BR54" i="8"/>
  <c r="BQ54" i="8"/>
  <c r="BH54" i="8"/>
  <c r="BG54" i="8" s="1"/>
  <c r="AT54" i="8"/>
  <c r="AS54" i="8" s="1"/>
  <c r="AE54" i="8"/>
  <c r="AC54" i="8" s="1"/>
  <c r="N54" i="8"/>
  <c r="M54" i="8"/>
  <c r="BW53" i="8"/>
  <c r="BV53" i="8"/>
  <c r="BQ53" i="8"/>
  <c r="BH53" i="8"/>
  <c r="BG53" i="8" s="1"/>
  <c r="AT53" i="8"/>
  <c r="AS53" i="8" s="1"/>
  <c r="AE53" i="8"/>
  <c r="Y53" i="8" s="1"/>
  <c r="N53" i="8"/>
  <c r="M53" i="8"/>
  <c r="BS52" i="8"/>
  <c r="BR52" i="8"/>
  <c r="BQ52" i="8"/>
  <c r="BH52" i="8"/>
  <c r="BG52" i="8" s="1"/>
  <c r="AT52" i="8"/>
  <c r="AR52" i="8" s="1"/>
  <c r="AE52" i="8"/>
  <c r="N52" i="8"/>
  <c r="M52" i="8"/>
  <c r="BQ51" i="8"/>
  <c r="BH51" i="8"/>
  <c r="BF51" i="8" s="1"/>
  <c r="AT51" i="8"/>
  <c r="AS51" i="8" s="1"/>
  <c r="AE51" i="8"/>
  <c r="AD51" i="8" s="1"/>
  <c r="N51" i="8"/>
  <c r="M51" i="8"/>
  <c r="BQ50" i="8"/>
  <c r="BH50" i="8"/>
  <c r="BG50" i="8" s="1"/>
  <c r="AT50" i="8"/>
  <c r="AR50" i="8" s="1"/>
  <c r="AF50" i="8"/>
  <c r="AE50" i="8"/>
  <c r="AC50" i="8" s="1"/>
  <c r="N50" i="8"/>
  <c r="M50" i="8"/>
  <c r="BQ49" i="8"/>
  <c r="BH49" i="8"/>
  <c r="BG49" i="8" s="1"/>
  <c r="AT49" i="8"/>
  <c r="AE49" i="8"/>
  <c r="AC49" i="8" s="1"/>
  <c r="N49" i="8"/>
  <c r="M49" i="8"/>
  <c r="BQ48" i="8"/>
  <c r="BH48" i="8"/>
  <c r="BF48" i="8" s="1"/>
  <c r="AT48" i="8"/>
  <c r="AR48" i="8" s="1"/>
  <c r="AE48" i="8"/>
  <c r="N48" i="8"/>
  <c r="M48" i="8"/>
  <c r="BQ47" i="8"/>
  <c r="BH47" i="8"/>
  <c r="BF47" i="8" s="1"/>
  <c r="AT47" i="8"/>
  <c r="AE47" i="8"/>
  <c r="AC47" i="8" s="1"/>
  <c r="N47" i="8"/>
  <c r="M47" i="8"/>
  <c r="BQ46" i="8"/>
  <c r="BH46" i="8"/>
  <c r="BF46" i="8" s="1"/>
  <c r="AT46" i="8"/>
  <c r="AE46" i="8"/>
  <c r="AC46" i="8" s="1"/>
  <c r="P46" i="8"/>
  <c r="O46" i="8"/>
  <c r="M46" i="8"/>
  <c r="BQ45" i="8"/>
  <c r="BH45" i="8"/>
  <c r="BF45" i="8" s="1"/>
  <c r="AT45" i="8"/>
  <c r="AE45" i="8"/>
  <c r="AC45" i="8" s="1"/>
  <c r="N45" i="8"/>
  <c r="M45" i="8"/>
  <c r="BQ44" i="8"/>
  <c r="BH44" i="8"/>
  <c r="BF44" i="8" s="1"/>
  <c r="AT44" i="8"/>
  <c r="AF44" i="8"/>
  <c r="AE44" i="8"/>
  <c r="AD44" i="8" s="1"/>
  <c r="N44" i="8"/>
  <c r="M44" i="8"/>
  <c r="CA43" i="8"/>
  <c r="BY43" i="8"/>
  <c r="BX43" i="8"/>
  <c r="BV43" i="8"/>
  <c r="BQ43" i="8"/>
  <c r="BH43" i="8"/>
  <c r="BF43" i="8" s="1"/>
  <c r="AV43" i="8"/>
  <c r="AU43" i="8"/>
  <c r="AT43" i="8"/>
  <c r="AR43" i="8" s="1"/>
  <c r="AG43" i="8"/>
  <c r="AF43" i="8"/>
  <c r="AE43" i="8"/>
  <c r="P43" i="8"/>
  <c r="O43" i="8"/>
  <c r="M43" i="8"/>
  <c r="BQ42" i="8"/>
  <c r="BH42" i="8"/>
  <c r="BF42" i="8" s="1"/>
  <c r="AT42" i="8"/>
  <c r="AR42" i="8" s="1"/>
  <c r="AE42" i="8"/>
  <c r="AC42" i="8" s="1"/>
  <c r="N42" i="8"/>
  <c r="M42" i="8"/>
  <c r="BQ41" i="8"/>
  <c r="BH41" i="8"/>
  <c r="BF41" i="8" s="1"/>
  <c r="AT41" i="8"/>
  <c r="AR41" i="8" s="1"/>
  <c r="AE41" i="8"/>
  <c r="Y41" i="8" s="1"/>
  <c r="M41" i="8"/>
  <c r="BQ40" i="8"/>
  <c r="BH40" i="8"/>
  <c r="BF40" i="8" s="1"/>
  <c r="AV40" i="8"/>
  <c r="AU40" i="8"/>
  <c r="AT40" i="8"/>
  <c r="AR40" i="8" s="1"/>
  <c r="AG40" i="8"/>
  <c r="AF40" i="8"/>
  <c r="AE40" i="8"/>
  <c r="AD40" i="8" s="1"/>
  <c r="N40" i="8"/>
  <c r="M40" i="8"/>
  <c r="BQ39" i="8"/>
  <c r="BH39" i="8"/>
  <c r="BC39" i="8" s="1"/>
  <c r="AT39" i="8"/>
  <c r="AG39" i="8"/>
  <c r="AF39" i="8"/>
  <c r="AE39" i="8"/>
  <c r="AC39" i="8" s="1"/>
  <c r="N39" i="8"/>
  <c r="M39" i="8"/>
  <c r="BQ38" i="8"/>
  <c r="BH38" i="8"/>
  <c r="BF38" i="8" s="1"/>
  <c r="AT38" i="8"/>
  <c r="AE38" i="8"/>
  <c r="P38" i="8"/>
  <c r="N38" i="8" s="1"/>
  <c r="M38" i="8"/>
  <c r="CC37" i="8"/>
  <c r="CA37" i="8" s="1"/>
  <c r="BQ37" i="8"/>
  <c r="BJ37" i="8"/>
  <c r="BH37" i="8"/>
  <c r="AT37" i="8"/>
  <c r="AE37" i="8"/>
  <c r="Y37" i="8" s="1"/>
  <c r="P37" i="8"/>
  <c r="N37" i="8" s="1"/>
  <c r="M37" i="8"/>
  <c r="BQ36" i="8"/>
  <c r="BH36" i="8"/>
  <c r="BG36" i="8" s="1"/>
  <c r="AT36" i="8"/>
  <c r="AE36" i="8"/>
  <c r="AD36" i="8" s="1"/>
  <c r="N36" i="8"/>
  <c r="M36" i="8"/>
  <c r="BW35" i="8"/>
  <c r="BV35" i="8"/>
  <c r="BQ35" i="8"/>
  <c r="BJ35" i="8"/>
  <c r="BI35" i="8"/>
  <c r="BH35" i="8"/>
  <c r="BG35" i="8" s="1"/>
  <c r="AT35" i="8"/>
  <c r="AR35" i="8" s="1"/>
  <c r="AE35" i="8"/>
  <c r="P35" i="8"/>
  <c r="O35" i="8"/>
  <c r="M35" i="8"/>
  <c r="BQ34" i="8"/>
  <c r="BH34" i="8"/>
  <c r="BG34" i="8" s="1"/>
  <c r="AT34" i="8"/>
  <c r="AE34" i="8"/>
  <c r="AD34" i="8" s="1"/>
  <c r="P34" i="8"/>
  <c r="O34" i="8"/>
  <c r="M34" i="8"/>
  <c r="BQ33" i="8"/>
  <c r="BH33" i="8"/>
  <c r="BC33" i="8" s="1"/>
  <c r="AV33" i="8"/>
  <c r="AU33" i="8"/>
  <c r="AT33" i="8"/>
  <c r="AS33" i="8" s="1"/>
  <c r="AG33" i="8"/>
  <c r="AF33" i="8"/>
  <c r="AE33" i="8"/>
  <c r="AD33" i="8" s="1"/>
  <c r="N33" i="8"/>
  <c r="M33" i="8"/>
  <c r="BQ32" i="8"/>
  <c r="BH32" i="8"/>
  <c r="BG32" i="8" s="1"/>
  <c r="AT32" i="8"/>
  <c r="AR32" i="8" s="1"/>
  <c r="AE32" i="8"/>
  <c r="Y32" i="8" s="1"/>
  <c r="P32" i="8"/>
  <c r="O32" i="8"/>
  <c r="M32" i="8"/>
  <c r="BQ31" i="8"/>
  <c r="BH31" i="8"/>
  <c r="BG31" i="8" s="1"/>
  <c r="AT31" i="8"/>
  <c r="AE31" i="8"/>
  <c r="N31" i="8"/>
  <c r="M31" i="8"/>
  <c r="BQ30" i="8"/>
  <c r="BH30" i="8"/>
  <c r="BC30" i="8" s="1"/>
  <c r="AT30" i="8"/>
  <c r="AE30" i="8"/>
  <c r="AD30" i="8" s="1"/>
  <c r="R30" i="8"/>
  <c r="N30" i="8"/>
  <c r="M30" i="8"/>
  <c r="BQ29" i="8"/>
  <c r="BH29" i="8"/>
  <c r="BG29" i="8" s="1"/>
  <c r="AT29" i="8"/>
  <c r="AE29" i="8"/>
  <c r="N29" i="8"/>
  <c r="M29" i="8"/>
  <c r="BQ28" i="8"/>
  <c r="BH28" i="8"/>
  <c r="AV28" i="8"/>
  <c r="AU28" i="8"/>
  <c r="AT28" i="8"/>
  <c r="AE28" i="8"/>
  <c r="P28" i="8"/>
  <c r="N28" i="8" s="1"/>
  <c r="M28" i="8"/>
  <c r="BQ26" i="8"/>
  <c r="BH26" i="8"/>
  <c r="BF26" i="8" s="1"/>
  <c r="AT26" i="8"/>
  <c r="AN26" i="8" s="1"/>
  <c r="AE26" i="8"/>
  <c r="N26" i="8"/>
  <c r="M26" i="8"/>
  <c r="BQ25" i="8"/>
  <c r="BJ25" i="8"/>
  <c r="BI25" i="8"/>
  <c r="BH25" i="8"/>
  <c r="AT25" i="8"/>
  <c r="AE25" i="8"/>
  <c r="AD25" i="8" s="1"/>
  <c r="P25" i="8"/>
  <c r="O25" i="8"/>
  <c r="M25" i="8"/>
  <c r="BQ23" i="8"/>
  <c r="BH23" i="8"/>
  <c r="AT23" i="8"/>
  <c r="AS23" i="8" s="1"/>
  <c r="AE23" i="8"/>
  <c r="AD23" i="8" s="1"/>
  <c r="N23" i="8"/>
  <c r="M23" i="8"/>
  <c r="BQ22" i="8"/>
  <c r="BH22" i="8"/>
  <c r="AT22" i="8"/>
  <c r="AS22" i="8" s="1"/>
  <c r="AE22" i="8"/>
  <c r="M22" i="8"/>
  <c r="BQ21" i="8"/>
  <c r="BH21" i="8"/>
  <c r="AT21" i="8"/>
  <c r="AR21" i="8" s="1"/>
  <c r="AE21" i="8"/>
  <c r="M21" i="8"/>
  <c r="BQ20" i="8"/>
  <c r="BH20" i="8"/>
  <c r="BF20" i="8" s="1"/>
  <c r="AT20" i="8"/>
  <c r="AE20" i="8"/>
  <c r="Y20" i="8" s="1"/>
  <c r="M20" i="8"/>
  <c r="BQ19" i="8"/>
  <c r="BH19" i="8"/>
  <c r="AT19" i="8"/>
  <c r="AR19" i="8" s="1"/>
  <c r="AE19" i="8"/>
  <c r="AC19" i="8" s="1"/>
  <c r="M19" i="8"/>
  <c r="CC18" i="8"/>
  <c r="CA18" i="8" s="1"/>
  <c r="BQ18" i="8"/>
  <c r="BJ18" i="8"/>
  <c r="BH18" i="8"/>
  <c r="AT18" i="8"/>
  <c r="AS18" i="8" s="1"/>
  <c r="AE18" i="8"/>
  <c r="AC18" i="8" s="1"/>
  <c r="T18" i="8"/>
  <c r="R18" i="8" s="1"/>
  <c r="P18" i="8"/>
  <c r="N18" i="8" s="1"/>
  <c r="M18" i="8"/>
  <c r="BQ16" i="8"/>
  <c r="BH16" i="8"/>
  <c r="AT16" i="8"/>
  <c r="AE16" i="8"/>
  <c r="AC16" i="8" s="1"/>
  <c r="T16" i="8"/>
  <c r="S16" i="8"/>
  <c r="P16" i="8"/>
  <c r="O16" i="8"/>
  <c r="M16" i="8"/>
  <c r="BQ15" i="8"/>
  <c r="BH15" i="8"/>
  <c r="BF15" i="8" s="1"/>
  <c r="AT15" i="8"/>
  <c r="AN15" i="8" s="1"/>
  <c r="AM15" i="8" s="1"/>
  <c r="AE15" i="8"/>
  <c r="AD15" i="8" s="1"/>
  <c r="M15" i="8"/>
  <c r="BQ14" i="8"/>
  <c r="BJ14" i="8"/>
  <c r="BI14" i="8"/>
  <c r="BH14" i="8"/>
  <c r="BG14" i="8" s="1"/>
  <c r="AT14" i="8"/>
  <c r="AR14" i="8" s="1"/>
  <c r="AE14" i="8"/>
  <c r="AD14" i="8" s="1"/>
  <c r="R14" i="8"/>
  <c r="P14" i="8"/>
  <c r="N14" i="8" s="1"/>
  <c r="M14" i="8"/>
  <c r="BQ13" i="8"/>
  <c r="BI13" i="8"/>
  <c r="BH13" i="8"/>
  <c r="BF13" i="8" s="1"/>
  <c r="AT13" i="8"/>
  <c r="AR13" i="8" s="1"/>
  <c r="AE13" i="8"/>
  <c r="T13" i="8"/>
  <c r="S13" i="8"/>
  <c r="O13" i="8"/>
  <c r="N13" i="8" s="1"/>
  <c r="M13" i="8"/>
  <c r="BQ12" i="8"/>
  <c r="BJ12" i="8"/>
  <c r="BI12" i="8"/>
  <c r="BH12" i="8"/>
  <c r="BF12" i="8" s="1"/>
  <c r="AT12" i="8"/>
  <c r="AS12" i="8" s="1"/>
  <c r="AE12" i="8"/>
  <c r="AD12" i="8" s="1"/>
  <c r="T12" i="8"/>
  <c r="S12" i="8"/>
  <c r="N12" i="8"/>
  <c r="M12" i="8"/>
  <c r="BQ11" i="8"/>
  <c r="BH11" i="8"/>
  <c r="AT11" i="8"/>
  <c r="AS11" i="8" s="1"/>
  <c r="AE11" i="8"/>
  <c r="AC11" i="8" s="1"/>
  <c r="T11" i="8"/>
  <c r="S11" i="8"/>
  <c r="P11" i="8"/>
  <c r="N11" i="8" s="1"/>
  <c r="M11" i="8"/>
  <c r="BQ10" i="8"/>
  <c r="BH10" i="8"/>
  <c r="BG10" i="8" s="1"/>
  <c r="AT10" i="8"/>
  <c r="AS10" i="8" s="1"/>
  <c r="AE10" i="8"/>
  <c r="T10" i="8"/>
  <c r="S10" i="8"/>
  <c r="P10" i="8"/>
  <c r="N10" i="8" s="1"/>
  <c r="M10" i="8"/>
  <c r="BQ9" i="8"/>
  <c r="BH9" i="8"/>
  <c r="AT9" i="8"/>
  <c r="AS9" i="8" s="1"/>
  <c r="AE9" i="8"/>
  <c r="AC9" i="8" s="1"/>
  <c r="R9" i="8"/>
  <c r="N9" i="8"/>
  <c r="M9" i="8"/>
  <c r="H51" i="10" l="1"/>
  <c r="H61" i="10"/>
  <c r="H75" i="10"/>
  <c r="AR100" i="8"/>
  <c r="AN100" i="8"/>
  <c r="AR101" i="8"/>
  <c r="AS28" i="8"/>
  <c r="AS25" i="8"/>
  <c r="AR102" i="8"/>
  <c r="AR99" i="8"/>
  <c r="AN99" i="8" s="1"/>
  <c r="BF99" i="8"/>
  <c r="BC102" i="8"/>
  <c r="BA102" i="8" s="1"/>
  <c r="AS74" i="8"/>
  <c r="AD84" i="8"/>
  <c r="H56" i="10"/>
  <c r="H62" i="10"/>
  <c r="BF103" i="8"/>
  <c r="H38" i="10"/>
  <c r="AD57" i="8"/>
  <c r="AC25" i="8"/>
  <c r="AD62" i="8"/>
  <c r="BN79" i="8"/>
  <c r="AR9" i="8"/>
  <c r="R13" i="8"/>
  <c r="BG13" i="8"/>
  <c r="BG79" i="8"/>
  <c r="Y80" i="8"/>
  <c r="X80" i="8" s="1"/>
  <c r="AS82" i="8"/>
  <c r="BN82" i="8"/>
  <c r="BN83" i="8"/>
  <c r="AN87" i="8"/>
  <c r="AL87" i="8" s="1"/>
  <c r="N34" i="8"/>
  <c r="N35" i="8"/>
  <c r="AD56" i="8"/>
  <c r="BG56" i="8"/>
  <c r="BC58" i="8"/>
  <c r="BB58" i="8" s="1"/>
  <c r="N61" i="8"/>
  <c r="AN96" i="8"/>
  <c r="AM96" i="8" s="1"/>
  <c r="AR18" i="8"/>
  <c r="AN18" i="8" s="1"/>
  <c r="AS19" i="8"/>
  <c r="BG30" i="8"/>
  <c r="AC36" i="8"/>
  <c r="BG55" i="8"/>
  <c r="Y57" i="8"/>
  <c r="W57" i="8" s="1"/>
  <c r="AS57" i="8"/>
  <c r="AN58" i="8"/>
  <c r="AL58" i="8" s="1"/>
  <c r="AD59" i="8"/>
  <c r="N60" i="8"/>
  <c r="AN61" i="8"/>
  <c r="AM61" i="8" s="1"/>
  <c r="AC71" i="8"/>
  <c r="R12" i="8"/>
  <c r="BC41" i="8"/>
  <c r="BB41" i="8" s="1"/>
  <c r="AD60" i="8"/>
  <c r="BG66" i="8"/>
  <c r="AC70" i="8"/>
  <c r="AD80" i="8"/>
  <c r="AC82" i="8"/>
  <c r="AS87" i="8"/>
  <c r="AS91" i="8"/>
  <c r="AS95" i="8"/>
  <c r="BC42" i="8"/>
  <c r="AR96" i="8"/>
  <c r="R16" i="8"/>
  <c r="AR28" i="8"/>
  <c r="AN28" i="8" s="1"/>
  <c r="BG41" i="8"/>
  <c r="AS42" i="8"/>
  <c r="BG42" i="8"/>
  <c r="AC53" i="8"/>
  <c r="BF55" i="8"/>
  <c r="AR57" i="8"/>
  <c r="Y62" i="8"/>
  <c r="W62" i="8" s="1"/>
  <c r="AR80" i="8"/>
  <c r="N82" i="8"/>
  <c r="AN82" i="8"/>
  <c r="AL82" i="8" s="1"/>
  <c r="BF87" i="8"/>
  <c r="BG91" i="8"/>
  <c r="N97" i="8"/>
  <c r="AD11" i="8"/>
  <c r="BG26" i="8"/>
  <c r="AN51" i="8"/>
  <c r="AM51" i="8" s="1"/>
  <c r="BG51" i="8"/>
  <c r="AD53" i="8"/>
  <c r="AC60" i="8"/>
  <c r="BC60" i="8"/>
  <c r="BB60" i="8" s="1"/>
  <c r="N64" i="8"/>
  <c r="BG72" i="8"/>
  <c r="BG84" i="8"/>
  <c r="AR85" i="8"/>
  <c r="AN85" i="8" s="1"/>
  <c r="BN86" i="8"/>
  <c r="AS97" i="8"/>
  <c r="BC99" i="8"/>
  <c r="BB99" i="8" s="1"/>
  <c r="N100" i="8"/>
  <c r="BN100" i="8"/>
  <c r="AC44" i="8"/>
  <c r="AR51" i="8"/>
  <c r="BC74" i="8"/>
  <c r="BA74" i="8" s="1"/>
  <c r="BF14" i="8"/>
  <c r="AC23" i="8"/>
  <c r="BF35" i="8"/>
  <c r="BF36" i="8"/>
  <c r="AS40" i="8"/>
  <c r="BG44" i="8"/>
  <c r="AR53" i="8"/>
  <c r="AD54" i="8"/>
  <c r="N55" i="8"/>
  <c r="N63" i="8"/>
  <c r="BC66" i="8"/>
  <c r="BA66" i="8" s="1"/>
  <c r="BG70" i="8"/>
  <c r="BG73" i="8"/>
  <c r="BG74" i="8"/>
  <c r="BN84" i="8"/>
  <c r="AN91" i="8"/>
  <c r="AL91" i="8" s="1"/>
  <c r="BC91" i="8"/>
  <c r="AN95" i="8"/>
  <c r="AL95" i="8" s="1"/>
  <c r="AD100" i="8"/>
  <c r="BG100" i="8"/>
  <c r="N102" i="8"/>
  <c r="X102" i="8"/>
  <c r="W102" i="8"/>
  <c r="W41" i="8"/>
  <c r="X41" i="8"/>
  <c r="BG16" i="8"/>
  <c r="BF16" i="8"/>
  <c r="AN29" i="8"/>
  <c r="AM29" i="8" s="1"/>
  <c r="AS29" i="8"/>
  <c r="AR45" i="8"/>
  <c r="AS45" i="8"/>
  <c r="AR65" i="8"/>
  <c r="AS65" i="8"/>
  <c r="BG69" i="8"/>
  <c r="BF69" i="8"/>
  <c r="AN71" i="8"/>
  <c r="AS71" i="8"/>
  <c r="AC74" i="8"/>
  <c r="AD74" i="8"/>
  <c r="AC88" i="8"/>
  <c r="AD88" i="8"/>
  <c r="BF89" i="8"/>
  <c r="BG89" i="8"/>
  <c r="BF90" i="8"/>
  <c r="BG90" i="8"/>
  <c r="AD9" i="8"/>
  <c r="AN10" i="8"/>
  <c r="AM10" i="8" s="1"/>
  <c r="Y12" i="8"/>
  <c r="X12" i="8" s="1"/>
  <c r="AL15" i="8"/>
  <c r="AK15" i="8" s="1"/>
  <c r="AS16" i="8"/>
  <c r="AR16" i="8"/>
  <c r="AD19" i="8"/>
  <c r="AN32" i="8"/>
  <c r="AM32" i="8" s="1"/>
  <c r="AS32" i="8"/>
  <c r="AR38" i="8"/>
  <c r="AS38" i="8"/>
  <c r="AC48" i="8"/>
  <c r="AD48" i="8"/>
  <c r="AN77" i="8"/>
  <c r="AL77" i="8" s="1"/>
  <c r="AS77" i="8"/>
  <c r="AC89" i="8"/>
  <c r="AD89" i="8"/>
  <c r="AD92" i="8"/>
  <c r="AC92" i="8"/>
  <c r="AN98" i="8"/>
  <c r="AS98" i="8"/>
  <c r="BF102" i="8"/>
  <c r="AC22" i="8"/>
  <c r="AD22" i="8"/>
  <c r="BG22" i="8"/>
  <c r="BC22" i="8"/>
  <c r="BF22" i="8"/>
  <c r="AR46" i="8"/>
  <c r="AS46" i="8"/>
  <c r="AC52" i="8"/>
  <c r="AD52" i="8"/>
  <c r="BG85" i="8"/>
  <c r="BF85" i="8"/>
  <c r="BF25" i="8"/>
  <c r="BC25" i="8" s="1"/>
  <c r="BG25" i="8"/>
  <c r="BA39" i="8"/>
  <c r="BB39" i="8"/>
  <c r="AC41" i="8"/>
  <c r="AD41" i="8"/>
  <c r="BC43" i="8"/>
  <c r="BA43" i="8" s="1"/>
  <c r="BG43" i="8"/>
  <c r="AR55" i="8"/>
  <c r="AS55" i="8"/>
  <c r="AS62" i="8"/>
  <c r="AR62" i="8"/>
  <c r="AC76" i="8"/>
  <c r="AD76" i="8"/>
  <c r="BG77" i="8"/>
  <c r="BF77" i="8"/>
  <c r="AS89" i="8"/>
  <c r="AR89" i="8"/>
  <c r="AS90" i="8"/>
  <c r="AN90" i="8"/>
  <c r="AL90" i="8" s="1"/>
  <c r="AC99" i="8"/>
  <c r="Y99" i="8"/>
  <c r="X99" i="8" s="1"/>
  <c r="AC102" i="8"/>
  <c r="AD102" i="8"/>
  <c r="AC103" i="8"/>
  <c r="AD103" i="8"/>
  <c r="AD10" i="8"/>
  <c r="AC10" i="8"/>
  <c r="BF59" i="8"/>
  <c r="BC59" i="8"/>
  <c r="BB59" i="8" s="1"/>
  <c r="BG75" i="8"/>
  <c r="BF75" i="8"/>
  <c r="AC90" i="8"/>
  <c r="AD90" i="8"/>
  <c r="Y90" i="8"/>
  <c r="W90" i="8" s="1"/>
  <c r="AR15" i="8"/>
  <c r="BC16" i="8"/>
  <c r="BB16" i="8" s="1"/>
  <c r="AD13" i="8"/>
  <c r="Y13" i="8"/>
  <c r="X13" i="8" s="1"/>
  <c r="AN14" i="8"/>
  <c r="AL14" i="8" s="1"/>
  <c r="AS15" i="8"/>
  <c r="N16" i="8"/>
  <c r="Y16" i="8"/>
  <c r="W16" i="8" s="1"/>
  <c r="BF21" i="8"/>
  <c r="BG21" i="8"/>
  <c r="AR29" i="8"/>
  <c r="AR33" i="8"/>
  <c r="AN33" i="8" s="1"/>
  <c r="AS35" i="8"/>
  <c r="AN35" i="8"/>
  <c r="AR39" i="8"/>
  <c r="AN39" i="8" s="1"/>
  <c r="AS39" i="8"/>
  <c r="BF39" i="8"/>
  <c r="BG39" i="8"/>
  <c r="AC43" i="8"/>
  <c r="Y43" i="8" s="1"/>
  <c r="AD43" i="8"/>
  <c r="Y45" i="8"/>
  <c r="W45" i="8" s="1"/>
  <c r="AD45" i="8"/>
  <c r="Y46" i="8"/>
  <c r="X46" i="8" s="1"/>
  <c r="AD46" i="8"/>
  <c r="BC47" i="8"/>
  <c r="BB47" i="8" s="1"/>
  <c r="BG47" i="8"/>
  <c r="AN48" i="8"/>
  <c r="AM48" i="8" s="1"/>
  <c r="AS48" i="8"/>
  <c r="Y50" i="8"/>
  <c r="AD50" i="8"/>
  <c r="BG61" i="8"/>
  <c r="BC61" i="8"/>
  <c r="BA61" i="8" s="1"/>
  <c r="AN69" i="8"/>
  <c r="AL69" i="8" s="1"/>
  <c r="AS69" i="8"/>
  <c r="AR71" i="8"/>
  <c r="Y74" i="8"/>
  <c r="X74" i="8" s="1"/>
  <c r="AR75" i="8"/>
  <c r="AS75" i="8"/>
  <c r="AS76" i="8"/>
  <c r="AR76" i="8"/>
  <c r="Y88" i="8"/>
  <c r="BC89" i="8"/>
  <c r="BC90" i="8"/>
  <c r="AS93" i="8"/>
  <c r="AR93" i="8"/>
  <c r="AR94" i="8"/>
  <c r="AN94" i="8"/>
  <c r="AL94" i="8" s="1"/>
  <c r="Y23" i="8"/>
  <c r="X23" i="8" s="1"/>
  <c r="Y25" i="8"/>
  <c r="X25" i="8" s="1"/>
  <c r="BF30" i="8"/>
  <c r="BF70" i="8"/>
  <c r="Y71" i="8"/>
  <c r="X71" i="8" s="1"/>
  <c r="BF72" i="8"/>
  <c r="Y73" i="8"/>
  <c r="X73" i="8" s="1"/>
  <c r="BF73" i="8"/>
  <c r="AN74" i="8"/>
  <c r="AL74" i="8" s="1"/>
  <c r="BN77" i="8"/>
  <c r="BN94" i="8"/>
  <c r="AN97" i="8"/>
  <c r="AM97" i="8" s="1"/>
  <c r="BC100" i="8"/>
  <c r="N101" i="8"/>
  <c r="BC103" i="8"/>
  <c r="N104" i="8"/>
  <c r="N25" i="8"/>
  <c r="BC79" i="8"/>
  <c r="BB79" i="8" s="1"/>
  <c r="BC84" i="8"/>
  <c r="BA84" i="8" s="1"/>
  <c r="N85" i="8"/>
  <c r="BC87" i="8"/>
  <c r="N91" i="8"/>
  <c r="BN93" i="8"/>
  <c r="N98" i="8"/>
  <c r="AD104" i="8"/>
  <c r="W37" i="8"/>
  <c r="X37" i="8"/>
  <c r="X20" i="8"/>
  <c r="W20" i="8"/>
  <c r="BF9" i="8"/>
  <c r="AR10" i="8"/>
  <c r="R11" i="8"/>
  <c r="AR11" i="8"/>
  <c r="BF11" i="8"/>
  <c r="AC12" i="8"/>
  <c r="BG12" i="8"/>
  <c r="AC13" i="8"/>
  <c r="AS14" i="8"/>
  <c r="AD16" i="8"/>
  <c r="Y19" i="8"/>
  <c r="W19" i="8" s="1"/>
  <c r="AC20" i="8"/>
  <c r="BC21" i="8"/>
  <c r="BA21" i="8" s="1"/>
  <c r="AR22" i="8"/>
  <c r="AN22" i="8" s="1"/>
  <c r="AL22" i="8" s="1"/>
  <c r="AR26" i="8"/>
  <c r="Y9" i="8"/>
  <c r="X9" i="8" s="1"/>
  <c r="BG9" i="8"/>
  <c r="R10" i="8"/>
  <c r="Y11" i="8"/>
  <c r="X11" i="8" s="1"/>
  <c r="BG11" i="8"/>
  <c r="AC15" i="8"/>
  <c r="AD18" i="8"/>
  <c r="AD20" i="8"/>
  <c r="Y22" i="8"/>
  <c r="X22" i="8" s="1"/>
  <c r="AS26" i="8"/>
  <c r="AD31" i="8"/>
  <c r="AC31" i="8"/>
  <c r="AD35" i="8"/>
  <c r="AC35" i="8"/>
  <c r="W53" i="8"/>
  <c r="X53" i="8"/>
  <c r="BA55" i="8"/>
  <c r="BB55" i="8"/>
  <c r="AM57" i="8"/>
  <c r="AL57" i="8"/>
  <c r="X60" i="8"/>
  <c r="W60" i="8"/>
  <c r="BF34" i="8"/>
  <c r="BC34" i="8"/>
  <c r="BB34" i="8" s="1"/>
  <c r="AD37" i="8"/>
  <c r="AC37" i="8"/>
  <c r="AC38" i="8"/>
  <c r="AD38" i="8"/>
  <c r="Y38" i="8"/>
  <c r="BB104" i="8"/>
  <c r="BA104" i="8"/>
  <c r="Y18" i="8"/>
  <c r="X18" i="8" s="1"/>
  <c r="BF29" i="8"/>
  <c r="BC29" i="8"/>
  <c r="AD32" i="8"/>
  <c r="AC32" i="8"/>
  <c r="BG33" i="8"/>
  <c r="BF33" i="8"/>
  <c r="Y42" i="8"/>
  <c r="W42" i="8" s="1"/>
  <c r="BN46" i="8"/>
  <c r="BC49" i="8"/>
  <c r="BB49" i="8" s="1"/>
  <c r="AN56" i="8"/>
  <c r="AM56" i="8" s="1"/>
  <c r="AN63" i="8"/>
  <c r="AM63" i="8" s="1"/>
  <c r="BC63" i="8"/>
  <c r="BA63" i="8" s="1"/>
  <c r="BC64" i="8"/>
  <c r="BA64" i="8" s="1"/>
  <c r="AC67" i="8"/>
  <c r="AD67" i="8"/>
  <c r="BF68" i="8"/>
  <c r="BG68" i="8"/>
  <c r="AC69" i="8"/>
  <c r="Y69" i="8"/>
  <c r="X69" i="8" s="1"/>
  <c r="Y81" i="8"/>
  <c r="X81" i="8" s="1"/>
  <c r="AD81" i="8"/>
  <c r="AC81" i="8"/>
  <c r="BF92" i="8"/>
  <c r="BC92" i="8"/>
  <c r="AD93" i="8"/>
  <c r="AC93" i="8"/>
  <c r="AC101" i="8"/>
  <c r="AD101" i="8"/>
  <c r="Y101" i="8"/>
  <c r="BG101" i="8"/>
  <c r="BF101" i="8"/>
  <c r="BC44" i="8"/>
  <c r="BB44" i="8" s="1"/>
  <c r="AN45" i="8"/>
  <c r="AN46" i="8"/>
  <c r="BF49" i="8"/>
  <c r="BC51" i="8"/>
  <c r="Y52" i="8"/>
  <c r="Y54" i="8"/>
  <c r="BC56" i="8"/>
  <c r="BN57" i="8"/>
  <c r="BF58" i="8"/>
  <c r="BF63" i="8"/>
  <c r="BF64" i="8"/>
  <c r="Y65" i="8"/>
  <c r="X65" i="8" s="1"/>
  <c r="AN65" i="8"/>
  <c r="AC66" i="8"/>
  <c r="AR66" i="8"/>
  <c r="AN66" i="8" s="1"/>
  <c r="AD68" i="8"/>
  <c r="AC68" i="8"/>
  <c r="AD78" i="8"/>
  <c r="AC78" i="8"/>
  <c r="AN83" i="8"/>
  <c r="AS83" i="8"/>
  <c r="AR83" i="8"/>
  <c r="BF88" i="8"/>
  <c r="BC88" i="8"/>
  <c r="BA88" i="8" s="1"/>
  <c r="AC91" i="8"/>
  <c r="Y91" i="8"/>
  <c r="X91" i="8" s="1"/>
  <c r="AD91" i="8"/>
  <c r="N32" i="8"/>
  <c r="AN40" i="8"/>
  <c r="AD42" i="8"/>
  <c r="N43" i="8"/>
  <c r="AR54" i="8"/>
  <c r="AN55" i="8"/>
  <c r="AM55" i="8" s="1"/>
  <c r="AS63" i="8"/>
  <c r="AS64" i="8"/>
  <c r="AD65" i="8"/>
  <c r="BF65" i="8"/>
  <c r="AN67" i="8"/>
  <c r="BG67" i="8"/>
  <c r="BF67" i="8"/>
  <c r="AR69" i="8"/>
  <c r="BA73" i="8"/>
  <c r="BB73" i="8"/>
  <c r="AC75" i="8"/>
  <c r="Y75" i="8"/>
  <c r="W75" i="8" s="1"/>
  <c r="BG104" i="8"/>
  <c r="BF104" i="8"/>
  <c r="Y67" i="8"/>
  <c r="W67" i="8" s="1"/>
  <c r="AS67" i="8"/>
  <c r="BC68" i="8"/>
  <c r="BB68" i="8" s="1"/>
  <c r="AD69" i="8"/>
  <c r="AN73" i="8"/>
  <c r="AS73" i="8"/>
  <c r="AR73" i="8"/>
  <c r="AR84" i="8"/>
  <c r="AN84" i="8" s="1"/>
  <c r="Y93" i="8"/>
  <c r="BC101" i="8"/>
  <c r="X103" i="8"/>
  <c r="W103" i="8"/>
  <c r="BN73" i="8"/>
  <c r="N81" i="8"/>
  <c r="Y82" i="8"/>
  <c r="Y83" i="8"/>
  <c r="W83" i="8" s="1"/>
  <c r="BC85" i="8"/>
  <c r="AN89" i="8"/>
  <c r="N90" i="8"/>
  <c r="Y92" i="8"/>
  <c r="AN93" i="8"/>
  <c r="N95" i="8"/>
  <c r="Y100" i="8"/>
  <c r="Y104" i="8"/>
  <c r="N74" i="8"/>
  <c r="N75" i="8"/>
  <c r="AM75" i="8"/>
  <c r="AK75" i="8" s="1"/>
  <c r="X76" i="8"/>
  <c r="V76" i="8" s="1"/>
  <c r="AR81" i="8"/>
  <c r="AC83" i="8"/>
  <c r="W84" i="8"/>
  <c r="Y87" i="8"/>
  <c r="W87" i="8" s="1"/>
  <c r="AS94" i="8"/>
  <c r="AD99" i="8"/>
  <c r="BN103" i="8"/>
  <c r="BN9" i="8"/>
  <c r="BN42" i="8"/>
  <c r="BN66" i="8"/>
  <c r="BN37" i="8"/>
  <c r="BN58" i="8"/>
  <c r="BN12" i="8"/>
  <c r="BN71" i="8"/>
  <c r="BN102" i="8"/>
  <c r="BN32" i="8"/>
  <c r="BN36" i="8"/>
  <c r="BN23" i="8"/>
  <c r="BN55" i="8"/>
  <c r="BN99" i="8"/>
  <c r="BN16" i="8"/>
  <c r="BN18" i="8"/>
  <c r="BN20" i="8"/>
  <c r="BN22" i="8"/>
  <c r="BN67" i="8"/>
  <c r="BN80" i="8"/>
  <c r="BN87" i="8"/>
  <c r="BN39" i="8"/>
  <c r="BN69" i="8"/>
  <c r="BN101" i="8"/>
  <c r="BN26" i="8"/>
  <c r="BN29" i="8"/>
  <c r="BN41" i="8"/>
  <c r="BN78" i="8"/>
  <c r="BN85" i="8"/>
  <c r="BN89" i="8"/>
  <c r="BN96" i="8"/>
  <c r="BN31" i="8"/>
  <c r="BN38" i="8"/>
  <c r="BN40" i="8"/>
  <c r="BN48" i="8"/>
  <c r="BN65" i="8"/>
  <c r="BN74" i="8"/>
  <c r="BN75" i="8"/>
  <c r="BN81" i="8"/>
  <c r="BN97" i="8"/>
  <c r="BN98" i="8"/>
  <c r="BN19" i="8"/>
  <c r="BN51" i="8"/>
  <c r="BN76" i="8"/>
  <c r="BN25" i="8"/>
  <c r="BN50" i="8"/>
  <c r="BN88" i="8"/>
  <c r="BN91" i="8"/>
  <c r="BN104" i="8"/>
  <c r="BN10" i="8"/>
  <c r="BN14" i="8"/>
  <c r="BN15" i="8"/>
  <c r="BN21" i="8"/>
  <c r="BN28" i="8"/>
  <c r="BN33" i="8"/>
  <c r="BN35" i="8"/>
  <c r="BN63" i="8"/>
  <c r="BN64" i="8"/>
  <c r="BN70" i="8"/>
  <c r="BN90" i="8"/>
  <c r="BN92" i="8"/>
  <c r="BN11" i="8"/>
  <c r="BN13" i="8"/>
  <c r="N15" i="8"/>
  <c r="BN49" i="8"/>
  <c r="BN95" i="8"/>
  <c r="H32" i="10"/>
  <c r="H50" i="10"/>
  <c r="H65" i="10"/>
  <c r="H31" i="10"/>
  <c r="H42" i="10"/>
  <c r="H57" i="10"/>
  <c r="K61" i="10"/>
  <c r="K62" i="10"/>
  <c r="BC12" i="8"/>
  <c r="BC13" i="8"/>
  <c r="BF10" i="8"/>
  <c r="AR12" i="8"/>
  <c r="AC14" i="8"/>
  <c r="AN12" i="8"/>
  <c r="AN13" i="8"/>
  <c r="AS13" i="8"/>
  <c r="Y14" i="8"/>
  <c r="BC15" i="8"/>
  <c r="BG15" i="8"/>
  <c r="AN19" i="8"/>
  <c r="AS20" i="8"/>
  <c r="AR20" i="8"/>
  <c r="AN20" i="8" s="1"/>
  <c r="BG20" i="8"/>
  <c r="AN21" i="8"/>
  <c r="BG23" i="8"/>
  <c r="BC23" i="8"/>
  <c r="BF23" i="8"/>
  <c r="BC26" i="8"/>
  <c r="AS31" i="8"/>
  <c r="AR31" i="8"/>
  <c r="AN31" i="8" s="1"/>
  <c r="AS34" i="8"/>
  <c r="AN34" i="8"/>
  <c r="AR34" i="8"/>
  <c r="BN34" i="8"/>
  <c r="BG37" i="8"/>
  <c r="BF37" i="8"/>
  <c r="AD28" i="8"/>
  <c r="Y28" i="8"/>
  <c r="AC28" i="8"/>
  <c r="AS30" i="8"/>
  <c r="AN30" i="8"/>
  <c r="AR30" i="8"/>
  <c r="X32" i="8"/>
  <c r="W32" i="8"/>
  <c r="AS37" i="8"/>
  <c r="AR37" i="8"/>
  <c r="AN42" i="8"/>
  <c r="AN9" i="8"/>
  <c r="Y10" i="8"/>
  <c r="AN11" i="8"/>
  <c r="Y15" i="8"/>
  <c r="AN16" i="8"/>
  <c r="BC20" i="8"/>
  <c r="AD21" i="8"/>
  <c r="Y21" i="8"/>
  <c r="AC21" i="8"/>
  <c r="AS21" i="8"/>
  <c r="AD26" i="8"/>
  <c r="Y26" i="8"/>
  <c r="AC26" i="8"/>
  <c r="BG28" i="8"/>
  <c r="BC28" i="8"/>
  <c r="BF28" i="8"/>
  <c r="AD29" i="8"/>
  <c r="Y29" i="8"/>
  <c r="AC29" i="8"/>
  <c r="BB30" i="8"/>
  <c r="BA30" i="8"/>
  <c r="BN30" i="8"/>
  <c r="AS36" i="8"/>
  <c r="AN36" i="8"/>
  <c r="AR36" i="8"/>
  <c r="BG18" i="8"/>
  <c r="BF18" i="8"/>
  <c r="BG19" i="8"/>
  <c r="BC19" i="8"/>
  <c r="BF19" i="8"/>
  <c r="AM26" i="8"/>
  <c r="AL26" i="8"/>
  <c r="BB33" i="8"/>
  <c r="BA33" i="8"/>
  <c r="BN47" i="8"/>
  <c r="AR23" i="8"/>
  <c r="AR25" i="8"/>
  <c r="AC30" i="8"/>
  <c r="BF31" i="8"/>
  <c r="BF32" i="8"/>
  <c r="AC33" i="8"/>
  <c r="AC34" i="8"/>
  <c r="AD39" i="8"/>
  <c r="Y39" i="8"/>
  <c r="N46" i="8"/>
  <c r="AN23" i="8"/>
  <c r="Y30" i="8"/>
  <c r="BC31" i="8"/>
  <c r="BC32" i="8"/>
  <c r="Y34" i="8"/>
  <c r="Y36" i="8"/>
  <c r="AC40" i="8"/>
  <c r="BG40" i="8"/>
  <c r="BC40" i="8"/>
  <c r="AS41" i="8"/>
  <c r="AN41" i="8"/>
  <c r="AS44" i="8"/>
  <c r="AN44" i="8"/>
  <c r="AR44" i="8"/>
  <c r="AS49" i="8"/>
  <c r="AN49" i="8"/>
  <c r="AR49" i="8"/>
  <c r="BG38" i="8"/>
  <c r="BC38" i="8"/>
  <c r="BN44" i="8"/>
  <c r="AS47" i="8"/>
  <c r="AN47" i="8"/>
  <c r="AR47" i="8"/>
  <c r="Y59" i="8"/>
  <c r="AN43" i="8"/>
  <c r="AS43" i="8"/>
  <c r="BC45" i="8"/>
  <c r="BG45" i="8"/>
  <c r="BN45" i="8"/>
  <c r="BC46" i="8"/>
  <c r="BG46" i="8"/>
  <c r="Y47" i="8"/>
  <c r="AD47" i="8"/>
  <c r="BC48" i="8"/>
  <c r="BG48" i="8"/>
  <c r="Y49" i="8"/>
  <c r="AD49" i="8"/>
  <c r="AN50" i="8"/>
  <c r="AS50" i="8"/>
  <c r="BF50" i="8"/>
  <c r="AC51" i="8"/>
  <c r="Y51" i="8" s="1"/>
  <c r="AN52" i="8"/>
  <c r="AS52" i="8"/>
  <c r="BF52" i="8"/>
  <c r="AN53" i="8"/>
  <c r="BF53" i="8"/>
  <c r="AN54" i="8"/>
  <c r="BF54" i="8"/>
  <c r="AC55" i="8"/>
  <c r="AS56" i="8"/>
  <c r="BN59" i="8"/>
  <c r="AD61" i="8"/>
  <c r="Y61" i="8"/>
  <c r="AC61" i="8"/>
  <c r="AS61" i="8"/>
  <c r="AN64" i="8"/>
  <c r="AS72" i="8"/>
  <c r="AN72" i="8"/>
  <c r="AR72" i="8"/>
  <c r="BC50" i="8"/>
  <c r="BC52" i="8"/>
  <c r="BC53" i="8"/>
  <c r="BC54" i="8"/>
  <c r="Y55" i="8"/>
  <c r="Y56" i="8"/>
  <c r="BN56" i="8"/>
  <c r="AR58" i="8"/>
  <c r="BG59" i="8"/>
  <c r="BG60" i="8"/>
  <c r="N62" i="8"/>
  <c r="BG62" i="8"/>
  <c r="BC62" i="8"/>
  <c r="BF62" i="8"/>
  <c r="AS70" i="8"/>
  <c r="AN70" i="8"/>
  <c r="AR70" i="8"/>
  <c r="BB72" i="8"/>
  <c r="BA72" i="8"/>
  <c r="BN72" i="8"/>
  <c r="AD64" i="8"/>
  <c r="Y64" i="8"/>
  <c r="AC64" i="8"/>
  <c r="BB70" i="8"/>
  <c r="BA70" i="8"/>
  <c r="BG57" i="8"/>
  <c r="BC57" i="8"/>
  <c r="AD58" i="8"/>
  <c r="Y58" i="8"/>
  <c r="AS59" i="8"/>
  <c r="AN59" i="8"/>
  <c r="AS60" i="8"/>
  <c r="AN60" i="8"/>
  <c r="AD63" i="8"/>
  <c r="Y63" i="8"/>
  <c r="AC63" i="8"/>
  <c r="AS68" i="8"/>
  <c r="AN68" i="8"/>
  <c r="AR68" i="8"/>
  <c r="BN68" i="8"/>
  <c r="BF71" i="8"/>
  <c r="AC72" i="8"/>
  <c r="AD77" i="8"/>
  <c r="AC77" i="8"/>
  <c r="AN62" i="8"/>
  <c r="BC65" i="8"/>
  <c r="BC67" i="8"/>
  <c r="Y68" i="8"/>
  <c r="BC69" i="8"/>
  <c r="Y70" i="8"/>
  <c r="BC71" i="8"/>
  <c r="Y72" i="8"/>
  <c r="AD73" i="8"/>
  <c r="AD75" i="8"/>
  <c r="BF76" i="8"/>
  <c r="BG76" i="8"/>
  <c r="BC76" i="8"/>
  <c r="Y77" i="8"/>
  <c r="AN78" i="8"/>
  <c r="AS78" i="8"/>
  <c r="BF78" i="8"/>
  <c r="Y79" i="8"/>
  <c r="AD79" i="8"/>
  <c r="AR79" i="8"/>
  <c r="BC80" i="8"/>
  <c r="BG80" i="8"/>
  <c r="BC81" i="8"/>
  <c r="BG81" i="8"/>
  <c r="N83" i="8"/>
  <c r="BG95" i="8"/>
  <c r="BC95" i="8"/>
  <c r="BF95" i="8"/>
  <c r="BC78" i="8"/>
  <c r="AN79" i="8"/>
  <c r="BG82" i="8"/>
  <c r="BC82" i="8"/>
  <c r="BG83" i="8"/>
  <c r="BC83" i="8"/>
  <c r="BF83" i="8"/>
  <c r="BG98" i="8"/>
  <c r="BC98" i="8"/>
  <c r="BF98" i="8"/>
  <c r="AD85" i="8"/>
  <c r="AC85" i="8"/>
  <c r="Y85" i="8" s="1"/>
  <c r="BC75" i="8"/>
  <c r="AN76" i="8"/>
  <c r="BC77" i="8"/>
  <c r="Y78" i="8"/>
  <c r="AN80" i="8"/>
  <c r="AN81" i="8"/>
  <c r="N84" i="8"/>
  <c r="X84" i="8"/>
  <c r="AS84" i="8"/>
  <c r="AD87" i="8"/>
  <c r="AS88" i="8"/>
  <c r="AN88" i="8"/>
  <c r="AR88" i="8"/>
  <c r="BG88" i="8"/>
  <c r="X89" i="8"/>
  <c r="W89" i="8"/>
  <c r="BG92" i="8"/>
  <c r="BG93" i="8"/>
  <c r="BC93" i="8"/>
  <c r="BG97" i="8"/>
  <c r="BC97" i="8"/>
  <c r="AD98" i="8"/>
  <c r="Y98" i="8"/>
  <c r="AS99" i="8"/>
  <c r="AS100" i="8"/>
  <c r="AS101" i="8"/>
  <c r="AS102" i="8"/>
  <c r="AS103" i="8"/>
  <c r="AN103" i="8"/>
  <c r="AS104" i="8"/>
  <c r="AS92" i="8"/>
  <c r="AN92" i="8"/>
  <c r="BG94" i="8"/>
  <c r="BC94" i="8"/>
  <c r="AD95" i="8"/>
  <c r="Y95" i="8"/>
  <c r="BG96" i="8"/>
  <c r="BC96" i="8"/>
  <c r="AD97" i="8"/>
  <c r="Y97" i="8"/>
  <c r="AD94" i="8"/>
  <c r="Y94" i="8"/>
  <c r="AD96" i="8"/>
  <c r="Y96" i="8"/>
  <c r="AK101" i="8"/>
  <c r="AR104" i="8"/>
  <c r="AN104" i="8" s="1"/>
  <c r="T4" i="7"/>
  <c r="U4" i="7"/>
  <c r="V4" i="7"/>
  <c r="W4" i="7"/>
  <c r="X4" i="7"/>
  <c r="Y4" i="7"/>
  <c r="Z4" i="7"/>
  <c r="AA4" i="7"/>
  <c r="AB4" i="7"/>
  <c r="AC4" i="7"/>
  <c r="AD4" i="7"/>
  <c r="AE4" i="7"/>
  <c r="AF4" i="7"/>
  <c r="AG4" i="7"/>
  <c r="AH4" i="7"/>
  <c r="AI4" i="7"/>
  <c r="AJ4" i="7"/>
  <c r="AK4" i="7"/>
  <c r="AL4" i="7"/>
  <c r="AM4" i="7"/>
  <c r="AN4" i="7"/>
  <c r="AO4" i="7"/>
  <c r="AP4" i="7"/>
  <c r="AQ4" i="7"/>
  <c r="AR4" i="7"/>
  <c r="AS4" i="7"/>
  <c r="AT4" i="7"/>
  <c r="AU4" i="7"/>
  <c r="AV4" i="7"/>
  <c r="AW4" i="7"/>
  <c r="AX4" i="7"/>
  <c r="AY4" i="7"/>
  <c r="AZ4" i="7"/>
  <c r="BA4" i="7"/>
  <c r="BB4"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T6" i="7"/>
  <c r="U6" i="7"/>
  <c r="V6" i="7"/>
  <c r="W6" i="7"/>
  <c r="X6" i="7"/>
  <c r="Y6" i="7"/>
  <c r="Z6" i="7"/>
  <c r="AA6" i="7"/>
  <c r="AB6" i="7"/>
  <c r="AC6" i="7"/>
  <c r="AD6" i="7"/>
  <c r="AE6" i="7"/>
  <c r="AF6" i="7"/>
  <c r="AG6" i="7"/>
  <c r="AH6" i="7"/>
  <c r="AI6" i="7"/>
  <c r="AJ6" i="7"/>
  <c r="AK6" i="7"/>
  <c r="AL6" i="7"/>
  <c r="AM6" i="7"/>
  <c r="AN6" i="7"/>
  <c r="AO6" i="7"/>
  <c r="AP6" i="7"/>
  <c r="AQ6" i="7"/>
  <c r="AR6" i="7"/>
  <c r="AS6" i="7"/>
  <c r="AT6" i="7"/>
  <c r="AU6" i="7"/>
  <c r="AV6" i="7"/>
  <c r="AW6" i="7"/>
  <c r="AX6" i="7"/>
  <c r="AY6" i="7"/>
  <c r="AZ6" i="7"/>
  <c r="BA6" i="7"/>
  <c r="BB6" i="7"/>
  <c r="T7" i="7"/>
  <c r="U7" i="7"/>
  <c r="V7" i="7"/>
  <c r="W7" i="7"/>
  <c r="X7" i="7"/>
  <c r="Y7" i="7"/>
  <c r="Z7" i="7"/>
  <c r="AA7" i="7"/>
  <c r="AB7" i="7"/>
  <c r="AC7" i="7"/>
  <c r="AD7" i="7"/>
  <c r="AE7" i="7"/>
  <c r="AF7" i="7"/>
  <c r="AH7" i="7"/>
  <c r="AI7" i="7"/>
  <c r="AJ7" i="7"/>
  <c r="AK7" i="7"/>
  <c r="AL7" i="7"/>
  <c r="AM7" i="7"/>
  <c r="AN7" i="7"/>
  <c r="AO7" i="7"/>
  <c r="AP7" i="7"/>
  <c r="AQ7" i="7"/>
  <c r="AR7" i="7"/>
  <c r="AS7" i="7"/>
  <c r="AT7" i="7"/>
  <c r="AU7" i="7"/>
  <c r="AV7" i="7"/>
  <c r="AZ7" i="7"/>
  <c r="BA7" i="7"/>
  <c r="BB7" i="7"/>
  <c r="T8" i="7"/>
  <c r="U8" i="7"/>
  <c r="W8" i="7"/>
  <c r="W12" i="7" s="1"/>
  <c r="Y8" i="7"/>
  <c r="Z8" i="7"/>
  <c r="AA8" i="7"/>
  <c r="AB8" i="7"/>
  <c r="AC8" i="7"/>
  <c r="AD8" i="7"/>
  <c r="AE8" i="7"/>
  <c r="AF8" i="7"/>
  <c r="AG8" i="7"/>
  <c r="AH8" i="7"/>
  <c r="AI8" i="7"/>
  <c r="AI12" i="7" s="1"/>
  <c r="AJ8" i="7"/>
  <c r="AZ8" i="7"/>
  <c r="BA8" i="7"/>
  <c r="BB8" i="7"/>
  <c r="T9" i="7"/>
  <c r="U9" i="7"/>
  <c r="AB9" i="7"/>
  <c r="AC9" i="7"/>
  <c r="AD9" i="7"/>
  <c r="AE9" i="7"/>
  <c r="AF9" i="7"/>
  <c r="AM9" i="7"/>
  <c r="AV9" i="7"/>
  <c r="S7" i="7"/>
  <c r="T836" i="7"/>
  <c r="AJ9" i="7" s="1"/>
  <c r="T835" i="7"/>
  <c r="AI9" i="7" s="1"/>
  <c r="T834" i="7"/>
  <c r="AH9" i="7" s="1"/>
  <c r="T824" i="7"/>
  <c r="AA9" i="7" s="1"/>
  <c r="T823" i="7"/>
  <c r="Z9" i="7" s="1"/>
  <c r="T822" i="7"/>
  <c r="Y9" i="7" s="1"/>
  <c r="Y13" i="7" s="1"/>
  <c r="T820" i="7"/>
  <c r="W9" i="7" s="1"/>
  <c r="T816" i="7"/>
  <c r="S9" i="7" s="1"/>
  <c r="S816" i="7"/>
  <c r="S8" i="7" s="1"/>
  <c r="R836" i="7"/>
  <c r="BB9" i="7" s="1"/>
  <c r="R835" i="7"/>
  <c r="BA9" i="7" s="1"/>
  <c r="R827" i="7"/>
  <c r="AU9" i="7" s="1"/>
  <c r="R826" i="7"/>
  <c r="AT9" i="7" s="1"/>
  <c r="R825" i="7"/>
  <c r="AS9" i="7" s="1"/>
  <c r="R824" i="7"/>
  <c r="AR9" i="7" s="1"/>
  <c r="R823" i="7"/>
  <c r="AQ9" i="7" s="1"/>
  <c r="R822" i="7"/>
  <c r="AP9" i="7" s="1"/>
  <c r="R819" i="7"/>
  <c r="AN9" i="7" s="1"/>
  <c r="R817" i="7"/>
  <c r="AL9" i="7" s="1"/>
  <c r="R816" i="7"/>
  <c r="AK9" i="7" s="1"/>
  <c r="AK13" i="7" s="1"/>
  <c r="Q832" i="7"/>
  <c r="AX8" i="7" s="1"/>
  <c r="Q831" i="7"/>
  <c r="AW8" i="7" s="1"/>
  <c r="Q829" i="7"/>
  <c r="AV8" i="7" s="1"/>
  <c r="Q827" i="7"/>
  <c r="AU8" i="7" s="1"/>
  <c r="Q826" i="7"/>
  <c r="AT8" i="7" s="1"/>
  <c r="Q825" i="7"/>
  <c r="AS8" i="7" s="1"/>
  <c r="AS10" i="7" s="1"/>
  <c r="Q824" i="7"/>
  <c r="AR8" i="7" s="1"/>
  <c r="Q823" i="7"/>
  <c r="AQ8" i="7" s="1"/>
  <c r="Q822" i="7"/>
  <c r="AP8" i="7" s="1"/>
  <c r="Q817" i="7"/>
  <c r="AL8" i="7" s="1"/>
  <c r="Q818" i="7"/>
  <c r="AM8" i="7" s="1"/>
  <c r="Q819" i="7"/>
  <c r="AN8" i="7" s="1"/>
  <c r="Q820" i="7"/>
  <c r="AO8" i="7" s="1"/>
  <c r="Q816" i="7"/>
  <c r="AK8" i="7" s="1"/>
  <c r="R834" i="7"/>
  <c r="AZ9" i="7" s="1"/>
  <c r="R833" i="7"/>
  <c r="AY9" i="7" s="1"/>
  <c r="Q833" i="7"/>
  <c r="AY8" i="7" s="1"/>
  <c r="R832" i="7"/>
  <c r="AX9" i="7" s="1"/>
  <c r="R831" i="7"/>
  <c r="AW9" i="7" s="1"/>
  <c r="T830" i="7"/>
  <c r="AG9" i="7" s="1"/>
  <c r="R820" i="7"/>
  <c r="AO9" i="7" s="1"/>
  <c r="S819" i="7"/>
  <c r="S821" i="7" s="1"/>
  <c r="X8" i="7" s="1"/>
  <c r="Y833" i="7"/>
  <c r="AY7" i="7" s="1"/>
  <c r="AX7" i="7"/>
  <c r="AW7" i="7"/>
  <c r="Y830" i="7"/>
  <c r="AG7" i="7" s="1"/>
  <c r="BB102" i="8" l="1"/>
  <c r="AN101" i="8"/>
  <c r="X11" i="7"/>
  <c r="AG10" i="7"/>
  <c r="Y10" i="7"/>
  <c r="BB11" i="7"/>
  <c r="BB511" i="7" s="1" a="1"/>
  <c r="BB511" i="7" s="1"/>
  <c r="AN13" i="7"/>
  <c r="AN812" i="7" s="1" a="1"/>
  <c r="AN812" i="7" s="1"/>
  <c r="BA11" i="7"/>
  <c r="BA511" i="7" s="1" a="1"/>
  <c r="BA511" i="7" s="1"/>
  <c r="Z13" i="7"/>
  <c r="BC10" i="8"/>
  <c r="AN102" i="8"/>
  <c r="AM87" i="8"/>
  <c r="AK87" i="8" s="1"/>
  <c r="W80" i="8"/>
  <c r="V80" i="8" s="1"/>
  <c r="BN43" i="8"/>
  <c r="AK102" i="8"/>
  <c r="AN37" i="8"/>
  <c r="BB61" i="8"/>
  <c r="BB74" i="8"/>
  <c r="AZ74" i="8" s="1"/>
  <c r="X90" i="8"/>
  <c r="V90" i="8" s="1"/>
  <c r="AN25" i="8"/>
  <c r="AL100" i="8"/>
  <c r="AM100" i="8"/>
  <c r="X67" i="8"/>
  <c r="V67" i="8" s="1"/>
  <c r="W71" i="8"/>
  <c r="V71" i="8" s="1"/>
  <c r="W74" i="8"/>
  <c r="V74" i="8" s="1"/>
  <c r="W22" i="8"/>
  <c r="V22" i="8" s="1"/>
  <c r="AM35" i="8"/>
  <c r="AM58" i="8"/>
  <c r="AK58" i="8" s="1"/>
  <c r="X75" i="8"/>
  <c r="V75" i="8" s="1"/>
  <c r="W91" i="8"/>
  <c r="V91" i="8" s="1"/>
  <c r="AL29" i="8"/>
  <c r="AK29" i="8" s="1"/>
  <c r="X45" i="8"/>
  <c r="V45" i="8" s="1"/>
  <c r="AZ104" i="8"/>
  <c r="AL55" i="8"/>
  <c r="AK55" i="8" s="1"/>
  <c r="BC36" i="8"/>
  <c r="BB36" i="8" s="1"/>
  <c r="AM91" i="8"/>
  <c r="AK91" i="8" s="1"/>
  <c r="AM94" i="8"/>
  <c r="AK94" i="8" s="1"/>
  <c r="BB88" i="8"/>
  <c r="AZ88" i="8" s="1"/>
  <c r="BB64" i="8"/>
  <c r="AZ64" i="8" s="1"/>
  <c r="BA58" i="8"/>
  <c r="AZ58" i="8" s="1"/>
  <c r="AM69" i="8"/>
  <c r="AK69" i="8" s="1"/>
  <c r="X57" i="8"/>
  <c r="V57" i="8" s="1"/>
  <c r="AZ61" i="8"/>
  <c r="AJ13" i="7"/>
  <c r="AL32" i="8"/>
  <c r="AK32" i="8" s="1"/>
  <c r="W50" i="8"/>
  <c r="AV13" i="7"/>
  <c r="AV802" i="7" s="1" a="1"/>
  <c r="AV802" i="7" s="1"/>
  <c r="AJ10" i="7"/>
  <c r="AL61" i="8"/>
  <c r="AK61" i="8" s="1"/>
  <c r="X50" i="8"/>
  <c r="X62" i="8"/>
  <c r="V62" i="8" s="1"/>
  <c r="AN38" i="8"/>
  <c r="AR12" i="7"/>
  <c r="AR671" i="7" s="1" a="1"/>
  <c r="AR671" i="7" s="1"/>
  <c r="AL13" i="7"/>
  <c r="AL795" i="7" s="1" a="1"/>
  <c r="AL795" i="7" s="1"/>
  <c r="BB63" i="8"/>
  <c r="AZ63" i="8" s="1"/>
  <c r="BN54" i="8"/>
  <c r="X16" i="8"/>
  <c r="V16" i="8" s="1"/>
  <c r="AM22" i="8"/>
  <c r="AK22" i="8" s="1"/>
  <c r="BA25" i="8"/>
  <c r="V41" i="8"/>
  <c r="S13" i="7"/>
  <c r="AZ10" i="7"/>
  <c r="AZ310" i="7" s="1" a="1"/>
  <c r="AZ310" i="7" s="1"/>
  <c r="AL33" i="8"/>
  <c r="BB43" i="8"/>
  <c r="AZ43" i="8" s="1"/>
  <c r="AO13" i="7"/>
  <c r="AO803" i="7" s="1" a="1"/>
  <c r="AO803" i="7" s="1"/>
  <c r="W13" i="8"/>
  <c r="V13" i="8" s="1"/>
  <c r="AQ13" i="7"/>
  <c r="AQ800" i="7" s="1" a="1"/>
  <c r="AQ800" i="7" s="1"/>
  <c r="AA13" i="7"/>
  <c r="AE13" i="7"/>
  <c r="AR13" i="7"/>
  <c r="AR731" i="7" s="1" a="1"/>
  <c r="AR731" i="7" s="1"/>
  <c r="AD13" i="7"/>
  <c r="BA49" i="8"/>
  <c r="AZ49" i="8" s="1"/>
  <c r="BA47" i="8"/>
  <c r="AZ47" i="8" s="1"/>
  <c r="AM14" i="8"/>
  <c r="AK14" i="8" s="1"/>
  <c r="AM82" i="8"/>
  <c r="AK82" i="8" s="1"/>
  <c r="AB13" i="7"/>
  <c r="AL66" i="8"/>
  <c r="AM33" i="8"/>
  <c r="AU12" i="7"/>
  <c r="AU675" i="7" s="1" a="1"/>
  <c r="AU675" i="7" s="1"/>
  <c r="AC11" i="7"/>
  <c r="AM66" i="8"/>
  <c r="AZ13" i="7"/>
  <c r="AV12" i="7"/>
  <c r="BA13" i="7"/>
  <c r="BA812" i="7" s="1" a="1"/>
  <c r="BA812" i="7" s="1"/>
  <c r="AB10" i="7"/>
  <c r="AM74" i="8"/>
  <c r="AK74" i="8" s="1"/>
  <c r="BC35" i="8"/>
  <c r="BB35" i="8" s="1"/>
  <c r="BB25" i="8"/>
  <c r="BN53" i="8"/>
  <c r="BB13" i="7"/>
  <c r="BB810" i="7" s="1" a="1"/>
  <c r="BB810" i="7" s="1"/>
  <c r="AA12" i="7"/>
  <c r="BA79" i="8"/>
  <c r="AZ79" i="8" s="1"/>
  <c r="BA99" i="8"/>
  <c r="AZ99" i="8" s="1"/>
  <c r="V103" i="8"/>
  <c r="W18" i="8"/>
  <c r="V18" i="8" s="1"/>
  <c r="BA34" i="8"/>
  <c r="AZ34" i="8" s="1"/>
  <c r="AM85" i="8"/>
  <c r="AL10" i="8"/>
  <c r="AK10" i="8" s="1"/>
  <c r="AM95" i="8"/>
  <c r="AK95" i="8" s="1"/>
  <c r="BA44" i="8"/>
  <c r="AZ44" i="8" s="1"/>
  <c r="X42" i="8"/>
  <c r="V42" i="8" s="1"/>
  <c r="AL96" i="8"/>
  <c r="AK96" i="8" s="1"/>
  <c r="AL85" i="8"/>
  <c r="AK85" i="8" s="1"/>
  <c r="V60" i="8"/>
  <c r="AZ55" i="8"/>
  <c r="AL35" i="8"/>
  <c r="V102" i="8"/>
  <c r="V20" i="8"/>
  <c r="AZ102" i="8"/>
  <c r="AZ73" i="8"/>
  <c r="AK57" i="8"/>
  <c r="V53" i="8"/>
  <c r="AL97" i="8"/>
  <c r="AK97" i="8" s="1"/>
  <c r="X87" i="8"/>
  <c r="V87" i="8" s="1"/>
  <c r="Y35" i="8"/>
  <c r="X35" i="8" s="1"/>
  <c r="BN52" i="8"/>
  <c r="AZ39" i="8"/>
  <c r="BN61" i="8"/>
  <c r="AM77" i="8"/>
  <c r="AK77" i="8" s="1"/>
  <c r="BB66" i="8"/>
  <c r="AZ66" i="8" s="1"/>
  <c r="AK18" i="8"/>
  <c r="BA42" i="8"/>
  <c r="BB42" i="8"/>
  <c r="W11" i="8"/>
  <c r="V11" i="8" s="1"/>
  <c r="AM40" i="8"/>
  <c r="X83" i="8"/>
  <c r="V83" i="8" s="1"/>
  <c r="W81" i="8"/>
  <c r="V81" i="8" s="1"/>
  <c r="AL56" i="8"/>
  <c r="AK56" i="8" s="1"/>
  <c r="BB21" i="8"/>
  <c r="AZ21" i="8" s="1"/>
  <c r="W9" i="8"/>
  <c r="V9" i="8" s="1"/>
  <c r="W99" i="8"/>
  <c r="V99" i="8" s="1"/>
  <c r="BA41" i="8"/>
  <c r="AZ41" i="8" s="1"/>
  <c r="W12" i="8"/>
  <c r="V12" i="8" s="1"/>
  <c r="W23" i="8"/>
  <c r="V23" i="8" s="1"/>
  <c r="Y66" i="8"/>
  <c r="V37" i="8"/>
  <c r="W69" i="8"/>
  <c r="V69" i="8" s="1"/>
  <c r="BA60" i="8"/>
  <c r="AZ60" i="8" s="1"/>
  <c r="AL51" i="8"/>
  <c r="AK51" i="8" s="1"/>
  <c r="Y48" i="8"/>
  <c r="W48" i="8" s="1"/>
  <c r="BA16" i="8"/>
  <c r="AZ16" i="8" s="1"/>
  <c r="BA91" i="8"/>
  <c r="BB91" i="8"/>
  <c r="AM90" i="8"/>
  <c r="AK90" i="8" s="1"/>
  <c r="AL63" i="8"/>
  <c r="AK63" i="8" s="1"/>
  <c r="AL39" i="8"/>
  <c r="BC14" i="8"/>
  <c r="BB14" i="8" s="1"/>
  <c r="AL40" i="8"/>
  <c r="AL48" i="8"/>
  <c r="AK48" i="8" s="1"/>
  <c r="W73" i="8"/>
  <c r="V73" i="8" s="1"/>
  <c r="W65" i="8"/>
  <c r="V65" i="8" s="1"/>
  <c r="BA68" i="8"/>
  <c r="AZ68" i="8" s="1"/>
  <c r="W46" i="8"/>
  <c r="V46" i="8" s="1"/>
  <c r="Y44" i="8"/>
  <c r="BB84" i="8"/>
  <c r="AZ84" i="8" s="1"/>
  <c r="X43" i="8"/>
  <c r="AM39" i="8"/>
  <c r="W25" i="8"/>
  <c r="V25" i="8" s="1"/>
  <c r="BA59" i="8"/>
  <c r="AZ59" i="8" s="1"/>
  <c r="X19" i="8"/>
  <c r="V19" i="8" s="1"/>
  <c r="W43" i="8"/>
  <c r="BB103" i="8"/>
  <c r="BA103" i="8"/>
  <c r="BB90" i="8"/>
  <c r="BA90" i="8"/>
  <c r="BA89" i="8"/>
  <c r="BB89" i="8"/>
  <c r="BB22" i="8"/>
  <c r="BA22" i="8"/>
  <c r="AM71" i="8"/>
  <c r="AL71" i="8"/>
  <c r="BB87" i="8"/>
  <c r="BA87" i="8"/>
  <c r="BB100" i="8"/>
  <c r="BA100" i="8"/>
  <c r="X88" i="8"/>
  <c r="W88" i="8"/>
  <c r="Y33" i="8"/>
  <c r="X33" i="8" s="1"/>
  <c r="AM98" i="8"/>
  <c r="AL98" i="8"/>
  <c r="AL93" i="8"/>
  <c r="AM93" i="8"/>
  <c r="W93" i="8"/>
  <c r="X93" i="8"/>
  <c r="AL67" i="8"/>
  <c r="AM67" i="8"/>
  <c r="AL83" i="8"/>
  <c r="AM83" i="8"/>
  <c r="W54" i="8"/>
  <c r="X54" i="8"/>
  <c r="BB92" i="8"/>
  <c r="BA92" i="8"/>
  <c r="X104" i="8"/>
  <c r="W104" i="8"/>
  <c r="W92" i="8"/>
  <c r="X92" i="8"/>
  <c r="BA85" i="8"/>
  <c r="BB85" i="8"/>
  <c r="BB101" i="8"/>
  <c r="BA101" i="8"/>
  <c r="AL73" i="8"/>
  <c r="AM73" i="8"/>
  <c r="W52" i="8"/>
  <c r="X52" i="8"/>
  <c r="Y31" i="8"/>
  <c r="X100" i="8"/>
  <c r="W100" i="8"/>
  <c r="AM84" i="8"/>
  <c r="AL84" i="8"/>
  <c r="AL65" i="8"/>
  <c r="AM65" i="8"/>
  <c r="BA56" i="8"/>
  <c r="BB56" i="8"/>
  <c r="BA51" i="8"/>
  <c r="BB51" i="8"/>
  <c r="AL46" i="8"/>
  <c r="AM46" i="8"/>
  <c r="W38" i="8"/>
  <c r="X38" i="8"/>
  <c r="BC11" i="8"/>
  <c r="AL89" i="8"/>
  <c r="AM89" i="8"/>
  <c r="W82" i="8"/>
  <c r="X82" i="8"/>
  <c r="AL45" i="8"/>
  <c r="AM45" i="8"/>
  <c r="X101" i="8"/>
  <c r="W101" i="8"/>
  <c r="BB29" i="8"/>
  <c r="BA29" i="8"/>
  <c r="BC9" i="8"/>
  <c r="BN60" i="8"/>
  <c r="V84" i="8"/>
  <c r="AZ72" i="8"/>
  <c r="AM20" i="8"/>
  <c r="AL20" i="8"/>
  <c r="X94" i="8"/>
  <c r="W94" i="8"/>
  <c r="BA96" i="8"/>
  <c r="BB96" i="8"/>
  <c r="BA94" i="8"/>
  <c r="BB94" i="8"/>
  <c r="W98" i="8"/>
  <c r="X98" i="8"/>
  <c r="BB93" i="8"/>
  <c r="BA93" i="8"/>
  <c r="X78" i="8"/>
  <c r="W78" i="8"/>
  <c r="BA78" i="8"/>
  <c r="BB78" i="8"/>
  <c r="BA95" i="8"/>
  <c r="BB95" i="8"/>
  <c r="BB81" i="8"/>
  <c r="BA81" i="8"/>
  <c r="AM78" i="8"/>
  <c r="AL78" i="8"/>
  <c r="BB76" i="8"/>
  <c r="BA76" i="8"/>
  <c r="BB71" i="8"/>
  <c r="BA71" i="8"/>
  <c r="BB67" i="8"/>
  <c r="BA67" i="8"/>
  <c r="X64" i="8"/>
  <c r="W64" i="8"/>
  <c r="BA54" i="8"/>
  <c r="BB54" i="8"/>
  <c r="BA50" i="8"/>
  <c r="BB50" i="8"/>
  <c r="AM72" i="8"/>
  <c r="AL72" i="8"/>
  <c r="BN62" i="8"/>
  <c r="BB48" i="8"/>
  <c r="BA48" i="8"/>
  <c r="X47" i="8"/>
  <c r="W47" i="8"/>
  <c r="W59" i="8"/>
  <c r="X59" i="8"/>
  <c r="AL47" i="8"/>
  <c r="AM47" i="8"/>
  <c r="BB40" i="8"/>
  <c r="BA40" i="8"/>
  <c r="X34" i="8"/>
  <c r="W34" i="8"/>
  <c r="X30" i="8"/>
  <c r="W30" i="8"/>
  <c r="AM23" i="8"/>
  <c r="AL23" i="8"/>
  <c r="X39" i="8"/>
  <c r="W39" i="8"/>
  <c r="AZ33" i="8"/>
  <c r="BB19" i="8"/>
  <c r="BA19" i="8"/>
  <c r="AM36" i="8"/>
  <c r="AL36" i="8"/>
  <c r="X15" i="8"/>
  <c r="W15" i="8"/>
  <c r="V32" i="8"/>
  <c r="W14" i="8"/>
  <c r="X14" i="8"/>
  <c r="W96" i="8"/>
  <c r="X96" i="8"/>
  <c r="BB77" i="8"/>
  <c r="BA77" i="8"/>
  <c r="X85" i="8"/>
  <c r="W85" i="8"/>
  <c r="BA98" i="8"/>
  <c r="BB98" i="8"/>
  <c r="BB82" i="8"/>
  <c r="BA82" i="8"/>
  <c r="BB80" i="8"/>
  <c r="BA80" i="8"/>
  <c r="X79" i="8"/>
  <c r="W79" i="8"/>
  <c r="X70" i="8"/>
  <c r="W70" i="8"/>
  <c r="AM59" i="8"/>
  <c r="AL59" i="8"/>
  <c r="BB57" i="8"/>
  <c r="BA57" i="8"/>
  <c r="AZ70" i="8"/>
  <c r="BA53" i="8"/>
  <c r="BB53" i="8"/>
  <c r="AM53" i="8"/>
  <c r="AL53" i="8"/>
  <c r="AM52" i="8"/>
  <c r="AL52" i="8"/>
  <c r="AM50" i="8"/>
  <c r="AL50" i="8"/>
  <c r="X36" i="8"/>
  <c r="W36" i="8"/>
  <c r="AK26" i="8"/>
  <c r="AZ30" i="8"/>
  <c r="BB28" i="8"/>
  <c r="BA28" i="8"/>
  <c r="X21" i="8"/>
  <c r="W21" i="8"/>
  <c r="AM9" i="8"/>
  <c r="AL9" i="8"/>
  <c r="AL42" i="8"/>
  <c r="AM42" i="8"/>
  <c r="BC37" i="8"/>
  <c r="AM21" i="8"/>
  <c r="AL21" i="8"/>
  <c r="W97" i="8"/>
  <c r="X97" i="8"/>
  <c r="W95" i="8"/>
  <c r="X95" i="8"/>
  <c r="AM92" i="8"/>
  <c r="AL92" i="8"/>
  <c r="AL103" i="8"/>
  <c r="AM103" i="8"/>
  <c r="BA97" i="8"/>
  <c r="BB97" i="8"/>
  <c r="V89" i="8"/>
  <c r="AM88" i="8"/>
  <c r="AL88" i="8"/>
  <c r="AM81" i="8"/>
  <c r="AL81" i="8"/>
  <c r="AM76" i="8"/>
  <c r="AL76" i="8"/>
  <c r="W77" i="8"/>
  <c r="X77" i="8"/>
  <c r="BB69" i="8"/>
  <c r="BA69" i="8"/>
  <c r="BB65" i="8"/>
  <c r="BA65" i="8"/>
  <c r="AM68" i="8"/>
  <c r="AL68" i="8"/>
  <c r="BB62" i="8"/>
  <c r="BA62" i="8"/>
  <c r="W56" i="8"/>
  <c r="X56" i="8"/>
  <c r="BA52" i="8"/>
  <c r="BB52" i="8"/>
  <c r="AM54" i="8"/>
  <c r="AL54" i="8"/>
  <c r="X51" i="8"/>
  <c r="W51" i="8"/>
  <c r="X49" i="8"/>
  <c r="W49" i="8"/>
  <c r="BB46" i="8"/>
  <c r="BA46" i="8"/>
  <c r="BB45" i="8"/>
  <c r="BA45" i="8"/>
  <c r="AM43" i="8"/>
  <c r="AL43" i="8"/>
  <c r="AL44" i="8"/>
  <c r="AM44" i="8"/>
  <c r="AM41" i="8"/>
  <c r="AL41" i="8"/>
  <c r="BB32" i="8"/>
  <c r="BA32" i="8"/>
  <c r="X29" i="8"/>
  <c r="W29" i="8"/>
  <c r="AM11" i="8"/>
  <c r="AL11" i="8"/>
  <c r="X28" i="8"/>
  <c r="W28" i="8"/>
  <c r="BA26" i="8"/>
  <c r="BB26" i="8"/>
  <c r="BB23" i="8"/>
  <c r="BA23" i="8"/>
  <c r="BB15" i="8"/>
  <c r="BA15" i="8"/>
  <c r="AL13" i="8"/>
  <c r="AM13" i="8"/>
  <c r="BB13" i="8"/>
  <c r="BA13" i="8"/>
  <c r="AM80" i="8"/>
  <c r="AL80" i="8"/>
  <c r="BB75" i="8"/>
  <c r="BA75" i="8"/>
  <c r="BB83" i="8"/>
  <c r="BA83" i="8"/>
  <c r="AL79" i="8"/>
  <c r="AM79" i="8"/>
  <c r="X72" i="8"/>
  <c r="W72" i="8"/>
  <c r="X68" i="8"/>
  <c r="W68" i="8"/>
  <c r="AM62" i="8"/>
  <c r="AL62" i="8"/>
  <c r="X63" i="8"/>
  <c r="W63" i="8"/>
  <c r="AM60" i="8"/>
  <c r="AL60" i="8"/>
  <c r="X58" i="8"/>
  <c r="W58" i="8"/>
  <c r="AM70" i="8"/>
  <c r="AL70" i="8"/>
  <c r="W55" i="8"/>
  <c r="X55" i="8"/>
  <c r="AM64" i="8"/>
  <c r="AL64" i="8"/>
  <c r="X61" i="8"/>
  <c r="W61" i="8"/>
  <c r="BB38" i="8"/>
  <c r="BA38" i="8"/>
  <c r="AL49" i="8"/>
  <c r="AM49" i="8"/>
  <c r="Y40" i="8"/>
  <c r="BB31" i="8"/>
  <c r="BA31" i="8"/>
  <c r="AK25" i="8"/>
  <c r="BC18" i="8"/>
  <c r="X26" i="8"/>
  <c r="W26" i="8"/>
  <c r="BB20" i="8"/>
  <c r="BA20" i="8"/>
  <c r="AM16" i="8"/>
  <c r="AL16" i="8"/>
  <c r="X10" i="8"/>
  <c r="W10" i="8"/>
  <c r="AM30" i="8"/>
  <c r="AL30" i="8"/>
  <c r="AM34" i="8"/>
  <c r="AL34" i="8"/>
  <c r="AM31" i="8"/>
  <c r="AL31" i="8"/>
  <c r="AM19" i="8"/>
  <c r="AL19" i="8"/>
  <c r="AL12" i="8"/>
  <c r="AM12" i="8"/>
  <c r="BB12" i="8"/>
  <c r="BA12" i="8"/>
  <c r="AS285" i="7" a="1"/>
  <c r="AS285" i="7" s="1"/>
  <c r="AS296" i="7" a="1"/>
  <c r="AS296" i="7" s="1"/>
  <c r="AS286" i="7" a="1"/>
  <c r="AS286" i="7" s="1"/>
  <c r="AS287" i="7" a="1"/>
  <c r="AS287" i="7" s="1"/>
  <c r="AS297" i="7" a="1"/>
  <c r="AS297" i="7" s="1"/>
  <c r="AS288" i="7" a="1"/>
  <c r="AS288" i="7" s="1"/>
  <c r="AS298" i="7" a="1"/>
  <c r="AS298" i="7" s="1"/>
  <c r="AS289" i="7" a="1"/>
  <c r="AS289" i="7" s="1"/>
  <c r="AS299" i="7" a="1"/>
  <c r="AS299" i="7" s="1"/>
  <c r="AS331" i="7" a="1"/>
  <c r="AS331" i="7" s="1"/>
  <c r="AS290" i="7" a="1"/>
  <c r="AS290" i="7" s="1"/>
  <c r="AS300" i="7" a="1"/>
  <c r="AS300" i="7" s="1"/>
  <c r="AS301" i="7" a="1"/>
  <c r="AS301" i="7" s="1"/>
  <c r="AS291" i="7" a="1"/>
  <c r="AS291" i="7" s="1"/>
  <c r="AS302" i="7" a="1"/>
  <c r="AS302" i="7" s="1"/>
  <c r="AS348" i="7" a="1"/>
  <c r="AS348" i="7" s="1"/>
  <c r="AS292" i="7" a="1"/>
  <c r="AS292" i="7" s="1"/>
  <c r="AS293" i="7" a="1"/>
  <c r="AS293" i="7" s="1"/>
  <c r="AS362" i="7" a="1"/>
  <c r="AS362" i="7" s="1"/>
  <c r="AS294" i="7" a="1"/>
  <c r="AS294" i="7" s="1"/>
  <c r="AS295" i="7" a="1"/>
  <c r="AS295" i="7" s="1"/>
  <c r="AS375" i="7" a="1"/>
  <c r="AS375" i="7" s="1"/>
  <c r="AK811" i="7" a="1"/>
  <c r="AK811" i="7" s="1"/>
  <c r="AK809" i="7" a="1"/>
  <c r="AK809" i="7" s="1"/>
  <c r="AK807" i="7" a="1"/>
  <c r="AK807" i="7" s="1"/>
  <c r="AK806" i="7" a="1"/>
  <c r="AK806" i="7" s="1"/>
  <c r="AK804" i="7" a="1"/>
  <c r="AK804" i="7" s="1"/>
  <c r="AK802" i="7" a="1"/>
  <c r="AK802" i="7" s="1"/>
  <c r="AK799" i="7" a="1"/>
  <c r="AK799" i="7" s="1"/>
  <c r="AK797" i="7" a="1"/>
  <c r="AK797" i="7" s="1"/>
  <c r="AK795" i="7" a="1"/>
  <c r="AK795" i="7" s="1"/>
  <c r="AK794" i="7" a="1"/>
  <c r="AK794" i="7" s="1"/>
  <c r="AK812" i="7" a="1"/>
  <c r="AK812" i="7" s="1"/>
  <c r="AK810" i="7" a="1"/>
  <c r="AK810" i="7" s="1"/>
  <c r="AK808" i="7" a="1"/>
  <c r="AK808" i="7" s="1"/>
  <c r="AK805" i="7" a="1"/>
  <c r="AK805" i="7" s="1"/>
  <c r="AK803" i="7" a="1"/>
  <c r="AK803" i="7" s="1"/>
  <c r="AK801" i="7" a="1"/>
  <c r="AK801" i="7" s="1"/>
  <c r="AK800" i="7" a="1"/>
  <c r="AK800" i="7" s="1"/>
  <c r="AK798" i="7" a="1"/>
  <c r="AK798" i="7" s="1"/>
  <c r="AK796" i="7" a="1"/>
  <c r="AK796" i="7" s="1"/>
  <c r="AK793" i="7" a="1"/>
  <c r="AK793" i="7" s="1"/>
  <c r="AK790" i="7" a="1"/>
  <c r="AK790" i="7" s="1"/>
  <c r="AK788" i="7" a="1"/>
  <c r="AK788" i="7" s="1"/>
  <c r="AK784" i="7" a="1"/>
  <c r="AK784" i="7" s="1"/>
  <c r="AK781" i="7" a="1"/>
  <c r="AK781" i="7" s="1"/>
  <c r="AK777" i="7" a="1"/>
  <c r="AK777" i="7" s="1"/>
  <c r="AK774" i="7" a="1"/>
  <c r="AK774" i="7" s="1"/>
  <c r="AK791" i="7" a="1"/>
  <c r="AK791" i="7" s="1"/>
  <c r="AK785" i="7" a="1"/>
  <c r="AK785" i="7" s="1"/>
  <c r="AK782" i="7" a="1"/>
  <c r="AK782" i="7" s="1"/>
  <c r="AK778" i="7" a="1"/>
  <c r="AK778" i="7" s="1"/>
  <c r="AK775" i="7" a="1"/>
  <c r="AK775" i="7" s="1"/>
  <c r="AK771" i="7" a="1"/>
  <c r="AK771" i="7" s="1"/>
  <c r="AK786" i="7" a="1"/>
  <c r="AK786" i="7" s="1"/>
  <c r="AK779" i="7" a="1"/>
  <c r="AK779" i="7" s="1"/>
  <c r="AK776" i="7" a="1"/>
  <c r="AK776" i="7" s="1"/>
  <c r="AK772" i="7" a="1"/>
  <c r="AK772" i="7" s="1"/>
  <c r="AK769" i="7" a="1"/>
  <c r="AK769" i="7" s="1"/>
  <c r="AK792" i="7" a="1"/>
  <c r="AK792" i="7" s="1"/>
  <c r="AK787" i="7" a="1"/>
  <c r="AK787" i="7" s="1"/>
  <c r="AK783" i="7" a="1"/>
  <c r="AK783" i="7" s="1"/>
  <c r="AK780" i="7" a="1"/>
  <c r="AK780" i="7" s="1"/>
  <c r="AK789" i="7" a="1"/>
  <c r="AK789" i="7" s="1"/>
  <c r="AK773" i="7" a="1"/>
  <c r="AK773" i="7" s="1"/>
  <c r="AK765" i="7" a="1"/>
  <c r="AK765" i="7" s="1"/>
  <c r="AK762" i="7" a="1"/>
  <c r="AK762" i="7" s="1"/>
  <c r="AK755" i="7" a="1"/>
  <c r="AK755" i="7" s="1"/>
  <c r="AK766" i="7" a="1"/>
  <c r="AK766" i="7" s="1"/>
  <c r="AK763" i="7" a="1"/>
  <c r="AK763" i="7" s="1"/>
  <c r="AK759" i="7" a="1"/>
  <c r="AK759" i="7" s="1"/>
  <c r="AK756" i="7" a="1"/>
  <c r="AK756" i="7" s="1"/>
  <c r="AK770" i="7" a="1"/>
  <c r="AK770" i="7" s="1"/>
  <c r="AK768" i="7" a="1"/>
  <c r="AK768" i="7" s="1"/>
  <c r="AK764" i="7" a="1"/>
  <c r="AK764" i="7" s="1"/>
  <c r="AK760" i="7" a="1"/>
  <c r="AK760" i="7" s="1"/>
  <c r="AK757" i="7" a="1"/>
  <c r="AK757" i="7" s="1"/>
  <c r="AK767" i="7" a="1"/>
  <c r="AK767" i="7" s="1"/>
  <c r="AK753" i="7" a="1"/>
  <c r="AK753" i="7" s="1"/>
  <c r="AK752" i="7" a="1"/>
  <c r="AK752" i="7" s="1"/>
  <c r="AK750" i="7" a="1"/>
  <c r="AK750" i="7" s="1"/>
  <c r="AK758" i="7" a="1"/>
  <c r="AK758" i="7" s="1"/>
  <c r="AK761" i="7" a="1"/>
  <c r="AK761" i="7" s="1"/>
  <c r="AK749" i="7" a="1"/>
  <c r="AK749" i="7" s="1"/>
  <c r="AK745" i="7" a="1"/>
  <c r="AK745" i="7" s="1"/>
  <c r="AK741" i="7" a="1"/>
  <c r="AK741" i="7" s="1"/>
  <c r="AK738" i="7" a="1"/>
  <c r="AK738" i="7" s="1"/>
  <c r="AK748" i="7" a="1"/>
  <c r="AK748" i="7" s="1"/>
  <c r="AK746" i="7" a="1"/>
  <c r="AK746" i="7" s="1"/>
  <c r="AK742" i="7" a="1"/>
  <c r="AK742" i="7" s="1"/>
  <c r="AK739" i="7" a="1"/>
  <c r="AK739" i="7" s="1"/>
  <c r="AK735" i="7" a="1"/>
  <c r="AK735" i="7" s="1"/>
  <c r="AK743" i="7" a="1"/>
  <c r="AK743" i="7" s="1"/>
  <c r="AK740" i="7" a="1"/>
  <c r="AK740" i="7" s="1"/>
  <c r="AK736" i="7" a="1"/>
  <c r="AK736" i="7" s="1"/>
  <c r="AK754" i="7" a="1"/>
  <c r="AK754" i="7" s="1"/>
  <c r="AK751" i="7" a="1"/>
  <c r="AK751" i="7" s="1"/>
  <c r="AK744" i="7" a="1"/>
  <c r="AK744" i="7" s="1"/>
  <c r="AK747" i="7" a="1"/>
  <c r="AK747" i="7" s="1"/>
  <c r="AK734" i="7" a="1"/>
  <c r="AK734" i="7" s="1"/>
  <c r="AK731" i="7" a="1"/>
  <c r="AK731" i="7" s="1"/>
  <c r="AK728" i="7" a="1"/>
  <c r="AK728" i="7" s="1"/>
  <c r="AK732" i="7" a="1"/>
  <c r="AK732" i="7" s="1"/>
  <c r="AK733" i="7" a="1"/>
  <c r="AK733" i="7" s="1"/>
  <c r="AK729" i="7" a="1"/>
  <c r="AK729" i="7" s="1"/>
  <c r="AK726" i="7" a="1"/>
  <c r="AK726" i="7" s="1"/>
  <c r="AK737" i="7" a="1"/>
  <c r="AK737" i="7" s="1"/>
  <c r="AK730" i="7" a="1"/>
  <c r="AK730" i="7" s="1"/>
  <c r="AK722" i="7" a="1"/>
  <c r="AK722" i="7" s="1"/>
  <c r="AK718" i="7" a="1"/>
  <c r="AK718" i="7" s="1"/>
  <c r="AK715" i="7" a="1"/>
  <c r="AK715" i="7" s="1"/>
  <c r="AK710" i="7" a="1"/>
  <c r="AK710" i="7" s="1"/>
  <c r="AK706" i="7" a="1"/>
  <c r="AK706" i="7" s="1"/>
  <c r="AK727" i="7" a="1"/>
  <c r="AK727" i="7" s="1"/>
  <c r="AK725" i="7" a="1"/>
  <c r="AK725" i="7" s="1"/>
  <c r="AK724" i="7" a="1"/>
  <c r="AK724" i="7" s="1"/>
  <c r="AK721" i="7" a="1"/>
  <c r="AK721" i="7" s="1"/>
  <c r="AK717" i="7" a="1"/>
  <c r="AK717" i="7" s="1"/>
  <c r="AK714" i="7" a="1"/>
  <c r="AK714" i="7" s="1"/>
  <c r="AK707" i="7" a="1"/>
  <c r="AK707" i="7" s="1"/>
  <c r="AK704" i="7" a="1"/>
  <c r="AK704" i="7" s="1"/>
  <c r="AK700" i="7" a="1"/>
  <c r="AK700" i="7" s="1"/>
  <c r="AK697" i="7" a="1"/>
  <c r="AK697" i="7" s="1"/>
  <c r="AK723" i="7" a="1"/>
  <c r="AK723" i="7" s="1"/>
  <c r="AK720" i="7" a="1"/>
  <c r="AK720" i="7" s="1"/>
  <c r="AK713" i="7" a="1"/>
  <c r="AK713" i="7" s="1"/>
  <c r="AK711" i="7" a="1"/>
  <c r="AK711" i="7" s="1"/>
  <c r="AK708" i="7" a="1"/>
  <c r="AK708" i="7" s="1"/>
  <c r="AK701" i="7" a="1"/>
  <c r="AK701" i="7" s="1"/>
  <c r="AK698" i="7" a="1"/>
  <c r="AK698" i="7" s="1"/>
  <c r="AK709" i="7" a="1"/>
  <c r="AK709" i="7" s="1"/>
  <c r="AK703" i="7" a="1"/>
  <c r="AK703" i="7" s="1"/>
  <c r="AK696" i="7" a="1"/>
  <c r="AK696" i="7" s="1"/>
  <c r="AK694" i="7" a="1"/>
  <c r="AK694" i="7" s="1"/>
  <c r="AK719" i="7" a="1"/>
  <c r="AK719" i="7" s="1"/>
  <c r="AK712" i="7" a="1"/>
  <c r="AK712" i="7" s="1"/>
  <c r="AK702" i="7" a="1"/>
  <c r="AK702" i="7" s="1"/>
  <c r="AK705" i="7" a="1"/>
  <c r="AK705" i="7" s="1"/>
  <c r="AK692" i="7" a="1"/>
  <c r="AK692" i="7" s="1"/>
  <c r="AK691" i="7" a="1"/>
  <c r="AK691" i="7" s="1"/>
  <c r="AK695" i="7" a="1"/>
  <c r="AK695" i="7" s="1"/>
  <c r="AK690" i="7" a="1"/>
  <c r="AK690" i="7" s="1"/>
  <c r="AK688" i="7" a="1"/>
  <c r="AK688" i="7" s="1"/>
  <c r="AK685" i="7" a="1"/>
  <c r="AK685" i="7" s="1"/>
  <c r="AK683" i="7" a="1"/>
  <c r="AK683" i="7" s="1"/>
  <c r="AK681" i="7" a="1"/>
  <c r="AK681" i="7" s="1"/>
  <c r="AK699" i="7" a="1"/>
  <c r="AK699" i="7" s="1"/>
  <c r="AK716" i="7" a="1"/>
  <c r="AK716" i="7" s="1"/>
  <c r="AK693" i="7" a="1"/>
  <c r="AK693" i="7" s="1"/>
  <c r="AK689" i="7" a="1"/>
  <c r="AK689" i="7" s="1"/>
  <c r="AK687" i="7" a="1"/>
  <c r="AK687" i="7" s="1"/>
  <c r="AK686" i="7" a="1"/>
  <c r="AK686" i="7" s="1"/>
  <c r="AK684" i="7" a="1"/>
  <c r="AK684" i="7" s="1"/>
  <c r="AK682" i="7" a="1"/>
  <c r="AK682" i="7" s="1"/>
  <c r="AS304" i="7" a="1"/>
  <c r="AS304" i="7" s="1"/>
  <c r="AS311" i="7" a="1"/>
  <c r="AS311" i="7" s="1"/>
  <c r="AS313" i="7" a="1"/>
  <c r="AS313" i="7" s="1"/>
  <c r="AS358" i="7" a="1"/>
  <c r="AS358" i="7" s="1"/>
  <c r="AS372" i="7" a="1"/>
  <c r="AS372" i="7" s="1"/>
  <c r="AS310" i="7" a="1"/>
  <c r="AS310" i="7" s="1"/>
  <c r="AS317" i="7" a="1"/>
  <c r="AS317" i="7" s="1"/>
  <c r="AS327" i="7" a="1"/>
  <c r="AS327" i="7" s="1"/>
  <c r="AS334" i="7" a="1"/>
  <c r="AS334" i="7" s="1"/>
  <c r="AS303" i="7" a="1"/>
  <c r="AS303" i="7" s="1"/>
  <c r="AS316" i="7" a="1"/>
  <c r="AS316" i="7" s="1"/>
  <c r="AS324" i="7" a="1"/>
  <c r="AS324" i="7" s="1"/>
  <c r="AS305" i="7" a="1"/>
  <c r="AS305" i="7" s="1"/>
  <c r="AS306" i="7" a="1"/>
  <c r="AS306" i="7" s="1"/>
  <c r="AS307" i="7" a="1"/>
  <c r="AS307" i="7" s="1"/>
  <c r="AS308" i="7" a="1"/>
  <c r="AS308" i="7" s="1"/>
  <c r="AS309" i="7" a="1"/>
  <c r="AS309" i="7" s="1"/>
  <c r="AS320" i="7" a="1"/>
  <c r="AS320" i="7" s="1"/>
  <c r="AS341" i="7" a="1"/>
  <c r="AS341" i="7" s="1"/>
  <c r="AS355" i="7" a="1"/>
  <c r="AS355" i="7" s="1"/>
  <c r="AS416" i="7" a="1"/>
  <c r="AS416" i="7" s="1"/>
  <c r="AS412" i="7" a="1"/>
  <c r="AS412" i="7" s="1"/>
  <c r="AS409" i="7" a="1"/>
  <c r="AS409" i="7" s="1"/>
  <c r="AS405" i="7" a="1"/>
  <c r="AS405" i="7" s="1"/>
  <c r="AS402" i="7" a="1"/>
  <c r="AS402" i="7" s="1"/>
  <c r="AS395" i="7" a="1"/>
  <c r="AS395" i="7" s="1"/>
  <c r="AS394" i="7" a="1"/>
  <c r="AS394" i="7" s="1"/>
  <c r="AS413" i="7" a="1"/>
  <c r="AS413" i="7" s="1"/>
  <c r="AS410" i="7" a="1"/>
  <c r="AS410" i="7" s="1"/>
  <c r="AS406" i="7" a="1"/>
  <c r="AS406" i="7" s="1"/>
  <c r="AS403" i="7" a="1"/>
  <c r="AS403" i="7" s="1"/>
  <c r="AS399" i="7" a="1"/>
  <c r="AS399" i="7" s="1"/>
  <c r="AS396" i="7" a="1"/>
  <c r="AS396" i="7" s="1"/>
  <c r="AS414" i="7" a="1"/>
  <c r="AS414" i="7" s="1"/>
  <c r="AS407" i="7" a="1"/>
  <c r="AS407" i="7" s="1"/>
  <c r="AS404" i="7" a="1"/>
  <c r="AS404" i="7" s="1"/>
  <c r="AS400" i="7" a="1"/>
  <c r="AS400" i="7" s="1"/>
  <c r="AS397" i="7" a="1"/>
  <c r="AS397" i="7" s="1"/>
  <c r="AS415" i="7" a="1"/>
  <c r="AS415" i="7" s="1"/>
  <c r="AS411" i="7" a="1"/>
  <c r="AS411" i="7" s="1"/>
  <c r="AS408" i="7" a="1"/>
  <c r="AS408" i="7" s="1"/>
  <c r="AS401" i="7" a="1"/>
  <c r="AS401" i="7" s="1"/>
  <c r="AS398" i="7" a="1"/>
  <c r="AS398" i="7" s="1"/>
  <c r="AS391" i="7" a="1"/>
  <c r="AS391" i="7" s="1"/>
  <c r="AS393" i="7" a="1"/>
  <c r="AS393" i="7" s="1"/>
  <c r="AS392" i="7" a="1"/>
  <c r="AS392" i="7" s="1"/>
  <c r="AS390" i="7" a="1"/>
  <c r="AS390" i="7" s="1"/>
  <c r="AS382" i="7" a="1"/>
  <c r="AS382" i="7" s="1"/>
  <c r="AS384" i="7" a="1"/>
  <c r="AS384" i="7" s="1"/>
  <c r="AS380" i="7" a="1"/>
  <c r="AS380" i="7" s="1"/>
  <c r="AS376" i="7" a="1"/>
  <c r="AS376" i="7" s="1"/>
  <c r="AS373" i="7" a="1"/>
  <c r="AS373" i="7" s="1"/>
  <c r="AS369" i="7" a="1"/>
  <c r="AS369" i="7" s="1"/>
  <c r="AS366" i="7" a="1"/>
  <c r="AS366" i="7" s="1"/>
  <c r="AS359" i="7" a="1"/>
  <c r="AS359" i="7" s="1"/>
  <c r="AS356" i="7" a="1"/>
  <c r="AS356" i="7" s="1"/>
  <c r="AS352" i="7" a="1"/>
  <c r="AS352" i="7" s="1"/>
  <c r="AS349" i="7" a="1"/>
  <c r="AS349" i="7" s="1"/>
  <c r="AS345" i="7" a="1"/>
  <c r="AS345" i="7" s="1"/>
  <c r="AS342" i="7" a="1"/>
  <c r="AS342" i="7" s="1"/>
  <c r="AS335" i="7" a="1"/>
  <c r="AS335" i="7" s="1"/>
  <c r="AS332" i="7" a="1"/>
  <c r="AS332" i="7" s="1"/>
  <c r="AS328" i="7" a="1"/>
  <c r="AS328" i="7" s="1"/>
  <c r="AS325" i="7" a="1"/>
  <c r="AS325" i="7" s="1"/>
  <c r="AS321" i="7" a="1"/>
  <c r="AS321" i="7" s="1"/>
  <c r="AS318" i="7" a="1"/>
  <c r="AS318" i="7" s="1"/>
  <c r="AS386" i="7" a="1"/>
  <c r="AS386" i="7" s="1"/>
  <c r="AS387" i="7" a="1"/>
  <c r="AS387" i="7" s="1"/>
  <c r="AS389" i="7" a="1"/>
  <c r="AS389" i="7" s="1"/>
  <c r="AS377" i="7" a="1"/>
  <c r="AS377" i="7" s="1"/>
  <c r="AS374" i="7" a="1"/>
  <c r="AS374" i="7" s="1"/>
  <c r="AS370" i="7" a="1"/>
  <c r="AS370" i="7" s="1"/>
  <c r="AS367" i="7" a="1"/>
  <c r="AS367" i="7" s="1"/>
  <c r="AS363" i="7" a="1"/>
  <c r="AS363" i="7" s="1"/>
  <c r="AS360" i="7" a="1"/>
  <c r="AS360" i="7" s="1"/>
  <c r="AS353" i="7" a="1"/>
  <c r="AS353" i="7" s="1"/>
  <c r="AS350" i="7" a="1"/>
  <c r="AS350" i="7" s="1"/>
  <c r="AS346" i="7" a="1"/>
  <c r="AS346" i="7" s="1"/>
  <c r="AS343" i="7" a="1"/>
  <c r="AS343" i="7" s="1"/>
  <c r="AS339" i="7" a="1"/>
  <c r="AS339" i="7" s="1"/>
  <c r="AS336" i="7" a="1"/>
  <c r="AS336" i="7" s="1"/>
  <c r="AS329" i="7" a="1"/>
  <c r="AS329" i="7" s="1"/>
  <c r="AS326" i="7" a="1"/>
  <c r="AS326" i="7" s="1"/>
  <c r="AS322" i="7" a="1"/>
  <c r="AS322" i="7" s="1"/>
  <c r="AS319" i="7" a="1"/>
  <c r="AS319" i="7" s="1"/>
  <c r="AS315" i="7" a="1"/>
  <c r="AS315" i="7" s="1"/>
  <c r="AS383" i="7" a="1"/>
  <c r="AS383" i="7" s="1"/>
  <c r="AS385" i="7" a="1"/>
  <c r="AS385" i="7" s="1"/>
  <c r="AS381" i="7" a="1"/>
  <c r="AS381" i="7" s="1"/>
  <c r="AS378" i="7" a="1"/>
  <c r="AS378" i="7" s="1"/>
  <c r="AS371" i="7" a="1"/>
  <c r="AS371" i="7" s="1"/>
  <c r="AS368" i="7" a="1"/>
  <c r="AS368" i="7" s="1"/>
  <c r="AS364" i="7" a="1"/>
  <c r="AS364" i="7" s="1"/>
  <c r="AS361" i="7" a="1"/>
  <c r="AS361" i="7" s="1"/>
  <c r="AS357" i="7" a="1"/>
  <c r="AS357" i="7" s="1"/>
  <c r="AS354" i="7" a="1"/>
  <c r="AS354" i="7" s="1"/>
  <c r="AS347" i="7" a="1"/>
  <c r="AS347" i="7" s="1"/>
  <c r="AS344" i="7" a="1"/>
  <c r="AS344" i="7" s="1"/>
  <c r="AS340" i="7" a="1"/>
  <c r="AS340" i="7" s="1"/>
  <c r="AS337" i="7" a="1"/>
  <c r="AS337" i="7" s="1"/>
  <c r="AS333" i="7" a="1"/>
  <c r="AS333" i="7" s="1"/>
  <c r="AS330" i="7" a="1"/>
  <c r="AS330" i="7" s="1"/>
  <c r="AS323" i="7" a="1"/>
  <c r="AS323" i="7" s="1"/>
  <c r="AS388" i="7" a="1"/>
  <c r="AS388" i="7" s="1"/>
  <c r="AS338" i="7" a="1"/>
  <c r="AS338" i="7" s="1"/>
  <c r="AS312" i="7" a="1"/>
  <c r="AS312" i="7" s="1"/>
  <c r="AS314" i="7" a="1"/>
  <c r="AS314" i="7" s="1"/>
  <c r="AS351" i="7" a="1"/>
  <c r="AS351" i="7" s="1"/>
  <c r="AS365" i="7" a="1"/>
  <c r="AS365" i="7" s="1"/>
  <c r="AS379" i="7" a="1"/>
  <c r="AS379" i="7" s="1"/>
  <c r="T13" i="7"/>
  <c r="AF13" i="7"/>
  <c r="AQ12" i="7"/>
  <c r="AS13" i="7"/>
  <c r="AE12" i="7"/>
  <c r="AA11" i="7"/>
  <c r="AI13" i="7"/>
  <c r="AP13" i="7"/>
  <c r="AC13" i="7"/>
  <c r="AD12" i="7"/>
  <c r="Z12" i="7"/>
  <c r="Y11" i="7"/>
  <c r="AA10" i="7"/>
  <c r="AD10" i="7"/>
  <c r="AD11" i="7"/>
  <c r="Y12" i="7"/>
  <c r="AZ11" i="7"/>
  <c r="AC10" i="7"/>
  <c r="AC12" i="7"/>
  <c r="AG11" i="7"/>
  <c r="BB12" i="7"/>
  <c r="BA10" i="7"/>
  <c r="AZ12" i="7"/>
  <c r="BA12" i="7"/>
  <c r="Z10" i="7"/>
  <c r="V8" i="7"/>
  <c r="V11" i="7" s="1"/>
  <c r="AB11" i="7"/>
  <c r="Z11" i="7"/>
  <c r="AW13" i="7"/>
  <c r="S10" i="7"/>
  <c r="AB12" i="7"/>
  <c r="AM13" i="7"/>
  <c r="U13" i="7"/>
  <c r="AG13" i="7"/>
  <c r="AE11" i="7"/>
  <c r="BB10" i="7"/>
  <c r="AY12" i="7"/>
  <c r="AY10" i="7"/>
  <c r="AY11" i="7"/>
  <c r="AK12" i="7"/>
  <c r="AK10" i="7"/>
  <c r="AK11" i="7"/>
  <c r="AW11" i="7"/>
  <c r="AW10" i="7"/>
  <c r="AW12" i="7"/>
  <c r="AX10" i="7"/>
  <c r="AX11" i="7"/>
  <c r="AX12" i="7"/>
  <c r="AX13" i="7"/>
  <c r="AN12" i="7"/>
  <c r="AN10" i="7"/>
  <c r="AN11" i="7"/>
  <c r="AY13" i="7"/>
  <c r="AM12" i="7"/>
  <c r="AM10" i="7"/>
  <c r="AM11" i="7"/>
  <c r="AR10" i="7"/>
  <c r="AO12" i="7"/>
  <c r="AO10" i="7"/>
  <c r="AO11" i="7"/>
  <c r="AL12" i="7"/>
  <c r="AL10" i="7"/>
  <c r="AL11" i="7"/>
  <c r="AP12" i="7"/>
  <c r="AP11" i="7"/>
  <c r="AQ11" i="7"/>
  <c r="AP10" i="7"/>
  <c r="AV11" i="7"/>
  <c r="AV10" i="7"/>
  <c r="U11" i="7"/>
  <c r="AJ12" i="7"/>
  <c r="W13" i="7"/>
  <c r="AF10" i="7"/>
  <c r="T10" i="7"/>
  <c r="X10" i="7"/>
  <c r="AH12" i="7"/>
  <c r="X12" i="7"/>
  <c r="AT12" i="7"/>
  <c r="AU13" i="7"/>
  <c r="AJ11" i="7"/>
  <c r="AT13" i="7"/>
  <c r="AH13" i="7"/>
  <c r="AS12" i="7"/>
  <c r="AG12" i="7"/>
  <c r="U12" i="7"/>
  <c r="AR11" i="7"/>
  <c r="AF11" i="7"/>
  <c r="T11" i="7"/>
  <c r="AQ10" i="7"/>
  <c r="AE10" i="7"/>
  <c r="T12" i="7"/>
  <c r="AF12" i="7"/>
  <c r="AH11" i="7"/>
  <c r="AT11" i="7"/>
  <c r="AS11" i="7"/>
  <c r="U10" i="7"/>
  <c r="AH10" i="7"/>
  <c r="AT10" i="7"/>
  <c r="AU10" i="7"/>
  <c r="AI10" i="7"/>
  <c r="W10" i="7"/>
  <c r="AU11" i="7"/>
  <c r="AI11" i="7"/>
  <c r="W11" i="7"/>
  <c r="S12" i="7"/>
  <c r="S11" i="7"/>
  <c r="T819" i="7"/>
  <c r="Z157" i="7"/>
  <c r="Z152" i="7"/>
  <c r="AL152" i="7"/>
  <c r="AX152" i="7"/>
  <c r="Y153" i="7"/>
  <c r="AK153" i="7"/>
  <c r="AW153" i="7"/>
  <c r="X154" i="7"/>
  <c r="AJ154" i="7"/>
  <c r="AV154" i="7"/>
  <c r="BN21" i="7" a="1"/>
  <c r="BN21" i="7" s="1"/>
  <c r="W155" i="7"/>
  <c r="AI155" i="7"/>
  <c r="AU155" i="7"/>
  <c r="V156" i="7"/>
  <c r="AH156" i="7"/>
  <c r="AT156" i="7"/>
  <c r="BS23" i="7" a="1"/>
  <c r="BS23" i="7" s="1"/>
  <c r="AA157" i="7"/>
  <c r="AS157" i="7"/>
  <c r="BS24" i="7" a="1"/>
  <c r="BS24" i="7" s="1"/>
  <c r="AN158" i="7"/>
  <c r="AF159" i="7"/>
  <c r="Z160" i="7"/>
  <c r="U161" i="7"/>
  <c r="AO162" i="7"/>
  <c r="AV170" i="7"/>
  <c r="AS173" i="7"/>
  <c r="AH178" i="7"/>
  <c r="AJ153" i="7"/>
  <c r="AG156" i="7"/>
  <c r="BB161" i="7"/>
  <c r="AA152" i="7"/>
  <c r="AM152" i="7"/>
  <c r="AY152" i="7"/>
  <c r="Z153" i="7"/>
  <c r="AL153" i="7"/>
  <c r="AX153" i="7"/>
  <c r="Y154" i="7"/>
  <c r="AK154" i="7"/>
  <c r="AW154" i="7"/>
  <c r="X155" i="7"/>
  <c r="AJ155" i="7"/>
  <c r="AV155" i="7"/>
  <c r="W156" i="7"/>
  <c r="AI156" i="7"/>
  <c r="AU156" i="7"/>
  <c r="AB157" i="7"/>
  <c r="AT157" i="7"/>
  <c r="T158" i="7"/>
  <c r="AR158" i="7"/>
  <c r="AI159" i="7"/>
  <c r="AD160" i="7"/>
  <c r="Y161" i="7"/>
  <c r="AR162" i="7"/>
  <c r="V166" i="7"/>
  <c r="AT178" i="7"/>
  <c r="X153" i="7"/>
  <c r="W154" i="7"/>
  <c r="V155" i="7"/>
  <c r="AS156" i="7"/>
  <c r="AG173" i="7"/>
  <c r="V178" i="7"/>
  <c r="AB152" i="7"/>
  <c r="AN152" i="7"/>
  <c r="AZ152" i="7"/>
  <c r="BH19" i="7" a="1"/>
  <c r="BH19" i="7" s="1"/>
  <c r="AA153" i="7"/>
  <c r="AM153" i="7"/>
  <c r="AY153" i="7"/>
  <c r="Z154" i="7"/>
  <c r="AL154" i="7"/>
  <c r="AX154" i="7"/>
  <c r="Y155" i="7"/>
  <c r="AK155" i="7"/>
  <c r="AW155" i="7"/>
  <c r="X156" i="7"/>
  <c r="AJ156" i="7"/>
  <c r="AV156" i="7"/>
  <c r="AC157" i="7"/>
  <c r="AU157" i="7"/>
  <c r="U158" i="7"/>
  <c r="AS158" i="7"/>
  <c r="AK159" i="7"/>
  <c r="AE160" i="7"/>
  <c r="AC161" i="7"/>
  <c r="AZ162" i="7"/>
  <c r="AH166" i="7"/>
  <c r="Z169" i="7"/>
  <c r="W171" i="7"/>
  <c r="T174" i="7"/>
  <c r="AI154" i="7"/>
  <c r="AT155" i="7"/>
  <c r="AP157" i="7"/>
  <c r="AE159" i="7"/>
  <c r="X160" i="7"/>
  <c r="AN162" i="7"/>
  <c r="AR168" i="7"/>
  <c r="AJ170" i="7"/>
  <c r="AC152" i="7"/>
  <c r="BI19" i="7" a="1"/>
  <c r="BI19" i="7" s="1"/>
  <c r="AB153" i="7"/>
  <c r="AN153" i="7"/>
  <c r="AZ153" i="7"/>
  <c r="AA154" i="7"/>
  <c r="AM154" i="7"/>
  <c r="AY154" i="7"/>
  <c r="BG21" i="7" a="1"/>
  <c r="BG21" i="7" s="1"/>
  <c r="Z155" i="7"/>
  <c r="AL155" i="7"/>
  <c r="AX155" i="7"/>
  <c r="Y156" i="7"/>
  <c r="AK156" i="7"/>
  <c r="AW156" i="7"/>
  <c r="AD157" i="7"/>
  <c r="AX157" i="7"/>
  <c r="X158" i="7"/>
  <c r="AV158" i="7"/>
  <c r="AM159" i="7"/>
  <c r="AH160" i="7"/>
  <c r="AD161" i="7"/>
  <c r="BA162" i="7"/>
  <c r="AT166" i="7"/>
  <c r="AL169" i="7"/>
  <c r="AI171" i="7"/>
  <c r="AF174" i="7"/>
  <c r="X176" i="7"/>
  <c r="U179" i="7"/>
  <c r="AT183" i="7"/>
  <c r="AI188" i="7"/>
  <c r="BJ19" i="7" a="1"/>
  <c r="BJ19" i="7" s="1"/>
  <c r="AU154" i="7"/>
  <c r="AO152" i="7"/>
  <c r="BA152" i="7"/>
  <c r="AD152" i="7"/>
  <c r="AP152" i="7"/>
  <c r="BB152" i="7"/>
  <c r="BO19" i="7" a="1"/>
  <c r="BO19" i="7" s="1"/>
  <c r="AC153" i="7"/>
  <c r="AO153" i="7"/>
  <c r="BA153" i="7"/>
  <c r="BZ20" i="7" a="1"/>
  <c r="BZ20" i="7" s="1"/>
  <c r="AB154" i="7"/>
  <c r="AN154" i="7"/>
  <c r="AZ154" i="7"/>
  <c r="AA155" i="7"/>
  <c r="AM155" i="7"/>
  <c r="AY155" i="7"/>
  <c r="Z156" i="7"/>
  <c r="AL156" i="7"/>
  <c r="AX156" i="7"/>
  <c r="AG157" i="7"/>
  <c r="AY157" i="7"/>
  <c r="Z158" i="7"/>
  <c r="AX158" i="7"/>
  <c r="AQ159" i="7"/>
  <c r="BG26" i="7" a="1"/>
  <c r="BG26" i="7" s="1"/>
  <c r="AJ160" i="7"/>
  <c r="AG161" i="7"/>
  <c r="AX169" i="7"/>
  <c r="AU171" i="7"/>
  <c r="AR174" i="7"/>
  <c r="AJ176" i="7"/>
  <c r="AG179" i="7"/>
  <c r="Y152" i="7"/>
  <c r="S152" i="7"/>
  <c r="AE152" i="7"/>
  <c r="AQ152" i="7"/>
  <c r="BP19" i="7" a="1"/>
  <c r="BP19" i="7" s="1"/>
  <c r="AD153" i="7"/>
  <c r="AP153" i="7"/>
  <c r="BB153" i="7"/>
  <c r="AC154" i="7"/>
  <c r="AO154" i="7"/>
  <c r="BA154" i="7"/>
  <c r="AB155" i="7"/>
  <c r="AN155" i="7"/>
  <c r="AZ155" i="7"/>
  <c r="AA156" i="7"/>
  <c r="AM156" i="7"/>
  <c r="AY156" i="7"/>
  <c r="AH157" i="7"/>
  <c r="AZ157" i="7"/>
  <c r="AA158" i="7"/>
  <c r="AY158" i="7"/>
  <c r="AR159" i="7"/>
  <c r="AL160" i="7"/>
  <c r="AK161" i="7"/>
  <c r="X164" i="7"/>
  <c r="U167" i="7"/>
  <c r="AV176" i="7"/>
  <c r="AS179" i="7"/>
  <c r="AE186" i="7"/>
  <c r="AF191" i="7"/>
  <c r="U196" i="7"/>
  <c r="U156" i="7"/>
  <c r="T152" i="7"/>
  <c r="AF152" i="7"/>
  <c r="AR152" i="7"/>
  <c r="BQ19" i="7" a="1"/>
  <c r="BQ19" i="7" s="1"/>
  <c r="S153" i="7"/>
  <c r="AE153" i="7"/>
  <c r="AQ153" i="7"/>
  <c r="BP20" i="7" a="1"/>
  <c r="BP20" i="7" s="1"/>
  <c r="AD154" i="7"/>
  <c r="AP154" i="7"/>
  <c r="BB154" i="7"/>
  <c r="AC155" i="7"/>
  <c r="AO155" i="7"/>
  <c r="BA155" i="7"/>
  <c r="AB156" i="7"/>
  <c r="AN156" i="7"/>
  <c r="AZ156" i="7"/>
  <c r="AI157" i="7"/>
  <c r="BA157" i="7"/>
  <c r="AB158" i="7"/>
  <c r="AZ158" i="7"/>
  <c r="S159" i="7"/>
  <c r="AU159" i="7"/>
  <c r="AP160" i="7"/>
  <c r="AO161" i="7"/>
  <c r="T162" i="7"/>
  <c r="AJ164" i="7"/>
  <c r="AG167" i="7"/>
  <c r="V172" i="7"/>
  <c r="AW152" i="7"/>
  <c r="AX163" i="7"/>
  <c r="U152" i="7"/>
  <c r="AG152" i="7"/>
  <c r="AS152" i="7"/>
  <c r="T153" i="7"/>
  <c r="AF153" i="7"/>
  <c r="AR153" i="7"/>
  <c r="S154" i="7"/>
  <c r="AE154" i="7"/>
  <c r="AQ154" i="7"/>
  <c r="BP21" i="7" a="1"/>
  <c r="BP21" i="7" s="1"/>
  <c r="AD155" i="7"/>
  <c r="AP155" i="7"/>
  <c r="BB155" i="7"/>
  <c r="AC156" i="7"/>
  <c r="AO156" i="7"/>
  <c r="BA156" i="7"/>
  <c r="BZ23" i="7" a="1"/>
  <c r="BZ23" i="7" s="1"/>
  <c r="AL157" i="7"/>
  <c r="BB157" i="7"/>
  <c r="AF158" i="7"/>
  <c r="T159" i="7"/>
  <c r="AW159" i="7"/>
  <c r="AQ160" i="7"/>
  <c r="AP161" i="7"/>
  <c r="X162" i="7"/>
  <c r="AV164" i="7"/>
  <c r="AS167" i="7"/>
  <c r="AH172" i="7"/>
  <c r="Z175" i="7"/>
  <c r="W177" i="7"/>
  <c r="T180" i="7"/>
  <c r="BU20" i="7" a="1"/>
  <c r="BU20" i="7" s="1"/>
  <c r="AM158" i="7"/>
  <c r="BB160" i="7"/>
  <c r="AU165" i="7"/>
  <c r="AH152" i="7"/>
  <c r="U153" i="7"/>
  <c r="T154" i="7"/>
  <c r="AF154" i="7"/>
  <c r="AR154" i="7"/>
  <c r="S155" i="7"/>
  <c r="AE155" i="7"/>
  <c r="AQ155" i="7"/>
  <c r="AD156" i="7"/>
  <c r="AP156" i="7"/>
  <c r="BB156" i="7"/>
  <c r="BL23" i="7" a="1"/>
  <c r="BL23" i="7" s="1"/>
  <c r="U157" i="7"/>
  <c r="AM157" i="7"/>
  <c r="AG158" i="7"/>
  <c r="W159" i="7"/>
  <c r="AY159" i="7"/>
  <c r="AT160" i="7"/>
  <c r="AS161" i="7"/>
  <c r="AB162" i="7"/>
  <c r="AT172" i="7"/>
  <c r="AL175" i="7"/>
  <c r="AI177" i="7"/>
  <c r="AF180" i="7"/>
  <c r="AA181" i="7"/>
  <c r="AH155" i="7"/>
  <c r="V152" i="7"/>
  <c r="AG153" i="7"/>
  <c r="W152" i="7"/>
  <c r="AI152" i="7"/>
  <c r="AU152" i="7"/>
  <c r="V153" i="7"/>
  <c r="AH153" i="7"/>
  <c r="AT153" i="7"/>
  <c r="U154" i="7"/>
  <c r="AG154" i="7"/>
  <c r="AS154" i="7"/>
  <c r="T155" i="7"/>
  <c r="AF155" i="7"/>
  <c r="AR155" i="7"/>
  <c r="S156" i="7"/>
  <c r="AE156" i="7"/>
  <c r="AQ156" i="7"/>
  <c r="V157" i="7"/>
  <c r="AN157" i="7"/>
  <c r="AJ158" i="7"/>
  <c r="Y159" i="7"/>
  <c r="BV26" i="7" a="1"/>
  <c r="BV26" i="7" s="1"/>
  <c r="S160" i="7"/>
  <c r="AV160" i="7"/>
  <c r="AW161" i="7"/>
  <c r="AC162" i="7"/>
  <c r="Z163" i="7"/>
  <c r="W165" i="7"/>
  <c r="T168" i="7"/>
  <c r="AX175" i="7"/>
  <c r="AU177" i="7"/>
  <c r="AS180" i="7"/>
  <c r="AY181" i="7"/>
  <c r="AK152" i="7"/>
  <c r="AV153" i="7"/>
  <c r="BT21" i="7" a="1"/>
  <c r="BT21" i="7" s="1"/>
  <c r="AT152" i="7"/>
  <c r="AS153" i="7"/>
  <c r="X152" i="7"/>
  <c r="AJ152" i="7"/>
  <c r="AV152" i="7"/>
  <c r="BU19" i="7" a="1"/>
  <c r="BU19" i="7" s="1"/>
  <c r="W153" i="7"/>
  <c r="AI153" i="7"/>
  <c r="AU153" i="7"/>
  <c r="V154" i="7"/>
  <c r="AH154" i="7"/>
  <c r="AT154" i="7"/>
  <c r="U155" i="7"/>
  <c r="AG155" i="7"/>
  <c r="AS155" i="7"/>
  <c r="T156" i="7"/>
  <c r="AF156" i="7"/>
  <c r="AR156" i="7"/>
  <c r="W157" i="7"/>
  <c r="AO157" i="7"/>
  <c r="AL158" i="7"/>
  <c r="AA159" i="7"/>
  <c r="V160" i="7"/>
  <c r="AX160" i="7"/>
  <c r="BA161" i="7"/>
  <c r="AF162" i="7"/>
  <c r="AL163" i="7"/>
  <c r="AI165" i="7"/>
  <c r="AF168" i="7"/>
  <c r="X170" i="7"/>
  <c r="U173" i="7"/>
  <c r="Y158" i="7"/>
  <c r="AK158" i="7"/>
  <c r="AW158" i="7"/>
  <c r="X159" i="7"/>
  <c r="AJ159" i="7"/>
  <c r="AV159" i="7"/>
  <c r="W160" i="7"/>
  <c r="AI160" i="7"/>
  <c r="AU160" i="7"/>
  <c r="V161" i="7"/>
  <c r="AH161" i="7"/>
  <c r="AT161" i="7"/>
  <c r="U162" i="7"/>
  <c r="AG162" i="7"/>
  <c r="AS162" i="7"/>
  <c r="AA163" i="7"/>
  <c r="AM163" i="7"/>
  <c r="AY163" i="7"/>
  <c r="Y164" i="7"/>
  <c r="AK164" i="7"/>
  <c r="AW164" i="7"/>
  <c r="X165" i="7"/>
  <c r="AJ165" i="7"/>
  <c r="AV165" i="7"/>
  <c r="W166" i="7"/>
  <c r="AI166" i="7"/>
  <c r="AU166" i="7"/>
  <c r="V167" i="7"/>
  <c r="AH167" i="7"/>
  <c r="AT167" i="7"/>
  <c r="U168" i="7"/>
  <c r="AG168" i="7"/>
  <c r="AS168" i="7"/>
  <c r="AA169" i="7"/>
  <c r="AM169" i="7"/>
  <c r="AY169" i="7"/>
  <c r="Y170" i="7"/>
  <c r="AK170" i="7"/>
  <c r="AW170" i="7"/>
  <c r="X171" i="7"/>
  <c r="AJ171" i="7"/>
  <c r="AV171" i="7"/>
  <c r="W172" i="7"/>
  <c r="AI172" i="7"/>
  <c r="AU172" i="7"/>
  <c r="V173" i="7"/>
  <c r="AH173" i="7"/>
  <c r="AT173" i="7"/>
  <c r="U174" i="7"/>
  <c r="AG174" i="7"/>
  <c r="AS174" i="7"/>
  <c r="AA175" i="7"/>
  <c r="AM175" i="7"/>
  <c r="AY175" i="7"/>
  <c r="Y176" i="7"/>
  <c r="AK176" i="7"/>
  <c r="AW176" i="7"/>
  <c r="X177" i="7"/>
  <c r="AJ177" i="7"/>
  <c r="AV177" i="7"/>
  <c r="BN44" i="7" a="1"/>
  <c r="BN44" i="7" s="1"/>
  <c r="W178" i="7"/>
  <c r="AI178" i="7"/>
  <c r="AU178" i="7"/>
  <c r="V179" i="7"/>
  <c r="AH179" i="7"/>
  <c r="AT179" i="7"/>
  <c r="U180" i="7"/>
  <c r="AG180" i="7"/>
  <c r="AT180" i="7"/>
  <c r="AC181" i="7"/>
  <c r="BA181" i="7"/>
  <c r="S182" i="7"/>
  <c r="AQ186" i="7"/>
  <c r="AU188" i="7"/>
  <c r="AR191" i="7"/>
  <c r="AG196" i="7"/>
  <c r="Y199" i="7"/>
  <c r="V201" i="7"/>
  <c r="W204" i="7"/>
  <c r="AN217" i="7"/>
  <c r="W161" i="7"/>
  <c r="AI161" i="7"/>
  <c r="AU161" i="7"/>
  <c r="V162" i="7"/>
  <c r="AH162" i="7"/>
  <c r="AT162" i="7"/>
  <c r="AB163" i="7"/>
  <c r="AN163" i="7"/>
  <c r="AZ163" i="7"/>
  <c r="Z164" i="7"/>
  <c r="AL164" i="7"/>
  <c r="AX164" i="7"/>
  <c r="Y165" i="7"/>
  <c r="AK165" i="7"/>
  <c r="AW165" i="7"/>
  <c r="X166" i="7"/>
  <c r="AJ166" i="7"/>
  <c r="AV166" i="7"/>
  <c r="W167" i="7"/>
  <c r="AI167" i="7"/>
  <c r="AU167" i="7"/>
  <c r="V168" i="7"/>
  <c r="AH168" i="7"/>
  <c r="AT168" i="7"/>
  <c r="AB169" i="7"/>
  <c r="AN169" i="7"/>
  <c r="AZ169" i="7"/>
  <c r="Z170" i="7"/>
  <c r="AL170" i="7"/>
  <c r="AX170" i="7"/>
  <c r="Y171" i="7"/>
  <c r="AK171" i="7"/>
  <c r="AW171" i="7"/>
  <c r="X172" i="7"/>
  <c r="AJ172" i="7"/>
  <c r="AV172" i="7"/>
  <c r="W173" i="7"/>
  <c r="AI173" i="7"/>
  <c r="AU173" i="7"/>
  <c r="V174" i="7"/>
  <c r="AH174" i="7"/>
  <c r="AT174" i="7"/>
  <c r="AB175" i="7"/>
  <c r="AN175" i="7"/>
  <c r="AZ175" i="7"/>
  <c r="Z176" i="7"/>
  <c r="AL176" i="7"/>
  <c r="AX176" i="7"/>
  <c r="Y177" i="7"/>
  <c r="AK177" i="7"/>
  <c r="AW177" i="7"/>
  <c r="X178" i="7"/>
  <c r="AJ178" i="7"/>
  <c r="AV178" i="7"/>
  <c r="W179" i="7"/>
  <c r="AI179" i="7"/>
  <c r="AU179" i="7"/>
  <c r="V180" i="7"/>
  <c r="AH180" i="7"/>
  <c r="AU180" i="7"/>
  <c r="AG181" i="7"/>
  <c r="W182" i="7"/>
  <c r="U184" i="7"/>
  <c r="AS196" i="7"/>
  <c r="AK199" i="7"/>
  <c r="AH201" i="7"/>
  <c r="AK204" i="7"/>
  <c r="Z159" i="7"/>
  <c r="AL159" i="7"/>
  <c r="AX159" i="7"/>
  <c r="Y160" i="7"/>
  <c r="AK160" i="7"/>
  <c r="AW160" i="7"/>
  <c r="X161" i="7"/>
  <c r="AJ161" i="7"/>
  <c r="AV161" i="7"/>
  <c r="W162" i="7"/>
  <c r="AI162" i="7"/>
  <c r="AU162" i="7"/>
  <c r="AC163" i="7"/>
  <c r="AO163" i="7"/>
  <c r="BA163" i="7"/>
  <c r="AA164" i="7"/>
  <c r="AM164" i="7"/>
  <c r="AY164" i="7"/>
  <c r="Z165" i="7"/>
  <c r="AL165" i="7"/>
  <c r="AX165" i="7"/>
  <c r="Y166" i="7"/>
  <c r="AK166" i="7"/>
  <c r="AW166" i="7"/>
  <c r="X167" i="7"/>
  <c r="AJ167" i="7"/>
  <c r="AV167" i="7"/>
  <c r="W168" i="7"/>
  <c r="AI168" i="7"/>
  <c r="AU168" i="7"/>
  <c r="AC169" i="7"/>
  <c r="AO169" i="7"/>
  <c r="BA169" i="7"/>
  <c r="AA170" i="7"/>
  <c r="AM170" i="7"/>
  <c r="AY170" i="7"/>
  <c r="Z171" i="7"/>
  <c r="AL171" i="7"/>
  <c r="AX171" i="7"/>
  <c r="Y172" i="7"/>
  <c r="AK172" i="7"/>
  <c r="AW172" i="7"/>
  <c r="X173" i="7"/>
  <c r="AJ173" i="7"/>
  <c r="AV173" i="7"/>
  <c r="W174" i="7"/>
  <c r="AI174" i="7"/>
  <c r="AU174" i="7"/>
  <c r="AC175" i="7"/>
  <c r="AO175" i="7"/>
  <c r="BA175" i="7"/>
  <c r="AA176" i="7"/>
  <c r="AM176" i="7"/>
  <c r="AY176" i="7"/>
  <c r="Z177" i="7"/>
  <c r="AL177" i="7"/>
  <c r="AX177" i="7"/>
  <c r="Y178" i="7"/>
  <c r="AK178" i="7"/>
  <c r="AW178" i="7"/>
  <c r="X179" i="7"/>
  <c r="AJ179" i="7"/>
  <c r="AV179" i="7"/>
  <c r="W180" i="7"/>
  <c r="AI180" i="7"/>
  <c r="AW180" i="7"/>
  <c r="AH181" i="7"/>
  <c r="AE182" i="7"/>
  <c r="AG184" i="7"/>
  <c r="Y187" i="7"/>
  <c r="V189" i="7"/>
  <c r="AW199" i="7"/>
  <c r="AT201" i="7"/>
  <c r="BB204" i="7"/>
  <c r="AV214" i="7"/>
  <c r="AK219" i="7"/>
  <c r="AJ162" i="7"/>
  <c r="AV162" i="7"/>
  <c r="AD163" i="7"/>
  <c r="AP163" i="7"/>
  <c r="BB163" i="7"/>
  <c r="AB164" i="7"/>
  <c r="AN164" i="7"/>
  <c r="AZ164" i="7"/>
  <c r="AA165" i="7"/>
  <c r="AM165" i="7"/>
  <c r="AY165" i="7"/>
  <c r="Z166" i="7"/>
  <c r="AL166" i="7"/>
  <c r="AX166" i="7"/>
  <c r="Y167" i="7"/>
  <c r="AK167" i="7"/>
  <c r="AW167" i="7"/>
  <c r="X168" i="7"/>
  <c r="AJ168" i="7"/>
  <c r="AV168" i="7"/>
  <c r="AD169" i="7"/>
  <c r="AP169" i="7"/>
  <c r="BB169" i="7"/>
  <c r="AB170" i="7"/>
  <c r="AN170" i="7"/>
  <c r="AZ170" i="7"/>
  <c r="AA171" i="7"/>
  <c r="AM171" i="7"/>
  <c r="AY171" i="7"/>
  <c r="Z172" i="7"/>
  <c r="AL172" i="7"/>
  <c r="AX172" i="7"/>
  <c r="Y173" i="7"/>
  <c r="AK173" i="7"/>
  <c r="AW173" i="7"/>
  <c r="X174" i="7"/>
  <c r="AJ174" i="7"/>
  <c r="AV174" i="7"/>
  <c r="AD175" i="7"/>
  <c r="AP175" i="7"/>
  <c r="BB175" i="7"/>
  <c r="AB176" i="7"/>
  <c r="AN176" i="7"/>
  <c r="AZ176" i="7"/>
  <c r="AA177" i="7"/>
  <c r="AM177" i="7"/>
  <c r="AY177" i="7"/>
  <c r="Z178" i="7"/>
  <c r="AL178" i="7"/>
  <c r="AX178" i="7"/>
  <c r="Y179" i="7"/>
  <c r="AK179" i="7"/>
  <c r="AW179" i="7"/>
  <c r="X180" i="7"/>
  <c r="AK180" i="7"/>
  <c r="AX180" i="7"/>
  <c r="AK181" i="7"/>
  <c r="AI182" i="7"/>
  <c r="AS184" i="7"/>
  <c r="AK187" i="7"/>
  <c r="AH189" i="7"/>
  <c r="S192" i="7"/>
  <c r="W194" i="7"/>
  <c r="T197" i="7"/>
  <c r="S157" i="7"/>
  <c r="AE157" i="7"/>
  <c r="AQ157" i="7"/>
  <c r="AC158" i="7"/>
  <c r="AO158" i="7"/>
  <c r="BA158" i="7"/>
  <c r="BI25" i="7" a="1"/>
  <c r="BI25" i="7" s="1"/>
  <c r="AB159" i="7"/>
  <c r="AN159" i="7"/>
  <c r="AZ159" i="7"/>
  <c r="AA160" i="7"/>
  <c r="AM160" i="7"/>
  <c r="AY160" i="7"/>
  <c r="Z161" i="7"/>
  <c r="AL161" i="7"/>
  <c r="AX161" i="7"/>
  <c r="Y162" i="7"/>
  <c r="AK162" i="7"/>
  <c r="AW162" i="7"/>
  <c r="S163" i="7"/>
  <c r="AE163" i="7"/>
  <c r="AQ163" i="7"/>
  <c r="AC164" i="7"/>
  <c r="AO164" i="7"/>
  <c r="BA164" i="7"/>
  <c r="AB165" i="7"/>
  <c r="AN165" i="7"/>
  <c r="AZ165" i="7"/>
  <c r="AA166" i="7"/>
  <c r="AM166" i="7"/>
  <c r="AY166" i="7"/>
  <c r="Z167" i="7"/>
  <c r="AL167" i="7"/>
  <c r="AX167" i="7"/>
  <c r="Y168" i="7"/>
  <c r="AK168" i="7"/>
  <c r="AW168" i="7"/>
  <c r="S169" i="7"/>
  <c r="AE169" i="7"/>
  <c r="AQ169" i="7"/>
  <c r="AC170" i="7"/>
  <c r="AO170" i="7"/>
  <c r="BA170" i="7"/>
  <c r="AB171" i="7"/>
  <c r="AN171" i="7"/>
  <c r="AZ171" i="7"/>
  <c r="AA172" i="7"/>
  <c r="AM172" i="7"/>
  <c r="AY172" i="7"/>
  <c r="Z173" i="7"/>
  <c r="AL173" i="7"/>
  <c r="AX173" i="7"/>
  <c r="Y174" i="7"/>
  <c r="AK174" i="7"/>
  <c r="AW174" i="7"/>
  <c r="S175" i="7"/>
  <c r="AE175" i="7"/>
  <c r="AQ175" i="7"/>
  <c r="AC176" i="7"/>
  <c r="AO176" i="7"/>
  <c r="BA176" i="7"/>
  <c r="AB177" i="7"/>
  <c r="AN177" i="7"/>
  <c r="AZ177" i="7"/>
  <c r="AA178" i="7"/>
  <c r="AM178" i="7"/>
  <c r="AY178" i="7"/>
  <c r="Z179" i="7"/>
  <c r="AL179" i="7"/>
  <c r="AX179" i="7"/>
  <c r="Y180" i="7"/>
  <c r="AL180" i="7"/>
  <c r="AY180" i="7"/>
  <c r="AL181" i="7"/>
  <c r="AQ182" i="7"/>
  <c r="AW187" i="7"/>
  <c r="AT189" i="7"/>
  <c r="AE192" i="7"/>
  <c r="AI194" i="7"/>
  <c r="AF197" i="7"/>
  <c r="U202" i="7"/>
  <c r="T157" i="7"/>
  <c r="AF157" i="7"/>
  <c r="AR157" i="7"/>
  <c r="AD158" i="7"/>
  <c r="AP158" i="7"/>
  <c r="BB158" i="7"/>
  <c r="AC159" i="7"/>
  <c r="AO159" i="7"/>
  <c r="BA159" i="7"/>
  <c r="AB160" i="7"/>
  <c r="AN160" i="7"/>
  <c r="AZ160" i="7"/>
  <c r="AA161" i="7"/>
  <c r="AM161" i="7"/>
  <c r="AY161" i="7"/>
  <c r="Z162" i="7"/>
  <c r="AL162" i="7"/>
  <c r="AX162" i="7"/>
  <c r="T163" i="7"/>
  <c r="AF163" i="7"/>
  <c r="AR163" i="7"/>
  <c r="AD164" i="7"/>
  <c r="AP164" i="7"/>
  <c r="BB164" i="7"/>
  <c r="AC165" i="7"/>
  <c r="AO165" i="7"/>
  <c r="BA165" i="7"/>
  <c r="AB166" i="7"/>
  <c r="AN166" i="7"/>
  <c r="AZ166" i="7"/>
  <c r="AA167" i="7"/>
  <c r="AM167" i="7"/>
  <c r="AY167" i="7"/>
  <c r="Z168" i="7"/>
  <c r="AL168" i="7"/>
  <c r="AX168" i="7"/>
  <c r="T169" i="7"/>
  <c r="AF169" i="7"/>
  <c r="AR169" i="7"/>
  <c r="AD170" i="7"/>
  <c r="AP170" i="7"/>
  <c r="BB170" i="7"/>
  <c r="AC171" i="7"/>
  <c r="AO171" i="7"/>
  <c r="BA171" i="7"/>
  <c r="AB172" i="7"/>
  <c r="AN172" i="7"/>
  <c r="AZ172" i="7"/>
  <c r="AA173" i="7"/>
  <c r="AM173" i="7"/>
  <c r="AY173" i="7"/>
  <c r="Z174" i="7"/>
  <c r="AL174" i="7"/>
  <c r="AX174" i="7"/>
  <c r="T175" i="7"/>
  <c r="AF175" i="7"/>
  <c r="AR175" i="7"/>
  <c r="AD176" i="7"/>
  <c r="AP176" i="7"/>
  <c r="BB176" i="7"/>
  <c r="AC177" i="7"/>
  <c r="AO177" i="7"/>
  <c r="BA177" i="7"/>
  <c r="AB178" i="7"/>
  <c r="AN178" i="7"/>
  <c r="AZ178" i="7"/>
  <c r="AA179" i="7"/>
  <c r="AM179" i="7"/>
  <c r="AY179" i="7"/>
  <c r="Z180" i="7"/>
  <c r="AM180" i="7"/>
  <c r="AZ180" i="7"/>
  <c r="AM181" i="7"/>
  <c r="AU182" i="7"/>
  <c r="T185" i="7"/>
  <c r="AQ192" i="7"/>
  <c r="AU194" i="7"/>
  <c r="AR197" i="7"/>
  <c r="AG202" i="7"/>
  <c r="S158" i="7"/>
  <c r="AE158" i="7"/>
  <c r="AQ158" i="7"/>
  <c r="AD159" i="7"/>
  <c r="AP159" i="7"/>
  <c r="BB159" i="7"/>
  <c r="AC160" i="7"/>
  <c r="AO160" i="7"/>
  <c r="BA160" i="7"/>
  <c r="AB161" i="7"/>
  <c r="AN161" i="7"/>
  <c r="AZ161" i="7"/>
  <c r="AA162" i="7"/>
  <c r="AM162" i="7"/>
  <c r="AY162" i="7"/>
  <c r="U163" i="7"/>
  <c r="AG163" i="7"/>
  <c r="AS163" i="7"/>
  <c r="S164" i="7"/>
  <c r="AE164" i="7"/>
  <c r="AQ164" i="7"/>
  <c r="AD165" i="7"/>
  <c r="AP165" i="7"/>
  <c r="BB165" i="7"/>
  <c r="AC166" i="7"/>
  <c r="AO166" i="7"/>
  <c r="BA166" i="7"/>
  <c r="AB167" i="7"/>
  <c r="AN167" i="7"/>
  <c r="AZ167" i="7"/>
  <c r="AA168" i="7"/>
  <c r="AM168" i="7"/>
  <c r="AY168" i="7"/>
  <c r="U169" i="7"/>
  <c r="AG169" i="7"/>
  <c r="AS169" i="7"/>
  <c r="S170" i="7"/>
  <c r="AE170" i="7"/>
  <c r="AQ170" i="7"/>
  <c r="AD171" i="7"/>
  <c r="AP171" i="7"/>
  <c r="BB171" i="7"/>
  <c r="AC172" i="7"/>
  <c r="AO172" i="7"/>
  <c r="BA172" i="7"/>
  <c r="AB173" i="7"/>
  <c r="AN173" i="7"/>
  <c r="AZ173" i="7"/>
  <c r="AA174" i="7"/>
  <c r="AM174" i="7"/>
  <c r="AY174" i="7"/>
  <c r="U175" i="7"/>
  <c r="AG175" i="7"/>
  <c r="AS175" i="7"/>
  <c r="S176" i="7"/>
  <c r="AE176" i="7"/>
  <c r="AQ176" i="7"/>
  <c r="AD177" i="7"/>
  <c r="AP177" i="7"/>
  <c r="BB177" i="7"/>
  <c r="AC178" i="7"/>
  <c r="AO178" i="7"/>
  <c r="BA178" i="7"/>
  <c r="AB179" i="7"/>
  <c r="AN179" i="7"/>
  <c r="AZ179" i="7"/>
  <c r="AA180" i="7"/>
  <c r="AN180" i="7"/>
  <c r="BA180" i="7"/>
  <c r="AO181" i="7"/>
  <c r="AF185" i="7"/>
  <c r="U190" i="7"/>
  <c r="AS202" i="7"/>
  <c r="V163" i="7"/>
  <c r="AH163" i="7"/>
  <c r="AT163" i="7"/>
  <c r="T164" i="7"/>
  <c r="AF164" i="7"/>
  <c r="AR164" i="7"/>
  <c r="S165" i="7"/>
  <c r="AE165" i="7"/>
  <c r="AQ165" i="7"/>
  <c r="AD166" i="7"/>
  <c r="AP166" i="7"/>
  <c r="BB166" i="7"/>
  <c r="AC167" i="7"/>
  <c r="AO167" i="7"/>
  <c r="BA167" i="7"/>
  <c r="BZ34" i="7" a="1"/>
  <c r="BZ34" i="7" s="1"/>
  <c r="AB168" i="7"/>
  <c r="AN168" i="7"/>
  <c r="AZ168" i="7"/>
  <c r="V169" i="7"/>
  <c r="AH169" i="7"/>
  <c r="AT169" i="7"/>
  <c r="T170" i="7"/>
  <c r="AF170" i="7"/>
  <c r="AR170" i="7"/>
  <c r="S171" i="7"/>
  <c r="AE171" i="7"/>
  <c r="AQ171" i="7"/>
  <c r="AD172" i="7"/>
  <c r="AP172" i="7"/>
  <c r="BB172" i="7"/>
  <c r="AC173" i="7"/>
  <c r="AO173" i="7"/>
  <c r="BA173" i="7"/>
  <c r="AB174" i="7"/>
  <c r="AN174" i="7"/>
  <c r="AZ174" i="7"/>
  <c r="V175" i="7"/>
  <c r="AH175" i="7"/>
  <c r="AT175" i="7"/>
  <c r="T176" i="7"/>
  <c r="AF176" i="7"/>
  <c r="AR176" i="7"/>
  <c r="S177" i="7"/>
  <c r="AE177" i="7"/>
  <c r="AQ177" i="7"/>
  <c r="AD178" i="7"/>
  <c r="AP178" i="7"/>
  <c r="BB178" i="7"/>
  <c r="AC179" i="7"/>
  <c r="AO179" i="7"/>
  <c r="BA179" i="7"/>
  <c r="AB180" i="7"/>
  <c r="AO180" i="7"/>
  <c r="BB180" i="7"/>
  <c r="U181" i="7"/>
  <c r="AS181" i="7"/>
  <c r="AR185" i="7"/>
  <c r="AG190" i="7"/>
  <c r="Y193" i="7"/>
  <c r="V195" i="7"/>
  <c r="AV205" i="7"/>
  <c r="W163" i="7"/>
  <c r="AI163" i="7"/>
  <c r="AU163" i="7"/>
  <c r="U164" i="7"/>
  <c r="AG164" i="7"/>
  <c r="AS164" i="7"/>
  <c r="T165" i="7"/>
  <c r="AF165" i="7"/>
  <c r="AR165" i="7"/>
  <c r="S166" i="7"/>
  <c r="AE166" i="7"/>
  <c r="AQ166" i="7"/>
  <c r="AD167" i="7"/>
  <c r="AP167" i="7"/>
  <c r="BB167" i="7"/>
  <c r="AC168" i="7"/>
  <c r="AO168" i="7"/>
  <c r="BA168" i="7"/>
  <c r="W169" i="7"/>
  <c r="AI169" i="7"/>
  <c r="AU169" i="7"/>
  <c r="U170" i="7"/>
  <c r="AG170" i="7"/>
  <c r="AS170" i="7"/>
  <c r="T171" i="7"/>
  <c r="AF171" i="7"/>
  <c r="AR171" i="7"/>
  <c r="S172" i="7"/>
  <c r="AE172" i="7"/>
  <c r="AQ172" i="7"/>
  <c r="AD173" i="7"/>
  <c r="AP173" i="7"/>
  <c r="BB173" i="7"/>
  <c r="AC174" i="7"/>
  <c r="AO174" i="7"/>
  <c r="BA174" i="7"/>
  <c r="W175" i="7"/>
  <c r="AI175" i="7"/>
  <c r="AU175" i="7"/>
  <c r="U176" i="7"/>
  <c r="AG176" i="7"/>
  <c r="AS176" i="7"/>
  <c r="T177" i="7"/>
  <c r="AF177" i="7"/>
  <c r="AR177" i="7"/>
  <c r="S178" i="7"/>
  <c r="AE178" i="7"/>
  <c r="AQ178" i="7"/>
  <c r="AD179" i="7"/>
  <c r="AP179" i="7"/>
  <c r="BB179" i="7"/>
  <c r="AC180" i="7"/>
  <c r="AP180" i="7"/>
  <c r="V181" i="7"/>
  <c r="AT181" i="7"/>
  <c r="AS190" i="7"/>
  <c r="AK193" i="7"/>
  <c r="AH195" i="7"/>
  <c r="S198" i="7"/>
  <c r="W200" i="7"/>
  <c r="T203" i="7"/>
  <c r="X157" i="7"/>
  <c r="AJ157" i="7"/>
  <c r="AV157" i="7"/>
  <c r="V158" i="7"/>
  <c r="AH158" i="7"/>
  <c r="AT158" i="7"/>
  <c r="U159" i="7"/>
  <c r="AG159" i="7"/>
  <c r="AS159" i="7"/>
  <c r="T160" i="7"/>
  <c r="AF160" i="7"/>
  <c r="AR160" i="7"/>
  <c r="S161" i="7"/>
  <c r="AE161" i="7"/>
  <c r="AQ161" i="7"/>
  <c r="AD162" i="7"/>
  <c r="AP162" i="7"/>
  <c r="BB162" i="7"/>
  <c r="X163" i="7"/>
  <c r="AJ163" i="7"/>
  <c r="AV163" i="7"/>
  <c r="V164" i="7"/>
  <c r="AH164" i="7"/>
  <c r="AT164" i="7"/>
  <c r="U165" i="7"/>
  <c r="AG165" i="7"/>
  <c r="AS165" i="7"/>
  <c r="T166" i="7"/>
  <c r="AF166" i="7"/>
  <c r="AR166" i="7"/>
  <c r="S167" i="7"/>
  <c r="AE167" i="7"/>
  <c r="AQ167" i="7"/>
  <c r="AD168" i="7"/>
  <c r="AP168" i="7"/>
  <c r="BB168" i="7"/>
  <c r="X169" i="7"/>
  <c r="AJ169" i="7"/>
  <c r="AV169" i="7"/>
  <c r="V170" i="7"/>
  <c r="AH170" i="7"/>
  <c r="AT170" i="7"/>
  <c r="U171" i="7"/>
  <c r="AG171" i="7"/>
  <c r="AS171" i="7"/>
  <c r="T172" i="7"/>
  <c r="AF172" i="7"/>
  <c r="AR172" i="7"/>
  <c r="S173" i="7"/>
  <c r="AE173" i="7"/>
  <c r="AQ173" i="7"/>
  <c r="AD174" i="7"/>
  <c r="AP174" i="7"/>
  <c r="BB174" i="7"/>
  <c r="X175" i="7"/>
  <c r="AJ175" i="7"/>
  <c r="AV175" i="7"/>
  <c r="V176" i="7"/>
  <c r="AH176" i="7"/>
  <c r="AT176" i="7"/>
  <c r="U177" i="7"/>
  <c r="AG177" i="7"/>
  <c r="AS177" i="7"/>
  <c r="T178" i="7"/>
  <c r="AF178" i="7"/>
  <c r="AR178" i="7"/>
  <c r="S179" i="7"/>
  <c r="AE179" i="7"/>
  <c r="AQ179" i="7"/>
  <c r="AD180" i="7"/>
  <c r="AQ180" i="7"/>
  <c r="Y181" i="7"/>
  <c r="AW181" i="7"/>
  <c r="V183" i="7"/>
  <c r="AW193" i="7"/>
  <c r="AT195" i="7"/>
  <c r="AE198" i="7"/>
  <c r="AI200" i="7"/>
  <c r="AF203" i="7"/>
  <c r="Y157" i="7"/>
  <c r="AK157" i="7"/>
  <c r="AW157" i="7"/>
  <c r="W158" i="7"/>
  <c r="AI158" i="7"/>
  <c r="AU158" i="7"/>
  <c r="V159" i="7"/>
  <c r="AH159" i="7"/>
  <c r="AT159" i="7"/>
  <c r="U160" i="7"/>
  <c r="AG160" i="7"/>
  <c r="AS160" i="7"/>
  <c r="T161" i="7"/>
  <c r="AF161" i="7"/>
  <c r="AR161" i="7"/>
  <c r="S162" i="7"/>
  <c r="AE162" i="7"/>
  <c r="AQ162" i="7"/>
  <c r="Y163" i="7"/>
  <c r="AK163" i="7"/>
  <c r="AW163" i="7"/>
  <c r="W164" i="7"/>
  <c r="AI164" i="7"/>
  <c r="AU164" i="7"/>
  <c r="V165" i="7"/>
  <c r="AH165" i="7"/>
  <c r="AT165" i="7"/>
  <c r="U166" i="7"/>
  <c r="AG166" i="7"/>
  <c r="AS166" i="7"/>
  <c r="T167" i="7"/>
  <c r="AF167" i="7"/>
  <c r="AR167" i="7"/>
  <c r="S168" i="7"/>
  <c r="AE168" i="7"/>
  <c r="AQ168" i="7"/>
  <c r="Y169" i="7"/>
  <c r="AK169" i="7"/>
  <c r="AW169" i="7"/>
  <c r="W170" i="7"/>
  <c r="AI170" i="7"/>
  <c r="AU170" i="7"/>
  <c r="V171" i="7"/>
  <c r="AH171" i="7"/>
  <c r="AT171" i="7"/>
  <c r="U172" i="7"/>
  <c r="AG172" i="7"/>
  <c r="AS172" i="7"/>
  <c r="T173" i="7"/>
  <c r="AF173" i="7"/>
  <c r="AR173" i="7"/>
  <c r="S174" i="7"/>
  <c r="AE174" i="7"/>
  <c r="AQ174" i="7"/>
  <c r="Y175" i="7"/>
  <c r="AK175" i="7"/>
  <c r="AW175" i="7"/>
  <c r="W176" i="7"/>
  <c r="AI176" i="7"/>
  <c r="AU176" i="7"/>
  <c r="V177" i="7"/>
  <c r="AH177" i="7"/>
  <c r="AT177" i="7"/>
  <c r="U178" i="7"/>
  <c r="AG178" i="7"/>
  <c r="AS178" i="7"/>
  <c r="T179" i="7"/>
  <c r="AF179" i="7"/>
  <c r="AR179" i="7"/>
  <c r="S180" i="7"/>
  <c r="AE180" i="7"/>
  <c r="AR180" i="7"/>
  <c r="Z181" i="7"/>
  <c r="AX181" i="7"/>
  <c r="AH183" i="7"/>
  <c r="S186" i="7"/>
  <c r="W188" i="7"/>
  <c r="T191" i="7"/>
  <c r="AQ198" i="7"/>
  <c r="AU200" i="7"/>
  <c r="AR203" i="7"/>
  <c r="X182" i="7"/>
  <c r="AJ182" i="7"/>
  <c r="AV182" i="7"/>
  <c r="W183" i="7"/>
  <c r="AI183" i="7"/>
  <c r="AU183" i="7"/>
  <c r="V184" i="7"/>
  <c r="AH184" i="7"/>
  <c r="AT184" i="7"/>
  <c r="U185" i="7"/>
  <c r="AG185" i="7"/>
  <c r="AS185" i="7"/>
  <c r="T186" i="7"/>
  <c r="AF186" i="7"/>
  <c r="AR186" i="7"/>
  <c r="Z187" i="7"/>
  <c r="AL187" i="7"/>
  <c r="AX187" i="7"/>
  <c r="X188" i="7"/>
  <c r="AJ188" i="7"/>
  <c r="AV188" i="7"/>
  <c r="W189" i="7"/>
  <c r="AI189" i="7"/>
  <c r="AU189" i="7"/>
  <c r="V190" i="7"/>
  <c r="AH190" i="7"/>
  <c r="AT190" i="7"/>
  <c r="U191" i="7"/>
  <c r="AG191" i="7"/>
  <c r="AS191" i="7"/>
  <c r="T192" i="7"/>
  <c r="AF192" i="7"/>
  <c r="AR192" i="7"/>
  <c r="Z193" i="7"/>
  <c r="AL193" i="7"/>
  <c r="AX193" i="7"/>
  <c r="X194" i="7"/>
  <c r="AJ194" i="7"/>
  <c r="AV194" i="7"/>
  <c r="W195" i="7"/>
  <c r="AI195" i="7"/>
  <c r="AU195" i="7"/>
  <c r="V196" i="7"/>
  <c r="AH196" i="7"/>
  <c r="AT196" i="7"/>
  <c r="U197" i="7"/>
  <c r="AG197" i="7"/>
  <c r="AS197" i="7"/>
  <c r="T198" i="7"/>
  <c r="AF198" i="7"/>
  <c r="AR198" i="7"/>
  <c r="Z199" i="7"/>
  <c r="AL199" i="7"/>
  <c r="AX199" i="7"/>
  <c r="X200" i="7"/>
  <c r="AJ200" i="7"/>
  <c r="AV200" i="7"/>
  <c r="W201" i="7"/>
  <c r="AI201" i="7"/>
  <c r="AU201" i="7"/>
  <c r="V202" i="7"/>
  <c r="AH202" i="7"/>
  <c r="AT202" i="7"/>
  <c r="U203" i="7"/>
  <c r="AG203" i="7"/>
  <c r="AS203" i="7"/>
  <c r="X204" i="7"/>
  <c r="AL204" i="7"/>
  <c r="T205" i="7"/>
  <c r="AW205" i="7"/>
  <c r="Y207" i="7"/>
  <c r="V210" i="7"/>
  <c r="AZ217" i="7"/>
  <c r="AW219" i="7"/>
  <c r="S229" i="7"/>
  <c r="Y182" i="7"/>
  <c r="AK182" i="7"/>
  <c r="AW182" i="7"/>
  <c r="X183" i="7"/>
  <c r="AJ183" i="7"/>
  <c r="AV183" i="7"/>
  <c r="W184" i="7"/>
  <c r="AI184" i="7"/>
  <c r="AU184" i="7"/>
  <c r="V185" i="7"/>
  <c r="AH185" i="7"/>
  <c r="AT185" i="7"/>
  <c r="U186" i="7"/>
  <c r="AG186" i="7"/>
  <c r="AS186" i="7"/>
  <c r="AA187" i="7"/>
  <c r="AM187" i="7"/>
  <c r="AY187" i="7"/>
  <c r="Y188" i="7"/>
  <c r="AK188" i="7"/>
  <c r="AW188" i="7"/>
  <c r="X189" i="7"/>
  <c r="AJ189" i="7"/>
  <c r="AV189" i="7"/>
  <c r="W190" i="7"/>
  <c r="AI190" i="7"/>
  <c r="AU190" i="7"/>
  <c r="V191" i="7"/>
  <c r="AH191" i="7"/>
  <c r="AT191" i="7"/>
  <c r="U192" i="7"/>
  <c r="AG192" i="7"/>
  <c r="AS192" i="7"/>
  <c r="AA193" i="7"/>
  <c r="AM193" i="7"/>
  <c r="AY193" i="7"/>
  <c r="Y194" i="7"/>
  <c r="AK194" i="7"/>
  <c r="AW194" i="7"/>
  <c r="X195" i="7"/>
  <c r="AJ195" i="7"/>
  <c r="AV195" i="7"/>
  <c r="W196" i="7"/>
  <c r="AI196" i="7"/>
  <c r="AU196" i="7"/>
  <c r="V197" i="7"/>
  <c r="AH197" i="7"/>
  <c r="AT197" i="7"/>
  <c r="U198" i="7"/>
  <c r="AG198" i="7"/>
  <c r="AS198" i="7"/>
  <c r="AA199" i="7"/>
  <c r="AM199" i="7"/>
  <c r="AY199" i="7"/>
  <c r="Y200" i="7"/>
  <c r="AK200" i="7"/>
  <c r="AW200" i="7"/>
  <c r="X201" i="7"/>
  <c r="AJ201" i="7"/>
  <c r="AV201" i="7"/>
  <c r="W202" i="7"/>
  <c r="AI202" i="7"/>
  <c r="AU202" i="7"/>
  <c r="V203" i="7"/>
  <c r="AH203" i="7"/>
  <c r="AT203" i="7"/>
  <c r="Y204" i="7"/>
  <c r="AO204" i="7"/>
  <c r="X205" i="7"/>
  <c r="AZ205" i="7"/>
  <c r="AK207" i="7"/>
  <c r="AH210" i="7"/>
  <c r="Z212" i="7"/>
  <c r="W215" i="7"/>
  <c r="AB181" i="7"/>
  <c r="AN181" i="7"/>
  <c r="AZ181" i="7"/>
  <c r="Z182" i="7"/>
  <c r="AL182" i="7"/>
  <c r="AX182" i="7"/>
  <c r="Y183" i="7"/>
  <c r="AK183" i="7"/>
  <c r="AW183" i="7"/>
  <c r="X184" i="7"/>
  <c r="AJ184" i="7"/>
  <c r="AV184" i="7"/>
  <c r="W185" i="7"/>
  <c r="AI185" i="7"/>
  <c r="AU185" i="7"/>
  <c r="V186" i="7"/>
  <c r="AH186" i="7"/>
  <c r="AT186" i="7"/>
  <c r="AB187" i="7"/>
  <c r="AN187" i="7"/>
  <c r="AZ187" i="7"/>
  <c r="Z188" i="7"/>
  <c r="AL188" i="7"/>
  <c r="AX188" i="7"/>
  <c r="Y189" i="7"/>
  <c r="AK189" i="7"/>
  <c r="AW189" i="7"/>
  <c r="X190" i="7"/>
  <c r="AJ190" i="7"/>
  <c r="AV190" i="7"/>
  <c r="W191" i="7"/>
  <c r="AI191" i="7"/>
  <c r="AU191" i="7"/>
  <c r="V192" i="7"/>
  <c r="AH192" i="7"/>
  <c r="AT192" i="7"/>
  <c r="AB193" i="7"/>
  <c r="AN193" i="7"/>
  <c r="AZ193" i="7"/>
  <c r="Z194" i="7"/>
  <c r="AL194" i="7"/>
  <c r="AX194" i="7"/>
  <c r="Y195" i="7"/>
  <c r="AK195" i="7"/>
  <c r="AW195" i="7"/>
  <c r="X196" i="7"/>
  <c r="AJ196" i="7"/>
  <c r="AV196" i="7"/>
  <c r="W197" i="7"/>
  <c r="AI197" i="7"/>
  <c r="AU197" i="7"/>
  <c r="V198" i="7"/>
  <c r="AH198" i="7"/>
  <c r="AT198" i="7"/>
  <c r="AB199" i="7"/>
  <c r="AN199" i="7"/>
  <c r="AZ199" i="7"/>
  <c r="Z200" i="7"/>
  <c r="AL200" i="7"/>
  <c r="AX200" i="7"/>
  <c r="Y201" i="7"/>
  <c r="AK201" i="7"/>
  <c r="AW201" i="7"/>
  <c r="X202" i="7"/>
  <c r="AJ202" i="7"/>
  <c r="AV202" i="7"/>
  <c r="W203" i="7"/>
  <c r="AI203" i="7"/>
  <c r="AU203" i="7"/>
  <c r="Z204" i="7"/>
  <c r="AP204" i="7"/>
  <c r="Y205" i="7"/>
  <c r="BB205" i="7"/>
  <c r="AW207" i="7"/>
  <c r="AT210" i="7"/>
  <c r="AL212" i="7"/>
  <c r="AI215" i="7"/>
  <c r="AC220" i="7"/>
  <c r="AA182" i="7"/>
  <c r="AM182" i="7"/>
  <c r="AY182" i="7"/>
  <c r="Z183" i="7"/>
  <c r="AL183" i="7"/>
  <c r="AX183" i="7"/>
  <c r="Y184" i="7"/>
  <c r="AK184" i="7"/>
  <c r="AW184" i="7"/>
  <c r="X185" i="7"/>
  <c r="AJ185" i="7"/>
  <c r="AV185" i="7"/>
  <c r="W186" i="7"/>
  <c r="AI186" i="7"/>
  <c r="AU186" i="7"/>
  <c r="AC187" i="7"/>
  <c r="AO187" i="7"/>
  <c r="BA187" i="7"/>
  <c r="AA188" i="7"/>
  <c r="AM188" i="7"/>
  <c r="AY188" i="7"/>
  <c r="Z189" i="7"/>
  <c r="AL189" i="7"/>
  <c r="AX189" i="7"/>
  <c r="Y190" i="7"/>
  <c r="AK190" i="7"/>
  <c r="AW190" i="7"/>
  <c r="X191" i="7"/>
  <c r="AJ191" i="7"/>
  <c r="AV191" i="7"/>
  <c r="W192" i="7"/>
  <c r="AI192" i="7"/>
  <c r="AU192" i="7"/>
  <c r="AC193" i="7"/>
  <c r="AO193" i="7"/>
  <c r="BA193" i="7"/>
  <c r="AA194" i="7"/>
  <c r="AM194" i="7"/>
  <c r="AY194" i="7"/>
  <c r="Z195" i="7"/>
  <c r="AL195" i="7"/>
  <c r="AX195" i="7"/>
  <c r="Y196" i="7"/>
  <c r="AK196" i="7"/>
  <c r="AW196" i="7"/>
  <c r="X197" i="7"/>
  <c r="AJ197" i="7"/>
  <c r="AV197" i="7"/>
  <c r="W198" i="7"/>
  <c r="AI198" i="7"/>
  <c r="AU198" i="7"/>
  <c r="BE65" i="7" a="1"/>
  <c r="BE65" i="7" s="1"/>
  <c r="AC199" i="7"/>
  <c r="AO199" i="7"/>
  <c r="BA199" i="7"/>
  <c r="AA200" i="7"/>
  <c r="AM200" i="7"/>
  <c r="AY200" i="7"/>
  <c r="Z201" i="7"/>
  <c r="AL201" i="7"/>
  <c r="AX201" i="7"/>
  <c r="Y202" i="7"/>
  <c r="AK202" i="7"/>
  <c r="AW202" i="7"/>
  <c r="X203" i="7"/>
  <c r="AJ203" i="7"/>
  <c r="AV203" i="7"/>
  <c r="AC204" i="7"/>
  <c r="AQ204" i="7"/>
  <c r="AB205" i="7"/>
  <c r="AX212" i="7"/>
  <c r="AU215" i="7"/>
  <c r="AQ220" i="7"/>
  <c r="AJ180" i="7"/>
  <c r="AV180" i="7"/>
  <c r="BN47" i="7" a="1"/>
  <c r="BN47" i="7" s="1"/>
  <c r="AD181" i="7"/>
  <c r="AP181" i="7"/>
  <c r="BB181" i="7"/>
  <c r="AB182" i="7"/>
  <c r="AN182" i="7"/>
  <c r="AZ182" i="7"/>
  <c r="AA183" i="7"/>
  <c r="AM183" i="7"/>
  <c r="AY183" i="7"/>
  <c r="Z184" i="7"/>
  <c r="AL184" i="7"/>
  <c r="AX184" i="7"/>
  <c r="Y185" i="7"/>
  <c r="AK185" i="7"/>
  <c r="AW185" i="7"/>
  <c r="X186" i="7"/>
  <c r="AJ186" i="7"/>
  <c r="AV186" i="7"/>
  <c r="AD187" i="7"/>
  <c r="AP187" i="7"/>
  <c r="BB187" i="7"/>
  <c r="AB188" i="7"/>
  <c r="AN188" i="7"/>
  <c r="AZ188" i="7"/>
  <c r="AA189" i="7"/>
  <c r="AM189" i="7"/>
  <c r="AY189" i="7"/>
  <c r="Z190" i="7"/>
  <c r="AL190" i="7"/>
  <c r="AX190" i="7"/>
  <c r="Y191" i="7"/>
  <c r="AK191" i="7"/>
  <c r="AW191" i="7"/>
  <c r="X192" i="7"/>
  <c r="AJ192" i="7"/>
  <c r="AV192" i="7"/>
  <c r="AD193" i="7"/>
  <c r="AP193" i="7"/>
  <c r="BB193" i="7"/>
  <c r="AB194" i="7"/>
  <c r="AN194" i="7"/>
  <c r="AZ194" i="7"/>
  <c r="AA195" i="7"/>
  <c r="AM195" i="7"/>
  <c r="AY195" i="7"/>
  <c r="Z196" i="7"/>
  <c r="AL196" i="7"/>
  <c r="AX196" i="7"/>
  <c r="Y197" i="7"/>
  <c r="AK197" i="7"/>
  <c r="AW197" i="7"/>
  <c r="X198" i="7"/>
  <c r="AJ198" i="7"/>
  <c r="AV198" i="7"/>
  <c r="AD199" i="7"/>
  <c r="AP199" i="7"/>
  <c r="BB199" i="7"/>
  <c r="AB200" i="7"/>
  <c r="AN200" i="7"/>
  <c r="AZ200" i="7"/>
  <c r="AA201" i="7"/>
  <c r="AM201" i="7"/>
  <c r="AY201" i="7"/>
  <c r="Z202" i="7"/>
  <c r="AL202" i="7"/>
  <c r="AX202" i="7"/>
  <c r="Y203" i="7"/>
  <c r="AK203" i="7"/>
  <c r="AW203" i="7"/>
  <c r="AD204" i="7"/>
  <c r="AR204" i="7"/>
  <c r="AD205" i="7"/>
  <c r="X208" i="7"/>
  <c r="W221" i="7"/>
  <c r="S181" i="7"/>
  <c r="AE181" i="7"/>
  <c r="AQ181" i="7"/>
  <c r="AC182" i="7"/>
  <c r="AO182" i="7"/>
  <c r="BA182" i="7"/>
  <c r="AB183" i="7"/>
  <c r="AN183" i="7"/>
  <c r="AZ183" i="7"/>
  <c r="AA184" i="7"/>
  <c r="AM184" i="7"/>
  <c r="AY184" i="7"/>
  <c r="Z185" i="7"/>
  <c r="AL185" i="7"/>
  <c r="AX185" i="7"/>
  <c r="Y186" i="7"/>
  <c r="AK186" i="7"/>
  <c r="AW186" i="7"/>
  <c r="S187" i="7"/>
  <c r="AE187" i="7"/>
  <c r="AQ187" i="7"/>
  <c r="AC188" i="7"/>
  <c r="AO188" i="7"/>
  <c r="BA188" i="7"/>
  <c r="AB189" i="7"/>
  <c r="AN189" i="7"/>
  <c r="AZ189" i="7"/>
  <c r="AA190" i="7"/>
  <c r="AM190" i="7"/>
  <c r="AY190" i="7"/>
  <c r="Z191" i="7"/>
  <c r="AL191" i="7"/>
  <c r="AX191" i="7"/>
  <c r="Y192" i="7"/>
  <c r="AK192" i="7"/>
  <c r="AW192" i="7"/>
  <c r="S193" i="7"/>
  <c r="AE193" i="7"/>
  <c r="AQ193" i="7"/>
  <c r="AC194" i="7"/>
  <c r="AO194" i="7"/>
  <c r="BA194" i="7"/>
  <c r="AB195" i="7"/>
  <c r="AN195" i="7"/>
  <c r="AZ195" i="7"/>
  <c r="AA196" i="7"/>
  <c r="AM196" i="7"/>
  <c r="AY196" i="7"/>
  <c r="Z197" i="7"/>
  <c r="AL197" i="7"/>
  <c r="AX197" i="7"/>
  <c r="Y198" i="7"/>
  <c r="AK198" i="7"/>
  <c r="AW198" i="7"/>
  <c r="S199" i="7"/>
  <c r="AE199" i="7"/>
  <c r="AQ199" i="7"/>
  <c r="AC200" i="7"/>
  <c r="AO200" i="7"/>
  <c r="BA200" i="7"/>
  <c r="AB201" i="7"/>
  <c r="AN201" i="7"/>
  <c r="AZ201" i="7"/>
  <c r="AA202" i="7"/>
  <c r="AM202" i="7"/>
  <c r="AY202" i="7"/>
  <c r="Z203" i="7"/>
  <c r="AL203" i="7"/>
  <c r="AX203" i="7"/>
  <c r="AE204" i="7"/>
  <c r="AT204" i="7"/>
  <c r="AF205" i="7"/>
  <c r="AJ208" i="7"/>
  <c r="AB211" i="7"/>
  <c r="Y213" i="7"/>
  <c r="V216" i="7"/>
  <c r="AM221" i="7"/>
  <c r="T181" i="7"/>
  <c r="AF181" i="7"/>
  <c r="AR181" i="7"/>
  <c r="AD182" i="7"/>
  <c r="AP182" i="7"/>
  <c r="BB182" i="7"/>
  <c r="AC183" i="7"/>
  <c r="AO183" i="7"/>
  <c r="BA183" i="7"/>
  <c r="AB184" i="7"/>
  <c r="AN184" i="7"/>
  <c r="AZ184" i="7"/>
  <c r="AA185" i="7"/>
  <c r="AM185" i="7"/>
  <c r="AY185" i="7"/>
  <c r="Z186" i="7"/>
  <c r="AL186" i="7"/>
  <c r="AX186" i="7"/>
  <c r="T187" i="7"/>
  <c r="AF187" i="7"/>
  <c r="AR187" i="7"/>
  <c r="AD188" i="7"/>
  <c r="AP188" i="7"/>
  <c r="BB188" i="7"/>
  <c r="AC189" i="7"/>
  <c r="AO189" i="7"/>
  <c r="BA189" i="7"/>
  <c r="AB190" i="7"/>
  <c r="AN190" i="7"/>
  <c r="AZ190" i="7"/>
  <c r="AA191" i="7"/>
  <c r="AM191" i="7"/>
  <c r="AY191" i="7"/>
  <c r="Z192" i="7"/>
  <c r="AL192" i="7"/>
  <c r="AX192" i="7"/>
  <c r="T193" i="7"/>
  <c r="AF193" i="7"/>
  <c r="AR193" i="7"/>
  <c r="AD194" i="7"/>
  <c r="AP194" i="7"/>
  <c r="BB194" i="7"/>
  <c r="AC195" i="7"/>
  <c r="AO195" i="7"/>
  <c r="BA195" i="7"/>
  <c r="AB196" i="7"/>
  <c r="AN196" i="7"/>
  <c r="AZ196" i="7"/>
  <c r="AA197" i="7"/>
  <c r="AM197" i="7"/>
  <c r="AY197" i="7"/>
  <c r="Z198" i="7"/>
  <c r="AL198" i="7"/>
  <c r="AX198" i="7"/>
  <c r="T199" i="7"/>
  <c r="AF199" i="7"/>
  <c r="AR199" i="7"/>
  <c r="AD200" i="7"/>
  <c r="AP200" i="7"/>
  <c r="BB200" i="7"/>
  <c r="AC201" i="7"/>
  <c r="AO201" i="7"/>
  <c r="BA201" i="7"/>
  <c r="AB202" i="7"/>
  <c r="AN202" i="7"/>
  <c r="AZ202" i="7"/>
  <c r="AA203" i="7"/>
  <c r="AM203" i="7"/>
  <c r="AY203" i="7"/>
  <c r="AF204" i="7"/>
  <c r="AU204" i="7"/>
  <c r="AJ205" i="7"/>
  <c r="AV208" i="7"/>
  <c r="AN211" i="7"/>
  <c r="AK213" i="7"/>
  <c r="AH216" i="7"/>
  <c r="Z218" i="7"/>
  <c r="AN225" i="7"/>
  <c r="AO230" i="7"/>
  <c r="AD183" i="7"/>
  <c r="AP183" i="7"/>
  <c r="BB183" i="7"/>
  <c r="AC184" i="7"/>
  <c r="AO184" i="7"/>
  <c r="BA184" i="7"/>
  <c r="AB185" i="7"/>
  <c r="AN185" i="7"/>
  <c r="AZ185" i="7"/>
  <c r="AA186" i="7"/>
  <c r="AM186" i="7"/>
  <c r="AY186" i="7"/>
  <c r="U187" i="7"/>
  <c r="AG187" i="7"/>
  <c r="AS187" i="7"/>
  <c r="S188" i="7"/>
  <c r="AE188" i="7"/>
  <c r="AQ188" i="7"/>
  <c r="AD189" i="7"/>
  <c r="AP189" i="7"/>
  <c r="BB189" i="7"/>
  <c r="AC190" i="7"/>
  <c r="AO190" i="7"/>
  <c r="BA190" i="7"/>
  <c r="AB191" i="7"/>
  <c r="AN191" i="7"/>
  <c r="AZ191" i="7"/>
  <c r="AA192" i="7"/>
  <c r="AM192" i="7"/>
  <c r="AY192" i="7"/>
  <c r="U193" i="7"/>
  <c r="AG193" i="7"/>
  <c r="AS193" i="7"/>
  <c r="S194" i="7"/>
  <c r="AE194" i="7"/>
  <c r="AQ194" i="7"/>
  <c r="AD195" i="7"/>
  <c r="AP195" i="7"/>
  <c r="BB195" i="7"/>
  <c r="AC196" i="7"/>
  <c r="AO196" i="7"/>
  <c r="BA196" i="7"/>
  <c r="AB197" i="7"/>
  <c r="AN197" i="7"/>
  <c r="AZ197" i="7"/>
  <c r="AA198" i="7"/>
  <c r="AM198" i="7"/>
  <c r="AY198" i="7"/>
  <c r="U199" i="7"/>
  <c r="AG199" i="7"/>
  <c r="AS199" i="7"/>
  <c r="S200" i="7"/>
  <c r="AE200" i="7"/>
  <c r="AQ200" i="7"/>
  <c r="AD201" i="7"/>
  <c r="AP201" i="7"/>
  <c r="BB201" i="7"/>
  <c r="AC202" i="7"/>
  <c r="AO202" i="7"/>
  <c r="BA202" i="7"/>
  <c r="AB203" i="7"/>
  <c r="AN203" i="7"/>
  <c r="AZ203" i="7"/>
  <c r="S204" i="7"/>
  <c r="AG204" i="7"/>
  <c r="AV204" i="7"/>
  <c r="AK205" i="7"/>
  <c r="AZ211" i="7"/>
  <c r="AW213" i="7"/>
  <c r="AT216" i="7"/>
  <c r="AL218" i="7"/>
  <c r="AH222" i="7"/>
  <c r="T182" i="7"/>
  <c r="AF182" i="7"/>
  <c r="AR182" i="7"/>
  <c r="S183" i="7"/>
  <c r="AE183" i="7"/>
  <c r="AQ183" i="7"/>
  <c r="AD184" i="7"/>
  <c r="AP184" i="7"/>
  <c r="BB184" i="7"/>
  <c r="AC185" i="7"/>
  <c r="AO185" i="7"/>
  <c r="BA185" i="7"/>
  <c r="AB186" i="7"/>
  <c r="AN186" i="7"/>
  <c r="AZ186" i="7"/>
  <c r="V187" i="7"/>
  <c r="AH187" i="7"/>
  <c r="AT187" i="7"/>
  <c r="T188" i="7"/>
  <c r="AF188" i="7"/>
  <c r="AR188" i="7"/>
  <c r="S189" i="7"/>
  <c r="AE189" i="7"/>
  <c r="AQ189" i="7"/>
  <c r="AD190" i="7"/>
  <c r="AP190" i="7"/>
  <c r="BB190" i="7"/>
  <c r="AC191" i="7"/>
  <c r="AO191" i="7"/>
  <c r="BA191" i="7"/>
  <c r="AB192" i="7"/>
  <c r="AN192" i="7"/>
  <c r="AZ192" i="7"/>
  <c r="V193" i="7"/>
  <c r="AH193" i="7"/>
  <c r="AT193" i="7"/>
  <c r="T194" i="7"/>
  <c r="AF194" i="7"/>
  <c r="AR194" i="7"/>
  <c r="S195" i="7"/>
  <c r="AE195" i="7"/>
  <c r="AQ195" i="7"/>
  <c r="AD196" i="7"/>
  <c r="AP196" i="7"/>
  <c r="BB196" i="7"/>
  <c r="AC197" i="7"/>
  <c r="AO197" i="7"/>
  <c r="BA197" i="7"/>
  <c r="AB198" i="7"/>
  <c r="AN198" i="7"/>
  <c r="AZ198" i="7"/>
  <c r="V199" i="7"/>
  <c r="AH199" i="7"/>
  <c r="AT199" i="7"/>
  <c r="T200" i="7"/>
  <c r="AF200" i="7"/>
  <c r="AR200" i="7"/>
  <c r="S201" i="7"/>
  <c r="AE201" i="7"/>
  <c r="AQ201" i="7"/>
  <c r="AD202" i="7"/>
  <c r="AP202" i="7"/>
  <c r="BB202" i="7"/>
  <c r="AC203" i="7"/>
  <c r="AO203" i="7"/>
  <c r="BA203" i="7"/>
  <c r="T204" i="7"/>
  <c r="AH204" i="7"/>
  <c r="AW204" i="7"/>
  <c r="AN205" i="7"/>
  <c r="Z206" i="7"/>
  <c r="W209" i="7"/>
  <c r="AX218" i="7"/>
  <c r="AZ222" i="7"/>
  <c r="AK228" i="7"/>
  <c r="Z233" i="7"/>
  <c r="W181" i="7"/>
  <c r="AI181" i="7"/>
  <c r="AU181" i="7"/>
  <c r="U182" i="7"/>
  <c r="AG182" i="7"/>
  <c r="AS182" i="7"/>
  <c r="T183" i="7"/>
  <c r="AF183" i="7"/>
  <c r="AR183" i="7"/>
  <c r="S184" i="7"/>
  <c r="AE184" i="7"/>
  <c r="AQ184" i="7"/>
  <c r="AD185" i="7"/>
  <c r="AP185" i="7"/>
  <c r="BB185" i="7"/>
  <c r="AC186" i="7"/>
  <c r="AO186" i="7"/>
  <c r="BA186" i="7"/>
  <c r="W187" i="7"/>
  <c r="AI187" i="7"/>
  <c r="AU187" i="7"/>
  <c r="U188" i="7"/>
  <c r="AG188" i="7"/>
  <c r="AS188" i="7"/>
  <c r="T189" i="7"/>
  <c r="AF189" i="7"/>
  <c r="AR189" i="7"/>
  <c r="S190" i="7"/>
  <c r="AE190" i="7"/>
  <c r="AQ190" i="7"/>
  <c r="AD191" i="7"/>
  <c r="AP191" i="7"/>
  <c r="BB191" i="7"/>
  <c r="AC192" i="7"/>
  <c r="AO192" i="7"/>
  <c r="BA192" i="7"/>
  <c r="W193" i="7"/>
  <c r="AI193" i="7"/>
  <c r="AU193" i="7"/>
  <c r="U194" i="7"/>
  <c r="AG194" i="7"/>
  <c r="AS194" i="7"/>
  <c r="T195" i="7"/>
  <c r="AF195" i="7"/>
  <c r="AR195" i="7"/>
  <c r="S196" i="7"/>
  <c r="AE196" i="7"/>
  <c r="AQ196" i="7"/>
  <c r="AD197" i="7"/>
  <c r="AP197" i="7"/>
  <c r="BB197" i="7"/>
  <c r="AC198" i="7"/>
  <c r="AO198" i="7"/>
  <c r="BA198" i="7"/>
  <c r="W199" i="7"/>
  <c r="AI199" i="7"/>
  <c r="AU199" i="7"/>
  <c r="U200" i="7"/>
  <c r="AG200" i="7"/>
  <c r="AS200" i="7"/>
  <c r="T201" i="7"/>
  <c r="AF201" i="7"/>
  <c r="AR201" i="7"/>
  <c r="S202" i="7"/>
  <c r="AE202" i="7"/>
  <c r="AQ202" i="7"/>
  <c r="AD203" i="7"/>
  <c r="AP203" i="7"/>
  <c r="BB203" i="7"/>
  <c r="U204" i="7"/>
  <c r="AI204" i="7"/>
  <c r="AX204" i="7"/>
  <c r="AP205" i="7"/>
  <c r="AL206" i="7"/>
  <c r="AI209" i="7"/>
  <c r="X214" i="7"/>
  <c r="X181" i="7"/>
  <c r="AJ181" i="7"/>
  <c r="AV181" i="7"/>
  <c r="V182" i="7"/>
  <c r="AH182" i="7"/>
  <c r="AT182" i="7"/>
  <c r="U183" i="7"/>
  <c r="AG183" i="7"/>
  <c r="AS183" i="7"/>
  <c r="T184" i="7"/>
  <c r="AF184" i="7"/>
  <c r="AR184" i="7"/>
  <c r="S185" i="7"/>
  <c r="AE185" i="7"/>
  <c r="AQ185" i="7"/>
  <c r="AD186" i="7"/>
  <c r="AP186" i="7"/>
  <c r="BB186" i="7"/>
  <c r="X187" i="7"/>
  <c r="AJ187" i="7"/>
  <c r="AV187" i="7"/>
  <c r="V188" i="7"/>
  <c r="AH188" i="7"/>
  <c r="AT188" i="7"/>
  <c r="U189" i="7"/>
  <c r="AG189" i="7"/>
  <c r="AS189" i="7"/>
  <c r="T190" i="7"/>
  <c r="AF190" i="7"/>
  <c r="AR190" i="7"/>
  <c r="S191" i="7"/>
  <c r="AE191" i="7"/>
  <c r="AQ191" i="7"/>
  <c r="AD192" i="7"/>
  <c r="AP192" i="7"/>
  <c r="BB192" i="7"/>
  <c r="X193" i="7"/>
  <c r="AJ193" i="7"/>
  <c r="AV193" i="7"/>
  <c r="V194" i="7"/>
  <c r="AH194" i="7"/>
  <c r="AT194" i="7"/>
  <c r="U195" i="7"/>
  <c r="AG195" i="7"/>
  <c r="AS195" i="7"/>
  <c r="T196" i="7"/>
  <c r="AF196" i="7"/>
  <c r="AR196" i="7"/>
  <c r="S197" i="7"/>
  <c r="AE197" i="7"/>
  <c r="AQ197" i="7"/>
  <c r="AD198" i="7"/>
  <c r="AP198" i="7"/>
  <c r="BB198" i="7"/>
  <c r="X199" i="7"/>
  <c r="AJ199" i="7"/>
  <c r="AV199" i="7"/>
  <c r="V200" i="7"/>
  <c r="AH200" i="7"/>
  <c r="AT200" i="7"/>
  <c r="U201" i="7"/>
  <c r="AG201" i="7"/>
  <c r="AS201" i="7"/>
  <c r="T202" i="7"/>
  <c r="AF202" i="7"/>
  <c r="AR202" i="7"/>
  <c r="S203" i="7"/>
  <c r="AE203" i="7"/>
  <c r="AQ203" i="7"/>
  <c r="V204" i="7"/>
  <c r="AJ204" i="7"/>
  <c r="BA204" i="7"/>
  <c r="AR205" i="7"/>
  <c r="AX206" i="7"/>
  <c r="AU209" i="7"/>
  <c r="AJ214" i="7"/>
  <c r="AB217" i="7"/>
  <c r="Y219" i="7"/>
  <c r="AC205" i="7"/>
  <c r="AO205" i="7"/>
  <c r="BA205" i="7"/>
  <c r="AA206" i="7"/>
  <c r="AM206" i="7"/>
  <c r="AY206" i="7"/>
  <c r="Z207" i="7"/>
  <c r="AL207" i="7"/>
  <c r="AX207" i="7"/>
  <c r="Y208" i="7"/>
  <c r="AK208" i="7"/>
  <c r="AW208" i="7"/>
  <c r="X209" i="7"/>
  <c r="AJ209" i="7"/>
  <c r="AV209" i="7"/>
  <c r="W210" i="7"/>
  <c r="AI210" i="7"/>
  <c r="AU210" i="7"/>
  <c r="AC211" i="7"/>
  <c r="AO211" i="7"/>
  <c r="BA211" i="7"/>
  <c r="AA212" i="7"/>
  <c r="AM212" i="7"/>
  <c r="AY212" i="7"/>
  <c r="Z213" i="7"/>
  <c r="AL213" i="7"/>
  <c r="AX213" i="7"/>
  <c r="Y214" i="7"/>
  <c r="AK214" i="7"/>
  <c r="AW214" i="7"/>
  <c r="X215" i="7"/>
  <c r="AJ215" i="7"/>
  <c r="AV215" i="7"/>
  <c r="W216" i="7"/>
  <c r="AI216" i="7"/>
  <c r="AU216" i="7"/>
  <c r="AC217" i="7"/>
  <c r="AO217" i="7"/>
  <c r="BA217" i="7"/>
  <c r="AA218" i="7"/>
  <c r="AM218" i="7"/>
  <c r="AY218" i="7"/>
  <c r="Z219" i="7"/>
  <c r="AL219" i="7"/>
  <c r="AX219" i="7"/>
  <c r="AD220" i="7"/>
  <c r="AT220" i="7"/>
  <c r="X221" i="7"/>
  <c r="AN221" i="7"/>
  <c r="AK222" i="7"/>
  <c r="BA222" i="7"/>
  <c r="AZ225" i="7"/>
  <c r="AW228" i="7"/>
  <c r="AE229" i="7"/>
  <c r="BA230" i="7"/>
  <c r="AL233" i="7"/>
  <c r="AA238" i="7"/>
  <c r="AY250" i="7"/>
  <c r="AN255" i="7"/>
  <c r="AO262" i="7"/>
  <c r="AB206" i="7"/>
  <c r="AN206" i="7"/>
  <c r="AZ206" i="7"/>
  <c r="AA207" i="7"/>
  <c r="AM207" i="7"/>
  <c r="AY207" i="7"/>
  <c r="Z208" i="7"/>
  <c r="AL208" i="7"/>
  <c r="AX208" i="7"/>
  <c r="Y209" i="7"/>
  <c r="AK209" i="7"/>
  <c r="AW209" i="7"/>
  <c r="X210" i="7"/>
  <c r="AJ210" i="7"/>
  <c r="AV210" i="7"/>
  <c r="AD211" i="7"/>
  <c r="AP211" i="7"/>
  <c r="BB211" i="7"/>
  <c r="AB212" i="7"/>
  <c r="AN212" i="7"/>
  <c r="AZ212" i="7"/>
  <c r="AA213" i="7"/>
  <c r="AM213" i="7"/>
  <c r="AY213" i="7"/>
  <c r="Z214" i="7"/>
  <c r="AL214" i="7"/>
  <c r="AX214" i="7"/>
  <c r="Y215" i="7"/>
  <c r="AK215" i="7"/>
  <c r="AW215" i="7"/>
  <c r="X216" i="7"/>
  <c r="AJ216" i="7"/>
  <c r="AV216" i="7"/>
  <c r="AD217" i="7"/>
  <c r="AP217" i="7"/>
  <c r="BB217" i="7"/>
  <c r="AB218" i="7"/>
  <c r="AN218" i="7"/>
  <c r="AZ218" i="7"/>
  <c r="AA219" i="7"/>
  <c r="AM219" i="7"/>
  <c r="AY219" i="7"/>
  <c r="AE220" i="7"/>
  <c r="AU220" i="7"/>
  <c r="Z221" i="7"/>
  <c r="AO221" i="7"/>
  <c r="T222" i="7"/>
  <c r="AL222" i="7"/>
  <c r="AQ229" i="7"/>
  <c r="AX233" i="7"/>
  <c r="AM238" i="7"/>
  <c r="S205" i="7"/>
  <c r="AE205" i="7"/>
  <c r="AQ205" i="7"/>
  <c r="AC206" i="7"/>
  <c r="AO206" i="7"/>
  <c r="BA206" i="7"/>
  <c r="AB207" i="7"/>
  <c r="AN207" i="7"/>
  <c r="AZ207" i="7"/>
  <c r="AA208" i="7"/>
  <c r="AM208" i="7"/>
  <c r="AY208" i="7"/>
  <c r="Z209" i="7"/>
  <c r="AL209" i="7"/>
  <c r="AX209" i="7"/>
  <c r="Y210" i="7"/>
  <c r="AK210" i="7"/>
  <c r="AW210" i="7"/>
  <c r="S211" i="7"/>
  <c r="AE211" i="7"/>
  <c r="AQ211" i="7"/>
  <c r="AC212" i="7"/>
  <c r="AO212" i="7"/>
  <c r="BA212" i="7"/>
  <c r="AB213" i="7"/>
  <c r="AN213" i="7"/>
  <c r="AZ213" i="7"/>
  <c r="AA214" i="7"/>
  <c r="AM214" i="7"/>
  <c r="AY214" i="7"/>
  <c r="Z215" i="7"/>
  <c r="AL215" i="7"/>
  <c r="AX215" i="7"/>
  <c r="Y216" i="7"/>
  <c r="AK216" i="7"/>
  <c r="AW216" i="7"/>
  <c r="S217" i="7"/>
  <c r="AE217" i="7"/>
  <c r="AQ217" i="7"/>
  <c r="AC218" i="7"/>
  <c r="AO218" i="7"/>
  <c r="BA218" i="7"/>
  <c r="AB219" i="7"/>
  <c r="AN219" i="7"/>
  <c r="AZ219" i="7"/>
  <c r="AH220" i="7"/>
  <c r="AV220" i="7"/>
  <c r="AA221" i="7"/>
  <c r="AP221" i="7"/>
  <c r="U222" i="7"/>
  <c r="AM222" i="7"/>
  <c r="AA226" i="7"/>
  <c r="AY238" i="7"/>
  <c r="AK258" i="7"/>
  <c r="AD206" i="7"/>
  <c r="AP206" i="7"/>
  <c r="BB206" i="7"/>
  <c r="AC207" i="7"/>
  <c r="AO207" i="7"/>
  <c r="BA207" i="7"/>
  <c r="AB208" i="7"/>
  <c r="AN208" i="7"/>
  <c r="AZ208" i="7"/>
  <c r="AA209" i="7"/>
  <c r="AM209" i="7"/>
  <c r="AY209" i="7"/>
  <c r="Z210" i="7"/>
  <c r="AL210" i="7"/>
  <c r="AX210" i="7"/>
  <c r="T211" i="7"/>
  <c r="AF211" i="7"/>
  <c r="AR211" i="7"/>
  <c r="AD212" i="7"/>
  <c r="AP212" i="7"/>
  <c r="BB212" i="7"/>
  <c r="AC213" i="7"/>
  <c r="AO213" i="7"/>
  <c r="BA213" i="7"/>
  <c r="AB214" i="7"/>
  <c r="AN214" i="7"/>
  <c r="AZ214" i="7"/>
  <c r="AA215" i="7"/>
  <c r="AM215" i="7"/>
  <c r="AY215" i="7"/>
  <c r="Z216" i="7"/>
  <c r="AL216" i="7"/>
  <c r="AX216" i="7"/>
  <c r="T217" i="7"/>
  <c r="AF217" i="7"/>
  <c r="AR217" i="7"/>
  <c r="AD218" i="7"/>
  <c r="AP218" i="7"/>
  <c r="BB218" i="7"/>
  <c r="AC219" i="7"/>
  <c r="AO219" i="7"/>
  <c r="BA219" i="7"/>
  <c r="S220" i="7"/>
  <c r="AI220" i="7"/>
  <c r="AW220" i="7"/>
  <c r="AB221" i="7"/>
  <c r="AS221" i="7"/>
  <c r="V222" i="7"/>
  <c r="AN222" i="7"/>
  <c r="AM226" i="7"/>
  <c r="AB231" i="7"/>
  <c r="Y234" i="7"/>
  <c r="AC236" i="7"/>
  <c r="AA204" i="7"/>
  <c r="AM204" i="7"/>
  <c r="AY204" i="7"/>
  <c r="U205" i="7"/>
  <c r="AG205" i="7"/>
  <c r="AS205" i="7"/>
  <c r="S206" i="7"/>
  <c r="AE206" i="7"/>
  <c r="AQ206" i="7"/>
  <c r="AD207" i="7"/>
  <c r="AP207" i="7"/>
  <c r="BB207" i="7"/>
  <c r="AC208" i="7"/>
  <c r="AO208" i="7"/>
  <c r="BA208" i="7"/>
  <c r="AB209" i="7"/>
  <c r="AN209" i="7"/>
  <c r="AZ209" i="7"/>
  <c r="AA210" i="7"/>
  <c r="AM210" i="7"/>
  <c r="AY210" i="7"/>
  <c r="U211" i="7"/>
  <c r="AG211" i="7"/>
  <c r="AS211" i="7"/>
  <c r="S212" i="7"/>
  <c r="AE212" i="7"/>
  <c r="AQ212" i="7"/>
  <c r="AD213" i="7"/>
  <c r="AP213" i="7"/>
  <c r="BB213" i="7"/>
  <c r="AC214" i="7"/>
  <c r="AO214" i="7"/>
  <c r="BA214" i="7"/>
  <c r="AB215" i="7"/>
  <c r="AN215" i="7"/>
  <c r="AZ215" i="7"/>
  <c r="AA216" i="7"/>
  <c r="AM216" i="7"/>
  <c r="AY216" i="7"/>
  <c r="U217" i="7"/>
  <c r="AG217" i="7"/>
  <c r="AS217" i="7"/>
  <c r="S218" i="7"/>
  <c r="AE218" i="7"/>
  <c r="AQ218" i="7"/>
  <c r="AD219" i="7"/>
  <c r="AP219" i="7"/>
  <c r="BB219" i="7"/>
  <c r="V220" i="7"/>
  <c r="AJ220" i="7"/>
  <c r="AX220" i="7"/>
  <c r="AC221" i="7"/>
  <c r="AT221" i="7"/>
  <c r="Y222" i="7"/>
  <c r="AO222" i="7"/>
  <c r="S223" i="7"/>
  <c r="AY226" i="7"/>
  <c r="AN231" i="7"/>
  <c r="AK234" i="7"/>
  <c r="S235" i="7"/>
  <c r="AO236" i="7"/>
  <c r="Z239" i="7"/>
  <c r="AB204" i="7"/>
  <c r="AN204" i="7"/>
  <c r="AZ204" i="7"/>
  <c r="V205" i="7"/>
  <c r="AH205" i="7"/>
  <c r="AT205" i="7"/>
  <c r="T206" i="7"/>
  <c r="AF206" i="7"/>
  <c r="AR206" i="7"/>
  <c r="S207" i="7"/>
  <c r="AE207" i="7"/>
  <c r="AQ207" i="7"/>
  <c r="AD208" i="7"/>
  <c r="AP208" i="7"/>
  <c r="BB208" i="7"/>
  <c r="AC209" i="7"/>
  <c r="AO209" i="7"/>
  <c r="BA209" i="7"/>
  <c r="AB210" i="7"/>
  <c r="AN210" i="7"/>
  <c r="AZ210" i="7"/>
  <c r="V211" i="7"/>
  <c r="AH211" i="7"/>
  <c r="AT211" i="7"/>
  <c r="T212" i="7"/>
  <c r="AF212" i="7"/>
  <c r="AR212" i="7"/>
  <c r="S213" i="7"/>
  <c r="AE213" i="7"/>
  <c r="AQ213" i="7"/>
  <c r="AD214" i="7"/>
  <c r="AP214" i="7"/>
  <c r="BB214" i="7"/>
  <c r="AC215" i="7"/>
  <c r="AO215" i="7"/>
  <c r="BA215" i="7"/>
  <c r="AB216" i="7"/>
  <c r="AN216" i="7"/>
  <c r="AZ216" i="7"/>
  <c r="V217" i="7"/>
  <c r="AH217" i="7"/>
  <c r="AT217" i="7"/>
  <c r="T218" i="7"/>
  <c r="AF218" i="7"/>
  <c r="AR218" i="7"/>
  <c r="S219" i="7"/>
  <c r="AE219" i="7"/>
  <c r="AQ219" i="7"/>
  <c r="W220" i="7"/>
  <c r="AK220" i="7"/>
  <c r="AY220" i="7"/>
  <c r="AD221" i="7"/>
  <c r="AU221" i="7"/>
  <c r="Z222" i="7"/>
  <c r="AR222" i="7"/>
  <c r="U223" i="7"/>
  <c r="AC224" i="7"/>
  <c r="AZ231" i="7"/>
  <c r="AW234" i="7"/>
  <c r="AE235" i="7"/>
  <c r="BA236" i="7"/>
  <c r="AL239" i="7"/>
  <c r="W205" i="7"/>
  <c r="AI205" i="7"/>
  <c r="AU205" i="7"/>
  <c r="U206" i="7"/>
  <c r="AG206" i="7"/>
  <c r="AS206" i="7"/>
  <c r="T207" i="7"/>
  <c r="AF207" i="7"/>
  <c r="AR207" i="7"/>
  <c r="S208" i="7"/>
  <c r="AE208" i="7"/>
  <c r="AQ208" i="7"/>
  <c r="AD209" i="7"/>
  <c r="AP209" i="7"/>
  <c r="BB209" i="7"/>
  <c r="AC210" i="7"/>
  <c r="AO210" i="7"/>
  <c r="BA210" i="7"/>
  <c r="W211" i="7"/>
  <c r="AI211" i="7"/>
  <c r="AU211" i="7"/>
  <c r="U212" i="7"/>
  <c r="AG212" i="7"/>
  <c r="AS212" i="7"/>
  <c r="T213" i="7"/>
  <c r="AF213" i="7"/>
  <c r="AR213" i="7"/>
  <c r="S214" i="7"/>
  <c r="AE214" i="7"/>
  <c r="AQ214" i="7"/>
  <c r="AD215" i="7"/>
  <c r="AP215" i="7"/>
  <c r="BB215" i="7"/>
  <c r="AC216" i="7"/>
  <c r="AO216" i="7"/>
  <c r="BA216" i="7"/>
  <c r="W217" i="7"/>
  <c r="AI217" i="7"/>
  <c r="AU217" i="7"/>
  <c r="U218" i="7"/>
  <c r="AG218" i="7"/>
  <c r="AS218" i="7"/>
  <c r="T219" i="7"/>
  <c r="AF219" i="7"/>
  <c r="AR219" i="7"/>
  <c r="X220" i="7"/>
  <c r="AL220" i="7"/>
  <c r="AZ220" i="7"/>
  <c r="AG221" i="7"/>
  <c r="AX221" i="7"/>
  <c r="AA222" i="7"/>
  <c r="AS222" i="7"/>
  <c r="AE223" i="7"/>
  <c r="AO224" i="7"/>
  <c r="Z227" i="7"/>
  <c r="AQ235" i="7"/>
  <c r="AX239" i="7"/>
  <c r="S260" i="7"/>
  <c r="V206" i="7"/>
  <c r="AH206" i="7"/>
  <c r="AT206" i="7"/>
  <c r="U207" i="7"/>
  <c r="AG207" i="7"/>
  <c r="AS207" i="7"/>
  <c r="T208" i="7"/>
  <c r="AF208" i="7"/>
  <c r="AR208" i="7"/>
  <c r="S209" i="7"/>
  <c r="AE209" i="7"/>
  <c r="AQ209" i="7"/>
  <c r="AD210" i="7"/>
  <c r="AP210" i="7"/>
  <c r="BB210" i="7"/>
  <c r="X211" i="7"/>
  <c r="AJ211" i="7"/>
  <c r="AV211" i="7"/>
  <c r="V212" i="7"/>
  <c r="AH212" i="7"/>
  <c r="AT212" i="7"/>
  <c r="U213" i="7"/>
  <c r="AG213" i="7"/>
  <c r="AS213" i="7"/>
  <c r="T214" i="7"/>
  <c r="AF214" i="7"/>
  <c r="AR214" i="7"/>
  <c r="S215" i="7"/>
  <c r="AE215" i="7"/>
  <c r="AQ215" i="7"/>
  <c r="AD216" i="7"/>
  <c r="AP216" i="7"/>
  <c r="BB216" i="7"/>
  <c r="X217" i="7"/>
  <c r="AJ217" i="7"/>
  <c r="AV217" i="7"/>
  <c r="V218" i="7"/>
  <c r="AH218" i="7"/>
  <c r="AT218" i="7"/>
  <c r="U219" i="7"/>
  <c r="AG219" i="7"/>
  <c r="AS219" i="7"/>
  <c r="Y220" i="7"/>
  <c r="AM220" i="7"/>
  <c r="BA220" i="7"/>
  <c r="AH221" i="7"/>
  <c r="AY221" i="7"/>
  <c r="AB222" i="7"/>
  <c r="AT222" i="7"/>
  <c r="AG223" i="7"/>
  <c r="BA224" i="7"/>
  <c r="AL227" i="7"/>
  <c r="AA232" i="7"/>
  <c r="U241" i="7"/>
  <c r="AW246" i="7"/>
  <c r="W206" i="7"/>
  <c r="AI206" i="7"/>
  <c r="AU206" i="7"/>
  <c r="V207" i="7"/>
  <c r="AH207" i="7"/>
  <c r="AT207" i="7"/>
  <c r="U208" i="7"/>
  <c r="AG208" i="7"/>
  <c r="AS208" i="7"/>
  <c r="T209" i="7"/>
  <c r="AF209" i="7"/>
  <c r="AR209" i="7"/>
  <c r="S210" i="7"/>
  <c r="AE210" i="7"/>
  <c r="AQ210" i="7"/>
  <c r="Y211" i="7"/>
  <c r="AK211" i="7"/>
  <c r="AW211" i="7"/>
  <c r="W212" i="7"/>
  <c r="AI212" i="7"/>
  <c r="AU212" i="7"/>
  <c r="V213" i="7"/>
  <c r="AH213" i="7"/>
  <c r="AT213" i="7"/>
  <c r="U214" i="7"/>
  <c r="AG214" i="7"/>
  <c r="AS214" i="7"/>
  <c r="T215" i="7"/>
  <c r="AF215" i="7"/>
  <c r="AR215" i="7"/>
  <c r="S216" i="7"/>
  <c r="AE216" i="7"/>
  <c r="AQ216" i="7"/>
  <c r="Y217" i="7"/>
  <c r="AK217" i="7"/>
  <c r="AW217" i="7"/>
  <c r="W218" i="7"/>
  <c r="AI218" i="7"/>
  <c r="AU218" i="7"/>
  <c r="V219" i="7"/>
  <c r="AH219" i="7"/>
  <c r="AT219" i="7"/>
  <c r="Z220" i="7"/>
  <c r="AN220" i="7"/>
  <c r="BB220" i="7"/>
  <c r="AI221" i="7"/>
  <c r="AZ221" i="7"/>
  <c r="AC222" i="7"/>
  <c r="AW222" i="7"/>
  <c r="AQ223" i="7"/>
  <c r="AX227" i="7"/>
  <c r="AM232" i="7"/>
  <c r="AB237" i="7"/>
  <c r="Y240" i="7"/>
  <c r="AL241" i="7"/>
  <c r="Y243" i="7"/>
  <c r="S244" i="7"/>
  <c r="W245" i="7"/>
  <c r="Z205" i="7"/>
  <c r="AL205" i="7"/>
  <c r="AX205" i="7"/>
  <c r="X206" i="7"/>
  <c r="AJ206" i="7"/>
  <c r="AV206" i="7"/>
  <c r="W207" i="7"/>
  <c r="AI207" i="7"/>
  <c r="AU207" i="7"/>
  <c r="V208" i="7"/>
  <c r="AH208" i="7"/>
  <c r="AT208" i="7"/>
  <c r="U209" i="7"/>
  <c r="AG209" i="7"/>
  <c r="AS209" i="7"/>
  <c r="T210" i="7"/>
  <c r="AF210" i="7"/>
  <c r="AR210" i="7"/>
  <c r="Z211" i="7"/>
  <c r="AL211" i="7"/>
  <c r="AX211" i="7"/>
  <c r="X212" i="7"/>
  <c r="AJ212" i="7"/>
  <c r="AV212" i="7"/>
  <c r="W213" i="7"/>
  <c r="AI213" i="7"/>
  <c r="AU213" i="7"/>
  <c r="V214" i="7"/>
  <c r="AH214" i="7"/>
  <c r="AT214" i="7"/>
  <c r="U215" i="7"/>
  <c r="AG215" i="7"/>
  <c r="AS215" i="7"/>
  <c r="T216" i="7"/>
  <c r="AF216" i="7"/>
  <c r="AR216" i="7"/>
  <c r="Z217" i="7"/>
  <c r="AL217" i="7"/>
  <c r="AX217" i="7"/>
  <c r="X218" i="7"/>
  <c r="AJ218" i="7"/>
  <c r="AV218" i="7"/>
  <c r="W219" i="7"/>
  <c r="AI219" i="7"/>
  <c r="AU219" i="7"/>
  <c r="AA220" i="7"/>
  <c r="AO220" i="7"/>
  <c r="U221" i="7"/>
  <c r="AJ221" i="7"/>
  <c r="BA221" i="7"/>
  <c r="AF222" i="7"/>
  <c r="AX222" i="7"/>
  <c r="AY232" i="7"/>
  <c r="AN237" i="7"/>
  <c r="AK240" i="7"/>
  <c r="AE242" i="7"/>
  <c r="BB243" i="7"/>
  <c r="AV244" i="7"/>
  <c r="AS204" i="7"/>
  <c r="AA205" i="7"/>
  <c r="AM205" i="7"/>
  <c r="AY205" i="7"/>
  <c r="Y206" i="7"/>
  <c r="AK206" i="7"/>
  <c r="AW206" i="7"/>
  <c r="X207" i="7"/>
  <c r="AJ207" i="7"/>
  <c r="AV207" i="7"/>
  <c r="W208" i="7"/>
  <c r="AI208" i="7"/>
  <c r="AU208" i="7"/>
  <c r="V209" i="7"/>
  <c r="AH209" i="7"/>
  <c r="AT209" i="7"/>
  <c r="U210" i="7"/>
  <c r="AG210" i="7"/>
  <c r="AS210" i="7"/>
  <c r="AA211" i="7"/>
  <c r="AM211" i="7"/>
  <c r="AY211" i="7"/>
  <c r="Y212" i="7"/>
  <c r="AK212" i="7"/>
  <c r="AW212" i="7"/>
  <c r="X213" i="7"/>
  <c r="AJ213" i="7"/>
  <c r="AV213" i="7"/>
  <c r="W214" i="7"/>
  <c r="AI214" i="7"/>
  <c r="AU214" i="7"/>
  <c r="V215" i="7"/>
  <c r="AH215" i="7"/>
  <c r="AT215" i="7"/>
  <c r="U216" i="7"/>
  <c r="AG216" i="7"/>
  <c r="AS216" i="7"/>
  <c r="AA217" i="7"/>
  <c r="AM217" i="7"/>
  <c r="AY217" i="7"/>
  <c r="Y218" i="7"/>
  <c r="AK218" i="7"/>
  <c r="AW218" i="7"/>
  <c r="X219" i="7"/>
  <c r="AJ219" i="7"/>
  <c r="AV219" i="7"/>
  <c r="AB220" i="7"/>
  <c r="AP220" i="7"/>
  <c r="V221" i="7"/>
  <c r="AL221" i="7"/>
  <c r="BB221" i="7"/>
  <c r="AG222" i="7"/>
  <c r="AY222" i="7"/>
  <c r="AB225" i="7"/>
  <c r="Y228" i="7"/>
  <c r="AC230" i="7"/>
  <c r="AZ237" i="7"/>
  <c r="AW240" i="7"/>
  <c r="T223" i="7"/>
  <c r="AF223" i="7"/>
  <c r="AR223" i="7"/>
  <c r="AD224" i="7"/>
  <c r="AP224" i="7"/>
  <c r="BB224" i="7"/>
  <c r="AC225" i="7"/>
  <c r="AO225" i="7"/>
  <c r="BA225" i="7"/>
  <c r="AB226" i="7"/>
  <c r="AN226" i="7"/>
  <c r="AZ226" i="7"/>
  <c r="AA227" i="7"/>
  <c r="AM227" i="7"/>
  <c r="AY227" i="7"/>
  <c r="Z228" i="7"/>
  <c r="AL228" i="7"/>
  <c r="AX228" i="7"/>
  <c r="T229" i="7"/>
  <c r="AF229" i="7"/>
  <c r="AR229" i="7"/>
  <c r="AD230" i="7"/>
  <c r="AP230" i="7"/>
  <c r="BB230" i="7"/>
  <c r="AC231" i="7"/>
  <c r="AO231" i="7"/>
  <c r="BA231" i="7"/>
  <c r="AB232" i="7"/>
  <c r="AN232" i="7"/>
  <c r="AZ232" i="7"/>
  <c r="AA233" i="7"/>
  <c r="AM233" i="7"/>
  <c r="AY233" i="7"/>
  <c r="Z234" i="7"/>
  <c r="AL234" i="7"/>
  <c r="AX234" i="7"/>
  <c r="T235" i="7"/>
  <c r="AF235" i="7"/>
  <c r="AR235" i="7"/>
  <c r="AD236" i="7"/>
  <c r="AP236" i="7"/>
  <c r="BB236" i="7"/>
  <c r="AC237" i="7"/>
  <c r="AO237" i="7"/>
  <c r="BA237" i="7"/>
  <c r="AB238" i="7"/>
  <c r="AN238" i="7"/>
  <c r="AZ238" i="7"/>
  <c r="AA239" i="7"/>
  <c r="AM239" i="7"/>
  <c r="AY239" i="7"/>
  <c r="Z240" i="7"/>
  <c r="AL240" i="7"/>
  <c r="AX240" i="7"/>
  <c r="V241" i="7"/>
  <c r="AM241" i="7"/>
  <c r="AG242" i="7"/>
  <c r="AB243" i="7"/>
  <c r="W244" i="7"/>
  <c r="AY244" i="7"/>
  <c r="Z245" i="7"/>
  <c r="AC248" i="7"/>
  <c r="AZ255" i="7"/>
  <c r="AW258" i="7"/>
  <c r="AE260" i="7"/>
  <c r="BA262" i="7"/>
  <c r="AS223" i="7"/>
  <c r="S224" i="7"/>
  <c r="AE224" i="7"/>
  <c r="AQ224" i="7"/>
  <c r="AD225" i="7"/>
  <c r="AP225" i="7"/>
  <c r="BB225" i="7"/>
  <c r="AC226" i="7"/>
  <c r="AO226" i="7"/>
  <c r="BA226" i="7"/>
  <c r="AB227" i="7"/>
  <c r="AN227" i="7"/>
  <c r="AZ227" i="7"/>
  <c r="AA228" i="7"/>
  <c r="AM228" i="7"/>
  <c r="AY228" i="7"/>
  <c r="U229" i="7"/>
  <c r="AG229" i="7"/>
  <c r="AS229" i="7"/>
  <c r="S230" i="7"/>
  <c r="AE230" i="7"/>
  <c r="AQ230" i="7"/>
  <c r="AD231" i="7"/>
  <c r="AP231" i="7"/>
  <c r="BB231" i="7"/>
  <c r="AC232" i="7"/>
  <c r="AO232" i="7"/>
  <c r="BA232" i="7"/>
  <c r="AB233" i="7"/>
  <c r="AN233" i="7"/>
  <c r="AZ233" i="7"/>
  <c r="AA234" i="7"/>
  <c r="AM234" i="7"/>
  <c r="AY234" i="7"/>
  <c r="U235" i="7"/>
  <c r="AG235" i="7"/>
  <c r="AS235" i="7"/>
  <c r="S236" i="7"/>
  <c r="AE236" i="7"/>
  <c r="AQ236" i="7"/>
  <c r="AD237" i="7"/>
  <c r="AP237" i="7"/>
  <c r="BB237" i="7"/>
  <c r="AC238" i="7"/>
  <c r="AO238" i="7"/>
  <c r="BA238" i="7"/>
  <c r="AB239" i="7"/>
  <c r="AN239" i="7"/>
  <c r="AZ239" i="7"/>
  <c r="AA240" i="7"/>
  <c r="AM240" i="7"/>
  <c r="AY240" i="7"/>
  <c r="W241" i="7"/>
  <c r="AN241" i="7"/>
  <c r="AK242" i="7"/>
  <c r="AD243" i="7"/>
  <c r="X244" i="7"/>
  <c r="BA244" i="7"/>
  <c r="AB245" i="7"/>
  <c r="S247" i="7"/>
  <c r="AO248" i="7"/>
  <c r="Z251" i="7"/>
  <c r="AQ260" i="7"/>
  <c r="V223" i="7"/>
  <c r="AH223" i="7"/>
  <c r="AT223" i="7"/>
  <c r="T224" i="7"/>
  <c r="AF224" i="7"/>
  <c r="AR224" i="7"/>
  <c r="S225" i="7"/>
  <c r="AE225" i="7"/>
  <c r="AQ225" i="7"/>
  <c r="AD226" i="7"/>
  <c r="AP226" i="7"/>
  <c r="BB226" i="7"/>
  <c r="AC227" i="7"/>
  <c r="AO227" i="7"/>
  <c r="BA227" i="7"/>
  <c r="AB228" i="7"/>
  <c r="AN228" i="7"/>
  <c r="AZ228" i="7"/>
  <c r="V229" i="7"/>
  <c r="AH229" i="7"/>
  <c r="AT229" i="7"/>
  <c r="T230" i="7"/>
  <c r="AF230" i="7"/>
  <c r="AR230" i="7"/>
  <c r="S231" i="7"/>
  <c r="AE231" i="7"/>
  <c r="AQ231" i="7"/>
  <c r="AD232" i="7"/>
  <c r="AP232" i="7"/>
  <c r="BB232" i="7"/>
  <c r="AC233" i="7"/>
  <c r="AO233" i="7"/>
  <c r="BA233" i="7"/>
  <c r="AB234" i="7"/>
  <c r="AN234" i="7"/>
  <c r="AZ234" i="7"/>
  <c r="V235" i="7"/>
  <c r="AH235" i="7"/>
  <c r="AT235" i="7"/>
  <c r="T236" i="7"/>
  <c r="AF236" i="7"/>
  <c r="AR236" i="7"/>
  <c r="S237" i="7"/>
  <c r="AE237" i="7"/>
  <c r="AQ237" i="7"/>
  <c r="AD238" i="7"/>
  <c r="AP238" i="7"/>
  <c r="BB238" i="7"/>
  <c r="AC239" i="7"/>
  <c r="AO239" i="7"/>
  <c r="BA239" i="7"/>
  <c r="AB240" i="7"/>
  <c r="AN240" i="7"/>
  <c r="AZ240" i="7"/>
  <c r="Z241" i="7"/>
  <c r="AQ241" i="7"/>
  <c r="AL242" i="7"/>
  <c r="AF243" i="7"/>
  <c r="AA244" i="7"/>
  <c r="AH245" i="7"/>
  <c r="U246" i="7"/>
  <c r="AE247" i="7"/>
  <c r="BA248" i="7"/>
  <c r="AL251" i="7"/>
  <c r="AA256" i="7"/>
  <c r="U259" i="7"/>
  <c r="BB270" i="7"/>
  <c r="W223" i="7"/>
  <c r="AI223" i="7"/>
  <c r="AU223" i="7"/>
  <c r="U224" i="7"/>
  <c r="AG224" i="7"/>
  <c r="AS224" i="7"/>
  <c r="T225" i="7"/>
  <c r="AF225" i="7"/>
  <c r="AR225" i="7"/>
  <c r="S226" i="7"/>
  <c r="AE226" i="7"/>
  <c r="AQ226" i="7"/>
  <c r="AD227" i="7"/>
  <c r="AP227" i="7"/>
  <c r="BB227" i="7"/>
  <c r="AC228" i="7"/>
  <c r="AO228" i="7"/>
  <c r="BA228" i="7"/>
  <c r="W229" i="7"/>
  <c r="AI229" i="7"/>
  <c r="AU229" i="7"/>
  <c r="U230" i="7"/>
  <c r="AG230" i="7"/>
  <c r="AS230" i="7"/>
  <c r="T231" i="7"/>
  <c r="AF231" i="7"/>
  <c r="AR231" i="7"/>
  <c r="S232" i="7"/>
  <c r="AE232" i="7"/>
  <c r="AQ232" i="7"/>
  <c r="AD233" i="7"/>
  <c r="AP233" i="7"/>
  <c r="BB233" i="7"/>
  <c r="AC234" i="7"/>
  <c r="AO234" i="7"/>
  <c r="BA234" i="7"/>
  <c r="W235" i="7"/>
  <c r="AI235" i="7"/>
  <c r="AU235" i="7"/>
  <c r="U236" i="7"/>
  <c r="AG236" i="7"/>
  <c r="AS236" i="7"/>
  <c r="T237" i="7"/>
  <c r="AF237" i="7"/>
  <c r="AR237" i="7"/>
  <c r="S238" i="7"/>
  <c r="AE238" i="7"/>
  <c r="AQ238" i="7"/>
  <c r="AD239" i="7"/>
  <c r="AP239" i="7"/>
  <c r="BB239" i="7"/>
  <c r="AC240" i="7"/>
  <c r="AO240" i="7"/>
  <c r="BA240" i="7"/>
  <c r="AA241" i="7"/>
  <c r="AR241" i="7"/>
  <c r="AO242" i="7"/>
  <c r="AJ243" i="7"/>
  <c r="AC244" i="7"/>
  <c r="AI245" i="7"/>
  <c r="V246" i="7"/>
  <c r="AQ247" i="7"/>
  <c r="AX251" i="7"/>
  <c r="AM256" i="7"/>
  <c r="AG259" i="7"/>
  <c r="AB263" i="7"/>
  <c r="T220" i="7"/>
  <c r="AF220" i="7"/>
  <c r="AR220" i="7"/>
  <c r="S221" i="7"/>
  <c r="AE221" i="7"/>
  <c r="AQ221" i="7"/>
  <c r="AD222" i="7"/>
  <c r="AP222" i="7"/>
  <c r="BB222" i="7"/>
  <c r="X223" i="7"/>
  <c r="AJ223" i="7"/>
  <c r="AV223" i="7"/>
  <c r="V224" i="7"/>
  <c r="AH224" i="7"/>
  <c r="AT224" i="7"/>
  <c r="U225" i="7"/>
  <c r="AG225" i="7"/>
  <c r="AS225" i="7"/>
  <c r="T226" i="7"/>
  <c r="AF226" i="7"/>
  <c r="AR226" i="7"/>
  <c r="S227" i="7"/>
  <c r="AE227" i="7"/>
  <c r="AQ227" i="7"/>
  <c r="AD228" i="7"/>
  <c r="AP228" i="7"/>
  <c r="BB228" i="7"/>
  <c r="X229" i="7"/>
  <c r="AJ229" i="7"/>
  <c r="AV229" i="7"/>
  <c r="V230" i="7"/>
  <c r="AH230" i="7"/>
  <c r="AT230" i="7"/>
  <c r="U231" i="7"/>
  <c r="AG231" i="7"/>
  <c r="AS231" i="7"/>
  <c r="T232" i="7"/>
  <c r="AF232" i="7"/>
  <c r="AR232" i="7"/>
  <c r="S233" i="7"/>
  <c r="AE233" i="7"/>
  <c r="AQ233" i="7"/>
  <c r="AD234" i="7"/>
  <c r="AP234" i="7"/>
  <c r="BB234" i="7"/>
  <c r="X235" i="7"/>
  <c r="AJ235" i="7"/>
  <c r="AV235" i="7"/>
  <c r="V236" i="7"/>
  <c r="AH236" i="7"/>
  <c r="AT236" i="7"/>
  <c r="U237" i="7"/>
  <c r="AG237" i="7"/>
  <c r="AS237" i="7"/>
  <c r="T238" i="7"/>
  <c r="AF238" i="7"/>
  <c r="AR238" i="7"/>
  <c r="S239" i="7"/>
  <c r="AE239" i="7"/>
  <c r="AQ239" i="7"/>
  <c r="AD240" i="7"/>
  <c r="AP240" i="7"/>
  <c r="BB240" i="7"/>
  <c r="AB241" i="7"/>
  <c r="AS241" i="7"/>
  <c r="AQ242" i="7"/>
  <c r="AK243" i="7"/>
  <c r="AE244" i="7"/>
  <c r="AL245" i="7"/>
  <c r="Y246" i="7"/>
  <c r="AY256" i="7"/>
  <c r="AS259" i="7"/>
  <c r="AN263" i="7"/>
  <c r="U220" i="7"/>
  <c r="AG220" i="7"/>
  <c r="AS220" i="7"/>
  <c r="T221" i="7"/>
  <c r="AF221" i="7"/>
  <c r="AR221" i="7"/>
  <c r="S222" i="7"/>
  <c r="AE222" i="7"/>
  <c r="AQ222" i="7"/>
  <c r="Y223" i="7"/>
  <c r="AK223" i="7"/>
  <c r="AW223" i="7"/>
  <c r="W224" i="7"/>
  <c r="AI224" i="7"/>
  <c r="AU224" i="7"/>
  <c r="V225" i="7"/>
  <c r="AH225" i="7"/>
  <c r="AT225" i="7"/>
  <c r="U226" i="7"/>
  <c r="AG226" i="7"/>
  <c r="AS226" i="7"/>
  <c r="T227" i="7"/>
  <c r="AF227" i="7"/>
  <c r="AR227" i="7"/>
  <c r="S228" i="7"/>
  <c r="AE228" i="7"/>
  <c r="AQ228" i="7"/>
  <c r="Y229" i="7"/>
  <c r="AK229" i="7"/>
  <c r="AW229" i="7"/>
  <c r="W230" i="7"/>
  <c r="AI230" i="7"/>
  <c r="AU230" i="7"/>
  <c r="V231" i="7"/>
  <c r="AH231" i="7"/>
  <c r="AT231" i="7"/>
  <c r="U232" i="7"/>
  <c r="AG232" i="7"/>
  <c r="AS232" i="7"/>
  <c r="T233" i="7"/>
  <c r="AF233" i="7"/>
  <c r="AR233" i="7"/>
  <c r="S234" i="7"/>
  <c r="AE234" i="7"/>
  <c r="AQ234" i="7"/>
  <c r="Y235" i="7"/>
  <c r="AK235" i="7"/>
  <c r="AW235" i="7"/>
  <c r="W236" i="7"/>
  <c r="AI236" i="7"/>
  <c r="AU236" i="7"/>
  <c r="V237" i="7"/>
  <c r="AH237" i="7"/>
  <c r="AT237" i="7"/>
  <c r="U238" i="7"/>
  <c r="AG238" i="7"/>
  <c r="AS238" i="7"/>
  <c r="T239" i="7"/>
  <c r="AF239" i="7"/>
  <c r="AR239" i="7"/>
  <c r="S240" i="7"/>
  <c r="AE240" i="7"/>
  <c r="AQ240" i="7"/>
  <c r="AD241" i="7"/>
  <c r="AT241" i="7"/>
  <c r="S242" i="7"/>
  <c r="AS242" i="7"/>
  <c r="AN243" i="7"/>
  <c r="AI244" i="7"/>
  <c r="AN245" i="7"/>
  <c r="AA246" i="7"/>
  <c r="AB249" i="7"/>
  <c r="Y252" i="7"/>
  <c r="AC254" i="7"/>
  <c r="AD261" i="7"/>
  <c r="AZ263" i="7"/>
  <c r="Z223" i="7"/>
  <c r="AL223" i="7"/>
  <c r="AX223" i="7"/>
  <c r="X224" i="7"/>
  <c r="AJ224" i="7"/>
  <c r="AV224" i="7"/>
  <c r="W225" i="7"/>
  <c r="AI225" i="7"/>
  <c r="AU225" i="7"/>
  <c r="V226" i="7"/>
  <c r="AH226" i="7"/>
  <c r="AT226" i="7"/>
  <c r="U227" i="7"/>
  <c r="AG227" i="7"/>
  <c r="AS227" i="7"/>
  <c r="T228" i="7"/>
  <c r="AF228" i="7"/>
  <c r="AR228" i="7"/>
  <c r="Z229" i="7"/>
  <c r="AL229" i="7"/>
  <c r="AX229" i="7"/>
  <c r="X230" i="7"/>
  <c r="AJ230" i="7"/>
  <c r="AV230" i="7"/>
  <c r="W231" i="7"/>
  <c r="AI231" i="7"/>
  <c r="AU231" i="7"/>
  <c r="V232" i="7"/>
  <c r="AH232" i="7"/>
  <c r="AT232" i="7"/>
  <c r="U233" i="7"/>
  <c r="AG233" i="7"/>
  <c r="AS233" i="7"/>
  <c r="T234" i="7"/>
  <c r="AF234" i="7"/>
  <c r="AR234" i="7"/>
  <c r="Z235" i="7"/>
  <c r="AL235" i="7"/>
  <c r="AX235" i="7"/>
  <c r="X236" i="7"/>
  <c r="AJ236" i="7"/>
  <c r="AV236" i="7"/>
  <c r="W237" i="7"/>
  <c r="AI237" i="7"/>
  <c r="AU237" i="7"/>
  <c r="V238" i="7"/>
  <c r="AH238" i="7"/>
  <c r="AT238" i="7"/>
  <c r="U239" i="7"/>
  <c r="AG239" i="7"/>
  <c r="AS239" i="7"/>
  <c r="T240" i="7"/>
  <c r="AF240" i="7"/>
  <c r="AR240" i="7"/>
  <c r="AE241" i="7"/>
  <c r="AU241" i="7"/>
  <c r="T242" i="7"/>
  <c r="AW242" i="7"/>
  <c r="AP243" i="7"/>
  <c r="AJ244" i="7"/>
  <c r="AT245" i="7"/>
  <c r="AG246" i="7"/>
  <c r="AN249" i="7"/>
  <c r="AK252" i="7"/>
  <c r="S253" i="7"/>
  <c r="AO254" i="7"/>
  <c r="Z257" i="7"/>
  <c r="AP261" i="7"/>
  <c r="AN277" i="7"/>
  <c r="AA223" i="7"/>
  <c r="AM223" i="7"/>
  <c r="AY223" i="7"/>
  <c r="Y224" i="7"/>
  <c r="AK224" i="7"/>
  <c r="AW224" i="7"/>
  <c r="X225" i="7"/>
  <c r="AJ225" i="7"/>
  <c r="AV225" i="7"/>
  <c r="W226" i="7"/>
  <c r="AI226" i="7"/>
  <c r="AU226" i="7"/>
  <c r="V227" i="7"/>
  <c r="AH227" i="7"/>
  <c r="AT227" i="7"/>
  <c r="U228" i="7"/>
  <c r="AG228" i="7"/>
  <c r="AS228" i="7"/>
  <c r="AA229" i="7"/>
  <c r="AM229" i="7"/>
  <c r="AY229" i="7"/>
  <c r="Y230" i="7"/>
  <c r="AK230" i="7"/>
  <c r="AW230" i="7"/>
  <c r="X231" i="7"/>
  <c r="AJ231" i="7"/>
  <c r="AV231" i="7"/>
  <c r="W232" i="7"/>
  <c r="AI232" i="7"/>
  <c r="AU232" i="7"/>
  <c r="V233" i="7"/>
  <c r="AH233" i="7"/>
  <c r="AT233" i="7"/>
  <c r="U234" i="7"/>
  <c r="AG234" i="7"/>
  <c r="AS234" i="7"/>
  <c r="AA235" i="7"/>
  <c r="AM235" i="7"/>
  <c r="AY235" i="7"/>
  <c r="Y236" i="7"/>
  <c r="AK236" i="7"/>
  <c r="AW236" i="7"/>
  <c r="X237" i="7"/>
  <c r="AJ237" i="7"/>
  <c r="AV237" i="7"/>
  <c r="W238" i="7"/>
  <c r="AI238" i="7"/>
  <c r="AU238" i="7"/>
  <c r="V239" i="7"/>
  <c r="AH239" i="7"/>
  <c r="AT239" i="7"/>
  <c r="U240" i="7"/>
  <c r="AG240" i="7"/>
  <c r="AS240" i="7"/>
  <c r="AF241" i="7"/>
  <c r="AX241" i="7"/>
  <c r="U242" i="7"/>
  <c r="AX242" i="7"/>
  <c r="AR243" i="7"/>
  <c r="AM244" i="7"/>
  <c r="AU245" i="7"/>
  <c r="AH246" i="7"/>
  <c r="AZ249" i="7"/>
  <c r="AW252" i="7"/>
  <c r="AE253" i="7"/>
  <c r="BA254" i="7"/>
  <c r="AL257" i="7"/>
  <c r="BB261" i="7"/>
  <c r="AA264" i="7"/>
  <c r="AB223" i="7"/>
  <c r="AN223" i="7"/>
  <c r="AZ223" i="7"/>
  <c r="Z224" i="7"/>
  <c r="AL224" i="7"/>
  <c r="AX224" i="7"/>
  <c r="Y225" i="7"/>
  <c r="AK225" i="7"/>
  <c r="AW225" i="7"/>
  <c r="X226" i="7"/>
  <c r="AJ226" i="7"/>
  <c r="AV226" i="7"/>
  <c r="W227" i="7"/>
  <c r="AI227" i="7"/>
  <c r="AU227" i="7"/>
  <c r="V228" i="7"/>
  <c r="AH228" i="7"/>
  <c r="AT228" i="7"/>
  <c r="AB229" i="7"/>
  <c r="AN229" i="7"/>
  <c r="AZ229" i="7"/>
  <c r="Z230" i="7"/>
  <c r="AL230" i="7"/>
  <c r="AX230" i="7"/>
  <c r="Y231" i="7"/>
  <c r="AK231" i="7"/>
  <c r="AW231" i="7"/>
  <c r="X232" i="7"/>
  <c r="AJ232" i="7"/>
  <c r="AV232" i="7"/>
  <c r="W233" i="7"/>
  <c r="AI233" i="7"/>
  <c r="AU233" i="7"/>
  <c r="V234" i="7"/>
  <c r="AH234" i="7"/>
  <c r="AT234" i="7"/>
  <c r="AB235" i="7"/>
  <c r="AN235" i="7"/>
  <c r="AZ235" i="7"/>
  <c r="Z236" i="7"/>
  <c r="AL236" i="7"/>
  <c r="AX236" i="7"/>
  <c r="Y237" i="7"/>
  <c r="AK237" i="7"/>
  <c r="AW237" i="7"/>
  <c r="X238" i="7"/>
  <c r="AJ238" i="7"/>
  <c r="AV238" i="7"/>
  <c r="W239" i="7"/>
  <c r="AI239" i="7"/>
  <c r="AU239" i="7"/>
  <c r="V240" i="7"/>
  <c r="AH240" i="7"/>
  <c r="AT240" i="7"/>
  <c r="AG241" i="7"/>
  <c r="AY241" i="7"/>
  <c r="Y242" i="7"/>
  <c r="BA242" i="7"/>
  <c r="AV243" i="7"/>
  <c r="AO244" i="7"/>
  <c r="AX245" i="7"/>
  <c r="AK246" i="7"/>
  <c r="AQ253" i="7"/>
  <c r="AX257" i="7"/>
  <c r="AM264" i="7"/>
  <c r="AF265" i="7"/>
  <c r="AI267" i="7"/>
  <c r="AV272" i="7"/>
  <c r="AK279" i="7"/>
  <c r="AV221" i="7"/>
  <c r="W222" i="7"/>
  <c r="AI222" i="7"/>
  <c r="AU222" i="7"/>
  <c r="AC223" i="7"/>
  <c r="AO223" i="7"/>
  <c r="BA223" i="7"/>
  <c r="AA224" i="7"/>
  <c r="AM224" i="7"/>
  <c r="AY224" i="7"/>
  <c r="Z225" i="7"/>
  <c r="AL225" i="7"/>
  <c r="AX225" i="7"/>
  <c r="Y226" i="7"/>
  <c r="AK226" i="7"/>
  <c r="AW226" i="7"/>
  <c r="X227" i="7"/>
  <c r="AJ227" i="7"/>
  <c r="AV227" i="7"/>
  <c r="W228" i="7"/>
  <c r="AI228" i="7"/>
  <c r="AU228" i="7"/>
  <c r="AC229" i="7"/>
  <c r="AO229" i="7"/>
  <c r="BA229" i="7"/>
  <c r="AA230" i="7"/>
  <c r="AM230" i="7"/>
  <c r="AY230" i="7"/>
  <c r="Z231" i="7"/>
  <c r="AL231" i="7"/>
  <c r="AX231" i="7"/>
  <c r="Y232" i="7"/>
  <c r="AK232" i="7"/>
  <c r="AW232" i="7"/>
  <c r="X233" i="7"/>
  <c r="AJ233" i="7"/>
  <c r="AV233" i="7"/>
  <c r="W234" i="7"/>
  <c r="AI234" i="7"/>
  <c r="AU234" i="7"/>
  <c r="AC235" i="7"/>
  <c r="AO235" i="7"/>
  <c r="BA235" i="7"/>
  <c r="AA236" i="7"/>
  <c r="AM236" i="7"/>
  <c r="AY236" i="7"/>
  <c r="Z237" i="7"/>
  <c r="AL237" i="7"/>
  <c r="AX237" i="7"/>
  <c r="Y238" i="7"/>
  <c r="AK238" i="7"/>
  <c r="AW238" i="7"/>
  <c r="X239" i="7"/>
  <c r="AJ239" i="7"/>
  <c r="AV239" i="7"/>
  <c r="W240" i="7"/>
  <c r="AI240" i="7"/>
  <c r="AU240" i="7"/>
  <c r="S241" i="7"/>
  <c r="AH241" i="7"/>
  <c r="AZ241" i="7"/>
  <c r="Z242" i="7"/>
  <c r="T243" i="7"/>
  <c r="AW243" i="7"/>
  <c r="AQ244" i="7"/>
  <c r="AZ245" i="7"/>
  <c r="AM246" i="7"/>
  <c r="AA250" i="7"/>
  <c r="AY264" i="7"/>
  <c r="AX265" i="7"/>
  <c r="AP266" i="7"/>
  <c r="Y221" i="7"/>
  <c r="AK221" i="7"/>
  <c r="AW221" i="7"/>
  <c r="X222" i="7"/>
  <c r="AJ222" i="7"/>
  <c r="AV222" i="7"/>
  <c r="AD223" i="7"/>
  <c r="AP223" i="7"/>
  <c r="BB223" i="7"/>
  <c r="AB224" i="7"/>
  <c r="AN224" i="7"/>
  <c r="AZ224" i="7"/>
  <c r="AA225" i="7"/>
  <c r="AM225" i="7"/>
  <c r="AY225" i="7"/>
  <c r="Z226" i="7"/>
  <c r="AL226" i="7"/>
  <c r="AX226" i="7"/>
  <c r="Y227" i="7"/>
  <c r="AK227" i="7"/>
  <c r="AW227" i="7"/>
  <c r="X228" i="7"/>
  <c r="AJ228" i="7"/>
  <c r="AV228" i="7"/>
  <c r="AD229" i="7"/>
  <c r="AP229" i="7"/>
  <c r="BB229" i="7"/>
  <c r="AB230" i="7"/>
  <c r="AN230" i="7"/>
  <c r="AZ230" i="7"/>
  <c r="AA231" i="7"/>
  <c r="AM231" i="7"/>
  <c r="AY231" i="7"/>
  <c r="Z232" i="7"/>
  <c r="AL232" i="7"/>
  <c r="AX232" i="7"/>
  <c r="Y233" i="7"/>
  <c r="AK233" i="7"/>
  <c r="AW233" i="7"/>
  <c r="X234" i="7"/>
  <c r="AJ234" i="7"/>
  <c r="AV234" i="7"/>
  <c r="AD235" i="7"/>
  <c r="AP235" i="7"/>
  <c r="BB235" i="7"/>
  <c r="AB236" i="7"/>
  <c r="AN236" i="7"/>
  <c r="AZ236" i="7"/>
  <c r="AA237" i="7"/>
  <c r="AM237" i="7"/>
  <c r="AY237" i="7"/>
  <c r="Z238" i="7"/>
  <c r="AL238" i="7"/>
  <c r="AX238" i="7"/>
  <c r="Y239" i="7"/>
  <c r="AK239" i="7"/>
  <c r="AW239" i="7"/>
  <c r="X240" i="7"/>
  <c r="AJ240" i="7"/>
  <c r="AV240" i="7"/>
  <c r="T241" i="7"/>
  <c r="AI241" i="7"/>
  <c r="AC242" i="7"/>
  <c r="X243" i="7"/>
  <c r="AZ243" i="7"/>
  <c r="AU244" i="7"/>
  <c r="V245" i="7"/>
  <c r="AT246" i="7"/>
  <c r="AM250" i="7"/>
  <c r="AB255" i="7"/>
  <c r="Y258" i="7"/>
  <c r="AC262" i="7"/>
  <c r="AS275" i="7"/>
  <c r="AH282" i="7"/>
  <c r="AD242" i="7"/>
  <c r="AP242" i="7"/>
  <c r="BB242" i="7"/>
  <c r="AC243" i="7"/>
  <c r="AO243" i="7"/>
  <c r="BA243" i="7"/>
  <c r="AB244" i="7"/>
  <c r="AN244" i="7"/>
  <c r="AZ244" i="7"/>
  <c r="AA245" i="7"/>
  <c r="AM245" i="7"/>
  <c r="AY245" i="7"/>
  <c r="Z246" i="7"/>
  <c r="AL246" i="7"/>
  <c r="AX246" i="7"/>
  <c r="T247" i="7"/>
  <c r="AF247" i="7"/>
  <c r="AR247" i="7"/>
  <c r="AD248" i="7"/>
  <c r="AP248" i="7"/>
  <c r="BB248" i="7"/>
  <c r="AC249" i="7"/>
  <c r="AO249" i="7"/>
  <c r="BA249" i="7"/>
  <c r="AB250" i="7"/>
  <c r="AN250" i="7"/>
  <c r="AZ250" i="7"/>
  <c r="AA251" i="7"/>
  <c r="AM251" i="7"/>
  <c r="AY251" i="7"/>
  <c r="Z252" i="7"/>
  <c r="AL252" i="7"/>
  <c r="AX252" i="7"/>
  <c r="T253" i="7"/>
  <c r="AF253" i="7"/>
  <c r="AR253" i="7"/>
  <c r="AD254" i="7"/>
  <c r="AP254" i="7"/>
  <c r="BB254" i="7"/>
  <c r="AC255" i="7"/>
  <c r="AO255" i="7"/>
  <c r="BA255" i="7"/>
  <c r="AB256" i="7"/>
  <c r="AN256" i="7"/>
  <c r="AZ256" i="7"/>
  <c r="AA257" i="7"/>
  <c r="AM257" i="7"/>
  <c r="AY257" i="7"/>
  <c r="Z258" i="7"/>
  <c r="AL258" i="7"/>
  <c r="AX258" i="7"/>
  <c r="V259" i="7"/>
  <c r="AH259" i="7"/>
  <c r="AT259" i="7"/>
  <c r="T260" i="7"/>
  <c r="AF260" i="7"/>
  <c r="AR260" i="7"/>
  <c r="S261" i="7"/>
  <c r="AE261" i="7"/>
  <c r="AQ261" i="7"/>
  <c r="AD262" i="7"/>
  <c r="AP262" i="7"/>
  <c r="BB262" i="7"/>
  <c r="AC263" i="7"/>
  <c r="AO263" i="7"/>
  <c r="BA263" i="7"/>
  <c r="AB264" i="7"/>
  <c r="AN264" i="7"/>
  <c r="AZ264" i="7"/>
  <c r="AG265" i="7"/>
  <c r="AY265" i="7"/>
  <c r="AQ266" i="7"/>
  <c r="AK267" i="7"/>
  <c r="AZ277" i="7"/>
  <c r="AW279" i="7"/>
  <c r="AT282" i="7"/>
  <c r="AY246" i="7"/>
  <c r="U247" i="7"/>
  <c r="AG247" i="7"/>
  <c r="AS247" i="7"/>
  <c r="S248" i="7"/>
  <c r="AE248" i="7"/>
  <c r="AQ248" i="7"/>
  <c r="AD249" i="7"/>
  <c r="AP249" i="7"/>
  <c r="BB249" i="7"/>
  <c r="AC250" i="7"/>
  <c r="AO250" i="7"/>
  <c r="BA250" i="7"/>
  <c r="AB251" i="7"/>
  <c r="AN251" i="7"/>
  <c r="AZ251" i="7"/>
  <c r="AA252" i="7"/>
  <c r="AM252" i="7"/>
  <c r="AY252" i="7"/>
  <c r="U253" i="7"/>
  <c r="AG253" i="7"/>
  <c r="AS253" i="7"/>
  <c r="S254" i="7"/>
  <c r="AE254" i="7"/>
  <c r="AQ254" i="7"/>
  <c r="AD255" i="7"/>
  <c r="AP255" i="7"/>
  <c r="BB255" i="7"/>
  <c r="AC256" i="7"/>
  <c r="AO256" i="7"/>
  <c r="BA256" i="7"/>
  <c r="AB257" i="7"/>
  <c r="AN257" i="7"/>
  <c r="AZ257" i="7"/>
  <c r="AA258" i="7"/>
  <c r="AM258" i="7"/>
  <c r="AY258" i="7"/>
  <c r="W259" i="7"/>
  <c r="AI259" i="7"/>
  <c r="AU259" i="7"/>
  <c r="U260" i="7"/>
  <c r="AG260" i="7"/>
  <c r="AS260" i="7"/>
  <c r="T261" i="7"/>
  <c r="AF261" i="7"/>
  <c r="AR261" i="7"/>
  <c r="S262" i="7"/>
  <c r="AE262" i="7"/>
  <c r="AQ262" i="7"/>
  <c r="AD263" i="7"/>
  <c r="AP263" i="7"/>
  <c r="BB263" i="7"/>
  <c r="AC264" i="7"/>
  <c r="AO264" i="7"/>
  <c r="BA264" i="7"/>
  <c r="AJ265" i="7"/>
  <c r="AZ265" i="7"/>
  <c r="AT266" i="7"/>
  <c r="AO267" i="7"/>
  <c r="T268" i="7"/>
  <c r="Z271" i="7"/>
  <c r="W273" i="7"/>
  <c r="T276" i="7"/>
  <c r="AF242" i="7"/>
  <c r="AR242" i="7"/>
  <c r="S243" i="7"/>
  <c r="AE243" i="7"/>
  <c r="AQ243" i="7"/>
  <c r="AD244" i="7"/>
  <c r="AP244" i="7"/>
  <c r="BB244" i="7"/>
  <c r="AC245" i="7"/>
  <c r="AO245" i="7"/>
  <c r="BA245" i="7"/>
  <c r="AB246" i="7"/>
  <c r="AN246" i="7"/>
  <c r="AZ246" i="7"/>
  <c r="V247" i="7"/>
  <c r="AH247" i="7"/>
  <c r="AT247" i="7"/>
  <c r="T248" i="7"/>
  <c r="AF248" i="7"/>
  <c r="AR248" i="7"/>
  <c r="S249" i="7"/>
  <c r="AE249" i="7"/>
  <c r="AQ249" i="7"/>
  <c r="AD250" i="7"/>
  <c r="AP250" i="7"/>
  <c r="BB250" i="7"/>
  <c r="AC251" i="7"/>
  <c r="AO251" i="7"/>
  <c r="BA251" i="7"/>
  <c r="AB252" i="7"/>
  <c r="AN252" i="7"/>
  <c r="AZ252" i="7"/>
  <c r="V253" i="7"/>
  <c r="AH253" i="7"/>
  <c r="AT253" i="7"/>
  <c r="T254" i="7"/>
  <c r="AF254" i="7"/>
  <c r="AR254" i="7"/>
  <c r="S255" i="7"/>
  <c r="AE255" i="7"/>
  <c r="AQ255" i="7"/>
  <c r="AD256" i="7"/>
  <c r="AP256" i="7"/>
  <c r="BB256" i="7"/>
  <c r="AC257" i="7"/>
  <c r="AO257" i="7"/>
  <c r="BA257" i="7"/>
  <c r="AB258" i="7"/>
  <c r="AN258" i="7"/>
  <c r="AZ258" i="7"/>
  <c r="X259" i="7"/>
  <c r="AJ259" i="7"/>
  <c r="AV259" i="7"/>
  <c r="V260" i="7"/>
  <c r="AH260" i="7"/>
  <c r="AT260" i="7"/>
  <c r="U261" i="7"/>
  <c r="AG261" i="7"/>
  <c r="AS261" i="7"/>
  <c r="T262" i="7"/>
  <c r="AF262" i="7"/>
  <c r="AR262" i="7"/>
  <c r="S263" i="7"/>
  <c r="AE263" i="7"/>
  <c r="AQ263" i="7"/>
  <c r="AD264" i="7"/>
  <c r="AP264" i="7"/>
  <c r="BB264" i="7"/>
  <c r="S265" i="7"/>
  <c r="AK265" i="7"/>
  <c r="S266" i="7"/>
  <c r="AV266" i="7"/>
  <c r="AP267" i="7"/>
  <c r="AB268" i="7"/>
  <c r="AL271" i="7"/>
  <c r="AI273" i="7"/>
  <c r="AF276" i="7"/>
  <c r="X280" i="7"/>
  <c r="AD245" i="7"/>
  <c r="AP245" i="7"/>
  <c r="BB245" i="7"/>
  <c r="AC246" i="7"/>
  <c r="AO246" i="7"/>
  <c r="BA246" i="7"/>
  <c r="W247" i="7"/>
  <c r="AI247" i="7"/>
  <c r="AU247" i="7"/>
  <c r="U248" i="7"/>
  <c r="AG248" i="7"/>
  <c r="AS248" i="7"/>
  <c r="T249" i="7"/>
  <c r="AF249" i="7"/>
  <c r="AR249" i="7"/>
  <c r="S250" i="7"/>
  <c r="AE250" i="7"/>
  <c r="AQ250" i="7"/>
  <c r="AD251" i="7"/>
  <c r="AP251" i="7"/>
  <c r="BB251" i="7"/>
  <c r="AC252" i="7"/>
  <c r="AO252" i="7"/>
  <c r="BA252" i="7"/>
  <c r="W253" i="7"/>
  <c r="AI253" i="7"/>
  <c r="AU253" i="7"/>
  <c r="U254" i="7"/>
  <c r="AG254" i="7"/>
  <c r="AS254" i="7"/>
  <c r="T255" i="7"/>
  <c r="AF255" i="7"/>
  <c r="AR255" i="7"/>
  <c r="S256" i="7"/>
  <c r="AE256" i="7"/>
  <c r="AQ256" i="7"/>
  <c r="AD257" i="7"/>
  <c r="AP257" i="7"/>
  <c r="BB257" i="7"/>
  <c r="AC258" i="7"/>
  <c r="AO258" i="7"/>
  <c r="BA258" i="7"/>
  <c r="Y259" i="7"/>
  <c r="AK259" i="7"/>
  <c r="AW259" i="7"/>
  <c r="W260" i="7"/>
  <c r="AI260" i="7"/>
  <c r="AU260" i="7"/>
  <c r="V261" i="7"/>
  <c r="AH261" i="7"/>
  <c r="AT261" i="7"/>
  <c r="U262" i="7"/>
  <c r="AG262" i="7"/>
  <c r="AS262" i="7"/>
  <c r="T263" i="7"/>
  <c r="AF263" i="7"/>
  <c r="AR263" i="7"/>
  <c r="S264" i="7"/>
  <c r="AE264" i="7"/>
  <c r="AQ264" i="7"/>
  <c r="T265" i="7"/>
  <c r="AL265" i="7"/>
  <c r="V266" i="7"/>
  <c r="AX266" i="7"/>
  <c r="AS267" i="7"/>
  <c r="AC268" i="7"/>
  <c r="AX271" i="7"/>
  <c r="AU273" i="7"/>
  <c r="AR276" i="7"/>
  <c r="AJ280" i="7"/>
  <c r="X241" i="7"/>
  <c r="AJ241" i="7"/>
  <c r="AV241" i="7"/>
  <c r="V242" i="7"/>
  <c r="AH242" i="7"/>
  <c r="AT242" i="7"/>
  <c r="U243" i="7"/>
  <c r="AG243" i="7"/>
  <c r="AS243" i="7"/>
  <c r="T244" i="7"/>
  <c r="AF244" i="7"/>
  <c r="AR244" i="7"/>
  <c r="S245" i="7"/>
  <c r="AE245" i="7"/>
  <c r="AQ245" i="7"/>
  <c r="AD246" i="7"/>
  <c r="AP246" i="7"/>
  <c r="BB246" i="7"/>
  <c r="X247" i="7"/>
  <c r="AJ247" i="7"/>
  <c r="AV247" i="7"/>
  <c r="V248" i="7"/>
  <c r="AH248" i="7"/>
  <c r="AT248" i="7"/>
  <c r="U249" i="7"/>
  <c r="AG249" i="7"/>
  <c r="AS249" i="7"/>
  <c r="T250" i="7"/>
  <c r="AF250" i="7"/>
  <c r="AR250" i="7"/>
  <c r="S251" i="7"/>
  <c r="AE251" i="7"/>
  <c r="AQ251" i="7"/>
  <c r="AD252" i="7"/>
  <c r="AP252" i="7"/>
  <c r="BB252" i="7"/>
  <c r="X253" i="7"/>
  <c r="AJ253" i="7"/>
  <c r="AV253" i="7"/>
  <c r="V254" i="7"/>
  <c r="AH254" i="7"/>
  <c r="AT254" i="7"/>
  <c r="U255" i="7"/>
  <c r="AG255" i="7"/>
  <c r="AS255" i="7"/>
  <c r="T256" i="7"/>
  <c r="AF256" i="7"/>
  <c r="AR256" i="7"/>
  <c r="S257" i="7"/>
  <c r="AE257" i="7"/>
  <c r="AQ257" i="7"/>
  <c r="AD258" i="7"/>
  <c r="AP258" i="7"/>
  <c r="BB258" i="7"/>
  <c r="Z259" i="7"/>
  <c r="AL259" i="7"/>
  <c r="AX259" i="7"/>
  <c r="X260" i="7"/>
  <c r="AJ260" i="7"/>
  <c r="AV260" i="7"/>
  <c r="W261" i="7"/>
  <c r="AI261" i="7"/>
  <c r="AU261" i="7"/>
  <c r="V262" i="7"/>
  <c r="AH262" i="7"/>
  <c r="AT262" i="7"/>
  <c r="U263" i="7"/>
  <c r="AG263" i="7"/>
  <c r="AS263" i="7"/>
  <c r="T264" i="7"/>
  <c r="AF264" i="7"/>
  <c r="AR264" i="7"/>
  <c r="U265" i="7"/>
  <c r="AM265" i="7"/>
  <c r="X266" i="7"/>
  <c r="BB266" i="7"/>
  <c r="AU267" i="7"/>
  <c r="AF268" i="7"/>
  <c r="S269" i="7"/>
  <c r="AV280" i="7"/>
  <c r="Y241" i="7"/>
  <c r="AK241" i="7"/>
  <c r="AW241" i="7"/>
  <c r="W242" i="7"/>
  <c r="AI242" i="7"/>
  <c r="AU242" i="7"/>
  <c r="V243" i="7"/>
  <c r="AH243" i="7"/>
  <c r="AT243" i="7"/>
  <c r="U244" i="7"/>
  <c r="AG244" i="7"/>
  <c r="AS244" i="7"/>
  <c r="T245" i="7"/>
  <c r="AF245" i="7"/>
  <c r="AR245" i="7"/>
  <c r="S246" i="7"/>
  <c r="AE246" i="7"/>
  <c r="AQ246" i="7"/>
  <c r="Y247" i="7"/>
  <c r="AK247" i="7"/>
  <c r="AW247" i="7"/>
  <c r="W248" i="7"/>
  <c r="AI248" i="7"/>
  <c r="AU248" i="7"/>
  <c r="V249" i="7"/>
  <c r="AH249" i="7"/>
  <c r="AT249" i="7"/>
  <c r="U250" i="7"/>
  <c r="AG250" i="7"/>
  <c r="AS250" i="7"/>
  <c r="T251" i="7"/>
  <c r="AF251" i="7"/>
  <c r="AR251" i="7"/>
  <c r="S252" i="7"/>
  <c r="AE252" i="7"/>
  <c r="AQ252" i="7"/>
  <c r="Y253" i="7"/>
  <c r="AK253" i="7"/>
  <c r="AW253" i="7"/>
  <c r="W254" i="7"/>
  <c r="AI254" i="7"/>
  <c r="AU254" i="7"/>
  <c r="V255" i="7"/>
  <c r="AH255" i="7"/>
  <c r="AT255" i="7"/>
  <c r="U256" i="7"/>
  <c r="AG256" i="7"/>
  <c r="AS256" i="7"/>
  <c r="T257" i="7"/>
  <c r="AF257" i="7"/>
  <c r="AR257" i="7"/>
  <c r="S258" i="7"/>
  <c r="AE258" i="7"/>
  <c r="AQ258" i="7"/>
  <c r="AA259" i="7"/>
  <c r="AM259" i="7"/>
  <c r="AY259" i="7"/>
  <c r="Y260" i="7"/>
  <c r="AK260" i="7"/>
  <c r="AW260" i="7"/>
  <c r="X261" i="7"/>
  <c r="AJ261" i="7"/>
  <c r="AV261" i="7"/>
  <c r="W262" i="7"/>
  <c r="AI262" i="7"/>
  <c r="AU262" i="7"/>
  <c r="V263" i="7"/>
  <c r="AH263" i="7"/>
  <c r="AT263" i="7"/>
  <c r="U264" i="7"/>
  <c r="AG264" i="7"/>
  <c r="AS264" i="7"/>
  <c r="X265" i="7"/>
  <c r="AN265" i="7"/>
  <c r="Z266" i="7"/>
  <c r="U267" i="7"/>
  <c r="AW267" i="7"/>
  <c r="AO268" i="7"/>
  <c r="AB269" i="7"/>
  <c r="V274" i="7"/>
  <c r="AD283" i="7"/>
  <c r="X242" i="7"/>
  <c r="AJ242" i="7"/>
  <c r="AV242" i="7"/>
  <c r="W243" i="7"/>
  <c r="AI243" i="7"/>
  <c r="AU243" i="7"/>
  <c r="V244" i="7"/>
  <c r="AH244" i="7"/>
  <c r="AT244" i="7"/>
  <c r="U245" i="7"/>
  <c r="AG245" i="7"/>
  <c r="AS245" i="7"/>
  <c r="T246" i="7"/>
  <c r="AF246" i="7"/>
  <c r="AR246" i="7"/>
  <c r="Z247" i="7"/>
  <c r="AL247" i="7"/>
  <c r="AX247" i="7"/>
  <c r="X248" i="7"/>
  <c r="AJ248" i="7"/>
  <c r="AV248" i="7"/>
  <c r="W249" i="7"/>
  <c r="AI249" i="7"/>
  <c r="AU249" i="7"/>
  <c r="V250" i="7"/>
  <c r="AH250" i="7"/>
  <c r="AT250" i="7"/>
  <c r="U251" i="7"/>
  <c r="AG251" i="7"/>
  <c r="AS251" i="7"/>
  <c r="T252" i="7"/>
  <c r="AF252" i="7"/>
  <c r="AR252" i="7"/>
  <c r="Z253" i="7"/>
  <c r="AL253" i="7"/>
  <c r="AX253" i="7"/>
  <c r="X254" i="7"/>
  <c r="AJ254" i="7"/>
  <c r="AV254" i="7"/>
  <c r="W255" i="7"/>
  <c r="AI255" i="7"/>
  <c r="AU255" i="7"/>
  <c r="V256" i="7"/>
  <c r="AH256" i="7"/>
  <c r="AT256" i="7"/>
  <c r="U257" i="7"/>
  <c r="AG257" i="7"/>
  <c r="AS257" i="7"/>
  <c r="T258" i="7"/>
  <c r="AF258" i="7"/>
  <c r="AR258" i="7"/>
  <c r="AB259" i="7"/>
  <c r="AN259" i="7"/>
  <c r="AZ259" i="7"/>
  <c r="Z260" i="7"/>
  <c r="AL260" i="7"/>
  <c r="AX260" i="7"/>
  <c r="Y261" i="7"/>
  <c r="AK261" i="7"/>
  <c r="AW261" i="7"/>
  <c r="X262" i="7"/>
  <c r="AJ262" i="7"/>
  <c r="AV262" i="7"/>
  <c r="W263" i="7"/>
  <c r="AI263" i="7"/>
  <c r="AU263" i="7"/>
  <c r="V264" i="7"/>
  <c r="AH264" i="7"/>
  <c r="AT264" i="7"/>
  <c r="Y265" i="7"/>
  <c r="AQ265" i="7"/>
  <c r="AD266" i="7"/>
  <c r="W267" i="7"/>
  <c r="BA267" i="7"/>
  <c r="AR268" i="7"/>
  <c r="AE269" i="7"/>
  <c r="AA270" i="7"/>
  <c r="AH274" i="7"/>
  <c r="Z278" i="7"/>
  <c r="W281" i="7"/>
  <c r="AP283" i="7"/>
  <c r="AS246" i="7"/>
  <c r="AA247" i="7"/>
  <c r="AM247" i="7"/>
  <c r="AY247" i="7"/>
  <c r="Y248" i="7"/>
  <c r="AK248" i="7"/>
  <c r="AW248" i="7"/>
  <c r="X249" i="7"/>
  <c r="AJ249" i="7"/>
  <c r="AV249" i="7"/>
  <c r="W250" i="7"/>
  <c r="AI250" i="7"/>
  <c r="AU250" i="7"/>
  <c r="V251" i="7"/>
  <c r="AH251" i="7"/>
  <c r="AT251" i="7"/>
  <c r="U252" i="7"/>
  <c r="AG252" i="7"/>
  <c r="AS252" i="7"/>
  <c r="AA253" i="7"/>
  <c r="AM253" i="7"/>
  <c r="AY253" i="7"/>
  <c r="Y254" i="7"/>
  <c r="AK254" i="7"/>
  <c r="AW254" i="7"/>
  <c r="X255" i="7"/>
  <c r="AJ255" i="7"/>
  <c r="AV255" i="7"/>
  <c r="W256" i="7"/>
  <c r="AI256" i="7"/>
  <c r="AU256" i="7"/>
  <c r="V257" i="7"/>
  <c r="AH257" i="7"/>
  <c r="AT257" i="7"/>
  <c r="U258" i="7"/>
  <c r="AG258" i="7"/>
  <c r="AS258" i="7"/>
  <c r="AC259" i="7"/>
  <c r="AO259" i="7"/>
  <c r="BA259" i="7"/>
  <c r="AA260" i="7"/>
  <c r="AM260" i="7"/>
  <c r="AY260" i="7"/>
  <c r="Z261" i="7"/>
  <c r="AL261" i="7"/>
  <c r="AX261" i="7"/>
  <c r="Y262" i="7"/>
  <c r="AK262" i="7"/>
  <c r="AW262" i="7"/>
  <c r="X263" i="7"/>
  <c r="AJ263" i="7"/>
  <c r="AV263" i="7"/>
  <c r="W264" i="7"/>
  <c r="AI264" i="7"/>
  <c r="AU264" i="7"/>
  <c r="Z265" i="7"/>
  <c r="AR265" i="7"/>
  <c r="AE266" i="7"/>
  <c r="Y267" i="7"/>
  <c r="BB267" i="7"/>
  <c r="BA268" i="7"/>
  <c r="AN269" i="7"/>
  <c r="AD270" i="7"/>
  <c r="AT274" i="7"/>
  <c r="AL278" i="7"/>
  <c r="AI281" i="7"/>
  <c r="BB283" i="7"/>
  <c r="AB247" i="7"/>
  <c r="AN247" i="7"/>
  <c r="AZ247" i="7"/>
  <c r="Z248" i="7"/>
  <c r="AL248" i="7"/>
  <c r="AX248" i="7"/>
  <c r="Y249" i="7"/>
  <c r="AK249" i="7"/>
  <c r="AW249" i="7"/>
  <c r="X250" i="7"/>
  <c r="AJ250" i="7"/>
  <c r="AV250" i="7"/>
  <c r="W251" i="7"/>
  <c r="AI251" i="7"/>
  <c r="AU251" i="7"/>
  <c r="V252" i="7"/>
  <c r="AH252" i="7"/>
  <c r="AT252" i="7"/>
  <c r="AB253" i="7"/>
  <c r="AN253" i="7"/>
  <c r="AZ253" i="7"/>
  <c r="Z254" i="7"/>
  <c r="AL254" i="7"/>
  <c r="AX254" i="7"/>
  <c r="Y255" i="7"/>
  <c r="AK255" i="7"/>
  <c r="AW255" i="7"/>
  <c r="X256" i="7"/>
  <c r="AJ256" i="7"/>
  <c r="AV256" i="7"/>
  <c r="W257" i="7"/>
  <c r="AI257" i="7"/>
  <c r="AU257" i="7"/>
  <c r="V258" i="7"/>
  <c r="AH258" i="7"/>
  <c r="AT258" i="7"/>
  <c r="AD259" i="7"/>
  <c r="AP259" i="7"/>
  <c r="BB259" i="7"/>
  <c r="AB260" i="7"/>
  <c r="AN260" i="7"/>
  <c r="AZ260" i="7"/>
  <c r="AA261" i="7"/>
  <c r="AM261" i="7"/>
  <c r="AY261" i="7"/>
  <c r="Z262" i="7"/>
  <c r="AL262" i="7"/>
  <c r="AX262" i="7"/>
  <c r="Y263" i="7"/>
  <c r="AK263" i="7"/>
  <c r="AW263" i="7"/>
  <c r="X264" i="7"/>
  <c r="AJ264" i="7"/>
  <c r="AV264" i="7"/>
  <c r="AA265" i="7"/>
  <c r="AS265" i="7"/>
  <c r="AH266" i="7"/>
  <c r="AC267" i="7"/>
  <c r="AQ269" i="7"/>
  <c r="AM270" i="7"/>
  <c r="AX278" i="7"/>
  <c r="AU281" i="7"/>
  <c r="AC241" i="7"/>
  <c r="AO241" i="7"/>
  <c r="BA241" i="7"/>
  <c r="AA242" i="7"/>
  <c r="AM242" i="7"/>
  <c r="AY242" i="7"/>
  <c r="Z243" i="7"/>
  <c r="AL243" i="7"/>
  <c r="AX243" i="7"/>
  <c r="Y244" i="7"/>
  <c r="AK244" i="7"/>
  <c r="AW244" i="7"/>
  <c r="X245" i="7"/>
  <c r="AJ245" i="7"/>
  <c r="AV245" i="7"/>
  <c r="W246" i="7"/>
  <c r="AI246" i="7"/>
  <c r="AU246" i="7"/>
  <c r="AC247" i="7"/>
  <c r="AO247" i="7"/>
  <c r="BA247" i="7"/>
  <c r="AA248" i="7"/>
  <c r="AM248" i="7"/>
  <c r="AY248" i="7"/>
  <c r="Z249" i="7"/>
  <c r="AL249" i="7"/>
  <c r="AX249" i="7"/>
  <c r="Y250" i="7"/>
  <c r="AK250" i="7"/>
  <c r="AW250" i="7"/>
  <c r="X251" i="7"/>
  <c r="AJ251" i="7"/>
  <c r="AV251" i="7"/>
  <c r="W252" i="7"/>
  <c r="AI252" i="7"/>
  <c r="AU252" i="7"/>
  <c r="AC253" i="7"/>
  <c r="AO253" i="7"/>
  <c r="BA253" i="7"/>
  <c r="AA254" i="7"/>
  <c r="AM254" i="7"/>
  <c r="AY254" i="7"/>
  <c r="Z255" i="7"/>
  <c r="AL255" i="7"/>
  <c r="AX255" i="7"/>
  <c r="Y256" i="7"/>
  <c r="AK256" i="7"/>
  <c r="AW256" i="7"/>
  <c r="X257" i="7"/>
  <c r="AJ257" i="7"/>
  <c r="AV257" i="7"/>
  <c r="W258" i="7"/>
  <c r="AI258" i="7"/>
  <c r="AU258" i="7"/>
  <c r="S259" i="7"/>
  <c r="AE259" i="7"/>
  <c r="AQ259" i="7"/>
  <c r="AC260" i="7"/>
  <c r="AO260" i="7"/>
  <c r="BA260" i="7"/>
  <c r="AB261" i="7"/>
  <c r="AN261" i="7"/>
  <c r="AZ261" i="7"/>
  <c r="AA262" i="7"/>
  <c r="AM262" i="7"/>
  <c r="AY262" i="7"/>
  <c r="Z263" i="7"/>
  <c r="AL263" i="7"/>
  <c r="AX263" i="7"/>
  <c r="Y264" i="7"/>
  <c r="AK264" i="7"/>
  <c r="AW264" i="7"/>
  <c r="AB265" i="7"/>
  <c r="AV265" i="7"/>
  <c r="AJ266" i="7"/>
  <c r="AD267" i="7"/>
  <c r="AZ269" i="7"/>
  <c r="AP270" i="7"/>
  <c r="X272" i="7"/>
  <c r="U275" i="7"/>
  <c r="AP241" i="7"/>
  <c r="BB241" i="7"/>
  <c r="AB242" i="7"/>
  <c r="AN242" i="7"/>
  <c r="AZ242" i="7"/>
  <c r="AA243" i="7"/>
  <c r="AM243" i="7"/>
  <c r="AY243" i="7"/>
  <c r="Z244" i="7"/>
  <c r="AL244" i="7"/>
  <c r="AX244" i="7"/>
  <c r="Y245" i="7"/>
  <c r="AK245" i="7"/>
  <c r="AW245" i="7"/>
  <c r="X246" i="7"/>
  <c r="AJ246" i="7"/>
  <c r="AV246" i="7"/>
  <c r="AD247" i="7"/>
  <c r="AP247" i="7"/>
  <c r="BB247" i="7"/>
  <c r="AB248" i="7"/>
  <c r="AN248" i="7"/>
  <c r="AZ248" i="7"/>
  <c r="AA249" i="7"/>
  <c r="AM249" i="7"/>
  <c r="AY249" i="7"/>
  <c r="Z250" i="7"/>
  <c r="AL250" i="7"/>
  <c r="AX250" i="7"/>
  <c r="Y251" i="7"/>
  <c r="AK251" i="7"/>
  <c r="AW251" i="7"/>
  <c r="X252" i="7"/>
  <c r="AJ252" i="7"/>
  <c r="AV252" i="7"/>
  <c r="AD253" i="7"/>
  <c r="AP253" i="7"/>
  <c r="BB253" i="7"/>
  <c r="AB254" i="7"/>
  <c r="AN254" i="7"/>
  <c r="AZ254" i="7"/>
  <c r="AA255" i="7"/>
  <c r="AM255" i="7"/>
  <c r="AY255" i="7"/>
  <c r="Z256" i="7"/>
  <c r="AL256" i="7"/>
  <c r="AX256" i="7"/>
  <c r="Y257" i="7"/>
  <c r="AK257" i="7"/>
  <c r="AW257" i="7"/>
  <c r="X258" i="7"/>
  <c r="AJ258" i="7"/>
  <c r="AV258" i="7"/>
  <c r="T259" i="7"/>
  <c r="AF259" i="7"/>
  <c r="AR259" i="7"/>
  <c r="AD260" i="7"/>
  <c r="AP260" i="7"/>
  <c r="BB260" i="7"/>
  <c r="AC261" i="7"/>
  <c r="AO261" i="7"/>
  <c r="BA261" i="7"/>
  <c r="AB262" i="7"/>
  <c r="AN262" i="7"/>
  <c r="AZ262" i="7"/>
  <c r="AA263" i="7"/>
  <c r="AM263" i="7"/>
  <c r="AY263" i="7"/>
  <c r="Z264" i="7"/>
  <c r="AL264" i="7"/>
  <c r="AX264" i="7"/>
  <c r="AE265" i="7"/>
  <c r="AW265" i="7"/>
  <c r="AL266" i="7"/>
  <c r="AG267" i="7"/>
  <c r="AY270" i="7"/>
  <c r="AJ272" i="7"/>
  <c r="AG275" i="7"/>
  <c r="AB277" i="7"/>
  <c r="Y279" i="7"/>
  <c r="V282" i="7"/>
  <c r="W266" i="7"/>
  <c r="AI266" i="7"/>
  <c r="AU266" i="7"/>
  <c r="V267" i="7"/>
  <c r="AH267" i="7"/>
  <c r="AT267" i="7"/>
  <c r="U268" i="7"/>
  <c r="AG268" i="7"/>
  <c r="AS268" i="7"/>
  <c r="T269" i="7"/>
  <c r="AF269" i="7"/>
  <c r="AR269" i="7"/>
  <c r="S270" i="7"/>
  <c r="AE270" i="7"/>
  <c r="AQ270" i="7"/>
  <c r="AA271" i="7"/>
  <c r="AM271" i="7"/>
  <c r="AY271" i="7"/>
  <c r="Y272" i="7"/>
  <c r="AK272" i="7"/>
  <c r="AW272" i="7"/>
  <c r="X273" i="7"/>
  <c r="AJ273" i="7"/>
  <c r="AV273" i="7"/>
  <c r="W274" i="7"/>
  <c r="AI274" i="7"/>
  <c r="AU274" i="7"/>
  <c r="V275" i="7"/>
  <c r="AH275" i="7"/>
  <c r="AT275" i="7"/>
  <c r="U276" i="7"/>
  <c r="AG276" i="7"/>
  <c r="AS276" i="7"/>
  <c r="AC277" i="7"/>
  <c r="AO277" i="7"/>
  <c r="BA277" i="7"/>
  <c r="AA278" i="7"/>
  <c r="AM278" i="7"/>
  <c r="AY278" i="7"/>
  <c r="Z279" i="7"/>
  <c r="AL279" i="7"/>
  <c r="AX279" i="7"/>
  <c r="Y280" i="7"/>
  <c r="AK280" i="7"/>
  <c r="AW280" i="7"/>
  <c r="X281" i="7"/>
  <c r="AJ281" i="7"/>
  <c r="AV281" i="7"/>
  <c r="W282" i="7"/>
  <c r="AI282" i="7"/>
  <c r="AU282" i="7"/>
  <c r="S283" i="7"/>
  <c r="AE283" i="7"/>
  <c r="AQ283" i="7"/>
  <c r="V268" i="7"/>
  <c r="AH268" i="7"/>
  <c r="AT268" i="7"/>
  <c r="U269" i="7"/>
  <c r="AG269" i="7"/>
  <c r="AS269" i="7"/>
  <c r="T270" i="7"/>
  <c r="AF270" i="7"/>
  <c r="AR270" i="7"/>
  <c r="AB271" i="7"/>
  <c r="AN271" i="7"/>
  <c r="AZ271" i="7"/>
  <c r="Z272" i="7"/>
  <c r="AL272" i="7"/>
  <c r="AX272" i="7"/>
  <c r="Y273" i="7"/>
  <c r="AK273" i="7"/>
  <c r="AW273" i="7"/>
  <c r="X274" i="7"/>
  <c r="AJ274" i="7"/>
  <c r="AV274" i="7"/>
  <c r="W275" i="7"/>
  <c r="AI275" i="7"/>
  <c r="AU275" i="7"/>
  <c r="V276" i="7"/>
  <c r="AH276" i="7"/>
  <c r="AT276" i="7"/>
  <c r="AD277" i="7"/>
  <c r="AP277" i="7"/>
  <c r="BB277" i="7"/>
  <c r="AB278" i="7"/>
  <c r="AN278" i="7"/>
  <c r="AZ278" i="7"/>
  <c r="AA279" i="7"/>
  <c r="AM279" i="7"/>
  <c r="AY279" i="7"/>
  <c r="Z280" i="7"/>
  <c r="AL280" i="7"/>
  <c r="AX280" i="7"/>
  <c r="Y281" i="7"/>
  <c r="AK281" i="7"/>
  <c r="AW281" i="7"/>
  <c r="X282" i="7"/>
  <c r="AJ282" i="7"/>
  <c r="AV282" i="7"/>
  <c r="T283" i="7"/>
  <c r="AF283" i="7"/>
  <c r="AR283" i="7"/>
  <c r="Y266" i="7"/>
  <c r="AK266" i="7"/>
  <c r="AW266" i="7"/>
  <c r="X267" i="7"/>
  <c r="AJ267" i="7"/>
  <c r="AV267" i="7"/>
  <c r="W268" i="7"/>
  <c r="AI268" i="7"/>
  <c r="AU268" i="7"/>
  <c r="V269" i="7"/>
  <c r="AH269" i="7"/>
  <c r="AT269" i="7"/>
  <c r="U270" i="7"/>
  <c r="AG270" i="7"/>
  <c r="AS270" i="7"/>
  <c r="AC271" i="7"/>
  <c r="AO271" i="7"/>
  <c r="BA271" i="7"/>
  <c r="AA272" i="7"/>
  <c r="AM272" i="7"/>
  <c r="AY272" i="7"/>
  <c r="Z273" i="7"/>
  <c r="AL273" i="7"/>
  <c r="AX273" i="7"/>
  <c r="Y274" i="7"/>
  <c r="AK274" i="7"/>
  <c r="AW274" i="7"/>
  <c r="X275" i="7"/>
  <c r="AJ275" i="7"/>
  <c r="AV275" i="7"/>
  <c r="W276" i="7"/>
  <c r="AI276" i="7"/>
  <c r="AU276" i="7"/>
  <c r="S277" i="7"/>
  <c r="AE277" i="7"/>
  <c r="AQ277" i="7"/>
  <c r="AC278" i="7"/>
  <c r="AO278" i="7"/>
  <c r="BA278" i="7"/>
  <c r="AB279" i="7"/>
  <c r="AN279" i="7"/>
  <c r="AZ279" i="7"/>
  <c r="AA280" i="7"/>
  <c r="AM280" i="7"/>
  <c r="AY280" i="7"/>
  <c r="Z281" i="7"/>
  <c r="AL281" i="7"/>
  <c r="AX281" i="7"/>
  <c r="Y282" i="7"/>
  <c r="AK282" i="7"/>
  <c r="AW282" i="7"/>
  <c r="U283" i="7"/>
  <c r="AG283" i="7"/>
  <c r="AS283" i="7"/>
  <c r="X268" i="7"/>
  <c r="AJ268" i="7"/>
  <c r="AV268" i="7"/>
  <c r="W269" i="7"/>
  <c r="AI269" i="7"/>
  <c r="AU269" i="7"/>
  <c r="V270" i="7"/>
  <c r="AH270" i="7"/>
  <c r="AT270" i="7"/>
  <c r="AD271" i="7"/>
  <c r="AP271" i="7"/>
  <c r="BB271" i="7"/>
  <c r="AB272" i="7"/>
  <c r="AN272" i="7"/>
  <c r="AZ272" i="7"/>
  <c r="AA273" i="7"/>
  <c r="AM273" i="7"/>
  <c r="AY273" i="7"/>
  <c r="Z274" i="7"/>
  <c r="AL274" i="7"/>
  <c r="AX274" i="7"/>
  <c r="Y275" i="7"/>
  <c r="AK275" i="7"/>
  <c r="AW275" i="7"/>
  <c r="X276" i="7"/>
  <c r="AJ276" i="7"/>
  <c r="AV276" i="7"/>
  <c r="T277" i="7"/>
  <c r="AF277" i="7"/>
  <c r="AR277" i="7"/>
  <c r="AD278" i="7"/>
  <c r="AP278" i="7"/>
  <c r="BB278" i="7"/>
  <c r="AC279" i="7"/>
  <c r="AO279" i="7"/>
  <c r="BA279" i="7"/>
  <c r="AB280" i="7"/>
  <c r="AN280" i="7"/>
  <c r="AZ280" i="7"/>
  <c r="AA281" i="7"/>
  <c r="AM281" i="7"/>
  <c r="AY281" i="7"/>
  <c r="Z282" i="7"/>
  <c r="AL282" i="7"/>
  <c r="AX282" i="7"/>
  <c r="V283" i="7"/>
  <c r="AH283" i="7"/>
  <c r="AT283" i="7"/>
  <c r="AC265" i="7"/>
  <c r="AO265" i="7"/>
  <c r="BA265" i="7"/>
  <c r="AA266" i="7"/>
  <c r="AM266" i="7"/>
  <c r="AY266" i="7"/>
  <c r="Z267" i="7"/>
  <c r="AL267" i="7"/>
  <c r="AX267" i="7"/>
  <c r="Y268" i="7"/>
  <c r="AK268" i="7"/>
  <c r="AW268" i="7"/>
  <c r="X269" i="7"/>
  <c r="AJ269" i="7"/>
  <c r="AV269" i="7"/>
  <c r="W270" i="7"/>
  <c r="AI270" i="7"/>
  <c r="AU270" i="7"/>
  <c r="S271" i="7"/>
  <c r="AE271" i="7"/>
  <c r="AQ271" i="7"/>
  <c r="AC272" i="7"/>
  <c r="AO272" i="7"/>
  <c r="BA272" i="7"/>
  <c r="AB273" i="7"/>
  <c r="AN273" i="7"/>
  <c r="AZ273" i="7"/>
  <c r="AA274" i="7"/>
  <c r="AM274" i="7"/>
  <c r="AY274" i="7"/>
  <c r="Z275" i="7"/>
  <c r="AL275" i="7"/>
  <c r="AX275" i="7"/>
  <c r="Y276" i="7"/>
  <c r="AK276" i="7"/>
  <c r="AW276" i="7"/>
  <c r="U277" i="7"/>
  <c r="AG277" i="7"/>
  <c r="AS277" i="7"/>
  <c r="S278" i="7"/>
  <c r="AE278" i="7"/>
  <c r="AQ278" i="7"/>
  <c r="AD279" i="7"/>
  <c r="AP279" i="7"/>
  <c r="BB279" i="7"/>
  <c r="AC280" i="7"/>
  <c r="AO280" i="7"/>
  <c r="BA280" i="7"/>
  <c r="AB281" i="7"/>
  <c r="AN281" i="7"/>
  <c r="AZ281" i="7"/>
  <c r="AA282" i="7"/>
  <c r="AM282" i="7"/>
  <c r="AY282" i="7"/>
  <c r="W283" i="7"/>
  <c r="AI283" i="7"/>
  <c r="AU283" i="7"/>
  <c r="AD265" i="7"/>
  <c r="AP265" i="7"/>
  <c r="BB265" i="7"/>
  <c r="AB266" i="7"/>
  <c r="AN266" i="7"/>
  <c r="AZ266" i="7"/>
  <c r="AA267" i="7"/>
  <c r="AM267" i="7"/>
  <c r="AY267" i="7"/>
  <c r="Z268" i="7"/>
  <c r="AL268" i="7"/>
  <c r="AX268" i="7"/>
  <c r="Y269" i="7"/>
  <c r="AK269" i="7"/>
  <c r="AW269" i="7"/>
  <c r="X270" i="7"/>
  <c r="AJ270" i="7"/>
  <c r="AV270" i="7"/>
  <c r="T271" i="7"/>
  <c r="AF271" i="7"/>
  <c r="AR271" i="7"/>
  <c r="AD272" i="7"/>
  <c r="AP272" i="7"/>
  <c r="BB272" i="7"/>
  <c r="AC273" i="7"/>
  <c r="AO273" i="7"/>
  <c r="BA273" i="7"/>
  <c r="AB274" i="7"/>
  <c r="AN274" i="7"/>
  <c r="AZ274" i="7"/>
  <c r="AA275" i="7"/>
  <c r="AM275" i="7"/>
  <c r="AY275" i="7"/>
  <c r="Z276" i="7"/>
  <c r="AL276" i="7"/>
  <c r="AX276" i="7"/>
  <c r="V277" i="7"/>
  <c r="AH277" i="7"/>
  <c r="AT277" i="7"/>
  <c r="T278" i="7"/>
  <c r="AF278" i="7"/>
  <c r="AR278" i="7"/>
  <c r="S279" i="7"/>
  <c r="AE279" i="7"/>
  <c r="AQ279" i="7"/>
  <c r="AD280" i="7"/>
  <c r="AP280" i="7"/>
  <c r="BB280" i="7"/>
  <c r="AC281" i="7"/>
  <c r="AO281" i="7"/>
  <c r="BA281" i="7"/>
  <c r="AB282" i="7"/>
  <c r="AN282" i="7"/>
  <c r="AZ282" i="7"/>
  <c r="X283" i="7"/>
  <c r="AJ283" i="7"/>
  <c r="AV283" i="7"/>
  <c r="AC266" i="7"/>
  <c r="AO266" i="7"/>
  <c r="BA266" i="7"/>
  <c r="AB267" i="7"/>
  <c r="AN267" i="7"/>
  <c r="AZ267" i="7"/>
  <c r="AA268" i="7"/>
  <c r="AM268" i="7"/>
  <c r="AY268" i="7"/>
  <c r="Z269" i="7"/>
  <c r="AL269" i="7"/>
  <c r="AX269" i="7"/>
  <c r="Y270" i="7"/>
  <c r="AK270" i="7"/>
  <c r="AW270" i="7"/>
  <c r="U271" i="7"/>
  <c r="AG271" i="7"/>
  <c r="AS271" i="7"/>
  <c r="S272" i="7"/>
  <c r="AE272" i="7"/>
  <c r="AQ272" i="7"/>
  <c r="AD273" i="7"/>
  <c r="AP273" i="7"/>
  <c r="BB273" i="7"/>
  <c r="AC274" i="7"/>
  <c r="AO274" i="7"/>
  <c r="BA274" i="7"/>
  <c r="AB275" i="7"/>
  <c r="AN275" i="7"/>
  <c r="AZ275" i="7"/>
  <c r="AA276" i="7"/>
  <c r="AM276" i="7"/>
  <c r="AY276" i="7"/>
  <c r="W277" i="7"/>
  <c r="AI277" i="7"/>
  <c r="AU277" i="7"/>
  <c r="U278" i="7"/>
  <c r="AG278" i="7"/>
  <c r="AS278" i="7"/>
  <c r="T279" i="7"/>
  <c r="AF279" i="7"/>
  <c r="AR279" i="7"/>
  <c r="S280" i="7"/>
  <c r="AE280" i="7"/>
  <c r="AQ280" i="7"/>
  <c r="AD281" i="7"/>
  <c r="AP281" i="7"/>
  <c r="BB281" i="7"/>
  <c r="AC282" i="7"/>
  <c r="AO282" i="7"/>
  <c r="BA282" i="7"/>
  <c r="Y283" i="7"/>
  <c r="AK283" i="7"/>
  <c r="AW283" i="7"/>
  <c r="AN268" i="7"/>
  <c r="AZ268" i="7"/>
  <c r="AA269" i="7"/>
  <c r="AM269" i="7"/>
  <c r="AY269" i="7"/>
  <c r="Z270" i="7"/>
  <c r="AL270" i="7"/>
  <c r="AX270" i="7"/>
  <c r="V271" i="7"/>
  <c r="AH271" i="7"/>
  <c r="AT271" i="7"/>
  <c r="T272" i="7"/>
  <c r="AF272" i="7"/>
  <c r="AR272" i="7"/>
  <c r="S273" i="7"/>
  <c r="AE273" i="7"/>
  <c r="AQ273" i="7"/>
  <c r="AD274" i="7"/>
  <c r="AP274" i="7"/>
  <c r="BB274" i="7"/>
  <c r="AC275" i="7"/>
  <c r="AO275" i="7"/>
  <c r="BA275" i="7"/>
  <c r="AB276" i="7"/>
  <c r="AN276" i="7"/>
  <c r="AZ276" i="7"/>
  <c r="X277" i="7"/>
  <c r="AJ277" i="7"/>
  <c r="AV277" i="7"/>
  <c r="V278" i="7"/>
  <c r="AH278" i="7"/>
  <c r="AT278" i="7"/>
  <c r="U279" i="7"/>
  <c r="AG279" i="7"/>
  <c r="AS279" i="7"/>
  <c r="T280" i="7"/>
  <c r="AF280" i="7"/>
  <c r="AR280" i="7"/>
  <c r="S281" i="7"/>
  <c r="AE281" i="7"/>
  <c r="AQ281" i="7"/>
  <c r="AD282" i="7"/>
  <c r="AP282" i="7"/>
  <c r="BB282" i="7"/>
  <c r="Z283" i="7"/>
  <c r="AL283" i="7"/>
  <c r="AX283" i="7"/>
  <c r="W271" i="7"/>
  <c r="AI271" i="7"/>
  <c r="AU271" i="7"/>
  <c r="U272" i="7"/>
  <c r="AG272" i="7"/>
  <c r="AS272" i="7"/>
  <c r="T273" i="7"/>
  <c r="AF273" i="7"/>
  <c r="AR273" i="7"/>
  <c r="S274" i="7"/>
  <c r="AE274" i="7"/>
  <c r="AQ274" i="7"/>
  <c r="AD275" i="7"/>
  <c r="AP275" i="7"/>
  <c r="BB275" i="7"/>
  <c r="AC276" i="7"/>
  <c r="AO276" i="7"/>
  <c r="BA276" i="7"/>
  <c r="Y277" i="7"/>
  <c r="AK277" i="7"/>
  <c r="AW277" i="7"/>
  <c r="W278" i="7"/>
  <c r="AI278" i="7"/>
  <c r="AU278" i="7"/>
  <c r="V279" i="7"/>
  <c r="AH279" i="7"/>
  <c r="AT279" i="7"/>
  <c r="U280" i="7"/>
  <c r="AG280" i="7"/>
  <c r="AS280" i="7"/>
  <c r="T281" i="7"/>
  <c r="AF281" i="7"/>
  <c r="AR281" i="7"/>
  <c r="S282" i="7"/>
  <c r="AE282" i="7"/>
  <c r="AQ282" i="7"/>
  <c r="AA283" i="7"/>
  <c r="AM283" i="7"/>
  <c r="AY283" i="7"/>
  <c r="V265" i="7"/>
  <c r="AH265" i="7"/>
  <c r="AT265" i="7"/>
  <c r="T266" i="7"/>
  <c r="AF266" i="7"/>
  <c r="AR266" i="7"/>
  <c r="S267" i="7"/>
  <c r="AE267" i="7"/>
  <c r="AQ267" i="7"/>
  <c r="AD268" i="7"/>
  <c r="AP268" i="7"/>
  <c r="BB268" i="7"/>
  <c r="AC269" i="7"/>
  <c r="AO269" i="7"/>
  <c r="BA269" i="7"/>
  <c r="AB270" i="7"/>
  <c r="AN270" i="7"/>
  <c r="AZ270" i="7"/>
  <c r="X271" i="7"/>
  <c r="AJ271" i="7"/>
  <c r="AV271" i="7"/>
  <c r="V272" i="7"/>
  <c r="AH272" i="7"/>
  <c r="AT272" i="7"/>
  <c r="U273" i="7"/>
  <c r="AG273" i="7"/>
  <c r="AS273" i="7"/>
  <c r="T274" i="7"/>
  <c r="AF274" i="7"/>
  <c r="AR274" i="7"/>
  <c r="S275" i="7"/>
  <c r="AE275" i="7"/>
  <c r="AQ275" i="7"/>
  <c r="AD276" i="7"/>
  <c r="AP276" i="7"/>
  <c r="BB276" i="7"/>
  <c r="Z277" i="7"/>
  <c r="AL277" i="7"/>
  <c r="AX277" i="7"/>
  <c r="X278" i="7"/>
  <c r="AJ278" i="7"/>
  <c r="AV278" i="7"/>
  <c r="W279" i="7"/>
  <c r="AI279" i="7"/>
  <c r="AU279" i="7"/>
  <c r="V280" i="7"/>
  <c r="AH280" i="7"/>
  <c r="AT280" i="7"/>
  <c r="U281" i="7"/>
  <c r="AG281" i="7"/>
  <c r="AS281" i="7"/>
  <c r="T282" i="7"/>
  <c r="AF282" i="7"/>
  <c r="AR282" i="7"/>
  <c r="AB283" i="7"/>
  <c r="AN283" i="7"/>
  <c r="AZ283" i="7"/>
  <c r="W265" i="7"/>
  <c r="AI265" i="7"/>
  <c r="AU265" i="7"/>
  <c r="U266" i="7"/>
  <c r="AG266" i="7"/>
  <c r="AS266" i="7"/>
  <c r="T267" i="7"/>
  <c r="AF267" i="7"/>
  <c r="AR267" i="7"/>
  <c r="S268" i="7"/>
  <c r="AE268" i="7"/>
  <c r="AQ268" i="7"/>
  <c r="AD269" i="7"/>
  <c r="AP269" i="7"/>
  <c r="BB269" i="7"/>
  <c r="AC270" i="7"/>
  <c r="AO270" i="7"/>
  <c r="BA270" i="7"/>
  <c r="Y271" i="7"/>
  <c r="AK271" i="7"/>
  <c r="AW271" i="7"/>
  <c r="W272" i="7"/>
  <c r="AI272" i="7"/>
  <c r="AU272" i="7"/>
  <c r="V273" i="7"/>
  <c r="AH273" i="7"/>
  <c r="AT273" i="7"/>
  <c r="U274" i="7"/>
  <c r="AG274" i="7"/>
  <c r="AS274" i="7"/>
  <c r="T275" i="7"/>
  <c r="AF275" i="7"/>
  <c r="AR275" i="7"/>
  <c r="S276" i="7"/>
  <c r="AE276" i="7"/>
  <c r="AQ276" i="7"/>
  <c r="AA277" i="7"/>
  <c r="AM277" i="7"/>
  <c r="AY277" i="7"/>
  <c r="Y278" i="7"/>
  <c r="AK278" i="7"/>
  <c r="AW278" i="7"/>
  <c r="X279" i="7"/>
  <c r="AJ279" i="7"/>
  <c r="AV279" i="7"/>
  <c r="W280" i="7"/>
  <c r="AI280" i="7"/>
  <c r="AU280" i="7"/>
  <c r="V281" i="7"/>
  <c r="AH281" i="7"/>
  <c r="AT281" i="7"/>
  <c r="U282" i="7"/>
  <c r="AG282" i="7"/>
  <c r="AS282" i="7"/>
  <c r="AC283" i="7"/>
  <c r="AO283" i="7"/>
  <c r="BA283" i="7"/>
  <c r="BH26" i="7" a="1"/>
  <c r="BH26" i="7" s="1"/>
  <c r="BL28" i="7" a="1"/>
  <c r="BL28" i="7" s="1"/>
  <c r="BY26" i="7" a="1"/>
  <c r="BY26" i="7" s="1"/>
  <c r="BZ28" i="7" a="1"/>
  <c r="BZ28" i="7" s="1"/>
  <c r="BE26" i="7" a="1"/>
  <c r="BE26" i="7" s="1"/>
  <c r="BG147" i="7" a="1"/>
  <c r="BG147" i="7" s="1"/>
  <c r="BG139" i="7" a="1"/>
  <c r="BG139" i="7" s="1"/>
  <c r="BG132" i="7" a="1"/>
  <c r="BG132" i="7" s="1"/>
  <c r="BG146" i="7" a="1"/>
  <c r="BG146" i="7" s="1"/>
  <c r="BG145" i="7" a="1"/>
  <c r="BG145" i="7" s="1"/>
  <c r="BG138" i="7" a="1"/>
  <c r="BG138" i="7" s="1"/>
  <c r="BG144" i="7" a="1"/>
  <c r="BG144" i="7" s="1"/>
  <c r="BG150" i="7" a="1"/>
  <c r="BG150" i="7" s="1"/>
  <c r="BG137" i="7" a="1"/>
  <c r="BG137" i="7" s="1"/>
  <c r="BG136" i="7" a="1"/>
  <c r="BG136" i="7" s="1"/>
  <c r="BG143" i="7" a="1"/>
  <c r="BG143" i="7" s="1"/>
  <c r="BG135" i="7" a="1"/>
  <c r="BG135" i="7" s="1"/>
  <c r="BG142" i="7" a="1"/>
  <c r="BG142" i="7" s="1"/>
  <c r="BG149" i="7" a="1"/>
  <c r="BG149" i="7" s="1"/>
  <c r="BG141" i="7" a="1"/>
  <c r="BG141" i="7" s="1"/>
  <c r="BG133" i="7" a="1"/>
  <c r="BG133" i="7" s="1"/>
  <c r="BG148" i="7" a="1"/>
  <c r="BG148" i="7" s="1"/>
  <c r="BG134" i="7" a="1"/>
  <c r="BG134" i="7" s="1"/>
  <c r="BG125" i="7" a="1"/>
  <c r="BG125" i="7" s="1"/>
  <c r="BG119" i="7" a="1"/>
  <c r="BG119" i="7" s="1"/>
  <c r="BG113" i="7" a="1"/>
  <c r="BG113" i="7" s="1"/>
  <c r="BG124" i="7" a="1"/>
  <c r="BG124" i="7" s="1"/>
  <c r="BG118" i="7" a="1"/>
  <c r="BG118" i="7" s="1"/>
  <c r="BG131" i="7" a="1"/>
  <c r="BG131" i="7" s="1"/>
  <c r="BG123" i="7" a="1"/>
  <c r="BG123" i="7" s="1"/>
  <c r="BG117" i="7" a="1"/>
  <c r="BG117" i="7" s="1"/>
  <c r="BG130" i="7" a="1"/>
  <c r="BG130" i="7" s="1"/>
  <c r="BG122" i="7" a="1"/>
  <c r="BG122" i="7" s="1"/>
  <c r="BG116" i="7" a="1"/>
  <c r="BG116" i="7" s="1"/>
  <c r="BG110" i="7" a="1"/>
  <c r="BG110" i="7" s="1"/>
  <c r="BG129" i="7" a="1"/>
  <c r="BG129" i="7" s="1"/>
  <c r="BG121" i="7" a="1"/>
  <c r="BG121" i="7" s="1"/>
  <c r="BG115" i="7" a="1"/>
  <c r="BG115" i="7" s="1"/>
  <c r="BG109" i="7" a="1"/>
  <c r="BG109" i="7" s="1"/>
  <c r="BG140" i="7" a="1"/>
  <c r="BG140" i="7" s="1"/>
  <c r="BG128" i="7" a="1"/>
  <c r="BG128" i="7" s="1"/>
  <c r="BG127" i="7" a="1"/>
  <c r="BG127" i="7" s="1"/>
  <c r="BG120" i="7" a="1"/>
  <c r="BG120" i="7" s="1"/>
  <c r="BG114" i="7" a="1"/>
  <c r="BG114" i="7" s="1"/>
  <c r="BG126" i="7" a="1"/>
  <c r="BG126" i="7" s="1"/>
  <c r="BG107" i="7" a="1"/>
  <c r="BG107" i="7" s="1"/>
  <c r="BG101" i="7" a="1"/>
  <c r="BG101" i="7" s="1"/>
  <c r="BG95" i="7" a="1"/>
  <c r="BG95" i="7" s="1"/>
  <c r="BG89" i="7" a="1"/>
  <c r="BG89" i="7" s="1"/>
  <c r="BG106" i="7" a="1"/>
  <c r="BG106" i="7" s="1"/>
  <c r="BG100" i="7" a="1"/>
  <c r="BG100" i="7" s="1"/>
  <c r="BG94" i="7" a="1"/>
  <c r="BG94" i="7" s="1"/>
  <c r="BG105" i="7" a="1"/>
  <c r="BG105" i="7" s="1"/>
  <c r="BG99" i="7" a="1"/>
  <c r="BG99" i="7" s="1"/>
  <c r="BG93" i="7" a="1"/>
  <c r="BG93" i="7" s="1"/>
  <c r="BG104" i="7" a="1"/>
  <c r="BG104" i="7" s="1"/>
  <c r="BG98" i="7" a="1"/>
  <c r="BG98" i="7" s="1"/>
  <c r="BG92" i="7" a="1"/>
  <c r="BG92" i="7" s="1"/>
  <c r="BG103" i="7" a="1"/>
  <c r="BG103" i="7" s="1"/>
  <c r="BG97" i="7" a="1"/>
  <c r="BG97" i="7" s="1"/>
  <c r="BG91" i="7" a="1"/>
  <c r="BG91" i="7" s="1"/>
  <c r="BG111" i="7" a="1"/>
  <c r="BG111" i="7" s="1"/>
  <c r="BG102" i="7" a="1"/>
  <c r="BG102" i="7" s="1"/>
  <c r="BG96" i="7" a="1"/>
  <c r="BG96" i="7" s="1"/>
  <c r="BG90" i="7" a="1"/>
  <c r="BG90" i="7" s="1"/>
  <c r="BG108" i="7" a="1"/>
  <c r="BG108" i="7" s="1"/>
  <c r="BG81" i="7" a="1"/>
  <c r="BG81" i="7" s="1"/>
  <c r="BG75" i="7" a="1"/>
  <c r="BG75" i="7" s="1"/>
  <c r="BG112" i="7" a="1"/>
  <c r="BG112" i="7" s="1"/>
  <c r="BG86" i="7" a="1"/>
  <c r="BG86" i="7" s="1"/>
  <c r="BG80" i="7" a="1"/>
  <c r="BG80" i="7" s="1"/>
  <c r="BG74" i="7" a="1"/>
  <c r="BG74" i="7" s="1"/>
  <c r="BG85" i="7" a="1"/>
  <c r="BG85" i="7" s="1"/>
  <c r="BG79" i="7" a="1"/>
  <c r="BG79" i="7" s="1"/>
  <c r="BG73" i="7" a="1"/>
  <c r="BG73" i="7" s="1"/>
  <c r="BG84" i="7" a="1"/>
  <c r="BG84" i="7" s="1"/>
  <c r="BG78" i="7" a="1"/>
  <c r="BG78" i="7" s="1"/>
  <c r="BG72" i="7" a="1"/>
  <c r="BG72" i="7" s="1"/>
  <c r="BG88" i="7" a="1"/>
  <c r="BG88" i="7" s="1"/>
  <c r="BG83" i="7" a="1"/>
  <c r="BG83" i="7" s="1"/>
  <c r="BG77" i="7" a="1"/>
  <c r="BG77" i="7" s="1"/>
  <c r="BG66" i="7" a="1"/>
  <c r="BG66" i="7" s="1"/>
  <c r="BG60" i="7" a="1"/>
  <c r="BG60" i="7" s="1"/>
  <c r="BG54" i="7" a="1"/>
  <c r="BG54" i="7" s="1"/>
  <c r="BG48" i="7" a="1"/>
  <c r="BG48" i="7" s="1"/>
  <c r="BG87" i="7" a="1"/>
  <c r="BG87" i="7" s="1"/>
  <c r="BG82" i="7" a="1"/>
  <c r="BG82" i="7" s="1"/>
  <c r="BG71" i="7" a="1"/>
  <c r="BG71" i="7" s="1"/>
  <c r="BG65" i="7" a="1"/>
  <c r="BG65" i="7" s="1"/>
  <c r="BG59" i="7" a="1"/>
  <c r="BG59" i="7" s="1"/>
  <c r="BG53" i="7" a="1"/>
  <c r="BG53" i="7" s="1"/>
  <c r="BG70" i="7" a="1"/>
  <c r="BG70" i="7" s="1"/>
  <c r="BG64" i="7" a="1"/>
  <c r="BG64" i="7" s="1"/>
  <c r="BG58" i="7" a="1"/>
  <c r="BG58" i="7" s="1"/>
  <c r="BG52" i="7" a="1"/>
  <c r="BG52" i="7" s="1"/>
  <c r="BG69" i="7" a="1"/>
  <c r="BG69" i="7" s="1"/>
  <c r="BG63" i="7" a="1"/>
  <c r="BG63" i="7" s="1"/>
  <c r="BG57" i="7" a="1"/>
  <c r="BG57" i="7" s="1"/>
  <c r="BG51" i="7" a="1"/>
  <c r="BG51" i="7" s="1"/>
  <c r="BG68" i="7" a="1"/>
  <c r="BG68" i="7" s="1"/>
  <c r="BG62" i="7" a="1"/>
  <c r="BG62" i="7" s="1"/>
  <c r="BG56" i="7" a="1"/>
  <c r="BG56" i="7" s="1"/>
  <c r="BG50" i="7" a="1"/>
  <c r="BG50" i="7" s="1"/>
  <c r="BG43" i="7" a="1"/>
  <c r="BG43" i="7" s="1"/>
  <c r="BG37" i="7" a="1"/>
  <c r="BG37" i="7" s="1"/>
  <c r="BG31" i="7" a="1"/>
  <c r="BG31" i="7" s="1"/>
  <c r="BG25" i="7" a="1"/>
  <c r="BG25" i="7" s="1"/>
  <c r="BG42" i="7" a="1"/>
  <c r="BG42" i="7" s="1"/>
  <c r="BG36" i="7" a="1"/>
  <c r="BG36" i="7" s="1"/>
  <c r="BG30" i="7" a="1"/>
  <c r="BG30" i="7" s="1"/>
  <c r="BG49" i="7" a="1"/>
  <c r="BG49" i="7" s="1"/>
  <c r="BG61" i="7" a="1"/>
  <c r="BG61" i="7" s="1"/>
  <c r="BG76" i="7" a="1"/>
  <c r="BG76" i="7" s="1"/>
  <c r="BG41" i="7" a="1"/>
  <c r="BG41" i="7" s="1"/>
  <c r="BG35" i="7" a="1"/>
  <c r="BG35" i="7" s="1"/>
  <c r="BG29" i="7" a="1"/>
  <c r="BG29" i="7" s="1"/>
  <c r="BG55" i="7" a="1"/>
  <c r="BG55" i="7" s="1"/>
  <c r="BG46" i="7" a="1"/>
  <c r="BG46" i="7" s="1"/>
  <c r="BG40" i="7" a="1"/>
  <c r="BG40" i="7" s="1"/>
  <c r="BG34" i="7" a="1"/>
  <c r="BG34" i="7" s="1"/>
  <c r="BG28" i="7" a="1"/>
  <c r="BG28" i="7" s="1"/>
  <c r="BG47" i="7" a="1"/>
  <c r="BG47" i="7" s="1"/>
  <c r="BG45" i="7" a="1"/>
  <c r="BG45" i="7" s="1"/>
  <c r="BG39" i="7" a="1"/>
  <c r="BG39" i="7" s="1"/>
  <c r="BG33" i="7" a="1"/>
  <c r="BG33" i="7" s="1"/>
  <c r="BG27" i="7" a="1"/>
  <c r="BG27" i="7" s="1"/>
  <c r="BV144" i="7" a="1"/>
  <c r="BV144" i="7" s="1"/>
  <c r="BV150" i="7" a="1"/>
  <c r="BV150" i="7" s="1"/>
  <c r="BV136" i="7" a="1"/>
  <c r="BV136" i="7" s="1"/>
  <c r="BV143" i="7" a="1"/>
  <c r="BV143" i="7" s="1"/>
  <c r="BV135" i="7" a="1"/>
  <c r="BV135" i="7" s="1"/>
  <c r="BV142" i="7" a="1"/>
  <c r="BV142" i="7" s="1"/>
  <c r="BV134" i="7" a="1"/>
  <c r="BV134" i="7" s="1"/>
  <c r="BV149" i="7" a="1"/>
  <c r="BV149" i="7" s="1"/>
  <c r="BV141" i="7" a="1"/>
  <c r="BV141" i="7" s="1"/>
  <c r="BV133" i="7" a="1"/>
  <c r="BV133" i="7" s="1"/>
  <c r="BV148" i="7" a="1"/>
  <c r="BV148" i="7" s="1"/>
  <c r="BV140" i="7" a="1"/>
  <c r="BV140" i="7" s="1"/>
  <c r="BV147" i="7" a="1"/>
  <c r="BV147" i="7" s="1"/>
  <c r="BV139" i="7" a="1"/>
  <c r="BV139" i="7" s="1"/>
  <c r="BV146" i="7" a="1"/>
  <c r="BV146" i="7" s="1"/>
  <c r="BV145" i="7" a="1"/>
  <c r="BV145" i="7" s="1"/>
  <c r="BV138" i="7" a="1"/>
  <c r="BV138" i="7" s="1"/>
  <c r="BV132" i="7" a="1"/>
  <c r="BV132" i="7" s="1"/>
  <c r="BV130" i="7" a="1"/>
  <c r="BV130" i="7" s="1"/>
  <c r="BV122" i="7" a="1"/>
  <c r="BV122" i="7" s="1"/>
  <c r="BV116" i="7" a="1"/>
  <c r="BV116" i="7" s="1"/>
  <c r="BV110" i="7" a="1"/>
  <c r="BV110" i="7" s="1"/>
  <c r="BV129" i="7" a="1"/>
  <c r="BV129" i="7" s="1"/>
  <c r="BV121" i="7" a="1"/>
  <c r="BV121" i="7" s="1"/>
  <c r="BV115" i="7" a="1"/>
  <c r="BV115" i="7" s="1"/>
  <c r="BV109" i="7" a="1"/>
  <c r="BV109" i="7" s="1"/>
  <c r="BV128" i="7" a="1"/>
  <c r="BV128" i="7" s="1"/>
  <c r="BV127" i="7" a="1"/>
  <c r="BV127" i="7" s="1"/>
  <c r="BV120" i="7" a="1"/>
  <c r="BV120" i="7" s="1"/>
  <c r="BV114" i="7" a="1"/>
  <c r="BV114" i="7" s="1"/>
  <c r="BV126" i="7" a="1"/>
  <c r="BV126" i="7" s="1"/>
  <c r="BV137" i="7" a="1"/>
  <c r="BV137" i="7" s="1"/>
  <c r="BV125" i="7" a="1"/>
  <c r="BV125" i="7" s="1"/>
  <c r="BV119" i="7" a="1"/>
  <c r="BV119" i="7" s="1"/>
  <c r="BV113" i="7" a="1"/>
  <c r="BV113" i="7" s="1"/>
  <c r="BV124" i="7" a="1"/>
  <c r="BV124" i="7" s="1"/>
  <c r="BV118" i="7" a="1"/>
  <c r="BV118" i="7" s="1"/>
  <c r="BV112" i="7" a="1"/>
  <c r="BV112" i="7" s="1"/>
  <c r="BV104" i="7" a="1"/>
  <c r="BV104" i="7" s="1"/>
  <c r="BV98" i="7" a="1"/>
  <c r="BV98" i="7" s="1"/>
  <c r="BV92" i="7" a="1"/>
  <c r="BV92" i="7" s="1"/>
  <c r="BV103" i="7" a="1"/>
  <c r="BV103" i="7" s="1"/>
  <c r="BV97" i="7" a="1"/>
  <c r="BV97" i="7" s="1"/>
  <c r="BV91" i="7" a="1"/>
  <c r="BV91" i="7" s="1"/>
  <c r="BV108" i="7" a="1"/>
  <c r="BV108" i="7" s="1"/>
  <c r="BV123" i="7" a="1"/>
  <c r="BV123" i="7" s="1"/>
  <c r="BV102" i="7" a="1"/>
  <c r="BV102" i="7" s="1"/>
  <c r="BV96" i="7" a="1"/>
  <c r="BV96" i="7" s="1"/>
  <c r="BV90" i="7" a="1"/>
  <c r="BV90" i="7" s="1"/>
  <c r="BV111" i="7" a="1"/>
  <c r="BV111" i="7" s="1"/>
  <c r="BV117" i="7" a="1"/>
  <c r="BV117" i="7" s="1"/>
  <c r="BV107" i="7" a="1"/>
  <c r="BV107" i="7" s="1"/>
  <c r="BV101" i="7" a="1"/>
  <c r="BV101" i="7" s="1"/>
  <c r="BV95" i="7" a="1"/>
  <c r="BV95" i="7" s="1"/>
  <c r="BV131" i="7" a="1"/>
  <c r="BV131" i="7" s="1"/>
  <c r="BV106" i="7" a="1"/>
  <c r="BV106" i="7" s="1"/>
  <c r="BV100" i="7" a="1"/>
  <c r="BV100" i="7" s="1"/>
  <c r="BV94" i="7" a="1"/>
  <c r="BV94" i="7" s="1"/>
  <c r="BV89" i="7" a="1"/>
  <c r="BV89" i="7" s="1"/>
  <c r="BV84" i="7" a="1"/>
  <c r="BV84" i="7" s="1"/>
  <c r="BV78" i="7" a="1"/>
  <c r="BV78" i="7" s="1"/>
  <c r="BV72" i="7" a="1"/>
  <c r="BV72" i="7" s="1"/>
  <c r="BV93" i="7" a="1"/>
  <c r="BV93" i="7" s="1"/>
  <c r="BV88" i="7" a="1"/>
  <c r="BV88" i="7" s="1"/>
  <c r="BV105" i="7" a="1"/>
  <c r="BV105" i="7" s="1"/>
  <c r="BV83" i="7" a="1"/>
  <c r="BV83" i="7" s="1"/>
  <c r="BV77" i="7" a="1"/>
  <c r="BV77" i="7" s="1"/>
  <c r="BV71" i="7" a="1"/>
  <c r="BV71" i="7" s="1"/>
  <c r="BV82" i="7" a="1"/>
  <c r="BV82" i="7" s="1"/>
  <c r="BV76" i="7" a="1"/>
  <c r="BV76" i="7" s="1"/>
  <c r="BV81" i="7" a="1"/>
  <c r="BV81" i="7" s="1"/>
  <c r="BV75" i="7" a="1"/>
  <c r="BV75" i="7" s="1"/>
  <c r="BV80" i="7" a="1"/>
  <c r="BV80" i="7" s="1"/>
  <c r="BV74" i="7" a="1"/>
  <c r="BV74" i="7" s="1"/>
  <c r="BV99" i="7" a="1"/>
  <c r="BV99" i="7" s="1"/>
  <c r="BV86" i="7" a="1"/>
  <c r="BV86" i="7" s="1"/>
  <c r="BV85" i="7" a="1"/>
  <c r="BV85" i="7" s="1"/>
  <c r="BV79" i="7" a="1"/>
  <c r="BV79" i="7" s="1"/>
  <c r="BV73" i="7" a="1"/>
  <c r="BV73" i="7" s="1"/>
  <c r="BV65" i="7" a="1"/>
  <c r="BV65" i="7" s="1"/>
  <c r="BV59" i="7" a="1"/>
  <c r="BV59" i="7" s="1"/>
  <c r="BV53" i="7" a="1"/>
  <c r="BV53" i="7" s="1"/>
  <c r="BV87" i="7" a="1"/>
  <c r="BV87" i="7" s="1"/>
  <c r="BV70" i="7" a="1"/>
  <c r="BV70" i="7" s="1"/>
  <c r="BV64" i="7" a="1"/>
  <c r="BV64" i="7" s="1"/>
  <c r="BV58" i="7" a="1"/>
  <c r="BV58" i="7" s="1"/>
  <c r="BV52" i="7" a="1"/>
  <c r="BV52" i="7" s="1"/>
  <c r="BV69" i="7" a="1"/>
  <c r="BV69" i="7" s="1"/>
  <c r="BV63" i="7" a="1"/>
  <c r="BV63" i="7" s="1"/>
  <c r="BV57" i="7" a="1"/>
  <c r="BV57" i="7" s="1"/>
  <c r="BV51" i="7" a="1"/>
  <c r="BV51" i="7" s="1"/>
  <c r="BV68" i="7" a="1"/>
  <c r="BV68" i="7" s="1"/>
  <c r="BV62" i="7" a="1"/>
  <c r="BV62" i="7" s="1"/>
  <c r="BV56" i="7" a="1"/>
  <c r="BV56" i="7" s="1"/>
  <c r="BV50" i="7" a="1"/>
  <c r="BV50" i="7" s="1"/>
  <c r="BV67" i="7" a="1"/>
  <c r="BV67" i="7" s="1"/>
  <c r="BV61" i="7" a="1"/>
  <c r="BV61" i="7" s="1"/>
  <c r="BV55" i="7" a="1"/>
  <c r="BV55" i="7" s="1"/>
  <c r="BV49" i="7" a="1"/>
  <c r="BV49" i="7" s="1"/>
  <c r="BV66" i="7" a="1"/>
  <c r="BV66" i="7" s="1"/>
  <c r="BV60" i="7" a="1"/>
  <c r="BV60" i="7" s="1"/>
  <c r="BV54" i="7" a="1"/>
  <c r="BV54" i="7" s="1"/>
  <c r="BV41" i="7" a="1"/>
  <c r="BV41" i="7" s="1"/>
  <c r="BV35" i="7" a="1"/>
  <c r="BV35" i="7" s="1"/>
  <c r="BV29" i="7" a="1"/>
  <c r="BV29" i="7" s="1"/>
  <c r="BV48" i="7" a="1"/>
  <c r="BV48" i="7" s="1"/>
  <c r="BV46" i="7" a="1"/>
  <c r="BV46" i="7" s="1"/>
  <c r="BV40" i="7" a="1"/>
  <c r="BV40" i="7" s="1"/>
  <c r="BV34" i="7" a="1"/>
  <c r="BV34" i="7" s="1"/>
  <c r="BV28" i="7" a="1"/>
  <c r="BV28" i="7" s="1"/>
  <c r="BV45" i="7" a="1"/>
  <c r="BV45" i="7" s="1"/>
  <c r="BV39" i="7" a="1"/>
  <c r="BV39" i="7" s="1"/>
  <c r="BV33" i="7" a="1"/>
  <c r="BV33" i="7" s="1"/>
  <c r="BV27" i="7" a="1"/>
  <c r="BV27" i="7" s="1"/>
  <c r="BV44" i="7" a="1"/>
  <c r="BV44" i="7" s="1"/>
  <c r="BV38" i="7" a="1"/>
  <c r="BV38" i="7" s="1"/>
  <c r="BV32" i="7" a="1"/>
  <c r="BV32" i="7" s="1"/>
  <c r="BV43" i="7" a="1"/>
  <c r="BV43" i="7" s="1"/>
  <c r="BV37" i="7" a="1"/>
  <c r="BV37" i="7" s="1"/>
  <c r="BV31" i="7" a="1"/>
  <c r="BV31" i="7" s="1"/>
  <c r="BV25" i="7" a="1"/>
  <c r="BV25" i="7" s="1"/>
  <c r="BV42" i="7" a="1"/>
  <c r="BV42" i="7" s="1"/>
  <c r="BV36" i="7" a="1"/>
  <c r="BV36" i="7" s="1"/>
  <c r="BV30" i="7" a="1"/>
  <c r="BV30" i="7" s="1"/>
  <c r="BV24" i="7" a="1"/>
  <c r="BV24" i="7" s="1"/>
  <c r="BH20" i="7" a="1"/>
  <c r="BH20" i="7" s="1"/>
  <c r="BO20" i="7" a="1"/>
  <c r="BO20" i="7" s="1"/>
  <c r="BG22" i="7" a="1"/>
  <c r="BG22" i="7" s="1"/>
  <c r="BN22" i="7" a="1"/>
  <c r="BN22" i="7" s="1"/>
  <c r="BT22" i="7" a="1"/>
  <c r="BT22" i="7" s="1"/>
  <c r="BI24" i="7" a="1"/>
  <c r="BI24" i="7" s="1"/>
  <c r="P158" i="7"/>
  <c r="BZ25" i="7" a="1"/>
  <c r="BZ25" i="7" s="1"/>
  <c r="BE27" i="7" a="1"/>
  <c r="BE27" i="7" s="1"/>
  <c r="BF28" i="7" a="1"/>
  <c r="BF28" i="7" s="1"/>
  <c r="BG32" i="7" a="1"/>
  <c r="BG32" i="7" s="1"/>
  <c r="BT44" i="7" a="1"/>
  <c r="BT44" i="7" s="1"/>
  <c r="BV47" i="7" a="1"/>
  <c r="BV47" i="7" s="1"/>
  <c r="BH145" i="7" a="1"/>
  <c r="BH145" i="7" s="1"/>
  <c r="BH138" i="7" a="1"/>
  <c r="BH138" i="7" s="1"/>
  <c r="BH144" i="7" a="1"/>
  <c r="BH144" i="7" s="1"/>
  <c r="BH150" i="7" a="1"/>
  <c r="BH150" i="7" s="1"/>
  <c r="BH137" i="7" a="1"/>
  <c r="BH137" i="7" s="1"/>
  <c r="BH136" i="7" a="1"/>
  <c r="BH136" i="7" s="1"/>
  <c r="BH143" i="7" a="1"/>
  <c r="BH143" i="7" s="1"/>
  <c r="BH135" i="7" a="1"/>
  <c r="BH135" i="7" s="1"/>
  <c r="BH142" i="7" a="1"/>
  <c r="BH142" i="7" s="1"/>
  <c r="BH149" i="7" a="1"/>
  <c r="BH149" i="7" s="1"/>
  <c r="BH141" i="7" a="1"/>
  <c r="BH141" i="7" s="1"/>
  <c r="BH133" i="7" a="1"/>
  <c r="BH133" i="7" s="1"/>
  <c r="BH148" i="7" a="1"/>
  <c r="BH148" i="7" s="1"/>
  <c r="BH140" i="7" a="1"/>
  <c r="BH140" i="7" s="1"/>
  <c r="BH147" i="7" a="1"/>
  <c r="BH147" i="7" s="1"/>
  <c r="BH139" i="7" a="1"/>
  <c r="BH139" i="7" s="1"/>
  <c r="BH134" i="7" a="1"/>
  <c r="BH134" i="7" s="1"/>
  <c r="BH124" i="7" a="1"/>
  <c r="BH124" i="7" s="1"/>
  <c r="BH118" i="7" a="1"/>
  <c r="BH118" i="7" s="1"/>
  <c r="BH112" i="7" a="1"/>
  <c r="BH112" i="7" s="1"/>
  <c r="BH131" i="7" a="1"/>
  <c r="BH131" i="7" s="1"/>
  <c r="BH123" i="7" a="1"/>
  <c r="BH123" i="7" s="1"/>
  <c r="BH117" i="7" a="1"/>
  <c r="BH117" i="7" s="1"/>
  <c r="BH111" i="7" a="1"/>
  <c r="BH111" i="7" s="1"/>
  <c r="BH130" i="7" a="1"/>
  <c r="BH130" i="7" s="1"/>
  <c r="BH122" i="7" a="1"/>
  <c r="BH122" i="7" s="1"/>
  <c r="BH116" i="7" a="1"/>
  <c r="BH116" i="7" s="1"/>
  <c r="BH129" i="7" a="1"/>
  <c r="BH129" i="7" s="1"/>
  <c r="BH121" i="7" a="1"/>
  <c r="BH121" i="7" s="1"/>
  <c r="BH115" i="7" a="1"/>
  <c r="BH115" i="7" s="1"/>
  <c r="BH132" i="7" a="1"/>
  <c r="BH132" i="7" s="1"/>
  <c r="BH128" i="7" a="1"/>
  <c r="BH128" i="7" s="1"/>
  <c r="BH127" i="7" a="1"/>
  <c r="BH127" i="7" s="1"/>
  <c r="BH120" i="7" a="1"/>
  <c r="BH120" i="7" s="1"/>
  <c r="BH114" i="7" a="1"/>
  <c r="BH114" i="7" s="1"/>
  <c r="BH108" i="7" a="1"/>
  <c r="BH108" i="7" s="1"/>
  <c r="BH126" i="7" a="1"/>
  <c r="BH126" i="7" s="1"/>
  <c r="BH146" i="7" a="1"/>
  <c r="BH146" i="7" s="1"/>
  <c r="BH106" i="7" a="1"/>
  <c r="BH106" i="7" s="1"/>
  <c r="BH100" i="7" a="1"/>
  <c r="BH100" i="7" s="1"/>
  <c r="BH94" i="7" a="1"/>
  <c r="BH94" i="7" s="1"/>
  <c r="BH88" i="7" a="1"/>
  <c r="BH88" i="7" s="1"/>
  <c r="BH105" i="7" a="1"/>
  <c r="BH105" i="7" s="1"/>
  <c r="BH99" i="7" a="1"/>
  <c r="BH99" i="7" s="1"/>
  <c r="BH93" i="7" a="1"/>
  <c r="BH93" i="7" s="1"/>
  <c r="BH119" i="7" a="1"/>
  <c r="BH119" i="7" s="1"/>
  <c r="BH104" i="7" a="1"/>
  <c r="BH104" i="7" s="1"/>
  <c r="BH98" i="7" a="1"/>
  <c r="BH98" i="7" s="1"/>
  <c r="BH92" i="7" a="1"/>
  <c r="BH92" i="7" s="1"/>
  <c r="BH103" i="7" a="1"/>
  <c r="BH103" i="7" s="1"/>
  <c r="BH97" i="7" a="1"/>
  <c r="BH97" i="7" s="1"/>
  <c r="BH91" i="7" a="1"/>
  <c r="BH91" i="7" s="1"/>
  <c r="BH102" i="7" a="1"/>
  <c r="BH102" i="7" s="1"/>
  <c r="BH96" i="7" a="1"/>
  <c r="BH96" i="7" s="1"/>
  <c r="BH90" i="7" a="1"/>
  <c r="BH90" i="7" s="1"/>
  <c r="BH110" i="7" a="1"/>
  <c r="BH110" i="7" s="1"/>
  <c r="BH125" i="7" a="1"/>
  <c r="BH125" i="7" s="1"/>
  <c r="BH113" i="7" a="1"/>
  <c r="BH113" i="7" s="1"/>
  <c r="BH109" i="7" a="1"/>
  <c r="BH109" i="7" s="1"/>
  <c r="BH85" i="7" a="1"/>
  <c r="BH85" i="7" s="1"/>
  <c r="BH79" i="7" a="1"/>
  <c r="BH79" i="7" s="1"/>
  <c r="BH73" i="7" a="1"/>
  <c r="BH73" i="7" s="1"/>
  <c r="BH84" i="7" a="1"/>
  <c r="BH84" i="7" s="1"/>
  <c r="BH78" i="7" a="1"/>
  <c r="BH78" i="7" s="1"/>
  <c r="BH101" i="7" a="1"/>
  <c r="BH101" i="7" s="1"/>
  <c r="BH89" i="7" a="1"/>
  <c r="BH89" i="7" s="1"/>
  <c r="BH83" i="7" a="1"/>
  <c r="BH83" i="7" s="1"/>
  <c r="BH77" i="7" a="1"/>
  <c r="BH77" i="7" s="1"/>
  <c r="BH95" i="7" a="1"/>
  <c r="BH95" i="7" s="1"/>
  <c r="BH87" i="7" a="1"/>
  <c r="BH87" i="7" s="1"/>
  <c r="BH82" i="7" a="1"/>
  <c r="BH82" i="7" s="1"/>
  <c r="BH76" i="7" a="1"/>
  <c r="BH76" i="7" s="1"/>
  <c r="BH81" i="7" a="1"/>
  <c r="BH81" i="7" s="1"/>
  <c r="BH75" i="7" a="1"/>
  <c r="BH75" i="7" s="1"/>
  <c r="BH80" i="7" a="1"/>
  <c r="BH80" i="7" s="1"/>
  <c r="BH72" i="7" a="1"/>
  <c r="BH72" i="7" s="1"/>
  <c r="BH71" i="7" a="1"/>
  <c r="BH71" i="7" s="1"/>
  <c r="BH65" i="7" a="1"/>
  <c r="BH65" i="7" s="1"/>
  <c r="BH59" i="7" a="1"/>
  <c r="BH59" i="7" s="1"/>
  <c r="BH53" i="7" a="1"/>
  <c r="BH53" i="7" s="1"/>
  <c r="BH70" i="7" a="1"/>
  <c r="BH70" i="7" s="1"/>
  <c r="BH64" i="7" a="1"/>
  <c r="BH64" i="7" s="1"/>
  <c r="BH58" i="7" a="1"/>
  <c r="BH58" i="7" s="1"/>
  <c r="BH52" i="7" a="1"/>
  <c r="BH52" i="7" s="1"/>
  <c r="BH74" i="7" a="1"/>
  <c r="BH74" i="7" s="1"/>
  <c r="BH69" i="7" a="1"/>
  <c r="BH69" i="7" s="1"/>
  <c r="BH63" i="7" a="1"/>
  <c r="BH63" i="7" s="1"/>
  <c r="BH57" i="7" a="1"/>
  <c r="BH57" i="7" s="1"/>
  <c r="BH51" i="7" a="1"/>
  <c r="BH51" i="7" s="1"/>
  <c r="BH68" i="7" a="1"/>
  <c r="BH68" i="7" s="1"/>
  <c r="BH62" i="7" a="1"/>
  <c r="BH62" i="7" s="1"/>
  <c r="BH56" i="7" a="1"/>
  <c r="BH56" i="7" s="1"/>
  <c r="BH50" i="7" a="1"/>
  <c r="BH50" i="7" s="1"/>
  <c r="BH107" i="7" a="1"/>
  <c r="BH107" i="7" s="1"/>
  <c r="BH86" i="7" a="1"/>
  <c r="BH86" i="7" s="1"/>
  <c r="BH67" i="7" a="1"/>
  <c r="BH67" i="7" s="1"/>
  <c r="BH61" i="7" a="1"/>
  <c r="BH61" i="7" s="1"/>
  <c r="BH55" i="7" a="1"/>
  <c r="BH55" i="7" s="1"/>
  <c r="BH49" i="7" a="1"/>
  <c r="BH49" i="7" s="1"/>
  <c r="BH60" i="7" a="1"/>
  <c r="BH60" i="7" s="1"/>
  <c r="BH42" i="7" a="1"/>
  <c r="BH42" i="7" s="1"/>
  <c r="BH36" i="7" a="1"/>
  <c r="BH36" i="7" s="1"/>
  <c r="BH30" i="7" a="1"/>
  <c r="BH30" i="7" s="1"/>
  <c r="BH24" i="7" a="1"/>
  <c r="BH24" i="7" s="1"/>
  <c r="BH54" i="7" a="1"/>
  <c r="BH54" i="7" s="1"/>
  <c r="BH41" i="7" a="1"/>
  <c r="BH41" i="7" s="1"/>
  <c r="BH35" i="7" a="1"/>
  <c r="BH35" i="7" s="1"/>
  <c r="BH29" i="7" a="1"/>
  <c r="BH29" i="7" s="1"/>
  <c r="BH66" i="7" a="1"/>
  <c r="BH66" i="7" s="1"/>
  <c r="BH48" i="7" a="1"/>
  <c r="BH48" i="7" s="1"/>
  <c r="BH46" i="7" a="1"/>
  <c r="BH46" i="7" s="1"/>
  <c r="BH40" i="7" a="1"/>
  <c r="BH40" i="7" s="1"/>
  <c r="BH34" i="7" a="1"/>
  <c r="BH34" i="7" s="1"/>
  <c r="BH45" i="7" a="1"/>
  <c r="BH45" i="7" s="1"/>
  <c r="BH39" i="7" a="1"/>
  <c r="BH39" i="7" s="1"/>
  <c r="BH33" i="7" a="1"/>
  <c r="BH33" i="7" s="1"/>
  <c r="BH27" i="7" a="1"/>
  <c r="BH27" i="7" s="1"/>
  <c r="BH47" i="7" a="1"/>
  <c r="BH47" i="7" s="1"/>
  <c r="BH44" i="7" a="1"/>
  <c r="BH44" i="7" s="1"/>
  <c r="BH38" i="7" a="1"/>
  <c r="BH38" i="7" s="1"/>
  <c r="BH32" i="7" a="1"/>
  <c r="BH32" i="7" s="1"/>
  <c r="BH43" i="7" a="1"/>
  <c r="BH43" i="7" s="1"/>
  <c r="BH37" i="7" a="1"/>
  <c r="BH37" i="7" s="1"/>
  <c r="BH31" i="7" a="1"/>
  <c r="BH31" i="7" s="1"/>
  <c r="BH25" i="7" a="1"/>
  <c r="BH25" i="7" s="1"/>
  <c r="BY143" i="7" a="1"/>
  <c r="BY143" i="7" s="1"/>
  <c r="BY135" i="7" a="1"/>
  <c r="BY135" i="7" s="1"/>
  <c r="BY142" i="7" a="1"/>
  <c r="BY142" i="7" s="1"/>
  <c r="BY134" i="7" a="1"/>
  <c r="BY134" i="7" s="1"/>
  <c r="BY149" i="7" a="1"/>
  <c r="BY149" i="7" s="1"/>
  <c r="BY141" i="7" a="1"/>
  <c r="BY141" i="7" s="1"/>
  <c r="BY148" i="7" a="1"/>
  <c r="BY148" i="7" s="1"/>
  <c r="BY140" i="7" a="1"/>
  <c r="BY140" i="7" s="1"/>
  <c r="BY147" i="7" a="1"/>
  <c r="BY147" i="7" s="1"/>
  <c r="BY139" i="7" a="1"/>
  <c r="BY139" i="7" s="1"/>
  <c r="BY132" i="7" a="1"/>
  <c r="BY132" i="7" s="1"/>
  <c r="BY146" i="7" a="1"/>
  <c r="BY146" i="7" s="1"/>
  <c r="BY145" i="7" a="1"/>
  <c r="BY145" i="7" s="1"/>
  <c r="BY138" i="7" a="1"/>
  <c r="BY138" i="7" s="1"/>
  <c r="BY144" i="7" a="1"/>
  <c r="BY144" i="7" s="1"/>
  <c r="BY150" i="7" a="1"/>
  <c r="BY150" i="7" s="1"/>
  <c r="BY137" i="7" a="1"/>
  <c r="BY137" i="7" s="1"/>
  <c r="BY126" i="7" a="1"/>
  <c r="BY126" i="7" s="1"/>
  <c r="BY133" i="7" a="1"/>
  <c r="BY133" i="7" s="1"/>
  <c r="BY125" i="7" a="1"/>
  <c r="BY125" i="7" s="1"/>
  <c r="BY119" i="7" a="1"/>
  <c r="BY119" i="7" s="1"/>
  <c r="BY113" i="7" a="1"/>
  <c r="BY113" i="7" s="1"/>
  <c r="BY136" i="7" a="1"/>
  <c r="BY136" i="7" s="1"/>
  <c r="BY124" i="7" a="1"/>
  <c r="BY124" i="7" s="1"/>
  <c r="BY118" i="7" a="1"/>
  <c r="BY118" i="7" s="1"/>
  <c r="BY112" i="7" a="1"/>
  <c r="BY112" i="7" s="1"/>
  <c r="BY131" i="7" a="1"/>
  <c r="BY131" i="7" s="1"/>
  <c r="BY123" i="7" a="1"/>
  <c r="BY123" i="7" s="1"/>
  <c r="BY117" i="7" a="1"/>
  <c r="BY117" i="7" s="1"/>
  <c r="BY111" i="7" a="1"/>
  <c r="BY111" i="7" s="1"/>
  <c r="BY130" i="7" a="1"/>
  <c r="BY130" i="7" s="1"/>
  <c r="BY122" i="7" a="1"/>
  <c r="BY122" i="7" s="1"/>
  <c r="BY116" i="7" a="1"/>
  <c r="BY116" i="7" s="1"/>
  <c r="BY110" i="7" a="1"/>
  <c r="BY110" i="7" s="1"/>
  <c r="BY129" i="7" a="1"/>
  <c r="BY129" i="7" s="1"/>
  <c r="BY121" i="7" a="1"/>
  <c r="BY121" i="7" s="1"/>
  <c r="BY115" i="7" a="1"/>
  <c r="BY115" i="7" s="1"/>
  <c r="BY128" i="7" a="1"/>
  <c r="BY128" i="7" s="1"/>
  <c r="BY108" i="7" a="1"/>
  <c r="BY108" i="7" s="1"/>
  <c r="BY114" i="7" a="1"/>
  <c r="BY114" i="7" s="1"/>
  <c r="BY127" i="7" a="1"/>
  <c r="BY127" i="7" s="1"/>
  <c r="BY107" i="7" a="1"/>
  <c r="BY107" i="7" s="1"/>
  <c r="BY101" i="7" a="1"/>
  <c r="BY101" i="7" s="1"/>
  <c r="BY95" i="7" a="1"/>
  <c r="BY95" i="7" s="1"/>
  <c r="BY89" i="7" a="1"/>
  <c r="BY89" i="7" s="1"/>
  <c r="BY106" i="7" a="1"/>
  <c r="BY106" i="7" s="1"/>
  <c r="BY100" i="7" a="1"/>
  <c r="BY100" i="7" s="1"/>
  <c r="BY94" i="7" a="1"/>
  <c r="BY94" i="7" s="1"/>
  <c r="BY88" i="7" a="1"/>
  <c r="BY88" i="7" s="1"/>
  <c r="BY105" i="7" a="1"/>
  <c r="BY105" i="7" s="1"/>
  <c r="BY99" i="7" a="1"/>
  <c r="BY99" i="7" s="1"/>
  <c r="BY93" i="7" a="1"/>
  <c r="BY93" i="7" s="1"/>
  <c r="BY104" i="7" a="1"/>
  <c r="BY104" i="7" s="1"/>
  <c r="BY98" i="7" a="1"/>
  <c r="BY98" i="7" s="1"/>
  <c r="BY92" i="7" a="1"/>
  <c r="BY92" i="7" s="1"/>
  <c r="BY103" i="7" a="1"/>
  <c r="BY103" i="7" s="1"/>
  <c r="BY97" i="7" a="1"/>
  <c r="BY97" i="7" s="1"/>
  <c r="BY91" i="7" a="1"/>
  <c r="BY91" i="7" s="1"/>
  <c r="BY120" i="7" a="1"/>
  <c r="BY120" i="7" s="1"/>
  <c r="BY109" i="7" a="1"/>
  <c r="BY109" i="7" s="1"/>
  <c r="BY102" i="7" a="1"/>
  <c r="BY102" i="7" s="1"/>
  <c r="BY83" i="7" a="1"/>
  <c r="BY83" i="7" s="1"/>
  <c r="BY77" i="7" a="1"/>
  <c r="BY77" i="7" s="1"/>
  <c r="BY82" i="7" a="1"/>
  <c r="BY82" i="7" s="1"/>
  <c r="BY76" i="7" a="1"/>
  <c r="BY76" i="7" s="1"/>
  <c r="BY81" i="7" a="1"/>
  <c r="BY81" i="7" s="1"/>
  <c r="BY75" i="7" a="1"/>
  <c r="BY75" i="7" s="1"/>
  <c r="BY96" i="7" a="1"/>
  <c r="BY96" i="7" s="1"/>
  <c r="BY80" i="7" a="1"/>
  <c r="BY80" i="7" s="1"/>
  <c r="BY74" i="7" a="1"/>
  <c r="BY74" i="7" s="1"/>
  <c r="BY86" i="7" a="1"/>
  <c r="BY86" i="7" s="1"/>
  <c r="BY85" i="7" a="1"/>
  <c r="BY85" i="7" s="1"/>
  <c r="BY79" i="7" a="1"/>
  <c r="BY79" i="7" s="1"/>
  <c r="BY73" i="7" a="1"/>
  <c r="BY73" i="7" s="1"/>
  <c r="BY87" i="7" a="1"/>
  <c r="BY87" i="7" s="1"/>
  <c r="BY84" i="7" a="1"/>
  <c r="BY84" i="7" s="1"/>
  <c r="BY78" i="7" a="1"/>
  <c r="BY78" i="7" s="1"/>
  <c r="BY72" i="7" a="1"/>
  <c r="BY72" i="7" s="1"/>
  <c r="BY90" i="7" a="1"/>
  <c r="BY90" i="7" s="1"/>
  <c r="BY64" i="7" a="1"/>
  <c r="BY64" i="7" s="1"/>
  <c r="BY58" i="7" a="1"/>
  <c r="BY58" i="7" s="1"/>
  <c r="BY52" i="7" a="1"/>
  <c r="BY52" i="7" s="1"/>
  <c r="BY70" i="7" a="1"/>
  <c r="BY70" i="7" s="1"/>
  <c r="BY69" i="7" a="1"/>
  <c r="BY69" i="7" s="1"/>
  <c r="BY63" i="7" a="1"/>
  <c r="BY63" i="7" s="1"/>
  <c r="BY57" i="7" a="1"/>
  <c r="BY57" i="7" s="1"/>
  <c r="BY51" i="7" a="1"/>
  <c r="BY51" i="7" s="1"/>
  <c r="BY68" i="7" a="1"/>
  <c r="BY68" i="7" s="1"/>
  <c r="BY62" i="7" a="1"/>
  <c r="BY62" i="7" s="1"/>
  <c r="BY56" i="7" a="1"/>
  <c r="BY56" i="7" s="1"/>
  <c r="BY50" i="7" a="1"/>
  <c r="BY50" i="7" s="1"/>
  <c r="BY67" i="7" a="1"/>
  <c r="BY67" i="7" s="1"/>
  <c r="BY61" i="7" a="1"/>
  <c r="BY61" i="7" s="1"/>
  <c r="BY55" i="7" a="1"/>
  <c r="BY55" i="7" s="1"/>
  <c r="BY49" i="7" a="1"/>
  <c r="BY49" i="7" s="1"/>
  <c r="BY66" i="7" a="1"/>
  <c r="BY66" i="7" s="1"/>
  <c r="BY60" i="7" a="1"/>
  <c r="BY60" i="7" s="1"/>
  <c r="BY54" i="7" a="1"/>
  <c r="BY54" i="7" s="1"/>
  <c r="BY48" i="7" a="1"/>
  <c r="BY48" i="7" s="1"/>
  <c r="BY71" i="7" a="1"/>
  <c r="BY71" i="7" s="1"/>
  <c r="BY41" i="7" a="1"/>
  <c r="BY41" i="7" s="1"/>
  <c r="BY35" i="7" a="1"/>
  <c r="BY35" i="7" s="1"/>
  <c r="BY29" i="7" a="1"/>
  <c r="BY29" i="7" s="1"/>
  <c r="BY59" i="7" a="1"/>
  <c r="BY59" i="7" s="1"/>
  <c r="BY46" i="7" a="1"/>
  <c r="BY46" i="7" s="1"/>
  <c r="BY40" i="7" a="1"/>
  <c r="BY40" i="7" s="1"/>
  <c r="BY34" i="7" a="1"/>
  <c r="BY34" i="7" s="1"/>
  <c r="BY28" i="7" a="1"/>
  <c r="BY28" i="7" s="1"/>
  <c r="BY45" i="7" a="1"/>
  <c r="BY45" i="7" s="1"/>
  <c r="BY39" i="7" a="1"/>
  <c r="BY39" i="7" s="1"/>
  <c r="BY33" i="7" a="1"/>
  <c r="BY33" i="7" s="1"/>
  <c r="BY44" i="7" a="1"/>
  <c r="BY44" i="7" s="1"/>
  <c r="BY38" i="7" a="1"/>
  <c r="BY38" i="7" s="1"/>
  <c r="BY32" i="7" a="1"/>
  <c r="BY32" i="7" s="1"/>
  <c r="BY43" i="7" a="1"/>
  <c r="BY43" i="7" s="1"/>
  <c r="BY37" i="7" a="1"/>
  <c r="BY37" i="7" s="1"/>
  <c r="BY31" i="7" a="1"/>
  <c r="BY31" i="7" s="1"/>
  <c r="BY25" i="7" a="1"/>
  <c r="BY25" i="7" s="1"/>
  <c r="BY53" i="7" a="1"/>
  <c r="BY53" i="7" s="1"/>
  <c r="BY42" i="7" a="1"/>
  <c r="BY42" i="7" s="1"/>
  <c r="BY36" i="7" a="1"/>
  <c r="BY36" i="7" s="1"/>
  <c r="BY30" i="7" a="1"/>
  <c r="BY30" i="7" s="1"/>
  <c r="BY24" i="7" a="1"/>
  <c r="BY24" i="7" s="1"/>
  <c r="BY47" i="7" a="1"/>
  <c r="BY47" i="7" s="1"/>
  <c r="BY65" i="7" a="1"/>
  <c r="BY65" i="7" s="1"/>
  <c r="BV19" i="7" a="1"/>
  <c r="BV19" i="7" s="1"/>
  <c r="BH21" i="7" a="1"/>
  <c r="BH21" i="7" s="1"/>
  <c r="BO21" i="7" a="1"/>
  <c r="BO21" i="7" s="1"/>
  <c r="BU21" i="7" a="1"/>
  <c r="BU21" i="7" s="1"/>
  <c r="BG23" i="7" a="1"/>
  <c r="BG23" i="7" s="1"/>
  <c r="BN23" i="7" a="1"/>
  <c r="BN23" i="7" s="1"/>
  <c r="BT23" i="7" a="1"/>
  <c r="BT23" i="7" s="1"/>
  <c r="BT24" i="7" a="1"/>
  <c r="BT24" i="7" s="1"/>
  <c r="BI26" i="7" a="1"/>
  <c r="BI26" i="7" s="1"/>
  <c r="BH28" i="7" a="1"/>
  <c r="BH28" i="7" s="1"/>
  <c r="BN32" i="7" a="1"/>
  <c r="BN32" i="7" s="1"/>
  <c r="BF40" i="7" a="1"/>
  <c r="BF40" i="7" s="1"/>
  <c r="BK143" i="7" a="1"/>
  <c r="BK143" i="7" s="1"/>
  <c r="BK135" i="7" a="1"/>
  <c r="BK135" i="7" s="1"/>
  <c r="BK142" i="7" a="1"/>
  <c r="BK142" i="7" s="1"/>
  <c r="BK134" i="7" a="1"/>
  <c r="BK134" i="7" s="1"/>
  <c r="BK149" i="7" a="1"/>
  <c r="BK149" i="7" s="1"/>
  <c r="BK141" i="7" a="1"/>
  <c r="BK141" i="7" s="1"/>
  <c r="BK148" i="7" a="1"/>
  <c r="BK148" i="7" s="1"/>
  <c r="BK140" i="7" a="1"/>
  <c r="BK140" i="7" s="1"/>
  <c r="BK147" i="7" a="1"/>
  <c r="BK147" i="7" s="1"/>
  <c r="BK139" i="7" a="1"/>
  <c r="BK139" i="7" s="1"/>
  <c r="BK146" i="7" a="1"/>
  <c r="BK146" i="7" s="1"/>
  <c r="BK145" i="7" a="1"/>
  <c r="BK145" i="7" s="1"/>
  <c r="BK138" i="7" a="1"/>
  <c r="BK138" i="7" s="1"/>
  <c r="BK144" i="7" a="1"/>
  <c r="BK144" i="7" s="1"/>
  <c r="BK150" i="7" a="1"/>
  <c r="BK150" i="7" s="1"/>
  <c r="BK137" i="7" a="1"/>
  <c r="BK137" i="7" s="1"/>
  <c r="BK133" i="7" a="1"/>
  <c r="BK133" i="7" s="1"/>
  <c r="BK132" i="7" a="1"/>
  <c r="BK132" i="7" s="1"/>
  <c r="BK126" i="7" a="1"/>
  <c r="BK126" i="7" s="1"/>
  <c r="BK125" i="7" a="1"/>
  <c r="BK125" i="7" s="1"/>
  <c r="BK119" i="7" a="1"/>
  <c r="BK119" i="7" s="1"/>
  <c r="BK113" i="7" a="1"/>
  <c r="BK113" i="7" s="1"/>
  <c r="BK124" i="7" a="1"/>
  <c r="BK124" i="7" s="1"/>
  <c r="BK118" i="7" a="1"/>
  <c r="BK118" i="7" s="1"/>
  <c r="BK112" i="7" a="1"/>
  <c r="BK112" i="7" s="1"/>
  <c r="BK131" i="7" a="1"/>
  <c r="BK131" i="7" s="1"/>
  <c r="BK123" i="7" a="1"/>
  <c r="BK123" i="7" s="1"/>
  <c r="BK117" i="7" a="1"/>
  <c r="BK117" i="7" s="1"/>
  <c r="BK130" i="7" a="1"/>
  <c r="BK130" i="7" s="1"/>
  <c r="BK122" i="7" a="1"/>
  <c r="BK122" i="7" s="1"/>
  <c r="BK116" i="7" a="1"/>
  <c r="BK116" i="7" s="1"/>
  <c r="BK110" i="7" a="1"/>
  <c r="BK110" i="7" s="1"/>
  <c r="BK129" i="7" a="1"/>
  <c r="BK129" i="7" s="1"/>
  <c r="BK121" i="7" a="1"/>
  <c r="BK121" i="7" s="1"/>
  <c r="BK115" i="7" a="1"/>
  <c r="BK115" i="7" s="1"/>
  <c r="BK136" i="7" a="1"/>
  <c r="BK136" i="7" s="1"/>
  <c r="BK128" i="7" a="1"/>
  <c r="BK128" i="7" s="1"/>
  <c r="BK120" i="7" a="1"/>
  <c r="BK120" i="7" s="1"/>
  <c r="BK111" i="7" a="1"/>
  <c r="BK111" i="7" s="1"/>
  <c r="BK108" i="7" a="1"/>
  <c r="BK108" i="7" s="1"/>
  <c r="BK114" i="7" a="1"/>
  <c r="BK114" i="7" s="1"/>
  <c r="BK107" i="7" a="1"/>
  <c r="BK107" i="7" s="1"/>
  <c r="BK101" i="7" a="1"/>
  <c r="BK101" i="7" s="1"/>
  <c r="BK95" i="7" a="1"/>
  <c r="BK95" i="7" s="1"/>
  <c r="BK89" i="7" a="1"/>
  <c r="BK89" i="7" s="1"/>
  <c r="BK106" i="7" a="1"/>
  <c r="BK106" i="7" s="1"/>
  <c r="BK100" i="7" a="1"/>
  <c r="BK100" i="7" s="1"/>
  <c r="BK94" i="7" a="1"/>
  <c r="BK94" i="7" s="1"/>
  <c r="BK88" i="7" a="1"/>
  <c r="BK88" i="7" s="1"/>
  <c r="BK127" i="7" a="1"/>
  <c r="BK127" i="7" s="1"/>
  <c r="BK105" i="7" a="1"/>
  <c r="BK105" i="7" s="1"/>
  <c r="BK99" i="7" a="1"/>
  <c r="BK99" i="7" s="1"/>
  <c r="BK93" i="7" a="1"/>
  <c r="BK93" i="7" s="1"/>
  <c r="BK109" i="7" a="1"/>
  <c r="BK109" i="7" s="1"/>
  <c r="BK104" i="7" a="1"/>
  <c r="BK104" i="7" s="1"/>
  <c r="BK98" i="7" a="1"/>
  <c r="BK98" i="7" s="1"/>
  <c r="BK92" i="7" a="1"/>
  <c r="BK92" i="7" s="1"/>
  <c r="BK103" i="7" a="1"/>
  <c r="BK103" i="7" s="1"/>
  <c r="BK97" i="7" a="1"/>
  <c r="BK97" i="7" s="1"/>
  <c r="BK91" i="7" a="1"/>
  <c r="BK91" i="7" s="1"/>
  <c r="BK90" i="7" a="1"/>
  <c r="BK90" i="7" s="1"/>
  <c r="BK102" i="7" a="1"/>
  <c r="BK102" i="7" s="1"/>
  <c r="BK83" i="7" a="1"/>
  <c r="BK83" i="7" s="1"/>
  <c r="BK77" i="7" a="1"/>
  <c r="BK77" i="7" s="1"/>
  <c r="BK87" i="7" a="1"/>
  <c r="BK87" i="7" s="1"/>
  <c r="BK82" i="7" a="1"/>
  <c r="BK82" i="7" s="1"/>
  <c r="BK76" i="7" a="1"/>
  <c r="BK76" i="7" s="1"/>
  <c r="BK81" i="7" a="1"/>
  <c r="BK81" i="7" s="1"/>
  <c r="BK75" i="7" a="1"/>
  <c r="BK75" i="7" s="1"/>
  <c r="BK86" i="7" a="1"/>
  <c r="BK86" i="7" s="1"/>
  <c r="BK80" i="7" a="1"/>
  <c r="BK80" i="7" s="1"/>
  <c r="BK74" i="7" a="1"/>
  <c r="BK74" i="7" s="1"/>
  <c r="BK85" i="7" a="1"/>
  <c r="BK85" i="7" s="1"/>
  <c r="BK79" i="7" a="1"/>
  <c r="BK79" i="7" s="1"/>
  <c r="BK73" i="7" a="1"/>
  <c r="BK73" i="7" s="1"/>
  <c r="BK96" i="7" a="1"/>
  <c r="BK96" i="7" s="1"/>
  <c r="BK84" i="7" a="1"/>
  <c r="BK84" i="7" s="1"/>
  <c r="BK78" i="7" a="1"/>
  <c r="BK78" i="7" s="1"/>
  <c r="BK72" i="7" a="1"/>
  <c r="BK72" i="7" s="1"/>
  <c r="BK70" i="7" a="1"/>
  <c r="BK70" i="7" s="1"/>
  <c r="BK64" i="7" a="1"/>
  <c r="BK64" i="7" s="1"/>
  <c r="BK58" i="7" a="1"/>
  <c r="BK58" i="7" s="1"/>
  <c r="BK52" i="7" a="1"/>
  <c r="BK52" i="7" s="1"/>
  <c r="BK71" i="7" a="1"/>
  <c r="BK71" i="7" s="1"/>
  <c r="BK69" i="7" a="1"/>
  <c r="BK69" i="7" s="1"/>
  <c r="BK63" i="7" a="1"/>
  <c r="BK63" i="7" s="1"/>
  <c r="BK57" i="7" a="1"/>
  <c r="BK57" i="7" s="1"/>
  <c r="BK51" i="7" a="1"/>
  <c r="BK51" i="7" s="1"/>
  <c r="BK68" i="7" a="1"/>
  <c r="BK68" i="7" s="1"/>
  <c r="BK62" i="7" a="1"/>
  <c r="BK62" i="7" s="1"/>
  <c r="BK56" i="7" a="1"/>
  <c r="BK56" i="7" s="1"/>
  <c r="BK50" i="7" a="1"/>
  <c r="BK50" i="7" s="1"/>
  <c r="BK67" i="7" a="1"/>
  <c r="BK67" i="7" s="1"/>
  <c r="BK61" i="7" a="1"/>
  <c r="BK61" i="7" s="1"/>
  <c r="BK55" i="7" a="1"/>
  <c r="BK55" i="7" s="1"/>
  <c r="BK66" i="7" a="1"/>
  <c r="BK66" i="7" s="1"/>
  <c r="BK60" i="7" a="1"/>
  <c r="BK60" i="7" s="1"/>
  <c r="BK54" i="7" a="1"/>
  <c r="BK54" i="7" s="1"/>
  <c r="BK48" i="7" a="1"/>
  <c r="BK48" i="7" s="1"/>
  <c r="BK41" i="7" a="1"/>
  <c r="BK41" i="7" s="1"/>
  <c r="BK35" i="7" a="1"/>
  <c r="BK35" i="7" s="1"/>
  <c r="BK29" i="7" a="1"/>
  <c r="BK29" i="7" s="1"/>
  <c r="BK46" i="7" a="1"/>
  <c r="BK46" i="7" s="1"/>
  <c r="BK40" i="7" a="1"/>
  <c r="BK40" i="7" s="1"/>
  <c r="BK34" i="7" a="1"/>
  <c r="BK34" i="7" s="1"/>
  <c r="BK28" i="7" a="1"/>
  <c r="BK28" i="7" s="1"/>
  <c r="BK49" i="7" a="1"/>
  <c r="BK49" i="7" s="1"/>
  <c r="BK45" i="7" a="1"/>
  <c r="BK45" i="7" s="1"/>
  <c r="BK39" i="7" a="1"/>
  <c r="BK39" i="7" s="1"/>
  <c r="BK33" i="7" a="1"/>
  <c r="BK33" i="7" s="1"/>
  <c r="BK59" i="7" a="1"/>
  <c r="BK59" i="7" s="1"/>
  <c r="BK47" i="7" a="1"/>
  <c r="BK47" i="7" s="1"/>
  <c r="BK44" i="7" a="1"/>
  <c r="BK44" i="7" s="1"/>
  <c r="BK38" i="7" a="1"/>
  <c r="BK38" i="7" s="1"/>
  <c r="BK32" i="7" a="1"/>
  <c r="BK32" i="7" s="1"/>
  <c r="BK43" i="7" a="1"/>
  <c r="BK43" i="7" s="1"/>
  <c r="BK37" i="7" a="1"/>
  <c r="BK37" i="7" s="1"/>
  <c r="BK31" i="7" a="1"/>
  <c r="BK31" i="7" s="1"/>
  <c r="BK25" i="7" a="1"/>
  <c r="BK25" i="7" s="1"/>
  <c r="BK42" i="7" a="1"/>
  <c r="BK42" i="7" s="1"/>
  <c r="BK36" i="7" a="1"/>
  <c r="BK36" i="7" s="1"/>
  <c r="BK30" i="7" a="1"/>
  <c r="BK30" i="7" s="1"/>
  <c r="BK24" i="7" a="1"/>
  <c r="BK24" i="7" s="1"/>
  <c r="BK53" i="7" a="1"/>
  <c r="BK53" i="7" s="1"/>
  <c r="BK65" i="7" a="1"/>
  <c r="BK65" i="7" s="1"/>
  <c r="BI144" i="7" a="1"/>
  <c r="BI144" i="7" s="1"/>
  <c r="BI150" i="7" a="1"/>
  <c r="BI150" i="7" s="1"/>
  <c r="BI136" i="7" a="1"/>
  <c r="BI136" i="7" s="1"/>
  <c r="BI143" i="7" a="1"/>
  <c r="BI143" i="7" s="1"/>
  <c r="BI135" i="7" a="1"/>
  <c r="BI135" i="7" s="1"/>
  <c r="BI142" i="7" a="1"/>
  <c r="BI142" i="7" s="1"/>
  <c r="BI134" i="7" a="1"/>
  <c r="BI134" i="7" s="1"/>
  <c r="BI149" i="7" a="1"/>
  <c r="BI149" i="7" s="1"/>
  <c r="BI141" i="7" a="1"/>
  <c r="BI141" i="7" s="1"/>
  <c r="BI133" i="7" a="1"/>
  <c r="BI133" i="7" s="1"/>
  <c r="BI148" i="7" a="1"/>
  <c r="BI148" i="7" s="1"/>
  <c r="BI140" i="7" a="1"/>
  <c r="BI140" i="7" s="1"/>
  <c r="BI147" i="7" a="1"/>
  <c r="BI147" i="7" s="1"/>
  <c r="BI139" i="7" a="1"/>
  <c r="BI139" i="7" s="1"/>
  <c r="BI146" i="7" a="1"/>
  <c r="BI146" i="7" s="1"/>
  <c r="BI145" i="7" a="1"/>
  <c r="BI145" i="7" s="1"/>
  <c r="BI138" i="7" a="1"/>
  <c r="BI138" i="7" s="1"/>
  <c r="BI130" i="7" a="1"/>
  <c r="BI130" i="7" s="1"/>
  <c r="BI122" i="7" a="1"/>
  <c r="BI122" i="7" s="1"/>
  <c r="BI116" i="7" a="1"/>
  <c r="BI116" i="7" s="1"/>
  <c r="BI110" i="7" a="1"/>
  <c r="BI110" i="7" s="1"/>
  <c r="BI129" i="7" a="1"/>
  <c r="BI129" i="7" s="1"/>
  <c r="BI121" i="7" a="1"/>
  <c r="BI121" i="7" s="1"/>
  <c r="BI115" i="7" a="1"/>
  <c r="BI115" i="7" s="1"/>
  <c r="BI109" i="7" a="1"/>
  <c r="BI109" i="7" s="1"/>
  <c r="BI132" i="7" a="1"/>
  <c r="BI132" i="7" s="1"/>
  <c r="BI128" i="7" a="1"/>
  <c r="BI128" i="7" s="1"/>
  <c r="BI127" i="7" a="1"/>
  <c r="BI127" i="7" s="1"/>
  <c r="BI120" i="7" a="1"/>
  <c r="BI120" i="7" s="1"/>
  <c r="BI114" i="7" a="1"/>
  <c r="BI114" i="7" s="1"/>
  <c r="BI126" i="7" a="1"/>
  <c r="BI126" i="7" s="1"/>
  <c r="BI125" i="7" a="1"/>
  <c r="BI125" i="7" s="1"/>
  <c r="BI119" i="7" a="1"/>
  <c r="BI119" i="7" s="1"/>
  <c r="BI113" i="7" a="1"/>
  <c r="BI113" i="7" s="1"/>
  <c r="BI137" i="7" a="1"/>
  <c r="BI137" i="7" s="1"/>
  <c r="BI124" i="7" a="1"/>
  <c r="BI124" i="7" s="1"/>
  <c r="BI118" i="7" a="1"/>
  <c r="BI118" i="7" s="1"/>
  <c r="BI112" i="7" a="1"/>
  <c r="BI112" i="7" s="1"/>
  <c r="BI131" i="7" a="1"/>
  <c r="BI131" i="7" s="1"/>
  <c r="BI104" i="7" a="1"/>
  <c r="BI104" i="7" s="1"/>
  <c r="BI98" i="7" a="1"/>
  <c r="BI98" i="7" s="1"/>
  <c r="BI92" i="7" a="1"/>
  <c r="BI92" i="7" s="1"/>
  <c r="BI103" i="7" a="1"/>
  <c r="BI103" i="7" s="1"/>
  <c r="BI97" i="7" a="1"/>
  <c r="BI97" i="7" s="1"/>
  <c r="BI91" i="7" a="1"/>
  <c r="BI91" i="7" s="1"/>
  <c r="BI102" i="7" a="1"/>
  <c r="BI102" i="7" s="1"/>
  <c r="BI96" i="7" a="1"/>
  <c r="BI96" i="7" s="1"/>
  <c r="BI90" i="7" a="1"/>
  <c r="BI90" i="7" s="1"/>
  <c r="BI123" i="7" a="1"/>
  <c r="BI123" i="7" s="1"/>
  <c r="BI111" i="7" a="1"/>
  <c r="BI111" i="7" s="1"/>
  <c r="BI108" i="7" a="1"/>
  <c r="BI108" i="7" s="1"/>
  <c r="BI107" i="7" a="1"/>
  <c r="BI107" i="7" s="1"/>
  <c r="BI101" i="7" a="1"/>
  <c r="BI101" i="7" s="1"/>
  <c r="BI95" i="7" a="1"/>
  <c r="BI95" i="7" s="1"/>
  <c r="BI117" i="7" a="1"/>
  <c r="BI117" i="7" s="1"/>
  <c r="BI106" i="7" a="1"/>
  <c r="BI106" i="7" s="1"/>
  <c r="BI100" i="7" a="1"/>
  <c r="BI100" i="7" s="1"/>
  <c r="BI94" i="7" a="1"/>
  <c r="BI94" i="7" s="1"/>
  <c r="BI99" i="7" a="1"/>
  <c r="BI99" i="7" s="1"/>
  <c r="BI84" i="7" a="1"/>
  <c r="BI84" i="7" s="1"/>
  <c r="BI78" i="7" a="1"/>
  <c r="BI78" i="7" s="1"/>
  <c r="BI72" i="7" a="1"/>
  <c r="BI72" i="7" s="1"/>
  <c r="BI89" i="7" a="1"/>
  <c r="BI89" i="7" s="1"/>
  <c r="BI93" i="7" a="1"/>
  <c r="BI93" i="7" s="1"/>
  <c r="BI83" i="7" a="1"/>
  <c r="BI83" i="7" s="1"/>
  <c r="BI77" i="7" a="1"/>
  <c r="BI77" i="7" s="1"/>
  <c r="BI71" i="7" a="1"/>
  <c r="BI71" i="7" s="1"/>
  <c r="BI105" i="7" a="1"/>
  <c r="BI105" i="7" s="1"/>
  <c r="BI88" i="7" a="1"/>
  <c r="BI88" i="7" s="1"/>
  <c r="BI87" i="7" a="1"/>
  <c r="BI87" i="7" s="1"/>
  <c r="BI82" i="7" a="1"/>
  <c r="BI82" i="7" s="1"/>
  <c r="BI76" i="7" a="1"/>
  <c r="BI76" i="7" s="1"/>
  <c r="BI81" i="7" a="1"/>
  <c r="BI81" i="7" s="1"/>
  <c r="BI75" i="7" a="1"/>
  <c r="BI75" i="7" s="1"/>
  <c r="BI86" i="7" a="1"/>
  <c r="BI86" i="7" s="1"/>
  <c r="BI80" i="7" a="1"/>
  <c r="BI80" i="7" s="1"/>
  <c r="BI74" i="7" a="1"/>
  <c r="BI74" i="7" s="1"/>
  <c r="BI85" i="7" a="1"/>
  <c r="BI85" i="7" s="1"/>
  <c r="BI79" i="7" a="1"/>
  <c r="BI79" i="7" s="1"/>
  <c r="BI73" i="7" a="1"/>
  <c r="BI73" i="7" s="1"/>
  <c r="BI65" i="7" a="1"/>
  <c r="BI65" i="7" s="1"/>
  <c r="BI59" i="7" a="1"/>
  <c r="BI59" i="7" s="1"/>
  <c r="BI53" i="7" a="1"/>
  <c r="BI53" i="7" s="1"/>
  <c r="BI70" i="7" a="1"/>
  <c r="BI70" i="7" s="1"/>
  <c r="BI64" i="7" a="1"/>
  <c r="BI64" i="7" s="1"/>
  <c r="BI58" i="7" a="1"/>
  <c r="BI58" i="7" s="1"/>
  <c r="BI52" i="7" a="1"/>
  <c r="BI52" i="7" s="1"/>
  <c r="BI69" i="7" a="1"/>
  <c r="BI69" i="7" s="1"/>
  <c r="BI63" i="7" a="1"/>
  <c r="BI63" i="7" s="1"/>
  <c r="BI57" i="7" a="1"/>
  <c r="BI57" i="7" s="1"/>
  <c r="BI51" i="7" a="1"/>
  <c r="BI51" i="7" s="1"/>
  <c r="BI68" i="7" a="1"/>
  <c r="BI68" i="7" s="1"/>
  <c r="BI62" i="7" a="1"/>
  <c r="BI62" i="7" s="1"/>
  <c r="BI56" i="7" a="1"/>
  <c r="BI56" i="7" s="1"/>
  <c r="BI50" i="7" a="1"/>
  <c r="BI50" i="7" s="1"/>
  <c r="BI67" i="7" a="1"/>
  <c r="BI67" i="7" s="1"/>
  <c r="BI61" i="7" a="1"/>
  <c r="BI61" i="7" s="1"/>
  <c r="BI55" i="7" a="1"/>
  <c r="BI55" i="7" s="1"/>
  <c r="BI49" i="7" a="1"/>
  <c r="BI49" i="7" s="1"/>
  <c r="BI66" i="7" a="1"/>
  <c r="BI66" i="7" s="1"/>
  <c r="BI60" i="7" a="1"/>
  <c r="BI60" i="7" s="1"/>
  <c r="BI54" i="7" a="1"/>
  <c r="BI54" i="7" s="1"/>
  <c r="BI41" i="7" a="1"/>
  <c r="BI41" i="7" s="1"/>
  <c r="BI35" i="7" a="1"/>
  <c r="BI35" i="7" s="1"/>
  <c r="BI29" i="7" a="1"/>
  <c r="BI29" i="7" s="1"/>
  <c r="BI48" i="7" a="1"/>
  <c r="BI48" i="7" s="1"/>
  <c r="BI46" i="7" a="1"/>
  <c r="BI46" i="7" s="1"/>
  <c r="BI40" i="7" a="1"/>
  <c r="BI40" i="7" s="1"/>
  <c r="BI34" i="7" a="1"/>
  <c r="BI34" i="7" s="1"/>
  <c r="BI28" i="7" a="1"/>
  <c r="BI28" i="7" s="1"/>
  <c r="BI45" i="7" a="1"/>
  <c r="BI45" i="7" s="1"/>
  <c r="BI39" i="7" a="1"/>
  <c r="BI39" i="7" s="1"/>
  <c r="BI33" i="7" a="1"/>
  <c r="BI33" i="7" s="1"/>
  <c r="BI27" i="7" a="1"/>
  <c r="BI27" i="7" s="1"/>
  <c r="BI47" i="7" a="1"/>
  <c r="BI47" i="7" s="1"/>
  <c r="BI44" i="7" a="1"/>
  <c r="BI44" i="7" s="1"/>
  <c r="BI38" i="7" a="1"/>
  <c r="BI38" i="7" s="1"/>
  <c r="BI32" i="7" a="1"/>
  <c r="BI32" i="7" s="1"/>
  <c r="BI43" i="7" a="1"/>
  <c r="BI43" i="7" s="1"/>
  <c r="BI37" i="7" a="1"/>
  <c r="BI37" i="7" s="1"/>
  <c r="BI31" i="7" a="1"/>
  <c r="BI31" i="7" s="1"/>
  <c r="BI42" i="7" a="1"/>
  <c r="BI42" i="7" s="1"/>
  <c r="BI36" i="7" a="1"/>
  <c r="BI36" i="7" s="1"/>
  <c r="BI30" i="7" a="1"/>
  <c r="BI30" i="7" s="1"/>
  <c r="BZ149" i="7" a="1"/>
  <c r="BZ149" i="7" s="1"/>
  <c r="BZ141" i="7" a="1"/>
  <c r="BZ141" i="7" s="1"/>
  <c r="BZ133" i="7" a="1"/>
  <c r="BZ133" i="7" s="1"/>
  <c r="BZ148" i="7" a="1"/>
  <c r="BZ148" i="7" s="1"/>
  <c r="BZ140" i="7" a="1"/>
  <c r="BZ140" i="7" s="1"/>
  <c r="BZ147" i="7" a="1"/>
  <c r="BZ147" i="7" s="1"/>
  <c r="BZ139" i="7" a="1"/>
  <c r="BZ139" i="7" s="1"/>
  <c r="BZ146" i="7" a="1"/>
  <c r="BZ146" i="7" s="1"/>
  <c r="BZ145" i="7" a="1"/>
  <c r="BZ145" i="7" s="1"/>
  <c r="BZ138" i="7" a="1"/>
  <c r="BZ138" i="7" s="1"/>
  <c r="BZ144" i="7" a="1"/>
  <c r="BZ144" i="7" s="1"/>
  <c r="BZ131" i="7" a="1"/>
  <c r="BZ131" i="7" s="1"/>
  <c r="BZ150" i="7" a="1"/>
  <c r="BZ150" i="7" s="1"/>
  <c r="BZ137" i="7" a="1"/>
  <c r="BZ137" i="7" s="1"/>
  <c r="BZ136" i="7" a="1"/>
  <c r="BZ136" i="7" s="1"/>
  <c r="BZ143" i="7" a="1"/>
  <c r="BZ143" i="7" s="1"/>
  <c r="BZ135" i="7" a="1"/>
  <c r="BZ135" i="7" s="1"/>
  <c r="BZ134" i="7" a="1"/>
  <c r="BZ134" i="7" s="1"/>
  <c r="BZ125" i="7" a="1"/>
  <c r="BZ125" i="7" s="1"/>
  <c r="BZ119" i="7" a="1"/>
  <c r="BZ119" i="7" s="1"/>
  <c r="BZ113" i="7" a="1"/>
  <c r="BZ113" i="7" s="1"/>
  <c r="BZ124" i="7" a="1"/>
  <c r="BZ124" i="7" s="1"/>
  <c r="BZ118" i="7" a="1"/>
  <c r="BZ118" i="7" s="1"/>
  <c r="BZ112" i="7" a="1"/>
  <c r="BZ112" i="7" s="1"/>
  <c r="BZ123" i="7" a="1"/>
  <c r="BZ123" i="7" s="1"/>
  <c r="BZ117" i="7" a="1"/>
  <c r="BZ117" i="7" s="1"/>
  <c r="BZ111" i="7" a="1"/>
  <c r="BZ111" i="7" s="1"/>
  <c r="BZ130" i="7" a="1"/>
  <c r="BZ130" i="7" s="1"/>
  <c r="BZ122" i="7" a="1"/>
  <c r="BZ122" i="7" s="1"/>
  <c r="BZ116" i="7" a="1"/>
  <c r="BZ116" i="7" s="1"/>
  <c r="BZ110" i="7" a="1"/>
  <c r="BZ110" i="7" s="1"/>
  <c r="BZ142" i="7" a="1"/>
  <c r="BZ142" i="7" s="1"/>
  <c r="BZ129" i="7" a="1"/>
  <c r="BZ129" i="7" s="1"/>
  <c r="BZ121" i="7" a="1"/>
  <c r="BZ121" i="7" s="1"/>
  <c r="BZ115" i="7" a="1"/>
  <c r="BZ115" i="7" s="1"/>
  <c r="BZ128" i="7" a="1"/>
  <c r="BZ128" i="7" s="1"/>
  <c r="BZ132" i="7" a="1"/>
  <c r="BZ132" i="7" s="1"/>
  <c r="BZ127" i="7" a="1"/>
  <c r="BZ127" i="7" s="1"/>
  <c r="BZ120" i="7" a="1"/>
  <c r="BZ120" i="7" s="1"/>
  <c r="BZ114" i="7" a="1"/>
  <c r="BZ114" i="7" s="1"/>
  <c r="BZ126" i="7" a="1"/>
  <c r="BZ126" i="7" s="1"/>
  <c r="BZ107" i="7" a="1"/>
  <c r="BZ107" i="7" s="1"/>
  <c r="BZ101" i="7" a="1"/>
  <c r="BZ101" i="7" s="1"/>
  <c r="BZ95" i="7" a="1"/>
  <c r="BZ95" i="7" s="1"/>
  <c r="BZ106" i="7" a="1"/>
  <c r="BZ106" i="7" s="1"/>
  <c r="BZ100" i="7" a="1"/>
  <c r="BZ100" i="7" s="1"/>
  <c r="BZ94" i="7" a="1"/>
  <c r="BZ94" i="7" s="1"/>
  <c r="BZ105" i="7" a="1"/>
  <c r="BZ105" i="7" s="1"/>
  <c r="BZ99" i="7" a="1"/>
  <c r="BZ99" i="7" s="1"/>
  <c r="BZ93" i="7" a="1"/>
  <c r="BZ93" i="7" s="1"/>
  <c r="BZ87" i="7" a="1"/>
  <c r="BZ87" i="7" s="1"/>
  <c r="BZ104" i="7" a="1"/>
  <c r="BZ104" i="7" s="1"/>
  <c r="BZ98" i="7" a="1"/>
  <c r="BZ98" i="7" s="1"/>
  <c r="BZ92" i="7" a="1"/>
  <c r="BZ92" i="7" s="1"/>
  <c r="BZ86" i="7" a="1"/>
  <c r="BZ86" i="7" s="1"/>
  <c r="BZ103" i="7" a="1"/>
  <c r="BZ103" i="7" s="1"/>
  <c r="BZ97" i="7" a="1"/>
  <c r="BZ97" i="7" s="1"/>
  <c r="BZ91" i="7" a="1"/>
  <c r="BZ91" i="7" s="1"/>
  <c r="BZ109" i="7" a="1"/>
  <c r="BZ109" i="7" s="1"/>
  <c r="BZ102" i="7" a="1"/>
  <c r="BZ102" i="7" s="1"/>
  <c r="BZ96" i="7" a="1"/>
  <c r="BZ96" i="7" s="1"/>
  <c r="BZ90" i="7" a="1"/>
  <c r="BZ90" i="7" s="1"/>
  <c r="BZ108" i="7" a="1"/>
  <c r="BZ108" i="7" s="1"/>
  <c r="BZ83" i="7" a="1"/>
  <c r="BZ83" i="7" s="1"/>
  <c r="BZ77" i="7" a="1"/>
  <c r="BZ77" i="7" s="1"/>
  <c r="BZ71" i="7" a="1"/>
  <c r="BZ71" i="7" s="1"/>
  <c r="BZ82" i="7" a="1"/>
  <c r="BZ82" i="7" s="1"/>
  <c r="BZ76" i="7" a="1"/>
  <c r="BZ76" i="7" s="1"/>
  <c r="BZ81" i="7" a="1"/>
  <c r="BZ81" i="7" s="1"/>
  <c r="BZ75" i="7" a="1"/>
  <c r="BZ75" i="7" s="1"/>
  <c r="BZ80" i="7" a="1"/>
  <c r="BZ80" i="7" s="1"/>
  <c r="BZ74" i="7" a="1"/>
  <c r="BZ74" i="7" s="1"/>
  <c r="BZ85" i="7" a="1"/>
  <c r="BZ85" i="7" s="1"/>
  <c r="BZ79" i="7" a="1"/>
  <c r="BZ79" i="7" s="1"/>
  <c r="BZ73" i="7" a="1"/>
  <c r="BZ73" i="7" s="1"/>
  <c r="BZ84" i="7" a="1"/>
  <c r="BZ84" i="7" s="1"/>
  <c r="BZ78" i="7" a="1"/>
  <c r="BZ78" i="7" s="1"/>
  <c r="BZ72" i="7" a="1"/>
  <c r="BZ72" i="7" s="1"/>
  <c r="BZ89" i="7" a="1"/>
  <c r="BZ89" i="7" s="1"/>
  <c r="BZ68" i="7" a="1"/>
  <c r="BZ68" i="7" s="1"/>
  <c r="BZ62" i="7" a="1"/>
  <c r="BZ62" i="7" s="1"/>
  <c r="BZ56" i="7" a="1"/>
  <c r="BZ56" i="7" s="1"/>
  <c r="BZ50" i="7" a="1"/>
  <c r="BZ50" i="7" s="1"/>
  <c r="BZ67" i="7" a="1"/>
  <c r="BZ67" i="7" s="1"/>
  <c r="BZ61" i="7" a="1"/>
  <c r="BZ61" i="7" s="1"/>
  <c r="BZ55" i="7" a="1"/>
  <c r="BZ55" i="7" s="1"/>
  <c r="BZ49" i="7" a="1"/>
  <c r="BZ49" i="7" s="1"/>
  <c r="BZ88" i="7" a="1"/>
  <c r="BZ88" i="7" s="1"/>
  <c r="BZ66" i="7" a="1"/>
  <c r="BZ66" i="7" s="1"/>
  <c r="BZ60" i="7" a="1"/>
  <c r="BZ60" i="7" s="1"/>
  <c r="BZ54" i="7" a="1"/>
  <c r="BZ54" i="7" s="1"/>
  <c r="BZ65" i="7" a="1"/>
  <c r="BZ65" i="7" s="1"/>
  <c r="BZ59" i="7" a="1"/>
  <c r="BZ59" i="7" s="1"/>
  <c r="BZ53" i="7" a="1"/>
  <c r="BZ53" i="7" s="1"/>
  <c r="BZ64" i="7" a="1"/>
  <c r="BZ64" i="7" s="1"/>
  <c r="BZ58" i="7" a="1"/>
  <c r="BZ58" i="7" s="1"/>
  <c r="BZ52" i="7" a="1"/>
  <c r="BZ52" i="7" s="1"/>
  <c r="BZ69" i="7" a="1"/>
  <c r="BZ69" i="7" s="1"/>
  <c r="BZ45" i="7" a="1"/>
  <c r="BZ45" i="7" s="1"/>
  <c r="BZ39" i="7" a="1"/>
  <c r="BZ39" i="7" s="1"/>
  <c r="BZ33" i="7" a="1"/>
  <c r="BZ33" i="7" s="1"/>
  <c r="BZ27" i="7" a="1"/>
  <c r="BZ27" i="7" s="1"/>
  <c r="BZ44" i="7" a="1"/>
  <c r="BZ44" i="7" s="1"/>
  <c r="BZ38" i="7" a="1"/>
  <c r="BZ38" i="7" s="1"/>
  <c r="BZ32" i="7" a="1"/>
  <c r="BZ32" i="7" s="1"/>
  <c r="BZ26" i="7" a="1"/>
  <c r="BZ26" i="7" s="1"/>
  <c r="BZ43" i="7" a="1"/>
  <c r="BZ43" i="7" s="1"/>
  <c r="BZ37" i="7" a="1"/>
  <c r="BZ37" i="7" s="1"/>
  <c r="BZ31" i="7" a="1"/>
  <c r="BZ31" i="7" s="1"/>
  <c r="BZ51" i="7" a="1"/>
  <c r="BZ51" i="7" s="1"/>
  <c r="BZ48" i="7" a="1"/>
  <c r="BZ48" i="7" s="1"/>
  <c r="BZ42" i="7" a="1"/>
  <c r="BZ42" i="7" s="1"/>
  <c r="BZ36" i="7" a="1"/>
  <c r="BZ36" i="7" s="1"/>
  <c r="BZ30" i="7" a="1"/>
  <c r="BZ30" i="7" s="1"/>
  <c r="BZ24" i="7" a="1"/>
  <c r="BZ24" i="7" s="1"/>
  <c r="BZ63" i="7" a="1"/>
  <c r="BZ63" i="7" s="1"/>
  <c r="BZ47" i="7" a="1"/>
  <c r="BZ47" i="7" s="1"/>
  <c r="BZ70" i="7" a="1"/>
  <c r="BZ70" i="7" s="1"/>
  <c r="BZ57" i="7" a="1"/>
  <c r="BZ57" i="7" s="1"/>
  <c r="BZ41" i="7" a="1"/>
  <c r="BZ41" i="7" s="1"/>
  <c r="BZ35" i="7" a="1"/>
  <c r="BZ35" i="7" s="1"/>
  <c r="BZ29" i="7" a="1"/>
  <c r="BZ29" i="7" s="1"/>
  <c r="P152" i="7"/>
  <c r="BI20" i="7" a="1"/>
  <c r="BI20" i="7" s="1"/>
  <c r="BV20" i="7" a="1"/>
  <c r="BV20" i="7" s="1"/>
  <c r="BH22" i="7" a="1"/>
  <c r="BH22" i="7" s="1"/>
  <c r="BO22" i="7" a="1"/>
  <c r="BO22" i="7" s="1"/>
  <c r="BU22" i="7" a="1"/>
  <c r="BU22" i="7" s="1"/>
  <c r="BJ24" i="7" a="1"/>
  <c r="BJ24" i="7" s="1"/>
  <c r="BL25" i="7" a="1"/>
  <c r="BL25" i="7" s="1"/>
  <c r="BK26" i="7" a="1"/>
  <c r="BK26" i="7" s="1"/>
  <c r="BJ28" i="7" a="1"/>
  <c r="BJ28" i="7" s="1"/>
  <c r="BT32" i="7" a="1"/>
  <c r="BT32" i="7" s="1"/>
  <c r="BL40" i="7" a="1"/>
  <c r="BL40" i="7" s="1"/>
  <c r="BW19" i="7" a="1"/>
  <c r="BW19" i="7" s="1"/>
  <c r="BI21" i="7" a="1"/>
  <c r="BI21" i="7" s="1"/>
  <c r="BV21" i="7" a="1"/>
  <c r="BV21" i="7" s="1"/>
  <c r="BH23" i="7" a="1"/>
  <c r="BH23" i="7" s="1"/>
  <c r="BO23" i="7" a="1"/>
  <c r="BO23" i="7" s="1"/>
  <c r="BU23" i="7" a="1"/>
  <c r="BU23" i="7" s="1"/>
  <c r="BY27" i="7" a="1"/>
  <c r="BY27" i="7" s="1"/>
  <c r="BS40" i="7" a="1"/>
  <c r="BS40" i="7" s="1"/>
  <c r="BF149" i="7" a="1"/>
  <c r="BF149" i="7" s="1"/>
  <c r="BF141" i="7" a="1"/>
  <c r="BF141" i="7" s="1"/>
  <c r="BF133" i="7" a="1"/>
  <c r="BF133" i="7" s="1"/>
  <c r="BF148" i="7" a="1"/>
  <c r="BF148" i="7" s="1"/>
  <c r="BF140" i="7" a="1"/>
  <c r="BF140" i="7" s="1"/>
  <c r="BF147" i="7" a="1"/>
  <c r="BF147" i="7" s="1"/>
  <c r="BF139" i="7" a="1"/>
  <c r="BF139" i="7" s="1"/>
  <c r="BF146" i="7" a="1"/>
  <c r="BF146" i="7" s="1"/>
  <c r="BF145" i="7" a="1"/>
  <c r="BF145" i="7" s="1"/>
  <c r="BF138" i="7" a="1"/>
  <c r="BF138" i="7" s="1"/>
  <c r="BF144" i="7" a="1"/>
  <c r="BF144" i="7" s="1"/>
  <c r="BF150" i="7" a="1"/>
  <c r="BF150" i="7" s="1"/>
  <c r="BF137" i="7" a="1"/>
  <c r="BF137" i="7" s="1"/>
  <c r="BF136" i="7" a="1"/>
  <c r="BF136" i="7" s="1"/>
  <c r="BF143" i="7" a="1"/>
  <c r="BF143" i="7" s="1"/>
  <c r="BF135" i="7" a="1"/>
  <c r="BF135" i="7" s="1"/>
  <c r="BF134" i="7" a="1"/>
  <c r="BF134" i="7" s="1"/>
  <c r="BF125" i="7" a="1"/>
  <c r="BF125" i="7" s="1"/>
  <c r="BF119" i="7" a="1"/>
  <c r="BF119" i="7" s="1"/>
  <c r="BF113" i="7" a="1"/>
  <c r="BF113" i="7" s="1"/>
  <c r="BF124" i="7" a="1"/>
  <c r="BF124" i="7" s="1"/>
  <c r="BF118" i="7" a="1"/>
  <c r="BF118" i="7" s="1"/>
  <c r="BF112" i="7" a="1"/>
  <c r="BF112" i="7" s="1"/>
  <c r="BF131" i="7" a="1"/>
  <c r="BF131" i="7" s="1"/>
  <c r="BF123" i="7" a="1"/>
  <c r="BF123" i="7" s="1"/>
  <c r="BF117" i="7" a="1"/>
  <c r="BF117" i="7" s="1"/>
  <c r="BF111" i="7" a="1"/>
  <c r="BF111" i="7" s="1"/>
  <c r="BF132" i="7" a="1"/>
  <c r="BF132" i="7" s="1"/>
  <c r="BF130" i="7" a="1"/>
  <c r="BF130" i="7" s="1"/>
  <c r="BF122" i="7" a="1"/>
  <c r="BF122" i="7" s="1"/>
  <c r="BF116" i="7" a="1"/>
  <c r="BF116" i="7" s="1"/>
  <c r="BF110" i="7" a="1"/>
  <c r="BF110" i="7" s="1"/>
  <c r="BF129" i="7" a="1"/>
  <c r="BF129" i="7" s="1"/>
  <c r="BF121" i="7" a="1"/>
  <c r="BF121" i="7" s="1"/>
  <c r="BF115" i="7" a="1"/>
  <c r="BF115" i="7" s="1"/>
  <c r="BF128" i="7" a="1"/>
  <c r="BF128" i="7" s="1"/>
  <c r="BF127" i="7" a="1"/>
  <c r="BF127" i="7" s="1"/>
  <c r="BF120" i="7" a="1"/>
  <c r="BF120" i="7" s="1"/>
  <c r="BF114" i="7" a="1"/>
  <c r="BF114" i="7" s="1"/>
  <c r="BF142" i="7" a="1"/>
  <c r="BF142" i="7" s="1"/>
  <c r="BF109" i="7" a="1"/>
  <c r="BF109" i="7" s="1"/>
  <c r="BF107" i="7" a="1"/>
  <c r="BF107" i="7" s="1"/>
  <c r="BF101" i="7" a="1"/>
  <c r="BF101" i="7" s="1"/>
  <c r="BF95" i="7" a="1"/>
  <c r="BF95" i="7" s="1"/>
  <c r="BF106" i="7" a="1"/>
  <c r="BF106" i="7" s="1"/>
  <c r="BF100" i="7" a="1"/>
  <c r="BF100" i="7" s="1"/>
  <c r="BF94" i="7" a="1"/>
  <c r="BF94" i="7" s="1"/>
  <c r="BF126" i="7" a="1"/>
  <c r="BF126" i="7" s="1"/>
  <c r="BF105" i="7" a="1"/>
  <c r="BF105" i="7" s="1"/>
  <c r="BF99" i="7" a="1"/>
  <c r="BF99" i="7" s="1"/>
  <c r="BF93" i="7" a="1"/>
  <c r="BF93" i="7" s="1"/>
  <c r="BF87" i="7" a="1"/>
  <c r="BF87" i="7" s="1"/>
  <c r="BF104" i="7" a="1"/>
  <c r="BF104" i="7" s="1"/>
  <c r="BF98" i="7" a="1"/>
  <c r="BF98" i="7" s="1"/>
  <c r="BF92" i="7" a="1"/>
  <c r="BF92" i="7" s="1"/>
  <c r="BF103" i="7" a="1"/>
  <c r="BF103" i="7" s="1"/>
  <c r="BF97" i="7" a="1"/>
  <c r="BF97" i="7" s="1"/>
  <c r="BF91" i="7" a="1"/>
  <c r="BF91" i="7" s="1"/>
  <c r="BF102" i="7" a="1"/>
  <c r="BF102" i="7" s="1"/>
  <c r="BF96" i="7" a="1"/>
  <c r="BF96" i="7" s="1"/>
  <c r="BF90" i="7" a="1"/>
  <c r="BF90" i="7" s="1"/>
  <c r="BF108" i="7" a="1"/>
  <c r="BF108" i="7" s="1"/>
  <c r="BF83" i="7" a="1"/>
  <c r="BF83" i="7" s="1"/>
  <c r="BF77" i="7" a="1"/>
  <c r="BF77" i="7" s="1"/>
  <c r="BF71" i="7" a="1"/>
  <c r="BF71" i="7" s="1"/>
  <c r="BF82" i="7" a="1"/>
  <c r="BF82" i="7" s="1"/>
  <c r="BF76" i="7" a="1"/>
  <c r="BF76" i="7" s="1"/>
  <c r="BF81" i="7" a="1"/>
  <c r="BF81" i="7" s="1"/>
  <c r="BF75" i="7" a="1"/>
  <c r="BF75" i="7" s="1"/>
  <c r="BF86" i="7" a="1"/>
  <c r="BF86" i="7" s="1"/>
  <c r="BF80" i="7" a="1"/>
  <c r="BF80" i="7" s="1"/>
  <c r="BF74" i="7" a="1"/>
  <c r="BF74" i="7" s="1"/>
  <c r="BF85" i="7" a="1"/>
  <c r="BF85" i="7" s="1"/>
  <c r="BF79" i="7" a="1"/>
  <c r="BF79" i="7" s="1"/>
  <c r="BF73" i="7" a="1"/>
  <c r="BF73" i="7" s="1"/>
  <c r="BF84" i="7" a="1"/>
  <c r="BF84" i="7" s="1"/>
  <c r="BF78" i="7" a="1"/>
  <c r="BF78" i="7" s="1"/>
  <c r="BF72" i="7" a="1"/>
  <c r="BF72" i="7" s="1"/>
  <c r="BF89" i="7" a="1"/>
  <c r="BF89" i="7" s="1"/>
  <c r="BF68" i="7" a="1"/>
  <c r="BF68" i="7" s="1"/>
  <c r="BF62" i="7" a="1"/>
  <c r="BF62" i="7" s="1"/>
  <c r="BF56" i="7" a="1"/>
  <c r="BF56" i="7" s="1"/>
  <c r="BF50" i="7" a="1"/>
  <c r="BF50" i="7" s="1"/>
  <c r="BF67" i="7" a="1"/>
  <c r="BF67" i="7" s="1"/>
  <c r="BF61" i="7" a="1"/>
  <c r="BF61" i="7" s="1"/>
  <c r="BF55" i="7" a="1"/>
  <c r="BF55" i="7" s="1"/>
  <c r="BF49" i="7" a="1"/>
  <c r="BF49" i="7" s="1"/>
  <c r="BF66" i="7" a="1"/>
  <c r="BF66" i="7" s="1"/>
  <c r="BF60" i="7" a="1"/>
  <c r="BF60" i="7" s="1"/>
  <c r="BF54" i="7" a="1"/>
  <c r="BF54" i="7" s="1"/>
  <c r="BF88" i="7" a="1"/>
  <c r="BF88" i="7" s="1"/>
  <c r="BF65" i="7" a="1"/>
  <c r="BF65" i="7" s="1"/>
  <c r="BF59" i="7" a="1"/>
  <c r="BF59" i="7" s="1"/>
  <c r="BF53" i="7" a="1"/>
  <c r="BF53" i="7" s="1"/>
  <c r="BF70" i="7" a="1"/>
  <c r="BF70" i="7" s="1"/>
  <c r="BF64" i="7" a="1"/>
  <c r="BF64" i="7" s="1"/>
  <c r="BF58" i="7" a="1"/>
  <c r="BF58" i="7" s="1"/>
  <c r="BF52" i="7" a="1"/>
  <c r="BF52" i="7" s="1"/>
  <c r="BF47" i="7" a="1"/>
  <c r="BF47" i="7" s="1"/>
  <c r="BF45" i="7" a="1"/>
  <c r="BF45" i="7" s="1"/>
  <c r="BF39" i="7" a="1"/>
  <c r="BF39" i="7" s="1"/>
  <c r="BF33" i="7" a="1"/>
  <c r="BF33" i="7" s="1"/>
  <c r="BF27" i="7" a="1"/>
  <c r="BF27" i="7" s="1"/>
  <c r="BF57" i="7" a="1"/>
  <c r="BF57" i="7" s="1"/>
  <c r="BF44" i="7" a="1"/>
  <c r="BF44" i="7" s="1"/>
  <c r="BF38" i="7" a="1"/>
  <c r="BF38" i="7" s="1"/>
  <c r="BF32" i="7" a="1"/>
  <c r="BF32" i="7" s="1"/>
  <c r="BF26" i="7" a="1"/>
  <c r="BF26" i="7" s="1"/>
  <c r="BF43" i="7" a="1"/>
  <c r="BF43" i="7" s="1"/>
  <c r="BF37" i="7" a="1"/>
  <c r="BF37" i="7" s="1"/>
  <c r="BF31" i="7" a="1"/>
  <c r="BF31" i="7" s="1"/>
  <c r="BF69" i="7" a="1"/>
  <c r="BF69" i="7" s="1"/>
  <c r="BF42" i="7" a="1"/>
  <c r="BF42" i="7" s="1"/>
  <c r="BF36" i="7" a="1"/>
  <c r="BF36" i="7" s="1"/>
  <c r="BF30" i="7" a="1"/>
  <c r="BF30" i="7" s="1"/>
  <c r="BF51" i="7" a="1"/>
  <c r="BF51" i="7" s="1"/>
  <c r="BF63" i="7" a="1"/>
  <c r="BF63" i="7" s="1"/>
  <c r="BF48" i="7" a="1"/>
  <c r="BF48" i="7" s="1"/>
  <c r="BF41" i="7" a="1"/>
  <c r="BF41" i="7" s="1"/>
  <c r="BF35" i="7" a="1"/>
  <c r="BF35" i="7" s="1"/>
  <c r="BF29" i="7" a="1"/>
  <c r="BF29" i="7" s="1"/>
  <c r="BO145" i="7" a="1"/>
  <c r="BO145" i="7" s="1"/>
  <c r="BO138" i="7" a="1"/>
  <c r="BO138" i="7" s="1"/>
  <c r="BO144" i="7" a="1"/>
  <c r="BO144" i="7" s="1"/>
  <c r="BO150" i="7" a="1"/>
  <c r="BO150" i="7" s="1"/>
  <c r="BO137" i="7" a="1"/>
  <c r="BO137" i="7" s="1"/>
  <c r="BO136" i="7" a="1"/>
  <c r="BO136" i="7" s="1"/>
  <c r="BO143" i="7" a="1"/>
  <c r="BO143" i="7" s="1"/>
  <c r="BO135" i="7" a="1"/>
  <c r="BO135" i="7" s="1"/>
  <c r="BO142" i="7" a="1"/>
  <c r="BO142" i="7" s="1"/>
  <c r="BO149" i="7" a="1"/>
  <c r="BO149" i="7" s="1"/>
  <c r="BO141" i="7" a="1"/>
  <c r="BO141" i="7" s="1"/>
  <c r="BO133" i="7" a="1"/>
  <c r="BO133" i="7" s="1"/>
  <c r="BO148" i="7" a="1"/>
  <c r="BO148" i="7" s="1"/>
  <c r="BO140" i="7" a="1"/>
  <c r="BO140" i="7" s="1"/>
  <c r="BO147" i="7" a="1"/>
  <c r="BO147" i="7" s="1"/>
  <c r="BO139" i="7" a="1"/>
  <c r="BO139" i="7" s="1"/>
  <c r="BO132" i="7" a="1"/>
  <c r="BO132" i="7" s="1"/>
  <c r="BO124" i="7" a="1"/>
  <c r="BO124" i="7" s="1"/>
  <c r="BO118" i="7" a="1"/>
  <c r="BO118" i="7" s="1"/>
  <c r="BO112" i="7" a="1"/>
  <c r="BO112" i="7" s="1"/>
  <c r="BO131" i="7" a="1"/>
  <c r="BO131" i="7" s="1"/>
  <c r="BO123" i="7" a="1"/>
  <c r="BO123" i="7" s="1"/>
  <c r="BO117" i="7" a="1"/>
  <c r="BO117" i="7" s="1"/>
  <c r="BO111" i="7" a="1"/>
  <c r="BO111" i="7" s="1"/>
  <c r="BO130" i="7" a="1"/>
  <c r="BO130" i="7" s="1"/>
  <c r="BO122" i="7" a="1"/>
  <c r="BO122" i="7" s="1"/>
  <c r="BO116" i="7" a="1"/>
  <c r="BO116" i="7" s="1"/>
  <c r="BO129" i="7" a="1"/>
  <c r="BO129" i="7" s="1"/>
  <c r="BO121" i="7" a="1"/>
  <c r="BO121" i="7" s="1"/>
  <c r="BO115" i="7" a="1"/>
  <c r="BO115" i="7" s="1"/>
  <c r="BO128" i="7" a="1"/>
  <c r="BO128" i="7" s="1"/>
  <c r="BO127" i="7" a="1"/>
  <c r="BO127" i="7" s="1"/>
  <c r="BO120" i="7" a="1"/>
  <c r="BO120" i="7" s="1"/>
  <c r="BO114" i="7" a="1"/>
  <c r="BO114" i="7" s="1"/>
  <c r="BO108" i="7" a="1"/>
  <c r="BO108" i="7" s="1"/>
  <c r="BO134" i="7" a="1"/>
  <c r="BO134" i="7" s="1"/>
  <c r="BO126" i="7" a="1"/>
  <c r="BO126" i="7" s="1"/>
  <c r="BO146" i="7" a="1"/>
  <c r="BO146" i="7" s="1"/>
  <c r="BO106" i="7" a="1"/>
  <c r="BO106" i="7" s="1"/>
  <c r="BO100" i="7" a="1"/>
  <c r="BO100" i="7" s="1"/>
  <c r="BO94" i="7" a="1"/>
  <c r="BO94" i="7" s="1"/>
  <c r="BO88" i="7" a="1"/>
  <c r="BO88" i="7" s="1"/>
  <c r="BO119" i="7" a="1"/>
  <c r="BO119" i="7" s="1"/>
  <c r="BO105" i="7" a="1"/>
  <c r="BO105" i="7" s="1"/>
  <c r="BO99" i="7" a="1"/>
  <c r="BO99" i="7" s="1"/>
  <c r="BO93" i="7" a="1"/>
  <c r="BO93" i="7" s="1"/>
  <c r="BO104" i="7" a="1"/>
  <c r="BO104" i="7" s="1"/>
  <c r="BO98" i="7" a="1"/>
  <c r="BO98" i="7" s="1"/>
  <c r="BO92" i="7" a="1"/>
  <c r="BO92" i="7" s="1"/>
  <c r="BO110" i="7" a="1"/>
  <c r="BO110" i="7" s="1"/>
  <c r="BO103" i="7" a="1"/>
  <c r="BO103" i="7" s="1"/>
  <c r="BO97" i="7" a="1"/>
  <c r="BO97" i="7" s="1"/>
  <c r="BO91" i="7" a="1"/>
  <c r="BO91" i="7" s="1"/>
  <c r="BO102" i="7" a="1"/>
  <c r="BO102" i="7" s="1"/>
  <c r="BO96" i="7" a="1"/>
  <c r="BO96" i="7" s="1"/>
  <c r="BO90" i="7" a="1"/>
  <c r="BO90" i="7" s="1"/>
  <c r="BO109" i="7" a="1"/>
  <c r="BO109" i="7" s="1"/>
  <c r="BO113" i="7" a="1"/>
  <c r="BO113" i="7" s="1"/>
  <c r="BO125" i="7" a="1"/>
  <c r="BO125" i="7" s="1"/>
  <c r="BO85" i="7" a="1"/>
  <c r="BO85" i="7" s="1"/>
  <c r="BO79" i="7" a="1"/>
  <c r="BO79" i="7" s="1"/>
  <c r="BO73" i="7" a="1"/>
  <c r="BO73" i="7" s="1"/>
  <c r="BO84" i="7" a="1"/>
  <c r="BO84" i="7" s="1"/>
  <c r="BO78" i="7" a="1"/>
  <c r="BO78" i="7" s="1"/>
  <c r="BO101" i="7" a="1"/>
  <c r="BO101" i="7" s="1"/>
  <c r="BO95" i="7" a="1"/>
  <c r="BO95" i="7" s="1"/>
  <c r="BO83" i="7" a="1"/>
  <c r="BO83" i="7" s="1"/>
  <c r="BO77" i="7" a="1"/>
  <c r="BO77" i="7" s="1"/>
  <c r="BO82" i="7" a="1"/>
  <c r="BO82" i="7" s="1"/>
  <c r="BO76" i="7" a="1"/>
  <c r="BO76" i="7" s="1"/>
  <c r="BO107" i="7" a="1"/>
  <c r="BO107" i="7" s="1"/>
  <c r="BO89" i="7" a="1"/>
  <c r="BO89" i="7" s="1"/>
  <c r="BO81" i="7" a="1"/>
  <c r="BO81" i="7" s="1"/>
  <c r="BO75" i="7" a="1"/>
  <c r="BO75" i="7" s="1"/>
  <c r="BO72" i="7" a="1"/>
  <c r="BO72" i="7" s="1"/>
  <c r="BO80" i="7" a="1"/>
  <c r="BO80" i="7" s="1"/>
  <c r="BO87" i="7" a="1"/>
  <c r="BO87" i="7" s="1"/>
  <c r="BO65" i="7" a="1"/>
  <c r="BO65" i="7" s="1"/>
  <c r="BO59" i="7" a="1"/>
  <c r="BO59" i="7" s="1"/>
  <c r="BO53" i="7" a="1"/>
  <c r="BO53" i="7" s="1"/>
  <c r="BO47" i="7" a="1"/>
  <c r="BO47" i="7" s="1"/>
  <c r="BO74" i="7" a="1"/>
  <c r="BO74" i="7" s="1"/>
  <c r="BO70" i="7" a="1"/>
  <c r="BO70" i="7" s="1"/>
  <c r="BO64" i="7" a="1"/>
  <c r="BO64" i="7" s="1"/>
  <c r="BO58" i="7" a="1"/>
  <c r="BO58" i="7" s="1"/>
  <c r="BO52" i="7" a="1"/>
  <c r="BO52" i="7" s="1"/>
  <c r="BO69" i="7" a="1"/>
  <c r="BO69" i="7" s="1"/>
  <c r="BO63" i="7" a="1"/>
  <c r="BO63" i="7" s="1"/>
  <c r="BO57" i="7" a="1"/>
  <c r="BO57" i="7" s="1"/>
  <c r="BO51" i="7" a="1"/>
  <c r="BO51" i="7" s="1"/>
  <c r="BO86" i="7" a="1"/>
  <c r="BO86" i="7" s="1"/>
  <c r="BO71" i="7" a="1"/>
  <c r="BO71" i="7" s="1"/>
  <c r="BO68" i="7" a="1"/>
  <c r="BO68" i="7" s="1"/>
  <c r="BO62" i="7" a="1"/>
  <c r="BO62" i="7" s="1"/>
  <c r="BO56" i="7" a="1"/>
  <c r="BO56" i="7" s="1"/>
  <c r="BO50" i="7" a="1"/>
  <c r="BO50" i="7" s="1"/>
  <c r="BO67" i="7" a="1"/>
  <c r="BO67" i="7" s="1"/>
  <c r="BO61" i="7" a="1"/>
  <c r="BO61" i="7" s="1"/>
  <c r="BO55" i="7" a="1"/>
  <c r="BO55" i="7" s="1"/>
  <c r="BO49" i="7" a="1"/>
  <c r="BO49" i="7" s="1"/>
  <c r="BO42" i="7" a="1"/>
  <c r="BO42" i="7" s="1"/>
  <c r="BO36" i="7" a="1"/>
  <c r="BO36" i="7" s="1"/>
  <c r="BO30" i="7" a="1"/>
  <c r="BO30" i="7" s="1"/>
  <c r="BO24" i="7" a="1"/>
  <c r="BO24" i="7" s="1"/>
  <c r="BO48" i="7" a="1"/>
  <c r="BO48" i="7" s="1"/>
  <c r="BO54" i="7" a="1"/>
  <c r="BO54" i="7" s="1"/>
  <c r="BO66" i="7" a="1"/>
  <c r="BO66" i="7" s="1"/>
  <c r="BO41" i="7" a="1"/>
  <c r="BO41" i="7" s="1"/>
  <c r="BO35" i="7" a="1"/>
  <c r="BO35" i="7" s="1"/>
  <c r="BO29" i="7" a="1"/>
  <c r="BO29" i="7" s="1"/>
  <c r="BO46" i="7" a="1"/>
  <c r="BO46" i="7" s="1"/>
  <c r="BO40" i="7" a="1"/>
  <c r="BO40" i="7" s="1"/>
  <c r="BO34" i="7" a="1"/>
  <c r="BO34" i="7" s="1"/>
  <c r="BO45" i="7" a="1"/>
  <c r="BO45" i="7" s="1"/>
  <c r="BO39" i="7" a="1"/>
  <c r="BO39" i="7" s="1"/>
  <c r="BO33" i="7" a="1"/>
  <c r="BO33" i="7" s="1"/>
  <c r="BO27" i="7" a="1"/>
  <c r="BO27" i="7" s="1"/>
  <c r="BO44" i="7" a="1"/>
  <c r="BO44" i="7" s="1"/>
  <c r="BO38" i="7" a="1"/>
  <c r="BO38" i="7" s="1"/>
  <c r="BO32" i="7" a="1"/>
  <c r="BO32" i="7" s="1"/>
  <c r="BO43" i="7" a="1"/>
  <c r="BO43" i="7" s="1"/>
  <c r="BO37" i="7" a="1"/>
  <c r="BO37" i="7" s="1"/>
  <c r="BO31" i="7" a="1"/>
  <c r="BO31" i="7" s="1"/>
  <c r="BO25" i="7" a="1"/>
  <c r="BO25" i="7" s="1"/>
  <c r="Q152" i="7"/>
  <c r="BP144" i="7" a="1"/>
  <c r="BP144" i="7" s="1"/>
  <c r="BP150" i="7" a="1"/>
  <c r="BP150" i="7" s="1"/>
  <c r="BP136" i="7" a="1"/>
  <c r="BP136" i="7" s="1"/>
  <c r="BP143" i="7" a="1"/>
  <c r="BP143" i="7" s="1"/>
  <c r="BP135" i="7" a="1"/>
  <c r="BP135" i="7" s="1"/>
  <c r="BP142" i="7" a="1"/>
  <c r="BP142" i="7" s="1"/>
  <c r="BP134" i="7" a="1"/>
  <c r="BP134" i="7" s="1"/>
  <c r="BP149" i="7" a="1"/>
  <c r="BP149" i="7" s="1"/>
  <c r="BP141" i="7" a="1"/>
  <c r="BP141" i="7" s="1"/>
  <c r="BP133" i="7" a="1"/>
  <c r="BP133" i="7" s="1"/>
  <c r="BP148" i="7" a="1"/>
  <c r="BP148" i="7" s="1"/>
  <c r="BP140" i="7" a="1"/>
  <c r="BP140" i="7" s="1"/>
  <c r="BP147" i="7" a="1"/>
  <c r="BP147" i="7" s="1"/>
  <c r="BP139" i="7" a="1"/>
  <c r="BP139" i="7" s="1"/>
  <c r="BP146" i="7" a="1"/>
  <c r="BP146" i="7" s="1"/>
  <c r="BP145" i="7" a="1"/>
  <c r="BP145" i="7" s="1"/>
  <c r="BP138" i="7" a="1"/>
  <c r="BP138" i="7" s="1"/>
  <c r="BP130" i="7" a="1"/>
  <c r="BP130" i="7" s="1"/>
  <c r="BP122" i="7" a="1"/>
  <c r="BP122" i="7" s="1"/>
  <c r="BP116" i="7" a="1"/>
  <c r="BP116" i="7" s="1"/>
  <c r="BP110" i="7" a="1"/>
  <c r="BP110" i="7" s="1"/>
  <c r="BP129" i="7" a="1"/>
  <c r="BP129" i="7" s="1"/>
  <c r="BP121" i="7" a="1"/>
  <c r="BP121" i="7" s="1"/>
  <c r="BP115" i="7" a="1"/>
  <c r="BP115" i="7" s="1"/>
  <c r="BP109" i="7" a="1"/>
  <c r="BP109" i="7" s="1"/>
  <c r="BP128" i="7" a="1"/>
  <c r="BP128" i="7" s="1"/>
  <c r="BP127" i="7" a="1"/>
  <c r="BP127" i="7" s="1"/>
  <c r="BP120" i="7" a="1"/>
  <c r="BP120" i="7" s="1"/>
  <c r="BP114" i="7" a="1"/>
  <c r="BP114" i="7" s="1"/>
  <c r="BP126" i="7" a="1"/>
  <c r="BP126" i="7" s="1"/>
  <c r="BP132" i="7" a="1"/>
  <c r="BP132" i="7" s="1"/>
  <c r="BP137" i="7" a="1"/>
  <c r="BP137" i="7" s="1"/>
  <c r="BP125" i="7" a="1"/>
  <c r="BP125" i="7" s="1"/>
  <c r="BP119" i="7" a="1"/>
  <c r="BP119" i="7" s="1"/>
  <c r="BP113" i="7" a="1"/>
  <c r="BP113" i="7" s="1"/>
  <c r="BP124" i="7" a="1"/>
  <c r="BP124" i="7" s="1"/>
  <c r="BP118" i="7" a="1"/>
  <c r="BP118" i="7" s="1"/>
  <c r="BP112" i="7" a="1"/>
  <c r="BP112" i="7" s="1"/>
  <c r="BP111" i="7" a="1"/>
  <c r="BP111" i="7" s="1"/>
  <c r="BP104" i="7" a="1"/>
  <c r="BP104" i="7" s="1"/>
  <c r="BP98" i="7" a="1"/>
  <c r="BP98" i="7" s="1"/>
  <c r="BP92" i="7" a="1"/>
  <c r="BP92" i="7" s="1"/>
  <c r="BP103" i="7" a="1"/>
  <c r="BP103" i="7" s="1"/>
  <c r="BP97" i="7" a="1"/>
  <c r="BP97" i="7" s="1"/>
  <c r="BP91" i="7" a="1"/>
  <c r="BP91" i="7" s="1"/>
  <c r="BP102" i="7" a="1"/>
  <c r="BP102" i="7" s="1"/>
  <c r="BP96" i="7" a="1"/>
  <c r="BP96" i="7" s="1"/>
  <c r="BP90" i="7" a="1"/>
  <c r="BP90" i="7" s="1"/>
  <c r="BP123" i="7" a="1"/>
  <c r="BP123" i="7" s="1"/>
  <c r="BP117" i="7" a="1"/>
  <c r="BP117" i="7" s="1"/>
  <c r="BP107" i="7" a="1"/>
  <c r="BP107" i="7" s="1"/>
  <c r="BP101" i="7" a="1"/>
  <c r="BP101" i="7" s="1"/>
  <c r="BP95" i="7" a="1"/>
  <c r="BP95" i="7" s="1"/>
  <c r="BP108" i="7" a="1"/>
  <c r="BP108" i="7" s="1"/>
  <c r="BP106" i="7" a="1"/>
  <c r="BP106" i="7" s="1"/>
  <c r="BP100" i="7" a="1"/>
  <c r="BP100" i="7" s="1"/>
  <c r="BP94" i="7" a="1"/>
  <c r="BP94" i="7" s="1"/>
  <c r="BP84" i="7" a="1"/>
  <c r="BP84" i="7" s="1"/>
  <c r="BP78" i="7" a="1"/>
  <c r="BP78" i="7" s="1"/>
  <c r="BP72" i="7" a="1"/>
  <c r="BP72" i="7" s="1"/>
  <c r="BP93" i="7" a="1"/>
  <c r="BP93" i="7" s="1"/>
  <c r="BP131" i="7" a="1"/>
  <c r="BP131" i="7" s="1"/>
  <c r="BP105" i="7" a="1"/>
  <c r="BP105" i="7" s="1"/>
  <c r="BP83" i="7" a="1"/>
  <c r="BP83" i="7" s="1"/>
  <c r="BP77" i="7" a="1"/>
  <c r="BP77" i="7" s="1"/>
  <c r="BP71" i="7" a="1"/>
  <c r="BP71" i="7" s="1"/>
  <c r="BP82" i="7" a="1"/>
  <c r="BP82" i="7" s="1"/>
  <c r="BP76" i="7" a="1"/>
  <c r="BP76" i="7" s="1"/>
  <c r="BP89" i="7" a="1"/>
  <c r="BP89" i="7" s="1"/>
  <c r="BP81" i="7" a="1"/>
  <c r="BP81" i="7" s="1"/>
  <c r="BP75" i="7" a="1"/>
  <c r="BP75" i="7" s="1"/>
  <c r="BP87" i="7" a="1"/>
  <c r="BP87" i="7" s="1"/>
  <c r="BP86" i="7" a="1"/>
  <c r="BP86" i="7" s="1"/>
  <c r="BP80" i="7" a="1"/>
  <c r="BP80" i="7" s="1"/>
  <c r="BP74" i="7" a="1"/>
  <c r="BP74" i="7" s="1"/>
  <c r="BP85" i="7" a="1"/>
  <c r="BP85" i="7" s="1"/>
  <c r="BP79" i="7" a="1"/>
  <c r="BP79" i="7" s="1"/>
  <c r="BP73" i="7" a="1"/>
  <c r="BP73" i="7" s="1"/>
  <c r="BP88" i="7" a="1"/>
  <c r="BP88" i="7" s="1"/>
  <c r="BP65" i="7" a="1"/>
  <c r="BP65" i="7" s="1"/>
  <c r="BP59" i="7" a="1"/>
  <c r="BP59" i="7" s="1"/>
  <c r="BP53" i="7" a="1"/>
  <c r="BP53" i="7" s="1"/>
  <c r="BP70" i="7" a="1"/>
  <c r="BP70" i="7" s="1"/>
  <c r="BP64" i="7" a="1"/>
  <c r="BP64" i="7" s="1"/>
  <c r="BP58" i="7" a="1"/>
  <c r="BP58" i="7" s="1"/>
  <c r="BP52" i="7" a="1"/>
  <c r="BP52" i="7" s="1"/>
  <c r="BP69" i="7" a="1"/>
  <c r="BP69" i="7" s="1"/>
  <c r="BP63" i="7" a="1"/>
  <c r="BP63" i="7" s="1"/>
  <c r="BP57" i="7" a="1"/>
  <c r="BP57" i="7" s="1"/>
  <c r="BP51" i="7" a="1"/>
  <c r="BP51" i="7" s="1"/>
  <c r="BP68" i="7" a="1"/>
  <c r="BP68" i="7" s="1"/>
  <c r="BP62" i="7" a="1"/>
  <c r="BP62" i="7" s="1"/>
  <c r="BP56" i="7" a="1"/>
  <c r="BP56" i="7" s="1"/>
  <c r="BP50" i="7" a="1"/>
  <c r="BP50" i="7" s="1"/>
  <c r="BP67" i="7" a="1"/>
  <c r="BP67" i="7" s="1"/>
  <c r="BP61" i="7" a="1"/>
  <c r="BP61" i="7" s="1"/>
  <c r="BP55" i="7" a="1"/>
  <c r="BP55" i="7" s="1"/>
  <c r="BP49" i="7" a="1"/>
  <c r="BP49" i="7" s="1"/>
  <c r="BP66" i="7" a="1"/>
  <c r="BP66" i="7" s="1"/>
  <c r="BP60" i="7" a="1"/>
  <c r="BP60" i="7" s="1"/>
  <c r="BP54" i="7" a="1"/>
  <c r="BP54" i="7" s="1"/>
  <c r="BP41" i="7" a="1"/>
  <c r="BP41" i="7" s="1"/>
  <c r="BP35" i="7" a="1"/>
  <c r="BP35" i="7" s="1"/>
  <c r="BP29" i="7" a="1"/>
  <c r="BP29" i="7" s="1"/>
  <c r="BP46" i="7" a="1"/>
  <c r="BP46" i="7" s="1"/>
  <c r="BP40" i="7" a="1"/>
  <c r="BP40" i="7" s="1"/>
  <c r="BP34" i="7" a="1"/>
  <c r="BP34" i="7" s="1"/>
  <c r="BP28" i="7" a="1"/>
  <c r="BP28" i="7" s="1"/>
  <c r="BP45" i="7" a="1"/>
  <c r="BP45" i="7" s="1"/>
  <c r="BP39" i="7" a="1"/>
  <c r="BP39" i="7" s="1"/>
  <c r="BP33" i="7" a="1"/>
  <c r="BP33" i="7" s="1"/>
  <c r="BP27" i="7" a="1"/>
  <c r="BP27" i="7" s="1"/>
  <c r="BP99" i="7" a="1"/>
  <c r="BP99" i="7" s="1"/>
  <c r="BP44" i="7" a="1"/>
  <c r="BP44" i="7" s="1"/>
  <c r="BP38" i="7" a="1"/>
  <c r="BP38" i="7" s="1"/>
  <c r="BP32" i="7" a="1"/>
  <c r="BP32" i="7" s="1"/>
  <c r="BP43" i="7" a="1"/>
  <c r="BP43" i="7" s="1"/>
  <c r="BP37" i="7" a="1"/>
  <c r="BP37" i="7" s="1"/>
  <c r="BP31" i="7" a="1"/>
  <c r="BP31" i="7" s="1"/>
  <c r="BP25" i="7" a="1"/>
  <c r="BP25" i="7" s="1"/>
  <c r="BP47" i="7" a="1"/>
  <c r="BP47" i="7" s="1"/>
  <c r="BP42" i="7" a="1"/>
  <c r="BP42" i="7" s="1"/>
  <c r="BP36" i="7" a="1"/>
  <c r="BP36" i="7" s="1"/>
  <c r="BP30" i="7" a="1"/>
  <c r="BP30" i="7" s="1"/>
  <c r="BP24" i="7" a="1"/>
  <c r="BP24" i="7" s="1"/>
  <c r="R152" i="7"/>
  <c r="BJ20" i="7" a="1"/>
  <c r="BJ20" i="7" s="1"/>
  <c r="BQ20" i="7" a="1"/>
  <c r="BQ20" i="7" s="1"/>
  <c r="BW20" i="7" a="1"/>
  <c r="BW20" i="7" s="1"/>
  <c r="BI22" i="7" a="1"/>
  <c r="BI22" i="7" s="1"/>
  <c r="BP22" i="7" a="1"/>
  <c r="BP22" i="7" s="1"/>
  <c r="BV22" i="7" a="1"/>
  <c r="BV22" i="7" s="1"/>
  <c r="BL24" i="7" a="1"/>
  <c r="BL24" i="7" s="1"/>
  <c r="BW24" i="7" a="1"/>
  <c r="BW24" i="7" s="1"/>
  <c r="BN26" i="7" a="1"/>
  <c r="BN26" i="7" s="1"/>
  <c r="BZ40" i="7" a="1"/>
  <c r="BZ40" i="7" s="1"/>
  <c r="BF23" i="7" a="1"/>
  <c r="BF23" i="7" s="1"/>
  <c r="BW150" i="7" a="1"/>
  <c r="BW150" i="7" s="1"/>
  <c r="BL149" i="7" a="1"/>
  <c r="BL149" i="7" s="1"/>
  <c r="BL141" i="7" a="1"/>
  <c r="BL141" i="7" s="1"/>
  <c r="BW137" i="7" a="1"/>
  <c r="BW137" i="7" s="1"/>
  <c r="BL133" i="7" a="1"/>
  <c r="BL133" i="7" s="1"/>
  <c r="BL148" i="7" a="1"/>
  <c r="BL148" i="7" s="1"/>
  <c r="BL140" i="7" a="1"/>
  <c r="BL140" i="7" s="1"/>
  <c r="BW136" i="7" a="1"/>
  <c r="BW136" i="7" s="1"/>
  <c r="BL147" i="7" a="1"/>
  <c r="BL147" i="7" s="1"/>
  <c r="BW143" i="7" a="1"/>
  <c r="BW143" i="7" s="1"/>
  <c r="BL139" i="7" a="1"/>
  <c r="BL139" i="7" s="1"/>
  <c r="BL146" i="7" a="1"/>
  <c r="BL146" i="7" s="1"/>
  <c r="BW142" i="7" a="1"/>
  <c r="BW142" i="7" s="1"/>
  <c r="BW149" i="7" a="1"/>
  <c r="BW149" i="7" s="1"/>
  <c r="BL145" i="7" a="1"/>
  <c r="BL145" i="7" s="1"/>
  <c r="BW141" i="7" a="1"/>
  <c r="BW141" i="7" s="1"/>
  <c r="BL138" i="7" a="1"/>
  <c r="BL138" i="7" s="1"/>
  <c r="BW133" i="7" a="1"/>
  <c r="BW133" i="7" s="1"/>
  <c r="BW148" i="7" a="1"/>
  <c r="BW148" i="7" s="1"/>
  <c r="BW140" i="7" a="1"/>
  <c r="BW140" i="7" s="1"/>
  <c r="BW147" i="7" a="1"/>
  <c r="BW147" i="7" s="1"/>
  <c r="BL144" i="7" a="1"/>
  <c r="BL144" i="7" s="1"/>
  <c r="BW139" i="7" a="1"/>
  <c r="BW139" i="7" s="1"/>
  <c r="BW132" i="7" a="1"/>
  <c r="BW132" i="7" s="1"/>
  <c r="BW146" i="7" a="1"/>
  <c r="BW146" i="7" s="1"/>
  <c r="BL150" i="7" a="1"/>
  <c r="BL150" i="7" s="1"/>
  <c r="BW145" i="7" a="1"/>
  <c r="BW145" i="7" s="1"/>
  <c r="BW138" i="7" a="1"/>
  <c r="BW138" i="7" s="1"/>
  <c r="BL137" i="7" a="1"/>
  <c r="BL137" i="7" s="1"/>
  <c r="BL136" i="7" a="1"/>
  <c r="BL136" i="7" s="1"/>
  <c r="BW144" i="7" a="1"/>
  <c r="BW144" i="7" s="1"/>
  <c r="BL143" i="7" a="1"/>
  <c r="BL143" i="7" s="1"/>
  <c r="BL135" i="7" a="1"/>
  <c r="BL135" i="7" s="1"/>
  <c r="BW128" i="7" a="1"/>
  <c r="BW128" i="7" s="1"/>
  <c r="BW127" i="7" a="1"/>
  <c r="BW127" i="7" s="1"/>
  <c r="BW120" i="7" a="1"/>
  <c r="BW120" i="7" s="1"/>
  <c r="BW114" i="7" a="1"/>
  <c r="BW114" i="7" s="1"/>
  <c r="BW108" i="7" a="1"/>
  <c r="BW108" i="7" s="1"/>
  <c r="BW134" i="7" a="1"/>
  <c r="BW134" i="7" s="1"/>
  <c r="BW126" i="7" a="1"/>
  <c r="BW126" i="7" s="1"/>
  <c r="BL125" i="7" a="1"/>
  <c r="BL125" i="7" s="1"/>
  <c r="BL119" i="7" a="1"/>
  <c r="BL119" i="7" s="1"/>
  <c r="BL113" i="7" a="1"/>
  <c r="BL113" i="7" s="1"/>
  <c r="BL124" i="7" a="1"/>
  <c r="BL124" i="7" s="1"/>
  <c r="BL118" i="7" a="1"/>
  <c r="BL118" i="7" s="1"/>
  <c r="BL112" i="7" a="1"/>
  <c r="BL112" i="7" s="1"/>
  <c r="BL131" i="7" a="1"/>
  <c r="BL131" i="7" s="1"/>
  <c r="BL123" i="7" a="1"/>
  <c r="BL123" i="7" s="1"/>
  <c r="BL117" i="7" a="1"/>
  <c r="BL117" i="7" s="1"/>
  <c r="BL111" i="7" a="1"/>
  <c r="BL111" i="7" s="1"/>
  <c r="BL130" i="7" a="1"/>
  <c r="BL130" i="7" s="1"/>
  <c r="BL122" i="7" a="1"/>
  <c r="BL122" i="7" s="1"/>
  <c r="BL116" i="7" a="1"/>
  <c r="BL116" i="7" s="1"/>
  <c r="BL110" i="7" a="1"/>
  <c r="BL110" i="7" s="1"/>
  <c r="BL129" i="7" a="1"/>
  <c r="BL129" i="7" s="1"/>
  <c r="BW125" i="7" a="1"/>
  <c r="BW125" i="7" s="1"/>
  <c r="BL121" i="7" a="1"/>
  <c r="BL121" i="7" s="1"/>
  <c r="BW119" i="7" a="1"/>
  <c r="BW119" i="7" s="1"/>
  <c r="BL115" i="7" a="1"/>
  <c r="BL115" i="7" s="1"/>
  <c r="BW113" i="7" a="1"/>
  <c r="BW113" i="7" s="1"/>
  <c r="BL128" i="7" a="1"/>
  <c r="BL128" i="7" s="1"/>
  <c r="BW124" i="7" a="1"/>
  <c r="BW124" i="7" s="1"/>
  <c r="BW118" i="7" a="1"/>
  <c r="BW118" i="7" s="1"/>
  <c r="BW112" i="7" a="1"/>
  <c r="BW112" i="7" s="1"/>
  <c r="BL142" i="7" a="1"/>
  <c r="BL142" i="7" s="1"/>
  <c r="BW135" i="7" a="1"/>
  <c r="BW135" i="7" s="1"/>
  <c r="BL134" i="7" a="1"/>
  <c r="BL134" i="7" s="1"/>
  <c r="BW131" i="7" a="1"/>
  <c r="BW131" i="7" s="1"/>
  <c r="BL127" i="7" a="1"/>
  <c r="BL127" i="7" s="1"/>
  <c r="BW123" i="7" a="1"/>
  <c r="BW123" i="7" s="1"/>
  <c r="BL120" i="7" a="1"/>
  <c r="BL120" i="7" s="1"/>
  <c r="BW117" i="7" a="1"/>
  <c r="BW117" i="7" s="1"/>
  <c r="BL114" i="7" a="1"/>
  <c r="BL114" i="7" s="1"/>
  <c r="BL132" i="7" a="1"/>
  <c r="BL132" i="7" s="1"/>
  <c r="BW130" i="7" a="1"/>
  <c r="BW130" i="7" s="1"/>
  <c r="BW122" i="7" a="1"/>
  <c r="BW122" i="7" s="1"/>
  <c r="BW116" i="7" a="1"/>
  <c r="BW116" i="7" s="1"/>
  <c r="BW110" i="7" a="1"/>
  <c r="BW110" i="7" s="1"/>
  <c r="BW121" i="7" a="1"/>
  <c r="BW121" i="7" s="1"/>
  <c r="BW102" i="7" a="1"/>
  <c r="BW102" i="7" s="1"/>
  <c r="BW96" i="7" a="1"/>
  <c r="BW96" i="7" s="1"/>
  <c r="BW90" i="7" a="1"/>
  <c r="BW90" i="7" s="1"/>
  <c r="BL108" i="7" a="1"/>
  <c r="BL108" i="7" s="1"/>
  <c r="BL107" i="7" a="1"/>
  <c r="BL107" i="7" s="1"/>
  <c r="BL101" i="7" a="1"/>
  <c r="BL101" i="7" s="1"/>
  <c r="BL95" i="7" a="1"/>
  <c r="BL95" i="7" s="1"/>
  <c r="BL126" i="7" a="1"/>
  <c r="BL126" i="7" s="1"/>
  <c r="BL106" i="7" a="1"/>
  <c r="BL106" i="7" s="1"/>
  <c r="BL100" i="7" a="1"/>
  <c r="BL100" i="7" s="1"/>
  <c r="BL94" i="7" a="1"/>
  <c r="BL94" i="7" s="1"/>
  <c r="BW115" i="7" a="1"/>
  <c r="BW115" i="7" s="1"/>
  <c r="BL105" i="7" a="1"/>
  <c r="BL105" i="7" s="1"/>
  <c r="BL99" i="7" a="1"/>
  <c r="BL99" i="7" s="1"/>
  <c r="BL93" i="7" a="1"/>
  <c r="BL93" i="7" s="1"/>
  <c r="BL87" i="7" a="1"/>
  <c r="BL87" i="7" s="1"/>
  <c r="BW111" i="7" a="1"/>
  <c r="BW111" i="7" s="1"/>
  <c r="BL104" i="7" a="1"/>
  <c r="BL104" i="7" s="1"/>
  <c r="BL98" i="7" a="1"/>
  <c r="BL98" i="7" s="1"/>
  <c r="BL92" i="7" a="1"/>
  <c r="BL92" i="7" s="1"/>
  <c r="BW129" i="7" a="1"/>
  <c r="BW129" i="7" s="1"/>
  <c r="BL109" i="7" a="1"/>
  <c r="BL109" i="7" s="1"/>
  <c r="BW107" i="7" a="1"/>
  <c r="BW107" i="7" s="1"/>
  <c r="BL103" i="7" a="1"/>
  <c r="BL103" i="7" s="1"/>
  <c r="BW101" i="7" a="1"/>
  <c r="BW101" i="7" s="1"/>
  <c r="BL97" i="7" a="1"/>
  <c r="BL97" i="7" s="1"/>
  <c r="BW95" i="7" a="1"/>
  <c r="BW95" i="7" s="1"/>
  <c r="BL91" i="7" a="1"/>
  <c r="BL91" i="7" s="1"/>
  <c r="BW106" i="7" a="1"/>
  <c r="BW106" i="7" s="1"/>
  <c r="BW100" i="7" a="1"/>
  <c r="BW100" i="7" s="1"/>
  <c r="BW94" i="7" a="1"/>
  <c r="BW94" i="7" s="1"/>
  <c r="BW105" i="7" a="1"/>
  <c r="BW105" i="7" s="1"/>
  <c r="BL102" i="7" a="1"/>
  <c r="BL102" i="7" s="1"/>
  <c r="BW99" i="7" a="1"/>
  <c r="BW99" i="7" s="1"/>
  <c r="BL96" i="7" a="1"/>
  <c r="BL96" i="7" s="1"/>
  <c r="BW93" i="7" a="1"/>
  <c r="BW93" i="7" s="1"/>
  <c r="BL90" i="7" a="1"/>
  <c r="BL90" i="7" s="1"/>
  <c r="BW104" i="7" a="1"/>
  <c r="BW104" i="7" s="1"/>
  <c r="BW98" i="7" a="1"/>
  <c r="BW98" i="7" s="1"/>
  <c r="BW92" i="7" a="1"/>
  <c r="BW92" i="7" s="1"/>
  <c r="BW91" i="7" a="1"/>
  <c r="BW91" i="7" s="1"/>
  <c r="BL89" i="7" a="1"/>
  <c r="BL89" i="7" s="1"/>
  <c r="BL83" i="7" a="1"/>
  <c r="BL83" i="7" s="1"/>
  <c r="BL77" i="7" a="1"/>
  <c r="BL77" i="7" s="1"/>
  <c r="BL71" i="7" a="1"/>
  <c r="BL71" i="7" s="1"/>
  <c r="BW88" i="7" a="1"/>
  <c r="BW88" i="7" s="1"/>
  <c r="BL82" i="7" a="1"/>
  <c r="BL82" i="7" s="1"/>
  <c r="BL76" i="7" a="1"/>
  <c r="BL76" i="7" s="1"/>
  <c r="BW103" i="7" a="1"/>
  <c r="BW103" i="7" s="1"/>
  <c r="BL81" i="7" a="1"/>
  <c r="BL81" i="7" s="1"/>
  <c r="BL75" i="7" a="1"/>
  <c r="BL75" i="7" s="1"/>
  <c r="BL88" i="7" a="1"/>
  <c r="BL88" i="7" s="1"/>
  <c r="BL86" i="7" a="1"/>
  <c r="BL86" i="7" s="1"/>
  <c r="BL80" i="7" a="1"/>
  <c r="BL80" i="7" s="1"/>
  <c r="BL74" i="7" a="1"/>
  <c r="BL74" i="7" s="1"/>
  <c r="BL85" i="7" a="1"/>
  <c r="BL85" i="7" s="1"/>
  <c r="BW83" i="7" a="1"/>
  <c r="BW83" i="7" s="1"/>
  <c r="BL79" i="7" a="1"/>
  <c r="BL79" i="7" s="1"/>
  <c r="BW77" i="7" a="1"/>
  <c r="BW77" i="7" s="1"/>
  <c r="BL73" i="7" a="1"/>
  <c r="BL73" i="7" s="1"/>
  <c r="BW82" i="7" a="1"/>
  <c r="BW82" i="7" s="1"/>
  <c r="BW76" i="7" a="1"/>
  <c r="BW76" i="7" s="1"/>
  <c r="BW70" i="7" a="1"/>
  <c r="BW70" i="7" s="1"/>
  <c r="BL84" i="7" a="1"/>
  <c r="BL84" i="7" s="1"/>
  <c r="BW81" i="7" a="1"/>
  <c r="BW81" i="7" s="1"/>
  <c r="BL78" i="7" a="1"/>
  <c r="BL78" i="7" s="1"/>
  <c r="BW75" i="7" a="1"/>
  <c r="BW75" i="7" s="1"/>
  <c r="BL72" i="7" a="1"/>
  <c r="BL72" i="7" s="1"/>
  <c r="BW97" i="7" a="1"/>
  <c r="BW97" i="7" s="1"/>
  <c r="BW80" i="7" a="1"/>
  <c r="BW80" i="7" s="1"/>
  <c r="BW74" i="7" a="1"/>
  <c r="BW74" i="7" s="1"/>
  <c r="BW86" i="7" a="1"/>
  <c r="BW86" i="7" s="1"/>
  <c r="BW85" i="7" a="1"/>
  <c r="BW85" i="7" s="1"/>
  <c r="BW79" i="7" a="1"/>
  <c r="BW79" i="7" s="1"/>
  <c r="BW73" i="7" a="1"/>
  <c r="BW73" i="7" s="1"/>
  <c r="BW87" i="7" a="1"/>
  <c r="BW87" i="7" s="1"/>
  <c r="BW89" i="7" a="1"/>
  <c r="BW89" i="7" s="1"/>
  <c r="BW84" i="7" a="1"/>
  <c r="BW84" i="7" s="1"/>
  <c r="BW78" i="7" a="1"/>
  <c r="BW78" i="7" s="1"/>
  <c r="BW72" i="7" a="1"/>
  <c r="BW72" i="7" s="1"/>
  <c r="BW109" i="7" a="1"/>
  <c r="BW109" i="7" s="1"/>
  <c r="BL68" i="7" a="1"/>
  <c r="BL68" i="7" s="1"/>
  <c r="BL62" i="7" a="1"/>
  <c r="BL62" i="7" s="1"/>
  <c r="BL56" i="7" a="1"/>
  <c r="BL56" i="7" s="1"/>
  <c r="BL50" i="7" a="1"/>
  <c r="BL50" i="7" s="1"/>
  <c r="BL67" i="7" a="1"/>
  <c r="BL67" i="7" s="1"/>
  <c r="BW65" i="7" a="1"/>
  <c r="BW65" i="7" s="1"/>
  <c r="BL61" i="7" a="1"/>
  <c r="BL61" i="7" s="1"/>
  <c r="BW59" i="7" a="1"/>
  <c r="BW59" i="7" s="1"/>
  <c r="BL55" i="7" a="1"/>
  <c r="BL55" i="7" s="1"/>
  <c r="BW53" i="7" a="1"/>
  <c r="BW53" i="7" s="1"/>
  <c r="BL49" i="7" a="1"/>
  <c r="BL49" i="7" s="1"/>
  <c r="BW64" i="7" a="1"/>
  <c r="BW64" i="7" s="1"/>
  <c r="BW58" i="7" a="1"/>
  <c r="BW58" i="7" s="1"/>
  <c r="BW52" i="7" a="1"/>
  <c r="BW52" i="7" s="1"/>
  <c r="BW69" i="7" a="1"/>
  <c r="BW69" i="7" s="1"/>
  <c r="BL66" i="7" a="1"/>
  <c r="BL66" i="7" s="1"/>
  <c r="BW63" i="7" a="1"/>
  <c r="BW63" i="7" s="1"/>
  <c r="BL60" i="7" a="1"/>
  <c r="BL60" i="7" s="1"/>
  <c r="BW57" i="7" a="1"/>
  <c r="BW57" i="7" s="1"/>
  <c r="BL54" i="7" a="1"/>
  <c r="BL54" i="7" s="1"/>
  <c r="BW51" i="7" a="1"/>
  <c r="BW51" i="7" s="1"/>
  <c r="BW68" i="7" a="1"/>
  <c r="BW68" i="7" s="1"/>
  <c r="BW62" i="7" a="1"/>
  <c r="BW62" i="7" s="1"/>
  <c r="BW56" i="7" a="1"/>
  <c r="BW56" i="7" s="1"/>
  <c r="BW50" i="7" a="1"/>
  <c r="BW50" i="7" s="1"/>
  <c r="BW67" i="7" a="1"/>
  <c r="BW67" i="7" s="1"/>
  <c r="BW61" i="7" a="1"/>
  <c r="BW61" i="7" s="1"/>
  <c r="BW55" i="7" a="1"/>
  <c r="BW55" i="7" s="1"/>
  <c r="BW49" i="7" a="1"/>
  <c r="BW49" i="7" s="1"/>
  <c r="BW66" i="7" a="1"/>
  <c r="BW66" i="7" s="1"/>
  <c r="BW60" i="7" a="1"/>
  <c r="BW60" i="7" s="1"/>
  <c r="BW54" i="7" a="1"/>
  <c r="BW54" i="7" s="1"/>
  <c r="BW71" i="7" a="1"/>
  <c r="BW71" i="7" s="1"/>
  <c r="BL65" i="7" a="1"/>
  <c r="BL65" i="7" s="1"/>
  <c r="BL59" i="7" a="1"/>
  <c r="BL59" i="7" s="1"/>
  <c r="BL53" i="7" a="1"/>
  <c r="BL53" i="7" s="1"/>
  <c r="BL70" i="7" a="1"/>
  <c r="BL70" i="7" s="1"/>
  <c r="BL64" i="7" a="1"/>
  <c r="BL64" i="7" s="1"/>
  <c r="BL58" i="7" a="1"/>
  <c r="BL58" i="7" s="1"/>
  <c r="BL52" i="7" a="1"/>
  <c r="BL52" i="7" s="1"/>
  <c r="BL57" i="7" a="1"/>
  <c r="BL57" i="7" s="1"/>
  <c r="BL45" i="7" a="1"/>
  <c r="BL45" i="7" s="1"/>
  <c r="BL39" i="7" a="1"/>
  <c r="BL39" i="7" s="1"/>
  <c r="BL33" i="7" a="1"/>
  <c r="BL33" i="7" s="1"/>
  <c r="BL27" i="7" a="1"/>
  <c r="BL27" i="7" s="1"/>
  <c r="BL47" i="7" a="1"/>
  <c r="BL47" i="7" s="1"/>
  <c r="BL44" i="7" a="1"/>
  <c r="BL44" i="7" s="1"/>
  <c r="BL38" i="7" a="1"/>
  <c r="BL38" i="7" s="1"/>
  <c r="BL32" i="7" a="1"/>
  <c r="BL32" i="7" s="1"/>
  <c r="BL26" i="7" a="1"/>
  <c r="BL26" i="7" s="1"/>
  <c r="BL69" i="7" a="1"/>
  <c r="BL69" i="7" s="1"/>
  <c r="BL43" i="7" a="1"/>
  <c r="BL43" i="7" s="1"/>
  <c r="BW41" i="7" a="1"/>
  <c r="BW41" i="7" s="1"/>
  <c r="BL37" i="7" a="1"/>
  <c r="BL37" i="7" s="1"/>
  <c r="BW35" i="7" a="1"/>
  <c r="BW35" i="7" s="1"/>
  <c r="BL31" i="7" a="1"/>
  <c r="BL31" i="7" s="1"/>
  <c r="BW29" i="7" a="1"/>
  <c r="BW29" i="7" s="1"/>
  <c r="BL48" i="7" a="1"/>
  <c r="BL48" i="7" s="1"/>
  <c r="BW46" i="7" a="1"/>
  <c r="BW46" i="7" s="1"/>
  <c r="BW40" i="7" a="1"/>
  <c r="BW40" i="7" s="1"/>
  <c r="BW34" i="7" a="1"/>
  <c r="BW34" i="7" s="1"/>
  <c r="BW48" i="7" a="1"/>
  <c r="BW48" i="7" s="1"/>
  <c r="BW45" i="7" a="1"/>
  <c r="BW45" i="7" s="1"/>
  <c r="BL42" i="7" a="1"/>
  <c r="BL42" i="7" s="1"/>
  <c r="BW39" i="7" a="1"/>
  <c r="BW39" i="7" s="1"/>
  <c r="BL36" i="7" a="1"/>
  <c r="BL36" i="7" s="1"/>
  <c r="BW33" i="7" a="1"/>
  <c r="BW33" i="7" s="1"/>
  <c r="BL30" i="7" a="1"/>
  <c r="BL30" i="7" s="1"/>
  <c r="BW27" i="7" a="1"/>
  <c r="BW27" i="7" s="1"/>
  <c r="BL51" i="7" a="1"/>
  <c r="BL51" i="7" s="1"/>
  <c r="BW44" i="7" a="1"/>
  <c r="BW44" i="7" s="1"/>
  <c r="BW38" i="7" a="1"/>
  <c r="BW38" i="7" s="1"/>
  <c r="BW32" i="7" a="1"/>
  <c r="BW32" i="7" s="1"/>
  <c r="BW26" i="7" a="1"/>
  <c r="BW26" i="7" s="1"/>
  <c r="BW43" i="7" a="1"/>
  <c r="BW43" i="7" s="1"/>
  <c r="BW37" i="7" a="1"/>
  <c r="BW37" i="7" s="1"/>
  <c r="BW31" i="7" a="1"/>
  <c r="BW31" i="7" s="1"/>
  <c r="BW25" i="7" a="1"/>
  <c r="BW25" i="7" s="1"/>
  <c r="BL63" i="7" a="1"/>
  <c r="BL63" i="7" s="1"/>
  <c r="BW42" i="7" a="1"/>
  <c r="BW42" i="7" s="1"/>
  <c r="BW36" i="7" a="1"/>
  <c r="BW36" i="7" s="1"/>
  <c r="BW30" i="7" a="1"/>
  <c r="BW30" i="7" s="1"/>
  <c r="BW47" i="7" a="1"/>
  <c r="BW47" i="7" s="1"/>
  <c r="BL41" i="7" a="1"/>
  <c r="BL41" i="7" s="1"/>
  <c r="BL35" i="7" a="1"/>
  <c r="BL35" i="7" s="1"/>
  <c r="BL29" i="7" a="1"/>
  <c r="BL29" i="7" s="1"/>
  <c r="BQ150" i="7" a="1"/>
  <c r="BQ150" i="7" s="1"/>
  <c r="BQ137" i="7" a="1"/>
  <c r="BQ137" i="7" s="1"/>
  <c r="BQ136" i="7" a="1"/>
  <c r="BQ136" i="7" s="1"/>
  <c r="BQ143" i="7" a="1"/>
  <c r="BQ143" i="7" s="1"/>
  <c r="BQ142" i="7" a="1"/>
  <c r="BQ142" i="7" s="1"/>
  <c r="BQ149" i="7" a="1"/>
  <c r="BQ149" i="7" s="1"/>
  <c r="BQ141" i="7" a="1"/>
  <c r="BQ141" i="7" s="1"/>
  <c r="BQ133" i="7" a="1"/>
  <c r="BQ133" i="7" s="1"/>
  <c r="BQ148" i="7" a="1"/>
  <c r="BQ148" i="7" s="1"/>
  <c r="BQ140" i="7" a="1"/>
  <c r="BQ140" i="7" s="1"/>
  <c r="BQ147" i="7" a="1"/>
  <c r="BQ147" i="7" s="1"/>
  <c r="BQ139" i="7" a="1"/>
  <c r="BQ139" i="7" s="1"/>
  <c r="BQ132" i="7" a="1"/>
  <c r="BQ132" i="7" s="1"/>
  <c r="BQ146" i="7" a="1"/>
  <c r="BQ146" i="7" s="1"/>
  <c r="BQ145" i="7" a="1"/>
  <c r="BQ145" i="7" s="1"/>
  <c r="BQ138" i="7" a="1"/>
  <c r="BQ138" i="7" s="1"/>
  <c r="BQ144" i="7" a="1"/>
  <c r="BQ144" i="7" s="1"/>
  <c r="BQ128" i="7" a="1"/>
  <c r="BQ128" i="7" s="1"/>
  <c r="BQ127" i="7" a="1"/>
  <c r="BQ127" i="7" s="1"/>
  <c r="BQ120" i="7" a="1"/>
  <c r="BQ120" i="7" s="1"/>
  <c r="BQ114" i="7" a="1"/>
  <c r="BQ114" i="7" s="1"/>
  <c r="BQ108" i="7" a="1"/>
  <c r="BQ108" i="7" s="1"/>
  <c r="BQ126" i="7" a="1"/>
  <c r="BQ126" i="7" s="1"/>
  <c r="BQ134" i="7" a="1"/>
  <c r="BQ134" i="7" s="1"/>
  <c r="BQ125" i="7" a="1"/>
  <c r="BQ125" i="7" s="1"/>
  <c r="BQ119" i="7" a="1"/>
  <c r="BQ119" i="7" s="1"/>
  <c r="BQ113" i="7" a="1"/>
  <c r="BQ113" i="7" s="1"/>
  <c r="BQ124" i="7" a="1"/>
  <c r="BQ124" i="7" s="1"/>
  <c r="BQ118" i="7" a="1"/>
  <c r="BQ118" i="7" s="1"/>
  <c r="BQ112" i="7" a="1"/>
  <c r="BQ112" i="7" s="1"/>
  <c r="BQ131" i="7" a="1"/>
  <c r="BQ131" i="7" s="1"/>
  <c r="BQ123" i="7" a="1"/>
  <c r="BQ123" i="7" s="1"/>
  <c r="BQ117" i="7" a="1"/>
  <c r="BQ117" i="7" s="1"/>
  <c r="BQ130" i="7" a="1"/>
  <c r="BQ130" i="7" s="1"/>
  <c r="BQ122" i="7" a="1"/>
  <c r="BQ122" i="7" s="1"/>
  <c r="BQ116" i="7" a="1"/>
  <c r="BQ116" i="7" s="1"/>
  <c r="BQ110" i="7" a="1"/>
  <c r="BQ110" i="7" s="1"/>
  <c r="BQ121" i="7" a="1"/>
  <c r="BQ121" i="7" s="1"/>
  <c r="BQ102" i="7" a="1"/>
  <c r="BQ102" i="7" s="1"/>
  <c r="BQ96" i="7" a="1"/>
  <c r="BQ96" i="7" s="1"/>
  <c r="BQ90" i="7" a="1"/>
  <c r="BQ90" i="7" s="1"/>
  <c r="BQ135" i="7" a="1"/>
  <c r="BQ135" i="7" s="1"/>
  <c r="BQ109" i="7" a="1"/>
  <c r="BQ109" i="7" s="1"/>
  <c r="BQ115" i="7" a="1"/>
  <c r="BQ115" i="7" s="1"/>
  <c r="BQ107" i="7" a="1"/>
  <c r="BQ107" i="7" s="1"/>
  <c r="BQ101" i="7" a="1"/>
  <c r="BQ101" i="7" s="1"/>
  <c r="BQ95" i="7" a="1"/>
  <c r="BQ95" i="7" s="1"/>
  <c r="BQ129" i="7" a="1"/>
  <c r="BQ129" i="7" s="1"/>
  <c r="BQ106" i="7" a="1"/>
  <c r="BQ106" i="7" s="1"/>
  <c r="BQ100" i="7" a="1"/>
  <c r="BQ100" i="7" s="1"/>
  <c r="BQ94" i="7" a="1"/>
  <c r="BQ94" i="7" s="1"/>
  <c r="BQ105" i="7" a="1"/>
  <c r="BQ105" i="7" s="1"/>
  <c r="BQ99" i="7" a="1"/>
  <c r="BQ99" i="7" s="1"/>
  <c r="BQ93" i="7" a="1"/>
  <c r="BQ93" i="7" s="1"/>
  <c r="BQ104" i="7" a="1"/>
  <c r="BQ104" i="7" s="1"/>
  <c r="BQ98" i="7" a="1"/>
  <c r="BQ98" i="7" s="1"/>
  <c r="BQ92" i="7" a="1"/>
  <c r="BQ92" i="7" s="1"/>
  <c r="BQ111" i="7" a="1"/>
  <c r="BQ111" i="7" s="1"/>
  <c r="BQ91" i="7" a="1"/>
  <c r="BQ91" i="7" s="1"/>
  <c r="BQ103" i="7" a="1"/>
  <c r="BQ103" i="7" s="1"/>
  <c r="BQ83" i="7" a="1"/>
  <c r="BQ83" i="7" s="1"/>
  <c r="BQ77" i="7" a="1"/>
  <c r="BQ77" i="7" s="1"/>
  <c r="BQ82" i="7" a="1"/>
  <c r="BQ82" i="7" s="1"/>
  <c r="BQ76" i="7" a="1"/>
  <c r="BQ76" i="7" s="1"/>
  <c r="BQ89" i="7" a="1"/>
  <c r="BQ89" i="7" s="1"/>
  <c r="BQ81" i="7" a="1"/>
  <c r="BQ81" i="7" s="1"/>
  <c r="BQ75" i="7" a="1"/>
  <c r="BQ75" i="7" s="1"/>
  <c r="BQ87" i="7" a="1"/>
  <c r="BQ87" i="7" s="1"/>
  <c r="BQ86" i="7" a="1"/>
  <c r="BQ86" i="7" s="1"/>
  <c r="BQ80" i="7" a="1"/>
  <c r="BQ80" i="7" s="1"/>
  <c r="BQ74" i="7" a="1"/>
  <c r="BQ74" i="7" s="1"/>
  <c r="BQ97" i="7" a="1"/>
  <c r="BQ97" i="7" s="1"/>
  <c r="BQ85" i="7" a="1"/>
  <c r="BQ85" i="7" s="1"/>
  <c r="BQ79" i="7" a="1"/>
  <c r="BQ79" i="7" s="1"/>
  <c r="BQ73" i="7" a="1"/>
  <c r="BQ73" i="7" s="1"/>
  <c r="BQ88" i="7" a="1"/>
  <c r="BQ88" i="7" s="1"/>
  <c r="BQ84" i="7" a="1"/>
  <c r="BQ84" i="7" s="1"/>
  <c r="BQ78" i="7" a="1"/>
  <c r="BQ78" i="7" s="1"/>
  <c r="BQ72" i="7" a="1"/>
  <c r="BQ72" i="7" s="1"/>
  <c r="BQ65" i="7" a="1"/>
  <c r="BQ65" i="7" s="1"/>
  <c r="BQ59" i="7" a="1"/>
  <c r="BQ59" i="7" s="1"/>
  <c r="BQ53" i="7" a="1"/>
  <c r="BQ53" i="7" s="1"/>
  <c r="BQ70" i="7" a="1"/>
  <c r="BQ70" i="7" s="1"/>
  <c r="BQ64" i="7" a="1"/>
  <c r="BQ64" i="7" s="1"/>
  <c r="BQ58" i="7" a="1"/>
  <c r="BQ58" i="7" s="1"/>
  <c r="BQ52" i="7" a="1"/>
  <c r="BQ52" i="7" s="1"/>
  <c r="BQ69" i="7" a="1"/>
  <c r="BQ69" i="7" s="1"/>
  <c r="BQ63" i="7" a="1"/>
  <c r="BQ63" i="7" s="1"/>
  <c r="BQ57" i="7" a="1"/>
  <c r="BQ57" i="7" s="1"/>
  <c r="BQ51" i="7" a="1"/>
  <c r="BQ51" i="7" s="1"/>
  <c r="BQ68" i="7" a="1"/>
  <c r="BQ68" i="7" s="1"/>
  <c r="BQ62" i="7" a="1"/>
  <c r="BQ62" i="7" s="1"/>
  <c r="BQ56" i="7" a="1"/>
  <c r="BQ56" i="7" s="1"/>
  <c r="BQ50" i="7" a="1"/>
  <c r="BQ50" i="7" s="1"/>
  <c r="BQ67" i="7" a="1"/>
  <c r="BQ67" i="7" s="1"/>
  <c r="BQ61" i="7" a="1"/>
  <c r="BQ61" i="7" s="1"/>
  <c r="BQ55" i="7" a="1"/>
  <c r="BQ55" i="7" s="1"/>
  <c r="BQ49" i="7" a="1"/>
  <c r="BQ49" i="7" s="1"/>
  <c r="BQ71" i="7" a="1"/>
  <c r="BQ71" i="7" s="1"/>
  <c r="BQ66" i="7" a="1"/>
  <c r="BQ66" i="7" s="1"/>
  <c r="BQ60" i="7" a="1"/>
  <c r="BQ60" i="7" s="1"/>
  <c r="BQ54" i="7" a="1"/>
  <c r="BQ54" i="7" s="1"/>
  <c r="BQ41" i="7" a="1"/>
  <c r="BQ41" i="7" s="1"/>
  <c r="BQ35" i="7" a="1"/>
  <c r="BQ35" i="7" s="1"/>
  <c r="BQ46" i="7" a="1"/>
  <c r="BQ46" i="7" s="1"/>
  <c r="BQ40" i="7" a="1"/>
  <c r="BQ40" i="7" s="1"/>
  <c r="BQ34" i="7" a="1"/>
  <c r="BQ34" i="7" s="1"/>
  <c r="BQ45" i="7" a="1"/>
  <c r="BQ45" i="7" s="1"/>
  <c r="BQ39" i="7" a="1"/>
  <c r="BQ39" i="7" s="1"/>
  <c r="BQ33" i="7" a="1"/>
  <c r="BQ33" i="7" s="1"/>
  <c r="BQ27" i="7" a="1"/>
  <c r="BQ27" i="7" s="1"/>
  <c r="BQ44" i="7" a="1"/>
  <c r="BQ44" i="7" s="1"/>
  <c r="BQ38" i="7" a="1"/>
  <c r="BQ38" i="7" s="1"/>
  <c r="BQ32" i="7" a="1"/>
  <c r="BQ32" i="7" s="1"/>
  <c r="BQ26" i="7" a="1"/>
  <c r="BQ26" i="7" s="1"/>
  <c r="BQ43" i="7" a="1"/>
  <c r="BQ43" i="7" s="1"/>
  <c r="BQ37" i="7" a="1"/>
  <c r="BQ37" i="7" s="1"/>
  <c r="BQ31" i="7" a="1"/>
  <c r="BQ31" i="7" s="1"/>
  <c r="BQ25" i="7" a="1"/>
  <c r="BQ25" i="7" s="1"/>
  <c r="BQ47" i="7" a="1"/>
  <c r="BQ47" i="7" s="1"/>
  <c r="BQ42" i="7" a="1"/>
  <c r="BQ42" i="7" s="1"/>
  <c r="BQ36" i="7" a="1"/>
  <c r="BQ36" i="7" s="1"/>
  <c r="BQ30" i="7" a="1"/>
  <c r="BQ30" i="7" s="1"/>
  <c r="BQ48" i="7" a="1"/>
  <c r="BQ48" i="7" s="1"/>
  <c r="BE19" i="7" a="1"/>
  <c r="BE19" i="7" s="1"/>
  <c r="BK19" i="7" a="1"/>
  <c r="BK19" i="7" s="1"/>
  <c r="BR19" i="7" a="1"/>
  <c r="BR19" i="7" s="1"/>
  <c r="BY19" i="7" a="1"/>
  <c r="BY19" i="7" s="1"/>
  <c r="BJ21" i="7" a="1"/>
  <c r="BJ21" i="7" s="1"/>
  <c r="BQ21" i="7" a="1"/>
  <c r="BQ21" i="7" s="1"/>
  <c r="BW21" i="7" a="1"/>
  <c r="BW21" i="7" s="1"/>
  <c r="BI23" i="7" a="1"/>
  <c r="BI23" i="7" s="1"/>
  <c r="BP23" i="7" a="1"/>
  <c r="BP23" i="7" s="1"/>
  <c r="BV23" i="7" a="1"/>
  <c r="BV23" i="7" s="1"/>
  <c r="BO26" i="7" a="1"/>
  <c r="BO26" i="7" s="1"/>
  <c r="BK27" i="7" a="1"/>
  <c r="BK27" i="7" s="1"/>
  <c r="BO28" i="7" a="1"/>
  <c r="BO28" i="7" s="1"/>
  <c r="BG38" i="7" a="1"/>
  <c r="BG38" i="7" s="1"/>
  <c r="BR143" i="7" a="1"/>
  <c r="BR143" i="7" s="1"/>
  <c r="BR135" i="7" a="1"/>
  <c r="BR135" i="7" s="1"/>
  <c r="BR142" i="7" a="1"/>
  <c r="BR142" i="7" s="1"/>
  <c r="BR134" i="7" a="1"/>
  <c r="BR134" i="7" s="1"/>
  <c r="BR149" i="7" a="1"/>
  <c r="BR149" i="7" s="1"/>
  <c r="BR141" i="7" a="1"/>
  <c r="BR141" i="7" s="1"/>
  <c r="BR148" i="7" a="1"/>
  <c r="BR148" i="7" s="1"/>
  <c r="BR140" i="7" a="1"/>
  <c r="BR140" i="7" s="1"/>
  <c r="BR147" i="7" a="1"/>
  <c r="BR147" i="7" s="1"/>
  <c r="BR139" i="7" a="1"/>
  <c r="BR139" i="7" s="1"/>
  <c r="BR146" i="7" a="1"/>
  <c r="BR146" i="7" s="1"/>
  <c r="BR145" i="7" a="1"/>
  <c r="BR145" i="7" s="1"/>
  <c r="BR138" i="7" a="1"/>
  <c r="BR138" i="7" s="1"/>
  <c r="BR144" i="7" a="1"/>
  <c r="BR144" i="7" s="1"/>
  <c r="BR150" i="7" a="1"/>
  <c r="BR150" i="7" s="1"/>
  <c r="BR137" i="7" a="1"/>
  <c r="BR137" i="7" s="1"/>
  <c r="BR126" i="7" a="1"/>
  <c r="BR126" i="7" s="1"/>
  <c r="BR132" i="7" a="1"/>
  <c r="BR132" i="7" s="1"/>
  <c r="BR125" i="7" a="1"/>
  <c r="BR125" i="7" s="1"/>
  <c r="BR119" i="7" a="1"/>
  <c r="BR119" i="7" s="1"/>
  <c r="BR113" i="7" a="1"/>
  <c r="BR113" i="7" s="1"/>
  <c r="BR124" i="7" a="1"/>
  <c r="BR124" i="7" s="1"/>
  <c r="BR118" i="7" a="1"/>
  <c r="BR118" i="7" s="1"/>
  <c r="BR112" i="7" a="1"/>
  <c r="BR112" i="7" s="1"/>
  <c r="BR133" i="7" a="1"/>
  <c r="BR133" i="7" s="1"/>
  <c r="BR131" i="7" a="1"/>
  <c r="BR131" i="7" s="1"/>
  <c r="BR123" i="7" a="1"/>
  <c r="BR123" i="7" s="1"/>
  <c r="BR117" i="7" a="1"/>
  <c r="BR117" i="7" s="1"/>
  <c r="BR136" i="7" a="1"/>
  <c r="BR136" i="7" s="1"/>
  <c r="BR130" i="7" a="1"/>
  <c r="BR130" i="7" s="1"/>
  <c r="BR122" i="7" a="1"/>
  <c r="BR122" i="7" s="1"/>
  <c r="BR116" i="7" a="1"/>
  <c r="BR116" i="7" s="1"/>
  <c r="BR110" i="7" a="1"/>
  <c r="BR110" i="7" s="1"/>
  <c r="BR129" i="7" a="1"/>
  <c r="BR129" i="7" s="1"/>
  <c r="BR121" i="7" a="1"/>
  <c r="BR121" i="7" s="1"/>
  <c r="BR115" i="7" a="1"/>
  <c r="BR115" i="7" s="1"/>
  <c r="BR128" i="7" a="1"/>
  <c r="BR128" i="7" s="1"/>
  <c r="BR109" i="7" a="1"/>
  <c r="BR109" i="7" s="1"/>
  <c r="BR114" i="7" a="1"/>
  <c r="BR114" i="7" s="1"/>
  <c r="BR107" i="7" a="1"/>
  <c r="BR107" i="7" s="1"/>
  <c r="BR101" i="7" a="1"/>
  <c r="BR101" i="7" s="1"/>
  <c r="BR95" i="7" a="1"/>
  <c r="BR95" i="7" s="1"/>
  <c r="BR89" i="7" a="1"/>
  <c r="BR89" i="7" s="1"/>
  <c r="BR127" i="7" a="1"/>
  <c r="BR127" i="7" s="1"/>
  <c r="BR106" i="7" a="1"/>
  <c r="BR106" i="7" s="1"/>
  <c r="BR100" i="7" a="1"/>
  <c r="BR100" i="7" s="1"/>
  <c r="BR94" i="7" a="1"/>
  <c r="BR94" i="7" s="1"/>
  <c r="BR88" i="7" a="1"/>
  <c r="BR88" i="7" s="1"/>
  <c r="BR105" i="7" a="1"/>
  <c r="BR105" i="7" s="1"/>
  <c r="BR99" i="7" a="1"/>
  <c r="BR99" i="7" s="1"/>
  <c r="BR93" i="7" a="1"/>
  <c r="BR93" i="7" s="1"/>
  <c r="BR108" i="7" a="1"/>
  <c r="BR108" i="7" s="1"/>
  <c r="BR104" i="7" a="1"/>
  <c r="BR104" i="7" s="1"/>
  <c r="BR98" i="7" a="1"/>
  <c r="BR98" i="7" s="1"/>
  <c r="BR92" i="7" a="1"/>
  <c r="BR92" i="7" s="1"/>
  <c r="BR103" i="7" a="1"/>
  <c r="BR103" i="7" s="1"/>
  <c r="BR97" i="7" a="1"/>
  <c r="BR97" i="7" s="1"/>
  <c r="BR91" i="7" a="1"/>
  <c r="BR91" i="7" s="1"/>
  <c r="BR111" i="7" a="1"/>
  <c r="BR111" i="7" s="1"/>
  <c r="BR120" i="7" a="1"/>
  <c r="BR120" i="7" s="1"/>
  <c r="BR102" i="7" a="1"/>
  <c r="BR102" i="7" s="1"/>
  <c r="BR83" i="7" a="1"/>
  <c r="BR83" i="7" s="1"/>
  <c r="BR77" i="7" a="1"/>
  <c r="BR77" i="7" s="1"/>
  <c r="BR82" i="7" a="1"/>
  <c r="BR82" i="7" s="1"/>
  <c r="BR76" i="7" a="1"/>
  <c r="BR76" i="7" s="1"/>
  <c r="BR81" i="7" a="1"/>
  <c r="BR81" i="7" s="1"/>
  <c r="BR75" i="7" a="1"/>
  <c r="BR75" i="7" s="1"/>
  <c r="BR87" i="7" a="1"/>
  <c r="BR87" i="7" s="1"/>
  <c r="BR86" i="7" a="1"/>
  <c r="BR86" i="7" s="1"/>
  <c r="BR80" i="7" a="1"/>
  <c r="BR80" i="7" s="1"/>
  <c r="BR74" i="7" a="1"/>
  <c r="BR74" i="7" s="1"/>
  <c r="BR96" i="7" a="1"/>
  <c r="BR96" i="7" s="1"/>
  <c r="BR85" i="7" a="1"/>
  <c r="BR85" i="7" s="1"/>
  <c r="BR79" i="7" a="1"/>
  <c r="BR79" i="7" s="1"/>
  <c r="BR73" i="7" a="1"/>
  <c r="BR73" i="7" s="1"/>
  <c r="BR84" i="7" a="1"/>
  <c r="BR84" i="7" s="1"/>
  <c r="BR78" i="7" a="1"/>
  <c r="BR78" i="7" s="1"/>
  <c r="BR72" i="7" a="1"/>
  <c r="BR72" i="7" s="1"/>
  <c r="BR70" i="7" a="1"/>
  <c r="BR70" i="7" s="1"/>
  <c r="BR64" i="7" a="1"/>
  <c r="BR64" i="7" s="1"/>
  <c r="BR58" i="7" a="1"/>
  <c r="BR58" i="7" s="1"/>
  <c r="BR52" i="7" a="1"/>
  <c r="BR52" i="7" s="1"/>
  <c r="BR69" i="7" a="1"/>
  <c r="BR69" i="7" s="1"/>
  <c r="BR63" i="7" a="1"/>
  <c r="BR63" i="7" s="1"/>
  <c r="BR57" i="7" a="1"/>
  <c r="BR57" i="7" s="1"/>
  <c r="BR51" i="7" a="1"/>
  <c r="BR51" i="7" s="1"/>
  <c r="BR68" i="7" a="1"/>
  <c r="BR68" i="7" s="1"/>
  <c r="BR62" i="7" a="1"/>
  <c r="BR62" i="7" s="1"/>
  <c r="BR56" i="7" a="1"/>
  <c r="BR56" i="7" s="1"/>
  <c r="BR50" i="7" a="1"/>
  <c r="BR50" i="7" s="1"/>
  <c r="BR67" i="7" a="1"/>
  <c r="BR67" i="7" s="1"/>
  <c r="BR61" i="7" a="1"/>
  <c r="BR61" i="7" s="1"/>
  <c r="BR55" i="7" a="1"/>
  <c r="BR55" i="7" s="1"/>
  <c r="BR49" i="7" a="1"/>
  <c r="BR49" i="7" s="1"/>
  <c r="BR71" i="7" a="1"/>
  <c r="BR71" i="7" s="1"/>
  <c r="BR66" i="7" a="1"/>
  <c r="BR66" i="7" s="1"/>
  <c r="BR60" i="7" a="1"/>
  <c r="BR60" i="7" s="1"/>
  <c r="BR54" i="7" a="1"/>
  <c r="BR54" i="7" s="1"/>
  <c r="BR48" i="7" a="1"/>
  <c r="BR48" i="7" s="1"/>
  <c r="BR90" i="7" a="1"/>
  <c r="BR90" i="7" s="1"/>
  <c r="BR41" i="7" a="1"/>
  <c r="BR41" i="7" s="1"/>
  <c r="BR35" i="7" a="1"/>
  <c r="BR35" i="7" s="1"/>
  <c r="BR29" i="7" a="1"/>
  <c r="BR29" i="7" s="1"/>
  <c r="BR46" i="7" a="1"/>
  <c r="BR46" i="7" s="1"/>
  <c r="BR40" i="7" a="1"/>
  <c r="BR40" i="7" s="1"/>
  <c r="BR34" i="7" a="1"/>
  <c r="BR34" i="7" s="1"/>
  <c r="BR28" i="7" a="1"/>
  <c r="BR28" i="7" s="1"/>
  <c r="BR59" i="7" a="1"/>
  <c r="BR59" i="7" s="1"/>
  <c r="BR45" i="7" a="1"/>
  <c r="BR45" i="7" s="1"/>
  <c r="BR39" i="7" a="1"/>
  <c r="BR39" i="7" s="1"/>
  <c r="BR33" i="7" a="1"/>
  <c r="BR33" i="7" s="1"/>
  <c r="BR44" i="7" a="1"/>
  <c r="BR44" i="7" s="1"/>
  <c r="BR38" i="7" a="1"/>
  <c r="BR38" i="7" s="1"/>
  <c r="BR32" i="7" a="1"/>
  <c r="BR32" i="7" s="1"/>
  <c r="BR43" i="7" a="1"/>
  <c r="BR43" i="7" s="1"/>
  <c r="BR37" i="7" a="1"/>
  <c r="BR37" i="7" s="1"/>
  <c r="BR31" i="7" a="1"/>
  <c r="BR31" i="7" s="1"/>
  <c r="BR25" i="7" a="1"/>
  <c r="BR25" i="7" s="1"/>
  <c r="BR47" i="7" a="1"/>
  <c r="BR47" i="7" s="1"/>
  <c r="BR42" i="7" a="1"/>
  <c r="BR42" i="7" s="1"/>
  <c r="BR36" i="7" a="1"/>
  <c r="BR36" i="7" s="1"/>
  <c r="BR30" i="7" a="1"/>
  <c r="BR30" i="7" s="1"/>
  <c r="BR24" i="7" a="1"/>
  <c r="BR24" i="7" s="1"/>
  <c r="BR53" i="7" a="1"/>
  <c r="BR53" i="7" s="1"/>
  <c r="BR65" i="7" a="1"/>
  <c r="BR65" i="7" s="1"/>
  <c r="BE20" i="7" a="1"/>
  <c r="BE20" i="7" s="1"/>
  <c r="BK20" i="7" a="1"/>
  <c r="BK20" i="7" s="1"/>
  <c r="BR20" i="7" a="1"/>
  <c r="BR20" i="7" s="1"/>
  <c r="BY20" i="7" a="1"/>
  <c r="BY20" i="7" s="1"/>
  <c r="BJ22" i="7" a="1"/>
  <c r="BJ22" i="7" s="1"/>
  <c r="BQ22" i="7" a="1"/>
  <c r="BQ22" i="7" s="1"/>
  <c r="BW22" i="7" a="1"/>
  <c r="BW22" i="7" s="1"/>
  <c r="BN24" i="7" a="1"/>
  <c r="BN24" i="7" s="1"/>
  <c r="BP26" i="7" a="1"/>
  <c r="BP26" i="7" s="1"/>
  <c r="BQ28" i="7" a="1"/>
  <c r="BQ28" i="7" s="1"/>
  <c r="BJ29" i="7" a="1"/>
  <c r="BJ29" i="7" s="1"/>
  <c r="BN38" i="7" a="1"/>
  <c r="BN38" i="7" s="1"/>
  <c r="BF46" i="7" a="1"/>
  <c r="BF46" i="7" s="1"/>
  <c r="BO60" i="7" a="1"/>
  <c r="BO60" i="7" s="1"/>
  <c r="BS149" i="7" a="1"/>
  <c r="BS149" i="7" s="1"/>
  <c r="BS141" i="7" a="1"/>
  <c r="BS141" i="7" s="1"/>
  <c r="BS133" i="7" a="1"/>
  <c r="BS133" i="7" s="1"/>
  <c r="BS148" i="7" a="1"/>
  <c r="BS148" i="7" s="1"/>
  <c r="BS140" i="7" a="1"/>
  <c r="BS140" i="7" s="1"/>
  <c r="BS147" i="7" a="1"/>
  <c r="BS147" i="7" s="1"/>
  <c r="BS139" i="7" a="1"/>
  <c r="BS139" i="7" s="1"/>
  <c r="BS146" i="7" a="1"/>
  <c r="BS146" i="7" s="1"/>
  <c r="BS145" i="7" a="1"/>
  <c r="BS145" i="7" s="1"/>
  <c r="BS138" i="7" a="1"/>
  <c r="BS138" i="7" s="1"/>
  <c r="BS144" i="7" a="1"/>
  <c r="BS144" i="7" s="1"/>
  <c r="BS150" i="7" a="1"/>
  <c r="BS150" i="7" s="1"/>
  <c r="BS137" i="7" a="1"/>
  <c r="BS137" i="7" s="1"/>
  <c r="BS136" i="7" a="1"/>
  <c r="BS136" i="7" s="1"/>
  <c r="BS143" i="7" a="1"/>
  <c r="BS143" i="7" s="1"/>
  <c r="BS135" i="7" a="1"/>
  <c r="BS135" i="7" s="1"/>
  <c r="BS132" i="7" a="1"/>
  <c r="BS132" i="7" s="1"/>
  <c r="BS125" i="7" a="1"/>
  <c r="BS125" i="7" s="1"/>
  <c r="BS119" i="7" a="1"/>
  <c r="BS119" i="7" s="1"/>
  <c r="BS113" i="7" a="1"/>
  <c r="BS113" i="7" s="1"/>
  <c r="BS134" i="7" a="1"/>
  <c r="BS134" i="7" s="1"/>
  <c r="BS124" i="7" a="1"/>
  <c r="BS124" i="7" s="1"/>
  <c r="BS118" i="7" a="1"/>
  <c r="BS118" i="7" s="1"/>
  <c r="BS112" i="7" a="1"/>
  <c r="BS112" i="7" s="1"/>
  <c r="BS131" i="7" a="1"/>
  <c r="BS131" i="7" s="1"/>
  <c r="BS123" i="7" a="1"/>
  <c r="BS123" i="7" s="1"/>
  <c r="BS117" i="7" a="1"/>
  <c r="BS117" i="7" s="1"/>
  <c r="BS111" i="7" a="1"/>
  <c r="BS111" i="7" s="1"/>
  <c r="BS130" i="7" a="1"/>
  <c r="BS130" i="7" s="1"/>
  <c r="BS122" i="7" a="1"/>
  <c r="BS122" i="7" s="1"/>
  <c r="BS116" i="7" a="1"/>
  <c r="BS116" i="7" s="1"/>
  <c r="BS110" i="7" a="1"/>
  <c r="BS110" i="7" s="1"/>
  <c r="BS129" i="7" a="1"/>
  <c r="BS129" i="7" s="1"/>
  <c r="BS121" i="7" a="1"/>
  <c r="BS121" i="7" s="1"/>
  <c r="BS115" i="7" a="1"/>
  <c r="BS115" i="7" s="1"/>
  <c r="BS142" i="7" a="1"/>
  <c r="BS142" i="7" s="1"/>
  <c r="BS128" i="7" a="1"/>
  <c r="BS128" i="7" s="1"/>
  <c r="BS127" i="7" a="1"/>
  <c r="BS127" i="7" s="1"/>
  <c r="BS120" i="7" a="1"/>
  <c r="BS120" i="7" s="1"/>
  <c r="BS114" i="7" a="1"/>
  <c r="BS114" i="7" s="1"/>
  <c r="BS109" i="7" a="1"/>
  <c r="BS109" i="7" s="1"/>
  <c r="BS126" i="7" a="1"/>
  <c r="BS126" i="7" s="1"/>
  <c r="BS107" i="7" a="1"/>
  <c r="BS107" i="7" s="1"/>
  <c r="BS101" i="7" a="1"/>
  <c r="BS101" i="7" s="1"/>
  <c r="BS95" i="7" a="1"/>
  <c r="BS95" i="7" s="1"/>
  <c r="BS106" i="7" a="1"/>
  <c r="BS106" i="7" s="1"/>
  <c r="BS100" i="7" a="1"/>
  <c r="BS100" i="7" s="1"/>
  <c r="BS94" i="7" a="1"/>
  <c r="BS94" i="7" s="1"/>
  <c r="BS105" i="7" a="1"/>
  <c r="BS105" i="7" s="1"/>
  <c r="BS99" i="7" a="1"/>
  <c r="BS99" i="7" s="1"/>
  <c r="BS93" i="7" a="1"/>
  <c r="BS93" i="7" s="1"/>
  <c r="BS87" i="7" a="1"/>
  <c r="BS87" i="7" s="1"/>
  <c r="BS108" i="7" a="1"/>
  <c r="BS108" i="7" s="1"/>
  <c r="BS104" i="7" a="1"/>
  <c r="BS104" i="7" s="1"/>
  <c r="BS98" i="7" a="1"/>
  <c r="BS98" i="7" s="1"/>
  <c r="BS92" i="7" a="1"/>
  <c r="BS92" i="7" s="1"/>
  <c r="BS86" i="7" a="1"/>
  <c r="BS86" i="7" s="1"/>
  <c r="BS103" i="7" a="1"/>
  <c r="BS103" i="7" s="1"/>
  <c r="BS97" i="7" a="1"/>
  <c r="BS97" i="7" s="1"/>
  <c r="BS91" i="7" a="1"/>
  <c r="BS91" i="7" s="1"/>
  <c r="BS102" i="7" a="1"/>
  <c r="BS102" i="7" s="1"/>
  <c r="BS96" i="7" a="1"/>
  <c r="BS96" i="7" s="1"/>
  <c r="BS90" i="7" a="1"/>
  <c r="BS90" i="7" s="1"/>
  <c r="BS83" i="7" a="1"/>
  <c r="BS83" i="7" s="1"/>
  <c r="BS77" i="7" a="1"/>
  <c r="BS77" i="7" s="1"/>
  <c r="BS71" i="7" a="1"/>
  <c r="BS71" i="7" s="1"/>
  <c r="BS82" i="7" a="1"/>
  <c r="BS82" i="7" s="1"/>
  <c r="BS76" i="7" a="1"/>
  <c r="BS76" i="7" s="1"/>
  <c r="BS81" i="7" a="1"/>
  <c r="BS81" i="7" s="1"/>
  <c r="BS75" i="7" a="1"/>
  <c r="BS75" i="7" s="1"/>
  <c r="BS80" i="7" a="1"/>
  <c r="BS80" i="7" s="1"/>
  <c r="BS74" i="7" a="1"/>
  <c r="BS74" i="7" s="1"/>
  <c r="BS89" i="7" a="1"/>
  <c r="BS89" i="7" s="1"/>
  <c r="BS85" i="7" a="1"/>
  <c r="BS85" i="7" s="1"/>
  <c r="BS79" i="7" a="1"/>
  <c r="BS79" i="7" s="1"/>
  <c r="BS73" i="7" a="1"/>
  <c r="BS73" i="7" s="1"/>
  <c r="BS84" i="7" a="1"/>
  <c r="BS84" i="7" s="1"/>
  <c r="BS78" i="7" a="1"/>
  <c r="BS78" i="7" s="1"/>
  <c r="BS72" i="7" a="1"/>
  <c r="BS72" i="7" s="1"/>
  <c r="BS88" i="7" a="1"/>
  <c r="BS88" i="7" s="1"/>
  <c r="BS68" i="7" a="1"/>
  <c r="BS68" i="7" s="1"/>
  <c r="BS62" i="7" a="1"/>
  <c r="BS62" i="7" s="1"/>
  <c r="BS56" i="7" a="1"/>
  <c r="BS56" i="7" s="1"/>
  <c r="BS50" i="7" a="1"/>
  <c r="BS50" i="7" s="1"/>
  <c r="BS67" i="7" a="1"/>
  <c r="BS67" i="7" s="1"/>
  <c r="BS61" i="7" a="1"/>
  <c r="BS61" i="7" s="1"/>
  <c r="BS55" i="7" a="1"/>
  <c r="BS55" i="7" s="1"/>
  <c r="BS49" i="7" a="1"/>
  <c r="BS49" i="7" s="1"/>
  <c r="BS66" i="7" a="1"/>
  <c r="BS66" i="7" s="1"/>
  <c r="BS60" i="7" a="1"/>
  <c r="BS60" i="7" s="1"/>
  <c r="BS54" i="7" a="1"/>
  <c r="BS54" i="7" s="1"/>
  <c r="BS65" i="7" a="1"/>
  <c r="BS65" i="7" s="1"/>
  <c r="BS59" i="7" a="1"/>
  <c r="BS59" i="7" s="1"/>
  <c r="BS53" i="7" a="1"/>
  <c r="BS53" i="7" s="1"/>
  <c r="BS70" i="7" a="1"/>
  <c r="BS70" i="7" s="1"/>
  <c r="BS64" i="7" a="1"/>
  <c r="BS64" i="7" s="1"/>
  <c r="BS58" i="7" a="1"/>
  <c r="BS58" i="7" s="1"/>
  <c r="BS52" i="7" a="1"/>
  <c r="BS52" i="7" s="1"/>
  <c r="BS45" i="7" a="1"/>
  <c r="BS45" i="7" s="1"/>
  <c r="BS39" i="7" a="1"/>
  <c r="BS39" i="7" s="1"/>
  <c r="BS33" i="7" a="1"/>
  <c r="BS33" i="7" s="1"/>
  <c r="BS27" i="7" a="1"/>
  <c r="BS27" i="7" s="1"/>
  <c r="BS69" i="7" a="1"/>
  <c r="BS69" i="7" s="1"/>
  <c r="BS44" i="7" a="1"/>
  <c r="BS44" i="7" s="1"/>
  <c r="BS38" i="7" a="1"/>
  <c r="BS38" i="7" s="1"/>
  <c r="BS32" i="7" a="1"/>
  <c r="BS32" i="7" s="1"/>
  <c r="BS26" i="7" a="1"/>
  <c r="BS26" i="7" s="1"/>
  <c r="BS43" i="7" a="1"/>
  <c r="BS43" i="7" s="1"/>
  <c r="BS37" i="7" a="1"/>
  <c r="BS37" i="7" s="1"/>
  <c r="BS31" i="7" a="1"/>
  <c r="BS31" i="7" s="1"/>
  <c r="BS47" i="7" a="1"/>
  <c r="BS47" i="7" s="1"/>
  <c r="BS51" i="7" a="1"/>
  <c r="BS51" i="7" s="1"/>
  <c r="BS42" i="7" a="1"/>
  <c r="BS42" i="7" s="1"/>
  <c r="BS36" i="7" a="1"/>
  <c r="BS36" i="7" s="1"/>
  <c r="BS30" i="7" a="1"/>
  <c r="BS30" i="7" s="1"/>
  <c r="BS63" i="7" a="1"/>
  <c r="BS63" i="7" s="1"/>
  <c r="BS48" i="7" a="1"/>
  <c r="BS48" i="7" s="1"/>
  <c r="BS41" i="7" a="1"/>
  <c r="BS41" i="7" s="1"/>
  <c r="BS35" i="7" a="1"/>
  <c r="BS35" i="7" s="1"/>
  <c r="BS29" i="7" a="1"/>
  <c r="BS29" i="7" s="1"/>
  <c r="BF19" i="7" a="1"/>
  <c r="BF19" i="7" s="1"/>
  <c r="BL19" i="7" a="1"/>
  <c r="BL19" i="7" s="1"/>
  <c r="BS19" i="7" a="1"/>
  <c r="BS19" i="7" s="1"/>
  <c r="BZ19" i="7" a="1"/>
  <c r="BZ19" i="7" s="1"/>
  <c r="BE21" i="7" a="1"/>
  <c r="BE21" i="7" s="1"/>
  <c r="BK21" i="7" a="1"/>
  <c r="BK21" i="7" s="1"/>
  <c r="BR21" i="7" a="1"/>
  <c r="BR21" i="7" s="1"/>
  <c r="BY21" i="7" a="1"/>
  <c r="BY21" i="7" s="1"/>
  <c r="BJ23" i="7" a="1"/>
  <c r="BJ23" i="7" s="1"/>
  <c r="BQ23" i="7" a="1"/>
  <c r="BQ23" i="7" s="1"/>
  <c r="BW23" i="7" a="1"/>
  <c r="BW23" i="7" s="1"/>
  <c r="BS25" i="7" a="1"/>
  <c r="BS25" i="7" s="1"/>
  <c r="BR26" i="7" a="1"/>
  <c r="BR26" i="7" s="1"/>
  <c r="BT38" i="7" a="1"/>
  <c r="BT38" i="7" s="1"/>
  <c r="BL46" i="7" a="1"/>
  <c r="BL46" i="7" s="1"/>
  <c r="BF20" i="7" a="1"/>
  <c r="BF20" i="7" s="1"/>
  <c r="BE22" i="7" a="1"/>
  <c r="BE22" i="7" s="1"/>
  <c r="BK22" i="7" a="1"/>
  <c r="BK22" i="7" s="1"/>
  <c r="BR22" i="7" a="1"/>
  <c r="BR22" i="7" s="1"/>
  <c r="BY22" i="7" a="1"/>
  <c r="BY22" i="7" s="1"/>
  <c r="BF24" i="7" a="1"/>
  <c r="BF24" i="7" s="1"/>
  <c r="BF25" i="7" a="1"/>
  <c r="BF25" i="7" s="1"/>
  <c r="BS28" i="7" a="1"/>
  <c r="BS28" i="7" s="1"/>
  <c r="BF34" i="7" a="1"/>
  <c r="BF34" i="7" s="1"/>
  <c r="BS46" i="7" a="1"/>
  <c r="BS46" i="7" s="1"/>
  <c r="BS57" i="7" a="1"/>
  <c r="BS57" i="7" s="1"/>
  <c r="BT147" i="7" a="1"/>
  <c r="BT147" i="7" s="1"/>
  <c r="BT139" i="7" a="1"/>
  <c r="BT139" i="7" s="1"/>
  <c r="BT132" i="7" a="1"/>
  <c r="BT132" i="7" s="1"/>
  <c r="BT146" i="7" a="1"/>
  <c r="BT146" i="7" s="1"/>
  <c r="BT145" i="7" a="1"/>
  <c r="BT145" i="7" s="1"/>
  <c r="BT138" i="7" a="1"/>
  <c r="BT138" i="7" s="1"/>
  <c r="BT144" i="7" a="1"/>
  <c r="BT144" i="7" s="1"/>
  <c r="BT150" i="7" a="1"/>
  <c r="BT150" i="7" s="1"/>
  <c r="BT137" i="7" a="1"/>
  <c r="BT137" i="7" s="1"/>
  <c r="BT136" i="7" a="1"/>
  <c r="BT136" i="7" s="1"/>
  <c r="BT143" i="7" a="1"/>
  <c r="BT143" i="7" s="1"/>
  <c r="BT135" i="7" a="1"/>
  <c r="BT135" i="7" s="1"/>
  <c r="BT142" i="7" a="1"/>
  <c r="BT142" i="7" s="1"/>
  <c r="BT134" i="7" a="1"/>
  <c r="BT134" i="7" s="1"/>
  <c r="BT149" i="7" a="1"/>
  <c r="BT149" i="7" s="1"/>
  <c r="BT141" i="7" a="1"/>
  <c r="BT141" i="7" s="1"/>
  <c r="BT133" i="7" a="1"/>
  <c r="BT133" i="7" s="1"/>
  <c r="BT125" i="7" a="1"/>
  <c r="BT125" i="7" s="1"/>
  <c r="BT119" i="7" a="1"/>
  <c r="BT119" i="7" s="1"/>
  <c r="BT113" i="7" a="1"/>
  <c r="BT113" i="7" s="1"/>
  <c r="BT124" i="7" a="1"/>
  <c r="BT124" i="7" s="1"/>
  <c r="BT118" i="7" a="1"/>
  <c r="BT118" i="7" s="1"/>
  <c r="BT131" i="7" a="1"/>
  <c r="BT131" i="7" s="1"/>
  <c r="BT123" i="7" a="1"/>
  <c r="BT123" i="7" s="1"/>
  <c r="BT117" i="7" a="1"/>
  <c r="BT117" i="7" s="1"/>
  <c r="BT140" i="7" a="1"/>
  <c r="BT140" i="7" s="1"/>
  <c r="BT130" i="7" a="1"/>
  <c r="BT130" i="7" s="1"/>
  <c r="BT122" i="7" a="1"/>
  <c r="BT122" i="7" s="1"/>
  <c r="BT116" i="7" a="1"/>
  <c r="BT116" i="7" s="1"/>
  <c r="BT110" i="7" a="1"/>
  <c r="BT110" i="7" s="1"/>
  <c r="BT129" i="7" a="1"/>
  <c r="BT129" i="7" s="1"/>
  <c r="BT121" i="7" a="1"/>
  <c r="BT121" i="7" s="1"/>
  <c r="BT115" i="7" a="1"/>
  <c r="BT115" i="7" s="1"/>
  <c r="BT109" i="7" a="1"/>
  <c r="BT109" i="7" s="1"/>
  <c r="BT128" i="7" a="1"/>
  <c r="BT128" i="7" s="1"/>
  <c r="BT127" i="7" a="1"/>
  <c r="BT127" i="7" s="1"/>
  <c r="BT120" i="7" a="1"/>
  <c r="BT120" i="7" s="1"/>
  <c r="BT114" i="7" a="1"/>
  <c r="BT114" i="7" s="1"/>
  <c r="BT126" i="7" a="1"/>
  <c r="BT126" i="7" s="1"/>
  <c r="BT107" i="7" a="1"/>
  <c r="BT107" i="7" s="1"/>
  <c r="BT101" i="7" a="1"/>
  <c r="BT101" i="7" s="1"/>
  <c r="BT95" i="7" a="1"/>
  <c r="BT95" i="7" s="1"/>
  <c r="BT89" i="7" a="1"/>
  <c r="BT89" i="7" s="1"/>
  <c r="BT106" i="7" a="1"/>
  <c r="BT106" i="7" s="1"/>
  <c r="BT100" i="7" a="1"/>
  <c r="BT100" i="7" s="1"/>
  <c r="BT94" i="7" a="1"/>
  <c r="BT94" i="7" s="1"/>
  <c r="BT112" i="7" a="1"/>
  <c r="BT112" i="7" s="1"/>
  <c r="BT105" i="7" a="1"/>
  <c r="BT105" i="7" s="1"/>
  <c r="BT99" i="7" a="1"/>
  <c r="BT99" i="7" s="1"/>
  <c r="BT93" i="7" a="1"/>
  <c r="BT93" i="7" s="1"/>
  <c r="BT108" i="7" a="1"/>
  <c r="BT108" i="7" s="1"/>
  <c r="BT104" i="7" a="1"/>
  <c r="BT104" i="7" s="1"/>
  <c r="BT98" i="7" a="1"/>
  <c r="BT98" i="7" s="1"/>
  <c r="BT92" i="7" a="1"/>
  <c r="BT92" i="7" s="1"/>
  <c r="BT103" i="7" a="1"/>
  <c r="BT103" i="7" s="1"/>
  <c r="BT97" i="7" a="1"/>
  <c r="BT97" i="7" s="1"/>
  <c r="BT91" i="7" a="1"/>
  <c r="BT91" i="7" s="1"/>
  <c r="BT102" i="7" a="1"/>
  <c r="BT102" i="7" s="1"/>
  <c r="BT96" i="7" a="1"/>
  <c r="BT96" i="7" s="1"/>
  <c r="BT90" i="7" a="1"/>
  <c r="BT90" i="7" s="1"/>
  <c r="BT148" i="7" a="1"/>
  <c r="BT148" i="7" s="1"/>
  <c r="BT111" i="7" a="1"/>
  <c r="BT111" i="7" s="1"/>
  <c r="BT81" i="7" a="1"/>
  <c r="BT81" i="7" s="1"/>
  <c r="BT75" i="7" a="1"/>
  <c r="BT75" i="7" s="1"/>
  <c r="BT80" i="7" a="1"/>
  <c r="BT80" i="7" s="1"/>
  <c r="BT74" i="7" a="1"/>
  <c r="BT74" i="7" s="1"/>
  <c r="BT86" i="7" a="1"/>
  <c r="BT86" i="7" s="1"/>
  <c r="BT85" i="7" a="1"/>
  <c r="BT85" i="7" s="1"/>
  <c r="BT79" i="7" a="1"/>
  <c r="BT79" i="7" s="1"/>
  <c r="BT73" i="7" a="1"/>
  <c r="BT73" i="7" s="1"/>
  <c r="BT87" i="7" a="1"/>
  <c r="BT87" i="7" s="1"/>
  <c r="BT84" i="7" a="1"/>
  <c r="BT84" i="7" s="1"/>
  <c r="BT78" i="7" a="1"/>
  <c r="BT78" i="7" s="1"/>
  <c r="BT72" i="7" a="1"/>
  <c r="BT72" i="7" s="1"/>
  <c r="BT88" i="7" a="1"/>
  <c r="BT88" i="7" s="1"/>
  <c r="BT83" i="7" a="1"/>
  <c r="BT83" i="7" s="1"/>
  <c r="BT77" i="7" a="1"/>
  <c r="BT77" i="7" s="1"/>
  <c r="BT71" i="7" a="1"/>
  <c r="BT71" i="7" s="1"/>
  <c r="BT66" i="7" a="1"/>
  <c r="BT66" i="7" s="1"/>
  <c r="BT60" i="7" a="1"/>
  <c r="BT60" i="7" s="1"/>
  <c r="BT54" i="7" a="1"/>
  <c r="BT54" i="7" s="1"/>
  <c r="BT48" i="7" a="1"/>
  <c r="BT48" i="7" s="1"/>
  <c r="BT82" i="7" a="1"/>
  <c r="BT82" i="7" s="1"/>
  <c r="BT65" i="7" a="1"/>
  <c r="BT65" i="7" s="1"/>
  <c r="BT59" i="7" a="1"/>
  <c r="BT59" i="7" s="1"/>
  <c r="BT53" i="7" a="1"/>
  <c r="BT53" i="7" s="1"/>
  <c r="BT70" i="7" a="1"/>
  <c r="BT70" i="7" s="1"/>
  <c r="BT64" i="7" a="1"/>
  <c r="BT64" i="7" s="1"/>
  <c r="BT58" i="7" a="1"/>
  <c r="BT58" i="7" s="1"/>
  <c r="BT52" i="7" a="1"/>
  <c r="BT52" i="7" s="1"/>
  <c r="BT76" i="7" a="1"/>
  <c r="BT76" i="7" s="1"/>
  <c r="BT69" i="7" a="1"/>
  <c r="BT69" i="7" s="1"/>
  <c r="BT63" i="7" a="1"/>
  <c r="BT63" i="7" s="1"/>
  <c r="BT57" i="7" a="1"/>
  <c r="BT57" i="7" s="1"/>
  <c r="BT51" i="7" a="1"/>
  <c r="BT51" i="7" s="1"/>
  <c r="BT68" i="7" a="1"/>
  <c r="BT68" i="7" s="1"/>
  <c r="BT62" i="7" a="1"/>
  <c r="BT62" i="7" s="1"/>
  <c r="BT56" i="7" a="1"/>
  <c r="BT56" i="7" s="1"/>
  <c r="BT50" i="7" a="1"/>
  <c r="BT50" i="7" s="1"/>
  <c r="BT49" i="7" a="1"/>
  <c r="BT49" i="7" s="1"/>
  <c r="BT43" i="7" a="1"/>
  <c r="BT43" i="7" s="1"/>
  <c r="BT37" i="7" a="1"/>
  <c r="BT37" i="7" s="1"/>
  <c r="BT31" i="7" a="1"/>
  <c r="BT31" i="7" s="1"/>
  <c r="BT25" i="7" a="1"/>
  <c r="BT25" i="7" s="1"/>
  <c r="BT47" i="7" a="1"/>
  <c r="BT47" i="7" s="1"/>
  <c r="BT61" i="7" a="1"/>
  <c r="BT61" i="7" s="1"/>
  <c r="BT42" i="7" a="1"/>
  <c r="BT42" i="7" s="1"/>
  <c r="BT36" i="7" a="1"/>
  <c r="BT36" i="7" s="1"/>
  <c r="BT30" i="7" a="1"/>
  <c r="BT30" i="7" s="1"/>
  <c r="BT55" i="7" a="1"/>
  <c r="BT55" i="7" s="1"/>
  <c r="BT41" i="7" a="1"/>
  <c r="BT41" i="7" s="1"/>
  <c r="BT35" i="7" a="1"/>
  <c r="BT35" i="7" s="1"/>
  <c r="BT29" i="7" a="1"/>
  <c r="BT29" i="7" s="1"/>
  <c r="BT67" i="7" a="1"/>
  <c r="BT67" i="7" s="1"/>
  <c r="BT46" i="7" a="1"/>
  <c r="BT46" i="7" s="1"/>
  <c r="BT40" i="7" a="1"/>
  <c r="BT40" i="7" s="1"/>
  <c r="BT34" i="7" a="1"/>
  <c r="BT34" i="7" s="1"/>
  <c r="BT28" i="7" a="1"/>
  <c r="BT28" i="7" s="1"/>
  <c r="BT45" i="7" a="1"/>
  <c r="BT45" i="7" s="1"/>
  <c r="BT39" i="7" a="1"/>
  <c r="BT39" i="7" s="1"/>
  <c r="BT33" i="7" a="1"/>
  <c r="BT33" i="7" s="1"/>
  <c r="BT27" i="7" a="1"/>
  <c r="BT27" i="7" s="1"/>
  <c r="BL20" i="7" a="1"/>
  <c r="BL20" i="7" s="1"/>
  <c r="BU145" i="7" a="1"/>
  <c r="BU145" i="7" s="1"/>
  <c r="BU138" i="7" a="1"/>
  <c r="BU138" i="7" s="1"/>
  <c r="BU144" i="7" a="1"/>
  <c r="BU144" i="7" s="1"/>
  <c r="BU150" i="7" a="1"/>
  <c r="BU150" i="7" s="1"/>
  <c r="BU137" i="7" a="1"/>
  <c r="BU137" i="7" s="1"/>
  <c r="BU136" i="7" a="1"/>
  <c r="BU136" i="7" s="1"/>
  <c r="BU143" i="7" a="1"/>
  <c r="BU143" i="7" s="1"/>
  <c r="BU135" i="7" a="1"/>
  <c r="BU135" i="7" s="1"/>
  <c r="BU142" i="7" a="1"/>
  <c r="BU142" i="7" s="1"/>
  <c r="BU134" i="7" a="1"/>
  <c r="BU134" i="7" s="1"/>
  <c r="BU149" i="7" a="1"/>
  <c r="BU149" i="7" s="1"/>
  <c r="BU141" i="7" a="1"/>
  <c r="BU141" i="7" s="1"/>
  <c r="BU133" i="7" a="1"/>
  <c r="BU133" i="7" s="1"/>
  <c r="BU148" i="7" a="1"/>
  <c r="BU148" i="7" s="1"/>
  <c r="BU140" i="7" a="1"/>
  <c r="BU140" i="7" s="1"/>
  <c r="BU147" i="7" a="1"/>
  <c r="BU147" i="7" s="1"/>
  <c r="BU139" i="7" a="1"/>
  <c r="BU139" i="7" s="1"/>
  <c r="BU132" i="7" a="1"/>
  <c r="BU132" i="7" s="1"/>
  <c r="BU124" i="7" a="1"/>
  <c r="BU124" i="7" s="1"/>
  <c r="BU118" i="7" a="1"/>
  <c r="BU118" i="7" s="1"/>
  <c r="BU112" i="7" a="1"/>
  <c r="BU112" i="7" s="1"/>
  <c r="BU131" i="7" a="1"/>
  <c r="BU131" i="7" s="1"/>
  <c r="BU123" i="7" a="1"/>
  <c r="BU123" i="7" s="1"/>
  <c r="BU117" i="7" a="1"/>
  <c r="BU117" i="7" s="1"/>
  <c r="BU111" i="7" a="1"/>
  <c r="BU111" i="7" s="1"/>
  <c r="BU130" i="7" a="1"/>
  <c r="BU130" i="7" s="1"/>
  <c r="BU122" i="7" a="1"/>
  <c r="BU122" i="7" s="1"/>
  <c r="BU116" i="7" a="1"/>
  <c r="BU116" i="7" s="1"/>
  <c r="BU129" i="7" a="1"/>
  <c r="BU129" i="7" s="1"/>
  <c r="BU121" i="7" a="1"/>
  <c r="BU121" i="7" s="1"/>
  <c r="BU115" i="7" a="1"/>
  <c r="BU115" i="7" s="1"/>
  <c r="BU128" i="7" a="1"/>
  <c r="BU128" i="7" s="1"/>
  <c r="BU127" i="7" a="1"/>
  <c r="BU127" i="7" s="1"/>
  <c r="BU120" i="7" a="1"/>
  <c r="BU120" i="7" s="1"/>
  <c r="BU114" i="7" a="1"/>
  <c r="BU114" i="7" s="1"/>
  <c r="BU108" i="7" a="1"/>
  <c r="BU108" i="7" s="1"/>
  <c r="BU146" i="7" a="1"/>
  <c r="BU146" i="7" s="1"/>
  <c r="BU126" i="7" a="1"/>
  <c r="BU126" i="7" s="1"/>
  <c r="BU119" i="7" a="1"/>
  <c r="BU119" i="7" s="1"/>
  <c r="BU106" i="7" a="1"/>
  <c r="BU106" i="7" s="1"/>
  <c r="BU100" i="7" a="1"/>
  <c r="BU100" i="7" s="1"/>
  <c r="BU94" i="7" a="1"/>
  <c r="BU94" i="7" s="1"/>
  <c r="BU88" i="7" a="1"/>
  <c r="BU88" i="7" s="1"/>
  <c r="BU109" i="7" a="1"/>
  <c r="BU109" i="7" s="1"/>
  <c r="BU105" i="7" a="1"/>
  <c r="BU105" i="7" s="1"/>
  <c r="BU99" i="7" a="1"/>
  <c r="BU99" i="7" s="1"/>
  <c r="BU93" i="7" a="1"/>
  <c r="BU93" i="7" s="1"/>
  <c r="BU104" i="7" a="1"/>
  <c r="BU104" i="7" s="1"/>
  <c r="BU98" i="7" a="1"/>
  <c r="BU98" i="7" s="1"/>
  <c r="BU92" i="7" a="1"/>
  <c r="BU92" i="7" s="1"/>
  <c r="BU103" i="7" a="1"/>
  <c r="BU103" i="7" s="1"/>
  <c r="BU97" i="7" a="1"/>
  <c r="BU97" i="7" s="1"/>
  <c r="BU91" i="7" a="1"/>
  <c r="BU91" i="7" s="1"/>
  <c r="BU113" i="7" a="1"/>
  <c r="BU113" i="7" s="1"/>
  <c r="BU102" i="7" a="1"/>
  <c r="BU102" i="7" s="1"/>
  <c r="BU96" i="7" a="1"/>
  <c r="BU96" i="7" s="1"/>
  <c r="BU90" i="7" a="1"/>
  <c r="BU90" i="7" s="1"/>
  <c r="BU125" i="7" a="1"/>
  <c r="BU125" i="7" s="1"/>
  <c r="BU110" i="7" a="1"/>
  <c r="BU110" i="7" s="1"/>
  <c r="BU86" i="7" a="1"/>
  <c r="BU86" i="7" s="1"/>
  <c r="BU85" i="7" a="1"/>
  <c r="BU85" i="7" s="1"/>
  <c r="BU79" i="7" a="1"/>
  <c r="BU79" i="7" s="1"/>
  <c r="BU73" i="7" a="1"/>
  <c r="BU73" i="7" s="1"/>
  <c r="BU87" i="7" a="1"/>
  <c r="BU87" i="7" s="1"/>
  <c r="BU101" i="7" a="1"/>
  <c r="BU101" i="7" s="1"/>
  <c r="BU89" i="7" a="1"/>
  <c r="BU89" i="7" s="1"/>
  <c r="BU84" i="7" a="1"/>
  <c r="BU84" i="7" s="1"/>
  <c r="BU78" i="7" a="1"/>
  <c r="BU78" i="7" s="1"/>
  <c r="BU95" i="7" a="1"/>
  <c r="BU95" i="7" s="1"/>
  <c r="BU83" i="7" a="1"/>
  <c r="BU83" i="7" s="1"/>
  <c r="BU77" i="7" a="1"/>
  <c r="BU77" i="7" s="1"/>
  <c r="BU107" i="7" a="1"/>
  <c r="BU107" i="7" s="1"/>
  <c r="BU82" i="7" a="1"/>
  <c r="BU82" i="7" s="1"/>
  <c r="BU76" i="7" a="1"/>
  <c r="BU76" i="7" s="1"/>
  <c r="BU81" i="7" a="1"/>
  <c r="BU81" i="7" s="1"/>
  <c r="BU75" i="7" a="1"/>
  <c r="BU75" i="7" s="1"/>
  <c r="BU80" i="7" a="1"/>
  <c r="BU80" i="7" s="1"/>
  <c r="BU74" i="7" a="1"/>
  <c r="BU74" i="7" s="1"/>
  <c r="BU65" i="7" a="1"/>
  <c r="BU65" i="7" s="1"/>
  <c r="BU59" i="7" a="1"/>
  <c r="BU59" i="7" s="1"/>
  <c r="BU53" i="7" a="1"/>
  <c r="BU53" i="7" s="1"/>
  <c r="BU47" i="7" a="1"/>
  <c r="BU47" i="7" s="1"/>
  <c r="BU70" i="7" a="1"/>
  <c r="BU70" i="7" s="1"/>
  <c r="BU64" i="7" a="1"/>
  <c r="BU64" i="7" s="1"/>
  <c r="BU58" i="7" a="1"/>
  <c r="BU58" i="7" s="1"/>
  <c r="BU52" i="7" a="1"/>
  <c r="BU52" i="7" s="1"/>
  <c r="BU72" i="7" a="1"/>
  <c r="BU72" i="7" s="1"/>
  <c r="BU69" i="7" a="1"/>
  <c r="BU69" i="7" s="1"/>
  <c r="BU63" i="7" a="1"/>
  <c r="BU63" i="7" s="1"/>
  <c r="BU57" i="7" a="1"/>
  <c r="BU57" i="7" s="1"/>
  <c r="BU51" i="7" a="1"/>
  <c r="BU51" i="7" s="1"/>
  <c r="BU68" i="7" a="1"/>
  <c r="BU68" i="7" s="1"/>
  <c r="BU62" i="7" a="1"/>
  <c r="BU62" i="7" s="1"/>
  <c r="BU56" i="7" a="1"/>
  <c r="BU56" i="7" s="1"/>
  <c r="BU50" i="7" a="1"/>
  <c r="BU50" i="7" s="1"/>
  <c r="BU67" i="7" a="1"/>
  <c r="BU67" i="7" s="1"/>
  <c r="BU61" i="7" a="1"/>
  <c r="BU61" i="7" s="1"/>
  <c r="BU55" i="7" a="1"/>
  <c r="BU55" i="7" s="1"/>
  <c r="BU49" i="7" a="1"/>
  <c r="BU49" i="7" s="1"/>
  <c r="BU42" i="7" a="1"/>
  <c r="BU42" i="7" s="1"/>
  <c r="BU36" i="7" a="1"/>
  <c r="BU36" i="7" s="1"/>
  <c r="BU30" i="7" a="1"/>
  <c r="BU30" i="7" s="1"/>
  <c r="BU24" i="7" a="1"/>
  <c r="BU24" i="7" s="1"/>
  <c r="BU54" i="7" a="1"/>
  <c r="BU54" i="7" s="1"/>
  <c r="BU66" i="7" a="1"/>
  <c r="BU66" i="7" s="1"/>
  <c r="BU71" i="7" a="1"/>
  <c r="BU71" i="7" s="1"/>
  <c r="BU41" i="7" a="1"/>
  <c r="BU41" i="7" s="1"/>
  <c r="BU35" i="7" a="1"/>
  <c r="BU35" i="7" s="1"/>
  <c r="BU29" i="7" a="1"/>
  <c r="BU29" i="7" s="1"/>
  <c r="BU48" i="7" a="1"/>
  <c r="BU48" i="7" s="1"/>
  <c r="BU46" i="7" a="1"/>
  <c r="BU46" i="7" s="1"/>
  <c r="BU40" i="7" a="1"/>
  <c r="BU40" i="7" s="1"/>
  <c r="BU34" i="7" a="1"/>
  <c r="BU34" i="7" s="1"/>
  <c r="BU45" i="7" a="1"/>
  <c r="BU45" i="7" s="1"/>
  <c r="BU39" i="7" a="1"/>
  <c r="BU39" i="7" s="1"/>
  <c r="BU33" i="7" a="1"/>
  <c r="BU33" i="7" s="1"/>
  <c r="BU27" i="7" a="1"/>
  <c r="BU27" i="7" s="1"/>
  <c r="BU44" i="7" a="1"/>
  <c r="BU44" i="7" s="1"/>
  <c r="BU38" i="7" a="1"/>
  <c r="BU38" i="7" s="1"/>
  <c r="BU32" i="7" a="1"/>
  <c r="BU32" i="7" s="1"/>
  <c r="BU60" i="7" a="1"/>
  <c r="BU60" i="7" s="1"/>
  <c r="BU43" i="7" a="1"/>
  <c r="BU43" i="7" s="1"/>
  <c r="BU37" i="7" a="1"/>
  <c r="BU37" i="7" s="1"/>
  <c r="BU31" i="7" a="1"/>
  <c r="BU31" i="7" s="1"/>
  <c r="BU25" i="7" a="1"/>
  <c r="BU25" i="7" s="1"/>
  <c r="BG19" i="7" a="1"/>
  <c r="BG19" i="7" s="1"/>
  <c r="BN19" i="7" a="1"/>
  <c r="BN19" i="7" s="1"/>
  <c r="BT19" i="7" a="1"/>
  <c r="BT19" i="7" s="1"/>
  <c r="BF21" i="7" a="1"/>
  <c r="BF21" i="7" s="1"/>
  <c r="BL21" i="7" a="1"/>
  <c r="BL21" i="7" s="1"/>
  <c r="BS21" i="7" a="1"/>
  <c r="BS21" i="7" s="1"/>
  <c r="BZ21" i="7" a="1"/>
  <c r="BZ21" i="7" s="1"/>
  <c r="BE23" i="7" a="1"/>
  <c r="BE23" i="7" s="1"/>
  <c r="BK23" i="7" a="1"/>
  <c r="BK23" i="7" s="1"/>
  <c r="BR23" i="7" a="1"/>
  <c r="BR23" i="7" s="1"/>
  <c r="BY23" i="7" a="1"/>
  <c r="BY23" i="7" s="1"/>
  <c r="BQ24" i="7" a="1"/>
  <c r="BQ24" i="7" s="1"/>
  <c r="BT26" i="7" a="1"/>
  <c r="BT26" i="7" s="1"/>
  <c r="BU28" i="7" a="1"/>
  <c r="BU28" i="7" s="1"/>
  <c r="BQ29" i="7" a="1"/>
  <c r="BQ29" i="7" s="1"/>
  <c r="BL34" i="7" a="1"/>
  <c r="BL34" i="7" s="1"/>
  <c r="BZ46" i="7" a="1"/>
  <c r="BZ46" i="7" s="1"/>
  <c r="BG67" i="7" a="1"/>
  <c r="BG67" i="7" s="1"/>
  <c r="BN147" i="7" a="1"/>
  <c r="BN147" i="7" s="1"/>
  <c r="BE143" i="7" a="1"/>
  <c r="BE143" i="7" s="1"/>
  <c r="BN139" i="7" a="1"/>
  <c r="BN139" i="7" s="1"/>
  <c r="BE135" i="7" a="1"/>
  <c r="BE135" i="7" s="1"/>
  <c r="BN132" i="7" a="1"/>
  <c r="BN132" i="7" s="1"/>
  <c r="BN146" i="7" a="1"/>
  <c r="BN146" i="7" s="1"/>
  <c r="BE142" i="7" a="1"/>
  <c r="BE142" i="7" s="1"/>
  <c r="BE134" i="7" a="1"/>
  <c r="BE134" i="7" s="1"/>
  <c r="BE149" i="7" a="1"/>
  <c r="BE149" i="7" s="1"/>
  <c r="BN145" i="7" a="1"/>
  <c r="BN145" i="7" s="1"/>
  <c r="BE141" i="7" a="1"/>
  <c r="BE141" i="7" s="1"/>
  <c r="BN138" i="7" a="1"/>
  <c r="BN138" i="7" s="1"/>
  <c r="BE148" i="7" a="1"/>
  <c r="BE148" i="7" s="1"/>
  <c r="BE140" i="7" a="1"/>
  <c r="BE140" i="7" s="1"/>
  <c r="BE147" i="7" a="1"/>
  <c r="BE147" i="7" s="1"/>
  <c r="BN144" i="7" a="1"/>
  <c r="BN144" i="7" s="1"/>
  <c r="BE139" i="7" a="1"/>
  <c r="BE139" i="7" s="1"/>
  <c r="Q266" i="7"/>
  <c r="BE146" i="7" a="1"/>
  <c r="BE146" i="7" s="1"/>
  <c r="R272" i="7"/>
  <c r="P266" i="7"/>
  <c r="BN150" i="7" a="1"/>
  <c r="BN150" i="7" s="1"/>
  <c r="BE145" i="7" a="1"/>
  <c r="BE145" i="7" s="1"/>
  <c r="Q272" i="7"/>
  <c r="BE138" i="7" a="1"/>
  <c r="BE138" i="7" s="1"/>
  <c r="BN137" i="7" a="1"/>
  <c r="BN137" i="7" s="1"/>
  <c r="R278" i="7"/>
  <c r="P272" i="7"/>
  <c r="BN136" i="7" a="1"/>
  <c r="BN136" i="7" s="1"/>
  <c r="Q278" i="7"/>
  <c r="BE144" i="7" a="1"/>
  <c r="BE144" i="7" s="1"/>
  <c r="BN143" i="7" a="1"/>
  <c r="BN143" i="7" s="1"/>
  <c r="BN135" i="7" a="1"/>
  <c r="BN135" i="7" s="1"/>
  <c r="P278" i="7"/>
  <c r="R277" i="7"/>
  <c r="BN142" i="7" a="1"/>
  <c r="BN142" i="7" s="1"/>
  <c r="P271" i="7"/>
  <c r="BE150" i="7" a="1"/>
  <c r="BE150" i="7" s="1"/>
  <c r="BN149" i="7" a="1"/>
  <c r="BN149" i="7" s="1"/>
  <c r="BN141" i="7" a="1"/>
  <c r="BN141" i="7" s="1"/>
  <c r="BE137" i="7" a="1"/>
  <c r="BE137" i="7" s="1"/>
  <c r="BN133" i="7" a="1"/>
  <c r="BN133" i="7" s="1"/>
  <c r="BN148" i="7" a="1"/>
  <c r="BN148" i="7" s="1"/>
  <c r="BE136" i="7" a="1"/>
  <c r="BE136" i="7" s="1"/>
  <c r="R260" i="7"/>
  <c r="P254" i="7"/>
  <c r="P248" i="7"/>
  <c r="P242" i="7"/>
  <c r="Q260" i="7"/>
  <c r="BE126" i="7" a="1"/>
  <c r="BE126" i="7" s="1"/>
  <c r="BN125" i="7" a="1"/>
  <c r="BN125" i="7" s="1"/>
  <c r="BN119" i="7" a="1"/>
  <c r="BN119" i="7" s="1"/>
  <c r="BN113" i="7" a="1"/>
  <c r="BN113" i="7" s="1"/>
  <c r="P260" i="7"/>
  <c r="BN124" i="7" a="1"/>
  <c r="BN124" i="7" s="1"/>
  <c r="BN118" i="7" a="1"/>
  <c r="BN118" i="7" s="1"/>
  <c r="BN131" i="7" a="1"/>
  <c r="BN131" i="7" s="1"/>
  <c r="BN123" i="7" a="1"/>
  <c r="BN123" i="7" s="1"/>
  <c r="BN117" i="7" a="1"/>
  <c r="BN117" i="7" s="1"/>
  <c r="BN130" i="7" a="1"/>
  <c r="BN130" i="7" s="1"/>
  <c r="BN122" i="7" a="1"/>
  <c r="BN122" i="7" s="1"/>
  <c r="BN116" i="7" a="1"/>
  <c r="BN116" i="7" s="1"/>
  <c r="BN110" i="7" a="1"/>
  <c r="BN110" i="7" s="1"/>
  <c r="BN140" i="7" a="1"/>
  <c r="BN140" i="7" s="1"/>
  <c r="BE133" i="7" a="1"/>
  <c r="BE133" i="7" s="1"/>
  <c r="BN129" i="7" a="1"/>
  <c r="BN129" i="7" s="1"/>
  <c r="BE125" i="7" a="1"/>
  <c r="BE125" i="7" s="1"/>
  <c r="BN121" i="7" a="1"/>
  <c r="BN121" i="7" s="1"/>
  <c r="BE119" i="7" a="1"/>
  <c r="BE119" i="7" s="1"/>
  <c r="BN115" i="7" a="1"/>
  <c r="BN115" i="7" s="1"/>
  <c r="BE113" i="7" a="1"/>
  <c r="BE113" i="7" s="1"/>
  <c r="BN109" i="7" a="1"/>
  <c r="BN109" i="7" s="1"/>
  <c r="BN128" i="7" a="1"/>
  <c r="BN128" i="7" s="1"/>
  <c r="BE124" i="7" a="1"/>
  <c r="BE124" i="7" s="1"/>
  <c r="BE118" i="7" a="1"/>
  <c r="BE118" i="7" s="1"/>
  <c r="BE112" i="7" a="1"/>
  <c r="BE112" i="7" s="1"/>
  <c r="BE131" i="7" a="1"/>
  <c r="BE131" i="7" s="1"/>
  <c r="BN127" i="7" a="1"/>
  <c r="BN127" i="7" s="1"/>
  <c r="BE123" i="7" a="1"/>
  <c r="BE123" i="7" s="1"/>
  <c r="BN120" i="7" a="1"/>
  <c r="BN120" i="7" s="1"/>
  <c r="BE117" i="7" a="1"/>
  <c r="BE117" i="7" s="1"/>
  <c r="BN114" i="7" a="1"/>
  <c r="BN114" i="7" s="1"/>
  <c r="BN134" i="7" a="1"/>
  <c r="BN134" i="7" s="1"/>
  <c r="BE132" i="7" a="1"/>
  <c r="BE132" i="7" s="1"/>
  <c r="BE130" i="7" a="1"/>
  <c r="BE130" i="7" s="1"/>
  <c r="BE122" i="7" a="1"/>
  <c r="BE122" i="7" s="1"/>
  <c r="BE116" i="7" a="1"/>
  <c r="BE116" i="7" s="1"/>
  <c r="BE110" i="7" a="1"/>
  <c r="BE110" i="7" s="1"/>
  <c r="R266" i="7"/>
  <c r="BE129" i="7" a="1"/>
  <c r="BE129" i="7" s="1"/>
  <c r="BN126" i="7" a="1"/>
  <c r="BN126" i="7" s="1"/>
  <c r="BE121" i="7" a="1"/>
  <c r="BE121" i="7" s="1"/>
  <c r="BE115" i="7" a="1"/>
  <c r="BE115" i="7" s="1"/>
  <c r="BE128" i="7" a="1"/>
  <c r="BE128" i="7" s="1"/>
  <c r="R254" i="7"/>
  <c r="R248" i="7"/>
  <c r="R242" i="7"/>
  <c r="BN108" i="7" a="1"/>
  <c r="BN108" i="7" s="1"/>
  <c r="BE108" i="7" a="1"/>
  <c r="BE108" i="7" s="1"/>
  <c r="P236" i="7"/>
  <c r="P230" i="7"/>
  <c r="P224" i="7"/>
  <c r="BE120" i="7" a="1"/>
  <c r="BE120" i="7" s="1"/>
  <c r="BE109" i="7" a="1"/>
  <c r="BE109" i="7" s="1"/>
  <c r="BN107" i="7" a="1"/>
  <c r="BN107" i="7" s="1"/>
  <c r="BN101" i="7" a="1"/>
  <c r="BN101" i="7" s="1"/>
  <c r="BN95" i="7" a="1"/>
  <c r="BN95" i="7" s="1"/>
  <c r="BN89" i="7" a="1"/>
  <c r="BN89" i="7" s="1"/>
  <c r="BN111" i="7" a="1"/>
  <c r="BN111" i="7" s="1"/>
  <c r="BN106" i="7" a="1"/>
  <c r="BN106" i="7" s="1"/>
  <c r="BN100" i="7" a="1"/>
  <c r="BN100" i="7" s="1"/>
  <c r="BN94" i="7" a="1"/>
  <c r="BN94" i="7" s="1"/>
  <c r="BN105" i="7" a="1"/>
  <c r="BN105" i="7" s="1"/>
  <c r="BN99" i="7" a="1"/>
  <c r="BN99" i="7" s="1"/>
  <c r="BN93" i="7" a="1"/>
  <c r="BN93" i="7" s="1"/>
  <c r="BN104" i="7" a="1"/>
  <c r="BN104" i="7" s="1"/>
  <c r="BN98" i="7" a="1"/>
  <c r="BN98" i="7" s="1"/>
  <c r="BN92" i="7" a="1"/>
  <c r="BN92" i="7" s="1"/>
  <c r="BE107" i="7" a="1"/>
  <c r="BE107" i="7" s="1"/>
  <c r="BN103" i="7" a="1"/>
  <c r="BN103" i="7" s="1"/>
  <c r="BE101" i="7" a="1"/>
  <c r="BE101" i="7" s="1"/>
  <c r="BN97" i="7" a="1"/>
  <c r="BN97" i="7" s="1"/>
  <c r="BE95" i="7" a="1"/>
  <c r="BE95" i="7" s="1"/>
  <c r="BN91" i="7" a="1"/>
  <c r="BN91" i="7" s="1"/>
  <c r="BE89" i="7" a="1"/>
  <c r="BE89" i="7" s="1"/>
  <c r="Q254" i="7"/>
  <c r="BE114" i="7" a="1"/>
  <c r="BE114" i="7" s="1"/>
  <c r="Q242" i="7"/>
  <c r="BE106" i="7" a="1"/>
  <c r="BE106" i="7" s="1"/>
  <c r="BE100" i="7" a="1"/>
  <c r="BE100" i="7" s="1"/>
  <c r="BE94" i="7" a="1"/>
  <c r="BE94" i="7" s="1"/>
  <c r="BE88" i="7" a="1"/>
  <c r="BE88" i="7" s="1"/>
  <c r="BN112" i="7" a="1"/>
  <c r="BN112" i="7" s="1"/>
  <c r="BE105" i="7" a="1"/>
  <c r="BE105" i="7" s="1"/>
  <c r="BN102" i="7" a="1"/>
  <c r="BN102" i="7" s="1"/>
  <c r="BE99" i="7" a="1"/>
  <c r="BE99" i="7" s="1"/>
  <c r="BN96" i="7" a="1"/>
  <c r="BN96" i="7" s="1"/>
  <c r="BE93" i="7" a="1"/>
  <c r="BE93" i="7" s="1"/>
  <c r="BN90" i="7" a="1"/>
  <c r="BN90" i="7" s="1"/>
  <c r="BE127" i="7" a="1"/>
  <c r="BE127" i="7" s="1"/>
  <c r="BE111" i="7" a="1"/>
  <c r="BE111" i="7" s="1"/>
  <c r="BE104" i="7" a="1"/>
  <c r="BE104" i="7" s="1"/>
  <c r="BE98" i="7" a="1"/>
  <c r="BE98" i="7" s="1"/>
  <c r="BE92" i="7" a="1"/>
  <c r="BE92" i="7" s="1"/>
  <c r="BE103" i="7" a="1"/>
  <c r="BE103" i="7" s="1"/>
  <c r="BE97" i="7" a="1"/>
  <c r="BE97" i="7" s="1"/>
  <c r="BE91" i="7" a="1"/>
  <c r="BE91" i="7" s="1"/>
  <c r="R236" i="7"/>
  <c r="R230" i="7"/>
  <c r="R224" i="7"/>
  <c r="BN81" i="7" a="1"/>
  <c r="BN81" i="7" s="1"/>
  <c r="BN75" i="7" a="1"/>
  <c r="BN75" i="7" s="1"/>
  <c r="Q230" i="7"/>
  <c r="BE90" i="7" a="1"/>
  <c r="BE90" i="7" s="1"/>
  <c r="BN88" i="7" a="1"/>
  <c r="BN88" i="7" s="1"/>
  <c r="BN87" i="7" a="1"/>
  <c r="BN87" i="7" s="1"/>
  <c r="BE87" i="7" a="1"/>
  <c r="BE87" i="7" s="1"/>
  <c r="BN86" i="7" a="1"/>
  <c r="BN86" i="7" s="1"/>
  <c r="BN80" i="7" a="1"/>
  <c r="BN80" i="7" s="1"/>
  <c r="BN74" i="7" a="1"/>
  <c r="BN74" i="7" s="1"/>
  <c r="BN85" i="7" a="1"/>
  <c r="BN85" i="7" s="1"/>
  <c r="BE83" i="7" a="1"/>
  <c r="BE83" i="7" s="1"/>
  <c r="BN79" i="7" a="1"/>
  <c r="BN79" i="7" s="1"/>
  <c r="BE77" i="7" a="1"/>
  <c r="BE77" i="7" s="1"/>
  <c r="BN73" i="7" a="1"/>
  <c r="BN73" i="7" s="1"/>
  <c r="BE102" i="7" a="1"/>
  <c r="BE102" i="7" s="1"/>
  <c r="BE82" i="7" a="1"/>
  <c r="BE82" i="7" s="1"/>
  <c r="BE76" i="7" a="1"/>
  <c r="BE76" i="7" s="1"/>
  <c r="Q248" i="7"/>
  <c r="BN84" i="7" a="1"/>
  <c r="BN84" i="7" s="1"/>
  <c r="BE81" i="7" a="1"/>
  <c r="BE81" i="7" s="1"/>
  <c r="BN78" i="7" a="1"/>
  <c r="BN78" i="7" s="1"/>
  <c r="BE75" i="7" a="1"/>
  <c r="BE75" i="7" s="1"/>
  <c r="BN72" i="7" a="1"/>
  <c r="BN72" i="7" s="1"/>
  <c r="BE86" i="7" a="1"/>
  <c r="BE86" i="7" s="1"/>
  <c r="BE80" i="7" a="1"/>
  <c r="BE80" i="7" s="1"/>
  <c r="BE74" i="7" a="1"/>
  <c r="BE74" i="7" s="1"/>
  <c r="Q224" i="7"/>
  <c r="BE85" i="7" a="1"/>
  <c r="BE85" i="7" s="1"/>
  <c r="BE79" i="7" a="1"/>
  <c r="BE79" i="7" s="1"/>
  <c r="BE73" i="7" a="1"/>
  <c r="BE73" i="7" s="1"/>
  <c r="R218" i="7"/>
  <c r="R212" i="7"/>
  <c r="R206" i="7"/>
  <c r="Q236" i="7"/>
  <c r="BE96" i="7" a="1"/>
  <c r="BE96" i="7" s="1"/>
  <c r="Q218" i="7"/>
  <c r="BE84" i="7" a="1"/>
  <c r="BE84" i="7" s="1"/>
  <c r="Q212" i="7"/>
  <c r="BE78" i="7" a="1"/>
  <c r="BE78" i="7" s="1"/>
  <c r="Q206" i="7"/>
  <c r="BE72" i="7" a="1"/>
  <c r="BE72" i="7" s="1"/>
  <c r="P218" i="7"/>
  <c r="P212" i="7"/>
  <c r="P206" i="7"/>
  <c r="BN83" i="7" a="1"/>
  <c r="BN83" i="7" s="1"/>
  <c r="BN77" i="7" a="1"/>
  <c r="BN77" i="7" s="1"/>
  <c r="BE70" i="7" a="1"/>
  <c r="BE70" i="7" s="1"/>
  <c r="BE64" i="7" a="1"/>
  <c r="BE64" i="7" s="1"/>
  <c r="BE58" i="7" a="1"/>
  <c r="BE58" i="7" s="1"/>
  <c r="BE52" i="7" a="1"/>
  <c r="BE52" i="7" s="1"/>
  <c r="BE69" i="7" a="1"/>
  <c r="BE69" i="7" s="1"/>
  <c r="BN66" i="7" a="1"/>
  <c r="BN66" i="7" s="1"/>
  <c r="BE63" i="7" a="1"/>
  <c r="BE63" i="7" s="1"/>
  <c r="BN60" i="7" a="1"/>
  <c r="BN60" i="7" s="1"/>
  <c r="BE57" i="7" a="1"/>
  <c r="BE57" i="7" s="1"/>
  <c r="BN54" i="7" a="1"/>
  <c r="BN54" i="7" s="1"/>
  <c r="BE51" i="7" a="1"/>
  <c r="BE51" i="7" s="1"/>
  <c r="BN48" i="7" a="1"/>
  <c r="BN48" i="7" s="1"/>
  <c r="BE68" i="7" a="1"/>
  <c r="BE68" i="7" s="1"/>
  <c r="BE62" i="7" a="1"/>
  <c r="BE62" i="7" s="1"/>
  <c r="BE56" i="7" a="1"/>
  <c r="BE56" i="7" s="1"/>
  <c r="BE50" i="7" a="1"/>
  <c r="BE50" i="7" s="1"/>
  <c r="BE67" i="7" a="1"/>
  <c r="BE67" i="7" s="1"/>
  <c r="BE61" i="7" a="1"/>
  <c r="BE61" i="7" s="1"/>
  <c r="BE55" i="7" a="1"/>
  <c r="BE55" i="7" s="1"/>
  <c r="R200" i="7"/>
  <c r="R194" i="7"/>
  <c r="R188" i="7"/>
  <c r="R182" i="7"/>
  <c r="BN82" i="7" a="1"/>
  <c r="BN82" i="7" s="1"/>
  <c r="Q200" i="7"/>
  <c r="BE66" i="7" a="1"/>
  <c r="BE66" i="7" s="1"/>
  <c r="Q194" i="7"/>
  <c r="BE60" i="7" a="1"/>
  <c r="BE60" i="7" s="1"/>
  <c r="Q188" i="7"/>
  <c r="BE54" i="7" a="1"/>
  <c r="BE54" i="7" s="1"/>
  <c r="Q182" i="7"/>
  <c r="BE48" i="7" a="1"/>
  <c r="BE48" i="7" s="1"/>
  <c r="P200" i="7"/>
  <c r="P194" i="7"/>
  <c r="P188" i="7"/>
  <c r="P182" i="7"/>
  <c r="BN65" i="7" a="1"/>
  <c r="BN65" i="7" s="1"/>
  <c r="BN59" i="7" a="1"/>
  <c r="BN59" i="7" s="1"/>
  <c r="BN53" i="7" a="1"/>
  <c r="BN53" i="7" s="1"/>
  <c r="BN70" i="7" a="1"/>
  <c r="BN70" i="7" s="1"/>
  <c r="BN64" i="7" a="1"/>
  <c r="BN64" i="7" s="1"/>
  <c r="BN58" i="7" a="1"/>
  <c r="BN58" i="7" s="1"/>
  <c r="BN52" i="7" a="1"/>
  <c r="BN52" i="7" s="1"/>
  <c r="BN69" i="7" a="1"/>
  <c r="BN69" i="7" s="1"/>
  <c r="BN63" i="7" a="1"/>
  <c r="BN63" i="7" s="1"/>
  <c r="BN57" i="7" a="1"/>
  <c r="BN57" i="7" s="1"/>
  <c r="BN51" i="7" a="1"/>
  <c r="BN51" i="7" s="1"/>
  <c r="BN76" i="7" a="1"/>
  <c r="BN76" i="7" s="1"/>
  <c r="BN71" i="7" a="1"/>
  <c r="BN71" i="7" s="1"/>
  <c r="BE71" i="7" a="1"/>
  <c r="BE71" i="7" s="1"/>
  <c r="BN68" i="7" a="1"/>
  <c r="BN68" i="7" s="1"/>
  <c r="BN62" i="7" a="1"/>
  <c r="BN62" i="7" s="1"/>
  <c r="BN56" i="7" a="1"/>
  <c r="BN56" i="7" s="1"/>
  <c r="BN50" i="7" a="1"/>
  <c r="BN50" i="7" s="1"/>
  <c r="BN43" i="7" a="1"/>
  <c r="BN43" i="7" s="1"/>
  <c r="BE41" i="7" a="1"/>
  <c r="BE41" i="7" s="1"/>
  <c r="BN37" i="7" a="1"/>
  <c r="BN37" i="7" s="1"/>
  <c r="BE35" i="7" a="1"/>
  <c r="BE35" i="7" s="1"/>
  <c r="BN31" i="7" a="1"/>
  <c r="BN31" i="7" s="1"/>
  <c r="BE29" i="7" a="1"/>
  <c r="BE29" i="7" s="1"/>
  <c r="BN25" i="7" a="1"/>
  <c r="BN25" i="7" s="1"/>
  <c r="BN49" i="7" a="1"/>
  <c r="BN49" i="7" s="1"/>
  <c r="BE46" i="7" a="1"/>
  <c r="BE46" i="7" s="1"/>
  <c r="BE40" i="7" a="1"/>
  <c r="BE40" i="7" s="1"/>
  <c r="BE34" i="7" a="1"/>
  <c r="BE34" i="7" s="1"/>
  <c r="BE28" i="7" a="1"/>
  <c r="BE28" i="7" s="1"/>
  <c r="BE47" i="7" a="1"/>
  <c r="BE47" i="7" s="1"/>
  <c r="BE45" i="7" a="1"/>
  <c r="BE45" i="7" s="1"/>
  <c r="BN42" i="7" a="1"/>
  <c r="BN42" i="7" s="1"/>
  <c r="BE39" i="7" a="1"/>
  <c r="BE39" i="7" s="1"/>
  <c r="BN36" i="7" a="1"/>
  <c r="BN36" i="7" s="1"/>
  <c r="BE33" i="7" a="1"/>
  <c r="BE33" i="7" s="1"/>
  <c r="BN30" i="7" a="1"/>
  <c r="BN30" i="7" s="1"/>
  <c r="BN61" i="7" a="1"/>
  <c r="BN61" i="7" s="1"/>
  <c r="BE44" i="7" a="1"/>
  <c r="BE44" i="7" s="1"/>
  <c r="BE38" i="7" a="1"/>
  <c r="BE38" i="7" s="1"/>
  <c r="BE32" i="7" a="1"/>
  <c r="BE32" i="7" s="1"/>
  <c r="BE59" i="7" a="1"/>
  <c r="BE59" i="7" s="1"/>
  <c r="BE49" i="7" a="1"/>
  <c r="BE49" i="7" s="1"/>
  <c r="BE43" i="7" a="1"/>
  <c r="BE43" i="7" s="1"/>
  <c r="BE37" i="7" a="1"/>
  <c r="BE37" i="7" s="1"/>
  <c r="BE31" i="7" a="1"/>
  <c r="BE31" i="7" s="1"/>
  <c r="BE25" i="7" a="1"/>
  <c r="BE25" i="7" s="1"/>
  <c r="R176" i="7"/>
  <c r="R170" i="7"/>
  <c r="R164" i="7"/>
  <c r="R158" i="7"/>
  <c r="Q176" i="7"/>
  <c r="BE42" i="7" a="1"/>
  <c r="BE42" i="7" s="1"/>
  <c r="Q170" i="7"/>
  <c r="BE36" i="7" a="1"/>
  <c r="BE36" i="7" s="1"/>
  <c r="Q164" i="7"/>
  <c r="BE30" i="7" a="1"/>
  <c r="BE30" i="7" s="1"/>
  <c r="Q158" i="7"/>
  <c r="BE24" i="7" a="1"/>
  <c r="BE24" i="7" s="1"/>
  <c r="P176" i="7"/>
  <c r="P170" i="7"/>
  <c r="P164" i="7"/>
  <c r="BN55" i="7" a="1"/>
  <c r="BN55" i="7" s="1"/>
  <c r="BN41" i="7" a="1"/>
  <c r="BN41" i="7" s="1"/>
  <c r="BN35" i="7" a="1"/>
  <c r="BN35" i="7" s="1"/>
  <c r="BN29" i="7" a="1"/>
  <c r="BN29" i="7" s="1"/>
  <c r="BE53" i="7" a="1"/>
  <c r="BE53" i="7" s="1"/>
  <c r="BN46" i="7" a="1"/>
  <c r="BN46" i="7" s="1"/>
  <c r="BN40" i="7" a="1"/>
  <c r="BN40" i="7" s="1"/>
  <c r="BN34" i="7" a="1"/>
  <c r="BN34" i="7" s="1"/>
  <c r="BN28" i="7" a="1"/>
  <c r="BN28" i="7" s="1"/>
  <c r="BN67" i="7" a="1"/>
  <c r="BN67" i="7" s="1"/>
  <c r="BN45" i="7" a="1"/>
  <c r="BN45" i="7" s="1"/>
  <c r="BN39" i="7" a="1"/>
  <c r="BN39" i="7" s="1"/>
  <c r="BN33" i="7" a="1"/>
  <c r="BN33" i="7" s="1"/>
  <c r="BN27" i="7" a="1"/>
  <c r="BN27" i="7" s="1"/>
  <c r="BS20" i="7" a="1"/>
  <c r="BS20" i="7" s="1"/>
  <c r="BJ150" i="7" a="1"/>
  <c r="BJ150" i="7" s="1"/>
  <c r="BJ137" i="7" a="1"/>
  <c r="BJ137" i="7" s="1"/>
  <c r="BJ136" i="7" a="1"/>
  <c r="BJ136" i="7" s="1"/>
  <c r="BJ143" i="7" a="1"/>
  <c r="BJ143" i="7" s="1"/>
  <c r="BJ142" i="7" a="1"/>
  <c r="BJ142" i="7" s="1"/>
  <c r="BJ149" i="7" a="1"/>
  <c r="BJ149" i="7" s="1"/>
  <c r="BJ141" i="7" a="1"/>
  <c r="BJ141" i="7" s="1"/>
  <c r="BJ133" i="7" a="1"/>
  <c r="BJ133" i="7" s="1"/>
  <c r="BJ148" i="7" a="1"/>
  <c r="BJ148" i="7" s="1"/>
  <c r="BJ140" i="7" a="1"/>
  <c r="BJ140" i="7" s="1"/>
  <c r="BJ147" i="7" a="1"/>
  <c r="BJ147" i="7" s="1"/>
  <c r="BJ139" i="7" a="1"/>
  <c r="BJ139" i="7" s="1"/>
  <c r="BJ132" i="7" a="1"/>
  <c r="BJ132" i="7" s="1"/>
  <c r="BJ146" i="7" a="1"/>
  <c r="BJ146" i="7" s="1"/>
  <c r="BJ145" i="7" a="1"/>
  <c r="BJ145" i="7" s="1"/>
  <c r="BJ138" i="7" a="1"/>
  <c r="BJ138" i="7" s="1"/>
  <c r="BJ144" i="7" a="1"/>
  <c r="BJ144" i="7" s="1"/>
  <c r="BJ128" i="7" a="1"/>
  <c r="BJ128" i="7" s="1"/>
  <c r="BJ135" i="7" a="1"/>
  <c r="BJ135" i="7" s="1"/>
  <c r="BJ127" i="7" a="1"/>
  <c r="BJ127" i="7" s="1"/>
  <c r="BJ120" i="7" a="1"/>
  <c r="BJ120" i="7" s="1"/>
  <c r="BJ114" i="7" a="1"/>
  <c r="BJ114" i="7" s="1"/>
  <c r="BJ108" i="7" a="1"/>
  <c r="BJ108" i="7" s="1"/>
  <c r="BJ126" i="7" a="1"/>
  <c r="BJ126" i="7" s="1"/>
  <c r="BJ125" i="7" a="1"/>
  <c r="BJ125" i="7" s="1"/>
  <c r="BJ119" i="7" a="1"/>
  <c r="BJ119" i="7" s="1"/>
  <c r="BJ113" i="7" a="1"/>
  <c r="BJ113" i="7" s="1"/>
  <c r="BJ124" i="7" a="1"/>
  <c r="BJ124" i="7" s="1"/>
  <c r="BJ118" i="7" a="1"/>
  <c r="BJ118" i="7" s="1"/>
  <c r="BJ112" i="7" a="1"/>
  <c r="BJ112" i="7" s="1"/>
  <c r="BJ131" i="7" a="1"/>
  <c r="BJ131" i="7" s="1"/>
  <c r="BJ123" i="7" a="1"/>
  <c r="BJ123" i="7" s="1"/>
  <c r="BJ117" i="7" a="1"/>
  <c r="BJ117" i="7" s="1"/>
  <c r="BJ130" i="7" a="1"/>
  <c r="BJ130" i="7" s="1"/>
  <c r="BJ122" i="7" a="1"/>
  <c r="BJ122" i="7" s="1"/>
  <c r="BJ116" i="7" a="1"/>
  <c r="BJ116" i="7" s="1"/>
  <c r="BJ110" i="7" a="1"/>
  <c r="BJ110" i="7" s="1"/>
  <c r="BJ134" i="7" a="1"/>
  <c r="BJ134" i="7" s="1"/>
  <c r="BJ102" i="7" a="1"/>
  <c r="BJ102" i="7" s="1"/>
  <c r="BJ96" i="7" a="1"/>
  <c r="BJ96" i="7" s="1"/>
  <c r="BJ90" i="7" a="1"/>
  <c r="BJ90" i="7" s="1"/>
  <c r="BJ121" i="7" a="1"/>
  <c r="BJ121" i="7" s="1"/>
  <c r="BJ111" i="7" a="1"/>
  <c r="BJ111" i="7" s="1"/>
  <c r="BJ115" i="7" a="1"/>
  <c r="BJ115" i="7" s="1"/>
  <c r="BJ107" i="7" a="1"/>
  <c r="BJ107" i="7" s="1"/>
  <c r="BJ101" i="7" a="1"/>
  <c r="BJ101" i="7" s="1"/>
  <c r="BJ95" i="7" a="1"/>
  <c r="BJ95" i="7" s="1"/>
  <c r="BJ106" i="7" a="1"/>
  <c r="BJ106" i="7" s="1"/>
  <c r="BJ100" i="7" a="1"/>
  <c r="BJ100" i="7" s="1"/>
  <c r="BJ94" i="7" a="1"/>
  <c r="BJ94" i="7" s="1"/>
  <c r="BJ129" i="7" a="1"/>
  <c r="BJ129" i="7" s="1"/>
  <c r="BJ109" i="7" a="1"/>
  <c r="BJ109" i="7" s="1"/>
  <c r="BJ105" i="7" a="1"/>
  <c r="BJ105" i="7" s="1"/>
  <c r="BJ99" i="7" a="1"/>
  <c r="BJ99" i="7" s="1"/>
  <c r="BJ93" i="7" a="1"/>
  <c r="BJ93" i="7" s="1"/>
  <c r="BJ104" i="7" a="1"/>
  <c r="BJ104" i="7" s="1"/>
  <c r="BJ98" i="7" a="1"/>
  <c r="BJ98" i="7" s="1"/>
  <c r="BJ92" i="7" a="1"/>
  <c r="BJ92" i="7" s="1"/>
  <c r="BJ91" i="7" a="1"/>
  <c r="BJ91" i="7" s="1"/>
  <c r="BJ89" i="7" a="1"/>
  <c r="BJ89" i="7" s="1"/>
  <c r="BJ103" i="7" a="1"/>
  <c r="BJ103" i="7" s="1"/>
  <c r="BJ83" i="7" a="1"/>
  <c r="BJ83" i="7" s="1"/>
  <c r="BJ77" i="7" a="1"/>
  <c r="BJ77" i="7" s="1"/>
  <c r="BJ88" i="7" a="1"/>
  <c r="BJ88" i="7" s="1"/>
  <c r="BJ87" i="7" a="1"/>
  <c r="BJ87" i="7" s="1"/>
  <c r="BJ82" i="7" a="1"/>
  <c r="BJ82" i="7" s="1"/>
  <c r="BJ76" i="7" a="1"/>
  <c r="BJ76" i="7" s="1"/>
  <c r="BJ81" i="7" a="1"/>
  <c r="BJ81" i="7" s="1"/>
  <c r="BJ75" i="7" a="1"/>
  <c r="BJ75" i="7" s="1"/>
  <c r="BJ86" i="7" a="1"/>
  <c r="BJ86" i="7" s="1"/>
  <c r="BJ80" i="7" a="1"/>
  <c r="BJ80" i="7" s="1"/>
  <c r="BJ74" i="7" a="1"/>
  <c r="BJ74" i="7" s="1"/>
  <c r="BJ85" i="7" a="1"/>
  <c r="BJ85" i="7" s="1"/>
  <c r="BJ79" i="7" a="1"/>
  <c r="BJ79" i="7" s="1"/>
  <c r="BJ73" i="7" a="1"/>
  <c r="BJ73" i="7" s="1"/>
  <c r="BJ97" i="7" a="1"/>
  <c r="BJ97" i="7" s="1"/>
  <c r="BJ84" i="7" a="1"/>
  <c r="BJ84" i="7" s="1"/>
  <c r="BJ78" i="7" a="1"/>
  <c r="BJ78" i="7" s="1"/>
  <c r="BJ72" i="7" a="1"/>
  <c r="BJ72" i="7" s="1"/>
  <c r="BJ65" i="7" a="1"/>
  <c r="BJ65" i="7" s="1"/>
  <c r="BJ59" i="7" a="1"/>
  <c r="BJ59" i="7" s="1"/>
  <c r="BJ53" i="7" a="1"/>
  <c r="BJ53" i="7" s="1"/>
  <c r="BJ70" i="7" a="1"/>
  <c r="BJ70" i="7" s="1"/>
  <c r="BJ64" i="7" a="1"/>
  <c r="BJ64" i="7" s="1"/>
  <c r="BJ58" i="7" a="1"/>
  <c r="BJ58" i="7" s="1"/>
  <c r="BJ52" i="7" a="1"/>
  <c r="BJ52" i="7" s="1"/>
  <c r="BJ71" i="7" a="1"/>
  <c r="BJ71" i="7" s="1"/>
  <c r="BJ69" i="7" a="1"/>
  <c r="BJ69" i="7" s="1"/>
  <c r="BJ63" i="7" a="1"/>
  <c r="BJ63" i="7" s="1"/>
  <c r="BJ57" i="7" a="1"/>
  <c r="BJ57" i="7" s="1"/>
  <c r="BJ51" i="7" a="1"/>
  <c r="BJ51" i="7" s="1"/>
  <c r="BJ68" i="7" a="1"/>
  <c r="BJ68" i="7" s="1"/>
  <c r="BJ62" i="7" a="1"/>
  <c r="BJ62" i="7" s="1"/>
  <c r="BJ56" i="7" a="1"/>
  <c r="BJ56" i="7" s="1"/>
  <c r="BJ50" i="7" a="1"/>
  <c r="BJ50" i="7" s="1"/>
  <c r="BJ67" i="7" a="1"/>
  <c r="BJ67" i="7" s="1"/>
  <c r="BJ61" i="7" a="1"/>
  <c r="BJ61" i="7" s="1"/>
  <c r="BJ55" i="7" a="1"/>
  <c r="BJ55" i="7" s="1"/>
  <c r="BJ49" i="7" a="1"/>
  <c r="BJ49" i="7" s="1"/>
  <c r="BJ66" i="7" a="1"/>
  <c r="BJ66" i="7" s="1"/>
  <c r="BJ60" i="7" a="1"/>
  <c r="BJ60" i="7" s="1"/>
  <c r="BJ54" i="7" a="1"/>
  <c r="BJ54" i="7" s="1"/>
  <c r="BJ41" i="7" a="1"/>
  <c r="BJ41" i="7" s="1"/>
  <c r="BJ35" i="7" a="1"/>
  <c r="BJ35" i="7" s="1"/>
  <c r="BJ46" i="7" a="1"/>
  <c r="BJ46" i="7" s="1"/>
  <c r="BJ40" i="7" a="1"/>
  <c r="BJ40" i="7" s="1"/>
  <c r="BJ34" i="7" a="1"/>
  <c r="BJ34" i="7" s="1"/>
  <c r="BJ48" i="7" a="1"/>
  <c r="BJ48" i="7" s="1"/>
  <c r="BJ45" i="7" a="1"/>
  <c r="BJ45" i="7" s="1"/>
  <c r="BJ39" i="7" a="1"/>
  <c r="BJ39" i="7" s="1"/>
  <c r="BJ33" i="7" a="1"/>
  <c r="BJ33" i="7" s="1"/>
  <c r="BJ27" i="7" a="1"/>
  <c r="BJ27" i="7" s="1"/>
  <c r="BJ47" i="7" a="1"/>
  <c r="BJ47" i="7" s="1"/>
  <c r="BJ44" i="7" a="1"/>
  <c r="BJ44" i="7" s="1"/>
  <c r="BJ38" i="7" a="1"/>
  <c r="BJ38" i="7" s="1"/>
  <c r="BJ32" i="7" a="1"/>
  <c r="BJ32" i="7" s="1"/>
  <c r="BJ26" i="7" a="1"/>
  <c r="BJ26" i="7" s="1"/>
  <c r="BJ43" i="7" a="1"/>
  <c r="BJ43" i="7" s="1"/>
  <c r="BJ37" i="7" a="1"/>
  <c r="BJ37" i="7" s="1"/>
  <c r="BJ31" i="7" a="1"/>
  <c r="BJ31" i="7" s="1"/>
  <c r="BJ25" i="7" a="1"/>
  <c r="BJ25" i="7" s="1"/>
  <c r="BJ42" i="7" a="1"/>
  <c r="BJ42" i="7" s="1"/>
  <c r="BJ36" i="7" a="1"/>
  <c r="BJ36" i="7" s="1"/>
  <c r="BJ30" i="7" a="1"/>
  <c r="BJ30" i="7" s="1"/>
  <c r="BG20" i="7" a="1"/>
  <c r="BG20" i="7" s="1"/>
  <c r="BN20" i="7" a="1"/>
  <c r="BN20" i="7" s="1"/>
  <c r="BT20" i="7" a="1"/>
  <c r="BT20" i="7" s="1"/>
  <c r="BF22" i="7" a="1"/>
  <c r="BF22" i="7" s="1"/>
  <c r="BL22" i="7" a="1"/>
  <c r="BL22" i="7" s="1"/>
  <c r="BS22" i="7" a="1"/>
  <c r="BS22" i="7" s="1"/>
  <c r="BZ22" i="7" a="1"/>
  <c r="BZ22" i="7" s="1"/>
  <c r="BG24" i="7" a="1"/>
  <c r="BG24" i="7" s="1"/>
  <c r="BU26" i="7" a="1"/>
  <c r="BU26" i="7" s="1"/>
  <c r="BR27" i="7" a="1"/>
  <c r="BR27" i="7" s="1"/>
  <c r="BW28" i="7" a="1"/>
  <c r="BW28" i="7" s="1"/>
  <c r="BS34" i="7" a="1"/>
  <c r="BS34" i="7" s="1"/>
  <c r="BG44" i="7" a="1"/>
  <c r="BG44" i="7" s="1"/>
  <c r="BP48" i="7" a="1"/>
  <c r="BP48" i="7" s="1"/>
  <c r="BB457" i="7" l="1" a="1"/>
  <c r="BB457" i="7" s="1"/>
  <c r="AN693" i="7" a="1"/>
  <c r="AN693" i="7" s="1"/>
  <c r="AN702" i="7" a="1"/>
  <c r="AN702" i="7" s="1"/>
  <c r="AN750" i="7" a="1"/>
  <c r="AN750" i="7" s="1"/>
  <c r="AN745" i="7" a="1"/>
  <c r="AN745" i="7" s="1"/>
  <c r="AN773" i="7" a="1"/>
  <c r="AN773" i="7" s="1"/>
  <c r="AN792" i="7" a="1"/>
  <c r="AN792" i="7" s="1"/>
  <c r="AN709" i="7" a="1"/>
  <c r="AN709" i="7" s="1"/>
  <c r="AN740" i="7" a="1"/>
  <c r="AN740" i="7" s="1"/>
  <c r="AN786" i="7" a="1"/>
  <c r="AN786" i="7" s="1"/>
  <c r="AN715" i="7" a="1"/>
  <c r="AN715" i="7" s="1"/>
  <c r="AN765" i="7" a="1"/>
  <c r="AN765" i="7" s="1"/>
  <c r="AN809" i="7" a="1"/>
  <c r="AN809" i="7" s="1"/>
  <c r="AN731" i="7" a="1"/>
  <c r="AN731" i="7" s="1"/>
  <c r="AN771" i="7" a="1"/>
  <c r="AN771" i="7" s="1"/>
  <c r="AN798" i="7" a="1"/>
  <c r="AN798" i="7" s="1"/>
  <c r="AN684" i="7" a="1"/>
  <c r="AN684" i="7" s="1"/>
  <c r="AN701" i="7" a="1"/>
  <c r="AN701" i="7" s="1"/>
  <c r="AN768" i="7" a="1"/>
  <c r="AN768" i="7" s="1"/>
  <c r="AN805" i="7" a="1"/>
  <c r="AN805" i="7" s="1"/>
  <c r="AN694" i="7" a="1"/>
  <c r="AN694" i="7" s="1"/>
  <c r="AN742" i="7" a="1"/>
  <c r="AN742" i="7" s="1"/>
  <c r="AN764" i="7" a="1"/>
  <c r="AN764" i="7" s="1"/>
  <c r="AN688" i="7" a="1"/>
  <c r="AN688" i="7" s="1"/>
  <c r="AN733" i="7" a="1"/>
  <c r="AN733" i="7" s="1"/>
  <c r="AN763" i="7" a="1"/>
  <c r="AN763" i="7" s="1"/>
  <c r="BA475" i="7" a="1"/>
  <c r="BA475" i="7" s="1"/>
  <c r="BA530" i="7" a="1"/>
  <c r="BA530" i="7" s="1"/>
  <c r="BA453" i="7" a="1"/>
  <c r="BA453" i="7" s="1"/>
  <c r="BA517" i="7" a="1"/>
  <c r="BA517" i="7" s="1"/>
  <c r="BA464" i="7" a="1"/>
  <c r="BA464" i="7" s="1"/>
  <c r="BA528" i="7" a="1"/>
  <c r="BA528" i="7" s="1"/>
  <c r="BA455" i="7" a="1"/>
  <c r="BA455" i="7" s="1"/>
  <c r="BA437" i="7" a="1"/>
  <c r="BA437" i="7" s="1"/>
  <c r="BA541" i="7" a="1"/>
  <c r="BA541" i="7" s="1"/>
  <c r="BA446" i="7" a="1"/>
  <c r="BA446" i="7" s="1"/>
  <c r="BA515" i="7" a="1"/>
  <c r="BA515" i="7" s="1"/>
  <c r="BA505" i="7" a="1"/>
  <c r="BA505" i="7" s="1"/>
  <c r="BA438" i="7" a="1"/>
  <c r="BA438" i="7" s="1"/>
  <c r="BA472" i="7" a="1"/>
  <c r="BA472" i="7" s="1"/>
  <c r="BA513" i="7" a="1"/>
  <c r="BA513" i="7" s="1"/>
  <c r="BA481" i="7" a="1"/>
  <c r="BA481" i="7" s="1"/>
  <c r="BA486" i="7" a="1"/>
  <c r="BA486" i="7" s="1"/>
  <c r="BA449" i="7" a="1"/>
  <c r="BA449" i="7" s="1"/>
  <c r="BA494" i="7" a="1"/>
  <c r="BA494" i="7" s="1"/>
  <c r="BA452" i="7" a="1"/>
  <c r="BA452" i="7" s="1"/>
  <c r="BA424" i="7" a="1"/>
  <c r="BA424" i="7" s="1"/>
  <c r="BA433" i="7" a="1"/>
  <c r="BA433" i="7" s="1"/>
  <c r="BA422" i="7" a="1"/>
  <c r="BA422" i="7" s="1"/>
  <c r="BA533" i="7" a="1"/>
  <c r="BA533" i="7" s="1"/>
  <c r="BA489" i="7" a="1"/>
  <c r="BA489" i="7" s="1"/>
  <c r="BA495" i="7" a="1"/>
  <c r="BA495" i="7" s="1"/>
  <c r="BA532" i="7" a="1"/>
  <c r="BA532" i="7" s="1"/>
  <c r="BA508" i="7" a="1"/>
  <c r="BA508" i="7" s="1"/>
  <c r="AR749" i="7" a="1"/>
  <c r="AR749" i="7" s="1"/>
  <c r="BA432" i="7" a="1"/>
  <c r="BA432" i="7" s="1"/>
  <c r="BA448" i="7" a="1"/>
  <c r="BA448" i="7" s="1"/>
  <c r="BA436" i="7" a="1"/>
  <c r="BA436" i="7" s="1"/>
  <c r="BA425" i="7" a="1"/>
  <c r="BA425" i="7" s="1"/>
  <c r="BA482" i="7" a="1"/>
  <c r="BA482" i="7" s="1"/>
  <c r="BA490" i="7" a="1"/>
  <c r="BA490" i="7" s="1"/>
  <c r="BA496" i="7" a="1"/>
  <c r="BA496" i="7" s="1"/>
  <c r="BA534" i="7" a="1"/>
  <c r="BA534" i="7" s="1"/>
  <c r="BA509" i="7" a="1"/>
  <c r="BA509" i="7" s="1"/>
  <c r="BA442" i="7" a="1"/>
  <c r="BA442" i="7" s="1"/>
  <c r="BA435" i="7" a="1"/>
  <c r="BA435" i="7" s="1"/>
  <c r="BA467" i="7" a="1"/>
  <c r="BA467" i="7" s="1"/>
  <c r="BA450" i="7" a="1"/>
  <c r="BA450" i="7" s="1"/>
  <c r="BA434" i="7" a="1"/>
  <c r="BA434" i="7" s="1"/>
  <c r="BA542" i="7" a="1"/>
  <c r="BA542" i="7" s="1"/>
  <c r="BA493" i="7" a="1"/>
  <c r="BA493" i="7" s="1"/>
  <c r="BA543" i="7" a="1"/>
  <c r="BA543" i="7" s="1"/>
  <c r="BA539" i="7" a="1"/>
  <c r="BA539" i="7" s="1"/>
  <c r="BA512" i="7" a="1"/>
  <c r="BA512" i="7" s="1"/>
  <c r="BA423" i="7" a="1"/>
  <c r="BA423" i="7" s="1"/>
  <c r="BA445" i="7" a="1"/>
  <c r="BA445" i="7" s="1"/>
  <c r="BA470" i="7" a="1"/>
  <c r="BA470" i="7" s="1"/>
  <c r="BA459" i="7" a="1"/>
  <c r="BA459" i="7" s="1"/>
  <c r="BA451" i="7" a="1"/>
  <c r="BA451" i="7" s="1"/>
  <c r="BA477" i="7" a="1"/>
  <c r="BA477" i="7" s="1"/>
  <c r="BA538" i="7" a="1"/>
  <c r="BA538" i="7" s="1"/>
  <c r="BA527" i="7" a="1"/>
  <c r="BA527" i="7" s="1"/>
  <c r="BA548" i="7" a="1"/>
  <c r="BA548" i="7" s="1"/>
  <c r="BA420" i="7" a="1"/>
  <c r="BA420" i="7" s="1"/>
  <c r="BA426" i="7" a="1"/>
  <c r="BA426" i="7" s="1"/>
  <c r="BA473" i="7" a="1"/>
  <c r="BA473" i="7" s="1"/>
  <c r="BA460" i="7" a="1"/>
  <c r="BA460" i="7" s="1"/>
  <c r="BA454" i="7" a="1"/>
  <c r="BA454" i="7" s="1"/>
  <c r="BA480" i="7" a="1"/>
  <c r="BA480" i="7" s="1"/>
  <c r="BA516" i="7" a="1"/>
  <c r="BA516" i="7" s="1"/>
  <c r="BA540" i="7" a="1"/>
  <c r="BA540" i="7" s="1"/>
  <c r="BA501" i="7" a="1"/>
  <c r="BA501" i="7" s="1"/>
  <c r="BA421" i="7" a="1"/>
  <c r="BA421" i="7" s="1"/>
  <c r="BA430" i="7" a="1"/>
  <c r="BA430" i="7" s="1"/>
  <c r="BA429" i="7" a="1"/>
  <c r="BA429" i="7" s="1"/>
  <c r="BA463" i="7" a="1"/>
  <c r="BA463" i="7" s="1"/>
  <c r="BA431" i="7" a="1"/>
  <c r="BA431" i="7" s="1"/>
  <c r="BA485" i="7" a="1"/>
  <c r="BA485" i="7" s="1"/>
  <c r="BA526" i="7" a="1"/>
  <c r="BA526" i="7" s="1"/>
  <c r="BA521" i="7" a="1"/>
  <c r="BA521" i="7" s="1"/>
  <c r="BA504" i="7" a="1"/>
  <c r="BA504" i="7" s="1"/>
  <c r="AR812" i="7" a="1"/>
  <c r="AR812" i="7" s="1"/>
  <c r="AN692" i="7" a="1"/>
  <c r="AN692" i="7" s="1"/>
  <c r="AN710" i="7" a="1"/>
  <c r="AN710" i="7" s="1"/>
  <c r="AN730" i="7" a="1"/>
  <c r="AN730" i="7" s="1"/>
  <c r="AN744" i="7" a="1"/>
  <c r="AN744" i="7" s="1"/>
  <c r="AN761" i="7" a="1"/>
  <c r="AN761" i="7" s="1"/>
  <c r="AN781" i="7" a="1"/>
  <c r="AN781" i="7" s="1"/>
  <c r="AN802" i="7" a="1"/>
  <c r="AN802" i="7" s="1"/>
  <c r="AN794" i="7" a="1"/>
  <c r="AN794" i="7" s="1"/>
  <c r="BA419" i="7" a="1"/>
  <c r="BA419" i="7" s="1"/>
  <c r="BA441" i="7" a="1"/>
  <c r="BA441" i="7" s="1"/>
  <c r="BA439" i="7" a="1"/>
  <c r="BA439" i="7" s="1"/>
  <c r="BA427" i="7" a="1"/>
  <c r="BA427" i="7" s="1"/>
  <c r="BA417" i="7" a="1"/>
  <c r="BA417" i="7" s="1"/>
  <c r="BA456" i="7" a="1"/>
  <c r="BA456" i="7" s="1"/>
  <c r="BA466" i="7" a="1"/>
  <c r="BA466" i="7" s="1"/>
  <c r="BA440" i="7" a="1"/>
  <c r="BA440" i="7" s="1"/>
  <c r="BA457" i="7" a="1"/>
  <c r="BA457" i="7" s="1"/>
  <c r="BA461" i="7" a="1"/>
  <c r="BA461" i="7" s="1"/>
  <c r="BA465" i="7" a="1"/>
  <c r="BA465" i="7" s="1"/>
  <c r="BA469" i="7" a="1"/>
  <c r="BA469" i="7" s="1"/>
  <c r="BA444" i="7" a="1"/>
  <c r="BA444" i="7" s="1"/>
  <c r="BA471" i="7" a="1"/>
  <c r="BA471" i="7" s="1"/>
  <c r="BA468" i="7" a="1"/>
  <c r="BA468" i="7" s="1"/>
  <c r="BA529" i="7" a="1"/>
  <c r="BA529" i="7" s="1"/>
  <c r="BA474" i="7" a="1"/>
  <c r="BA474" i="7" s="1"/>
  <c r="BA483" i="7" a="1"/>
  <c r="BA483" i="7" s="1"/>
  <c r="BA487" i="7" a="1"/>
  <c r="BA487" i="7" s="1"/>
  <c r="BA491" i="7" a="1"/>
  <c r="BA491" i="7" s="1"/>
  <c r="BA522" i="7" a="1"/>
  <c r="BA522" i="7" s="1"/>
  <c r="BA519" i="7" a="1"/>
  <c r="BA519" i="7" s="1"/>
  <c r="BA547" i="7" a="1"/>
  <c r="BA547" i="7" s="1"/>
  <c r="BA497" i="7" a="1"/>
  <c r="BA497" i="7" s="1"/>
  <c r="BA520" i="7" a="1"/>
  <c r="BA520" i="7" s="1"/>
  <c r="BA500" i="7" a="1"/>
  <c r="BA500" i="7" s="1"/>
  <c r="BA531" i="7" a="1"/>
  <c r="BA531" i="7" s="1"/>
  <c r="BA536" i="7" a="1"/>
  <c r="BA536" i="7" s="1"/>
  <c r="BA544" i="7" a="1"/>
  <c r="BA544" i="7" s="1"/>
  <c r="BA502" i="7" a="1"/>
  <c r="BA502" i="7" s="1"/>
  <c r="BA506" i="7" a="1"/>
  <c r="BA506" i="7" s="1"/>
  <c r="BA510" i="7" a="1"/>
  <c r="BA510" i="7" s="1"/>
  <c r="BA514" i="7" a="1"/>
  <c r="BA514" i="7" s="1"/>
  <c r="BA443" i="7" a="1"/>
  <c r="BA443" i="7" s="1"/>
  <c r="BA458" i="7" a="1"/>
  <c r="BA458" i="7" s="1"/>
  <c r="BA462" i="7" a="1"/>
  <c r="BA462" i="7" s="1"/>
  <c r="BA418" i="7" a="1"/>
  <c r="BA418" i="7" s="1"/>
  <c r="BA479" i="7" a="1"/>
  <c r="BA479" i="7" s="1"/>
  <c r="BA447" i="7" a="1"/>
  <c r="BA447" i="7" s="1"/>
  <c r="BA428" i="7" a="1"/>
  <c r="BA428" i="7" s="1"/>
  <c r="BA478" i="7" a="1"/>
  <c r="BA478" i="7" s="1"/>
  <c r="BA525" i="7" a="1"/>
  <c r="BA525" i="7" s="1"/>
  <c r="BA476" i="7" a="1"/>
  <c r="BA476" i="7" s="1"/>
  <c r="BA484" i="7" a="1"/>
  <c r="BA484" i="7" s="1"/>
  <c r="BA488" i="7" a="1"/>
  <c r="BA488" i="7" s="1"/>
  <c r="BA492" i="7" a="1"/>
  <c r="BA492" i="7" s="1"/>
  <c r="BA499" i="7" a="1"/>
  <c r="BA499" i="7" s="1"/>
  <c r="BA523" i="7" a="1"/>
  <c r="BA523" i="7" s="1"/>
  <c r="BA535" i="7" a="1"/>
  <c r="BA535" i="7" s="1"/>
  <c r="BA498" i="7" a="1"/>
  <c r="BA498" i="7" s="1"/>
  <c r="BA524" i="7" a="1"/>
  <c r="BA524" i="7" s="1"/>
  <c r="BA518" i="7" a="1"/>
  <c r="BA518" i="7" s="1"/>
  <c r="BA545" i="7" a="1"/>
  <c r="BA545" i="7" s="1"/>
  <c r="BA537" i="7" a="1"/>
  <c r="BA537" i="7" s="1"/>
  <c r="BA546" i="7" a="1"/>
  <c r="BA546" i="7" s="1"/>
  <c r="BA503" i="7" a="1"/>
  <c r="BA503" i="7" s="1"/>
  <c r="BA507" i="7" a="1"/>
  <c r="BA507" i="7" s="1"/>
  <c r="AR682" i="7" a="1"/>
  <c r="AR682" i="7" s="1"/>
  <c r="AR709" i="7" a="1"/>
  <c r="AR709" i="7" s="1"/>
  <c r="BB417" i="7" a="1"/>
  <c r="BB417" i="7" s="1"/>
  <c r="BB465" i="7" a="1"/>
  <c r="BB465" i="7" s="1"/>
  <c r="BB427" i="7" a="1"/>
  <c r="BB427" i="7" s="1"/>
  <c r="BB475" i="7" a="1"/>
  <c r="BB475" i="7" s="1"/>
  <c r="BB481" i="7" a="1"/>
  <c r="BB481" i="7" s="1"/>
  <c r="BB426" i="7" a="1"/>
  <c r="BB426" i="7" s="1"/>
  <c r="BB490" i="7" a="1"/>
  <c r="BB490" i="7" s="1"/>
  <c r="BB545" i="7" a="1"/>
  <c r="BB545" i="7" s="1"/>
  <c r="BB451" i="7" a="1"/>
  <c r="BB451" i="7" s="1"/>
  <c r="AN691" i="7" a="1"/>
  <c r="AN691" i="7" s="1"/>
  <c r="AN686" i="7" a="1"/>
  <c r="AN686" i="7" s="1"/>
  <c r="AN681" i="7" a="1"/>
  <c r="AN681" i="7" s="1"/>
  <c r="AN690" i="7" a="1"/>
  <c r="AN690" i="7" s="1"/>
  <c r="AN705" i="7" a="1"/>
  <c r="AN705" i="7" s="1"/>
  <c r="AN699" i="7" a="1"/>
  <c r="AN699" i="7" s="1"/>
  <c r="AN717" i="7" a="1"/>
  <c r="AN717" i="7" s="1"/>
  <c r="AN700" i="7" a="1"/>
  <c r="AN700" i="7" s="1"/>
  <c r="AN718" i="7" a="1"/>
  <c r="AN718" i="7" s="1"/>
  <c r="AN712" i="7" a="1"/>
  <c r="AN712" i="7" s="1"/>
  <c r="AN713" i="7" a="1"/>
  <c r="AN713" i="7" s="1"/>
  <c r="AN708" i="7" a="1"/>
  <c r="AN708" i="7" s="1"/>
  <c r="AN739" i="7" a="1"/>
  <c r="AN739" i="7" s="1"/>
  <c r="AN749" i="7" a="1"/>
  <c r="AN749" i="7" s="1"/>
  <c r="AN732" i="7" a="1"/>
  <c r="AN732" i="7" s="1"/>
  <c r="AN756" i="7" a="1"/>
  <c r="AN756" i="7" s="1"/>
  <c r="AN752" i="7" a="1"/>
  <c r="AN752" i="7" s="1"/>
  <c r="AN747" i="7" a="1"/>
  <c r="AN747" i="7" s="1"/>
  <c r="AN743" i="7" a="1"/>
  <c r="AN743" i="7" s="1"/>
  <c r="AN751" i="7" a="1"/>
  <c r="AN751" i="7" s="1"/>
  <c r="AN790" i="7" a="1"/>
  <c r="AN790" i="7" s="1"/>
  <c r="AN767" i="7" a="1"/>
  <c r="AN767" i="7" s="1"/>
  <c r="AN769" i="7" a="1"/>
  <c r="AN769" i="7" s="1"/>
  <c r="AN785" i="7" a="1"/>
  <c r="AN785" i="7" s="1"/>
  <c r="AN766" i="7" a="1"/>
  <c r="AN766" i="7" s="1"/>
  <c r="AN784" i="7" a="1"/>
  <c r="AN784" i="7" s="1"/>
  <c r="AN780" i="7" a="1"/>
  <c r="AN780" i="7" s="1"/>
  <c r="AN772" i="7" a="1"/>
  <c r="AN772" i="7" s="1"/>
  <c r="AN795" i="7" a="1"/>
  <c r="AN795" i="7" s="1"/>
  <c r="AN804" i="7" a="1"/>
  <c r="AN804" i="7" s="1"/>
  <c r="AN811" i="7" a="1"/>
  <c r="AN811" i="7" s="1"/>
  <c r="AN800" i="7" a="1"/>
  <c r="AN800" i="7" s="1"/>
  <c r="AN808" i="7" a="1"/>
  <c r="AN808" i="7" s="1"/>
  <c r="AN703" i="7" a="1"/>
  <c r="AN703" i="7" s="1"/>
  <c r="AN687" i="7" a="1"/>
  <c r="AN687" i="7" s="1"/>
  <c r="AN683" i="7" a="1"/>
  <c r="AN683" i="7" s="1"/>
  <c r="AN696" i="7" a="1"/>
  <c r="AN696" i="7" s="1"/>
  <c r="AN714" i="7" a="1"/>
  <c r="AN714" i="7" s="1"/>
  <c r="AN695" i="7" a="1"/>
  <c r="AN695" i="7" s="1"/>
  <c r="AN724" i="7" a="1"/>
  <c r="AN724" i="7" s="1"/>
  <c r="AN704" i="7" a="1"/>
  <c r="AN704" i="7" s="1"/>
  <c r="AN722" i="7" a="1"/>
  <c r="AN722" i="7" s="1"/>
  <c r="AN716" i="7" a="1"/>
  <c r="AN716" i="7" s="1"/>
  <c r="AN720" i="7" a="1"/>
  <c r="AN720" i="7" s="1"/>
  <c r="AN711" i="7" a="1"/>
  <c r="AN711" i="7" s="1"/>
  <c r="AN748" i="7" a="1"/>
  <c r="AN748" i="7" s="1"/>
  <c r="AN726" i="7" a="1"/>
  <c r="AN726" i="7" s="1"/>
  <c r="AN735" i="7" a="1"/>
  <c r="AN735" i="7" s="1"/>
  <c r="AN738" i="7" a="1"/>
  <c r="AN738" i="7" s="1"/>
  <c r="AN734" i="7" a="1"/>
  <c r="AN734" i="7" s="1"/>
  <c r="AN753" i="7" a="1"/>
  <c r="AN753" i="7" s="1"/>
  <c r="AN775" i="7" a="1"/>
  <c r="AN775" i="7" s="1"/>
  <c r="AN778" i="7" a="1"/>
  <c r="AN778" i="7" s="1"/>
  <c r="AN754" i="7" a="1"/>
  <c r="AN754" i="7" s="1"/>
  <c r="AN770" i="7" a="1"/>
  <c r="AN770" i="7" s="1"/>
  <c r="AN757" i="7" a="1"/>
  <c r="AN757" i="7" s="1"/>
  <c r="AN782" i="7" a="1"/>
  <c r="AN782" i="7" s="1"/>
  <c r="AN774" i="7" a="1"/>
  <c r="AN774" i="7" s="1"/>
  <c r="AN788" i="7" a="1"/>
  <c r="AN788" i="7" s="1"/>
  <c r="AN783" i="7" a="1"/>
  <c r="AN783" i="7" s="1"/>
  <c r="AN776" i="7" a="1"/>
  <c r="AN776" i="7" s="1"/>
  <c r="AN797" i="7" a="1"/>
  <c r="AN797" i="7" s="1"/>
  <c r="AN806" i="7" a="1"/>
  <c r="AN806" i="7" s="1"/>
  <c r="AN793" i="7" a="1"/>
  <c r="AN793" i="7" s="1"/>
  <c r="AN801" i="7" a="1"/>
  <c r="AN801" i="7" s="1"/>
  <c r="AN810" i="7" a="1"/>
  <c r="AN810" i="7" s="1"/>
  <c r="AN682" i="7" a="1"/>
  <c r="AN682" i="7" s="1"/>
  <c r="AN689" i="7" a="1"/>
  <c r="AN689" i="7" s="1"/>
  <c r="AN685" i="7" a="1"/>
  <c r="AN685" i="7" s="1"/>
  <c r="AN725" i="7" a="1"/>
  <c r="AN725" i="7" s="1"/>
  <c r="AN721" i="7" a="1"/>
  <c r="AN721" i="7" s="1"/>
  <c r="AN697" i="7" a="1"/>
  <c r="AN697" i="7" s="1"/>
  <c r="AN698" i="7" a="1"/>
  <c r="AN698" i="7" s="1"/>
  <c r="AN707" i="7" a="1"/>
  <c r="AN707" i="7" s="1"/>
  <c r="AN706" i="7" a="1"/>
  <c r="AN706" i="7" s="1"/>
  <c r="AN719" i="7" a="1"/>
  <c r="AN719" i="7" s="1"/>
  <c r="AN723" i="7" a="1"/>
  <c r="AN723" i="7" s="1"/>
  <c r="AN728" i="7" a="1"/>
  <c r="AN728" i="7" s="1"/>
  <c r="AN727" i="7" a="1"/>
  <c r="AN727" i="7" s="1"/>
  <c r="AN729" i="7" a="1"/>
  <c r="AN729" i="7" s="1"/>
  <c r="AN746" i="7" a="1"/>
  <c r="AN746" i="7" s="1"/>
  <c r="AN741" i="7" a="1"/>
  <c r="AN741" i="7" s="1"/>
  <c r="AN737" i="7" a="1"/>
  <c r="AN737" i="7" s="1"/>
  <c r="AN736" i="7" a="1"/>
  <c r="AN736" i="7" s="1"/>
  <c r="AN755" i="7" a="1"/>
  <c r="AN755" i="7" s="1"/>
  <c r="AN762" i="7" a="1"/>
  <c r="AN762" i="7" s="1"/>
  <c r="AN758" i="7" a="1"/>
  <c r="AN758" i="7" s="1"/>
  <c r="AN791" i="7" a="1"/>
  <c r="AN791" i="7" s="1"/>
  <c r="AN760" i="7" a="1"/>
  <c r="AN760" i="7" s="1"/>
  <c r="AN759" i="7" a="1"/>
  <c r="AN759" i="7" s="1"/>
  <c r="AN777" i="7" a="1"/>
  <c r="AN777" i="7" s="1"/>
  <c r="AN789" i="7" a="1"/>
  <c r="AN789" i="7" s="1"/>
  <c r="AN787" i="7" a="1"/>
  <c r="AN787" i="7" s="1"/>
  <c r="AN779" i="7" a="1"/>
  <c r="AN779" i="7" s="1"/>
  <c r="AN799" i="7" a="1"/>
  <c r="AN799" i="7" s="1"/>
  <c r="AN807" i="7" a="1"/>
  <c r="AN807" i="7" s="1"/>
  <c r="AN796" i="7" a="1"/>
  <c r="AN796" i="7" s="1"/>
  <c r="AN803" i="7" a="1"/>
  <c r="AN803" i="7" s="1"/>
  <c r="BB423" i="7" a="1"/>
  <c r="BB423" i="7" s="1"/>
  <c r="BB428" i="7" a="1"/>
  <c r="BB428" i="7" s="1"/>
  <c r="BB432" i="7" a="1"/>
  <c r="BB432" i="7" s="1"/>
  <c r="BB429" i="7" a="1"/>
  <c r="BB429" i="7" s="1"/>
  <c r="BB458" i="7" a="1"/>
  <c r="BB458" i="7" s="1"/>
  <c r="BB418" i="7" a="1"/>
  <c r="BB418" i="7" s="1"/>
  <c r="BB454" i="7" a="1"/>
  <c r="BB454" i="7" s="1"/>
  <c r="BB479" i="7" a="1"/>
  <c r="BB479" i="7" s="1"/>
  <c r="BB494" i="7" a="1"/>
  <c r="BB494" i="7" s="1"/>
  <c r="BB536" i="7" a="1"/>
  <c r="BB536" i="7" s="1"/>
  <c r="BB421" i="7" a="1"/>
  <c r="BB421" i="7" s="1"/>
  <c r="BB445" i="7" a="1"/>
  <c r="BB445" i="7" s="1"/>
  <c r="BB442" i="7" a="1"/>
  <c r="BB442" i="7" s="1"/>
  <c r="BB440" i="7" a="1"/>
  <c r="BB440" i="7" s="1"/>
  <c r="BB461" i="7" a="1"/>
  <c r="BB461" i="7" s="1"/>
  <c r="BB434" i="7" a="1"/>
  <c r="BB434" i="7" s="1"/>
  <c r="BB468" i="7" a="1"/>
  <c r="BB468" i="7" s="1"/>
  <c r="BB477" i="7" a="1"/>
  <c r="BB477" i="7" s="1"/>
  <c r="BB497" i="7" a="1"/>
  <c r="BB497" i="7" s="1"/>
  <c r="BB504" i="7" a="1"/>
  <c r="BB504" i="7" s="1"/>
  <c r="BB431" i="7" a="1"/>
  <c r="BB431" i="7" s="1"/>
  <c r="BB448" i="7" a="1"/>
  <c r="BB448" i="7" s="1"/>
  <c r="BB446" i="7" a="1"/>
  <c r="BB446" i="7" s="1"/>
  <c r="BB443" i="7" a="1"/>
  <c r="BB443" i="7" s="1"/>
  <c r="BB462" i="7" a="1"/>
  <c r="BB462" i="7" s="1"/>
  <c r="BB437" i="7" a="1"/>
  <c r="BB437" i="7" s="1"/>
  <c r="BB473" i="7" a="1"/>
  <c r="BB473" i="7" s="1"/>
  <c r="BB480" i="7" a="1"/>
  <c r="BB480" i="7" s="1"/>
  <c r="BB524" i="7" a="1"/>
  <c r="BB524" i="7" s="1"/>
  <c r="BB508" i="7" a="1"/>
  <c r="BB508" i="7" s="1"/>
  <c r="BB485" i="7" a="1"/>
  <c r="BB485" i="7" s="1"/>
  <c r="BB529" i="7" a="1"/>
  <c r="BB529" i="7" s="1"/>
  <c r="BB528" i="7" a="1"/>
  <c r="BB528" i="7" s="1"/>
  <c r="BB544" i="7" a="1"/>
  <c r="BB544" i="7" s="1"/>
  <c r="BB512" i="7" a="1"/>
  <c r="BB512" i="7" s="1"/>
  <c r="BB469" i="7" a="1"/>
  <c r="BB469" i="7" s="1"/>
  <c r="BB472" i="7" a="1"/>
  <c r="BB472" i="7" s="1"/>
  <c r="BB486" i="7" a="1"/>
  <c r="BB486" i="7" s="1"/>
  <c r="BB526" i="7" a="1"/>
  <c r="BB526" i="7" s="1"/>
  <c r="BB538" i="7" a="1"/>
  <c r="BB538" i="7" s="1"/>
  <c r="BB500" i="7" a="1"/>
  <c r="BB500" i="7" s="1"/>
  <c r="BB419" i="7" a="1"/>
  <c r="BB419" i="7" s="1"/>
  <c r="BB438" i="7" a="1"/>
  <c r="BB438" i="7" s="1"/>
  <c r="BB430" i="7" a="1"/>
  <c r="BB430" i="7" s="1"/>
  <c r="BB452" i="7" a="1"/>
  <c r="BB452" i="7" s="1"/>
  <c r="BB435" i="7" a="1"/>
  <c r="BB435" i="7" s="1"/>
  <c r="BB449" i="7" a="1"/>
  <c r="BB449" i="7" s="1"/>
  <c r="BB433" i="7" a="1"/>
  <c r="BB433" i="7" s="1"/>
  <c r="BB450" i="7" a="1"/>
  <c r="BB450" i="7" s="1"/>
  <c r="BB459" i="7" a="1"/>
  <c r="BB459" i="7" s="1"/>
  <c r="BB463" i="7" a="1"/>
  <c r="BB463" i="7" s="1"/>
  <c r="BB422" i="7" a="1"/>
  <c r="BB422" i="7" s="1"/>
  <c r="BB444" i="7" a="1"/>
  <c r="BB444" i="7" s="1"/>
  <c r="BB466" i="7" a="1"/>
  <c r="BB466" i="7" s="1"/>
  <c r="BB470" i="7" a="1"/>
  <c r="BB470" i="7" s="1"/>
  <c r="BB478" i="7" a="1"/>
  <c r="BB478" i="7" s="1"/>
  <c r="BB474" i="7" a="1"/>
  <c r="BB474" i="7" s="1"/>
  <c r="BB483" i="7" a="1"/>
  <c r="BB483" i="7" s="1"/>
  <c r="BB487" i="7" a="1"/>
  <c r="BB487" i="7" s="1"/>
  <c r="BB491" i="7" a="1"/>
  <c r="BB491" i="7" s="1"/>
  <c r="BB515" i="7" a="1"/>
  <c r="BB515" i="7" s="1"/>
  <c r="BB516" i="7" a="1"/>
  <c r="BB516" i="7" s="1"/>
  <c r="BB530" i="7" a="1"/>
  <c r="BB530" i="7" s="1"/>
  <c r="BB498" i="7" a="1"/>
  <c r="BB498" i="7" s="1"/>
  <c r="BB527" i="7" a="1"/>
  <c r="BB527" i="7" s="1"/>
  <c r="BB531" i="7" a="1"/>
  <c r="BB531" i="7" s="1"/>
  <c r="BB540" i="7" a="1"/>
  <c r="BB540" i="7" s="1"/>
  <c r="BB547" i="7" a="1"/>
  <c r="BB547" i="7" s="1"/>
  <c r="BB537" i="7" a="1"/>
  <c r="BB537" i="7" s="1"/>
  <c r="BB546" i="7" a="1"/>
  <c r="BB546" i="7" s="1"/>
  <c r="BB501" i="7" a="1"/>
  <c r="BB501" i="7" s="1"/>
  <c r="BB505" i="7" a="1"/>
  <c r="BB505" i="7" s="1"/>
  <c r="BB509" i="7" a="1"/>
  <c r="BB509" i="7" s="1"/>
  <c r="BB513" i="7" a="1"/>
  <c r="BB513" i="7" s="1"/>
  <c r="BB420" i="7" a="1"/>
  <c r="BB420" i="7" s="1"/>
  <c r="BB424" i="7" a="1"/>
  <c r="BB424" i="7" s="1"/>
  <c r="BB441" i="7" a="1"/>
  <c r="BB441" i="7" s="1"/>
  <c r="BB455" i="7" a="1"/>
  <c r="BB455" i="7" s="1"/>
  <c r="BB439" i="7" a="1"/>
  <c r="BB439" i="7" s="1"/>
  <c r="BB456" i="7" a="1"/>
  <c r="BB456" i="7" s="1"/>
  <c r="BB436" i="7" a="1"/>
  <c r="BB436" i="7" s="1"/>
  <c r="BB453" i="7" a="1"/>
  <c r="BB453" i="7" s="1"/>
  <c r="BB460" i="7" a="1"/>
  <c r="BB460" i="7" s="1"/>
  <c r="BB464" i="7" a="1"/>
  <c r="BB464" i="7" s="1"/>
  <c r="BB425" i="7" a="1"/>
  <c r="BB425" i="7" s="1"/>
  <c r="BB447" i="7" a="1"/>
  <c r="BB447" i="7" s="1"/>
  <c r="BB467" i="7" a="1"/>
  <c r="BB467" i="7" s="1"/>
  <c r="BB471" i="7" a="1"/>
  <c r="BB471" i="7" s="1"/>
  <c r="BB482" i="7" a="1"/>
  <c r="BB482" i="7" s="1"/>
  <c r="BB476" i="7" a="1"/>
  <c r="BB476" i="7" s="1"/>
  <c r="BB484" i="7" a="1"/>
  <c r="BB484" i="7" s="1"/>
  <c r="BB488" i="7" a="1"/>
  <c r="BB488" i="7" s="1"/>
  <c r="BB492" i="7" a="1"/>
  <c r="BB492" i="7" s="1"/>
  <c r="BB522" i="7" a="1"/>
  <c r="BB522" i="7" s="1"/>
  <c r="BB519" i="7" a="1"/>
  <c r="BB519" i="7" s="1"/>
  <c r="BB495" i="7" a="1"/>
  <c r="BB495" i="7" s="1"/>
  <c r="BB517" i="7" a="1"/>
  <c r="BB517" i="7" s="1"/>
  <c r="BB518" i="7" a="1"/>
  <c r="BB518" i="7" s="1"/>
  <c r="BB533" i="7" a="1"/>
  <c r="BB533" i="7" s="1"/>
  <c r="BB542" i="7" a="1"/>
  <c r="BB542" i="7" s="1"/>
  <c r="BB532" i="7" a="1"/>
  <c r="BB532" i="7" s="1"/>
  <c r="BB539" i="7" a="1"/>
  <c r="BB539" i="7" s="1"/>
  <c r="BB548" i="7" a="1"/>
  <c r="BB548" i="7" s="1"/>
  <c r="BB502" i="7" a="1"/>
  <c r="BB502" i="7" s="1"/>
  <c r="BB506" i="7" a="1"/>
  <c r="BB506" i="7" s="1"/>
  <c r="BB510" i="7" a="1"/>
  <c r="BB510" i="7" s="1"/>
  <c r="BB514" i="7" a="1"/>
  <c r="BB514" i="7" s="1"/>
  <c r="BB489" i="7" a="1"/>
  <c r="BB489" i="7" s="1"/>
  <c r="BB493" i="7" a="1"/>
  <c r="BB493" i="7" s="1"/>
  <c r="BB525" i="7" a="1"/>
  <c r="BB525" i="7" s="1"/>
  <c r="BB523" i="7" a="1"/>
  <c r="BB523" i="7" s="1"/>
  <c r="BB496" i="7" a="1"/>
  <c r="BB496" i="7" s="1"/>
  <c r="BB520" i="7" a="1"/>
  <c r="BB520" i="7" s="1"/>
  <c r="BB521" i="7" a="1"/>
  <c r="BB521" i="7" s="1"/>
  <c r="BB535" i="7" a="1"/>
  <c r="BB535" i="7" s="1"/>
  <c r="BB543" i="7" a="1"/>
  <c r="BB543" i="7" s="1"/>
  <c r="BB534" i="7" a="1"/>
  <c r="BB534" i="7" s="1"/>
  <c r="BB541" i="7" a="1"/>
  <c r="BB541" i="7" s="1"/>
  <c r="BB499" i="7" a="1"/>
  <c r="BB499" i="7" s="1"/>
  <c r="BB503" i="7" a="1"/>
  <c r="BB503" i="7" s="1"/>
  <c r="BB507" i="7" a="1"/>
  <c r="BB507" i="7" s="1"/>
  <c r="AR707" i="7" a="1"/>
  <c r="AR707" i="7" s="1"/>
  <c r="AR756" i="7" a="1"/>
  <c r="AR756" i="7" s="1"/>
  <c r="AR787" i="7" a="1"/>
  <c r="AR787" i="7" s="1"/>
  <c r="AR697" i="7" a="1"/>
  <c r="AR697" i="7" s="1"/>
  <c r="AR719" i="7" a="1"/>
  <c r="AR719" i="7" s="1"/>
  <c r="AR704" i="7" a="1"/>
  <c r="AR704" i="7" s="1"/>
  <c r="AR728" i="7" a="1"/>
  <c r="AR728" i="7" s="1"/>
  <c r="AR746" i="7" a="1"/>
  <c r="AR746" i="7" s="1"/>
  <c r="AR800" i="7" a="1"/>
  <c r="AR800" i="7" s="1"/>
  <c r="AR783" i="7" a="1"/>
  <c r="AR783" i="7" s="1"/>
  <c r="AR808" i="7" a="1"/>
  <c r="AR808" i="7" s="1"/>
  <c r="AR686" i="7" a="1"/>
  <c r="AR686" i="7" s="1"/>
  <c r="AR703" i="7" a="1"/>
  <c r="AR703" i="7" s="1"/>
  <c r="AR715" i="7" a="1"/>
  <c r="AR715" i="7" s="1"/>
  <c r="AR737" i="7" a="1"/>
  <c r="AR737" i="7" s="1"/>
  <c r="AR763" i="7" a="1"/>
  <c r="AR763" i="7" s="1"/>
  <c r="AR769" i="7" a="1"/>
  <c r="AR769" i="7" s="1"/>
  <c r="AR774" i="7" a="1"/>
  <c r="AR774" i="7" s="1"/>
  <c r="AR687" i="7" a="1"/>
  <c r="AR687" i="7" s="1"/>
  <c r="AR706" i="7" a="1"/>
  <c r="AR706" i="7" s="1"/>
  <c r="AR720" i="7" a="1"/>
  <c r="AR720" i="7" s="1"/>
  <c r="AR718" i="7" a="1"/>
  <c r="AR718" i="7" s="1"/>
  <c r="AR761" i="7" a="1"/>
  <c r="AR761" i="7" s="1"/>
  <c r="AR766" i="7" a="1"/>
  <c r="AR766" i="7" s="1"/>
  <c r="AR772" i="7" a="1"/>
  <c r="AR772" i="7" s="1"/>
  <c r="AR781" i="7" a="1"/>
  <c r="AR781" i="7" s="1"/>
  <c r="AR689" i="7" a="1"/>
  <c r="AR689" i="7" s="1"/>
  <c r="AR723" i="7" a="1"/>
  <c r="AR723" i="7" s="1"/>
  <c r="AR722" i="7" a="1"/>
  <c r="AR722" i="7" s="1"/>
  <c r="AR744" i="7" a="1"/>
  <c r="AR744" i="7" s="1"/>
  <c r="AR758" i="7" a="1"/>
  <c r="AR758" i="7" s="1"/>
  <c r="AR803" i="7" a="1"/>
  <c r="AR803" i="7" s="1"/>
  <c r="AR776" i="7" a="1"/>
  <c r="AR776" i="7" s="1"/>
  <c r="AR793" i="7" a="1"/>
  <c r="AR793" i="7" s="1"/>
  <c r="AR705" i="7" a="1"/>
  <c r="AR705" i="7" s="1"/>
  <c r="AR701" i="7" a="1"/>
  <c r="AR701" i="7" s="1"/>
  <c r="AR752" i="7" a="1"/>
  <c r="AR752" i="7" s="1"/>
  <c r="AR797" i="7" a="1"/>
  <c r="AR797" i="7" s="1"/>
  <c r="AR681" i="7" a="1"/>
  <c r="AR681" i="7" s="1"/>
  <c r="AR727" i="7" a="1"/>
  <c r="AR727" i="7" s="1"/>
  <c r="AR733" i="7" a="1"/>
  <c r="AR733" i="7" s="1"/>
  <c r="AR736" i="7" a="1"/>
  <c r="AR736" i="7" s="1"/>
  <c r="AR753" i="7" a="1"/>
  <c r="AR753" i="7" s="1"/>
  <c r="AR762" i="7" a="1"/>
  <c r="AR762" i="7" s="1"/>
  <c r="AR786" i="7" a="1"/>
  <c r="AR786" i="7" s="1"/>
  <c r="AR683" i="7" a="1"/>
  <c r="AR683" i="7" s="1"/>
  <c r="AR694" i="7" a="1"/>
  <c r="AR694" i="7" s="1"/>
  <c r="AR708" i="7" a="1"/>
  <c r="AR708" i="7" s="1"/>
  <c r="AR729" i="7" a="1"/>
  <c r="AR729" i="7" s="1"/>
  <c r="AR740" i="7" a="1"/>
  <c r="AR740" i="7" s="1"/>
  <c r="AR768" i="7" a="1"/>
  <c r="AR768" i="7" s="1"/>
  <c r="AR765" i="7" a="1"/>
  <c r="AR765" i="7" s="1"/>
  <c r="AR771" i="7" a="1"/>
  <c r="AR771" i="7" s="1"/>
  <c r="AR806" i="7" a="1"/>
  <c r="AR806" i="7" s="1"/>
  <c r="AR699" i="7" a="1"/>
  <c r="AR699" i="7" s="1"/>
  <c r="AR714" i="7" a="1"/>
  <c r="AR714" i="7" s="1"/>
  <c r="AR745" i="7" a="1"/>
  <c r="AR745" i="7" s="1"/>
  <c r="AR773" i="7" a="1"/>
  <c r="AR773" i="7" s="1"/>
  <c r="AR767" i="7" a="1"/>
  <c r="AR767" i="7" s="1"/>
  <c r="AR782" i="7" a="1"/>
  <c r="AR782" i="7" s="1"/>
  <c r="AR811" i="7" a="1"/>
  <c r="AR811" i="7" s="1"/>
  <c r="AR688" i="7" a="1"/>
  <c r="AR688" i="7" s="1"/>
  <c r="AR702" i="7" a="1"/>
  <c r="AR702" i="7" s="1"/>
  <c r="AR717" i="7" a="1"/>
  <c r="AR717" i="7" s="1"/>
  <c r="AR748" i="7" a="1"/>
  <c r="AR748" i="7" s="1"/>
  <c r="AR757" i="7" a="1"/>
  <c r="AR757" i="7" s="1"/>
  <c r="AR770" i="7" a="1"/>
  <c r="AR770" i="7" s="1"/>
  <c r="AR785" i="7" a="1"/>
  <c r="AR785" i="7" s="1"/>
  <c r="AR690" i="7" a="1"/>
  <c r="AR690" i="7" s="1"/>
  <c r="AR710" i="7" a="1"/>
  <c r="AR710" i="7" s="1"/>
  <c r="AR721" i="7" a="1"/>
  <c r="AR721" i="7" s="1"/>
  <c r="AR732" i="7" a="1"/>
  <c r="AR732" i="7" s="1"/>
  <c r="AR735" i="7" a="1"/>
  <c r="AR735" i="7" s="1"/>
  <c r="AR760" i="7" a="1"/>
  <c r="AR760" i="7" s="1"/>
  <c r="AR810" i="7" a="1"/>
  <c r="AR810" i="7" s="1"/>
  <c r="AR790" i="7" a="1"/>
  <c r="AR790" i="7" s="1"/>
  <c r="AR693" i="7" a="1"/>
  <c r="AR693" i="7" s="1"/>
  <c r="AR716" i="7" a="1"/>
  <c r="AR716" i="7" s="1"/>
  <c r="AR700" i="7" a="1"/>
  <c r="AR700" i="7" s="1"/>
  <c r="AR741" i="7" a="1"/>
  <c r="AR741" i="7" s="1"/>
  <c r="AR742" i="7" a="1"/>
  <c r="AR742" i="7" s="1"/>
  <c r="AR796" i="7" a="1"/>
  <c r="AR796" i="7" s="1"/>
  <c r="AR780" i="7" a="1"/>
  <c r="AR780" i="7" s="1"/>
  <c r="AR801" i="7" a="1"/>
  <c r="AR801" i="7" s="1"/>
  <c r="AK99" i="8"/>
  <c r="V43" i="8"/>
  <c r="BB10" i="8"/>
  <c r="BA10" i="8"/>
  <c r="AK35" i="8"/>
  <c r="AL38" i="8"/>
  <c r="BA36" i="8"/>
  <c r="AK100" i="8"/>
  <c r="AK104" i="8"/>
  <c r="AK28" i="8"/>
  <c r="AM38" i="8"/>
  <c r="AR778" i="7" a="1"/>
  <c r="AR778" i="7" s="1"/>
  <c r="AR798" i="7" a="1"/>
  <c r="AR798" i="7" s="1"/>
  <c r="AR789" i="7" a="1"/>
  <c r="AR789" i="7" s="1"/>
  <c r="AR788" i="7" a="1"/>
  <c r="AR788" i="7" s="1"/>
  <c r="AR799" i="7" a="1"/>
  <c r="AR799" i="7" s="1"/>
  <c r="AR807" i="7" a="1"/>
  <c r="AR807" i="7" s="1"/>
  <c r="AR777" i="7" a="1"/>
  <c r="AR777" i="7" s="1"/>
  <c r="AR794" i="7" a="1"/>
  <c r="AR794" i="7" s="1"/>
  <c r="AR804" i="7" a="1"/>
  <c r="AR804" i="7" s="1"/>
  <c r="AL734" i="7" a="1"/>
  <c r="AL734" i="7" s="1"/>
  <c r="AL725" i="7" a="1"/>
  <c r="AL725" i="7" s="1"/>
  <c r="AL811" i="7" a="1"/>
  <c r="AL811" i="7" s="1"/>
  <c r="AL782" i="7" a="1"/>
  <c r="AL782" i="7" s="1"/>
  <c r="AL777" i="7" a="1"/>
  <c r="AL777" i="7" s="1"/>
  <c r="AL713" i="7" a="1"/>
  <c r="AL713" i="7" s="1"/>
  <c r="AK40" i="8"/>
  <c r="AZ25" i="8"/>
  <c r="AL724" i="7" a="1"/>
  <c r="AL724" i="7" s="1"/>
  <c r="AL778" i="7" a="1"/>
  <c r="AL778" i="7" s="1"/>
  <c r="AL781" i="7" a="1"/>
  <c r="AL781" i="7" s="1"/>
  <c r="AU551" i="7" a="1"/>
  <c r="AU551" i="7" s="1"/>
  <c r="AL686" i="7" a="1"/>
  <c r="AL686" i="7" s="1"/>
  <c r="AL739" i="7" a="1"/>
  <c r="AL739" i="7" s="1"/>
  <c r="AL812" i="7" a="1"/>
  <c r="AL812" i="7" s="1"/>
  <c r="AU586" i="7" a="1"/>
  <c r="AU586" i="7" s="1"/>
  <c r="AL701" i="7" a="1"/>
  <c r="AL701" i="7" s="1"/>
  <c r="AL753" i="7" a="1"/>
  <c r="AL753" i="7" s="1"/>
  <c r="AL684" i="7" a="1"/>
  <c r="AL684" i="7" s="1"/>
  <c r="AU632" i="7" a="1"/>
  <c r="AU632" i="7" s="1"/>
  <c r="AL758" i="7" a="1"/>
  <c r="AL758" i="7" s="1"/>
  <c r="AL810" i="7" a="1"/>
  <c r="AL810" i="7" s="1"/>
  <c r="AU651" i="7" a="1"/>
  <c r="AU651" i="7" s="1"/>
  <c r="AL706" i="7" a="1"/>
  <c r="AL706" i="7" s="1"/>
  <c r="AL766" i="7" a="1"/>
  <c r="AL766" i="7" s="1"/>
  <c r="AU668" i="7" a="1"/>
  <c r="AU668" i="7" s="1"/>
  <c r="AL710" i="7" a="1"/>
  <c r="AL710" i="7" s="1"/>
  <c r="AL787" i="7" a="1"/>
  <c r="AL787" i="7" s="1"/>
  <c r="AL711" i="7" a="1"/>
  <c r="AL711" i="7" s="1"/>
  <c r="AL807" i="7" a="1"/>
  <c r="AL807" i="7" s="1"/>
  <c r="AL687" i="7" a="1"/>
  <c r="AL687" i="7" s="1"/>
  <c r="AL712" i="7" a="1"/>
  <c r="AL712" i="7" s="1"/>
  <c r="AL732" i="7" a="1"/>
  <c r="AL732" i="7" s="1"/>
  <c r="AL747" i="7" a="1"/>
  <c r="AL747" i="7" s="1"/>
  <c r="AL751" i="7" a="1"/>
  <c r="AL751" i="7" s="1"/>
  <c r="AL770" i="7" a="1"/>
  <c r="AL770" i="7" s="1"/>
  <c r="AL789" i="7" a="1"/>
  <c r="AL789" i="7" s="1"/>
  <c r="AL792" i="7" a="1"/>
  <c r="AL792" i="7" s="1"/>
  <c r="AL809" i="7" a="1"/>
  <c r="AL809" i="7" s="1"/>
  <c r="AL800" i="7" a="1"/>
  <c r="AL800" i="7" s="1"/>
  <c r="AL691" i="7" a="1"/>
  <c r="AL691" i="7" s="1"/>
  <c r="AL688" i="7" a="1"/>
  <c r="AL688" i="7" s="1"/>
  <c r="AL708" i="7" a="1"/>
  <c r="AL708" i="7" s="1"/>
  <c r="AL716" i="7" a="1"/>
  <c r="AL716" i="7" s="1"/>
  <c r="AL714" i="7" a="1"/>
  <c r="AL714" i="7" s="1"/>
  <c r="AL735" i="7" a="1"/>
  <c r="AL735" i="7" s="1"/>
  <c r="AL736" i="7" a="1"/>
  <c r="AL736" i="7" s="1"/>
  <c r="AL756" i="7" a="1"/>
  <c r="AL756" i="7" s="1"/>
  <c r="AL797" i="7" a="1"/>
  <c r="AL797" i="7" s="1"/>
  <c r="AL768" i="7" a="1"/>
  <c r="AL768" i="7" s="1"/>
  <c r="AL803" i="7" a="1"/>
  <c r="AL803" i="7" s="1"/>
  <c r="AL692" i="7" a="1"/>
  <c r="AL692" i="7" s="1"/>
  <c r="AL690" i="7" a="1"/>
  <c r="AL690" i="7" s="1"/>
  <c r="AL699" i="7" a="1"/>
  <c r="AL699" i="7" s="1"/>
  <c r="AL719" i="7" a="1"/>
  <c r="AL719" i="7" s="1"/>
  <c r="AL717" i="7" a="1"/>
  <c r="AL717" i="7" s="1"/>
  <c r="AL728" i="7" a="1"/>
  <c r="AL728" i="7" s="1"/>
  <c r="AL740" i="7" a="1"/>
  <c r="AL740" i="7" s="1"/>
  <c r="AL767" i="7" a="1"/>
  <c r="AL767" i="7" s="1"/>
  <c r="AL759" i="7" a="1"/>
  <c r="AL759" i="7" s="1"/>
  <c r="AL771" i="7" a="1"/>
  <c r="AL771" i="7" s="1"/>
  <c r="AL805" i="7" a="1"/>
  <c r="AL805" i="7" s="1"/>
  <c r="AL682" i="7" a="1"/>
  <c r="AL682" i="7" s="1"/>
  <c r="AL703" i="7" a="1"/>
  <c r="AL703" i="7" s="1"/>
  <c r="AL721" i="7" a="1"/>
  <c r="AL721" i="7" s="1"/>
  <c r="AL731" i="7" a="1"/>
  <c r="AL731" i="7" s="1"/>
  <c r="AL743" i="7" a="1"/>
  <c r="AL743" i="7" s="1"/>
  <c r="AL752" i="7" a="1"/>
  <c r="AL752" i="7" s="1"/>
  <c r="AL763" i="7" a="1"/>
  <c r="AL763" i="7" s="1"/>
  <c r="AL804" i="7" a="1"/>
  <c r="AL804" i="7" s="1"/>
  <c r="AL775" i="7" a="1"/>
  <c r="AL775" i="7" s="1"/>
  <c r="AL774" i="7" a="1"/>
  <c r="AL774" i="7" s="1"/>
  <c r="BB9" i="8"/>
  <c r="AL695" i="7" a="1"/>
  <c r="AL695" i="7" s="1"/>
  <c r="AL715" i="7" a="1"/>
  <c r="AL715" i="7" s="1"/>
  <c r="AL727" i="7" a="1"/>
  <c r="AL727" i="7" s="1"/>
  <c r="AL738" i="7" a="1"/>
  <c r="AL738" i="7" s="1"/>
  <c r="AL742" i="7" a="1"/>
  <c r="AL742" i="7" s="1"/>
  <c r="AL761" i="7" a="1"/>
  <c r="AL761" i="7" s="1"/>
  <c r="AL783" i="7" a="1"/>
  <c r="AL783" i="7" s="1"/>
  <c r="AL769" i="7" a="1"/>
  <c r="AL769" i="7" s="1"/>
  <c r="AL785" i="7" a="1"/>
  <c r="AL785" i="7" s="1"/>
  <c r="AL784" i="7" a="1"/>
  <c r="AL784" i="7" s="1"/>
  <c r="AL794" i="7" a="1"/>
  <c r="AL794" i="7" s="1"/>
  <c r="AL689" i="7" a="1"/>
  <c r="AL689" i="7" s="1"/>
  <c r="AL697" i="7" a="1"/>
  <c r="AL697" i="7" s="1"/>
  <c r="AL718" i="7" a="1"/>
  <c r="AL718" i="7" s="1"/>
  <c r="AL720" i="7" a="1"/>
  <c r="AL720" i="7" s="1"/>
  <c r="AL726" i="7" a="1"/>
  <c r="AL726" i="7" s="1"/>
  <c r="AL741" i="7" a="1"/>
  <c r="AL741" i="7" s="1"/>
  <c r="AL746" i="7" a="1"/>
  <c r="AL746" i="7" s="1"/>
  <c r="AL772" i="7" a="1"/>
  <c r="AL772" i="7" s="1"/>
  <c r="AL788" i="7" a="1"/>
  <c r="AL788" i="7" s="1"/>
  <c r="AL693" i="7" a="1"/>
  <c r="AL693" i="7" s="1"/>
  <c r="AL702" i="7" a="1"/>
  <c r="AL702" i="7" s="1"/>
  <c r="AL722" i="7" a="1"/>
  <c r="AL722" i="7" s="1"/>
  <c r="AL723" i="7" a="1"/>
  <c r="AL723" i="7" s="1"/>
  <c r="AL729" i="7" a="1"/>
  <c r="AL729" i="7" s="1"/>
  <c r="AL745" i="7" a="1"/>
  <c r="AL745" i="7" s="1"/>
  <c r="AL750" i="7" a="1"/>
  <c r="AL750" i="7" s="1"/>
  <c r="AL762" i="7" a="1"/>
  <c r="AL762" i="7" s="1"/>
  <c r="AL776" i="7" a="1"/>
  <c r="AL776" i="7" s="1"/>
  <c r="AL791" i="7" a="1"/>
  <c r="AL791" i="7" s="1"/>
  <c r="AL790" i="7" a="1"/>
  <c r="AL790" i="7" s="1"/>
  <c r="AL681" i="7" a="1"/>
  <c r="AL681" i="7" s="1"/>
  <c r="AL694" i="7" a="1"/>
  <c r="AL694" i="7" s="1"/>
  <c r="AL730" i="7" a="1"/>
  <c r="AL730" i="7" s="1"/>
  <c r="AL700" i="7" a="1"/>
  <c r="AL700" i="7" s="1"/>
  <c r="AL733" i="7" a="1"/>
  <c r="AL733" i="7" s="1"/>
  <c r="AL737" i="7" a="1"/>
  <c r="AL737" i="7" s="1"/>
  <c r="AL748" i="7" a="1"/>
  <c r="AL748" i="7" s="1"/>
  <c r="AL757" i="7" a="1"/>
  <c r="AL757" i="7" s="1"/>
  <c r="AL765" i="7" a="1"/>
  <c r="AL765" i="7" s="1"/>
  <c r="AL779" i="7" a="1"/>
  <c r="AL779" i="7" s="1"/>
  <c r="AL799" i="7" a="1"/>
  <c r="AL799" i="7" s="1"/>
  <c r="AL793" i="7" a="1"/>
  <c r="AL793" i="7" s="1"/>
  <c r="AL683" i="7" a="1"/>
  <c r="AL683" i="7" s="1"/>
  <c r="AL696" i="7" a="1"/>
  <c r="AL696" i="7" s="1"/>
  <c r="AL705" i="7" a="1"/>
  <c r="AL705" i="7" s="1"/>
  <c r="AL704" i="7" a="1"/>
  <c r="AL704" i="7" s="1"/>
  <c r="AL749" i="7" a="1"/>
  <c r="AL749" i="7" s="1"/>
  <c r="AL754" i="7" a="1"/>
  <c r="AL754" i="7" s="1"/>
  <c r="AL760" i="7" a="1"/>
  <c r="AL760" i="7" s="1"/>
  <c r="AL773" i="7" a="1"/>
  <c r="AL773" i="7" s="1"/>
  <c r="AL802" i="7" a="1"/>
  <c r="AL802" i="7" s="1"/>
  <c r="AL796" i="7" a="1"/>
  <c r="AL796" i="7" s="1"/>
  <c r="AL685" i="7" a="1"/>
  <c r="AL685" i="7" s="1"/>
  <c r="AL698" i="7" a="1"/>
  <c r="AL698" i="7" s="1"/>
  <c r="AL709" i="7" a="1"/>
  <c r="AL709" i="7" s="1"/>
  <c r="AL707" i="7" a="1"/>
  <c r="AL707" i="7" s="1"/>
  <c r="AL744" i="7" a="1"/>
  <c r="AL744" i="7" s="1"/>
  <c r="AL755" i="7" a="1"/>
  <c r="AL755" i="7" s="1"/>
  <c r="AL764" i="7" a="1"/>
  <c r="AL764" i="7" s="1"/>
  <c r="AL780" i="7" a="1"/>
  <c r="AL780" i="7" s="1"/>
  <c r="AL786" i="7" a="1"/>
  <c r="AL786" i="7" s="1"/>
  <c r="AL806" i="7" a="1"/>
  <c r="AL806" i="7" s="1"/>
  <c r="AL798" i="7" a="1"/>
  <c r="AL798" i="7" s="1"/>
  <c r="AU550" i="7" a="1"/>
  <c r="AU550" i="7" s="1"/>
  <c r="AU608" i="7" a="1"/>
  <c r="AU608" i="7" s="1"/>
  <c r="AU642" i="7" a="1"/>
  <c r="AU642" i="7" s="1"/>
  <c r="AR684" i="7" a="1"/>
  <c r="AR684" i="7" s="1"/>
  <c r="AR695" i="7" a="1"/>
  <c r="AR695" i="7" s="1"/>
  <c r="AR685" i="7" a="1"/>
  <c r="AR685" i="7" s="1"/>
  <c r="AR692" i="7" a="1"/>
  <c r="AR692" i="7" s="1"/>
  <c r="AR691" i="7" a="1"/>
  <c r="AR691" i="7" s="1"/>
  <c r="AR698" i="7" a="1"/>
  <c r="AR698" i="7" s="1"/>
  <c r="AR696" i="7" a="1"/>
  <c r="AR696" i="7" s="1"/>
  <c r="AR712" i="7" a="1"/>
  <c r="AR712" i="7" s="1"/>
  <c r="AR713" i="7" a="1"/>
  <c r="AR713" i="7" s="1"/>
  <c r="AR726" i="7" a="1"/>
  <c r="AR726" i="7" s="1"/>
  <c r="AR711" i="7" a="1"/>
  <c r="AR711" i="7" s="1"/>
  <c r="AR724" i="7" a="1"/>
  <c r="AR724" i="7" s="1"/>
  <c r="AR730" i="7" a="1"/>
  <c r="AR730" i="7" s="1"/>
  <c r="AR725" i="7" a="1"/>
  <c r="AR725" i="7" s="1"/>
  <c r="AR734" i="7" a="1"/>
  <c r="AR734" i="7" s="1"/>
  <c r="AR738" i="7" a="1"/>
  <c r="AR738" i="7" s="1"/>
  <c r="AR747" i="7" a="1"/>
  <c r="AR747" i="7" s="1"/>
  <c r="AR743" i="7" a="1"/>
  <c r="AR743" i="7" s="1"/>
  <c r="AR739" i="7" a="1"/>
  <c r="AR739" i="7" s="1"/>
  <c r="AR751" i="7" a="1"/>
  <c r="AR751" i="7" s="1"/>
  <c r="AR750" i="7" a="1"/>
  <c r="AR750" i="7" s="1"/>
  <c r="AR754" i="7" a="1"/>
  <c r="AR754" i="7" s="1"/>
  <c r="AR764" i="7" a="1"/>
  <c r="AR764" i="7" s="1"/>
  <c r="AR759" i="7" a="1"/>
  <c r="AR759" i="7" s="1"/>
  <c r="AR755" i="7" a="1"/>
  <c r="AR755" i="7" s="1"/>
  <c r="AR791" i="7" a="1"/>
  <c r="AR791" i="7" s="1"/>
  <c r="AR779" i="7" a="1"/>
  <c r="AR779" i="7" s="1"/>
  <c r="AR775" i="7" a="1"/>
  <c r="AR775" i="7" s="1"/>
  <c r="AR805" i="7" a="1"/>
  <c r="AR805" i="7" s="1"/>
  <c r="AR784" i="7" a="1"/>
  <c r="AR784" i="7" s="1"/>
  <c r="AR795" i="7" a="1"/>
  <c r="AR795" i="7" s="1"/>
  <c r="AR802" i="7" a="1"/>
  <c r="AR802" i="7" s="1"/>
  <c r="AR809" i="7" a="1"/>
  <c r="AR809" i="7" s="1"/>
  <c r="AR792" i="7" a="1"/>
  <c r="AR792" i="7" s="1"/>
  <c r="AL801" i="7" a="1"/>
  <c r="AL801" i="7" s="1"/>
  <c r="AL808" i="7" a="1"/>
  <c r="AL808" i="7" s="1"/>
  <c r="AU591" i="7" a="1"/>
  <c r="AU591" i="7" s="1"/>
  <c r="AU647" i="7" a="1"/>
  <c r="AU647" i="7" s="1"/>
  <c r="V50" i="8"/>
  <c r="W66" i="8"/>
  <c r="AK66" i="8"/>
  <c r="AU599" i="7" a="1"/>
  <c r="AU599" i="7" s="1"/>
  <c r="AU596" i="7" a="1"/>
  <c r="AU596" i="7" s="1"/>
  <c r="AU585" i="7" a="1"/>
  <c r="AU585" i="7" s="1"/>
  <c r="AU603" i="7" a="1"/>
  <c r="AU603" i="7" s="1"/>
  <c r="AU612" i="7" a="1"/>
  <c r="AU612" i="7" s="1"/>
  <c r="AU622" i="7" a="1"/>
  <c r="AU622" i="7" s="1"/>
  <c r="AU625" i="7" a="1"/>
  <c r="AU625" i="7" s="1"/>
  <c r="AU643" i="7" a="1"/>
  <c r="AU643" i="7" s="1"/>
  <c r="AU677" i="7" a="1"/>
  <c r="AU677" i="7" s="1"/>
  <c r="AU556" i="7" a="1"/>
  <c r="AU556" i="7" s="1"/>
  <c r="AU579" i="7" a="1"/>
  <c r="AU579" i="7" s="1"/>
  <c r="AU590" i="7" a="1"/>
  <c r="AU590" i="7" s="1"/>
  <c r="AU628" i="7" a="1"/>
  <c r="AU628" i="7" s="1"/>
  <c r="AU648" i="7" a="1"/>
  <c r="AU648" i="7" s="1"/>
  <c r="AU664" i="7" a="1"/>
  <c r="AU664" i="7" s="1"/>
  <c r="AU577" i="7" a="1"/>
  <c r="AU577" i="7" s="1"/>
  <c r="AU584" i="7" a="1"/>
  <c r="AU584" i="7" s="1"/>
  <c r="AU561" i="7" a="1"/>
  <c r="AU561" i="7" s="1"/>
  <c r="AU581" i="7" a="1"/>
  <c r="AU581" i="7" s="1"/>
  <c r="AU637" i="7" a="1"/>
  <c r="AU637" i="7" s="1"/>
  <c r="AU618" i="7" a="1"/>
  <c r="AU618" i="7" s="1"/>
  <c r="AU654" i="7" a="1"/>
  <c r="AU654" i="7" s="1"/>
  <c r="AU652" i="7" a="1"/>
  <c r="AU652" i="7" s="1"/>
  <c r="AU580" i="7" a="1"/>
  <c r="AU580" i="7" s="1"/>
  <c r="AU595" i="7" a="1"/>
  <c r="AU595" i="7" s="1"/>
  <c r="AU629" i="7" a="1"/>
  <c r="AU629" i="7" s="1"/>
  <c r="AU650" i="7" a="1"/>
  <c r="AU650" i="7" s="1"/>
  <c r="AU671" i="7" a="1"/>
  <c r="AU671" i="7" s="1"/>
  <c r="AU553" i="7" a="1"/>
  <c r="AU553" i="7" s="1"/>
  <c r="AU597" i="7" a="1"/>
  <c r="AU597" i="7" s="1"/>
  <c r="AU605" i="7" a="1"/>
  <c r="AU605" i="7" s="1"/>
  <c r="AU633" i="7" a="1"/>
  <c r="AU633" i="7" s="1"/>
  <c r="AU640" i="7" a="1"/>
  <c r="AU640" i="7" s="1"/>
  <c r="AU645" i="7" a="1"/>
  <c r="AU645" i="7" s="1"/>
  <c r="AR673" i="7" a="1"/>
  <c r="AR673" i="7" s="1"/>
  <c r="AV780" i="7" a="1"/>
  <c r="AV780" i="7" s="1"/>
  <c r="AZ361" i="7" a="1"/>
  <c r="AZ361" i="7" s="1"/>
  <c r="AR585" i="7" a="1"/>
  <c r="AR585" i="7" s="1"/>
  <c r="AR569" i="7" a="1"/>
  <c r="AR569" i="7" s="1"/>
  <c r="BB784" i="7" a="1"/>
  <c r="BB784" i="7" s="1"/>
  <c r="AV717" i="7" a="1"/>
  <c r="AV717" i="7" s="1"/>
  <c r="AR631" i="7" a="1"/>
  <c r="AR631" i="7" s="1"/>
  <c r="AV733" i="7" a="1"/>
  <c r="AV733" i="7" s="1"/>
  <c r="AZ364" i="7" a="1"/>
  <c r="AZ364" i="7" s="1"/>
  <c r="AR571" i="7" a="1"/>
  <c r="AR571" i="7" s="1"/>
  <c r="AR601" i="7" a="1"/>
  <c r="AR601" i="7" s="1"/>
  <c r="AR621" i="7" a="1"/>
  <c r="AR621" i="7" s="1"/>
  <c r="AR641" i="7" a="1"/>
  <c r="AR641" i="7" s="1"/>
  <c r="BB696" i="7" a="1"/>
  <c r="BB696" i="7" s="1"/>
  <c r="BB798" i="7" a="1"/>
  <c r="BB798" i="7" s="1"/>
  <c r="AV688" i="7" a="1"/>
  <c r="AV688" i="7" s="1"/>
  <c r="AV718" i="7" a="1"/>
  <c r="AV718" i="7" s="1"/>
  <c r="AV735" i="7" a="1"/>
  <c r="AV735" i="7" s="1"/>
  <c r="AV754" i="7" a="1"/>
  <c r="AV754" i="7" s="1"/>
  <c r="AV800" i="7" a="1"/>
  <c r="AV800" i="7" s="1"/>
  <c r="AR559" i="7" a="1"/>
  <c r="AR559" i="7" s="1"/>
  <c r="AR570" i="7" a="1"/>
  <c r="AR570" i="7" s="1"/>
  <c r="AR602" i="7" a="1"/>
  <c r="AR602" i="7" s="1"/>
  <c r="AR662" i="7" a="1"/>
  <c r="AR662" i="7" s="1"/>
  <c r="BB702" i="7" a="1"/>
  <c r="BB702" i="7" s="1"/>
  <c r="AV690" i="7" a="1"/>
  <c r="AV690" i="7" s="1"/>
  <c r="AV750" i="7" a="1"/>
  <c r="AV750" i="7" s="1"/>
  <c r="AV760" i="7" a="1"/>
  <c r="AV760" i="7" s="1"/>
  <c r="AV792" i="7" a="1"/>
  <c r="AV792" i="7" s="1"/>
  <c r="AZ397" i="7" a="1"/>
  <c r="AZ397" i="7" s="1"/>
  <c r="AR549" i="7" a="1"/>
  <c r="AR549" i="7" s="1"/>
  <c r="AR592" i="7" a="1"/>
  <c r="AR592" i="7" s="1"/>
  <c r="AR617" i="7" a="1"/>
  <c r="AR617" i="7" s="1"/>
  <c r="AR620" i="7" a="1"/>
  <c r="AR620" i="7" s="1"/>
  <c r="AR654" i="7" a="1"/>
  <c r="AR654" i="7" s="1"/>
  <c r="AV700" i="7" a="1"/>
  <c r="AV700" i="7" s="1"/>
  <c r="AV705" i="7" a="1"/>
  <c r="AV705" i="7" s="1"/>
  <c r="AV763" i="7" a="1"/>
  <c r="AV763" i="7" s="1"/>
  <c r="AV774" i="7" a="1"/>
  <c r="AV774" i="7" s="1"/>
  <c r="AV806" i="7" a="1"/>
  <c r="AV806" i="7" s="1"/>
  <c r="AR553" i="7" a="1"/>
  <c r="AR553" i="7" s="1"/>
  <c r="AR588" i="7" a="1"/>
  <c r="AR588" i="7" s="1"/>
  <c r="AR574" i="7" a="1"/>
  <c r="AR574" i="7" s="1"/>
  <c r="AR573" i="7" a="1"/>
  <c r="AR573" i="7" s="1"/>
  <c r="AR594" i="7" a="1"/>
  <c r="AR594" i="7" s="1"/>
  <c r="AR612" i="7" a="1"/>
  <c r="AR612" i="7" s="1"/>
  <c r="AR603" i="7" a="1"/>
  <c r="AR603" i="7" s="1"/>
  <c r="AR625" i="7" a="1"/>
  <c r="AR625" i="7" s="1"/>
  <c r="AR628" i="7" a="1"/>
  <c r="AR628" i="7" s="1"/>
  <c r="AR623" i="7" a="1"/>
  <c r="AR623" i="7" s="1"/>
  <c r="AR664" i="7" a="1"/>
  <c r="AR664" i="7" s="1"/>
  <c r="AR663" i="7" a="1"/>
  <c r="AR663" i="7" s="1"/>
  <c r="AR675" i="7" a="1"/>
  <c r="AR675" i="7" s="1"/>
  <c r="BB718" i="7" a="1"/>
  <c r="BB718" i="7" s="1"/>
  <c r="BB717" i="7" a="1"/>
  <c r="BB717" i="7" s="1"/>
  <c r="BB752" i="7" a="1"/>
  <c r="BB752" i="7" s="1"/>
  <c r="BB770" i="7" a="1"/>
  <c r="BB770" i="7" s="1"/>
  <c r="BB805" i="7" a="1"/>
  <c r="BB805" i="7" s="1"/>
  <c r="AV691" i="7" a="1"/>
  <c r="AV691" i="7" s="1"/>
  <c r="AV692" i="7" a="1"/>
  <c r="AV692" i="7" s="1"/>
  <c r="AV703" i="7" a="1"/>
  <c r="AV703" i="7" s="1"/>
  <c r="AV734" i="7" a="1"/>
  <c r="AV734" i="7" s="1"/>
  <c r="AV722" i="7" a="1"/>
  <c r="AV722" i="7" s="1"/>
  <c r="AV725" i="7" a="1"/>
  <c r="AV725" i="7" s="1"/>
  <c r="AV709" i="7" a="1"/>
  <c r="AV709" i="7" s="1"/>
  <c r="AV726" i="7" a="1"/>
  <c r="AV726" i="7" s="1"/>
  <c r="AV739" i="7" a="1"/>
  <c r="AV739" i="7" s="1"/>
  <c r="AV737" i="7" a="1"/>
  <c r="AV737" i="7" s="1"/>
  <c r="AV756" i="7" a="1"/>
  <c r="AV756" i="7" s="1"/>
  <c r="AV762" i="7" a="1"/>
  <c r="AV762" i="7" s="1"/>
  <c r="AV758" i="7" a="1"/>
  <c r="AV758" i="7" s="1"/>
  <c r="AV764" i="7" a="1"/>
  <c r="AV764" i="7" s="1"/>
  <c r="AV777" i="7" a="1"/>
  <c r="AV777" i="7" s="1"/>
  <c r="AV783" i="7" a="1"/>
  <c r="AV783" i="7" s="1"/>
  <c r="AV801" i="7" a="1"/>
  <c r="AV801" i="7" s="1"/>
  <c r="AV793" i="7" a="1"/>
  <c r="AV793" i="7" s="1"/>
  <c r="AV807" i="7" a="1"/>
  <c r="AV807" i="7" s="1"/>
  <c r="AZ326" i="7" a="1"/>
  <c r="AZ326" i="7" s="1"/>
  <c r="AR550" i="7" a="1"/>
  <c r="AR550" i="7" s="1"/>
  <c r="AR565" i="7" a="1"/>
  <c r="AR565" i="7" s="1"/>
  <c r="AR590" i="7" a="1"/>
  <c r="AR590" i="7" s="1"/>
  <c r="AR578" i="7" a="1"/>
  <c r="AR578" i="7" s="1"/>
  <c r="AR577" i="7" a="1"/>
  <c r="AR577" i="7" s="1"/>
  <c r="AR596" i="7" a="1"/>
  <c r="AR596" i="7" s="1"/>
  <c r="AR576" i="7" a="1"/>
  <c r="AR576" i="7" s="1"/>
  <c r="AR622" i="7" a="1"/>
  <c r="AR622" i="7" s="1"/>
  <c r="AR605" i="7" a="1"/>
  <c r="AR605" i="7" s="1"/>
  <c r="AR611" i="7" a="1"/>
  <c r="AR611" i="7" s="1"/>
  <c r="AR634" i="7" a="1"/>
  <c r="AR634" i="7" s="1"/>
  <c r="AR640" i="7" a="1"/>
  <c r="AR640" i="7" s="1"/>
  <c r="AR630" i="7" a="1"/>
  <c r="AR630" i="7" s="1"/>
  <c r="AR666" i="7" a="1"/>
  <c r="AR666" i="7" s="1"/>
  <c r="AR648" i="7" a="1"/>
  <c r="AR648" i="7" s="1"/>
  <c r="AR665" i="7" a="1"/>
  <c r="AR665" i="7" s="1"/>
  <c r="AR677" i="7" a="1"/>
  <c r="AR677" i="7" s="1"/>
  <c r="AR676" i="7" a="1"/>
  <c r="AR676" i="7" s="1"/>
  <c r="BB692" i="7" a="1"/>
  <c r="BB692" i="7" s="1"/>
  <c r="BB736" i="7" a="1"/>
  <c r="BB736" i="7" s="1"/>
  <c r="BB759" i="7" a="1"/>
  <c r="BB759" i="7" s="1"/>
  <c r="BB783" i="7" a="1"/>
  <c r="BB783" i="7" s="1"/>
  <c r="BB812" i="7" a="1"/>
  <c r="BB812" i="7" s="1"/>
  <c r="AV683" i="7" a="1"/>
  <c r="AV683" i="7" s="1"/>
  <c r="AV686" i="7" a="1"/>
  <c r="AV686" i="7" s="1"/>
  <c r="AV696" i="7" a="1"/>
  <c r="AV696" i="7" s="1"/>
  <c r="AV697" i="7" a="1"/>
  <c r="AV697" i="7" s="1"/>
  <c r="AV711" i="7" a="1"/>
  <c r="AV711" i="7" s="1"/>
  <c r="AV712" i="7" a="1"/>
  <c r="AV712" i="7" s="1"/>
  <c r="AV723" i="7" a="1"/>
  <c r="AV723" i="7" s="1"/>
  <c r="AV727" i="7" a="1"/>
  <c r="AV727" i="7" s="1"/>
  <c r="AV743" i="7" a="1"/>
  <c r="AV743" i="7" s="1"/>
  <c r="AV738" i="7" a="1"/>
  <c r="AV738" i="7" s="1"/>
  <c r="AV752" i="7" a="1"/>
  <c r="AV752" i="7" s="1"/>
  <c r="AV786" i="7" a="1"/>
  <c r="AV786" i="7" s="1"/>
  <c r="AV772" i="7" a="1"/>
  <c r="AV772" i="7" s="1"/>
  <c r="AV779" i="7" a="1"/>
  <c r="AV779" i="7" s="1"/>
  <c r="AV778" i="7" a="1"/>
  <c r="AV778" i="7" s="1"/>
  <c r="AV770" i="7" a="1"/>
  <c r="AV770" i="7" s="1"/>
  <c r="AV808" i="7" a="1"/>
  <c r="AV808" i="7" s="1"/>
  <c r="AV794" i="7" a="1"/>
  <c r="AV794" i="7" s="1"/>
  <c r="AZ350" i="7" a="1"/>
  <c r="AZ350" i="7" s="1"/>
  <c r="AZ399" i="7" a="1"/>
  <c r="AZ399" i="7" s="1"/>
  <c r="AR554" i="7" a="1"/>
  <c r="AR554" i="7" s="1"/>
  <c r="AR557" i="7" a="1"/>
  <c r="AR557" i="7" s="1"/>
  <c r="AR564" i="7" a="1"/>
  <c r="AR564" i="7" s="1"/>
  <c r="AR563" i="7" a="1"/>
  <c r="AR563" i="7" s="1"/>
  <c r="AR589" i="7" a="1"/>
  <c r="AR589" i="7" s="1"/>
  <c r="AR562" i="7" a="1"/>
  <c r="AR562" i="7" s="1"/>
  <c r="AR597" i="7" a="1"/>
  <c r="AR597" i="7" s="1"/>
  <c r="AR613" i="7" a="1"/>
  <c r="AR613" i="7" s="1"/>
  <c r="AR616" i="7" a="1"/>
  <c r="AR616" i="7" s="1"/>
  <c r="AR627" i="7" a="1"/>
  <c r="AR627" i="7" s="1"/>
  <c r="AR609" i="7" a="1"/>
  <c r="AR609" i="7" s="1"/>
  <c r="AR637" i="7" a="1"/>
  <c r="AR637" i="7" s="1"/>
  <c r="AR659" i="7" a="1"/>
  <c r="AR659" i="7" s="1"/>
  <c r="AR652" i="7" a="1"/>
  <c r="AR652" i="7" s="1"/>
  <c r="AR658" i="7" a="1"/>
  <c r="AR658" i="7" s="1"/>
  <c r="AR647" i="7" a="1"/>
  <c r="AR647" i="7" s="1"/>
  <c r="AR669" i="7" a="1"/>
  <c r="AR669" i="7" s="1"/>
  <c r="BB690" i="7" a="1"/>
  <c r="BB690" i="7" s="1"/>
  <c r="BB710" i="7" a="1"/>
  <c r="BB710" i="7" s="1"/>
  <c r="BB753" i="7" a="1"/>
  <c r="BB753" i="7" s="1"/>
  <c r="BB757" i="7" a="1"/>
  <c r="BB757" i="7" s="1"/>
  <c r="BB806" i="7" a="1"/>
  <c r="BB806" i="7" s="1"/>
  <c r="AV689" i="7" a="1"/>
  <c r="AV689" i="7" s="1"/>
  <c r="AV721" i="7" a="1"/>
  <c r="AV721" i="7" s="1"/>
  <c r="AV698" i="7" a="1"/>
  <c r="AV698" i="7" s="1"/>
  <c r="AV715" i="7" a="1"/>
  <c r="AV715" i="7" s="1"/>
  <c r="AV719" i="7" a="1"/>
  <c r="AV719" i="7" s="1"/>
  <c r="AV702" i="7" a="1"/>
  <c r="AV702" i="7" s="1"/>
  <c r="AV749" i="7" a="1"/>
  <c r="AV749" i="7" s="1"/>
  <c r="AV748" i="7" a="1"/>
  <c r="AV748" i="7" s="1"/>
  <c r="AV745" i="7" a="1"/>
  <c r="AV745" i="7" s="1"/>
  <c r="AV766" i="7" a="1"/>
  <c r="AV766" i="7" s="1"/>
  <c r="AV755" i="7" a="1"/>
  <c r="AV755" i="7" s="1"/>
  <c r="AV768" i="7" a="1"/>
  <c r="AV768" i="7" s="1"/>
  <c r="AV757" i="7" a="1"/>
  <c r="AV757" i="7" s="1"/>
  <c r="AV785" i="7" a="1"/>
  <c r="AV785" i="7" s="1"/>
  <c r="AV798" i="7" a="1"/>
  <c r="AV798" i="7" s="1"/>
  <c r="AV812" i="7" a="1"/>
  <c r="AV812" i="7" s="1"/>
  <c r="AV804" i="7" a="1"/>
  <c r="AV804" i="7" s="1"/>
  <c r="AZ341" i="7" a="1"/>
  <c r="AZ341" i="7" s="1"/>
  <c r="AR552" i="7" a="1"/>
  <c r="AR552" i="7" s="1"/>
  <c r="AR568" i="7" a="1"/>
  <c r="AR568" i="7" s="1"/>
  <c r="AR591" i="7" a="1"/>
  <c r="AR591" i="7" s="1"/>
  <c r="AR581" i="7" a="1"/>
  <c r="AR581" i="7" s="1"/>
  <c r="AR580" i="7" a="1"/>
  <c r="AR580" i="7" s="1"/>
  <c r="AR599" i="7" a="1"/>
  <c r="AR599" i="7" s="1"/>
  <c r="AR579" i="7" a="1"/>
  <c r="AR579" i="7" s="1"/>
  <c r="AR604" i="7" a="1"/>
  <c r="AR604" i="7" s="1"/>
  <c r="AR607" i="7" a="1"/>
  <c r="AR607" i="7" s="1"/>
  <c r="AR619" i="7" a="1"/>
  <c r="AR619" i="7" s="1"/>
  <c r="AR636" i="7" a="1"/>
  <c r="AR636" i="7" s="1"/>
  <c r="AR643" i="7" a="1"/>
  <c r="AR643" i="7" s="1"/>
  <c r="AR632" i="7" a="1"/>
  <c r="AR632" i="7" s="1"/>
  <c r="AR667" i="7" a="1"/>
  <c r="AR667" i="7" s="1"/>
  <c r="AR642" i="7" a="1"/>
  <c r="AR642" i="7" s="1"/>
  <c r="AR651" i="7" a="1"/>
  <c r="AR651" i="7" s="1"/>
  <c r="AR670" i="7" a="1"/>
  <c r="AR670" i="7" s="1"/>
  <c r="AR679" i="7" a="1"/>
  <c r="AR679" i="7" s="1"/>
  <c r="AR678" i="7" a="1"/>
  <c r="AR678" i="7" s="1"/>
  <c r="BB700" i="7" a="1"/>
  <c r="BB700" i="7" s="1"/>
  <c r="BB727" i="7" a="1"/>
  <c r="BB727" i="7" s="1"/>
  <c r="BB785" i="7" a="1"/>
  <c r="BB785" i="7" s="1"/>
  <c r="BB776" i="7" a="1"/>
  <c r="BB776" i="7" s="1"/>
  <c r="AZ312" i="7" a="1"/>
  <c r="AZ312" i="7" s="1"/>
  <c r="AV694" i="7" a="1"/>
  <c r="AV694" i="7" s="1"/>
  <c r="AV693" i="7" a="1"/>
  <c r="AV693" i="7" s="1"/>
  <c r="AV706" i="7" a="1"/>
  <c r="AV706" i="7" s="1"/>
  <c r="AV701" i="7" a="1"/>
  <c r="AV701" i="7" s="1"/>
  <c r="AV732" i="7" a="1"/>
  <c r="AV732" i="7" s="1"/>
  <c r="AV713" i="7" a="1"/>
  <c r="AV713" i="7" s="1"/>
  <c r="AV724" i="7" a="1"/>
  <c r="AV724" i="7" s="1"/>
  <c r="AV729" i="7" a="1"/>
  <c r="AV729" i="7" s="1"/>
  <c r="AV742" i="7" a="1"/>
  <c r="AV742" i="7" s="1"/>
  <c r="AV759" i="7" a="1"/>
  <c r="AV759" i="7" s="1"/>
  <c r="AV765" i="7" a="1"/>
  <c r="AV765" i="7" s="1"/>
  <c r="AV761" i="7" a="1"/>
  <c r="AV761" i="7" s="1"/>
  <c r="AV789" i="7" a="1"/>
  <c r="AV789" i="7" s="1"/>
  <c r="AV781" i="7" a="1"/>
  <c r="AV781" i="7" s="1"/>
  <c r="AV787" i="7" a="1"/>
  <c r="AV787" i="7" s="1"/>
  <c r="AV803" i="7" a="1"/>
  <c r="AV803" i="7" s="1"/>
  <c r="AV795" i="7" a="1"/>
  <c r="AV795" i="7" s="1"/>
  <c r="AV809" i="7" a="1"/>
  <c r="AV809" i="7" s="1"/>
  <c r="AZ384" i="7" a="1"/>
  <c r="AZ384" i="7" s="1"/>
  <c r="AZ299" i="7" a="1"/>
  <c r="AZ299" i="7" s="1"/>
  <c r="AZ347" i="7" a="1"/>
  <c r="AZ347" i="7" s="1"/>
  <c r="AR560" i="7" a="1"/>
  <c r="AR560" i="7" s="1"/>
  <c r="AR555" i="7" a="1"/>
  <c r="AR555" i="7" s="1"/>
  <c r="AR572" i="7" a="1"/>
  <c r="AR572" i="7" s="1"/>
  <c r="AR593" i="7" a="1"/>
  <c r="AR593" i="7" s="1"/>
  <c r="AR584" i="7" a="1"/>
  <c r="AR584" i="7" s="1"/>
  <c r="AR583" i="7" a="1"/>
  <c r="AR583" i="7" s="1"/>
  <c r="AR606" i="7" a="1"/>
  <c r="AR606" i="7" s="1"/>
  <c r="AR626" i="7" a="1"/>
  <c r="AR626" i="7" s="1"/>
  <c r="AR638" i="7" a="1"/>
  <c r="AR638" i="7" s="1"/>
  <c r="AR653" i="7" a="1"/>
  <c r="AR653" i="7" s="1"/>
  <c r="AR633" i="7" a="1"/>
  <c r="AR633" i="7" s="1"/>
  <c r="AR656" i="7" a="1"/>
  <c r="AR656" i="7" s="1"/>
  <c r="AR645" i="7" a="1"/>
  <c r="AR645" i="7" s="1"/>
  <c r="AR655" i="7" a="1"/>
  <c r="AR655" i="7" s="1"/>
  <c r="AR674" i="7" a="1"/>
  <c r="AR674" i="7" s="1"/>
  <c r="AR680" i="7" a="1"/>
  <c r="AR680" i="7" s="1"/>
  <c r="BB712" i="7" a="1"/>
  <c r="BB712" i="7" s="1"/>
  <c r="AV682" i="7" a="1"/>
  <c r="AV682" i="7" s="1"/>
  <c r="AV699" i="7" a="1"/>
  <c r="AV699" i="7" s="1"/>
  <c r="AV707" i="7" a="1"/>
  <c r="AV707" i="7" s="1"/>
  <c r="AV728" i="7" a="1"/>
  <c r="AV728" i="7" s="1"/>
  <c r="AV736" i="7" a="1"/>
  <c r="AV736" i="7" s="1"/>
  <c r="AV746" i="7" a="1"/>
  <c r="AV746" i="7" s="1"/>
  <c r="AV744" i="7" a="1"/>
  <c r="AV744" i="7" s="1"/>
  <c r="AV751" i="7" a="1"/>
  <c r="AV751" i="7" s="1"/>
  <c r="AV767" i="7" a="1"/>
  <c r="AV767" i="7" s="1"/>
  <c r="AV771" i="7" a="1"/>
  <c r="AV771" i="7" s="1"/>
  <c r="AV784" i="7" a="1"/>
  <c r="AV784" i="7" s="1"/>
  <c r="AV791" i="7" a="1"/>
  <c r="AV791" i="7" s="1"/>
  <c r="AV805" i="7" a="1"/>
  <c r="AV805" i="7" s="1"/>
  <c r="AV797" i="7" a="1"/>
  <c r="AV797" i="7" s="1"/>
  <c r="AV811" i="7" a="1"/>
  <c r="AV811" i="7" s="1"/>
  <c r="AZ349" i="7" a="1"/>
  <c r="AZ349" i="7" s="1"/>
  <c r="AZ316" i="7" a="1"/>
  <c r="AZ316" i="7" s="1"/>
  <c r="AZ330" i="7" a="1"/>
  <c r="AZ330" i="7" s="1"/>
  <c r="AR551" i="7" a="1"/>
  <c r="AR551" i="7" s="1"/>
  <c r="AR556" i="7" a="1"/>
  <c r="AR556" i="7" s="1"/>
  <c r="AR575" i="7" a="1"/>
  <c r="AR575" i="7" s="1"/>
  <c r="AR595" i="7" a="1"/>
  <c r="AR595" i="7" s="1"/>
  <c r="AR600" i="7" a="1"/>
  <c r="AR600" i="7" s="1"/>
  <c r="AR587" i="7" a="1"/>
  <c r="AR587" i="7" s="1"/>
  <c r="AR586" i="7" a="1"/>
  <c r="AR586" i="7" s="1"/>
  <c r="AR608" i="7" a="1"/>
  <c r="AR608" i="7" s="1"/>
  <c r="AR615" i="7" a="1"/>
  <c r="AR615" i="7" s="1"/>
  <c r="AR646" i="7" a="1"/>
  <c r="AR646" i="7" s="1"/>
  <c r="AR639" i="7" a="1"/>
  <c r="AR639" i="7" s="1"/>
  <c r="AR624" i="7" a="1"/>
  <c r="AR624" i="7" s="1"/>
  <c r="AR635" i="7" a="1"/>
  <c r="AR635" i="7" s="1"/>
  <c r="AR657" i="7" a="1"/>
  <c r="AR657" i="7" s="1"/>
  <c r="AR649" i="7" a="1"/>
  <c r="AR649" i="7" s="1"/>
  <c r="AR644" i="7" a="1"/>
  <c r="AR644" i="7" s="1"/>
  <c r="AR668" i="7" a="1"/>
  <c r="AR668" i="7" s="1"/>
  <c r="BB687" i="7" a="1"/>
  <c r="BB687" i="7" s="1"/>
  <c r="BB735" i="7" a="1"/>
  <c r="BB735" i="7" s="1"/>
  <c r="BB758" i="7" a="1"/>
  <c r="BB758" i="7" s="1"/>
  <c r="BB799" i="7" a="1"/>
  <c r="BB799" i="7" s="1"/>
  <c r="AZ306" i="7" a="1"/>
  <c r="AZ306" i="7" s="1"/>
  <c r="AV681" i="7" a="1"/>
  <c r="AV681" i="7" s="1"/>
  <c r="AV684" i="7" a="1"/>
  <c r="AV684" i="7" s="1"/>
  <c r="AV710" i="7" a="1"/>
  <c r="AV710" i="7" s="1"/>
  <c r="AV695" i="7" a="1"/>
  <c r="AV695" i="7" s="1"/>
  <c r="AV708" i="7" a="1"/>
  <c r="AV708" i="7" s="1"/>
  <c r="AV720" i="7" a="1"/>
  <c r="AV720" i="7" s="1"/>
  <c r="AV731" i="7" a="1"/>
  <c r="AV731" i="7" s="1"/>
  <c r="AV740" i="7" a="1"/>
  <c r="AV740" i="7" s="1"/>
  <c r="AV747" i="7" a="1"/>
  <c r="AV747" i="7" s="1"/>
  <c r="AV769" i="7" a="1"/>
  <c r="AV769" i="7" s="1"/>
  <c r="AV775" i="7" a="1"/>
  <c r="AV775" i="7" s="1"/>
  <c r="AV788" i="7" a="1"/>
  <c r="AV788" i="7" s="1"/>
  <c r="AV799" i="7" a="1"/>
  <c r="AV799" i="7" s="1"/>
  <c r="AZ373" i="7" a="1"/>
  <c r="AZ373" i="7" s="1"/>
  <c r="AR561" i="7" a="1"/>
  <c r="AR561" i="7" s="1"/>
  <c r="AR558" i="7" a="1"/>
  <c r="AR558" i="7" s="1"/>
  <c r="AR582" i="7" a="1"/>
  <c r="AR582" i="7" s="1"/>
  <c r="AR567" i="7" a="1"/>
  <c r="AR567" i="7" s="1"/>
  <c r="AR566" i="7" a="1"/>
  <c r="AR566" i="7" s="1"/>
  <c r="AR598" i="7" a="1"/>
  <c r="AR598" i="7" s="1"/>
  <c r="AR614" i="7" a="1"/>
  <c r="AR614" i="7" s="1"/>
  <c r="AR610" i="7" a="1"/>
  <c r="AR610" i="7" s="1"/>
  <c r="AR629" i="7" a="1"/>
  <c r="AR629" i="7" s="1"/>
  <c r="AR618" i="7" a="1"/>
  <c r="AR618" i="7" s="1"/>
  <c r="AR650" i="7" a="1"/>
  <c r="AR650" i="7" s="1"/>
  <c r="AR661" i="7" a="1"/>
  <c r="AR661" i="7" s="1"/>
  <c r="AR672" i="7" a="1"/>
  <c r="AR672" i="7" s="1"/>
  <c r="AR660" i="7" a="1"/>
  <c r="AR660" i="7" s="1"/>
  <c r="BB685" i="7" a="1"/>
  <c r="BB685" i="7" s="1"/>
  <c r="BB723" i="7" a="1"/>
  <c r="BB723" i="7" s="1"/>
  <c r="BB745" i="7" a="1"/>
  <c r="BB745" i="7" s="1"/>
  <c r="BB793" i="7" a="1"/>
  <c r="BB793" i="7" s="1"/>
  <c r="AZ368" i="7" a="1"/>
  <c r="AZ368" i="7" s="1"/>
  <c r="AV685" i="7" a="1"/>
  <c r="AV685" i="7" s="1"/>
  <c r="AV687" i="7" a="1"/>
  <c r="AV687" i="7" s="1"/>
  <c r="AV714" i="7" a="1"/>
  <c r="AV714" i="7" s="1"/>
  <c r="AV704" i="7" a="1"/>
  <c r="AV704" i="7" s="1"/>
  <c r="AV716" i="7" a="1"/>
  <c r="AV716" i="7" s="1"/>
  <c r="AV730" i="7" a="1"/>
  <c r="AV730" i="7" s="1"/>
  <c r="AV741" i="7" a="1"/>
  <c r="AV741" i="7" s="1"/>
  <c r="AV753" i="7" a="1"/>
  <c r="AV753" i="7" s="1"/>
  <c r="AV790" i="7" a="1"/>
  <c r="AV790" i="7" s="1"/>
  <c r="AV776" i="7" a="1"/>
  <c r="AV776" i="7" s="1"/>
  <c r="AV782" i="7" a="1"/>
  <c r="AV782" i="7" s="1"/>
  <c r="AV773" i="7" a="1"/>
  <c r="AV773" i="7" s="1"/>
  <c r="AV796" i="7" a="1"/>
  <c r="AV796" i="7" s="1"/>
  <c r="AV810" i="7" a="1"/>
  <c r="AV810" i="7" s="1"/>
  <c r="AZ379" i="7" a="1"/>
  <c r="AZ379" i="7" s="1"/>
  <c r="AZ323" i="7" a="1"/>
  <c r="AZ323" i="7" s="1"/>
  <c r="AK33" i="8"/>
  <c r="X66" i="8"/>
  <c r="BB682" i="7" a="1"/>
  <c r="BB682" i="7" s="1"/>
  <c r="BB689" i="7" a="1"/>
  <c r="BB689" i="7" s="1"/>
  <c r="BB691" i="7" a="1"/>
  <c r="BB691" i="7" s="1"/>
  <c r="BB704" i="7" a="1"/>
  <c r="BB704" i="7" s="1"/>
  <c r="BB695" i="7" a="1"/>
  <c r="BB695" i="7" s="1"/>
  <c r="BB715" i="7" a="1"/>
  <c r="BB715" i="7" s="1"/>
  <c r="BB716" i="7" a="1"/>
  <c r="BB716" i="7" s="1"/>
  <c r="BB699" i="7" a="1"/>
  <c r="BB699" i="7" s="1"/>
  <c r="BB713" i="7" a="1"/>
  <c r="BB713" i="7" s="1"/>
  <c r="BB740" i="7" a="1"/>
  <c r="BB740" i="7" s="1"/>
  <c r="BB705" i="7" a="1"/>
  <c r="BB705" i="7" s="1"/>
  <c r="BB721" i="7" a="1"/>
  <c r="BB721" i="7" s="1"/>
  <c r="BB750" i="7" a="1"/>
  <c r="BB750" i="7" s="1"/>
  <c r="BB730" i="7" a="1"/>
  <c r="BB730" i="7" s="1"/>
  <c r="BB726" i="7" a="1"/>
  <c r="BB726" i="7" s="1"/>
  <c r="BB739" i="7" a="1"/>
  <c r="BB739" i="7" s="1"/>
  <c r="BB747" i="7" a="1"/>
  <c r="BB747" i="7" s="1"/>
  <c r="BB744" i="7" a="1"/>
  <c r="BB744" i="7" s="1"/>
  <c r="BB751" i="7" a="1"/>
  <c r="BB751" i="7" s="1"/>
  <c r="BB763" i="7" a="1"/>
  <c r="BB763" i="7" s="1"/>
  <c r="BB768" i="7" a="1"/>
  <c r="BB768" i="7" s="1"/>
  <c r="BB762" i="7" a="1"/>
  <c r="BB762" i="7" s="1"/>
  <c r="BB761" i="7" a="1"/>
  <c r="BB761" i="7" s="1"/>
  <c r="BB760" i="7" a="1"/>
  <c r="BB760" i="7" s="1"/>
  <c r="BB774" i="7" a="1"/>
  <c r="BB774" i="7" s="1"/>
  <c r="BB788" i="7" a="1"/>
  <c r="BB788" i="7" s="1"/>
  <c r="BB773" i="7" a="1"/>
  <c r="BB773" i="7" s="1"/>
  <c r="BB787" i="7" a="1"/>
  <c r="BB787" i="7" s="1"/>
  <c r="BB779" i="7" a="1"/>
  <c r="BB779" i="7" s="1"/>
  <c r="BB792" i="7" a="1"/>
  <c r="BB792" i="7" s="1"/>
  <c r="BB807" i="7" a="1"/>
  <c r="BB807" i="7" s="1"/>
  <c r="BB794" i="7" a="1"/>
  <c r="BB794" i="7" s="1"/>
  <c r="BB800" i="7" a="1"/>
  <c r="BB800" i="7" s="1"/>
  <c r="BB791" i="7" a="1"/>
  <c r="BB791" i="7" s="1"/>
  <c r="AZ305" i="7" a="1"/>
  <c r="AZ305" i="7" s="1"/>
  <c r="AZ309" i="7" a="1"/>
  <c r="AZ309" i="7" s="1"/>
  <c r="AZ360" i="7" a="1"/>
  <c r="AZ360" i="7" s="1"/>
  <c r="AZ321" i="7" a="1"/>
  <c r="AZ321" i="7" s="1"/>
  <c r="AZ356" i="7" a="1"/>
  <c r="AZ356" i="7" s="1"/>
  <c r="AZ380" i="7" a="1"/>
  <c r="AZ380" i="7" s="1"/>
  <c r="AZ348" i="7" a="1"/>
  <c r="AZ348" i="7" s="1"/>
  <c r="AZ409" i="7" a="1"/>
  <c r="AZ409" i="7" s="1"/>
  <c r="AZ402" i="7" a="1"/>
  <c r="AZ402" i="7" s="1"/>
  <c r="AZ411" i="7" a="1"/>
  <c r="AZ411" i="7" s="1"/>
  <c r="AZ413" i="7" a="1"/>
  <c r="AZ413" i="7" s="1"/>
  <c r="AZ292" i="7" a="1"/>
  <c r="AZ292" i="7" s="1"/>
  <c r="BB684" i="7" a="1"/>
  <c r="BB684" i="7" s="1"/>
  <c r="BB693" i="7" a="1"/>
  <c r="BB693" i="7" s="1"/>
  <c r="BB681" i="7" a="1"/>
  <c r="BB681" i="7" s="1"/>
  <c r="BB688" i="7" a="1"/>
  <c r="BB688" i="7" s="1"/>
  <c r="BB701" i="7" a="1"/>
  <c r="BB701" i="7" s="1"/>
  <c r="BB697" i="7" a="1"/>
  <c r="BB697" i="7" s="1"/>
  <c r="BB708" i="7" a="1"/>
  <c r="BB708" i="7" s="1"/>
  <c r="BB722" i="7" a="1"/>
  <c r="BB722" i="7" s="1"/>
  <c r="BB719" i="7" a="1"/>
  <c r="BB719" i="7" s="1"/>
  <c r="BB703" i="7" a="1"/>
  <c r="BB703" i="7" s="1"/>
  <c r="BB724" i="7" a="1"/>
  <c r="BB724" i="7" s="1"/>
  <c r="BB709" i="7" a="1"/>
  <c r="BB709" i="7" s="1"/>
  <c r="BB725" i="7" a="1"/>
  <c r="BB725" i="7" s="1"/>
  <c r="BB728" i="7" a="1"/>
  <c r="BB728" i="7" s="1"/>
  <c r="BB733" i="7" a="1"/>
  <c r="BB733" i="7" s="1"/>
  <c r="BB729" i="7" a="1"/>
  <c r="BB729" i="7" s="1"/>
  <c r="BB742" i="7" a="1"/>
  <c r="BB742" i="7" s="1"/>
  <c r="BB738" i="7" a="1"/>
  <c r="BB738" i="7" s="1"/>
  <c r="BB749" i="7" a="1"/>
  <c r="BB749" i="7" s="1"/>
  <c r="BB748" i="7" a="1"/>
  <c r="BB748" i="7" s="1"/>
  <c r="BB769" i="7" a="1"/>
  <c r="BB769" i="7" s="1"/>
  <c r="BB782" i="7" a="1"/>
  <c r="BB782" i="7" s="1"/>
  <c r="BB765" i="7" a="1"/>
  <c r="BB765" i="7" s="1"/>
  <c r="BB764" i="7" a="1"/>
  <c r="BB764" i="7" s="1"/>
  <c r="BB777" i="7" a="1"/>
  <c r="BB777" i="7" s="1"/>
  <c r="BB790" i="7" a="1"/>
  <c r="BB790" i="7" s="1"/>
  <c r="BB789" i="7" a="1"/>
  <c r="BB789" i="7" s="1"/>
  <c r="BB795" i="7" a="1"/>
  <c r="BB795" i="7" s="1"/>
  <c r="BB802" i="7" a="1"/>
  <c r="BB802" i="7" s="1"/>
  <c r="BB809" i="7" a="1"/>
  <c r="BB809" i="7" s="1"/>
  <c r="BB801" i="7" a="1"/>
  <c r="BB801" i="7" s="1"/>
  <c r="BB808" i="7" a="1"/>
  <c r="BB808" i="7" s="1"/>
  <c r="AZ381" i="7" a="1"/>
  <c r="AZ381" i="7" s="1"/>
  <c r="AZ354" i="7" a="1"/>
  <c r="AZ354" i="7" s="1"/>
  <c r="AZ304" i="7" a="1"/>
  <c r="AZ304" i="7" s="1"/>
  <c r="AZ295" i="7" a="1"/>
  <c r="AZ295" i="7" s="1"/>
  <c r="AZ339" i="7" a="1"/>
  <c r="AZ339" i="7" s="1"/>
  <c r="AZ374" i="7" a="1"/>
  <c r="AZ374" i="7" s="1"/>
  <c r="AZ325" i="7" a="1"/>
  <c r="AZ325" i="7" s="1"/>
  <c r="AZ327" i="7" a="1"/>
  <c r="AZ327" i="7" s="1"/>
  <c r="AZ351" i="7" a="1"/>
  <c r="AZ351" i="7" s="1"/>
  <c r="AZ385" i="7" a="1"/>
  <c r="AZ385" i="7" s="1"/>
  <c r="AZ412" i="7" a="1"/>
  <c r="AZ412" i="7" s="1"/>
  <c r="AZ415" i="7" a="1"/>
  <c r="AZ415" i="7" s="1"/>
  <c r="AZ393" i="7" a="1"/>
  <c r="AZ393" i="7" s="1"/>
  <c r="BB686" i="7" a="1"/>
  <c r="BB686" i="7" s="1"/>
  <c r="BB694" i="7" a="1"/>
  <c r="BB694" i="7" s="1"/>
  <c r="BB683" i="7" a="1"/>
  <c r="BB683" i="7" s="1"/>
  <c r="BB711" i="7" a="1"/>
  <c r="BB711" i="7" s="1"/>
  <c r="BB698" i="7" a="1"/>
  <c r="BB698" i="7" s="1"/>
  <c r="BB707" i="7" a="1"/>
  <c r="BB707" i="7" s="1"/>
  <c r="BB706" i="7" a="1"/>
  <c r="BB706" i="7" s="1"/>
  <c r="BB720" i="7" a="1"/>
  <c r="BB720" i="7" s="1"/>
  <c r="BB714" i="7" a="1"/>
  <c r="BB714" i="7" s="1"/>
  <c r="BB732" i="7" a="1"/>
  <c r="BB732" i="7" s="1"/>
  <c r="BB731" i="7" a="1"/>
  <c r="BB731" i="7" s="1"/>
  <c r="BB734" i="7" a="1"/>
  <c r="BB734" i="7" s="1"/>
  <c r="BB743" i="7" a="1"/>
  <c r="BB743" i="7" s="1"/>
  <c r="BB746" i="7" a="1"/>
  <c r="BB746" i="7" s="1"/>
  <c r="BB741" i="7" a="1"/>
  <c r="BB741" i="7" s="1"/>
  <c r="BB737" i="7" a="1"/>
  <c r="BB737" i="7" s="1"/>
  <c r="BB754" i="7" a="1"/>
  <c r="BB754" i="7" s="1"/>
  <c r="BB756" i="7" a="1"/>
  <c r="BB756" i="7" s="1"/>
  <c r="BB771" i="7" a="1"/>
  <c r="BB771" i="7" s="1"/>
  <c r="BB755" i="7" a="1"/>
  <c r="BB755" i="7" s="1"/>
  <c r="BB778" i="7" a="1"/>
  <c r="BB778" i="7" s="1"/>
  <c r="BB775" i="7" a="1"/>
  <c r="BB775" i="7" s="1"/>
  <c r="BB767" i="7" a="1"/>
  <c r="BB767" i="7" s="1"/>
  <c r="BB781" i="7" a="1"/>
  <c r="BB781" i="7" s="1"/>
  <c r="BB766" i="7" a="1"/>
  <c r="BB766" i="7" s="1"/>
  <c r="BB780" i="7" a="1"/>
  <c r="BB780" i="7" s="1"/>
  <c r="BB772" i="7" a="1"/>
  <c r="BB772" i="7" s="1"/>
  <c r="BB786" i="7" a="1"/>
  <c r="BB786" i="7" s="1"/>
  <c r="BB797" i="7" a="1"/>
  <c r="BB797" i="7" s="1"/>
  <c r="BB804" i="7" a="1"/>
  <c r="BB804" i="7" s="1"/>
  <c r="BB811" i="7" a="1"/>
  <c r="BB811" i="7" s="1"/>
  <c r="BB796" i="7" a="1"/>
  <c r="BB796" i="7" s="1"/>
  <c r="BB803" i="7" a="1"/>
  <c r="BB803" i="7" s="1"/>
  <c r="AZ337" i="7" a="1"/>
  <c r="AZ337" i="7" s="1"/>
  <c r="AZ308" i="7" a="1"/>
  <c r="AZ308" i="7" s="1"/>
  <c r="AZ291" i="7" a="1"/>
  <c r="AZ291" i="7" s="1"/>
  <c r="AZ346" i="7" a="1"/>
  <c r="AZ346" i="7" s="1"/>
  <c r="AZ386" i="7" a="1"/>
  <c r="AZ386" i="7" s="1"/>
  <c r="AZ332" i="7" a="1"/>
  <c r="AZ332" i="7" s="1"/>
  <c r="AZ369" i="7" a="1"/>
  <c r="AZ369" i="7" s="1"/>
  <c r="AZ338" i="7" a="1"/>
  <c r="AZ338" i="7" s="1"/>
  <c r="AZ362" i="7" a="1"/>
  <c r="AZ362" i="7" s="1"/>
  <c r="AZ405" i="7" a="1"/>
  <c r="AZ405" i="7" s="1"/>
  <c r="AZ398" i="7" a="1"/>
  <c r="AZ398" i="7" s="1"/>
  <c r="AZ300" i="7" a="1"/>
  <c r="AZ300" i="7" s="1"/>
  <c r="AU554" i="7" a="1"/>
  <c r="AU554" i="7" s="1"/>
  <c r="AU592" i="7" a="1"/>
  <c r="AU592" i="7" s="1"/>
  <c r="AU563" i="7" a="1"/>
  <c r="AU563" i="7" s="1"/>
  <c r="AU583" i="7" a="1"/>
  <c r="AU583" i="7" s="1"/>
  <c r="AU588" i="7" a="1"/>
  <c r="AU588" i="7" s="1"/>
  <c r="AU611" i="7" a="1"/>
  <c r="AU611" i="7" s="1"/>
  <c r="AU630" i="7" a="1"/>
  <c r="AU630" i="7" s="1"/>
  <c r="AU626" i="7" a="1"/>
  <c r="AU626" i="7" s="1"/>
  <c r="AU621" i="7" a="1"/>
  <c r="AU621" i="7" s="1"/>
  <c r="AU666" i="7" a="1"/>
  <c r="AU666" i="7" s="1"/>
  <c r="AU679" i="7" a="1"/>
  <c r="AU679" i="7" s="1"/>
  <c r="AU558" i="7" a="1"/>
  <c r="AU558" i="7" s="1"/>
  <c r="AU573" i="7" a="1"/>
  <c r="AU573" i="7" s="1"/>
  <c r="AU602" i="7" a="1"/>
  <c r="AU602" i="7" s="1"/>
  <c r="AU593" i="7" a="1"/>
  <c r="AU593" i="7" s="1"/>
  <c r="AU607" i="7" a="1"/>
  <c r="AU607" i="7" s="1"/>
  <c r="AU614" i="7" a="1"/>
  <c r="AU614" i="7" s="1"/>
  <c r="AU635" i="7" a="1"/>
  <c r="AU635" i="7" s="1"/>
  <c r="AU627" i="7" a="1"/>
  <c r="AU627" i="7" s="1"/>
  <c r="AU655" i="7" a="1"/>
  <c r="AU655" i="7" s="1"/>
  <c r="AU646" i="7" a="1"/>
  <c r="AU646" i="7" s="1"/>
  <c r="AU649" i="7" a="1"/>
  <c r="AU649" i="7" s="1"/>
  <c r="AU669" i="7" a="1"/>
  <c r="AU669" i="7" s="1"/>
  <c r="AU594" i="7" a="1"/>
  <c r="AU594" i="7" s="1"/>
  <c r="AU560" i="7" a="1"/>
  <c r="AU560" i="7" s="1"/>
  <c r="AU598" i="7" a="1"/>
  <c r="AU598" i="7" s="1"/>
  <c r="AU565" i="7" a="1"/>
  <c r="AU565" i="7" s="1"/>
  <c r="AU600" i="7" a="1"/>
  <c r="AU600" i="7" s="1"/>
  <c r="AU610" i="7" a="1"/>
  <c r="AU610" i="7" s="1"/>
  <c r="AU615" i="7" a="1"/>
  <c r="AU615" i="7" s="1"/>
  <c r="AU631" i="7" a="1"/>
  <c r="AU631" i="7" s="1"/>
  <c r="AU658" i="7" a="1"/>
  <c r="AU658" i="7" s="1"/>
  <c r="AU653" i="7" a="1"/>
  <c r="AU653" i="7" s="1"/>
  <c r="AU667" i="7" a="1"/>
  <c r="AU667" i="7" s="1"/>
  <c r="AU673" i="7" a="1"/>
  <c r="AU673" i="7" s="1"/>
  <c r="AU555" i="7" a="1"/>
  <c r="AU555" i="7" s="1"/>
  <c r="AU570" i="7" a="1"/>
  <c r="AU570" i="7" s="1"/>
  <c r="AU562" i="7" a="1"/>
  <c r="AU562" i="7" s="1"/>
  <c r="AU568" i="7" a="1"/>
  <c r="AU568" i="7" s="1"/>
  <c r="AU564" i="7" a="1"/>
  <c r="AU564" i="7" s="1"/>
  <c r="AU609" i="7" a="1"/>
  <c r="AU609" i="7" s="1"/>
  <c r="AU617" i="7" a="1"/>
  <c r="AU617" i="7" s="1"/>
  <c r="AU613" i="7" a="1"/>
  <c r="AU613" i="7" s="1"/>
  <c r="AU660" i="7" a="1"/>
  <c r="AU660" i="7" s="1"/>
  <c r="AU656" i="7" a="1"/>
  <c r="AU656" i="7" s="1"/>
  <c r="AU559" i="7" a="1"/>
  <c r="AU559" i="7" s="1"/>
  <c r="AU589" i="7" a="1"/>
  <c r="AU589" i="7" s="1"/>
  <c r="AU566" i="7" a="1"/>
  <c r="AU566" i="7" s="1"/>
  <c r="AU572" i="7" a="1"/>
  <c r="AU572" i="7" s="1"/>
  <c r="AU567" i="7" a="1"/>
  <c r="AU567" i="7" s="1"/>
  <c r="AU601" i="7" a="1"/>
  <c r="AU601" i="7" s="1"/>
  <c r="AU616" i="7" a="1"/>
  <c r="AU616" i="7" s="1"/>
  <c r="AU634" i="7" a="1"/>
  <c r="AU634" i="7" s="1"/>
  <c r="AU662" i="7" a="1"/>
  <c r="AU662" i="7" s="1"/>
  <c r="AU657" i="7" a="1"/>
  <c r="AU657" i="7" s="1"/>
  <c r="AU670" i="7" a="1"/>
  <c r="AU670" i="7" s="1"/>
  <c r="AU676" i="7" a="1"/>
  <c r="AU676" i="7" s="1"/>
  <c r="AU557" i="7" a="1"/>
  <c r="AU557" i="7" s="1"/>
  <c r="AU552" i="7" a="1"/>
  <c r="AU552" i="7" s="1"/>
  <c r="AU569" i="7" a="1"/>
  <c r="AU569" i="7" s="1"/>
  <c r="AU575" i="7" a="1"/>
  <c r="AU575" i="7" s="1"/>
  <c r="AU571" i="7" a="1"/>
  <c r="AU571" i="7" s="1"/>
  <c r="AU619" i="7" a="1"/>
  <c r="AU619" i="7" s="1"/>
  <c r="AU620" i="7" a="1"/>
  <c r="AU620" i="7" s="1"/>
  <c r="AU636" i="7" a="1"/>
  <c r="AU636" i="7" s="1"/>
  <c r="AU663" i="7" a="1"/>
  <c r="AU663" i="7" s="1"/>
  <c r="AU659" i="7" a="1"/>
  <c r="AU659" i="7" s="1"/>
  <c r="AU672" i="7" a="1"/>
  <c r="AU672" i="7" s="1"/>
  <c r="AU678" i="7" a="1"/>
  <c r="AU678" i="7" s="1"/>
  <c r="AU549" i="7" a="1"/>
  <c r="AU549" i="7" s="1"/>
  <c r="AU574" i="7" a="1"/>
  <c r="AU574" i="7" s="1"/>
  <c r="AU604" i="7" a="1"/>
  <c r="AU604" i="7" s="1"/>
  <c r="AU624" i="7" a="1"/>
  <c r="AU624" i="7" s="1"/>
  <c r="AU623" i="7" a="1"/>
  <c r="AU623" i="7" s="1"/>
  <c r="AU638" i="7" a="1"/>
  <c r="AU638" i="7" s="1"/>
  <c r="AU665" i="7" a="1"/>
  <c r="AU665" i="7" s="1"/>
  <c r="AU661" i="7" a="1"/>
  <c r="AU661" i="7" s="1"/>
  <c r="AU674" i="7" a="1"/>
  <c r="AU674" i="7" s="1"/>
  <c r="AU680" i="7" a="1"/>
  <c r="AU680" i="7" s="1"/>
  <c r="AU587" i="7" a="1"/>
  <c r="AU587" i="7" s="1"/>
  <c r="AU576" i="7" a="1"/>
  <c r="AU576" i="7" s="1"/>
  <c r="AU582" i="7" a="1"/>
  <c r="AU582" i="7" s="1"/>
  <c r="AU578" i="7" a="1"/>
  <c r="AU578" i="7" s="1"/>
  <c r="AU606" i="7" a="1"/>
  <c r="AU606" i="7" s="1"/>
  <c r="AU641" i="7" a="1"/>
  <c r="AU641" i="7" s="1"/>
  <c r="AU639" i="7" a="1"/>
  <c r="AU639" i="7" s="1"/>
  <c r="AU644" i="7" a="1"/>
  <c r="AU644" i="7" s="1"/>
  <c r="AV569" i="7" a="1"/>
  <c r="AV569" i="7" s="1"/>
  <c r="AV651" i="7" a="1"/>
  <c r="AV651" i="7" s="1"/>
  <c r="AV568" i="7" a="1"/>
  <c r="AV568" i="7" s="1"/>
  <c r="AV655" i="7" a="1"/>
  <c r="AV655" i="7" s="1"/>
  <c r="AV565" i="7" a="1"/>
  <c r="AV565" i="7" s="1"/>
  <c r="AV654" i="7" a="1"/>
  <c r="AV654" i="7" s="1"/>
  <c r="AV664" i="7" a="1"/>
  <c r="AV664" i="7" s="1"/>
  <c r="AV609" i="7" a="1"/>
  <c r="AV609" i="7" s="1"/>
  <c r="AV666" i="7" a="1"/>
  <c r="AV666" i="7" s="1"/>
  <c r="AV558" i="7" a="1"/>
  <c r="AV558" i="7" s="1"/>
  <c r="AV621" i="7" a="1"/>
  <c r="AV621" i="7" s="1"/>
  <c r="AV670" i="7" a="1"/>
  <c r="AV670" i="7" s="1"/>
  <c r="AV551" i="7" a="1"/>
  <c r="AV551" i="7" s="1"/>
  <c r="AV618" i="7" a="1"/>
  <c r="AV618" i="7" s="1"/>
  <c r="AV672" i="7" a="1"/>
  <c r="AV672" i="7" s="1"/>
  <c r="AV553" i="7" a="1"/>
  <c r="AV553" i="7" s="1"/>
  <c r="AV630" i="7" a="1"/>
  <c r="AV630" i="7" s="1"/>
  <c r="AV560" i="7" a="1"/>
  <c r="AV560" i="7" s="1"/>
  <c r="AV632" i="7" a="1"/>
  <c r="AV632" i="7" s="1"/>
  <c r="AV563" i="7" a="1"/>
  <c r="AV563" i="7" s="1"/>
  <c r="AV622" i="7" a="1"/>
  <c r="AV622" i="7" s="1"/>
  <c r="AV626" i="7" a="1"/>
  <c r="AV626" i="7" s="1"/>
  <c r="AZ329" i="7" a="1"/>
  <c r="AZ329" i="7" s="1"/>
  <c r="AZ352" i="7" a="1"/>
  <c r="AZ352" i="7" s="1"/>
  <c r="AZ334" i="7" a="1"/>
  <c r="AZ334" i="7" s="1"/>
  <c r="AZ406" i="7" a="1"/>
  <c r="AZ406" i="7" s="1"/>
  <c r="AZ343" i="7" a="1"/>
  <c r="AZ343" i="7" s="1"/>
  <c r="AZ382" i="7" a="1"/>
  <c r="AZ382" i="7" s="1"/>
  <c r="AZ366" i="7" a="1"/>
  <c r="AZ366" i="7" s="1"/>
  <c r="AZ390" i="7" a="1"/>
  <c r="AZ390" i="7" s="1"/>
  <c r="AZ408" i="7" a="1"/>
  <c r="AZ408" i="7" s="1"/>
  <c r="AZ395" i="7" a="1"/>
  <c r="AZ395" i="7" s="1"/>
  <c r="AZ293" i="7" a="1"/>
  <c r="AZ293" i="7" s="1"/>
  <c r="AZ328" i="7" a="1"/>
  <c r="AZ328" i="7" s="1"/>
  <c r="AZ376" i="7" a="1"/>
  <c r="AZ376" i="7" s="1"/>
  <c r="AZ358" i="7" a="1"/>
  <c r="AZ358" i="7" s="1"/>
  <c r="AZ400" i="7" a="1"/>
  <c r="AZ400" i="7" s="1"/>
  <c r="AZ407" i="7" a="1"/>
  <c r="AZ407" i="7" s="1"/>
  <c r="AZ296" i="7" a="1"/>
  <c r="AZ296" i="7" s="1"/>
  <c r="AZ288" i="7" a="1"/>
  <c r="AZ288" i="7" s="1"/>
  <c r="AZ363" i="7" a="1"/>
  <c r="AZ363" i="7" s="1"/>
  <c r="AZ335" i="7" a="1"/>
  <c r="AZ335" i="7" s="1"/>
  <c r="AZ317" i="7" a="1"/>
  <c r="AZ317" i="7" s="1"/>
  <c r="AZ365" i="7" a="1"/>
  <c r="AZ365" i="7" s="1"/>
  <c r="AZ391" i="7" a="1"/>
  <c r="AZ391" i="7" s="1"/>
  <c r="AZ414" i="7" a="1"/>
  <c r="AZ414" i="7" s="1"/>
  <c r="AZ289" i="7" a="1"/>
  <c r="AZ289" i="7" s="1"/>
  <c r="AZ287" i="7" a="1"/>
  <c r="AZ287" i="7" s="1"/>
  <c r="AZ367" i="7" a="1"/>
  <c r="AZ367" i="7" s="1"/>
  <c r="AZ322" i="7" a="1"/>
  <c r="AZ322" i="7" s="1"/>
  <c r="AZ370" i="7" a="1"/>
  <c r="AZ370" i="7" s="1"/>
  <c r="AZ345" i="7" a="1"/>
  <c r="AZ345" i="7" s="1"/>
  <c r="AZ324" i="7" a="1"/>
  <c r="AZ324" i="7" s="1"/>
  <c r="AZ375" i="7" a="1"/>
  <c r="AZ375" i="7" s="1"/>
  <c r="AZ416" i="7" a="1"/>
  <c r="AZ416" i="7" s="1"/>
  <c r="AZ396" i="7" a="1"/>
  <c r="AZ396" i="7" s="1"/>
  <c r="AZ301" i="7" a="1"/>
  <c r="AZ301" i="7" s="1"/>
  <c r="AZ298" i="7" a="1"/>
  <c r="AZ298" i="7" s="1"/>
  <c r="AZ410" i="7" a="1"/>
  <c r="AZ410" i="7" s="1"/>
  <c r="AZ286" i="7" a="1"/>
  <c r="AZ286" i="7" s="1"/>
  <c r="AV555" i="7" a="1"/>
  <c r="AV555" i="7" s="1"/>
  <c r="AV620" i="7" a="1"/>
  <c r="AV620" i="7" s="1"/>
  <c r="AV579" i="7" a="1"/>
  <c r="AV579" i="7" s="1"/>
  <c r="AV627" i="7" a="1"/>
  <c r="AV627" i="7" s="1"/>
  <c r="AV559" i="7" a="1"/>
  <c r="AV559" i="7" s="1"/>
  <c r="AV577" i="7" a="1"/>
  <c r="AV577" i="7" s="1"/>
  <c r="AV583" i="7" a="1"/>
  <c r="AV583" i="7" s="1"/>
  <c r="AV599" i="7" a="1"/>
  <c r="AV599" i="7" s="1"/>
  <c r="AV616" i="7" a="1"/>
  <c r="AV616" i="7" s="1"/>
  <c r="AV637" i="7" a="1"/>
  <c r="AV637" i="7" s="1"/>
  <c r="AV629" i="7" a="1"/>
  <c r="AV629" i="7" s="1"/>
  <c r="AV660" i="7" a="1"/>
  <c r="AV660" i="7" s="1"/>
  <c r="AV646" i="7" a="1"/>
  <c r="AV646" i="7" s="1"/>
  <c r="AV649" i="7" a="1"/>
  <c r="AV649" i="7" s="1"/>
  <c r="AV677" i="7" a="1"/>
  <c r="AV677" i="7" s="1"/>
  <c r="AV570" i="7" a="1"/>
  <c r="AV570" i="7" s="1"/>
  <c r="AV613" i="7" a="1"/>
  <c r="AV613" i="7" s="1"/>
  <c r="AV658" i="7" a="1"/>
  <c r="AV658" i="7" s="1"/>
  <c r="AV557" i="7" a="1"/>
  <c r="AV557" i="7" s="1"/>
  <c r="AV574" i="7" a="1"/>
  <c r="AV574" i="7" s="1"/>
  <c r="AV580" i="7" a="1"/>
  <c r="AV580" i="7" s="1"/>
  <c r="AV586" i="7" a="1"/>
  <c r="AV586" i="7" s="1"/>
  <c r="AV582" i="7" a="1"/>
  <c r="AV582" i="7" s="1"/>
  <c r="AV601" i="7" a="1"/>
  <c r="AV601" i="7" s="1"/>
  <c r="AV610" i="7" a="1"/>
  <c r="AV610" i="7" s="1"/>
  <c r="AV631" i="7" a="1"/>
  <c r="AV631" i="7" s="1"/>
  <c r="AV662" i="7" a="1"/>
  <c r="AV662" i="7" s="1"/>
  <c r="AV650" i="7" a="1"/>
  <c r="AV650" i="7" s="1"/>
  <c r="AV652" i="7" a="1"/>
  <c r="AV652" i="7" s="1"/>
  <c r="AV679" i="7" a="1"/>
  <c r="AV679" i="7" s="1"/>
  <c r="AV674" i="7" a="1"/>
  <c r="AV674" i="7" s="1"/>
  <c r="AV552" i="7" a="1"/>
  <c r="AV552" i="7" s="1"/>
  <c r="AV645" i="7" a="1"/>
  <c r="AV645" i="7" s="1"/>
  <c r="AV587" i="7" a="1"/>
  <c r="AV587" i="7" s="1"/>
  <c r="AV584" i="7" a="1"/>
  <c r="AV584" i="7" s="1"/>
  <c r="AV561" i="7" a="1"/>
  <c r="AV561" i="7" s="1"/>
  <c r="AV585" i="7" a="1"/>
  <c r="AV585" i="7" s="1"/>
  <c r="AV623" i="7" a="1"/>
  <c r="AV623" i="7" s="1"/>
  <c r="AV663" i="7" a="1"/>
  <c r="AV663" i="7" s="1"/>
  <c r="AV653" i="7" a="1"/>
  <c r="AV653" i="7" s="1"/>
  <c r="AV578" i="7" a="1"/>
  <c r="AV578" i="7" s="1"/>
  <c r="AV668" i="7" a="1"/>
  <c r="AV668" i="7" s="1"/>
  <c r="AV571" i="7" a="1"/>
  <c r="AV571" i="7" s="1"/>
  <c r="AV589" i="7" a="1"/>
  <c r="AV589" i="7" s="1"/>
  <c r="AV588" i="7" a="1"/>
  <c r="AV588" i="7" s="1"/>
  <c r="AV600" i="7" a="1"/>
  <c r="AV600" i="7" s="1"/>
  <c r="AV604" i="7" a="1"/>
  <c r="AV604" i="7" s="1"/>
  <c r="AV617" i="7" a="1"/>
  <c r="AV617" i="7" s="1"/>
  <c r="AV641" i="7" a="1"/>
  <c r="AV641" i="7" s="1"/>
  <c r="AV634" i="7" a="1"/>
  <c r="AV634" i="7" s="1"/>
  <c r="AV665" i="7" a="1"/>
  <c r="AV665" i="7" s="1"/>
  <c r="AV656" i="7" a="1"/>
  <c r="AV656" i="7" s="1"/>
  <c r="AV676" i="7" a="1"/>
  <c r="AV676" i="7" s="1"/>
  <c r="AV572" i="7" a="1"/>
  <c r="AV572" i="7" s="1"/>
  <c r="AV633" i="7" a="1"/>
  <c r="AV633" i="7" s="1"/>
  <c r="AV614" i="7" a="1"/>
  <c r="AV614" i="7" s="1"/>
  <c r="AV635" i="7" a="1"/>
  <c r="AV635" i="7" s="1"/>
  <c r="AV550" i="7" a="1"/>
  <c r="AV550" i="7" s="1"/>
  <c r="AV598" i="7" a="1"/>
  <c r="AV598" i="7" s="1"/>
  <c r="AV590" i="7" a="1"/>
  <c r="AV590" i="7" s="1"/>
  <c r="AV602" i="7" a="1"/>
  <c r="AV602" i="7" s="1"/>
  <c r="AV606" i="7" a="1"/>
  <c r="AV606" i="7" s="1"/>
  <c r="AV642" i="7" a="1"/>
  <c r="AV642" i="7" s="1"/>
  <c r="AV636" i="7" a="1"/>
  <c r="AV636" i="7" s="1"/>
  <c r="AV673" i="7" a="1"/>
  <c r="AV673" i="7" s="1"/>
  <c r="AV657" i="7" a="1"/>
  <c r="AV657" i="7" s="1"/>
  <c r="AV678" i="7" a="1"/>
  <c r="AV678" i="7" s="1"/>
  <c r="AV567" i="7" a="1"/>
  <c r="AV567" i="7" s="1"/>
  <c r="AV575" i="7" a="1"/>
  <c r="AV575" i="7" s="1"/>
  <c r="AV643" i="7" a="1"/>
  <c r="AV643" i="7" s="1"/>
  <c r="AV549" i="7" a="1"/>
  <c r="AV549" i="7" s="1"/>
  <c r="AV564" i="7" a="1"/>
  <c r="AV564" i="7" s="1"/>
  <c r="AV592" i="7" a="1"/>
  <c r="AV592" i="7" s="1"/>
  <c r="AV597" i="7" a="1"/>
  <c r="AV597" i="7" s="1"/>
  <c r="AV591" i="7" a="1"/>
  <c r="AV591" i="7" s="1"/>
  <c r="AV603" i="7" a="1"/>
  <c r="AV603" i="7" s="1"/>
  <c r="AV608" i="7" a="1"/>
  <c r="AV608" i="7" s="1"/>
  <c r="AV624" i="7" a="1"/>
  <c r="AV624" i="7" s="1"/>
  <c r="AV612" i="7" a="1"/>
  <c r="AV612" i="7" s="1"/>
  <c r="AV638" i="7" a="1"/>
  <c r="AV638" i="7" s="1"/>
  <c r="AV640" i="7" a="1"/>
  <c r="AV640" i="7" s="1"/>
  <c r="AV659" i="7" a="1"/>
  <c r="AV659" i="7" s="1"/>
  <c r="AV680" i="7" a="1"/>
  <c r="AV680" i="7" s="1"/>
  <c r="AV576" i="7" a="1"/>
  <c r="AV576" i="7" s="1"/>
  <c r="AV648" i="7" a="1"/>
  <c r="AV648" i="7" s="1"/>
  <c r="AV554" i="7" a="1"/>
  <c r="AV554" i="7" s="1"/>
  <c r="AV594" i="7" a="1"/>
  <c r="AV594" i="7" s="1"/>
  <c r="AV562" i="7" a="1"/>
  <c r="AV562" i="7" s="1"/>
  <c r="AV593" i="7" a="1"/>
  <c r="AV593" i="7" s="1"/>
  <c r="AV605" i="7" a="1"/>
  <c r="AV605" i="7" s="1"/>
  <c r="AV611" i="7" a="1"/>
  <c r="AV611" i="7" s="1"/>
  <c r="AV615" i="7" a="1"/>
  <c r="AV615" i="7" s="1"/>
  <c r="AV639" i="7" a="1"/>
  <c r="AV639" i="7" s="1"/>
  <c r="AV644" i="7" a="1"/>
  <c r="AV644" i="7" s="1"/>
  <c r="AV661" i="7" a="1"/>
  <c r="AV661" i="7" s="1"/>
  <c r="AV667" i="7" a="1"/>
  <c r="AV667" i="7" s="1"/>
  <c r="AV671" i="7" a="1"/>
  <c r="AV671" i="7" s="1"/>
  <c r="AV573" i="7" a="1"/>
  <c r="AV573" i="7" s="1"/>
  <c r="AV675" i="7" a="1"/>
  <c r="AV675" i="7" s="1"/>
  <c r="AV556" i="7" a="1"/>
  <c r="AV556" i="7" s="1"/>
  <c r="AV581" i="7" a="1"/>
  <c r="AV581" i="7" s="1"/>
  <c r="AV596" i="7" a="1"/>
  <c r="AV596" i="7" s="1"/>
  <c r="AV566" i="7" a="1"/>
  <c r="AV566" i="7" s="1"/>
  <c r="AV595" i="7" a="1"/>
  <c r="AV595" i="7" s="1"/>
  <c r="AV607" i="7" a="1"/>
  <c r="AV607" i="7" s="1"/>
  <c r="AV625" i="7" a="1"/>
  <c r="AV625" i="7" s="1"/>
  <c r="AV628" i="7" a="1"/>
  <c r="AV628" i="7" s="1"/>
  <c r="AV619" i="7" a="1"/>
  <c r="AV619" i="7" s="1"/>
  <c r="AV669" i="7" a="1"/>
  <c r="AV669" i="7" s="1"/>
  <c r="AV647" i="7" a="1"/>
  <c r="AV647" i="7" s="1"/>
  <c r="AZ357" i="7" a="1"/>
  <c r="AZ357" i="7" s="1"/>
  <c r="AZ344" i="7" a="1"/>
  <c r="AZ344" i="7" s="1"/>
  <c r="AZ383" i="7" a="1"/>
  <c r="AZ383" i="7" s="1"/>
  <c r="AZ333" i="7" a="1"/>
  <c r="AZ333" i="7" s="1"/>
  <c r="BA697" i="7" a="1"/>
  <c r="BA697" i="7" s="1"/>
  <c r="BA735" i="7" a="1"/>
  <c r="BA735" i="7" s="1"/>
  <c r="BA741" i="7" a="1"/>
  <c r="BA741" i="7" s="1"/>
  <c r="BA767" i="7" a="1"/>
  <c r="BA767" i="7" s="1"/>
  <c r="BA761" i="7" a="1"/>
  <c r="BA761" i="7" s="1"/>
  <c r="AO795" i="7" a="1"/>
  <c r="AO795" i="7" s="1"/>
  <c r="BA709" i="7" a="1"/>
  <c r="BA709" i="7" s="1"/>
  <c r="BA744" i="7" a="1"/>
  <c r="BA744" i="7" s="1"/>
  <c r="BA793" i="7" a="1"/>
  <c r="BA793" i="7" s="1"/>
  <c r="AQ765" i="7" a="1"/>
  <c r="AQ765" i="7" s="1"/>
  <c r="BA804" i="7" a="1"/>
  <c r="BA804" i="7" s="1"/>
  <c r="AZ761" i="7" a="1"/>
  <c r="AZ761" i="7" s="1"/>
  <c r="BA692" i="7" a="1"/>
  <c r="BA692" i="7" s="1"/>
  <c r="AO739" i="7" a="1"/>
  <c r="AO739" i="7" s="1"/>
  <c r="BA683" i="7" a="1"/>
  <c r="BA683" i="7" s="1"/>
  <c r="AQ746" i="7" a="1"/>
  <c r="AQ746" i="7" s="1"/>
  <c r="AZ762" i="7" a="1"/>
  <c r="AZ762" i="7" s="1"/>
  <c r="AO717" i="7" a="1"/>
  <c r="AO717" i="7" s="1"/>
  <c r="AO777" i="7" a="1"/>
  <c r="AO777" i="7" s="1"/>
  <c r="AQ764" i="7" a="1"/>
  <c r="AQ764" i="7" s="1"/>
  <c r="AZ740" i="7" a="1"/>
  <c r="AZ740" i="7" s="1"/>
  <c r="AO710" i="7" a="1"/>
  <c r="AO710" i="7" s="1"/>
  <c r="AO776" i="7" a="1"/>
  <c r="AO776" i="7" s="1"/>
  <c r="BA738" i="7" a="1"/>
  <c r="BA738" i="7" s="1"/>
  <c r="BA802" i="7" a="1"/>
  <c r="BA802" i="7" s="1"/>
  <c r="AZ313" i="7" a="1"/>
  <c r="AZ313" i="7" s="1"/>
  <c r="AZ768" i="7" a="1"/>
  <c r="AZ768" i="7" s="1"/>
  <c r="AO732" i="7" a="1"/>
  <c r="AO732" i="7" s="1"/>
  <c r="AO811" i="7" a="1"/>
  <c r="AO811" i="7" s="1"/>
  <c r="AQ777" i="7" a="1"/>
  <c r="AQ777" i="7" s="1"/>
  <c r="AZ787" i="7" a="1"/>
  <c r="AZ787" i="7" s="1"/>
  <c r="AO743" i="7" a="1"/>
  <c r="AO743" i="7" s="1"/>
  <c r="AO796" i="7" a="1"/>
  <c r="AO796" i="7" s="1"/>
  <c r="BA740" i="7" a="1"/>
  <c r="BA740" i="7" s="1"/>
  <c r="AZ311" i="7" a="1"/>
  <c r="AZ311" i="7" s="1"/>
  <c r="AQ695" i="7" a="1"/>
  <c r="AQ695" i="7" s="1"/>
  <c r="AZ681" i="7" a="1"/>
  <c r="AZ681" i="7" s="1"/>
  <c r="AZ812" i="7" a="1"/>
  <c r="AZ812" i="7" s="1"/>
  <c r="AO752" i="7" a="1"/>
  <c r="AO752" i="7" s="1"/>
  <c r="BA706" i="7" a="1"/>
  <c r="BA706" i="7" s="1"/>
  <c r="AZ302" i="7" a="1"/>
  <c r="AZ302" i="7" s="1"/>
  <c r="AQ805" i="7" a="1"/>
  <c r="AQ805" i="7" s="1"/>
  <c r="AO681" i="7" a="1"/>
  <c r="AO681" i="7" s="1"/>
  <c r="AO755" i="7" a="1"/>
  <c r="AO755" i="7" s="1"/>
  <c r="BA723" i="7" a="1"/>
  <c r="BA723" i="7" s="1"/>
  <c r="BA770" i="7" a="1"/>
  <c r="BA770" i="7" s="1"/>
  <c r="AZ811" i="7" a="1"/>
  <c r="AZ811" i="7" s="1"/>
  <c r="AQ729" i="7" a="1"/>
  <c r="AQ729" i="7" s="1"/>
  <c r="AO682" i="7" a="1"/>
  <c r="AO682" i="7" s="1"/>
  <c r="AO771" i="7" a="1"/>
  <c r="AO771" i="7" s="1"/>
  <c r="BA714" i="7" a="1"/>
  <c r="BA714" i="7" s="1"/>
  <c r="BA766" i="7" a="1"/>
  <c r="BA766" i="7" s="1"/>
  <c r="AZ371" i="7" a="1"/>
  <c r="AZ371" i="7" s="1"/>
  <c r="AQ807" i="7" a="1"/>
  <c r="AQ807" i="7" s="1"/>
  <c r="AQ733" i="7" a="1"/>
  <c r="AQ733" i="7" s="1"/>
  <c r="AO687" i="7" a="1"/>
  <c r="AO687" i="7" s="1"/>
  <c r="BA789" i="7" a="1"/>
  <c r="BA789" i="7" s="1"/>
  <c r="AZ387" i="7" a="1"/>
  <c r="AZ387" i="7" s="1"/>
  <c r="AZ782" i="7" a="1"/>
  <c r="AZ782" i="7" s="1"/>
  <c r="AQ744" i="7" a="1"/>
  <c r="AQ744" i="7" s="1"/>
  <c r="AZ730" i="7" a="1"/>
  <c r="AZ730" i="7" s="1"/>
  <c r="AO695" i="7" a="1"/>
  <c r="AO695" i="7" s="1"/>
  <c r="AO789" i="7" a="1"/>
  <c r="AO789" i="7" s="1"/>
  <c r="BA718" i="7" a="1"/>
  <c r="BA718" i="7" s="1"/>
  <c r="BA779" i="7" a="1"/>
  <c r="BA779" i="7" s="1"/>
  <c r="AQ683" i="7" a="1"/>
  <c r="AQ683" i="7" s="1"/>
  <c r="AQ689" i="7" a="1"/>
  <c r="AQ689" i="7" s="1"/>
  <c r="AQ721" i="7" a="1"/>
  <c r="AQ721" i="7" s="1"/>
  <c r="AQ719" i="7" a="1"/>
  <c r="AQ719" i="7" s="1"/>
  <c r="AQ737" i="7" a="1"/>
  <c r="AQ737" i="7" s="1"/>
  <c r="AQ739" i="7" a="1"/>
  <c r="AQ739" i="7" s="1"/>
  <c r="AQ753" i="7" a="1"/>
  <c r="AQ753" i="7" s="1"/>
  <c r="AQ776" i="7" a="1"/>
  <c r="AQ776" i="7" s="1"/>
  <c r="AQ804" i="7" a="1"/>
  <c r="AQ804" i="7" s="1"/>
  <c r="AQ801" i="7" a="1"/>
  <c r="AQ801" i="7" s="1"/>
  <c r="AZ690" i="7" a="1"/>
  <c r="AZ690" i="7" s="1"/>
  <c r="AZ720" i="7" a="1"/>
  <c r="AZ720" i="7" s="1"/>
  <c r="AZ698" i="7" a="1"/>
  <c r="AZ698" i="7" s="1"/>
  <c r="AZ746" i="7" a="1"/>
  <c r="AZ746" i="7" s="1"/>
  <c r="AZ732" i="7" a="1"/>
  <c r="AZ732" i="7" s="1"/>
  <c r="AZ748" i="7" a="1"/>
  <c r="AZ748" i="7" s="1"/>
  <c r="AZ754" i="7" a="1"/>
  <c r="AZ754" i="7" s="1"/>
  <c r="AZ780" i="7" a="1"/>
  <c r="AZ780" i="7" s="1"/>
  <c r="AZ775" i="7" a="1"/>
  <c r="AZ775" i="7" s="1"/>
  <c r="AZ807" i="7" a="1"/>
  <c r="AZ807" i="7" s="1"/>
  <c r="AZ808" i="7" a="1"/>
  <c r="AZ808" i="7" s="1"/>
  <c r="AO691" i="7" a="1"/>
  <c r="AO691" i="7" s="1"/>
  <c r="AO703" i="7" a="1"/>
  <c r="AO703" i="7" s="1"/>
  <c r="AO720" i="7" a="1"/>
  <c r="AO720" i="7" s="1"/>
  <c r="AO725" i="7" a="1"/>
  <c r="AO725" i="7" s="1"/>
  <c r="AO747" i="7" a="1"/>
  <c r="AO747" i="7" s="1"/>
  <c r="AO762" i="7" a="1"/>
  <c r="AO762" i="7" s="1"/>
  <c r="AO791" i="7" a="1"/>
  <c r="AO791" i="7" s="1"/>
  <c r="AO783" i="7" a="1"/>
  <c r="AO783" i="7" s="1"/>
  <c r="AO807" i="7" a="1"/>
  <c r="AO807" i="7" s="1"/>
  <c r="AO810" i="7" a="1"/>
  <c r="AO810" i="7" s="1"/>
  <c r="AQ685" i="7" a="1"/>
  <c r="AQ685" i="7" s="1"/>
  <c r="AQ694" i="7" a="1"/>
  <c r="AQ694" i="7" s="1"/>
  <c r="AQ693" i="7" a="1"/>
  <c r="AQ693" i="7" s="1"/>
  <c r="AQ724" i="7" a="1"/>
  <c r="AQ724" i="7" s="1"/>
  <c r="AQ742" i="7" a="1"/>
  <c r="AQ742" i="7" s="1"/>
  <c r="AQ762" i="7" a="1"/>
  <c r="AQ762" i="7" s="1"/>
  <c r="AQ779" i="7" a="1"/>
  <c r="AQ779" i="7" s="1"/>
  <c r="AQ774" i="7" a="1"/>
  <c r="AQ774" i="7" s="1"/>
  <c r="AQ806" i="7" a="1"/>
  <c r="AQ806" i="7" s="1"/>
  <c r="AQ803" i="7" a="1"/>
  <c r="AQ803" i="7" s="1"/>
  <c r="AZ691" i="7" a="1"/>
  <c r="AZ691" i="7" s="1"/>
  <c r="AZ692" i="7" a="1"/>
  <c r="AZ692" i="7" s="1"/>
  <c r="AZ723" i="7" a="1"/>
  <c r="AZ723" i="7" s="1"/>
  <c r="AZ701" i="7" a="1"/>
  <c r="AZ701" i="7" s="1"/>
  <c r="AZ727" i="7" a="1"/>
  <c r="AZ727" i="7" s="1"/>
  <c r="AZ755" i="7" a="1"/>
  <c r="AZ755" i="7" s="1"/>
  <c r="AZ736" i="7" a="1"/>
  <c r="AZ736" i="7" s="1"/>
  <c r="AZ758" i="7" a="1"/>
  <c r="AZ758" i="7" s="1"/>
  <c r="AZ767" i="7" a="1"/>
  <c r="AZ767" i="7" s="1"/>
  <c r="AZ783" i="7" a="1"/>
  <c r="AZ783" i="7" s="1"/>
  <c r="AZ778" i="7" a="1"/>
  <c r="AZ778" i="7" s="1"/>
  <c r="AZ809" i="7" a="1"/>
  <c r="AZ809" i="7" s="1"/>
  <c r="AZ810" i="7" a="1"/>
  <c r="AZ810" i="7" s="1"/>
  <c r="AO708" i="7" a="1"/>
  <c r="AO708" i="7" s="1"/>
  <c r="AO728" i="7" a="1"/>
  <c r="AO728" i="7" s="1"/>
  <c r="AO706" i="7" a="1"/>
  <c r="AO706" i="7" s="1"/>
  <c r="AO734" i="7" a="1"/>
  <c r="AO734" i="7" s="1"/>
  <c r="AO735" i="7" a="1"/>
  <c r="AO735" i="7" s="1"/>
  <c r="AO750" i="7" a="1"/>
  <c r="AO750" i="7" s="1"/>
  <c r="AO765" i="7" a="1"/>
  <c r="AO765" i="7" s="1"/>
  <c r="AO790" i="7" a="1"/>
  <c r="AO790" i="7" s="1"/>
  <c r="AO772" i="7" a="1"/>
  <c r="AO772" i="7" s="1"/>
  <c r="AO809" i="7" a="1"/>
  <c r="AO809" i="7" s="1"/>
  <c r="BA681" i="7" a="1"/>
  <c r="BA681" i="7" s="1"/>
  <c r="BA720" i="7" a="1"/>
  <c r="BA720" i="7" s="1"/>
  <c r="BA742" i="7" a="1"/>
  <c r="BA742" i="7" s="1"/>
  <c r="BA768" i="7" a="1"/>
  <c r="BA768" i="7" s="1"/>
  <c r="BA772" i="7" a="1"/>
  <c r="BA772" i="7" s="1"/>
  <c r="AZ320" i="7" a="1"/>
  <c r="AZ320" i="7" s="1"/>
  <c r="AQ688" i="7" a="1"/>
  <c r="AQ688" i="7" s="1"/>
  <c r="AQ697" i="7" a="1"/>
  <c r="AQ697" i="7" s="1"/>
  <c r="AQ702" i="7" a="1"/>
  <c r="AQ702" i="7" s="1"/>
  <c r="AQ715" i="7" a="1"/>
  <c r="AQ715" i="7" s="1"/>
  <c r="AQ747" i="7" a="1"/>
  <c r="AQ747" i="7" s="1"/>
  <c r="AQ749" i="7" a="1"/>
  <c r="AQ749" i="7" s="1"/>
  <c r="AQ780" i="7" a="1"/>
  <c r="AQ780" i="7" s="1"/>
  <c r="AQ787" i="7" a="1"/>
  <c r="AQ787" i="7" s="1"/>
  <c r="AQ786" i="7" a="1"/>
  <c r="AQ786" i="7" s="1"/>
  <c r="AQ781" i="7" a="1"/>
  <c r="AQ781" i="7" s="1"/>
  <c r="AQ809" i="7" a="1"/>
  <c r="AQ809" i="7" s="1"/>
  <c r="AZ683" i="7" a="1"/>
  <c r="AZ683" i="7" s="1"/>
  <c r="AZ699" i="7" a="1"/>
  <c r="AZ699" i="7" s="1"/>
  <c r="AZ702" i="7" a="1"/>
  <c r="AZ702" i="7" s="1"/>
  <c r="AZ708" i="7" a="1"/>
  <c r="AZ708" i="7" s="1"/>
  <c r="AZ733" i="7" a="1"/>
  <c r="AZ733" i="7" s="1"/>
  <c r="AZ743" i="7" a="1"/>
  <c r="AZ743" i="7" s="1"/>
  <c r="AZ769" i="7" a="1"/>
  <c r="AZ769" i="7" s="1"/>
  <c r="AZ790" i="7" a="1"/>
  <c r="AZ790" i="7" s="1"/>
  <c r="AZ785" i="7" a="1"/>
  <c r="AZ785" i="7" s="1"/>
  <c r="AZ794" i="7" a="1"/>
  <c r="AZ794" i="7" s="1"/>
  <c r="AZ792" i="7" a="1"/>
  <c r="AZ792" i="7" s="1"/>
  <c r="AO684" i="7" a="1"/>
  <c r="AO684" i="7" s="1"/>
  <c r="AO697" i="7" a="1"/>
  <c r="AO697" i="7" s="1"/>
  <c r="AO716" i="7" a="1"/>
  <c r="AO716" i="7" s="1"/>
  <c r="AO731" i="7" a="1"/>
  <c r="AO731" i="7" s="1"/>
  <c r="AO746" i="7" a="1"/>
  <c r="AO746" i="7" s="1"/>
  <c r="AO753" i="7" a="1"/>
  <c r="AO753" i="7" s="1"/>
  <c r="AO758" i="7" a="1"/>
  <c r="AO758" i="7" s="1"/>
  <c r="AO779" i="7" a="1"/>
  <c r="AO779" i="7" s="1"/>
  <c r="AO792" i="7" a="1"/>
  <c r="AO792" i="7" s="1"/>
  <c r="AQ690" i="7" a="1"/>
  <c r="AQ690" i="7" s="1"/>
  <c r="AQ700" i="7" a="1"/>
  <c r="AQ700" i="7" s="1"/>
  <c r="AQ705" i="7" a="1"/>
  <c r="AQ705" i="7" s="1"/>
  <c r="AQ718" i="7" a="1"/>
  <c r="AQ718" i="7" s="1"/>
  <c r="AQ725" i="7" a="1"/>
  <c r="AQ725" i="7" s="1"/>
  <c r="AQ750" i="7" a="1"/>
  <c r="AQ750" i="7" s="1"/>
  <c r="AQ751" i="7" a="1"/>
  <c r="AQ751" i="7" s="1"/>
  <c r="AQ760" i="7" a="1"/>
  <c r="AQ760" i="7" s="1"/>
  <c r="AQ767" i="7" a="1"/>
  <c r="AQ767" i="7" s="1"/>
  <c r="AQ775" i="7" a="1"/>
  <c r="AQ775" i="7" s="1"/>
  <c r="AQ784" i="7" a="1"/>
  <c r="AQ784" i="7" s="1"/>
  <c r="AQ811" i="7" a="1"/>
  <c r="AQ811" i="7" s="1"/>
  <c r="AQ808" i="7" a="1"/>
  <c r="AQ808" i="7" s="1"/>
  <c r="AZ685" i="7" a="1"/>
  <c r="AZ685" i="7" s="1"/>
  <c r="AZ700" i="7" a="1"/>
  <c r="AZ700" i="7" s="1"/>
  <c r="AZ705" i="7" a="1"/>
  <c r="AZ705" i="7" s="1"/>
  <c r="AZ711" i="7" a="1"/>
  <c r="AZ711" i="7" s="1"/>
  <c r="AZ735" i="7" a="1"/>
  <c r="AZ735" i="7" s="1"/>
  <c r="AZ738" i="7" a="1"/>
  <c r="AZ738" i="7" s="1"/>
  <c r="AZ757" i="7" a="1"/>
  <c r="AZ757" i="7" s="1"/>
  <c r="AZ774" i="7" a="1"/>
  <c r="AZ774" i="7" s="1"/>
  <c r="AZ772" i="7" a="1"/>
  <c r="AZ772" i="7" s="1"/>
  <c r="AZ793" i="7" a="1"/>
  <c r="AZ793" i="7" s="1"/>
  <c r="AO686" i="7" a="1"/>
  <c r="AO686" i="7" s="1"/>
  <c r="AO700" i="7" a="1"/>
  <c r="AO700" i="7" s="1"/>
  <c r="AO719" i="7" a="1"/>
  <c r="AO719" i="7" s="1"/>
  <c r="AO749" i="7" a="1"/>
  <c r="AO749" i="7" s="1"/>
  <c r="AO754" i="7" a="1"/>
  <c r="AO754" i="7" s="1"/>
  <c r="AO761" i="7" a="1"/>
  <c r="AO761" i="7" s="1"/>
  <c r="AO774" i="7" a="1"/>
  <c r="AO774" i="7" s="1"/>
  <c r="AO793" i="7" a="1"/>
  <c r="AO793" i="7" s="1"/>
  <c r="BA701" i="7" a="1"/>
  <c r="BA701" i="7" s="1"/>
  <c r="BA753" i="7" a="1"/>
  <c r="BA753" i="7" s="1"/>
  <c r="BA795" i="7" a="1"/>
  <c r="BA795" i="7" s="1"/>
  <c r="AZ319" i="7" a="1"/>
  <c r="AZ319" i="7" s="1"/>
  <c r="AQ722" i="7" a="1"/>
  <c r="AQ722" i="7" s="1"/>
  <c r="AQ810" i="7" a="1"/>
  <c r="AQ810" i="7" s="1"/>
  <c r="AZ742" i="7" a="1"/>
  <c r="AZ742" i="7" s="1"/>
  <c r="AZ795" i="7" a="1"/>
  <c r="AZ795" i="7" s="1"/>
  <c r="AQ699" i="7" a="1"/>
  <c r="AQ699" i="7" s="1"/>
  <c r="AQ812" i="7" a="1"/>
  <c r="AQ812" i="7" s="1"/>
  <c r="AZ750" i="7" a="1"/>
  <c r="AZ750" i="7" s="1"/>
  <c r="AZ779" i="7" a="1"/>
  <c r="AZ779" i="7" s="1"/>
  <c r="AO794" i="7" a="1"/>
  <c r="AO794" i="7" s="1"/>
  <c r="AQ720" i="7" a="1"/>
  <c r="AQ720" i="7" s="1"/>
  <c r="AQ704" i="7" a="1"/>
  <c r="AQ704" i="7" s="1"/>
  <c r="AQ703" i="7" a="1"/>
  <c r="AQ703" i="7" s="1"/>
  <c r="AQ734" i="7" a="1"/>
  <c r="AQ734" i="7" s="1"/>
  <c r="AQ743" i="7" a="1"/>
  <c r="AQ743" i="7" s="1"/>
  <c r="AQ741" i="7" a="1"/>
  <c r="AQ741" i="7" s="1"/>
  <c r="AQ759" i="7" a="1"/>
  <c r="AQ759" i="7" s="1"/>
  <c r="AQ758" i="7" a="1"/>
  <c r="AQ758" i="7" s="1"/>
  <c r="AQ785" i="7" a="1"/>
  <c r="AQ785" i="7" s="1"/>
  <c r="AQ795" i="7" a="1"/>
  <c r="AQ795" i="7" s="1"/>
  <c r="AZ682" i="7" a="1"/>
  <c r="AZ682" i="7" s="1"/>
  <c r="AZ693" i="7" a="1"/>
  <c r="AZ693" i="7" s="1"/>
  <c r="AZ706" i="7" a="1"/>
  <c r="AZ706" i="7" s="1"/>
  <c r="AZ728" i="7" a="1"/>
  <c r="AZ728" i="7" s="1"/>
  <c r="AZ722" i="7" a="1"/>
  <c r="AZ722" i="7" s="1"/>
  <c r="AZ729" i="7" a="1"/>
  <c r="AZ729" i="7" s="1"/>
  <c r="AZ747" i="7" a="1"/>
  <c r="AZ747" i="7" s="1"/>
  <c r="AZ752" i="7" a="1"/>
  <c r="AZ752" i="7" s="1"/>
  <c r="AZ791" i="7" a="1"/>
  <c r="AZ791" i="7" s="1"/>
  <c r="AZ784" i="7" a="1"/>
  <c r="AZ784" i="7" s="1"/>
  <c r="AZ799" i="7" a="1"/>
  <c r="AZ799" i="7" s="1"/>
  <c r="AZ800" i="7" a="1"/>
  <c r="AZ800" i="7" s="1"/>
  <c r="AO685" i="7" a="1"/>
  <c r="AO685" i="7" s="1"/>
  <c r="AO724" i="7" a="1"/>
  <c r="AO724" i="7" s="1"/>
  <c r="AO705" i="7" a="1"/>
  <c r="AO705" i="7" s="1"/>
  <c r="AO730" i="7" a="1"/>
  <c r="AO730" i="7" s="1"/>
  <c r="AO741" i="7" a="1"/>
  <c r="AO741" i="7" s="1"/>
  <c r="AO759" i="7" a="1"/>
  <c r="AO759" i="7" s="1"/>
  <c r="AO769" i="7" a="1"/>
  <c r="AO769" i="7" s="1"/>
  <c r="AO788" i="7" a="1"/>
  <c r="AO788" i="7" s="1"/>
  <c r="AO797" i="7" a="1"/>
  <c r="AO797" i="7" s="1"/>
  <c r="AO800" i="7" a="1"/>
  <c r="AO800" i="7" s="1"/>
  <c r="BA694" i="7" a="1"/>
  <c r="BA694" i="7" s="1"/>
  <c r="BA722" i="7" a="1"/>
  <c r="BA722" i="7" s="1"/>
  <c r="BA782" i="7" a="1"/>
  <c r="BA782" i="7" s="1"/>
  <c r="BA791" i="7" a="1"/>
  <c r="BA791" i="7" s="1"/>
  <c r="BA807" i="7" a="1"/>
  <c r="BA807" i="7" s="1"/>
  <c r="AQ707" i="7" a="1"/>
  <c r="AQ707" i="7" s="1"/>
  <c r="AQ736" i="7" a="1"/>
  <c r="AQ736" i="7" s="1"/>
  <c r="AQ769" i="7" a="1"/>
  <c r="AQ769" i="7" s="1"/>
  <c r="AQ770" i="7" a="1"/>
  <c r="AQ770" i="7" s="1"/>
  <c r="AZ696" i="7" a="1"/>
  <c r="AZ696" i="7" s="1"/>
  <c r="AZ760" i="7" a="1"/>
  <c r="AZ760" i="7" s="1"/>
  <c r="AQ691" i="7" a="1"/>
  <c r="AQ691" i="7" s="1"/>
  <c r="AQ740" i="7" a="1"/>
  <c r="AQ740" i="7" s="1"/>
  <c r="AQ794" i="7" a="1"/>
  <c r="AQ794" i="7" s="1"/>
  <c r="AZ724" i="7" a="1"/>
  <c r="AZ724" i="7" s="1"/>
  <c r="AZ797" i="7" a="1"/>
  <c r="AZ797" i="7" s="1"/>
  <c r="AO721" i="7" a="1"/>
  <c r="AO721" i="7" s="1"/>
  <c r="AO798" i="7" a="1"/>
  <c r="AO798" i="7" s="1"/>
  <c r="AQ682" i="7" a="1"/>
  <c r="AQ682" i="7" s="1"/>
  <c r="AQ696" i="7" a="1"/>
  <c r="AQ696" i="7" s="1"/>
  <c r="AQ708" i="7" a="1"/>
  <c r="AQ708" i="7" s="1"/>
  <c r="AQ706" i="7" a="1"/>
  <c r="AQ706" i="7" s="1"/>
  <c r="AQ728" i="7" a="1"/>
  <c r="AQ728" i="7" s="1"/>
  <c r="AQ745" i="7" a="1"/>
  <c r="AQ745" i="7" s="1"/>
  <c r="AQ763" i="7" a="1"/>
  <c r="AQ763" i="7" s="1"/>
  <c r="AQ761" i="7" a="1"/>
  <c r="AQ761" i="7" s="1"/>
  <c r="AQ797" i="7" a="1"/>
  <c r="AQ797" i="7" s="1"/>
  <c r="AQ792" i="7" a="1"/>
  <c r="AQ792" i="7" s="1"/>
  <c r="AZ684" i="7" a="1"/>
  <c r="AZ684" i="7" s="1"/>
  <c r="AZ695" i="7" a="1"/>
  <c r="AZ695" i="7" s="1"/>
  <c r="AZ712" i="7" a="1"/>
  <c r="AZ712" i="7" s="1"/>
  <c r="AZ714" i="7" a="1"/>
  <c r="AZ714" i="7" s="1"/>
  <c r="AZ731" i="7" a="1"/>
  <c r="AZ731" i="7" s="1"/>
  <c r="AZ739" i="7" a="1"/>
  <c r="AZ739" i="7" s="1"/>
  <c r="AZ734" i="7" a="1"/>
  <c r="AZ734" i="7" s="1"/>
  <c r="AZ749" i="7" a="1"/>
  <c r="AZ749" i="7" s="1"/>
  <c r="AZ756" i="7" a="1"/>
  <c r="AZ756" i="7" s="1"/>
  <c r="AZ788" i="7" a="1"/>
  <c r="AZ788" i="7" s="1"/>
  <c r="AZ786" i="7" a="1"/>
  <c r="AZ786" i="7" s="1"/>
  <c r="AZ801" i="7" a="1"/>
  <c r="AZ801" i="7" s="1"/>
  <c r="AO698" i="7" a="1"/>
  <c r="AO698" i="7" s="1"/>
  <c r="AO709" i="7" a="1"/>
  <c r="AO709" i="7" s="1"/>
  <c r="AO736" i="7" a="1"/>
  <c r="AO736" i="7" s="1"/>
  <c r="AO745" i="7" a="1"/>
  <c r="AO745" i="7" s="1"/>
  <c r="AO763" i="7" a="1"/>
  <c r="AO763" i="7" s="1"/>
  <c r="AO785" i="7" a="1"/>
  <c r="AO785" i="7" s="1"/>
  <c r="AO770" i="7" a="1"/>
  <c r="AO770" i="7" s="1"/>
  <c r="AO799" i="7" a="1"/>
  <c r="AO799" i="7" s="1"/>
  <c r="AO801" i="7" a="1"/>
  <c r="AO801" i="7" s="1"/>
  <c r="BA700" i="7" a="1"/>
  <c r="BA700" i="7" s="1"/>
  <c r="BA752" i="7" a="1"/>
  <c r="BA752" i="7" s="1"/>
  <c r="BA774" i="7" a="1"/>
  <c r="BA774" i="7" s="1"/>
  <c r="BA794" i="7" a="1"/>
  <c r="BA794" i="7" s="1"/>
  <c r="AQ773" i="7" a="1"/>
  <c r="AQ773" i="7" s="1"/>
  <c r="AQ778" i="7" a="1"/>
  <c r="AQ778" i="7" s="1"/>
  <c r="AZ715" i="7" a="1"/>
  <c r="AZ715" i="7" s="1"/>
  <c r="AZ776" i="7" a="1"/>
  <c r="AZ776" i="7" s="1"/>
  <c r="AQ726" i="7" a="1"/>
  <c r="AQ726" i="7" s="1"/>
  <c r="AQ738" i="7" a="1"/>
  <c r="AQ738" i="7" s="1"/>
  <c r="AQ782" i="7" a="1"/>
  <c r="AQ782" i="7" s="1"/>
  <c r="AZ688" i="7" a="1"/>
  <c r="AZ688" i="7" s="1"/>
  <c r="AZ718" i="7" a="1"/>
  <c r="AZ718" i="7" s="1"/>
  <c r="AZ764" i="7" a="1"/>
  <c r="AZ764" i="7" s="1"/>
  <c r="AQ684" i="7" a="1"/>
  <c r="AQ684" i="7" s="1"/>
  <c r="AQ701" i="7" a="1"/>
  <c r="AQ701" i="7" s="1"/>
  <c r="AQ711" i="7" a="1"/>
  <c r="AQ711" i="7" s="1"/>
  <c r="AQ710" i="7" a="1"/>
  <c r="AQ710" i="7" s="1"/>
  <c r="AQ731" i="7" a="1"/>
  <c r="AQ731" i="7" s="1"/>
  <c r="AQ748" i="7" a="1"/>
  <c r="AQ748" i="7" s="1"/>
  <c r="AQ766" i="7" a="1"/>
  <c r="AQ766" i="7" s="1"/>
  <c r="AQ790" i="7" a="1"/>
  <c r="AQ790" i="7" s="1"/>
  <c r="AQ799" i="7" a="1"/>
  <c r="AQ799" i="7" s="1"/>
  <c r="AQ796" i="7" a="1"/>
  <c r="AQ796" i="7" s="1"/>
  <c r="AZ686" i="7" a="1"/>
  <c r="AZ686" i="7" s="1"/>
  <c r="AZ697" i="7" a="1"/>
  <c r="AZ697" i="7" s="1"/>
  <c r="AZ719" i="7" a="1"/>
  <c r="AZ719" i="7" s="1"/>
  <c r="AZ717" i="7" a="1"/>
  <c r="AZ717" i="7" s="1"/>
  <c r="AZ704" i="7" a="1"/>
  <c r="AZ704" i="7" s="1"/>
  <c r="AZ753" i="7" a="1"/>
  <c r="AZ753" i="7" s="1"/>
  <c r="AZ737" i="7" a="1"/>
  <c r="AZ737" i="7" s="1"/>
  <c r="AZ751" i="7" a="1"/>
  <c r="AZ751" i="7" s="1"/>
  <c r="AZ759" i="7" a="1"/>
  <c r="AZ759" i="7" s="1"/>
  <c r="AZ770" i="7" a="1"/>
  <c r="AZ770" i="7" s="1"/>
  <c r="AZ789" i="7" a="1"/>
  <c r="AZ789" i="7" s="1"/>
  <c r="AZ802" i="7" a="1"/>
  <c r="AZ802" i="7" s="1"/>
  <c r="AZ803" i="7" a="1"/>
  <c r="AZ803" i="7" s="1"/>
  <c r="AO690" i="7" a="1"/>
  <c r="AO690" i="7" s="1"/>
  <c r="AO711" i="7" a="1"/>
  <c r="AO711" i="7" s="1"/>
  <c r="AO718" i="7" a="1"/>
  <c r="AO718" i="7" s="1"/>
  <c r="AO740" i="7" a="1"/>
  <c r="AO740" i="7" s="1"/>
  <c r="AO737" i="7" a="1"/>
  <c r="AO737" i="7" s="1"/>
  <c r="AO766" i="7" a="1"/>
  <c r="AO766" i="7" s="1"/>
  <c r="AO760" i="7" a="1"/>
  <c r="AO760" i="7" s="1"/>
  <c r="AO773" i="7" a="1"/>
  <c r="AO773" i="7" s="1"/>
  <c r="AO805" i="7" a="1"/>
  <c r="AO805" i="7" s="1"/>
  <c r="BA704" i="7" a="1"/>
  <c r="BA704" i="7" s="1"/>
  <c r="BA726" i="7" a="1"/>
  <c r="BA726" i="7" s="1"/>
  <c r="BA749" i="7" a="1"/>
  <c r="BA749" i="7" s="1"/>
  <c r="BA781" i="7" a="1"/>
  <c r="BA781" i="7" s="1"/>
  <c r="AQ709" i="7" a="1"/>
  <c r="AQ709" i="7" s="1"/>
  <c r="AZ741" i="7" a="1"/>
  <c r="AZ741" i="7" s="1"/>
  <c r="AZ796" i="7" a="1"/>
  <c r="AZ796" i="7" s="1"/>
  <c r="AQ698" i="7" a="1"/>
  <c r="AQ698" i="7" s="1"/>
  <c r="AQ783" i="7" a="1"/>
  <c r="AQ783" i="7" s="1"/>
  <c r="AZ703" i="7" a="1"/>
  <c r="AZ703" i="7" s="1"/>
  <c r="AZ745" i="7" a="1"/>
  <c r="AZ745" i="7" s="1"/>
  <c r="AZ781" i="7" a="1"/>
  <c r="AZ781" i="7" s="1"/>
  <c r="AO683" i="7" a="1"/>
  <c r="AO683" i="7" s="1"/>
  <c r="AO727" i="7" a="1"/>
  <c r="AO727" i="7" s="1"/>
  <c r="AO781" i="7" a="1"/>
  <c r="AO781" i="7" s="1"/>
  <c r="AQ713" i="7" a="1"/>
  <c r="AQ713" i="7" s="1"/>
  <c r="AQ686" i="7" a="1"/>
  <c r="AQ686" i="7" s="1"/>
  <c r="AQ714" i="7" a="1"/>
  <c r="AQ714" i="7" s="1"/>
  <c r="AQ712" i="7" a="1"/>
  <c r="AQ712" i="7" s="1"/>
  <c r="AQ727" i="7" a="1"/>
  <c r="AQ727" i="7" s="1"/>
  <c r="AQ754" i="7" a="1"/>
  <c r="AQ754" i="7" s="1"/>
  <c r="AQ757" i="7" a="1"/>
  <c r="AQ757" i="7" s="1"/>
  <c r="AQ771" i="7" a="1"/>
  <c r="AQ771" i="7" s="1"/>
  <c r="AQ768" i="7" a="1"/>
  <c r="AQ768" i="7" s="1"/>
  <c r="AQ793" i="7" a="1"/>
  <c r="AQ793" i="7" s="1"/>
  <c r="AQ798" i="7" a="1"/>
  <c r="AQ798" i="7" s="1"/>
  <c r="AZ687" i="7" a="1"/>
  <c r="AZ687" i="7" s="1"/>
  <c r="AZ710" i="7" a="1"/>
  <c r="AZ710" i="7" s="1"/>
  <c r="AZ713" i="7" a="1"/>
  <c r="AZ713" i="7" s="1"/>
  <c r="AZ721" i="7" a="1"/>
  <c r="AZ721" i="7" s="1"/>
  <c r="AZ707" i="7" a="1"/>
  <c r="AZ707" i="7" s="1"/>
  <c r="AZ725" i="7" a="1"/>
  <c r="AZ725" i="7" s="1"/>
  <c r="AZ763" i="7" a="1"/>
  <c r="AZ763" i="7" s="1"/>
  <c r="AZ773" i="7" a="1"/>
  <c r="AZ773" i="7" s="1"/>
  <c r="AZ804" i="7" a="1"/>
  <c r="AZ804" i="7" s="1"/>
  <c r="AZ805" i="7" a="1"/>
  <c r="AZ805" i="7" s="1"/>
  <c r="AO692" i="7" a="1"/>
  <c r="AO692" i="7" s="1"/>
  <c r="AO696" i="7" a="1"/>
  <c r="AO696" i="7" s="1"/>
  <c r="AO722" i="7" a="1"/>
  <c r="AO722" i="7" s="1"/>
  <c r="AO713" i="7" a="1"/>
  <c r="AO713" i="7" s="1"/>
  <c r="AO733" i="7" a="1"/>
  <c r="AO733" i="7" s="1"/>
  <c r="AO778" i="7" a="1"/>
  <c r="AO778" i="7" s="1"/>
  <c r="AO764" i="7" a="1"/>
  <c r="AO764" i="7" s="1"/>
  <c r="AO802" i="7" a="1"/>
  <c r="AO802" i="7" s="1"/>
  <c r="BA686" i="7" a="1"/>
  <c r="BA686" i="7" s="1"/>
  <c r="BA729" i="7" a="1"/>
  <c r="BA729" i="7" s="1"/>
  <c r="BA751" i="7" a="1"/>
  <c r="BA751" i="7" s="1"/>
  <c r="BA773" i="7" a="1"/>
  <c r="BA773" i="7" s="1"/>
  <c r="BA801" i="7" a="1"/>
  <c r="BA801" i="7" s="1"/>
  <c r="AQ692" i="7" a="1"/>
  <c r="AQ692" i="7" s="1"/>
  <c r="AQ788" i="7" a="1"/>
  <c r="AQ788" i="7" s="1"/>
  <c r="AZ709" i="7" a="1"/>
  <c r="AZ709" i="7" s="1"/>
  <c r="AZ777" i="7" a="1"/>
  <c r="AZ777" i="7" s="1"/>
  <c r="AQ732" i="7" a="1"/>
  <c r="AQ732" i="7" s="1"/>
  <c r="AQ756" i="7" a="1"/>
  <c r="AQ756" i="7" s="1"/>
  <c r="AQ791" i="7" a="1"/>
  <c r="AQ791" i="7" s="1"/>
  <c r="AZ726" i="7" a="1"/>
  <c r="AZ726" i="7" s="1"/>
  <c r="AZ798" i="7" a="1"/>
  <c r="AZ798" i="7" s="1"/>
  <c r="AO689" i="7" a="1"/>
  <c r="AO689" i="7" s="1"/>
  <c r="AO738" i="7" a="1"/>
  <c r="AO738" i="7" s="1"/>
  <c r="AO768" i="7" a="1"/>
  <c r="AO768" i="7" s="1"/>
  <c r="AQ681" i="7" a="1"/>
  <c r="AQ681" i="7" s="1"/>
  <c r="AQ687" i="7" a="1"/>
  <c r="AQ687" i="7" s="1"/>
  <c r="AQ723" i="7" a="1"/>
  <c r="AQ723" i="7" s="1"/>
  <c r="AQ717" i="7" a="1"/>
  <c r="AQ717" i="7" s="1"/>
  <c r="AQ716" i="7" a="1"/>
  <c r="AQ716" i="7" s="1"/>
  <c r="AQ730" i="7" a="1"/>
  <c r="AQ730" i="7" s="1"/>
  <c r="AQ735" i="7" a="1"/>
  <c r="AQ735" i="7" s="1"/>
  <c r="AQ752" i="7" a="1"/>
  <c r="AQ752" i="7" s="1"/>
  <c r="AQ755" i="7" a="1"/>
  <c r="AQ755" i="7" s="1"/>
  <c r="AQ772" i="7" a="1"/>
  <c r="AQ772" i="7" s="1"/>
  <c r="AQ789" i="7" a="1"/>
  <c r="AQ789" i="7" s="1"/>
  <c r="AQ802" i="7" a="1"/>
  <c r="AQ802" i="7" s="1"/>
  <c r="AZ689" i="7" a="1"/>
  <c r="AZ689" i="7" s="1"/>
  <c r="AZ716" i="7" a="1"/>
  <c r="AZ716" i="7" s="1"/>
  <c r="AZ694" i="7" a="1"/>
  <c r="AZ694" i="7" s="1"/>
  <c r="AZ744" i="7" a="1"/>
  <c r="AZ744" i="7" s="1"/>
  <c r="AZ765" i="7" a="1"/>
  <c r="AZ765" i="7" s="1"/>
  <c r="AZ766" i="7" a="1"/>
  <c r="AZ766" i="7" s="1"/>
  <c r="AZ771" i="7" a="1"/>
  <c r="AZ771" i="7" s="1"/>
  <c r="AZ806" i="7" a="1"/>
  <c r="AZ806" i="7" s="1"/>
  <c r="AO707" i="7" a="1"/>
  <c r="AO707" i="7" s="1"/>
  <c r="AO704" i="7" a="1"/>
  <c r="AO704" i="7" s="1"/>
  <c r="AO699" i="7" a="1"/>
  <c r="AO699" i="7" s="1"/>
  <c r="AO729" i="7" a="1"/>
  <c r="AO729" i="7" s="1"/>
  <c r="AO744" i="7" a="1"/>
  <c r="AO744" i="7" s="1"/>
  <c r="AO782" i="7" a="1"/>
  <c r="AO782" i="7" s="1"/>
  <c r="AO780" i="7" a="1"/>
  <c r="AO780" i="7" s="1"/>
  <c r="AO806" i="7" a="1"/>
  <c r="AO806" i="7" s="1"/>
  <c r="AO808" i="7" a="1"/>
  <c r="AO808" i="7" s="1"/>
  <c r="BA687" i="7" a="1"/>
  <c r="BA687" i="7" s="1"/>
  <c r="BA732" i="7" a="1"/>
  <c r="BA732" i="7" s="1"/>
  <c r="BA756" i="7" a="1"/>
  <c r="BA756" i="7" s="1"/>
  <c r="BA803" i="7" a="1"/>
  <c r="BA803" i="7" s="1"/>
  <c r="BA685" i="7" a="1"/>
  <c r="BA685" i="7" s="1"/>
  <c r="BA696" i="7" a="1"/>
  <c r="BA696" i="7" s="1"/>
  <c r="BA710" i="7" a="1"/>
  <c r="BA710" i="7" s="1"/>
  <c r="BA708" i="7" a="1"/>
  <c r="BA708" i="7" s="1"/>
  <c r="BA724" i="7" a="1"/>
  <c r="BA724" i="7" s="1"/>
  <c r="BA745" i="7" a="1"/>
  <c r="BA745" i="7" s="1"/>
  <c r="BA769" i="7" a="1"/>
  <c r="BA769" i="7" s="1"/>
  <c r="BA778" i="7" a="1"/>
  <c r="BA778" i="7" s="1"/>
  <c r="BA759" i="7" a="1"/>
  <c r="BA759" i="7" s="1"/>
  <c r="BA780" i="7" a="1"/>
  <c r="BA780" i="7" s="1"/>
  <c r="BA797" i="7" a="1"/>
  <c r="BA797" i="7" s="1"/>
  <c r="BA796" i="7" a="1"/>
  <c r="BA796" i="7" s="1"/>
  <c r="P157" i="7"/>
  <c r="BA682" i="7" a="1"/>
  <c r="BA682" i="7" s="1"/>
  <c r="BA703" i="7" a="1"/>
  <c r="BA703" i="7" s="1"/>
  <c r="BA713" i="7" a="1"/>
  <c r="BA713" i="7" s="1"/>
  <c r="BA711" i="7" a="1"/>
  <c r="BA711" i="7" s="1"/>
  <c r="BA725" i="7" a="1"/>
  <c r="BA725" i="7" s="1"/>
  <c r="BA734" i="7" a="1"/>
  <c r="BA734" i="7" s="1"/>
  <c r="BA785" i="7" a="1"/>
  <c r="BA785" i="7" s="1"/>
  <c r="BA754" i="7" a="1"/>
  <c r="BA754" i="7" s="1"/>
  <c r="BA763" i="7" a="1"/>
  <c r="BA763" i="7" s="1"/>
  <c r="BA783" i="7" a="1"/>
  <c r="BA783" i="7" s="1"/>
  <c r="BA799" i="7" a="1"/>
  <c r="BA799" i="7" s="1"/>
  <c r="BA798" i="7" a="1"/>
  <c r="BA798" i="7" s="1"/>
  <c r="BA35" i="8"/>
  <c r="AZ35" i="8" s="1"/>
  <c r="AZ307" i="7" a="1"/>
  <c r="AZ307" i="7" s="1"/>
  <c r="AO693" i="7" a="1"/>
  <c r="AO693" i="7" s="1"/>
  <c r="AO701" i="7" a="1"/>
  <c r="AO701" i="7" s="1"/>
  <c r="AO715" i="7" a="1"/>
  <c r="AO715" i="7" s="1"/>
  <c r="AO702" i="7" a="1"/>
  <c r="AO702" i="7" s="1"/>
  <c r="AO742" i="7" a="1"/>
  <c r="AO742" i="7" s="1"/>
  <c r="AO748" i="7" a="1"/>
  <c r="AO748" i="7" s="1"/>
  <c r="AO775" i="7" a="1"/>
  <c r="AO775" i="7" s="1"/>
  <c r="AO757" i="7" a="1"/>
  <c r="AO757" i="7" s="1"/>
  <c r="AO784" i="7" a="1"/>
  <c r="AO784" i="7" s="1"/>
  <c r="AO786" i="7" a="1"/>
  <c r="AO786" i="7" s="1"/>
  <c r="AO812" i="7" a="1"/>
  <c r="AO812" i="7" s="1"/>
  <c r="BA684" i="7" a="1"/>
  <c r="BA684" i="7" s="1"/>
  <c r="BA688" i="7" a="1"/>
  <c r="BA688" i="7" s="1"/>
  <c r="BA705" i="7" a="1"/>
  <c r="BA705" i="7" s="1"/>
  <c r="BA715" i="7" a="1"/>
  <c r="BA715" i="7" s="1"/>
  <c r="BA737" i="7" a="1"/>
  <c r="BA737" i="7" s="1"/>
  <c r="BA747" i="7" a="1"/>
  <c r="BA747" i="7" s="1"/>
  <c r="BA758" i="7" a="1"/>
  <c r="BA758" i="7" s="1"/>
  <c r="BA771" i="7" a="1"/>
  <c r="BA771" i="7" s="1"/>
  <c r="BA787" i="7" a="1"/>
  <c r="BA787" i="7" s="1"/>
  <c r="BA800" i="7" a="1"/>
  <c r="BA800" i="7" s="1"/>
  <c r="AZ290" i="7" a="1"/>
  <c r="AZ290" i="7" s="1"/>
  <c r="AZ353" i="7" a="1"/>
  <c r="AZ353" i="7" s="1"/>
  <c r="AZ318" i="7" a="1"/>
  <c r="AZ318" i="7" s="1"/>
  <c r="AZ359" i="7" a="1"/>
  <c r="AZ359" i="7" s="1"/>
  <c r="AZ331" i="7" a="1"/>
  <c r="AZ331" i="7" s="1"/>
  <c r="AZ372" i="7" a="1"/>
  <c r="AZ372" i="7" s="1"/>
  <c r="AZ389" i="7" a="1"/>
  <c r="AZ389" i="7" s="1"/>
  <c r="AZ404" i="7" a="1"/>
  <c r="AZ404" i="7" s="1"/>
  <c r="AZ394" i="7" a="1"/>
  <c r="AZ394" i="7" s="1"/>
  <c r="AZ285" i="7" a="1"/>
  <c r="AZ285" i="7" s="1"/>
  <c r="AZ315" i="7" a="1"/>
  <c r="AZ315" i="7" s="1"/>
  <c r="W35" i="8"/>
  <c r="V35" i="8" s="1"/>
  <c r="P155" i="7"/>
  <c r="BA689" i="7" a="1"/>
  <c r="BA689" i="7" s="1"/>
  <c r="BA693" i="7" a="1"/>
  <c r="BA693" i="7" s="1"/>
  <c r="BA707" i="7" a="1"/>
  <c r="BA707" i="7" s="1"/>
  <c r="BA736" i="7" a="1"/>
  <c r="BA736" i="7" s="1"/>
  <c r="BA731" i="7" a="1"/>
  <c r="BA731" i="7" s="1"/>
  <c r="BA739" i="7" a="1"/>
  <c r="BA739" i="7" s="1"/>
  <c r="BA748" i="7" a="1"/>
  <c r="BA748" i="7" s="1"/>
  <c r="BA775" i="7" a="1"/>
  <c r="BA775" i="7" s="1"/>
  <c r="BA777" i="7" a="1"/>
  <c r="BA777" i="7" s="1"/>
  <c r="BA776" i="7" a="1"/>
  <c r="BA776" i="7" s="1"/>
  <c r="BA806" i="7" a="1"/>
  <c r="BA806" i="7" s="1"/>
  <c r="BA805" i="7" a="1"/>
  <c r="BA805" i="7" s="1"/>
  <c r="P156" i="7"/>
  <c r="BA695" i="7" a="1"/>
  <c r="BA695" i="7" s="1"/>
  <c r="BA698" i="7" a="1"/>
  <c r="BA698" i="7" s="1"/>
  <c r="BA712" i="7" a="1"/>
  <c r="BA712" i="7" s="1"/>
  <c r="BA717" i="7" a="1"/>
  <c r="BA717" i="7" s="1"/>
  <c r="BA727" i="7" a="1"/>
  <c r="BA727" i="7" s="1"/>
  <c r="BA746" i="7" a="1"/>
  <c r="BA746" i="7" s="1"/>
  <c r="BA743" i="7" a="1"/>
  <c r="BA743" i="7" s="1"/>
  <c r="BA757" i="7" a="1"/>
  <c r="BA757" i="7" s="1"/>
  <c r="BA784" i="7" a="1"/>
  <c r="BA784" i="7" s="1"/>
  <c r="BA809" i="7" a="1"/>
  <c r="BA809" i="7" s="1"/>
  <c r="BA808" i="7" a="1"/>
  <c r="BA808" i="7" s="1"/>
  <c r="BA690" i="7" a="1"/>
  <c r="BA690" i="7" s="1"/>
  <c r="BA699" i="7" a="1"/>
  <c r="BA699" i="7" s="1"/>
  <c r="BA716" i="7" a="1"/>
  <c r="BA716" i="7" s="1"/>
  <c r="BA721" i="7" a="1"/>
  <c r="BA721" i="7" s="1"/>
  <c r="BA730" i="7" a="1"/>
  <c r="BA730" i="7" s="1"/>
  <c r="BA750" i="7" a="1"/>
  <c r="BA750" i="7" s="1"/>
  <c r="BA755" i="7" a="1"/>
  <c r="BA755" i="7" s="1"/>
  <c r="BA760" i="7" a="1"/>
  <c r="BA760" i="7" s="1"/>
  <c r="BA788" i="7" a="1"/>
  <c r="BA788" i="7" s="1"/>
  <c r="BA786" i="7" a="1"/>
  <c r="BA786" i="7" s="1"/>
  <c r="BA811" i="7" a="1"/>
  <c r="BA811" i="7" s="1"/>
  <c r="BA810" i="7" a="1"/>
  <c r="BA810" i="7" s="1"/>
  <c r="AZ378" i="7" a="1"/>
  <c r="AZ378" i="7" s="1"/>
  <c r="AZ303" i="7" a="1"/>
  <c r="AZ303" i="7" s="1"/>
  <c r="AZ314" i="7" a="1"/>
  <c r="AZ314" i="7" s="1"/>
  <c r="AO688" i="7" a="1"/>
  <c r="AO688" i="7" s="1"/>
  <c r="AO694" i="7" a="1"/>
  <c r="AO694" i="7" s="1"/>
  <c r="AO714" i="7" a="1"/>
  <c r="AO714" i="7" s="1"/>
  <c r="AO712" i="7" a="1"/>
  <c r="AO712" i="7" s="1"/>
  <c r="AO723" i="7" a="1"/>
  <c r="AO723" i="7" s="1"/>
  <c r="AO726" i="7" a="1"/>
  <c r="AO726" i="7" s="1"/>
  <c r="AO751" i="7" a="1"/>
  <c r="AO751" i="7" s="1"/>
  <c r="AO756" i="7" a="1"/>
  <c r="AO756" i="7" s="1"/>
  <c r="AO767" i="7" a="1"/>
  <c r="AO767" i="7" s="1"/>
  <c r="AO787" i="7" a="1"/>
  <c r="AO787" i="7" s="1"/>
  <c r="AO804" i="7" a="1"/>
  <c r="AO804" i="7" s="1"/>
  <c r="AZ340" i="7" a="1"/>
  <c r="AZ340" i="7" s="1"/>
  <c r="BA691" i="7" a="1"/>
  <c r="BA691" i="7" s="1"/>
  <c r="BA702" i="7" a="1"/>
  <c r="BA702" i="7" s="1"/>
  <c r="BA719" i="7" a="1"/>
  <c r="BA719" i="7" s="1"/>
  <c r="BA728" i="7" a="1"/>
  <c r="BA728" i="7" s="1"/>
  <c r="BA733" i="7" a="1"/>
  <c r="BA733" i="7" s="1"/>
  <c r="BA762" i="7" a="1"/>
  <c r="BA762" i="7" s="1"/>
  <c r="BA765" i="7" a="1"/>
  <c r="BA765" i="7" s="1"/>
  <c r="BA764" i="7" a="1"/>
  <c r="BA764" i="7" s="1"/>
  <c r="BA792" i="7" a="1"/>
  <c r="BA792" i="7" s="1"/>
  <c r="BA790" i="7" a="1"/>
  <c r="BA790" i="7" s="1"/>
  <c r="AZ297" i="7" a="1"/>
  <c r="AZ297" i="7" s="1"/>
  <c r="AZ336" i="7" a="1"/>
  <c r="AZ336" i="7" s="1"/>
  <c r="AZ377" i="7" a="1"/>
  <c r="AZ377" i="7" s="1"/>
  <c r="AZ342" i="7" a="1"/>
  <c r="AZ342" i="7" s="1"/>
  <c r="AZ388" i="7" a="1"/>
  <c r="AZ388" i="7" s="1"/>
  <c r="AZ355" i="7" a="1"/>
  <c r="AZ355" i="7" s="1"/>
  <c r="AZ392" i="7" a="1"/>
  <c r="AZ392" i="7" s="1"/>
  <c r="AZ401" i="7" a="1"/>
  <c r="AZ401" i="7" s="1"/>
  <c r="AZ403" i="7" a="1"/>
  <c r="AZ403" i="7" s="1"/>
  <c r="AZ294" i="7" a="1"/>
  <c r="AZ294" i="7" s="1"/>
  <c r="W33" i="8"/>
  <c r="V33" i="8" s="1"/>
  <c r="AZ29" i="8"/>
  <c r="BB11" i="8"/>
  <c r="X44" i="8"/>
  <c r="AZ89" i="8"/>
  <c r="AZ91" i="8"/>
  <c r="AZ100" i="8"/>
  <c r="AK39" i="8"/>
  <c r="W44" i="8"/>
  <c r="X48" i="8"/>
  <c r="V48" i="8" s="1"/>
  <c r="AZ42" i="8"/>
  <c r="AK76" i="8"/>
  <c r="AK88" i="8"/>
  <c r="BA14" i="8"/>
  <c r="AZ14" i="8" s="1"/>
  <c r="AZ103" i="8"/>
  <c r="AK89" i="8"/>
  <c r="AK84" i="8"/>
  <c r="AZ101" i="8"/>
  <c r="AK98" i="8"/>
  <c r="AZ90" i="8"/>
  <c r="AK71" i="8"/>
  <c r="AZ22" i="8"/>
  <c r="V100" i="8"/>
  <c r="V104" i="8"/>
  <c r="AZ92" i="8"/>
  <c r="V88" i="8"/>
  <c r="AZ87" i="8"/>
  <c r="AZ51" i="8"/>
  <c r="AK65" i="8"/>
  <c r="V52" i="8"/>
  <c r="V92" i="8"/>
  <c r="BA9" i="8"/>
  <c r="AZ9" i="8" s="1"/>
  <c r="V54" i="8"/>
  <c r="AK83" i="8"/>
  <c r="V93" i="8"/>
  <c r="AK45" i="8"/>
  <c r="V82" i="8"/>
  <c r="X31" i="8"/>
  <c r="W31" i="8"/>
  <c r="V101" i="8"/>
  <c r="V38" i="8"/>
  <c r="AK46" i="8"/>
  <c r="AZ56" i="8"/>
  <c r="AK73" i="8"/>
  <c r="AZ85" i="8"/>
  <c r="BA11" i="8"/>
  <c r="AK67" i="8"/>
  <c r="AK93" i="8"/>
  <c r="AZ12" i="8"/>
  <c r="AK19" i="8"/>
  <c r="AK31" i="8"/>
  <c r="AK30" i="8"/>
  <c r="AK16" i="8"/>
  <c r="V26" i="8"/>
  <c r="V61" i="8"/>
  <c r="V66" i="8"/>
  <c r="AK34" i="8"/>
  <c r="V10" i="8"/>
  <c r="AZ20" i="8"/>
  <c r="V28" i="8"/>
  <c r="AK11" i="8"/>
  <c r="AK92" i="8"/>
  <c r="AZ28" i="8"/>
  <c r="AZ57" i="8"/>
  <c r="V79" i="8"/>
  <c r="AZ82" i="8"/>
  <c r="AK23" i="8"/>
  <c r="V34" i="8"/>
  <c r="AK72" i="8"/>
  <c r="AZ67" i="8"/>
  <c r="AZ76" i="8"/>
  <c r="AZ81" i="8"/>
  <c r="V78" i="8"/>
  <c r="V85" i="8"/>
  <c r="V14" i="8"/>
  <c r="V59" i="8"/>
  <c r="AZ94" i="8"/>
  <c r="AZ32" i="8"/>
  <c r="AK41" i="8"/>
  <c r="AZ45" i="8"/>
  <c r="V49" i="8"/>
  <c r="AK54" i="8"/>
  <c r="AZ65" i="8"/>
  <c r="AK59" i="8"/>
  <c r="V70" i="8"/>
  <c r="AZ80" i="8"/>
  <c r="AZ77" i="8"/>
  <c r="V15" i="8"/>
  <c r="AK36" i="8"/>
  <c r="V30" i="8"/>
  <c r="AZ40" i="8"/>
  <c r="AK47" i="8"/>
  <c r="V64" i="8"/>
  <c r="AZ71" i="8"/>
  <c r="AK78" i="8"/>
  <c r="AZ93" i="8"/>
  <c r="AK64" i="8"/>
  <c r="AK70" i="8"/>
  <c r="AK60" i="8"/>
  <c r="AK62" i="8"/>
  <c r="V72" i="8"/>
  <c r="AZ75" i="8"/>
  <c r="AZ13" i="8"/>
  <c r="V29" i="8"/>
  <c r="AZ83" i="8"/>
  <c r="AK43" i="8"/>
  <c r="AZ46" i="8"/>
  <c r="V51" i="8"/>
  <c r="AZ62" i="8"/>
  <c r="AK68" i="8"/>
  <c r="AZ69" i="8"/>
  <c r="AK81" i="8"/>
  <c r="AK103" i="8"/>
  <c r="V95" i="8"/>
  <c r="AK9" i="8"/>
  <c r="V21" i="8"/>
  <c r="AK52" i="8"/>
  <c r="AK12" i="8"/>
  <c r="BB18" i="8"/>
  <c r="BA18" i="8"/>
  <c r="AK79" i="8"/>
  <c r="AK44" i="8"/>
  <c r="V56" i="8"/>
  <c r="BA37" i="8"/>
  <c r="BB37" i="8"/>
  <c r="AZ36" i="8"/>
  <c r="AZ53" i="8"/>
  <c r="AZ98" i="8"/>
  <c r="V96" i="8"/>
  <c r="V39" i="8"/>
  <c r="V47" i="8"/>
  <c r="AZ54" i="8"/>
  <c r="AZ78" i="8"/>
  <c r="V98" i="8"/>
  <c r="AK49" i="8"/>
  <c r="AK13" i="8"/>
  <c r="AZ26" i="8"/>
  <c r="V77" i="8"/>
  <c r="AZ97" i="8"/>
  <c r="V97" i="8"/>
  <c r="AZ96" i="8"/>
  <c r="AZ31" i="8"/>
  <c r="W40" i="8"/>
  <c r="X40" i="8"/>
  <c r="AZ38" i="8"/>
  <c r="V55" i="8"/>
  <c r="V58" i="8"/>
  <c r="V63" i="8"/>
  <c r="V68" i="8"/>
  <c r="AK80" i="8"/>
  <c r="AZ15" i="8"/>
  <c r="AZ23" i="8"/>
  <c r="AZ52" i="8"/>
  <c r="AK21" i="8"/>
  <c r="AK42" i="8"/>
  <c r="V36" i="8"/>
  <c r="AK50" i="8"/>
  <c r="AK53" i="8"/>
  <c r="AZ19" i="8"/>
  <c r="AZ48" i="8"/>
  <c r="AZ50" i="8"/>
  <c r="AZ95" i="8"/>
  <c r="V94" i="8"/>
  <c r="AK20" i="8"/>
  <c r="AQ415" i="7" a="1"/>
  <c r="AQ415" i="7" s="1"/>
  <c r="AQ411" i="7" a="1"/>
  <c r="AQ411" i="7" s="1"/>
  <c r="AQ408" i="7" a="1"/>
  <c r="AQ408" i="7" s="1"/>
  <c r="AQ401" i="7" a="1"/>
  <c r="AQ401" i="7" s="1"/>
  <c r="AQ398" i="7" a="1"/>
  <c r="AQ398" i="7" s="1"/>
  <c r="AQ416" i="7" a="1"/>
  <c r="AQ416" i="7" s="1"/>
  <c r="AQ412" i="7" a="1"/>
  <c r="AQ412" i="7" s="1"/>
  <c r="AQ409" i="7" a="1"/>
  <c r="AQ409" i="7" s="1"/>
  <c r="AQ405" i="7" a="1"/>
  <c r="AQ405" i="7" s="1"/>
  <c r="AQ402" i="7" a="1"/>
  <c r="AQ402" i="7" s="1"/>
  <c r="AQ413" i="7" a="1"/>
  <c r="AQ413" i="7" s="1"/>
  <c r="AQ410" i="7" a="1"/>
  <c r="AQ410" i="7" s="1"/>
  <c r="AQ406" i="7" a="1"/>
  <c r="AQ406" i="7" s="1"/>
  <c r="AQ403" i="7" a="1"/>
  <c r="AQ403" i="7" s="1"/>
  <c r="AQ399" i="7" a="1"/>
  <c r="AQ399" i="7" s="1"/>
  <c r="AQ396" i="7" a="1"/>
  <c r="AQ396" i="7" s="1"/>
  <c r="AQ414" i="7" a="1"/>
  <c r="AQ414" i="7" s="1"/>
  <c r="AQ407" i="7" a="1"/>
  <c r="AQ407" i="7" s="1"/>
  <c r="AQ404" i="7" a="1"/>
  <c r="AQ404" i="7" s="1"/>
  <c r="AQ400" i="7" a="1"/>
  <c r="AQ400" i="7" s="1"/>
  <c r="AQ397" i="7" a="1"/>
  <c r="AQ397" i="7" s="1"/>
  <c r="AQ393" i="7" a="1"/>
  <c r="AQ393" i="7" s="1"/>
  <c r="AQ392" i="7" a="1"/>
  <c r="AQ392" i="7" s="1"/>
  <c r="AQ395" i="7" a="1"/>
  <c r="AQ395" i="7" s="1"/>
  <c r="AQ391" i="7" a="1"/>
  <c r="AQ391" i="7" s="1"/>
  <c r="AQ388" i="7" a="1"/>
  <c r="AQ388" i="7" s="1"/>
  <c r="AQ379" i="7" a="1"/>
  <c r="AQ379" i="7" s="1"/>
  <c r="AQ375" i="7" a="1"/>
  <c r="AQ375" i="7" s="1"/>
  <c r="AQ372" i="7" a="1"/>
  <c r="AQ372" i="7" s="1"/>
  <c r="AQ365" i="7" a="1"/>
  <c r="AQ365" i="7" s="1"/>
  <c r="AQ362" i="7" a="1"/>
  <c r="AQ362" i="7" s="1"/>
  <c r="AQ358" i="7" a="1"/>
  <c r="AQ358" i="7" s="1"/>
  <c r="AQ355" i="7" a="1"/>
  <c r="AQ355" i="7" s="1"/>
  <c r="AQ351" i="7" a="1"/>
  <c r="AQ351" i="7" s="1"/>
  <c r="AQ348" i="7" a="1"/>
  <c r="AQ348" i="7" s="1"/>
  <c r="AQ341" i="7" a="1"/>
  <c r="AQ341" i="7" s="1"/>
  <c r="AQ338" i="7" a="1"/>
  <c r="AQ338" i="7" s="1"/>
  <c r="AQ334" i="7" a="1"/>
  <c r="AQ334" i="7" s="1"/>
  <c r="AQ331" i="7" a="1"/>
  <c r="AQ331" i="7" s="1"/>
  <c r="AQ327" i="7" a="1"/>
  <c r="AQ327" i="7" s="1"/>
  <c r="AQ324" i="7" a="1"/>
  <c r="AQ324" i="7" s="1"/>
  <c r="AQ317" i="7" a="1"/>
  <c r="AQ317" i="7" s="1"/>
  <c r="AQ394" i="7" a="1"/>
  <c r="AQ394" i="7" s="1"/>
  <c r="AQ382" i="7" a="1"/>
  <c r="AQ382" i="7" s="1"/>
  <c r="AQ384" i="7" a="1"/>
  <c r="AQ384" i="7" s="1"/>
  <c r="AQ380" i="7" a="1"/>
  <c r="AQ380" i="7" s="1"/>
  <c r="AQ376" i="7" a="1"/>
  <c r="AQ376" i="7" s="1"/>
  <c r="AQ373" i="7" a="1"/>
  <c r="AQ373" i="7" s="1"/>
  <c r="AQ369" i="7" a="1"/>
  <c r="AQ369" i="7" s="1"/>
  <c r="AQ366" i="7" a="1"/>
  <c r="AQ366" i="7" s="1"/>
  <c r="AQ359" i="7" a="1"/>
  <c r="AQ359" i="7" s="1"/>
  <c r="AQ356" i="7" a="1"/>
  <c r="AQ356" i="7" s="1"/>
  <c r="AQ352" i="7" a="1"/>
  <c r="AQ352" i="7" s="1"/>
  <c r="AQ349" i="7" a="1"/>
  <c r="AQ349" i="7" s="1"/>
  <c r="AQ345" i="7" a="1"/>
  <c r="AQ345" i="7" s="1"/>
  <c r="AQ342" i="7" a="1"/>
  <c r="AQ342" i="7" s="1"/>
  <c r="AQ335" i="7" a="1"/>
  <c r="AQ335" i="7" s="1"/>
  <c r="AQ332" i="7" a="1"/>
  <c r="AQ332" i="7" s="1"/>
  <c r="AQ390" i="7" a="1"/>
  <c r="AQ390" i="7" s="1"/>
  <c r="AQ386" i="7" a="1"/>
  <c r="AQ386" i="7" s="1"/>
  <c r="AQ387" i="7" a="1"/>
  <c r="AQ387" i="7" s="1"/>
  <c r="AQ389" i="7" a="1"/>
  <c r="AQ389" i="7" s="1"/>
  <c r="AQ377" i="7" a="1"/>
  <c r="AQ377" i="7" s="1"/>
  <c r="AQ374" i="7" a="1"/>
  <c r="AQ374" i="7" s="1"/>
  <c r="AQ370" i="7" a="1"/>
  <c r="AQ370" i="7" s="1"/>
  <c r="AQ367" i="7" a="1"/>
  <c r="AQ367" i="7" s="1"/>
  <c r="AQ363" i="7" a="1"/>
  <c r="AQ363" i="7" s="1"/>
  <c r="AQ360" i="7" a="1"/>
  <c r="AQ360" i="7" s="1"/>
  <c r="AQ353" i="7" a="1"/>
  <c r="AQ353" i="7" s="1"/>
  <c r="AQ350" i="7" a="1"/>
  <c r="AQ350" i="7" s="1"/>
  <c r="AQ346" i="7" a="1"/>
  <c r="AQ346" i="7" s="1"/>
  <c r="AQ343" i="7" a="1"/>
  <c r="AQ343" i="7" s="1"/>
  <c r="AQ339" i="7" a="1"/>
  <c r="AQ339" i="7" s="1"/>
  <c r="AQ336" i="7" a="1"/>
  <c r="AQ336" i="7" s="1"/>
  <c r="AQ329" i="7" a="1"/>
  <c r="AQ329" i="7" s="1"/>
  <c r="AQ326" i="7" a="1"/>
  <c r="AQ326" i="7" s="1"/>
  <c r="AQ322" i="7" a="1"/>
  <c r="AQ322" i="7" s="1"/>
  <c r="AQ319" i="7" a="1"/>
  <c r="AQ319" i="7" s="1"/>
  <c r="AQ315" i="7" a="1"/>
  <c r="AQ315" i="7" s="1"/>
  <c r="AQ383" i="7" a="1"/>
  <c r="AQ383" i="7" s="1"/>
  <c r="AQ381" i="7" a="1"/>
  <c r="AQ381" i="7" s="1"/>
  <c r="AQ378" i="7" a="1"/>
  <c r="AQ378" i="7" s="1"/>
  <c r="AQ371" i="7" a="1"/>
  <c r="AQ371" i="7" s="1"/>
  <c r="AQ368" i="7" a="1"/>
  <c r="AQ368" i="7" s="1"/>
  <c r="AQ364" i="7" a="1"/>
  <c r="AQ364" i="7" s="1"/>
  <c r="AQ361" i="7" a="1"/>
  <c r="AQ361" i="7" s="1"/>
  <c r="AQ357" i="7" a="1"/>
  <c r="AQ357" i="7" s="1"/>
  <c r="AQ354" i="7" a="1"/>
  <c r="AQ354" i="7" s="1"/>
  <c r="AQ347" i="7" a="1"/>
  <c r="AQ347" i="7" s="1"/>
  <c r="AQ344" i="7" a="1"/>
  <c r="AQ344" i="7" s="1"/>
  <c r="AQ340" i="7" a="1"/>
  <c r="AQ340" i="7" s="1"/>
  <c r="AQ333" i="7" a="1"/>
  <c r="AQ333" i="7" s="1"/>
  <c r="AQ323" i="7" a="1"/>
  <c r="AQ323" i="7" s="1"/>
  <c r="AQ299" i="7" a="1"/>
  <c r="AQ299" i="7" s="1"/>
  <c r="AQ297" i="7" a="1"/>
  <c r="AQ297" i="7" s="1"/>
  <c r="AQ296" i="7" a="1"/>
  <c r="AQ296" i="7" s="1"/>
  <c r="AQ294" i="7" a="1"/>
  <c r="AQ294" i="7" s="1"/>
  <c r="AQ292" i="7" a="1"/>
  <c r="AQ292" i="7" s="1"/>
  <c r="AQ291" i="7" a="1"/>
  <c r="AQ291" i="7" s="1"/>
  <c r="AQ289" i="7" a="1"/>
  <c r="AQ289" i="7" s="1"/>
  <c r="AQ304" i="7" a="1"/>
  <c r="AQ304" i="7" s="1"/>
  <c r="AQ314" i="7" a="1"/>
  <c r="AQ314" i="7" s="1"/>
  <c r="AQ312" i="7" a="1"/>
  <c r="AQ312" i="7" s="1"/>
  <c r="AQ302" i="7" a="1"/>
  <c r="AQ302" i="7" s="1"/>
  <c r="AQ301" i="7" a="1"/>
  <c r="AQ301" i="7" s="1"/>
  <c r="AQ300" i="7" a="1"/>
  <c r="AQ300" i="7" s="1"/>
  <c r="AQ298" i="7" a="1"/>
  <c r="AQ298" i="7" s="1"/>
  <c r="AQ295" i="7" a="1"/>
  <c r="AQ295" i="7" s="1"/>
  <c r="AQ293" i="7" a="1"/>
  <c r="AQ293" i="7" s="1"/>
  <c r="AQ290" i="7" a="1"/>
  <c r="AQ290" i="7" s="1"/>
  <c r="AQ288" i="7" a="1"/>
  <c r="AQ288" i="7" s="1"/>
  <c r="AQ287" i="7" a="1"/>
  <c r="AQ287" i="7" s="1"/>
  <c r="AQ286" i="7" a="1"/>
  <c r="AQ286" i="7" s="1"/>
  <c r="AQ285" i="7" a="1"/>
  <c r="AQ285" i="7" s="1"/>
  <c r="AQ385" i="7" a="1"/>
  <c r="AQ385" i="7" s="1"/>
  <c r="AQ328" i="7" a="1"/>
  <c r="AQ328" i="7" s="1"/>
  <c r="AQ330" i="7" a="1"/>
  <c r="AQ330" i="7" s="1"/>
  <c r="AQ320" i="7" a="1"/>
  <c r="AQ320" i="7" s="1"/>
  <c r="AQ318" i="7" a="1"/>
  <c r="AQ318" i="7" s="1"/>
  <c r="AQ309" i="7" a="1"/>
  <c r="AQ309" i="7" s="1"/>
  <c r="AQ308" i="7" a="1"/>
  <c r="AQ308" i="7" s="1"/>
  <c r="AQ307" i="7" a="1"/>
  <c r="AQ307" i="7" s="1"/>
  <c r="AQ306" i="7" a="1"/>
  <c r="AQ306" i="7" s="1"/>
  <c r="AQ305" i="7" a="1"/>
  <c r="AQ305" i="7" s="1"/>
  <c r="AQ316" i="7" a="1"/>
  <c r="AQ316" i="7" s="1"/>
  <c r="AQ321" i="7" a="1"/>
  <c r="AQ321" i="7" s="1"/>
  <c r="AQ310" i="7" a="1"/>
  <c r="AQ310" i="7" s="1"/>
  <c r="AQ303" i="7" a="1"/>
  <c r="AQ303" i="7" s="1"/>
  <c r="AQ337" i="7" a="1"/>
  <c r="AQ337" i="7" s="1"/>
  <c r="AQ325" i="7" a="1"/>
  <c r="AQ325" i="7" s="1"/>
  <c r="AQ313" i="7" a="1"/>
  <c r="AQ313" i="7" s="1"/>
  <c r="AQ311" i="7" a="1"/>
  <c r="AQ311" i="7" s="1"/>
  <c r="AP515" i="7" a="1"/>
  <c r="AP515" i="7" s="1"/>
  <c r="AP514" i="7" a="1"/>
  <c r="AP514" i="7" s="1"/>
  <c r="AP513" i="7" a="1"/>
  <c r="AP513" i="7" s="1"/>
  <c r="AP512" i="7" a="1"/>
  <c r="AP512" i="7" s="1"/>
  <c r="AP511" i="7" a="1"/>
  <c r="AP511" i="7" s="1"/>
  <c r="AP510" i="7" a="1"/>
  <c r="AP510" i="7" s="1"/>
  <c r="AP509" i="7" a="1"/>
  <c r="AP509" i="7" s="1"/>
  <c r="AP508" i="7" a="1"/>
  <c r="AP508" i="7" s="1"/>
  <c r="AP507" i="7" a="1"/>
  <c r="AP507" i="7" s="1"/>
  <c r="AP506" i="7" a="1"/>
  <c r="AP506" i="7" s="1"/>
  <c r="AP505" i="7" a="1"/>
  <c r="AP505" i="7" s="1"/>
  <c r="AP504" i="7" a="1"/>
  <c r="AP504" i="7" s="1"/>
  <c r="AP503" i="7" a="1"/>
  <c r="AP503" i="7" s="1"/>
  <c r="AP502" i="7" a="1"/>
  <c r="AP502" i="7" s="1"/>
  <c r="AP501" i="7" a="1"/>
  <c r="AP501" i="7" s="1"/>
  <c r="AP500" i="7" a="1"/>
  <c r="AP500" i="7" s="1"/>
  <c r="AP499" i="7" a="1"/>
  <c r="AP499" i="7" s="1"/>
  <c r="AP547" i="7" a="1"/>
  <c r="AP547" i="7" s="1"/>
  <c r="AP545" i="7" a="1"/>
  <c r="AP545" i="7" s="1"/>
  <c r="AP543" i="7" a="1"/>
  <c r="AP543" i="7" s="1"/>
  <c r="AP542" i="7" a="1"/>
  <c r="AP542" i="7" s="1"/>
  <c r="AP540" i="7" a="1"/>
  <c r="AP540" i="7" s="1"/>
  <c r="AP538" i="7" a="1"/>
  <c r="AP538" i="7" s="1"/>
  <c r="AP535" i="7" a="1"/>
  <c r="AP535" i="7" s="1"/>
  <c r="AP533" i="7" a="1"/>
  <c r="AP533" i="7" s="1"/>
  <c r="AP537" i="7" a="1"/>
  <c r="AP537" i="7" s="1"/>
  <c r="AP527" i="7" a="1"/>
  <c r="AP527" i="7" s="1"/>
  <c r="AP524" i="7" a="1"/>
  <c r="AP524" i="7" s="1"/>
  <c r="AP520" i="7" a="1"/>
  <c r="AP520" i="7" s="1"/>
  <c r="AP517" i="7" a="1"/>
  <c r="AP517" i="7" s="1"/>
  <c r="AP541" i="7" a="1"/>
  <c r="AP541" i="7" s="1"/>
  <c r="AP498" i="7" a="1"/>
  <c r="AP498" i="7" s="1"/>
  <c r="AP497" i="7" a="1"/>
  <c r="AP497" i="7" s="1"/>
  <c r="AP496" i="7" a="1"/>
  <c r="AP496" i="7" s="1"/>
  <c r="AP495" i="7" a="1"/>
  <c r="AP495" i="7" s="1"/>
  <c r="AP544" i="7" a="1"/>
  <c r="AP544" i="7" s="1"/>
  <c r="AP530" i="7" a="1"/>
  <c r="AP530" i="7" s="1"/>
  <c r="AP526" i="7" a="1"/>
  <c r="AP526" i="7" s="1"/>
  <c r="AP523" i="7" a="1"/>
  <c r="AP523" i="7" s="1"/>
  <c r="AP519" i="7" a="1"/>
  <c r="AP519" i="7" s="1"/>
  <c r="AP516" i="7" a="1"/>
  <c r="AP516" i="7" s="1"/>
  <c r="AP536" i="7" a="1"/>
  <c r="AP536" i="7" s="1"/>
  <c r="AP548" i="7" a="1"/>
  <c r="AP548" i="7" s="1"/>
  <c r="AP539" i="7" a="1"/>
  <c r="AP539" i="7" s="1"/>
  <c r="AP529" i="7" a="1"/>
  <c r="AP529" i="7" s="1"/>
  <c r="AP525" i="7" a="1"/>
  <c r="AP525" i="7" s="1"/>
  <c r="AP522" i="7" a="1"/>
  <c r="AP522" i="7" s="1"/>
  <c r="AP532" i="7" a="1"/>
  <c r="AP532" i="7" s="1"/>
  <c r="AP531" i="7" a="1"/>
  <c r="AP531" i="7" s="1"/>
  <c r="AP482" i="7" a="1"/>
  <c r="AP482" i="7" s="1"/>
  <c r="AP546" i="7" a="1"/>
  <c r="AP546" i="7" s="1"/>
  <c r="AP481" i="7" a="1"/>
  <c r="AP481" i="7" s="1"/>
  <c r="AP478" i="7" a="1"/>
  <c r="AP478" i="7" s="1"/>
  <c r="AP475" i="7" a="1"/>
  <c r="AP475" i="7" s="1"/>
  <c r="AP473" i="7" a="1"/>
  <c r="AP473" i="7" s="1"/>
  <c r="AP471" i="7" a="1"/>
  <c r="AP471" i="7" s="1"/>
  <c r="AP518" i="7" a="1"/>
  <c r="AP518" i="7" s="1"/>
  <c r="AP494" i="7" a="1"/>
  <c r="AP494" i="7" s="1"/>
  <c r="AP493" i="7" a="1"/>
  <c r="AP493" i="7" s="1"/>
  <c r="AP492" i="7" a="1"/>
  <c r="AP492" i="7" s="1"/>
  <c r="AP491" i="7" a="1"/>
  <c r="AP491" i="7" s="1"/>
  <c r="AP490" i="7" a="1"/>
  <c r="AP490" i="7" s="1"/>
  <c r="AP489" i="7" a="1"/>
  <c r="AP489" i="7" s="1"/>
  <c r="AP488" i="7" a="1"/>
  <c r="AP488" i="7" s="1"/>
  <c r="AP487" i="7" a="1"/>
  <c r="AP487" i="7" s="1"/>
  <c r="AP486" i="7" a="1"/>
  <c r="AP486" i="7" s="1"/>
  <c r="AP485" i="7" a="1"/>
  <c r="AP485" i="7" s="1"/>
  <c r="AP484" i="7" a="1"/>
  <c r="AP484" i="7" s="1"/>
  <c r="AP521" i="7" a="1"/>
  <c r="AP521" i="7" s="1"/>
  <c r="AP483" i="7" a="1"/>
  <c r="AP483" i="7" s="1"/>
  <c r="AP480" i="7" a="1"/>
  <c r="AP480" i="7" s="1"/>
  <c r="AP470" i="7" a="1"/>
  <c r="AP470" i="7" s="1"/>
  <c r="AP469" i="7" a="1"/>
  <c r="AP469" i="7" s="1"/>
  <c r="AP468" i="7" a="1"/>
  <c r="AP468" i="7" s="1"/>
  <c r="AP467" i="7" a="1"/>
  <c r="AP467" i="7" s="1"/>
  <c r="AP534" i="7" a="1"/>
  <c r="AP534" i="7" s="1"/>
  <c r="AP456" i="7" a="1"/>
  <c r="AP456" i="7" s="1"/>
  <c r="AP449" i="7" a="1"/>
  <c r="AP449" i="7" s="1"/>
  <c r="AP446" i="7" a="1"/>
  <c r="AP446" i="7" s="1"/>
  <c r="AP442" i="7" a="1"/>
  <c r="AP442" i="7" s="1"/>
  <c r="AP439" i="7" a="1"/>
  <c r="AP439" i="7" s="1"/>
  <c r="AP435" i="7" a="1"/>
  <c r="AP435" i="7" s="1"/>
  <c r="AP432" i="7" a="1"/>
  <c r="AP432" i="7" s="1"/>
  <c r="AP425" i="7" a="1"/>
  <c r="AP425" i="7" s="1"/>
  <c r="AP476" i="7" a="1"/>
  <c r="AP476" i="7" s="1"/>
  <c r="AP474" i="7" a="1"/>
  <c r="AP474" i="7" s="1"/>
  <c r="AP455" i="7" a="1"/>
  <c r="AP455" i="7" s="1"/>
  <c r="AP452" i="7" a="1"/>
  <c r="AP452" i="7" s="1"/>
  <c r="AP448" i="7" a="1"/>
  <c r="AP448" i="7" s="1"/>
  <c r="AP445" i="7" a="1"/>
  <c r="AP445" i="7" s="1"/>
  <c r="AP441" i="7" a="1"/>
  <c r="AP441" i="7" s="1"/>
  <c r="AP438" i="7" a="1"/>
  <c r="AP438" i="7" s="1"/>
  <c r="AP429" i="7" a="1"/>
  <c r="AP429" i="7" s="1"/>
  <c r="AP426" i="7" a="1"/>
  <c r="AP426" i="7" s="1"/>
  <c r="AP419" i="7" a="1"/>
  <c r="AP419" i="7" s="1"/>
  <c r="AP528" i="7" a="1"/>
  <c r="AP528" i="7" s="1"/>
  <c r="AP477" i="7" a="1"/>
  <c r="AP477" i="7" s="1"/>
  <c r="AP454" i="7" a="1"/>
  <c r="AP454" i="7" s="1"/>
  <c r="AP451" i="7" a="1"/>
  <c r="AP451" i="7" s="1"/>
  <c r="AP447" i="7" a="1"/>
  <c r="AP447" i="7" s="1"/>
  <c r="AP444" i="7" a="1"/>
  <c r="AP444" i="7" s="1"/>
  <c r="AP437" i="7" a="1"/>
  <c r="AP437" i="7" s="1"/>
  <c r="AP434" i="7" a="1"/>
  <c r="AP434" i="7" s="1"/>
  <c r="AP430" i="7" a="1"/>
  <c r="AP430" i="7" s="1"/>
  <c r="AP427" i="7" a="1"/>
  <c r="AP427" i="7" s="1"/>
  <c r="AP466" i="7" a="1"/>
  <c r="AP466" i="7" s="1"/>
  <c r="AP465" i="7" a="1"/>
  <c r="AP465" i="7" s="1"/>
  <c r="AP464" i="7" a="1"/>
  <c r="AP464" i="7" s="1"/>
  <c r="AP463" i="7" a="1"/>
  <c r="AP463" i="7" s="1"/>
  <c r="AP462" i="7" a="1"/>
  <c r="AP462" i="7" s="1"/>
  <c r="AP461" i="7" a="1"/>
  <c r="AP461" i="7" s="1"/>
  <c r="AP460" i="7" a="1"/>
  <c r="AP460" i="7" s="1"/>
  <c r="AP459" i="7" a="1"/>
  <c r="AP459" i="7" s="1"/>
  <c r="AP458" i="7" a="1"/>
  <c r="AP458" i="7" s="1"/>
  <c r="AP479" i="7" a="1"/>
  <c r="AP479" i="7" s="1"/>
  <c r="AP472" i="7" a="1"/>
  <c r="AP472" i="7" s="1"/>
  <c r="AP457" i="7" a="1"/>
  <c r="AP457" i="7" s="1"/>
  <c r="AP453" i="7" a="1"/>
  <c r="AP453" i="7" s="1"/>
  <c r="AP450" i="7" a="1"/>
  <c r="AP450" i="7" s="1"/>
  <c r="AP443" i="7" a="1"/>
  <c r="AP443" i="7" s="1"/>
  <c r="AP424" i="7" a="1"/>
  <c r="AP424" i="7" s="1"/>
  <c r="AP440" i="7" a="1"/>
  <c r="AP440" i="7" s="1"/>
  <c r="AP436" i="7" a="1"/>
  <c r="AP436" i="7" s="1"/>
  <c r="AP433" i="7" a="1"/>
  <c r="AP433" i="7" s="1"/>
  <c r="AP418" i="7" a="1"/>
  <c r="AP418" i="7" s="1"/>
  <c r="AP417" i="7" a="1"/>
  <c r="AP417" i="7" s="1"/>
  <c r="AP428" i="7" a="1"/>
  <c r="AP428" i="7" s="1"/>
  <c r="AP423" i="7" a="1"/>
  <c r="AP423" i="7" s="1"/>
  <c r="AP431" i="7" a="1"/>
  <c r="AP431" i="7" s="1"/>
  <c r="AP422" i="7" a="1"/>
  <c r="AP422" i="7" s="1"/>
  <c r="AP421" i="7" a="1"/>
  <c r="AP421" i="7" s="1"/>
  <c r="AP420" i="7" a="1"/>
  <c r="AP420" i="7" s="1"/>
  <c r="AY812" i="7" a="1"/>
  <c r="AY812" i="7" s="1"/>
  <c r="AY810" i="7" a="1"/>
  <c r="AY810" i="7" s="1"/>
  <c r="AY808" i="7" a="1"/>
  <c r="AY808" i="7" s="1"/>
  <c r="AY805" i="7" a="1"/>
  <c r="AY805" i="7" s="1"/>
  <c r="AY803" i="7" a="1"/>
  <c r="AY803" i="7" s="1"/>
  <c r="AY801" i="7" a="1"/>
  <c r="AY801" i="7" s="1"/>
  <c r="AY800" i="7" a="1"/>
  <c r="AY800" i="7" s="1"/>
  <c r="AY798" i="7" a="1"/>
  <c r="AY798" i="7" s="1"/>
  <c r="AY796" i="7" a="1"/>
  <c r="AY796" i="7" s="1"/>
  <c r="AY791" i="7" a="1"/>
  <c r="AY791" i="7" s="1"/>
  <c r="AY794" i="7" a="1"/>
  <c r="AY794" i="7" s="1"/>
  <c r="AY790" i="7" a="1"/>
  <c r="AY790" i="7" s="1"/>
  <c r="AY788" i="7" a="1"/>
  <c r="AY788" i="7" s="1"/>
  <c r="AY784" i="7" a="1"/>
  <c r="AY784" i="7" s="1"/>
  <c r="AY781" i="7" a="1"/>
  <c r="AY781" i="7" s="1"/>
  <c r="AY777" i="7" a="1"/>
  <c r="AY777" i="7" s="1"/>
  <c r="AY774" i="7" a="1"/>
  <c r="AY774" i="7" s="1"/>
  <c r="AY793" i="7" a="1"/>
  <c r="AY793" i="7" s="1"/>
  <c r="AY785" i="7" a="1"/>
  <c r="AY785" i="7" s="1"/>
  <c r="AY782" i="7" a="1"/>
  <c r="AY782" i="7" s="1"/>
  <c r="AY778" i="7" a="1"/>
  <c r="AY778" i="7" s="1"/>
  <c r="AY775" i="7" a="1"/>
  <c r="AY775" i="7" s="1"/>
  <c r="AY771" i="7" a="1"/>
  <c r="AY771" i="7" s="1"/>
  <c r="AY768" i="7" a="1"/>
  <c r="AY768" i="7" s="1"/>
  <c r="AY811" i="7" a="1"/>
  <c r="AY811" i="7" s="1"/>
  <c r="AY807" i="7" a="1"/>
  <c r="AY807" i="7" s="1"/>
  <c r="AY804" i="7" a="1"/>
  <c r="AY804" i="7" s="1"/>
  <c r="AY797" i="7" a="1"/>
  <c r="AY797" i="7" s="1"/>
  <c r="AY789" i="7" a="1"/>
  <c r="AY789" i="7" s="1"/>
  <c r="AY786" i="7" a="1"/>
  <c r="AY786" i="7" s="1"/>
  <c r="AY779" i="7" a="1"/>
  <c r="AY779" i="7" s="1"/>
  <c r="AY776" i="7" a="1"/>
  <c r="AY776" i="7" s="1"/>
  <c r="AY772" i="7" a="1"/>
  <c r="AY772" i="7" s="1"/>
  <c r="AY769" i="7" a="1"/>
  <c r="AY769" i="7" s="1"/>
  <c r="AY809" i="7" a="1"/>
  <c r="AY809" i="7" s="1"/>
  <c r="AY806" i="7" a="1"/>
  <c r="AY806" i="7" s="1"/>
  <c r="AY802" i="7" a="1"/>
  <c r="AY802" i="7" s="1"/>
  <c r="AY799" i="7" a="1"/>
  <c r="AY799" i="7" s="1"/>
  <c r="AY795" i="7" a="1"/>
  <c r="AY795" i="7" s="1"/>
  <c r="AY792" i="7" a="1"/>
  <c r="AY792" i="7" s="1"/>
  <c r="AY787" i="7" a="1"/>
  <c r="AY787" i="7" s="1"/>
  <c r="AY765" i="7" a="1"/>
  <c r="AY765" i="7" s="1"/>
  <c r="AY762" i="7" a="1"/>
  <c r="AY762" i="7" s="1"/>
  <c r="AY767" i="7" a="1"/>
  <c r="AY767" i="7" s="1"/>
  <c r="AY770" i="7" a="1"/>
  <c r="AY770" i="7" s="1"/>
  <c r="AY766" i="7" a="1"/>
  <c r="AY766" i="7" s="1"/>
  <c r="AY763" i="7" a="1"/>
  <c r="AY763" i="7" s="1"/>
  <c r="AY759" i="7" a="1"/>
  <c r="AY759" i="7" s="1"/>
  <c r="AY756" i="7" a="1"/>
  <c r="AY756" i="7" s="1"/>
  <c r="AY773" i="7" a="1"/>
  <c r="AY773" i="7" s="1"/>
  <c r="AY764" i="7" a="1"/>
  <c r="AY764" i="7" s="1"/>
  <c r="AY760" i="7" a="1"/>
  <c r="AY760" i="7" s="1"/>
  <c r="AY757" i="7" a="1"/>
  <c r="AY757" i="7" s="1"/>
  <c r="AY780" i="7" a="1"/>
  <c r="AY780" i="7" s="1"/>
  <c r="AY783" i="7" a="1"/>
  <c r="AY783" i="7" s="1"/>
  <c r="AY761" i="7" a="1"/>
  <c r="AY761" i="7" s="1"/>
  <c r="AY758" i="7" a="1"/>
  <c r="AY758" i="7" s="1"/>
  <c r="AY754" i="7" a="1"/>
  <c r="AY754" i="7" s="1"/>
  <c r="AY753" i="7" a="1"/>
  <c r="AY753" i="7" s="1"/>
  <c r="AY752" i="7" a="1"/>
  <c r="AY752" i="7" s="1"/>
  <c r="AY750" i="7" a="1"/>
  <c r="AY750" i="7" s="1"/>
  <c r="AY755" i="7" a="1"/>
  <c r="AY755" i="7" s="1"/>
  <c r="AY751" i="7" a="1"/>
  <c r="AY751" i="7" s="1"/>
  <c r="AY746" i="7" a="1"/>
  <c r="AY746" i="7" s="1"/>
  <c r="AY742" i="7" a="1"/>
  <c r="AY742" i="7" s="1"/>
  <c r="AY739" i="7" a="1"/>
  <c r="AY739" i="7" s="1"/>
  <c r="AY743" i="7" a="1"/>
  <c r="AY743" i="7" s="1"/>
  <c r="AY740" i="7" a="1"/>
  <c r="AY740" i="7" s="1"/>
  <c r="AY736" i="7" a="1"/>
  <c r="AY736" i="7" s="1"/>
  <c r="AY749" i="7" a="1"/>
  <c r="AY749" i="7" s="1"/>
  <c r="AY748" i="7" a="1"/>
  <c r="AY748" i="7" s="1"/>
  <c r="AY747" i="7" a="1"/>
  <c r="AY747" i="7" s="1"/>
  <c r="AY744" i="7" a="1"/>
  <c r="AY744" i="7" s="1"/>
  <c r="AY737" i="7" a="1"/>
  <c r="AY737" i="7" s="1"/>
  <c r="AY745" i="7" a="1"/>
  <c r="AY745" i="7" s="1"/>
  <c r="AY741" i="7" a="1"/>
  <c r="AY741" i="7" s="1"/>
  <c r="AY738" i="7" a="1"/>
  <c r="AY738" i="7" s="1"/>
  <c r="AY731" i="7" a="1"/>
  <c r="AY731" i="7" s="1"/>
  <c r="AY728" i="7" a="1"/>
  <c r="AY728" i="7" s="1"/>
  <c r="AY732" i="7" a="1"/>
  <c r="AY732" i="7" s="1"/>
  <c r="AY725" i="7" a="1"/>
  <c r="AY725" i="7" s="1"/>
  <c r="AY734" i="7" a="1"/>
  <c r="AY734" i="7" s="1"/>
  <c r="AY729" i="7" a="1"/>
  <c r="AY729" i="7" s="1"/>
  <c r="AY735" i="7" a="1"/>
  <c r="AY735" i="7" s="1"/>
  <c r="AY733" i="7" a="1"/>
  <c r="AY733" i="7" s="1"/>
  <c r="AY730" i="7" a="1"/>
  <c r="AY730" i="7" s="1"/>
  <c r="AY719" i="7" a="1"/>
  <c r="AY719" i="7" s="1"/>
  <c r="AY716" i="7" a="1"/>
  <c r="AY716" i="7" s="1"/>
  <c r="AY712" i="7" a="1"/>
  <c r="AY712" i="7" s="1"/>
  <c r="AY707" i="7" a="1"/>
  <c r="AY707" i="7" s="1"/>
  <c r="AY704" i="7" a="1"/>
  <c r="AY704" i="7" s="1"/>
  <c r="AY700" i="7" a="1"/>
  <c r="AY700" i="7" s="1"/>
  <c r="AY726" i="7" a="1"/>
  <c r="AY726" i="7" s="1"/>
  <c r="AY722" i="7" a="1"/>
  <c r="AY722" i="7" s="1"/>
  <c r="AY718" i="7" a="1"/>
  <c r="AY718" i="7" s="1"/>
  <c r="AY715" i="7" a="1"/>
  <c r="AY715" i="7" s="1"/>
  <c r="AY711" i="7" a="1"/>
  <c r="AY711" i="7" s="1"/>
  <c r="AY727" i="7" a="1"/>
  <c r="AY727" i="7" s="1"/>
  <c r="AY721" i="7" a="1"/>
  <c r="AY721" i="7" s="1"/>
  <c r="AY717" i="7" a="1"/>
  <c r="AY717" i="7" s="1"/>
  <c r="AY714" i="7" a="1"/>
  <c r="AY714" i="7" s="1"/>
  <c r="AY724" i="7" a="1"/>
  <c r="AY724" i="7" s="1"/>
  <c r="AY709" i="7" a="1"/>
  <c r="AY709" i="7" s="1"/>
  <c r="AY705" i="7" a="1"/>
  <c r="AY705" i="7" s="1"/>
  <c r="AY710" i="7" a="1"/>
  <c r="AY710" i="7" s="1"/>
  <c r="AY706" i="7" a="1"/>
  <c r="AY706" i="7" s="1"/>
  <c r="AY703" i="7" a="1"/>
  <c r="AY703" i="7" s="1"/>
  <c r="AY699" i="7" a="1"/>
  <c r="AY699" i="7" s="1"/>
  <c r="AY723" i="7" a="1"/>
  <c r="AY723" i="7" s="1"/>
  <c r="AY696" i="7" a="1"/>
  <c r="AY696" i="7" s="1"/>
  <c r="AY694" i="7" a="1"/>
  <c r="AY694" i="7" s="1"/>
  <c r="AY708" i="7" a="1"/>
  <c r="AY708" i="7" s="1"/>
  <c r="AY702" i="7" a="1"/>
  <c r="AY702" i="7" s="1"/>
  <c r="AY698" i="7" a="1"/>
  <c r="AY698" i="7" s="1"/>
  <c r="AY701" i="7" a="1"/>
  <c r="AY701" i="7" s="1"/>
  <c r="AY689" i="7" a="1"/>
  <c r="AY689" i="7" s="1"/>
  <c r="AY687" i="7" a="1"/>
  <c r="AY687" i="7" s="1"/>
  <c r="AY686" i="7" a="1"/>
  <c r="AY686" i="7" s="1"/>
  <c r="AY684" i="7" a="1"/>
  <c r="AY684" i="7" s="1"/>
  <c r="AY682" i="7" a="1"/>
  <c r="AY682" i="7" s="1"/>
  <c r="AY697" i="7" a="1"/>
  <c r="AY697" i="7" s="1"/>
  <c r="AY720" i="7" a="1"/>
  <c r="AY720" i="7" s="1"/>
  <c r="AY695" i="7" a="1"/>
  <c r="AY695" i="7" s="1"/>
  <c r="AY691" i="7" a="1"/>
  <c r="AY691" i="7" s="1"/>
  <c r="AY688" i="7" a="1"/>
  <c r="AY688" i="7" s="1"/>
  <c r="AY685" i="7" a="1"/>
  <c r="AY685" i="7" s="1"/>
  <c r="AY683" i="7" a="1"/>
  <c r="AY683" i="7" s="1"/>
  <c r="AY681" i="7" a="1"/>
  <c r="AY681" i="7" s="1"/>
  <c r="AY690" i="7" a="1"/>
  <c r="AY690" i="7" s="1"/>
  <c r="AY692" i="7" a="1"/>
  <c r="AY692" i="7" s="1"/>
  <c r="AY693" i="7" a="1"/>
  <c r="AY693" i="7" s="1"/>
  <c r="AY713" i="7" a="1"/>
  <c r="AY713" i="7" s="1"/>
  <c r="AK285" i="7" a="1"/>
  <c r="AK285" i="7" s="1"/>
  <c r="AK416" i="7" a="1"/>
  <c r="AK416" i="7" s="1"/>
  <c r="AK412" i="7" a="1"/>
  <c r="AK412" i="7" s="1"/>
  <c r="AK409" i="7" a="1"/>
  <c r="AK409" i="7" s="1"/>
  <c r="AK405" i="7" a="1"/>
  <c r="AK405" i="7" s="1"/>
  <c r="AK402" i="7" a="1"/>
  <c r="AK402" i="7" s="1"/>
  <c r="AK413" i="7" a="1"/>
  <c r="AK413" i="7" s="1"/>
  <c r="AK410" i="7" a="1"/>
  <c r="AK410" i="7" s="1"/>
  <c r="AK406" i="7" a="1"/>
  <c r="AK406" i="7" s="1"/>
  <c r="AK403" i="7" a="1"/>
  <c r="AK403" i="7" s="1"/>
  <c r="AK396" i="7" a="1"/>
  <c r="AK396" i="7" s="1"/>
  <c r="AK414" i="7" a="1"/>
  <c r="AK414" i="7" s="1"/>
  <c r="AK407" i="7" a="1"/>
  <c r="AK407" i="7" s="1"/>
  <c r="AK404" i="7" a="1"/>
  <c r="AK404" i="7" s="1"/>
  <c r="AK400" i="7" a="1"/>
  <c r="AK400" i="7" s="1"/>
  <c r="AK397" i="7" a="1"/>
  <c r="AK397" i="7" s="1"/>
  <c r="AK415" i="7" a="1"/>
  <c r="AK415" i="7" s="1"/>
  <c r="AK398" i="7" a="1"/>
  <c r="AK398" i="7" s="1"/>
  <c r="AK401" i="7" a="1"/>
  <c r="AK401" i="7" s="1"/>
  <c r="AK394" i="7" a="1"/>
  <c r="AK394" i="7" s="1"/>
  <c r="AK408" i="7" a="1"/>
  <c r="AK408" i="7" s="1"/>
  <c r="AK399" i="7" a="1"/>
  <c r="AK399" i="7" s="1"/>
  <c r="AK389" i="7" a="1"/>
  <c r="AK389" i="7" s="1"/>
  <c r="AK377" i="7" a="1"/>
  <c r="AK377" i="7" s="1"/>
  <c r="AK374" i="7" a="1"/>
  <c r="AK374" i="7" s="1"/>
  <c r="AK370" i="7" a="1"/>
  <c r="AK370" i="7" s="1"/>
  <c r="AK367" i="7" a="1"/>
  <c r="AK367" i="7" s="1"/>
  <c r="AK363" i="7" a="1"/>
  <c r="AK363" i="7" s="1"/>
  <c r="AK360" i="7" a="1"/>
  <c r="AK360" i="7" s="1"/>
  <c r="AK353" i="7" a="1"/>
  <c r="AK353" i="7" s="1"/>
  <c r="AK350" i="7" a="1"/>
  <c r="AK350" i="7" s="1"/>
  <c r="AK346" i="7" a="1"/>
  <c r="AK346" i="7" s="1"/>
  <c r="AK343" i="7" a="1"/>
  <c r="AK343" i="7" s="1"/>
  <c r="AK339" i="7" a="1"/>
  <c r="AK339" i="7" s="1"/>
  <c r="AK336" i="7" a="1"/>
  <c r="AK336" i="7" s="1"/>
  <c r="AK329" i="7" a="1"/>
  <c r="AK329" i="7" s="1"/>
  <c r="AK326" i="7" a="1"/>
  <c r="AK326" i="7" s="1"/>
  <c r="AK322" i="7" a="1"/>
  <c r="AK322" i="7" s="1"/>
  <c r="AK319" i="7" a="1"/>
  <c r="AK319" i="7" s="1"/>
  <c r="AK315" i="7" a="1"/>
  <c r="AK315" i="7" s="1"/>
  <c r="AK314" i="7" a="1"/>
  <c r="AK314" i="7" s="1"/>
  <c r="AK313" i="7" a="1"/>
  <c r="AK313" i="7" s="1"/>
  <c r="AK312" i="7" a="1"/>
  <c r="AK312" i="7" s="1"/>
  <c r="AK383" i="7" a="1"/>
  <c r="AK383" i="7" s="1"/>
  <c r="AK385" i="7" a="1"/>
  <c r="AK385" i="7" s="1"/>
  <c r="AK381" i="7" a="1"/>
  <c r="AK381" i="7" s="1"/>
  <c r="AK378" i="7" a="1"/>
  <c r="AK378" i="7" s="1"/>
  <c r="AK371" i="7" a="1"/>
  <c r="AK371" i="7" s="1"/>
  <c r="AK368" i="7" a="1"/>
  <c r="AK368" i="7" s="1"/>
  <c r="AK364" i="7" a="1"/>
  <c r="AK364" i="7" s="1"/>
  <c r="AK361" i="7" a="1"/>
  <c r="AK361" i="7" s="1"/>
  <c r="AK357" i="7" a="1"/>
  <c r="AK357" i="7" s="1"/>
  <c r="AK354" i="7" a="1"/>
  <c r="AK354" i="7" s="1"/>
  <c r="AK347" i="7" a="1"/>
  <c r="AK347" i="7" s="1"/>
  <c r="AK344" i="7" a="1"/>
  <c r="AK344" i="7" s="1"/>
  <c r="AK340" i="7" a="1"/>
  <c r="AK340" i="7" s="1"/>
  <c r="AK337" i="7" a="1"/>
  <c r="AK337" i="7" s="1"/>
  <c r="AK333" i="7" a="1"/>
  <c r="AK333" i="7" s="1"/>
  <c r="AK330" i="7" a="1"/>
  <c r="AK330" i="7" s="1"/>
  <c r="AK323" i="7" a="1"/>
  <c r="AK323" i="7" s="1"/>
  <c r="AK320" i="7" a="1"/>
  <c r="AK320" i="7" s="1"/>
  <c r="AK316" i="7" a="1"/>
  <c r="AK316" i="7" s="1"/>
  <c r="AK392" i="7" a="1"/>
  <c r="AK392" i="7" s="1"/>
  <c r="AK388" i="7" a="1"/>
  <c r="AK388" i="7" s="1"/>
  <c r="AK393" i="7" a="1"/>
  <c r="AK393" i="7" s="1"/>
  <c r="AK379" i="7" a="1"/>
  <c r="AK379" i="7" s="1"/>
  <c r="AK375" i="7" a="1"/>
  <c r="AK375" i="7" s="1"/>
  <c r="AK372" i="7" a="1"/>
  <c r="AK372" i="7" s="1"/>
  <c r="AK365" i="7" a="1"/>
  <c r="AK365" i="7" s="1"/>
  <c r="AK362" i="7" a="1"/>
  <c r="AK362" i="7" s="1"/>
  <c r="AK358" i="7" a="1"/>
  <c r="AK358" i="7" s="1"/>
  <c r="AK355" i="7" a="1"/>
  <c r="AK355" i="7" s="1"/>
  <c r="AK351" i="7" a="1"/>
  <c r="AK351" i="7" s="1"/>
  <c r="AK348" i="7" a="1"/>
  <c r="AK348" i="7" s="1"/>
  <c r="AK341" i="7" a="1"/>
  <c r="AK341" i="7" s="1"/>
  <c r="AK338" i="7" a="1"/>
  <c r="AK338" i="7" s="1"/>
  <c r="AK334" i="7" a="1"/>
  <c r="AK334" i="7" s="1"/>
  <c r="AK331" i="7" a="1"/>
  <c r="AK331" i="7" s="1"/>
  <c r="AK327" i="7" a="1"/>
  <c r="AK327" i="7" s="1"/>
  <c r="AK324" i="7" a="1"/>
  <c r="AK324" i="7" s="1"/>
  <c r="AK384" i="7" a="1"/>
  <c r="AK384" i="7" s="1"/>
  <c r="AK391" i="7" a="1"/>
  <c r="AK391" i="7" s="1"/>
  <c r="AK386" i="7" a="1"/>
  <c r="AK386" i="7" s="1"/>
  <c r="AK369" i="7" a="1"/>
  <c r="AK369" i="7" s="1"/>
  <c r="AK356" i="7" a="1"/>
  <c r="AK356" i="7" s="1"/>
  <c r="AK342" i="7" a="1"/>
  <c r="AK342" i="7" s="1"/>
  <c r="AK328" i="7" a="1"/>
  <c r="AK328" i="7" s="1"/>
  <c r="AK335" i="7" a="1"/>
  <c r="AK335" i="7" s="1"/>
  <c r="AK309" i="7" a="1"/>
  <c r="AK309" i="7" s="1"/>
  <c r="AK308" i="7" a="1"/>
  <c r="AK308" i="7" s="1"/>
  <c r="AK307" i="7" a="1"/>
  <c r="AK307" i="7" s="1"/>
  <c r="AK306" i="7" a="1"/>
  <c r="AK306" i="7" s="1"/>
  <c r="AK305" i="7" a="1"/>
  <c r="AK305" i="7" s="1"/>
  <c r="AK298" i="7" a="1"/>
  <c r="AK298" i="7" s="1"/>
  <c r="AK295" i="7" a="1"/>
  <c r="AK295" i="7" s="1"/>
  <c r="AK293" i="7" a="1"/>
  <c r="AK293" i="7" s="1"/>
  <c r="AK290" i="7" a="1"/>
  <c r="AK290" i="7" s="1"/>
  <c r="AK390" i="7" a="1"/>
  <c r="AK390" i="7" s="1"/>
  <c r="AK310" i="7" a="1"/>
  <c r="AK310" i="7" s="1"/>
  <c r="AK302" i="7" a="1"/>
  <c r="AK302" i="7" s="1"/>
  <c r="AK301" i="7" a="1"/>
  <c r="AK301" i="7" s="1"/>
  <c r="AK300" i="7" a="1"/>
  <c r="AK300" i="7" s="1"/>
  <c r="AK299" i="7" a="1"/>
  <c r="AK299" i="7" s="1"/>
  <c r="AK297" i="7" a="1"/>
  <c r="AK297" i="7" s="1"/>
  <c r="AK296" i="7" a="1"/>
  <c r="AK296" i="7" s="1"/>
  <c r="AK294" i="7" a="1"/>
  <c r="AK294" i="7" s="1"/>
  <c r="AK292" i="7" a="1"/>
  <c r="AK292" i="7" s="1"/>
  <c r="AK291" i="7" a="1"/>
  <c r="AK291" i="7" s="1"/>
  <c r="AK289" i="7" a="1"/>
  <c r="AK289" i="7" s="1"/>
  <c r="AK288" i="7" a="1"/>
  <c r="AK288" i="7" s="1"/>
  <c r="AK287" i="7" a="1"/>
  <c r="AK287" i="7" s="1"/>
  <c r="AK286" i="7" a="1"/>
  <c r="AK286" i="7" s="1"/>
  <c r="AK411" i="7" a="1"/>
  <c r="AK411" i="7" s="1"/>
  <c r="AK373" i="7" a="1"/>
  <c r="AK373" i="7" s="1"/>
  <c r="AK359" i="7" a="1"/>
  <c r="AK359" i="7" s="1"/>
  <c r="AK345" i="7" a="1"/>
  <c r="AK345" i="7" s="1"/>
  <c r="AK304" i="7" a="1"/>
  <c r="AK304" i="7" s="1"/>
  <c r="AK321" i="7" a="1"/>
  <c r="AK321" i="7" s="1"/>
  <c r="AK387" i="7" a="1"/>
  <c r="AK387" i="7" s="1"/>
  <c r="AK311" i="7" a="1"/>
  <c r="AK311" i="7" s="1"/>
  <c r="AK317" i="7" a="1"/>
  <c r="AK317" i="7" s="1"/>
  <c r="AK382" i="7" a="1"/>
  <c r="AK382" i="7" s="1"/>
  <c r="AK332" i="7" a="1"/>
  <c r="AK332" i="7" s="1"/>
  <c r="AK395" i="7" a="1"/>
  <c r="AK395" i="7" s="1"/>
  <c r="AK376" i="7" a="1"/>
  <c r="AK376" i="7" s="1"/>
  <c r="AK349" i="7" a="1"/>
  <c r="AK349" i="7" s="1"/>
  <c r="AK303" i="7" a="1"/>
  <c r="AK303" i="7" s="1"/>
  <c r="AK352" i="7" a="1"/>
  <c r="AK352" i="7" s="1"/>
  <c r="AK318" i="7" a="1"/>
  <c r="AK318" i="7" s="1"/>
  <c r="AK325" i="7" a="1"/>
  <c r="AK325" i="7" s="1"/>
  <c r="AK380" i="7" a="1"/>
  <c r="AK380" i="7" s="1"/>
  <c r="AK366" i="7" a="1"/>
  <c r="AK366" i="7" s="1"/>
  <c r="AW811" i="7" a="1"/>
  <c r="AW811" i="7" s="1"/>
  <c r="AW809" i="7" a="1"/>
  <c r="AW809" i="7" s="1"/>
  <c r="AW807" i="7" a="1"/>
  <c r="AW807" i="7" s="1"/>
  <c r="AW806" i="7" a="1"/>
  <c r="AW806" i="7" s="1"/>
  <c r="AW804" i="7" a="1"/>
  <c r="AW804" i="7" s="1"/>
  <c r="AW802" i="7" a="1"/>
  <c r="AW802" i="7" s="1"/>
  <c r="AW799" i="7" a="1"/>
  <c r="AW799" i="7" s="1"/>
  <c r="AW797" i="7" a="1"/>
  <c r="AW797" i="7" s="1"/>
  <c r="AW795" i="7" a="1"/>
  <c r="AW795" i="7" s="1"/>
  <c r="AW793" i="7" a="1"/>
  <c r="AW793" i="7" s="1"/>
  <c r="AW792" i="7" a="1"/>
  <c r="AW792" i="7" s="1"/>
  <c r="AW812" i="7" a="1"/>
  <c r="AW812" i="7" s="1"/>
  <c r="AW810" i="7" a="1"/>
  <c r="AW810" i="7" s="1"/>
  <c r="AW808" i="7" a="1"/>
  <c r="AW808" i="7" s="1"/>
  <c r="AW805" i="7" a="1"/>
  <c r="AW805" i="7" s="1"/>
  <c r="AW803" i="7" a="1"/>
  <c r="AW803" i="7" s="1"/>
  <c r="AW801" i="7" a="1"/>
  <c r="AW801" i="7" s="1"/>
  <c r="AW800" i="7" a="1"/>
  <c r="AW800" i="7" s="1"/>
  <c r="AW798" i="7" a="1"/>
  <c r="AW798" i="7" s="1"/>
  <c r="AW796" i="7" a="1"/>
  <c r="AW796" i="7" s="1"/>
  <c r="AW787" i="7" a="1"/>
  <c r="AW787" i="7" s="1"/>
  <c r="AW783" i="7" a="1"/>
  <c r="AW783" i="7" s="1"/>
  <c r="AW780" i="7" a="1"/>
  <c r="AW780" i="7" s="1"/>
  <c r="AW773" i="7" a="1"/>
  <c r="AW773" i="7" s="1"/>
  <c r="AW791" i="7" a="1"/>
  <c r="AW791" i="7" s="1"/>
  <c r="AW788" i="7" a="1"/>
  <c r="AW788" i="7" s="1"/>
  <c r="AW784" i="7" a="1"/>
  <c r="AW784" i="7" s="1"/>
  <c r="AW781" i="7" a="1"/>
  <c r="AW781" i="7" s="1"/>
  <c r="AW777" i="7" a="1"/>
  <c r="AW777" i="7" s="1"/>
  <c r="AW774" i="7" a="1"/>
  <c r="AW774" i="7" s="1"/>
  <c r="AW767" i="7" a="1"/>
  <c r="AW767" i="7" s="1"/>
  <c r="AW785" i="7" a="1"/>
  <c r="AW785" i="7" s="1"/>
  <c r="AW782" i="7" a="1"/>
  <c r="AW782" i="7" s="1"/>
  <c r="AW778" i="7" a="1"/>
  <c r="AW778" i="7" s="1"/>
  <c r="AW775" i="7" a="1"/>
  <c r="AW775" i="7" s="1"/>
  <c r="AW771" i="7" a="1"/>
  <c r="AW771" i="7" s="1"/>
  <c r="AW768" i="7" a="1"/>
  <c r="AW768" i="7" s="1"/>
  <c r="AW794" i="7" a="1"/>
  <c r="AW794" i="7" s="1"/>
  <c r="AW790" i="7" a="1"/>
  <c r="AW790" i="7" s="1"/>
  <c r="AW776" i="7" a="1"/>
  <c r="AW776" i="7" s="1"/>
  <c r="AW761" i="7" a="1"/>
  <c r="AW761" i="7" s="1"/>
  <c r="AW758" i="7" a="1"/>
  <c r="AW758" i="7" s="1"/>
  <c r="AW779" i="7" a="1"/>
  <c r="AW779" i="7" s="1"/>
  <c r="AW772" i="7" a="1"/>
  <c r="AW772" i="7" s="1"/>
  <c r="AW769" i="7" a="1"/>
  <c r="AW769" i="7" s="1"/>
  <c r="AW765" i="7" a="1"/>
  <c r="AW765" i="7" s="1"/>
  <c r="AW762" i="7" a="1"/>
  <c r="AW762" i="7" s="1"/>
  <c r="AW786" i="7" a="1"/>
  <c r="AW786" i="7" s="1"/>
  <c r="AW770" i="7" a="1"/>
  <c r="AW770" i="7" s="1"/>
  <c r="AW766" i="7" a="1"/>
  <c r="AW766" i="7" s="1"/>
  <c r="AW763" i="7" a="1"/>
  <c r="AW763" i="7" s="1"/>
  <c r="AW759" i="7" a="1"/>
  <c r="AW759" i="7" s="1"/>
  <c r="AW756" i="7" a="1"/>
  <c r="AW756" i="7" s="1"/>
  <c r="AW789" i="7" a="1"/>
  <c r="AW789" i="7" s="1"/>
  <c r="AW764" i="7" a="1"/>
  <c r="AW764" i="7" s="1"/>
  <c r="AW760" i="7" a="1"/>
  <c r="AW760" i="7" s="1"/>
  <c r="AW757" i="7" a="1"/>
  <c r="AW757" i="7" s="1"/>
  <c r="AW755" i="7" a="1"/>
  <c r="AW755" i="7" s="1"/>
  <c r="AW754" i="7" a="1"/>
  <c r="AW754" i="7" s="1"/>
  <c r="AW753" i="7" a="1"/>
  <c r="AW753" i="7" s="1"/>
  <c r="AW752" i="7" a="1"/>
  <c r="AW752" i="7" s="1"/>
  <c r="AW750" i="7" a="1"/>
  <c r="AW750" i="7" s="1"/>
  <c r="AW745" i="7" a="1"/>
  <c r="AW745" i="7" s="1"/>
  <c r="AW741" i="7" a="1"/>
  <c r="AW741" i="7" s="1"/>
  <c r="AW738" i="7" a="1"/>
  <c r="AW738" i="7" s="1"/>
  <c r="AW746" i="7" a="1"/>
  <c r="AW746" i="7" s="1"/>
  <c r="AW742" i="7" a="1"/>
  <c r="AW742" i="7" s="1"/>
  <c r="AW739" i="7" a="1"/>
  <c r="AW739" i="7" s="1"/>
  <c r="AW735" i="7" a="1"/>
  <c r="AW735" i="7" s="1"/>
  <c r="AW743" i="7" a="1"/>
  <c r="AW743" i="7" s="1"/>
  <c r="AW740" i="7" a="1"/>
  <c r="AW740" i="7" s="1"/>
  <c r="AW736" i="7" a="1"/>
  <c r="AW736" i="7" s="1"/>
  <c r="AW751" i="7" a="1"/>
  <c r="AW751" i="7" s="1"/>
  <c r="AW733" i="7" a="1"/>
  <c r="AW733" i="7" s="1"/>
  <c r="AW730" i="7" a="1"/>
  <c r="AW730" i="7" s="1"/>
  <c r="AW727" i="7" a="1"/>
  <c r="AW727" i="7" s="1"/>
  <c r="AW749" i="7" a="1"/>
  <c r="AW749" i="7" s="1"/>
  <c r="AW731" i="7" a="1"/>
  <c r="AW731" i="7" s="1"/>
  <c r="AW728" i="7" a="1"/>
  <c r="AW728" i="7" s="1"/>
  <c r="AW737" i="7" a="1"/>
  <c r="AW737" i="7" s="1"/>
  <c r="AW748" i="7" a="1"/>
  <c r="AW748" i="7" s="1"/>
  <c r="AW732" i="7" a="1"/>
  <c r="AW732" i="7" s="1"/>
  <c r="AW725" i="7" a="1"/>
  <c r="AW725" i="7" s="1"/>
  <c r="AW744" i="7" a="1"/>
  <c r="AW744" i="7" s="1"/>
  <c r="AW723" i="7" a="1"/>
  <c r="AW723" i="7" s="1"/>
  <c r="AW720" i="7" a="1"/>
  <c r="AW720" i="7" s="1"/>
  <c r="AW713" i="7" a="1"/>
  <c r="AW713" i="7" s="1"/>
  <c r="AW747" i="7" a="1"/>
  <c r="AW747" i="7" s="1"/>
  <c r="AW729" i="7" a="1"/>
  <c r="AW729" i="7" s="1"/>
  <c r="AW710" i="7" a="1"/>
  <c r="AW710" i="7" s="1"/>
  <c r="AW706" i="7" a="1"/>
  <c r="AW706" i="7" s="1"/>
  <c r="AW703" i="7" a="1"/>
  <c r="AW703" i="7" s="1"/>
  <c r="AW699" i="7" a="1"/>
  <c r="AW699" i="7" s="1"/>
  <c r="AW719" i="7" a="1"/>
  <c r="AW719" i="7" s="1"/>
  <c r="AW716" i="7" a="1"/>
  <c r="AW716" i="7" s="1"/>
  <c r="AW712" i="7" a="1"/>
  <c r="AW712" i="7" s="1"/>
  <c r="AW726" i="7" a="1"/>
  <c r="AW726" i="7" s="1"/>
  <c r="AW707" i="7" a="1"/>
  <c r="AW707" i="7" s="1"/>
  <c r="AW704" i="7" a="1"/>
  <c r="AW704" i="7" s="1"/>
  <c r="AW700" i="7" a="1"/>
  <c r="AW700" i="7" s="1"/>
  <c r="AW722" i="7" a="1"/>
  <c r="AW722" i="7" s="1"/>
  <c r="AW718" i="7" a="1"/>
  <c r="AW718" i="7" s="1"/>
  <c r="AW715" i="7" a="1"/>
  <c r="AW715" i="7" s="1"/>
  <c r="AW711" i="7" a="1"/>
  <c r="AW711" i="7" s="1"/>
  <c r="AW734" i="7" a="1"/>
  <c r="AW734" i="7" s="1"/>
  <c r="AW724" i="7" a="1"/>
  <c r="AW724" i="7" s="1"/>
  <c r="AW701" i="7" a="1"/>
  <c r="AW701" i="7" s="1"/>
  <c r="AW697" i="7" a="1"/>
  <c r="AW697" i="7" s="1"/>
  <c r="AW695" i="7" a="1"/>
  <c r="AW695" i="7" s="1"/>
  <c r="AW705" i="7" a="1"/>
  <c r="AW705" i="7" s="1"/>
  <c r="AW693" i="7" a="1"/>
  <c r="AW693" i="7" s="1"/>
  <c r="AW721" i="7" a="1"/>
  <c r="AW721" i="7" s="1"/>
  <c r="AW714" i="7" a="1"/>
  <c r="AW714" i="7" s="1"/>
  <c r="AW708" i="7" a="1"/>
  <c r="AW708" i="7" s="1"/>
  <c r="AW709" i="7" a="1"/>
  <c r="AW709" i="7" s="1"/>
  <c r="AW696" i="7" a="1"/>
  <c r="AW696" i="7" s="1"/>
  <c r="AW694" i="7" a="1"/>
  <c r="AW694" i="7" s="1"/>
  <c r="AW702" i="7" a="1"/>
  <c r="AW702" i="7" s="1"/>
  <c r="AW698" i="7" a="1"/>
  <c r="AW698" i="7" s="1"/>
  <c r="AW689" i="7" a="1"/>
  <c r="AW689" i="7" s="1"/>
  <c r="AW687" i="7" a="1"/>
  <c r="AW687" i="7" s="1"/>
  <c r="AW686" i="7" a="1"/>
  <c r="AW686" i="7" s="1"/>
  <c r="AW684" i="7" a="1"/>
  <c r="AW684" i="7" s="1"/>
  <c r="AW682" i="7" a="1"/>
  <c r="AW682" i="7" s="1"/>
  <c r="AW717" i="7" a="1"/>
  <c r="AW717" i="7" s="1"/>
  <c r="AW691" i="7" a="1"/>
  <c r="AW691" i="7" s="1"/>
  <c r="AW688" i="7" a="1"/>
  <c r="AW688" i="7" s="1"/>
  <c r="AW685" i="7" a="1"/>
  <c r="AW685" i="7" s="1"/>
  <c r="AW683" i="7" a="1"/>
  <c r="AW683" i="7" s="1"/>
  <c r="AW681" i="7" a="1"/>
  <c r="AW681" i="7" s="1"/>
  <c r="AW690" i="7" a="1"/>
  <c r="AW690" i="7" s="1"/>
  <c r="AW692" i="7" a="1"/>
  <c r="AW692" i="7" s="1"/>
  <c r="AZ547" i="7" a="1"/>
  <c r="AZ547" i="7" s="1"/>
  <c r="AZ545" i="7" a="1"/>
  <c r="AZ545" i="7" s="1"/>
  <c r="AZ543" i="7" a="1"/>
  <c r="AZ543" i="7" s="1"/>
  <c r="AZ542" i="7" a="1"/>
  <c r="AZ542" i="7" s="1"/>
  <c r="AZ540" i="7" a="1"/>
  <c r="AZ540" i="7" s="1"/>
  <c r="AZ538" i="7" a="1"/>
  <c r="AZ538" i="7" s="1"/>
  <c r="AZ535" i="7" a="1"/>
  <c r="AZ535" i="7" s="1"/>
  <c r="AZ533" i="7" a="1"/>
  <c r="AZ533" i="7" s="1"/>
  <c r="AZ514" i="7" a="1"/>
  <c r="AZ514" i="7" s="1"/>
  <c r="AZ513" i="7" a="1"/>
  <c r="AZ513" i="7" s="1"/>
  <c r="AZ512" i="7" a="1"/>
  <c r="AZ512" i="7" s="1"/>
  <c r="AZ511" i="7" a="1"/>
  <c r="AZ511" i="7" s="1"/>
  <c r="AZ510" i="7" a="1"/>
  <c r="AZ510" i="7" s="1"/>
  <c r="AZ509" i="7" a="1"/>
  <c r="AZ509" i="7" s="1"/>
  <c r="AZ508" i="7" a="1"/>
  <c r="AZ508" i="7" s="1"/>
  <c r="AZ507" i="7" a="1"/>
  <c r="AZ507" i="7" s="1"/>
  <c r="AZ506" i="7" a="1"/>
  <c r="AZ506" i="7" s="1"/>
  <c r="AZ505" i="7" a="1"/>
  <c r="AZ505" i="7" s="1"/>
  <c r="AZ504" i="7" a="1"/>
  <c r="AZ504" i="7" s="1"/>
  <c r="AZ503" i="7" a="1"/>
  <c r="AZ503" i="7" s="1"/>
  <c r="AZ502" i="7" a="1"/>
  <c r="AZ502" i="7" s="1"/>
  <c r="AZ501" i="7" a="1"/>
  <c r="AZ501" i="7" s="1"/>
  <c r="AZ500" i="7" a="1"/>
  <c r="AZ500" i="7" s="1"/>
  <c r="AZ499" i="7" a="1"/>
  <c r="AZ499" i="7" s="1"/>
  <c r="AZ548" i="7" a="1"/>
  <c r="AZ548" i="7" s="1"/>
  <c r="AZ546" i="7" a="1"/>
  <c r="AZ546" i="7" s="1"/>
  <c r="AZ544" i="7" a="1"/>
  <c r="AZ544" i="7" s="1"/>
  <c r="AZ541" i="7" a="1"/>
  <c r="AZ541" i="7" s="1"/>
  <c r="AZ539" i="7" a="1"/>
  <c r="AZ539" i="7" s="1"/>
  <c r="AZ537" i="7" a="1"/>
  <c r="AZ537" i="7" s="1"/>
  <c r="AZ536" i="7" a="1"/>
  <c r="AZ536" i="7" s="1"/>
  <c r="AZ534" i="7" a="1"/>
  <c r="AZ534" i="7" s="1"/>
  <c r="AZ532" i="7" a="1"/>
  <c r="AZ532" i="7" s="1"/>
  <c r="AZ531" i="7" a="1"/>
  <c r="AZ531" i="7" s="1"/>
  <c r="AZ528" i="7" a="1"/>
  <c r="AZ528" i="7" s="1"/>
  <c r="AZ521" i="7" a="1"/>
  <c r="AZ521" i="7" s="1"/>
  <c r="AZ518" i="7" a="1"/>
  <c r="AZ518" i="7" s="1"/>
  <c r="AZ527" i="7" a="1"/>
  <c r="AZ527" i="7" s="1"/>
  <c r="AZ524" i="7" a="1"/>
  <c r="AZ524" i="7" s="1"/>
  <c r="AZ520" i="7" a="1"/>
  <c r="AZ520" i="7" s="1"/>
  <c r="AZ517" i="7" a="1"/>
  <c r="AZ517" i="7" s="1"/>
  <c r="AZ498" i="7" a="1"/>
  <c r="AZ498" i="7" s="1"/>
  <c r="AZ497" i="7" a="1"/>
  <c r="AZ497" i="7" s="1"/>
  <c r="AZ496" i="7" a="1"/>
  <c r="AZ496" i="7" s="1"/>
  <c r="AZ530" i="7" a="1"/>
  <c r="AZ530" i="7" s="1"/>
  <c r="AZ526" i="7" a="1"/>
  <c r="AZ526" i="7" s="1"/>
  <c r="AZ523" i="7" a="1"/>
  <c r="AZ523" i="7" s="1"/>
  <c r="AZ519" i="7" a="1"/>
  <c r="AZ519" i="7" s="1"/>
  <c r="AZ516" i="7" a="1"/>
  <c r="AZ516" i="7" s="1"/>
  <c r="AZ481" i="7" a="1"/>
  <c r="AZ481" i="7" s="1"/>
  <c r="AZ522" i="7" a="1"/>
  <c r="AZ522" i="7" s="1"/>
  <c r="AZ494" i="7" a="1"/>
  <c r="AZ494" i="7" s="1"/>
  <c r="AZ493" i="7" a="1"/>
  <c r="AZ493" i="7" s="1"/>
  <c r="AZ492" i="7" a="1"/>
  <c r="AZ492" i="7" s="1"/>
  <c r="AZ491" i="7" a="1"/>
  <c r="AZ491" i="7" s="1"/>
  <c r="AZ490" i="7" a="1"/>
  <c r="AZ490" i="7" s="1"/>
  <c r="AZ489" i="7" a="1"/>
  <c r="AZ489" i="7" s="1"/>
  <c r="AZ488" i="7" a="1"/>
  <c r="AZ488" i="7" s="1"/>
  <c r="AZ487" i="7" a="1"/>
  <c r="AZ487" i="7" s="1"/>
  <c r="AZ486" i="7" a="1"/>
  <c r="AZ486" i="7" s="1"/>
  <c r="AZ485" i="7" a="1"/>
  <c r="AZ485" i="7" s="1"/>
  <c r="AZ484" i="7" a="1"/>
  <c r="AZ484" i="7" s="1"/>
  <c r="AZ483" i="7" a="1"/>
  <c r="AZ483" i="7" s="1"/>
  <c r="AZ480" i="7" a="1"/>
  <c r="AZ480" i="7" s="1"/>
  <c r="AZ525" i="7" a="1"/>
  <c r="AZ525" i="7" s="1"/>
  <c r="AZ479" i="7" a="1"/>
  <c r="AZ479" i="7" s="1"/>
  <c r="AZ529" i="7" a="1"/>
  <c r="AZ529" i="7" s="1"/>
  <c r="AZ495" i="7" a="1"/>
  <c r="AZ495" i="7" s="1"/>
  <c r="AZ482" i="7" a="1"/>
  <c r="AZ482" i="7" s="1"/>
  <c r="AZ430" i="7" a="1"/>
  <c r="AZ430" i="7" s="1"/>
  <c r="AZ427" i="7" a="1"/>
  <c r="AZ427" i="7" s="1"/>
  <c r="AZ423" i="7" a="1"/>
  <c r="AZ423" i="7" s="1"/>
  <c r="AZ455" i="7" a="1"/>
  <c r="AZ455" i="7" s="1"/>
  <c r="AZ452" i="7" a="1"/>
  <c r="AZ452" i="7" s="1"/>
  <c r="AZ448" i="7" a="1"/>
  <c r="AZ448" i="7" s="1"/>
  <c r="AZ445" i="7" a="1"/>
  <c r="AZ445" i="7" s="1"/>
  <c r="AZ441" i="7" a="1"/>
  <c r="AZ441" i="7" s="1"/>
  <c r="AZ438" i="7" a="1"/>
  <c r="AZ438" i="7" s="1"/>
  <c r="AZ515" i="7" a="1"/>
  <c r="AZ515" i="7" s="1"/>
  <c r="AZ478" i="7" a="1"/>
  <c r="AZ478" i="7" s="1"/>
  <c r="AZ468" i="7" a="1"/>
  <c r="AZ468" i="7" s="1"/>
  <c r="AZ431" i="7" a="1"/>
  <c r="AZ431" i="7" s="1"/>
  <c r="AZ428" i="7" a="1"/>
  <c r="AZ428" i="7" s="1"/>
  <c r="AZ424" i="7" a="1"/>
  <c r="AZ424" i="7" s="1"/>
  <c r="AZ421" i="7" a="1"/>
  <c r="AZ421" i="7" s="1"/>
  <c r="AZ417" i="7" a="1"/>
  <c r="AZ417" i="7" s="1"/>
  <c r="AZ471" i="7" a="1"/>
  <c r="AZ471" i="7" s="1"/>
  <c r="AZ454" i="7" a="1"/>
  <c r="AZ454" i="7" s="1"/>
  <c r="AZ451" i="7" a="1"/>
  <c r="AZ451" i="7" s="1"/>
  <c r="AZ447" i="7" a="1"/>
  <c r="AZ447" i="7" s="1"/>
  <c r="AZ444" i="7" a="1"/>
  <c r="AZ444" i="7" s="1"/>
  <c r="AZ437" i="7" a="1"/>
  <c r="AZ437" i="7" s="1"/>
  <c r="AZ434" i="7" a="1"/>
  <c r="AZ434" i="7" s="1"/>
  <c r="AZ469" i="7" a="1"/>
  <c r="AZ469" i="7" s="1"/>
  <c r="AZ425" i="7" a="1"/>
  <c r="AZ425" i="7" s="1"/>
  <c r="AZ476" i="7" a="1"/>
  <c r="AZ476" i="7" s="1"/>
  <c r="AZ474" i="7" a="1"/>
  <c r="AZ474" i="7" s="1"/>
  <c r="AZ465" i="7" a="1"/>
  <c r="AZ465" i="7" s="1"/>
  <c r="AZ464" i="7" a="1"/>
  <c r="AZ464" i="7" s="1"/>
  <c r="AZ463" i="7" a="1"/>
  <c r="AZ463" i="7" s="1"/>
  <c r="AZ462" i="7" a="1"/>
  <c r="AZ462" i="7" s="1"/>
  <c r="AZ461" i="7" a="1"/>
  <c r="AZ461" i="7" s="1"/>
  <c r="AZ460" i="7" a="1"/>
  <c r="AZ460" i="7" s="1"/>
  <c r="AZ459" i="7" a="1"/>
  <c r="AZ459" i="7" s="1"/>
  <c r="AZ458" i="7" a="1"/>
  <c r="AZ458" i="7" s="1"/>
  <c r="AZ457" i="7" a="1"/>
  <c r="AZ457" i="7" s="1"/>
  <c r="AZ453" i="7" a="1"/>
  <c r="AZ453" i="7" s="1"/>
  <c r="AZ450" i="7" a="1"/>
  <c r="AZ450" i="7" s="1"/>
  <c r="AZ443" i="7" a="1"/>
  <c r="AZ443" i="7" s="1"/>
  <c r="AZ440" i="7" a="1"/>
  <c r="AZ440" i="7" s="1"/>
  <c r="AZ436" i="7" a="1"/>
  <c r="AZ436" i="7" s="1"/>
  <c r="AZ433" i="7" a="1"/>
  <c r="AZ433" i="7" s="1"/>
  <c r="AZ475" i="7" a="1"/>
  <c r="AZ475" i="7" s="1"/>
  <c r="AZ466" i="7" a="1"/>
  <c r="AZ466" i="7" s="1"/>
  <c r="AZ429" i="7" a="1"/>
  <c r="AZ429" i="7" s="1"/>
  <c r="AZ467" i="7" a="1"/>
  <c r="AZ467" i="7" s="1"/>
  <c r="AZ470" i="7" a="1"/>
  <c r="AZ470" i="7" s="1"/>
  <c r="AZ426" i="7" a="1"/>
  <c r="AZ426" i="7" s="1"/>
  <c r="AZ473" i="7" a="1"/>
  <c r="AZ473" i="7" s="1"/>
  <c r="AZ456" i="7" a="1"/>
  <c r="AZ456" i="7" s="1"/>
  <c r="AZ449" i="7" a="1"/>
  <c r="AZ449" i="7" s="1"/>
  <c r="AZ439" i="7" a="1"/>
  <c r="AZ439" i="7" s="1"/>
  <c r="AZ435" i="7" a="1"/>
  <c r="AZ435" i="7" s="1"/>
  <c r="AZ432" i="7" a="1"/>
  <c r="AZ432" i="7" s="1"/>
  <c r="AZ422" i="7" a="1"/>
  <c r="AZ422" i="7" s="1"/>
  <c r="AZ446" i="7" a="1"/>
  <c r="AZ446" i="7" s="1"/>
  <c r="AZ477" i="7" a="1"/>
  <c r="AZ477" i="7" s="1"/>
  <c r="AZ472" i="7" a="1"/>
  <c r="AZ472" i="7" s="1"/>
  <c r="AZ420" i="7" a="1"/>
  <c r="AZ420" i="7" s="1"/>
  <c r="AZ419" i="7" a="1"/>
  <c r="AZ419" i="7" s="1"/>
  <c r="AZ418" i="7" a="1"/>
  <c r="AZ418" i="7" s="1"/>
  <c r="AZ442" i="7" a="1"/>
  <c r="AZ442" i="7" s="1"/>
  <c r="AM680" i="7" a="1"/>
  <c r="AM680" i="7" s="1"/>
  <c r="AM678" i="7" a="1"/>
  <c r="AM678" i="7" s="1"/>
  <c r="AM676" i="7" a="1"/>
  <c r="AM676" i="7" s="1"/>
  <c r="AM673" i="7" a="1"/>
  <c r="AM673" i="7" s="1"/>
  <c r="AM671" i="7" a="1"/>
  <c r="AM671" i="7" s="1"/>
  <c r="AM669" i="7" a="1"/>
  <c r="AM669" i="7" s="1"/>
  <c r="AM679" i="7" a="1"/>
  <c r="AM679" i="7" s="1"/>
  <c r="AM677" i="7" a="1"/>
  <c r="AM677" i="7" s="1"/>
  <c r="AM675" i="7" a="1"/>
  <c r="AM675" i="7" s="1"/>
  <c r="AM674" i="7" a="1"/>
  <c r="AM674" i="7" s="1"/>
  <c r="AM672" i="7" a="1"/>
  <c r="AM672" i="7" s="1"/>
  <c r="AM670" i="7" a="1"/>
  <c r="AM670" i="7" s="1"/>
  <c r="AM655" i="7" a="1"/>
  <c r="AM655" i="7" s="1"/>
  <c r="AM651" i="7" a="1"/>
  <c r="AM651" i="7" s="1"/>
  <c r="AM648" i="7" a="1"/>
  <c r="AM648" i="7" s="1"/>
  <c r="AM667" i="7" a="1"/>
  <c r="AM667" i="7" s="1"/>
  <c r="AM652" i="7" a="1"/>
  <c r="AM652" i="7" s="1"/>
  <c r="AM649" i="7" a="1"/>
  <c r="AM649" i="7" s="1"/>
  <c r="AM645" i="7" a="1"/>
  <c r="AM645" i="7" s="1"/>
  <c r="AM642" i="7" a="1"/>
  <c r="AM642" i="7" s="1"/>
  <c r="AM666" i="7" a="1"/>
  <c r="AM666" i="7" s="1"/>
  <c r="AM664" i="7" a="1"/>
  <c r="AM664" i="7" s="1"/>
  <c r="AM661" i="7" a="1"/>
  <c r="AM661" i="7" s="1"/>
  <c r="AM659" i="7" a="1"/>
  <c r="AM659" i="7" s="1"/>
  <c r="AM657" i="7" a="1"/>
  <c r="AM657" i="7" s="1"/>
  <c r="AM656" i="7" a="1"/>
  <c r="AM656" i="7" s="1"/>
  <c r="AM653" i="7" a="1"/>
  <c r="AM653" i="7" s="1"/>
  <c r="AM650" i="7" a="1"/>
  <c r="AM650" i="7" s="1"/>
  <c r="AM646" i="7" a="1"/>
  <c r="AM646" i="7" s="1"/>
  <c r="AM643" i="7" a="1"/>
  <c r="AM643" i="7" s="1"/>
  <c r="AM665" i="7" a="1"/>
  <c r="AM665" i="7" s="1"/>
  <c r="AM654" i="7" a="1"/>
  <c r="AM654" i="7" s="1"/>
  <c r="AM624" i="7" a="1"/>
  <c r="AM624" i="7" s="1"/>
  <c r="AM647" i="7" a="1"/>
  <c r="AM647" i="7" s="1"/>
  <c r="AM660" i="7" a="1"/>
  <c r="AM660" i="7" s="1"/>
  <c r="AM639" i="7" a="1"/>
  <c r="AM639" i="7" s="1"/>
  <c r="AM638" i="7" a="1"/>
  <c r="AM638" i="7" s="1"/>
  <c r="AM636" i="7" a="1"/>
  <c r="AM636" i="7" s="1"/>
  <c r="AM634" i="7" a="1"/>
  <c r="AM634" i="7" s="1"/>
  <c r="AM631" i="7" a="1"/>
  <c r="AM631" i="7" s="1"/>
  <c r="AM629" i="7" a="1"/>
  <c r="AM629" i="7" s="1"/>
  <c r="AM627" i="7" a="1"/>
  <c r="AM627" i="7" s="1"/>
  <c r="AM625" i="7" a="1"/>
  <c r="AM625" i="7" s="1"/>
  <c r="AM641" i="7" a="1"/>
  <c r="AM641" i="7" s="1"/>
  <c r="AM663" i="7" a="1"/>
  <c r="AM663" i="7" s="1"/>
  <c r="AM668" i="7" a="1"/>
  <c r="AM668" i="7" s="1"/>
  <c r="AM626" i="7" a="1"/>
  <c r="AM626" i="7" s="1"/>
  <c r="AM622" i="7" a="1"/>
  <c r="AM622" i="7" s="1"/>
  <c r="AM619" i="7" a="1"/>
  <c r="AM619" i="7" s="1"/>
  <c r="AM615" i="7" a="1"/>
  <c r="AM615" i="7" s="1"/>
  <c r="AM658" i="7" a="1"/>
  <c r="AM658" i="7" s="1"/>
  <c r="AM637" i="7" a="1"/>
  <c r="AM637" i="7" s="1"/>
  <c r="AM635" i="7" a="1"/>
  <c r="AM635" i="7" s="1"/>
  <c r="AM633" i="7" a="1"/>
  <c r="AM633" i="7" s="1"/>
  <c r="AM632" i="7" a="1"/>
  <c r="AM632" i="7" s="1"/>
  <c r="AM630" i="7" a="1"/>
  <c r="AM630" i="7" s="1"/>
  <c r="AM628" i="7" a="1"/>
  <c r="AM628" i="7" s="1"/>
  <c r="AM662" i="7" a="1"/>
  <c r="AM662" i="7" s="1"/>
  <c r="AM620" i="7" a="1"/>
  <c r="AM620" i="7" s="1"/>
  <c r="AM617" i="7" a="1"/>
  <c r="AM617" i="7" s="1"/>
  <c r="AM616" i="7" a="1"/>
  <c r="AM616" i="7" s="1"/>
  <c r="AM623" i="7" a="1"/>
  <c r="AM623" i="7" s="1"/>
  <c r="AM618" i="7" a="1"/>
  <c r="AM618" i="7" s="1"/>
  <c r="AM640" i="7" a="1"/>
  <c r="AM640" i="7" s="1"/>
  <c r="AM621" i="7" a="1"/>
  <c r="AM621" i="7" s="1"/>
  <c r="AM614" i="7" a="1"/>
  <c r="AM614" i="7" s="1"/>
  <c r="AM613" i="7" a="1"/>
  <c r="AM613" i="7" s="1"/>
  <c r="AM612" i="7" a="1"/>
  <c r="AM612" i="7" s="1"/>
  <c r="AM609" i="7" a="1"/>
  <c r="AM609" i="7" s="1"/>
  <c r="AM644" i="7" a="1"/>
  <c r="AM644" i="7" s="1"/>
  <c r="AM608" i="7" a="1"/>
  <c r="AM608" i="7" s="1"/>
  <c r="AM606" i="7" a="1"/>
  <c r="AM606" i="7" s="1"/>
  <c r="AM604" i="7" a="1"/>
  <c r="AM604" i="7" s="1"/>
  <c r="AM601" i="7" a="1"/>
  <c r="AM601" i="7" s="1"/>
  <c r="AM610" i="7" a="1"/>
  <c r="AM610" i="7" s="1"/>
  <c r="AM611" i="7" a="1"/>
  <c r="AM611" i="7" s="1"/>
  <c r="AM605" i="7" a="1"/>
  <c r="AM605" i="7" s="1"/>
  <c r="AM596" i="7" a="1"/>
  <c r="AM596" i="7" s="1"/>
  <c r="AM594" i="7" a="1"/>
  <c r="AM594" i="7" s="1"/>
  <c r="AM592" i="7" a="1"/>
  <c r="AM592" i="7" s="1"/>
  <c r="AM589" i="7" a="1"/>
  <c r="AM589" i="7" s="1"/>
  <c r="AM587" i="7" a="1"/>
  <c r="AM587" i="7" s="1"/>
  <c r="AM584" i="7" a="1"/>
  <c r="AM584" i="7" s="1"/>
  <c r="AM580" i="7" a="1"/>
  <c r="AM580" i="7" s="1"/>
  <c r="AM577" i="7" a="1"/>
  <c r="AM577" i="7" s="1"/>
  <c r="AM573" i="7" a="1"/>
  <c r="AM573" i="7" s="1"/>
  <c r="AM570" i="7" a="1"/>
  <c r="AM570" i="7" s="1"/>
  <c r="AM563" i="7" a="1"/>
  <c r="AM563" i="7" s="1"/>
  <c r="AM607" i="7" a="1"/>
  <c r="AM607" i="7" s="1"/>
  <c r="AM602" i="7" a="1"/>
  <c r="AM602" i="7" s="1"/>
  <c r="AM581" i="7" a="1"/>
  <c r="AM581" i="7" s="1"/>
  <c r="AM578" i="7" a="1"/>
  <c r="AM578" i="7" s="1"/>
  <c r="AM574" i="7" a="1"/>
  <c r="AM574" i="7" s="1"/>
  <c r="AM571" i="7" a="1"/>
  <c r="AM571" i="7" s="1"/>
  <c r="AM567" i="7" a="1"/>
  <c r="AM567" i="7" s="1"/>
  <c r="AM564" i="7" a="1"/>
  <c r="AM564" i="7" s="1"/>
  <c r="AM603" i="7" a="1"/>
  <c r="AM603" i="7" s="1"/>
  <c r="AM598" i="7" a="1"/>
  <c r="AM598" i="7" s="1"/>
  <c r="AM597" i="7" a="1"/>
  <c r="AM597" i="7" s="1"/>
  <c r="AM595" i="7" a="1"/>
  <c r="AM595" i="7" s="1"/>
  <c r="AM593" i="7" a="1"/>
  <c r="AM593" i="7" s="1"/>
  <c r="AM591" i="7" a="1"/>
  <c r="AM591" i="7" s="1"/>
  <c r="AM590" i="7" a="1"/>
  <c r="AM590" i="7" s="1"/>
  <c r="AM588" i="7" a="1"/>
  <c r="AM588" i="7" s="1"/>
  <c r="AM599" i="7" a="1"/>
  <c r="AM599" i="7" s="1"/>
  <c r="AM585" i="7" a="1"/>
  <c r="AM585" i="7" s="1"/>
  <c r="AM582" i="7" a="1"/>
  <c r="AM582" i="7" s="1"/>
  <c r="AM575" i="7" a="1"/>
  <c r="AM575" i="7" s="1"/>
  <c r="AM572" i="7" a="1"/>
  <c r="AM572" i="7" s="1"/>
  <c r="AM568" i="7" a="1"/>
  <c r="AM568" i="7" s="1"/>
  <c r="AM565" i="7" a="1"/>
  <c r="AM565" i="7" s="1"/>
  <c r="AM561" i="7" a="1"/>
  <c r="AM561" i="7" s="1"/>
  <c r="AM560" i="7" a="1"/>
  <c r="AM560" i="7" s="1"/>
  <c r="AM569" i="7" a="1"/>
  <c r="AM569" i="7" s="1"/>
  <c r="AM550" i="7" a="1"/>
  <c r="AM550" i="7" s="1"/>
  <c r="AM554" i="7" a="1"/>
  <c r="AM554" i="7" s="1"/>
  <c r="AM551" i="7" a="1"/>
  <c r="AM551" i="7" s="1"/>
  <c r="AM576" i="7" a="1"/>
  <c r="AM576" i="7" s="1"/>
  <c r="AM579" i="7" a="1"/>
  <c r="AM579" i="7" s="1"/>
  <c r="AM552" i="7" a="1"/>
  <c r="AM552" i="7" s="1"/>
  <c r="AM600" i="7" a="1"/>
  <c r="AM600" i="7" s="1"/>
  <c r="AM583" i="7" a="1"/>
  <c r="AM583" i="7" s="1"/>
  <c r="AM556" i="7" a="1"/>
  <c r="AM556" i="7" s="1"/>
  <c r="AM553" i="7" a="1"/>
  <c r="AM553" i="7" s="1"/>
  <c r="AM586" i="7" a="1"/>
  <c r="AM586" i="7" s="1"/>
  <c r="AM562" i="7" a="1"/>
  <c r="AM562" i="7" s="1"/>
  <c r="AM559" i="7" a="1"/>
  <c r="AM559" i="7" s="1"/>
  <c r="AM557" i="7" a="1"/>
  <c r="AM557" i="7" s="1"/>
  <c r="AM566" i="7" a="1"/>
  <c r="AM566" i="7" s="1"/>
  <c r="AM555" i="7" a="1"/>
  <c r="AM555" i="7" s="1"/>
  <c r="AM558" i="7" a="1"/>
  <c r="AM558" i="7" s="1"/>
  <c r="AM549" i="7" a="1"/>
  <c r="AM549" i="7" s="1"/>
  <c r="AU414" i="7" a="1"/>
  <c r="AU414" i="7" s="1"/>
  <c r="AU407" i="7" a="1"/>
  <c r="AU407" i="7" s="1"/>
  <c r="AU404" i="7" a="1"/>
  <c r="AU404" i="7" s="1"/>
  <c r="AU400" i="7" a="1"/>
  <c r="AU400" i="7" s="1"/>
  <c r="AU397" i="7" a="1"/>
  <c r="AU397" i="7" s="1"/>
  <c r="AU415" i="7" a="1"/>
  <c r="AU415" i="7" s="1"/>
  <c r="AU411" i="7" a="1"/>
  <c r="AU411" i="7" s="1"/>
  <c r="AU408" i="7" a="1"/>
  <c r="AU408" i="7" s="1"/>
  <c r="AU401" i="7" a="1"/>
  <c r="AU401" i="7" s="1"/>
  <c r="AU416" i="7" a="1"/>
  <c r="AU416" i="7" s="1"/>
  <c r="AU412" i="7" a="1"/>
  <c r="AU412" i="7" s="1"/>
  <c r="AU409" i="7" a="1"/>
  <c r="AU409" i="7" s="1"/>
  <c r="AU405" i="7" a="1"/>
  <c r="AU405" i="7" s="1"/>
  <c r="AU402" i="7" a="1"/>
  <c r="AU402" i="7" s="1"/>
  <c r="AU403" i="7" a="1"/>
  <c r="AU403" i="7" s="1"/>
  <c r="AU406" i="7" a="1"/>
  <c r="AU406" i="7" s="1"/>
  <c r="AU394" i="7" a="1"/>
  <c r="AU394" i="7" s="1"/>
  <c r="AU393" i="7" a="1"/>
  <c r="AU393" i="7" s="1"/>
  <c r="AU392" i="7" a="1"/>
  <c r="AU392" i="7" s="1"/>
  <c r="AU399" i="7" a="1"/>
  <c r="AU399" i="7" s="1"/>
  <c r="AU410" i="7" a="1"/>
  <c r="AU410" i="7" s="1"/>
  <c r="AU413" i="7" a="1"/>
  <c r="AU413" i="7" s="1"/>
  <c r="AU396" i="7" a="1"/>
  <c r="AU396" i="7" s="1"/>
  <c r="AU386" i="7" a="1"/>
  <c r="AU386" i="7" s="1"/>
  <c r="AU314" i="7" a="1"/>
  <c r="AU314" i="7" s="1"/>
  <c r="AU313" i="7" a="1"/>
  <c r="AU313" i="7" s="1"/>
  <c r="AU312" i="7" a="1"/>
  <c r="AU312" i="7" s="1"/>
  <c r="AU311" i="7" a="1"/>
  <c r="AU311" i="7" s="1"/>
  <c r="AU390" i="7" a="1"/>
  <c r="AU390" i="7" s="1"/>
  <c r="AU387" i="7" a="1"/>
  <c r="AU387" i="7" s="1"/>
  <c r="AU377" i="7" a="1"/>
  <c r="AU377" i="7" s="1"/>
  <c r="AU374" i="7" a="1"/>
  <c r="AU374" i="7" s="1"/>
  <c r="AU370" i="7" a="1"/>
  <c r="AU370" i="7" s="1"/>
  <c r="AU367" i="7" a="1"/>
  <c r="AU367" i="7" s="1"/>
  <c r="AU363" i="7" a="1"/>
  <c r="AU363" i="7" s="1"/>
  <c r="AU360" i="7" a="1"/>
  <c r="AU360" i="7" s="1"/>
  <c r="AU353" i="7" a="1"/>
  <c r="AU353" i="7" s="1"/>
  <c r="AU350" i="7" a="1"/>
  <c r="AU350" i="7" s="1"/>
  <c r="AU346" i="7" a="1"/>
  <c r="AU346" i="7" s="1"/>
  <c r="AU343" i="7" a="1"/>
  <c r="AU343" i="7" s="1"/>
  <c r="AU339" i="7" a="1"/>
  <c r="AU339" i="7" s="1"/>
  <c r="AU336" i="7" a="1"/>
  <c r="AU336" i="7" s="1"/>
  <c r="AU329" i="7" a="1"/>
  <c r="AU329" i="7" s="1"/>
  <c r="AU326" i="7" a="1"/>
  <c r="AU326" i="7" s="1"/>
  <c r="AU322" i="7" a="1"/>
  <c r="AU322" i="7" s="1"/>
  <c r="AU319" i="7" a="1"/>
  <c r="AU319" i="7" s="1"/>
  <c r="AU315" i="7" a="1"/>
  <c r="AU315" i="7" s="1"/>
  <c r="AU389" i="7" a="1"/>
  <c r="AU389" i="7" s="1"/>
  <c r="AU398" i="7" a="1"/>
  <c r="AU398" i="7" s="1"/>
  <c r="AU383" i="7" a="1"/>
  <c r="AU383" i="7" s="1"/>
  <c r="AU381" i="7" a="1"/>
  <c r="AU381" i="7" s="1"/>
  <c r="AU378" i="7" a="1"/>
  <c r="AU378" i="7" s="1"/>
  <c r="AU371" i="7" a="1"/>
  <c r="AU371" i="7" s="1"/>
  <c r="AU368" i="7" a="1"/>
  <c r="AU368" i="7" s="1"/>
  <c r="AU364" i="7" a="1"/>
  <c r="AU364" i="7" s="1"/>
  <c r="AU361" i="7" a="1"/>
  <c r="AU361" i="7" s="1"/>
  <c r="AU357" i="7" a="1"/>
  <c r="AU357" i="7" s="1"/>
  <c r="AU354" i="7" a="1"/>
  <c r="AU354" i="7" s="1"/>
  <c r="AU347" i="7" a="1"/>
  <c r="AU347" i="7" s="1"/>
  <c r="AU344" i="7" a="1"/>
  <c r="AU344" i="7" s="1"/>
  <c r="AU340" i="7" a="1"/>
  <c r="AU340" i="7" s="1"/>
  <c r="AU337" i="7" a="1"/>
  <c r="AU337" i="7" s="1"/>
  <c r="AU333" i="7" a="1"/>
  <c r="AU333" i="7" s="1"/>
  <c r="AU330" i="7" a="1"/>
  <c r="AU330" i="7" s="1"/>
  <c r="AU323" i="7" a="1"/>
  <c r="AU323" i="7" s="1"/>
  <c r="AU320" i="7" a="1"/>
  <c r="AU320" i="7" s="1"/>
  <c r="AU316" i="7" a="1"/>
  <c r="AU316" i="7" s="1"/>
  <c r="AU385" i="7" a="1"/>
  <c r="AU385" i="7" s="1"/>
  <c r="AU391" i="7" a="1"/>
  <c r="AU391" i="7" s="1"/>
  <c r="AU388" i="7" a="1"/>
  <c r="AU388" i="7" s="1"/>
  <c r="AU379" i="7" a="1"/>
  <c r="AU379" i="7" s="1"/>
  <c r="AU375" i="7" a="1"/>
  <c r="AU375" i="7" s="1"/>
  <c r="AU372" i="7" a="1"/>
  <c r="AU372" i="7" s="1"/>
  <c r="AU365" i="7" a="1"/>
  <c r="AU365" i="7" s="1"/>
  <c r="AU362" i="7" a="1"/>
  <c r="AU362" i="7" s="1"/>
  <c r="AU358" i="7" a="1"/>
  <c r="AU358" i="7" s="1"/>
  <c r="AU355" i="7" a="1"/>
  <c r="AU355" i="7" s="1"/>
  <c r="AU351" i="7" a="1"/>
  <c r="AU351" i="7" s="1"/>
  <c r="AU348" i="7" a="1"/>
  <c r="AU348" i="7" s="1"/>
  <c r="AU341" i="7" a="1"/>
  <c r="AU341" i="7" s="1"/>
  <c r="AU338" i="7" a="1"/>
  <c r="AU338" i="7" s="1"/>
  <c r="AU334" i="7" a="1"/>
  <c r="AU334" i="7" s="1"/>
  <c r="AU331" i="7" a="1"/>
  <c r="AU331" i="7" s="1"/>
  <c r="AU327" i="7" a="1"/>
  <c r="AU327" i="7" s="1"/>
  <c r="AU324" i="7" a="1"/>
  <c r="AU324" i="7" s="1"/>
  <c r="AU395" i="7" a="1"/>
  <c r="AU395" i="7" s="1"/>
  <c r="AU373" i="7" a="1"/>
  <c r="AU373" i="7" s="1"/>
  <c r="AU359" i="7" a="1"/>
  <c r="AU359" i="7" s="1"/>
  <c r="AU345" i="7" a="1"/>
  <c r="AU345" i="7" s="1"/>
  <c r="AU309" i="7" a="1"/>
  <c r="AU309" i="7" s="1"/>
  <c r="AU303" i="7" a="1"/>
  <c r="AU303" i="7" s="1"/>
  <c r="AU308" i="7" a="1"/>
  <c r="AU308" i="7" s="1"/>
  <c r="AU332" i="7" a="1"/>
  <c r="AU332" i="7" s="1"/>
  <c r="AU335" i="7" a="1"/>
  <c r="AU335" i="7" s="1"/>
  <c r="AU317" i="7" a="1"/>
  <c r="AU317" i="7" s="1"/>
  <c r="AU310" i="7" a="1"/>
  <c r="AU310" i="7" s="1"/>
  <c r="AU305" i="7" a="1"/>
  <c r="AU305" i="7" s="1"/>
  <c r="AU382" i="7" a="1"/>
  <c r="AU382" i="7" s="1"/>
  <c r="AU376" i="7" a="1"/>
  <c r="AU376" i="7" s="1"/>
  <c r="AU349" i="7" a="1"/>
  <c r="AU349" i="7" s="1"/>
  <c r="AU318" i="7" a="1"/>
  <c r="AU318" i="7" s="1"/>
  <c r="AU304" i="7" a="1"/>
  <c r="AU304" i="7" s="1"/>
  <c r="AU342" i="7" a="1"/>
  <c r="AU342" i="7" s="1"/>
  <c r="AU321" i="7" a="1"/>
  <c r="AU321" i="7" s="1"/>
  <c r="AU295" i="7" a="1"/>
  <c r="AU295" i="7" s="1"/>
  <c r="AU293" i="7" a="1"/>
  <c r="AU293" i="7" s="1"/>
  <c r="AU292" i="7" a="1"/>
  <c r="AU292" i="7" s="1"/>
  <c r="AU287" i="7" a="1"/>
  <c r="AU287" i="7" s="1"/>
  <c r="AU285" i="7" a="1"/>
  <c r="AU285" i="7" s="1"/>
  <c r="AU356" i="7" a="1"/>
  <c r="AU356" i="7" s="1"/>
  <c r="AU307" i="7" a="1"/>
  <c r="AU307" i="7" s="1"/>
  <c r="AU380" i="7" a="1"/>
  <c r="AU380" i="7" s="1"/>
  <c r="AU366" i="7" a="1"/>
  <c r="AU366" i="7" s="1"/>
  <c r="AU352" i="7" a="1"/>
  <c r="AU352" i="7" s="1"/>
  <c r="AU325" i="7" a="1"/>
  <c r="AU325" i="7" s="1"/>
  <c r="AU302" i="7" a="1"/>
  <c r="AU302" i="7" s="1"/>
  <c r="AU301" i="7" a="1"/>
  <c r="AU301" i="7" s="1"/>
  <c r="AU300" i="7" a="1"/>
  <c r="AU300" i="7" s="1"/>
  <c r="AU299" i="7" a="1"/>
  <c r="AU299" i="7" s="1"/>
  <c r="AU298" i="7" a="1"/>
  <c r="AU298" i="7" s="1"/>
  <c r="AU297" i="7" a="1"/>
  <c r="AU297" i="7" s="1"/>
  <c r="AU296" i="7" a="1"/>
  <c r="AU296" i="7" s="1"/>
  <c r="AU294" i="7" a="1"/>
  <c r="AU294" i="7" s="1"/>
  <c r="AU291" i="7" a="1"/>
  <c r="AU291" i="7" s="1"/>
  <c r="AU290" i="7" a="1"/>
  <c r="AU290" i="7" s="1"/>
  <c r="AU289" i="7" a="1"/>
  <c r="AU289" i="7" s="1"/>
  <c r="AU288" i="7" a="1"/>
  <c r="AU288" i="7" s="1"/>
  <c r="AU286" i="7" a="1"/>
  <c r="AU286" i="7" s="1"/>
  <c r="AU306" i="7" a="1"/>
  <c r="AU306" i="7" s="1"/>
  <c r="AU384" i="7" a="1"/>
  <c r="AU384" i="7" s="1"/>
  <c r="AU328" i="7" a="1"/>
  <c r="AU328" i="7" s="1"/>
  <c r="AU369" i="7" a="1"/>
  <c r="AU369" i="7" s="1"/>
  <c r="AL547" i="7" a="1"/>
  <c r="AL547" i="7" s="1"/>
  <c r="AL545" i="7" a="1"/>
  <c r="AL545" i="7" s="1"/>
  <c r="AL543" i="7" a="1"/>
  <c r="AL543" i="7" s="1"/>
  <c r="AL542" i="7" a="1"/>
  <c r="AL542" i="7" s="1"/>
  <c r="AL540" i="7" a="1"/>
  <c r="AL540" i="7" s="1"/>
  <c r="AL538" i="7" a="1"/>
  <c r="AL538" i="7" s="1"/>
  <c r="AL535" i="7" a="1"/>
  <c r="AL535" i="7" s="1"/>
  <c r="AL533" i="7" a="1"/>
  <c r="AL533" i="7" s="1"/>
  <c r="AL548" i="7" a="1"/>
  <c r="AL548" i="7" s="1"/>
  <c r="AL546" i="7" a="1"/>
  <c r="AL546" i="7" s="1"/>
  <c r="AL544" i="7" a="1"/>
  <c r="AL544" i="7" s="1"/>
  <c r="AL541" i="7" a="1"/>
  <c r="AL541" i="7" s="1"/>
  <c r="AL539" i="7" a="1"/>
  <c r="AL539" i="7" s="1"/>
  <c r="AL537" i="7" a="1"/>
  <c r="AL537" i="7" s="1"/>
  <c r="AL536" i="7" a="1"/>
  <c r="AL536" i="7" s="1"/>
  <c r="AL534" i="7" a="1"/>
  <c r="AL534" i="7" s="1"/>
  <c r="AL515" i="7" a="1"/>
  <c r="AL515" i="7" s="1"/>
  <c r="AL514" i="7" a="1"/>
  <c r="AL514" i="7" s="1"/>
  <c r="AL502" i="7" a="1"/>
  <c r="AL502" i="7" s="1"/>
  <c r="AL531" i="7" a="1"/>
  <c r="AL531" i="7" s="1"/>
  <c r="AL528" i="7" a="1"/>
  <c r="AL528" i="7" s="1"/>
  <c r="AL521" i="7" a="1"/>
  <c r="AL521" i="7" s="1"/>
  <c r="AL518" i="7" a="1"/>
  <c r="AL518" i="7" s="1"/>
  <c r="AL513" i="7" a="1"/>
  <c r="AL513" i="7" s="1"/>
  <c r="AL512" i="7" a="1"/>
  <c r="AL512" i="7" s="1"/>
  <c r="AL511" i="7" a="1"/>
  <c r="AL511" i="7" s="1"/>
  <c r="AL510" i="7" a="1"/>
  <c r="AL510" i="7" s="1"/>
  <c r="AL509" i="7" a="1"/>
  <c r="AL509" i="7" s="1"/>
  <c r="AL508" i="7" a="1"/>
  <c r="AL508" i="7" s="1"/>
  <c r="AL507" i="7" a="1"/>
  <c r="AL507" i="7" s="1"/>
  <c r="AL506" i="7" a="1"/>
  <c r="AL506" i="7" s="1"/>
  <c r="AL500" i="7" a="1"/>
  <c r="AL500" i="7" s="1"/>
  <c r="AL505" i="7" a="1"/>
  <c r="AL505" i="7" s="1"/>
  <c r="AL501" i="7" a="1"/>
  <c r="AL501" i="7" s="1"/>
  <c r="AL527" i="7" a="1"/>
  <c r="AL527" i="7" s="1"/>
  <c r="AL524" i="7" a="1"/>
  <c r="AL524" i="7" s="1"/>
  <c r="AL520" i="7" a="1"/>
  <c r="AL520" i="7" s="1"/>
  <c r="AL517" i="7" a="1"/>
  <c r="AL517" i="7" s="1"/>
  <c r="AL504" i="7" a="1"/>
  <c r="AL504" i="7" s="1"/>
  <c r="AL530" i="7" a="1"/>
  <c r="AL530" i="7" s="1"/>
  <c r="AL526" i="7" a="1"/>
  <c r="AL526" i="7" s="1"/>
  <c r="AL523" i="7" a="1"/>
  <c r="AL523" i="7" s="1"/>
  <c r="AL519" i="7" a="1"/>
  <c r="AL519" i="7" s="1"/>
  <c r="AL516" i="7" a="1"/>
  <c r="AL516" i="7" s="1"/>
  <c r="AL483" i="7" a="1"/>
  <c r="AL483" i="7" s="1"/>
  <c r="AL480" i="7" a="1"/>
  <c r="AL480" i="7" s="1"/>
  <c r="AL499" i="7" a="1"/>
  <c r="AL499" i="7" s="1"/>
  <c r="AL479" i="7" a="1"/>
  <c r="AL479" i="7" s="1"/>
  <c r="AL477" i="7" a="1"/>
  <c r="AL477" i="7" s="1"/>
  <c r="AL476" i="7" a="1"/>
  <c r="AL476" i="7" s="1"/>
  <c r="AL474" i="7" a="1"/>
  <c r="AL474" i="7" s="1"/>
  <c r="AL472" i="7" a="1"/>
  <c r="AL472" i="7" s="1"/>
  <c r="AL522" i="7" a="1"/>
  <c r="AL522" i="7" s="1"/>
  <c r="AL496" i="7" a="1"/>
  <c r="AL496" i="7" s="1"/>
  <c r="AL482" i="7" a="1"/>
  <c r="AL482" i="7" s="1"/>
  <c r="AL525" i="7" a="1"/>
  <c r="AL525" i="7" s="1"/>
  <c r="AL503" i="7" a="1"/>
  <c r="AL503" i="7" s="1"/>
  <c r="AL497" i="7" a="1"/>
  <c r="AL497" i="7" s="1"/>
  <c r="AL466" i="7" a="1"/>
  <c r="AL466" i="7" s="1"/>
  <c r="AL465" i="7" a="1"/>
  <c r="AL465" i="7" s="1"/>
  <c r="AL464" i="7" a="1"/>
  <c r="AL464" i="7" s="1"/>
  <c r="AL463" i="7" a="1"/>
  <c r="AL463" i="7" s="1"/>
  <c r="AL462" i="7" a="1"/>
  <c r="AL462" i="7" s="1"/>
  <c r="AL461" i="7" a="1"/>
  <c r="AL461" i="7" s="1"/>
  <c r="AL460" i="7" a="1"/>
  <c r="AL460" i="7" s="1"/>
  <c r="AL459" i="7" a="1"/>
  <c r="AL459" i="7" s="1"/>
  <c r="AL458" i="7" a="1"/>
  <c r="AL458" i="7" s="1"/>
  <c r="AL454" i="7" a="1"/>
  <c r="AL454" i="7" s="1"/>
  <c r="AL451" i="7" a="1"/>
  <c r="AL451" i="7" s="1"/>
  <c r="AL447" i="7" a="1"/>
  <c r="AL447" i="7" s="1"/>
  <c r="AL444" i="7" a="1"/>
  <c r="AL444" i="7" s="1"/>
  <c r="AL437" i="7" a="1"/>
  <c r="AL437" i="7" s="1"/>
  <c r="AL434" i="7" a="1"/>
  <c r="AL434" i="7" s="1"/>
  <c r="AL486" i="7" a="1"/>
  <c r="AL486" i="7" s="1"/>
  <c r="AL532" i="7" a="1"/>
  <c r="AL532" i="7" s="1"/>
  <c r="AL498" i="7" a="1"/>
  <c r="AL498" i="7" s="1"/>
  <c r="AL467" i="7" a="1"/>
  <c r="AL467" i="7" s="1"/>
  <c r="AL430" i="7" a="1"/>
  <c r="AL430" i="7" s="1"/>
  <c r="AL427" i="7" a="1"/>
  <c r="AL427" i="7" s="1"/>
  <c r="AL423" i="7" a="1"/>
  <c r="AL423" i="7" s="1"/>
  <c r="AL420" i="7" a="1"/>
  <c r="AL420" i="7" s="1"/>
  <c r="AL529" i="7" a="1"/>
  <c r="AL529" i="7" s="1"/>
  <c r="AL471" i="7" a="1"/>
  <c r="AL471" i="7" s="1"/>
  <c r="AL457" i="7" a="1"/>
  <c r="AL457" i="7" s="1"/>
  <c r="AL453" i="7" a="1"/>
  <c r="AL453" i="7" s="1"/>
  <c r="AL450" i="7" a="1"/>
  <c r="AL450" i="7" s="1"/>
  <c r="AL443" i="7" a="1"/>
  <c r="AL443" i="7" s="1"/>
  <c r="AL440" i="7" a="1"/>
  <c r="AL440" i="7" s="1"/>
  <c r="AL436" i="7" a="1"/>
  <c r="AL436" i="7" s="1"/>
  <c r="AL433" i="7" a="1"/>
  <c r="AL433" i="7" s="1"/>
  <c r="AL493" i="7" a="1"/>
  <c r="AL493" i="7" s="1"/>
  <c r="AL491" i="7" a="1"/>
  <c r="AL491" i="7" s="1"/>
  <c r="AL481" i="7" a="1"/>
  <c r="AL481" i="7" s="1"/>
  <c r="AL489" i="7" a="1"/>
  <c r="AL489" i="7" s="1"/>
  <c r="AL487" i="7" a="1"/>
  <c r="AL487" i="7" s="1"/>
  <c r="AL484" i="7" a="1"/>
  <c r="AL484" i="7" s="1"/>
  <c r="AL475" i="7" a="1"/>
  <c r="AL475" i="7" s="1"/>
  <c r="AL468" i="7" a="1"/>
  <c r="AL468" i="7" s="1"/>
  <c r="AL431" i="7" a="1"/>
  <c r="AL431" i="7" s="1"/>
  <c r="AL428" i="7" a="1"/>
  <c r="AL428" i="7" s="1"/>
  <c r="AL456" i="7" a="1"/>
  <c r="AL456" i="7" s="1"/>
  <c r="AL449" i="7" a="1"/>
  <c r="AL449" i="7" s="1"/>
  <c r="AL446" i="7" a="1"/>
  <c r="AL446" i="7" s="1"/>
  <c r="AL442" i="7" a="1"/>
  <c r="AL442" i="7" s="1"/>
  <c r="AL439" i="7" a="1"/>
  <c r="AL439" i="7" s="1"/>
  <c r="AL435" i="7" a="1"/>
  <c r="AL435" i="7" s="1"/>
  <c r="AL469" i="7" a="1"/>
  <c r="AL469" i="7" s="1"/>
  <c r="AL488" i="7" a="1"/>
  <c r="AL488" i="7" s="1"/>
  <c r="AL485" i="7" a="1"/>
  <c r="AL485" i="7" s="1"/>
  <c r="AL478" i="7" a="1"/>
  <c r="AL478" i="7" s="1"/>
  <c r="AL473" i="7" a="1"/>
  <c r="AL473" i="7" s="1"/>
  <c r="AL455" i="7" a="1"/>
  <c r="AL455" i="7" s="1"/>
  <c r="AL452" i="7" a="1"/>
  <c r="AL452" i="7" s="1"/>
  <c r="AL448" i="7" a="1"/>
  <c r="AL448" i="7" s="1"/>
  <c r="AL445" i="7" a="1"/>
  <c r="AL445" i="7" s="1"/>
  <c r="AL441" i="7" a="1"/>
  <c r="AL441" i="7" s="1"/>
  <c r="AL490" i="7" a="1"/>
  <c r="AL490" i="7" s="1"/>
  <c r="AL432" i="7" a="1"/>
  <c r="AL432" i="7" s="1"/>
  <c r="AL422" i="7" a="1"/>
  <c r="AL422" i="7" s="1"/>
  <c r="AL421" i="7" a="1"/>
  <c r="AL421" i="7" s="1"/>
  <c r="AL424" i="7" a="1"/>
  <c r="AL424" i="7" s="1"/>
  <c r="AL426" i="7" a="1"/>
  <c r="AL426" i="7" s="1"/>
  <c r="AL419" i="7" a="1"/>
  <c r="AL419" i="7" s="1"/>
  <c r="AL495" i="7" a="1"/>
  <c r="AL495" i="7" s="1"/>
  <c r="AL470" i="7" a="1"/>
  <c r="AL470" i="7" s="1"/>
  <c r="AL418" i="7" a="1"/>
  <c r="AL418" i="7" s="1"/>
  <c r="AL494" i="7" a="1"/>
  <c r="AL494" i="7" s="1"/>
  <c r="AL438" i="7" a="1"/>
  <c r="AL438" i="7" s="1"/>
  <c r="AL425" i="7" a="1"/>
  <c r="AL425" i="7" s="1"/>
  <c r="AL492" i="7" a="1"/>
  <c r="AL492" i="7" s="1"/>
  <c r="AL417" i="7" a="1"/>
  <c r="AL417" i="7" s="1"/>
  <c r="AL429" i="7" a="1"/>
  <c r="AL429" i="7" s="1"/>
  <c r="AN413" i="7" a="1"/>
  <c r="AN413" i="7" s="1"/>
  <c r="AN410" i="7" a="1"/>
  <c r="AN410" i="7" s="1"/>
  <c r="AN406" i="7" a="1"/>
  <c r="AN406" i="7" s="1"/>
  <c r="AN403" i="7" a="1"/>
  <c r="AN403" i="7" s="1"/>
  <c r="AN399" i="7" a="1"/>
  <c r="AN399" i="7" s="1"/>
  <c r="AN396" i="7" a="1"/>
  <c r="AN396" i="7" s="1"/>
  <c r="AN395" i="7" a="1"/>
  <c r="AN395" i="7" s="1"/>
  <c r="AN394" i="7" a="1"/>
  <c r="AN394" i="7" s="1"/>
  <c r="AN414" i="7" a="1"/>
  <c r="AN414" i="7" s="1"/>
  <c r="AN407" i="7" a="1"/>
  <c r="AN407" i="7" s="1"/>
  <c r="AN404" i="7" a="1"/>
  <c r="AN404" i="7" s="1"/>
  <c r="AN400" i="7" a="1"/>
  <c r="AN400" i="7" s="1"/>
  <c r="AN397" i="7" a="1"/>
  <c r="AN397" i="7" s="1"/>
  <c r="AN415" i="7" a="1"/>
  <c r="AN415" i="7" s="1"/>
  <c r="AN411" i="7" a="1"/>
  <c r="AN411" i="7" s="1"/>
  <c r="AN408" i="7" a="1"/>
  <c r="AN408" i="7" s="1"/>
  <c r="AN401" i="7" a="1"/>
  <c r="AN401" i="7" s="1"/>
  <c r="AN398" i="7" a="1"/>
  <c r="AN398" i="7" s="1"/>
  <c r="AN416" i="7" a="1"/>
  <c r="AN416" i="7" s="1"/>
  <c r="AN412" i="7" a="1"/>
  <c r="AN412" i="7" s="1"/>
  <c r="AN409" i="7" a="1"/>
  <c r="AN409" i="7" s="1"/>
  <c r="AN405" i="7" a="1"/>
  <c r="AN405" i="7" s="1"/>
  <c r="AN402" i="7" a="1"/>
  <c r="AN402" i="7" s="1"/>
  <c r="AN393" i="7" a="1"/>
  <c r="AN393" i="7" s="1"/>
  <c r="AN392" i="7" a="1"/>
  <c r="AN392" i="7" s="1"/>
  <c r="AN385" i="7" a="1"/>
  <c r="AN385" i="7" s="1"/>
  <c r="AN381" i="7" a="1"/>
  <c r="AN381" i="7" s="1"/>
  <c r="AN378" i="7" a="1"/>
  <c r="AN378" i="7" s="1"/>
  <c r="AN371" i="7" a="1"/>
  <c r="AN371" i="7" s="1"/>
  <c r="AN368" i="7" a="1"/>
  <c r="AN368" i="7" s="1"/>
  <c r="AN364" i="7" a="1"/>
  <c r="AN364" i="7" s="1"/>
  <c r="AN361" i="7" a="1"/>
  <c r="AN361" i="7" s="1"/>
  <c r="AN357" i="7" a="1"/>
  <c r="AN357" i="7" s="1"/>
  <c r="AN354" i="7" a="1"/>
  <c r="AN354" i="7" s="1"/>
  <c r="AN347" i="7" a="1"/>
  <c r="AN347" i="7" s="1"/>
  <c r="AN344" i="7" a="1"/>
  <c r="AN344" i="7" s="1"/>
  <c r="AN340" i="7" a="1"/>
  <c r="AN340" i="7" s="1"/>
  <c r="AN337" i="7" a="1"/>
  <c r="AN337" i="7" s="1"/>
  <c r="AN333" i="7" a="1"/>
  <c r="AN333" i="7" s="1"/>
  <c r="AN330" i="7" a="1"/>
  <c r="AN330" i="7" s="1"/>
  <c r="AN323" i="7" a="1"/>
  <c r="AN323" i="7" s="1"/>
  <c r="AN320" i="7" a="1"/>
  <c r="AN320" i="7" s="1"/>
  <c r="AN316" i="7" a="1"/>
  <c r="AN316" i="7" s="1"/>
  <c r="AN388" i="7" a="1"/>
  <c r="AN388" i="7" s="1"/>
  <c r="AN379" i="7" a="1"/>
  <c r="AN379" i="7" s="1"/>
  <c r="AN375" i="7" a="1"/>
  <c r="AN375" i="7" s="1"/>
  <c r="AN372" i="7" a="1"/>
  <c r="AN372" i="7" s="1"/>
  <c r="AN365" i="7" a="1"/>
  <c r="AN365" i="7" s="1"/>
  <c r="AN362" i="7" a="1"/>
  <c r="AN362" i="7" s="1"/>
  <c r="AN358" i="7" a="1"/>
  <c r="AN358" i="7" s="1"/>
  <c r="AN355" i="7" a="1"/>
  <c r="AN355" i="7" s="1"/>
  <c r="AN351" i="7" a="1"/>
  <c r="AN351" i="7" s="1"/>
  <c r="AN348" i="7" a="1"/>
  <c r="AN348" i="7" s="1"/>
  <c r="AN341" i="7" a="1"/>
  <c r="AN341" i="7" s="1"/>
  <c r="AN338" i="7" a="1"/>
  <c r="AN338" i="7" s="1"/>
  <c r="AN334" i="7" a="1"/>
  <c r="AN334" i="7" s="1"/>
  <c r="AN331" i="7" a="1"/>
  <c r="AN331" i="7" s="1"/>
  <c r="AN390" i="7" a="1"/>
  <c r="AN390" i="7" s="1"/>
  <c r="AN382" i="7" a="1"/>
  <c r="AN382" i="7" s="1"/>
  <c r="AN384" i="7" a="1"/>
  <c r="AN384" i="7" s="1"/>
  <c r="AN380" i="7" a="1"/>
  <c r="AN380" i="7" s="1"/>
  <c r="AN376" i="7" a="1"/>
  <c r="AN376" i="7" s="1"/>
  <c r="AN373" i="7" a="1"/>
  <c r="AN373" i="7" s="1"/>
  <c r="AN369" i="7" a="1"/>
  <c r="AN369" i="7" s="1"/>
  <c r="AN366" i="7" a="1"/>
  <c r="AN366" i="7" s="1"/>
  <c r="AN359" i="7" a="1"/>
  <c r="AN359" i="7" s="1"/>
  <c r="AN356" i="7" a="1"/>
  <c r="AN356" i="7" s="1"/>
  <c r="AN352" i="7" a="1"/>
  <c r="AN352" i="7" s="1"/>
  <c r="AN349" i="7" a="1"/>
  <c r="AN349" i="7" s="1"/>
  <c r="AN345" i="7" a="1"/>
  <c r="AN345" i="7" s="1"/>
  <c r="AN342" i="7" a="1"/>
  <c r="AN342" i="7" s="1"/>
  <c r="AN335" i="7" a="1"/>
  <c r="AN335" i="7" s="1"/>
  <c r="AN332" i="7" a="1"/>
  <c r="AN332" i="7" s="1"/>
  <c r="AN328" i="7" a="1"/>
  <c r="AN328" i="7" s="1"/>
  <c r="AN325" i="7" a="1"/>
  <c r="AN325" i="7" s="1"/>
  <c r="AN321" i="7" a="1"/>
  <c r="AN321" i="7" s="1"/>
  <c r="AN318" i="7" a="1"/>
  <c r="AN318" i="7" s="1"/>
  <c r="AN386" i="7" a="1"/>
  <c r="AN386" i="7" s="1"/>
  <c r="AN391" i="7" a="1"/>
  <c r="AN391" i="7" s="1"/>
  <c r="AN389" i="7" a="1"/>
  <c r="AN389" i="7" s="1"/>
  <c r="AN377" i="7" a="1"/>
  <c r="AN377" i="7" s="1"/>
  <c r="AN374" i="7" a="1"/>
  <c r="AN374" i="7" s="1"/>
  <c r="AN370" i="7" a="1"/>
  <c r="AN370" i="7" s="1"/>
  <c r="AN367" i="7" a="1"/>
  <c r="AN367" i="7" s="1"/>
  <c r="AN363" i="7" a="1"/>
  <c r="AN363" i="7" s="1"/>
  <c r="AN360" i="7" a="1"/>
  <c r="AN360" i="7" s="1"/>
  <c r="AN353" i="7" a="1"/>
  <c r="AN353" i="7" s="1"/>
  <c r="AN350" i="7" a="1"/>
  <c r="AN350" i="7" s="1"/>
  <c r="AN346" i="7" a="1"/>
  <c r="AN346" i="7" s="1"/>
  <c r="AN343" i="7" a="1"/>
  <c r="AN343" i="7" s="1"/>
  <c r="AN339" i="7" a="1"/>
  <c r="AN339" i="7" s="1"/>
  <c r="AN326" i="7" a="1"/>
  <c r="AN326" i="7" s="1"/>
  <c r="AN313" i="7" a="1"/>
  <c r="AN313" i="7" s="1"/>
  <c r="AN383" i="7" a="1"/>
  <c r="AN383" i="7" s="1"/>
  <c r="AN329" i="7" a="1"/>
  <c r="AN329" i="7" s="1"/>
  <c r="AN311" i="7" a="1"/>
  <c r="AN311" i="7" s="1"/>
  <c r="AN303" i="7" a="1"/>
  <c r="AN303" i="7" s="1"/>
  <c r="AN387" i="7" a="1"/>
  <c r="AN387" i="7" s="1"/>
  <c r="AN307" i="7" a="1"/>
  <c r="AN307" i="7" s="1"/>
  <c r="AN308" i="7" a="1"/>
  <c r="AN308" i="7" s="1"/>
  <c r="AN336" i="7" a="1"/>
  <c r="AN336" i="7" s="1"/>
  <c r="AN304" i="7" a="1"/>
  <c r="AN304" i="7" s="1"/>
  <c r="AN322" i="7" a="1"/>
  <c r="AN322" i="7" s="1"/>
  <c r="AN305" i="7" a="1"/>
  <c r="AN305" i="7" s="1"/>
  <c r="AN324" i="7" a="1"/>
  <c r="AN324" i="7" s="1"/>
  <c r="AN314" i="7" a="1"/>
  <c r="AN314" i="7" s="1"/>
  <c r="AN312" i="7" a="1"/>
  <c r="AN312" i="7" s="1"/>
  <c r="AN306" i="7" a="1"/>
  <c r="AN306" i="7" s="1"/>
  <c r="AN310" i="7" a="1"/>
  <c r="AN310" i="7" s="1"/>
  <c r="AN327" i="7" a="1"/>
  <c r="AN327" i="7" s="1"/>
  <c r="AN319" i="7" a="1"/>
  <c r="AN319" i="7" s="1"/>
  <c r="AN317" i="7" a="1"/>
  <c r="AN317" i="7" s="1"/>
  <c r="AN295" i="7" a="1"/>
  <c r="AN295" i="7" s="1"/>
  <c r="AN293" i="7" a="1"/>
  <c r="AN293" i="7" s="1"/>
  <c r="AN291" i="7" a="1"/>
  <c r="AN291" i="7" s="1"/>
  <c r="AN290" i="7" a="1"/>
  <c r="AN290" i="7" s="1"/>
  <c r="AN287" i="7" a="1"/>
  <c r="AN287" i="7" s="1"/>
  <c r="AN285" i="7" a="1"/>
  <c r="AN285" i="7" s="1"/>
  <c r="AN302" i="7" a="1"/>
  <c r="AN302" i="7" s="1"/>
  <c r="AN301" i="7" a="1"/>
  <c r="AN301" i="7" s="1"/>
  <c r="AN300" i="7" a="1"/>
  <c r="AN300" i="7" s="1"/>
  <c r="AN299" i="7" a="1"/>
  <c r="AN299" i="7" s="1"/>
  <c r="AN298" i="7" a="1"/>
  <c r="AN298" i="7" s="1"/>
  <c r="AN297" i="7" a="1"/>
  <c r="AN297" i="7" s="1"/>
  <c r="AN296" i="7" a="1"/>
  <c r="AN296" i="7" s="1"/>
  <c r="AN294" i="7" a="1"/>
  <c r="AN294" i="7" s="1"/>
  <c r="AN292" i="7" a="1"/>
  <c r="AN292" i="7" s="1"/>
  <c r="AN289" i="7" a="1"/>
  <c r="AN289" i="7" s="1"/>
  <c r="AN288" i="7" a="1"/>
  <c r="AN288" i="7" s="1"/>
  <c r="AN286" i="7" a="1"/>
  <c r="AN286" i="7" s="1"/>
  <c r="AN315" i="7" a="1"/>
  <c r="AN315" i="7" s="1"/>
  <c r="AN309" i="7" a="1"/>
  <c r="AN309" i="7" s="1"/>
  <c r="AY547" i="7" a="1"/>
  <c r="AY547" i="7" s="1"/>
  <c r="AY545" i="7" a="1"/>
  <c r="AY545" i="7" s="1"/>
  <c r="AY543" i="7" a="1"/>
  <c r="AY543" i="7" s="1"/>
  <c r="AY542" i="7" a="1"/>
  <c r="AY542" i="7" s="1"/>
  <c r="AY540" i="7" a="1"/>
  <c r="AY540" i="7" s="1"/>
  <c r="AY538" i="7" a="1"/>
  <c r="AY538" i="7" s="1"/>
  <c r="AY535" i="7" a="1"/>
  <c r="AY535" i="7" s="1"/>
  <c r="AY533" i="7" a="1"/>
  <c r="AY533" i="7" s="1"/>
  <c r="AY514" i="7" a="1"/>
  <c r="AY514" i="7" s="1"/>
  <c r="AY513" i="7" a="1"/>
  <c r="AY513" i="7" s="1"/>
  <c r="AY512" i="7" a="1"/>
  <c r="AY512" i="7" s="1"/>
  <c r="AY511" i="7" a="1"/>
  <c r="AY511" i="7" s="1"/>
  <c r="AY510" i="7" a="1"/>
  <c r="AY510" i="7" s="1"/>
  <c r="AY509" i="7" a="1"/>
  <c r="AY509" i="7" s="1"/>
  <c r="AY508" i="7" a="1"/>
  <c r="AY508" i="7" s="1"/>
  <c r="AY507" i="7" a="1"/>
  <c r="AY507" i="7" s="1"/>
  <c r="AY506" i="7" a="1"/>
  <c r="AY506" i="7" s="1"/>
  <c r="AY505" i="7" a="1"/>
  <c r="AY505" i="7" s="1"/>
  <c r="AY548" i="7" a="1"/>
  <c r="AY548" i="7" s="1"/>
  <c r="AY546" i="7" a="1"/>
  <c r="AY546" i="7" s="1"/>
  <c r="AY544" i="7" a="1"/>
  <c r="AY544" i="7" s="1"/>
  <c r="AY541" i="7" a="1"/>
  <c r="AY541" i="7" s="1"/>
  <c r="AY539" i="7" a="1"/>
  <c r="AY539" i="7" s="1"/>
  <c r="AY537" i="7" a="1"/>
  <c r="AY537" i="7" s="1"/>
  <c r="AY536" i="7" a="1"/>
  <c r="AY536" i="7" s="1"/>
  <c r="AY534" i="7" a="1"/>
  <c r="AY534" i="7" s="1"/>
  <c r="AY529" i="7" a="1"/>
  <c r="AY529" i="7" s="1"/>
  <c r="AY525" i="7" a="1"/>
  <c r="AY525" i="7" s="1"/>
  <c r="AY522" i="7" a="1"/>
  <c r="AY522" i="7" s="1"/>
  <c r="AY515" i="7" a="1"/>
  <c r="AY515" i="7" s="1"/>
  <c r="AY503" i="7" a="1"/>
  <c r="AY503" i="7" s="1"/>
  <c r="AY532" i="7" a="1"/>
  <c r="AY532" i="7" s="1"/>
  <c r="AY531" i="7" a="1"/>
  <c r="AY531" i="7" s="1"/>
  <c r="AY528" i="7" a="1"/>
  <c r="AY528" i="7" s="1"/>
  <c r="AY521" i="7" a="1"/>
  <c r="AY521" i="7" s="1"/>
  <c r="AY518" i="7" a="1"/>
  <c r="AY518" i="7" s="1"/>
  <c r="AY502" i="7" a="1"/>
  <c r="AY502" i="7" s="1"/>
  <c r="AY500" i="7" a="1"/>
  <c r="AY500" i="7" s="1"/>
  <c r="AY527" i="7" a="1"/>
  <c r="AY527" i="7" s="1"/>
  <c r="AY524" i="7" a="1"/>
  <c r="AY524" i="7" s="1"/>
  <c r="AY520" i="7" a="1"/>
  <c r="AY520" i="7" s="1"/>
  <c r="AY517" i="7" a="1"/>
  <c r="AY517" i="7" s="1"/>
  <c r="AY501" i="7" a="1"/>
  <c r="AY501" i="7" s="1"/>
  <c r="AY530" i="7" a="1"/>
  <c r="AY530" i="7" s="1"/>
  <c r="AY526" i="7" a="1"/>
  <c r="AY526" i="7" s="1"/>
  <c r="AY523" i="7" a="1"/>
  <c r="AY523" i="7" s="1"/>
  <c r="AY519" i="7" a="1"/>
  <c r="AY519" i="7" s="1"/>
  <c r="AY516" i="7" a="1"/>
  <c r="AY516" i="7" s="1"/>
  <c r="AY498" i="7" a="1"/>
  <c r="AY498" i="7" s="1"/>
  <c r="AY497" i="7" a="1"/>
  <c r="AY497" i="7" s="1"/>
  <c r="AY496" i="7" a="1"/>
  <c r="AY496" i="7" s="1"/>
  <c r="AY478" i="7" a="1"/>
  <c r="AY478" i="7" s="1"/>
  <c r="AY475" i="7" a="1"/>
  <c r="AY475" i="7" s="1"/>
  <c r="AY473" i="7" a="1"/>
  <c r="AY473" i="7" s="1"/>
  <c r="AY471" i="7" a="1"/>
  <c r="AY471" i="7" s="1"/>
  <c r="AY504" i="7" a="1"/>
  <c r="AY504" i="7" s="1"/>
  <c r="AY481" i="7" a="1"/>
  <c r="AY481" i="7" s="1"/>
  <c r="AY470" i="7" a="1"/>
  <c r="AY470" i="7" s="1"/>
  <c r="AY469" i="7" a="1"/>
  <c r="AY469" i="7" s="1"/>
  <c r="AY468" i="7" a="1"/>
  <c r="AY468" i="7" s="1"/>
  <c r="AY467" i="7" a="1"/>
  <c r="AY467" i="7" s="1"/>
  <c r="AY466" i="7" a="1"/>
  <c r="AY466" i="7" s="1"/>
  <c r="AY465" i="7" a="1"/>
  <c r="AY465" i="7" s="1"/>
  <c r="AY464" i="7" a="1"/>
  <c r="AY464" i="7" s="1"/>
  <c r="AY463" i="7" a="1"/>
  <c r="AY463" i="7" s="1"/>
  <c r="AY462" i="7" a="1"/>
  <c r="AY462" i="7" s="1"/>
  <c r="AY461" i="7" a="1"/>
  <c r="AY461" i="7" s="1"/>
  <c r="AY460" i="7" a="1"/>
  <c r="AY460" i="7" s="1"/>
  <c r="AY459" i="7" a="1"/>
  <c r="AY459" i="7" s="1"/>
  <c r="AY458" i="7" a="1"/>
  <c r="AY458" i="7" s="1"/>
  <c r="AY494" i="7" a="1"/>
  <c r="AY494" i="7" s="1"/>
  <c r="AY493" i="7" a="1"/>
  <c r="AY493" i="7" s="1"/>
  <c r="AY492" i="7" a="1"/>
  <c r="AY492" i="7" s="1"/>
  <c r="AY491" i="7" a="1"/>
  <c r="AY491" i="7" s="1"/>
  <c r="AY490" i="7" a="1"/>
  <c r="AY490" i="7" s="1"/>
  <c r="AY489" i="7" a="1"/>
  <c r="AY489" i="7" s="1"/>
  <c r="AY488" i="7" a="1"/>
  <c r="AY488" i="7" s="1"/>
  <c r="AY487" i="7" a="1"/>
  <c r="AY487" i="7" s="1"/>
  <c r="AY486" i="7" a="1"/>
  <c r="AY486" i="7" s="1"/>
  <c r="AY485" i="7" a="1"/>
  <c r="AY485" i="7" s="1"/>
  <c r="AY484" i="7" a="1"/>
  <c r="AY484" i="7" s="1"/>
  <c r="AY483" i="7" a="1"/>
  <c r="AY483" i="7" s="1"/>
  <c r="AY480" i="7" a="1"/>
  <c r="AY480" i="7" s="1"/>
  <c r="AY477" i="7" a="1"/>
  <c r="AY477" i="7" s="1"/>
  <c r="AY476" i="7" a="1"/>
  <c r="AY476" i="7" s="1"/>
  <c r="AY474" i="7" a="1"/>
  <c r="AY474" i="7" s="1"/>
  <c r="AY479" i="7" a="1"/>
  <c r="AY479" i="7" s="1"/>
  <c r="AY499" i="7" a="1"/>
  <c r="AY499" i="7" s="1"/>
  <c r="AY472" i="7" a="1"/>
  <c r="AY472" i="7" s="1"/>
  <c r="AY482" i="7" a="1"/>
  <c r="AY482" i="7" s="1"/>
  <c r="AY455" i="7" a="1"/>
  <c r="AY455" i="7" s="1"/>
  <c r="AY452" i="7" a="1"/>
  <c r="AY452" i="7" s="1"/>
  <c r="AY448" i="7" a="1"/>
  <c r="AY448" i="7" s="1"/>
  <c r="AY445" i="7" a="1"/>
  <c r="AY445" i="7" s="1"/>
  <c r="AY441" i="7" a="1"/>
  <c r="AY441" i="7" s="1"/>
  <c r="AY438" i="7" a="1"/>
  <c r="AY438" i="7" s="1"/>
  <c r="AY430" i="7" a="1"/>
  <c r="AY430" i="7" s="1"/>
  <c r="AY427" i="7" a="1"/>
  <c r="AY427" i="7" s="1"/>
  <c r="AY423" i="7" a="1"/>
  <c r="AY423" i="7" s="1"/>
  <c r="AY420" i="7" a="1"/>
  <c r="AY420" i="7" s="1"/>
  <c r="AY454" i="7" a="1"/>
  <c r="AY454" i="7" s="1"/>
  <c r="AY451" i="7" a="1"/>
  <c r="AY451" i="7" s="1"/>
  <c r="AY447" i="7" a="1"/>
  <c r="AY447" i="7" s="1"/>
  <c r="AY444" i="7" a="1"/>
  <c r="AY444" i="7" s="1"/>
  <c r="AY437" i="7" a="1"/>
  <c r="AY437" i="7" s="1"/>
  <c r="AY434" i="7" a="1"/>
  <c r="AY434" i="7" s="1"/>
  <c r="AY431" i="7" a="1"/>
  <c r="AY431" i="7" s="1"/>
  <c r="AY428" i="7" a="1"/>
  <c r="AY428" i="7" s="1"/>
  <c r="AY495" i="7" a="1"/>
  <c r="AY495" i="7" s="1"/>
  <c r="AY457" i="7" a="1"/>
  <c r="AY457" i="7" s="1"/>
  <c r="AY453" i="7" a="1"/>
  <c r="AY453" i="7" s="1"/>
  <c r="AY450" i="7" a="1"/>
  <c r="AY450" i="7" s="1"/>
  <c r="AY442" i="7" a="1"/>
  <c r="AY442" i="7" s="1"/>
  <c r="AY424" i="7" a="1"/>
  <c r="AY424" i="7" s="1"/>
  <c r="AY417" i="7" a="1"/>
  <c r="AY417" i="7" s="1"/>
  <c r="AY429" i="7" a="1"/>
  <c r="AY429" i="7" s="1"/>
  <c r="AY443" i="7" a="1"/>
  <c r="AY443" i="7" s="1"/>
  <c r="AY426" i="7" a="1"/>
  <c r="AY426" i="7" s="1"/>
  <c r="AY456" i="7" a="1"/>
  <c r="AY456" i="7" s="1"/>
  <c r="AY449" i="7" a="1"/>
  <c r="AY449" i="7" s="1"/>
  <c r="AY439" i="7" a="1"/>
  <c r="AY439" i="7" s="1"/>
  <c r="AY435" i="7" a="1"/>
  <c r="AY435" i="7" s="1"/>
  <c r="AY432" i="7" a="1"/>
  <c r="AY432" i="7" s="1"/>
  <c r="AY440" i="7" a="1"/>
  <c r="AY440" i="7" s="1"/>
  <c r="AY436" i="7" a="1"/>
  <c r="AY436" i="7" s="1"/>
  <c r="AY433" i="7" a="1"/>
  <c r="AY433" i="7" s="1"/>
  <c r="AY425" i="7" a="1"/>
  <c r="AY425" i="7" s="1"/>
  <c r="AY422" i="7" a="1"/>
  <c r="AY422" i="7" s="1"/>
  <c r="AY421" i="7" a="1"/>
  <c r="AY421" i="7" s="1"/>
  <c r="AY446" i="7" a="1"/>
  <c r="AY446" i="7" s="1"/>
  <c r="AY418" i="7" a="1"/>
  <c r="AY418" i="7" s="1"/>
  <c r="AY419" i="7" a="1"/>
  <c r="AY419" i="7" s="1"/>
  <c r="AN548" i="7" a="1"/>
  <c r="AN548" i="7" s="1"/>
  <c r="AN546" i="7" a="1"/>
  <c r="AN546" i="7" s="1"/>
  <c r="AN544" i="7" a="1"/>
  <c r="AN544" i="7" s="1"/>
  <c r="AN541" i="7" a="1"/>
  <c r="AN541" i="7" s="1"/>
  <c r="AN539" i="7" a="1"/>
  <c r="AN539" i="7" s="1"/>
  <c r="AN537" i="7" a="1"/>
  <c r="AN537" i="7" s="1"/>
  <c r="AN536" i="7" a="1"/>
  <c r="AN536" i="7" s="1"/>
  <c r="AN534" i="7" a="1"/>
  <c r="AN534" i="7" s="1"/>
  <c r="AN515" i="7" a="1"/>
  <c r="AN515" i="7" s="1"/>
  <c r="AN514" i="7" a="1"/>
  <c r="AN514" i="7" s="1"/>
  <c r="AN513" i="7" a="1"/>
  <c r="AN513" i="7" s="1"/>
  <c r="AN512" i="7" a="1"/>
  <c r="AN512" i="7" s="1"/>
  <c r="AN511" i="7" a="1"/>
  <c r="AN511" i="7" s="1"/>
  <c r="AN510" i="7" a="1"/>
  <c r="AN510" i="7" s="1"/>
  <c r="AN509" i="7" a="1"/>
  <c r="AN509" i="7" s="1"/>
  <c r="AN508" i="7" a="1"/>
  <c r="AN508" i="7" s="1"/>
  <c r="AN507" i="7" a="1"/>
  <c r="AN507" i="7" s="1"/>
  <c r="AN506" i="7" a="1"/>
  <c r="AN506" i="7" s="1"/>
  <c r="AN505" i="7" a="1"/>
  <c r="AN505" i="7" s="1"/>
  <c r="AN504" i="7" a="1"/>
  <c r="AN504" i="7" s="1"/>
  <c r="AN503" i="7" a="1"/>
  <c r="AN503" i="7" s="1"/>
  <c r="AN502" i="7" a="1"/>
  <c r="AN502" i="7" s="1"/>
  <c r="AN501" i="7" a="1"/>
  <c r="AN501" i="7" s="1"/>
  <c r="AN500" i="7" a="1"/>
  <c r="AN500" i="7" s="1"/>
  <c r="AN547" i="7" a="1"/>
  <c r="AN547" i="7" s="1"/>
  <c r="AN545" i="7" a="1"/>
  <c r="AN545" i="7" s="1"/>
  <c r="AN543" i="7" a="1"/>
  <c r="AN543" i="7" s="1"/>
  <c r="AN542" i="7" a="1"/>
  <c r="AN542" i="7" s="1"/>
  <c r="AN540" i="7" a="1"/>
  <c r="AN540" i="7" s="1"/>
  <c r="AN538" i="7" a="1"/>
  <c r="AN538" i="7" s="1"/>
  <c r="AN535" i="7" a="1"/>
  <c r="AN535" i="7" s="1"/>
  <c r="AN531" i="7" a="1"/>
  <c r="AN531" i="7" s="1"/>
  <c r="AN528" i="7" a="1"/>
  <c r="AN528" i="7" s="1"/>
  <c r="AN521" i="7" a="1"/>
  <c r="AN521" i="7" s="1"/>
  <c r="AN518" i="7" a="1"/>
  <c r="AN518" i="7" s="1"/>
  <c r="AN533" i="7" a="1"/>
  <c r="AN533" i="7" s="1"/>
  <c r="AN527" i="7" a="1"/>
  <c r="AN527" i="7" s="1"/>
  <c r="AN524" i="7" a="1"/>
  <c r="AN524" i="7" s="1"/>
  <c r="AN520" i="7" a="1"/>
  <c r="AN520" i="7" s="1"/>
  <c r="AN517" i="7" a="1"/>
  <c r="AN517" i="7" s="1"/>
  <c r="AN530" i="7" a="1"/>
  <c r="AN530" i="7" s="1"/>
  <c r="AN526" i="7" a="1"/>
  <c r="AN526" i="7" s="1"/>
  <c r="AN523" i="7" a="1"/>
  <c r="AN523" i="7" s="1"/>
  <c r="AN519" i="7" a="1"/>
  <c r="AN519" i="7" s="1"/>
  <c r="AN516" i="7" a="1"/>
  <c r="AN516" i="7" s="1"/>
  <c r="AN499" i="7" a="1"/>
  <c r="AN499" i="7" s="1"/>
  <c r="AN498" i="7" a="1"/>
  <c r="AN498" i="7" s="1"/>
  <c r="AN497" i="7" a="1"/>
  <c r="AN497" i="7" s="1"/>
  <c r="AN496" i="7" a="1"/>
  <c r="AN496" i="7" s="1"/>
  <c r="AN532" i="7" a="1"/>
  <c r="AN532" i="7" s="1"/>
  <c r="AN529" i="7" a="1"/>
  <c r="AN529" i="7" s="1"/>
  <c r="AN525" i="7" a="1"/>
  <c r="AN525" i="7" s="1"/>
  <c r="AN522" i="7" a="1"/>
  <c r="AN522" i="7" s="1"/>
  <c r="AN479" i="7" a="1"/>
  <c r="AN479" i="7" s="1"/>
  <c r="AN477" i="7" a="1"/>
  <c r="AN477" i="7" s="1"/>
  <c r="AN476" i="7" a="1"/>
  <c r="AN476" i="7" s="1"/>
  <c r="AN474" i="7" a="1"/>
  <c r="AN474" i="7" s="1"/>
  <c r="AN472" i="7" a="1"/>
  <c r="AN472" i="7" s="1"/>
  <c r="AN482" i="7" a="1"/>
  <c r="AN482" i="7" s="1"/>
  <c r="AN481" i="7" a="1"/>
  <c r="AN481" i="7" s="1"/>
  <c r="AN494" i="7" a="1"/>
  <c r="AN494" i="7" s="1"/>
  <c r="AN493" i="7" a="1"/>
  <c r="AN493" i="7" s="1"/>
  <c r="AN492" i="7" a="1"/>
  <c r="AN492" i="7" s="1"/>
  <c r="AN491" i="7" a="1"/>
  <c r="AN491" i="7" s="1"/>
  <c r="AN490" i="7" a="1"/>
  <c r="AN490" i="7" s="1"/>
  <c r="AN489" i="7" a="1"/>
  <c r="AN489" i="7" s="1"/>
  <c r="AN488" i="7" a="1"/>
  <c r="AN488" i="7" s="1"/>
  <c r="AN487" i="7" a="1"/>
  <c r="AN487" i="7" s="1"/>
  <c r="AN486" i="7" a="1"/>
  <c r="AN486" i="7" s="1"/>
  <c r="AN485" i="7" a="1"/>
  <c r="AN485" i="7" s="1"/>
  <c r="AN484" i="7" a="1"/>
  <c r="AN484" i="7" s="1"/>
  <c r="AN478" i="7" a="1"/>
  <c r="AN478" i="7" s="1"/>
  <c r="AN475" i="7" a="1"/>
  <c r="AN475" i="7" s="1"/>
  <c r="AN473" i="7" a="1"/>
  <c r="AN473" i="7" s="1"/>
  <c r="AN471" i="7" a="1"/>
  <c r="AN471" i="7" s="1"/>
  <c r="AN495" i="7" a="1"/>
  <c r="AN495" i="7" s="1"/>
  <c r="AN483" i="7" a="1"/>
  <c r="AN483" i="7" s="1"/>
  <c r="AN480" i="7" a="1"/>
  <c r="AN480" i="7" s="1"/>
  <c r="AN467" i="7" a="1"/>
  <c r="AN467" i="7" s="1"/>
  <c r="AN457" i="7" a="1"/>
  <c r="AN457" i="7" s="1"/>
  <c r="AN453" i="7" a="1"/>
  <c r="AN453" i="7" s="1"/>
  <c r="AN450" i="7" a="1"/>
  <c r="AN450" i="7" s="1"/>
  <c r="AN443" i="7" a="1"/>
  <c r="AN443" i="7" s="1"/>
  <c r="AN440" i="7" a="1"/>
  <c r="AN440" i="7" s="1"/>
  <c r="AN436" i="7" a="1"/>
  <c r="AN436" i="7" s="1"/>
  <c r="AN433" i="7" a="1"/>
  <c r="AN433" i="7" s="1"/>
  <c r="AN431" i="7" a="1"/>
  <c r="AN431" i="7" s="1"/>
  <c r="AN428" i="7" a="1"/>
  <c r="AN428" i="7" s="1"/>
  <c r="AN468" i="7" a="1"/>
  <c r="AN468" i="7" s="1"/>
  <c r="AN456" i="7" a="1"/>
  <c r="AN456" i="7" s="1"/>
  <c r="AN449" i="7" a="1"/>
  <c r="AN449" i="7" s="1"/>
  <c r="AN446" i="7" a="1"/>
  <c r="AN446" i="7" s="1"/>
  <c r="AN442" i="7" a="1"/>
  <c r="AN442" i="7" s="1"/>
  <c r="AN439" i="7" a="1"/>
  <c r="AN439" i="7" s="1"/>
  <c r="AN435" i="7" a="1"/>
  <c r="AN435" i="7" s="1"/>
  <c r="AN432" i="7" a="1"/>
  <c r="AN432" i="7" s="1"/>
  <c r="AN425" i="7" a="1"/>
  <c r="AN425" i="7" s="1"/>
  <c r="AN422" i="7" a="1"/>
  <c r="AN422" i="7" s="1"/>
  <c r="AN469" i="7" a="1"/>
  <c r="AN469" i="7" s="1"/>
  <c r="AN455" i="7" a="1"/>
  <c r="AN455" i="7" s="1"/>
  <c r="AN452" i="7" a="1"/>
  <c r="AN452" i="7" s="1"/>
  <c r="AN448" i="7" a="1"/>
  <c r="AN448" i="7" s="1"/>
  <c r="AN445" i="7" a="1"/>
  <c r="AN445" i="7" s="1"/>
  <c r="AN441" i="7" a="1"/>
  <c r="AN441" i="7" s="1"/>
  <c r="AN438" i="7" a="1"/>
  <c r="AN438" i="7" s="1"/>
  <c r="AN429" i="7" a="1"/>
  <c r="AN429" i="7" s="1"/>
  <c r="AN451" i="7" a="1"/>
  <c r="AN451" i="7" s="1"/>
  <c r="AN427" i="7" a="1"/>
  <c r="AN427" i="7" s="1"/>
  <c r="AN423" i="7" a="1"/>
  <c r="AN423" i="7" s="1"/>
  <c r="AN465" i="7" a="1"/>
  <c r="AN465" i="7" s="1"/>
  <c r="AN463" i="7" a="1"/>
  <c r="AN463" i="7" s="1"/>
  <c r="AN460" i="7" a="1"/>
  <c r="AN460" i="7" s="1"/>
  <c r="AN458" i="7" a="1"/>
  <c r="AN458" i="7" s="1"/>
  <c r="AN426" i="7" a="1"/>
  <c r="AN426" i="7" s="1"/>
  <c r="AN421" i="7" a="1"/>
  <c r="AN421" i="7" s="1"/>
  <c r="AN420" i="7" a="1"/>
  <c r="AN420" i="7" s="1"/>
  <c r="AN419" i="7" a="1"/>
  <c r="AN419" i="7" s="1"/>
  <c r="AN444" i="7" a="1"/>
  <c r="AN444" i="7" s="1"/>
  <c r="AN424" i="7" a="1"/>
  <c r="AN424" i="7" s="1"/>
  <c r="AN418" i="7" a="1"/>
  <c r="AN418" i="7" s="1"/>
  <c r="AN462" i="7" a="1"/>
  <c r="AN462" i="7" s="1"/>
  <c r="AN459" i="7" a="1"/>
  <c r="AN459" i="7" s="1"/>
  <c r="AN470" i="7" a="1"/>
  <c r="AN470" i="7" s="1"/>
  <c r="AN454" i="7" a="1"/>
  <c r="AN454" i="7" s="1"/>
  <c r="AN437" i="7" a="1"/>
  <c r="AN437" i="7" s="1"/>
  <c r="AN434" i="7" a="1"/>
  <c r="AN434" i="7" s="1"/>
  <c r="AN417" i="7" a="1"/>
  <c r="AN417" i="7" s="1"/>
  <c r="AN466" i="7" a="1"/>
  <c r="AN466" i="7" s="1"/>
  <c r="AN464" i="7" a="1"/>
  <c r="AN464" i="7" s="1"/>
  <c r="AN461" i="7" a="1"/>
  <c r="AN461" i="7" s="1"/>
  <c r="AN447" i="7" a="1"/>
  <c r="AN447" i="7" s="1"/>
  <c r="AN430" i="7" a="1"/>
  <c r="AN430" i="7" s="1"/>
  <c r="AL680" i="7" a="1"/>
  <c r="AL680" i="7" s="1"/>
  <c r="AL678" i="7" a="1"/>
  <c r="AL678" i="7" s="1"/>
  <c r="AL676" i="7" a="1"/>
  <c r="AL676" i="7" s="1"/>
  <c r="AL673" i="7" a="1"/>
  <c r="AL673" i="7" s="1"/>
  <c r="AL671" i="7" a="1"/>
  <c r="AL671" i="7" s="1"/>
  <c r="AL669" i="7" a="1"/>
  <c r="AL669" i="7" s="1"/>
  <c r="AL668" i="7" a="1"/>
  <c r="AL668" i="7" s="1"/>
  <c r="AL679" i="7" a="1"/>
  <c r="AL679" i="7" s="1"/>
  <c r="AL665" i="7" a="1"/>
  <c r="AL665" i="7" s="1"/>
  <c r="AL663" i="7" a="1"/>
  <c r="AL663" i="7" s="1"/>
  <c r="AL662" i="7" a="1"/>
  <c r="AL662" i="7" s="1"/>
  <c r="AL660" i="7" a="1"/>
  <c r="AL660" i="7" s="1"/>
  <c r="AL658" i="7" a="1"/>
  <c r="AL658" i="7" s="1"/>
  <c r="AL654" i="7" a="1"/>
  <c r="AL654" i="7" s="1"/>
  <c r="AL647" i="7" a="1"/>
  <c r="AL647" i="7" s="1"/>
  <c r="AL644" i="7" a="1"/>
  <c r="AL644" i="7" s="1"/>
  <c r="AL677" i="7" a="1"/>
  <c r="AL677" i="7" s="1"/>
  <c r="AL674" i="7" a="1"/>
  <c r="AL674" i="7" s="1"/>
  <c r="AL667" i="7" a="1"/>
  <c r="AL667" i="7" s="1"/>
  <c r="AL655" i="7" a="1"/>
  <c r="AL655" i="7" s="1"/>
  <c r="AL651" i="7" a="1"/>
  <c r="AL651" i="7" s="1"/>
  <c r="AL648" i="7" a="1"/>
  <c r="AL648" i="7" s="1"/>
  <c r="AL641" i="7" a="1"/>
  <c r="AL641" i="7" s="1"/>
  <c r="AL670" i="7" a="1"/>
  <c r="AL670" i="7" s="1"/>
  <c r="AL666" i="7" a="1"/>
  <c r="AL666" i="7" s="1"/>
  <c r="AL664" i="7" a="1"/>
  <c r="AL664" i="7" s="1"/>
  <c r="AL661" i="7" a="1"/>
  <c r="AL661" i="7" s="1"/>
  <c r="AL659" i="7" a="1"/>
  <c r="AL659" i="7" s="1"/>
  <c r="AL657" i="7" a="1"/>
  <c r="AL657" i="7" s="1"/>
  <c r="AL656" i="7" a="1"/>
  <c r="AL656" i="7" s="1"/>
  <c r="AL652" i="7" a="1"/>
  <c r="AL652" i="7" s="1"/>
  <c r="AL649" i="7" a="1"/>
  <c r="AL649" i="7" s="1"/>
  <c r="AL645" i="7" a="1"/>
  <c r="AL645" i="7" s="1"/>
  <c r="AL642" i="7" a="1"/>
  <c r="AL642" i="7" s="1"/>
  <c r="AL675" i="7" a="1"/>
  <c r="AL675" i="7" s="1"/>
  <c r="AL672" i="7" a="1"/>
  <c r="AL672" i="7" s="1"/>
  <c r="AL653" i="7" a="1"/>
  <c r="AL653" i="7" s="1"/>
  <c r="AL650" i="7" a="1"/>
  <c r="AL650" i="7" s="1"/>
  <c r="AL640" i="7" a="1"/>
  <c r="AL640" i="7" s="1"/>
  <c r="AL624" i="7" a="1"/>
  <c r="AL624" i="7" s="1"/>
  <c r="AL617" i="7" a="1"/>
  <c r="AL617" i="7" s="1"/>
  <c r="AL614" i="7" a="1"/>
  <c r="AL614" i="7" s="1"/>
  <c r="AL610" i="7" a="1"/>
  <c r="AL610" i="7" s="1"/>
  <c r="AL609" i="7" a="1"/>
  <c r="AL609" i="7" s="1"/>
  <c r="AL639" i="7" a="1"/>
  <c r="AL639" i="7" s="1"/>
  <c r="AL638" i="7" a="1"/>
  <c r="AL638" i="7" s="1"/>
  <c r="AL636" i="7" a="1"/>
  <c r="AL636" i="7" s="1"/>
  <c r="AL634" i="7" a="1"/>
  <c r="AL634" i="7" s="1"/>
  <c r="AL631" i="7" a="1"/>
  <c r="AL631" i="7" s="1"/>
  <c r="AL629" i="7" a="1"/>
  <c r="AL629" i="7" s="1"/>
  <c r="AL627" i="7" a="1"/>
  <c r="AL627" i="7" s="1"/>
  <c r="AL625" i="7" a="1"/>
  <c r="AL625" i="7" s="1"/>
  <c r="AL643" i="7" a="1"/>
  <c r="AL643" i="7" s="1"/>
  <c r="AL626" i="7" a="1"/>
  <c r="AL626" i="7" s="1"/>
  <c r="AL622" i="7" a="1"/>
  <c r="AL622" i="7" s="1"/>
  <c r="AL619" i="7" a="1"/>
  <c r="AL619" i="7" s="1"/>
  <c r="AL646" i="7" a="1"/>
  <c r="AL646" i="7" s="1"/>
  <c r="AL635" i="7" a="1"/>
  <c r="AL635" i="7" s="1"/>
  <c r="AL637" i="7" a="1"/>
  <c r="AL637" i="7" s="1"/>
  <c r="AL620" i="7" a="1"/>
  <c r="AL620" i="7" s="1"/>
  <c r="AL628" i="7" a="1"/>
  <c r="AL628" i="7" s="1"/>
  <c r="AL616" i="7" a="1"/>
  <c r="AL616" i="7" s="1"/>
  <c r="AL615" i="7" a="1"/>
  <c r="AL615" i="7" s="1"/>
  <c r="AL623" i="7" a="1"/>
  <c r="AL623" i="7" s="1"/>
  <c r="AL618" i="7" a="1"/>
  <c r="AL618" i="7" s="1"/>
  <c r="AL630" i="7" a="1"/>
  <c r="AL630" i="7" s="1"/>
  <c r="AL613" i="7" a="1"/>
  <c r="AL613" i="7" s="1"/>
  <c r="AL632" i="7" a="1"/>
  <c r="AL632" i="7" s="1"/>
  <c r="AL612" i="7" a="1"/>
  <c r="AL612" i="7" s="1"/>
  <c r="AL633" i="7" a="1"/>
  <c r="AL633" i="7" s="1"/>
  <c r="AL621" i="7" a="1"/>
  <c r="AL621" i="7" s="1"/>
  <c r="AL607" i="7" a="1"/>
  <c r="AL607" i="7" s="1"/>
  <c r="AL605" i="7" a="1"/>
  <c r="AL605" i="7" s="1"/>
  <c r="AL603" i="7" a="1"/>
  <c r="AL603" i="7" s="1"/>
  <c r="AL608" i="7" a="1"/>
  <c r="AL608" i="7" s="1"/>
  <c r="AL606" i="7" a="1"/>
  <c r="AL606" i="7" s="1"/>
  <c r="AL604" i="7" a="1"/>
  <c r="AL604" i="7" s="1"/>
  <c r="AL600" i="7" a="1"/>
  <c r="AL600" i="7" s="1"/>
  <c r="AL596" i="7" a="1"/>
  <c r="AL596" i="7" s="1"/>
  <c r="AL594" i="7" a="1"/>
  <c r="AL594" i="7" s="1"/>
  <c r="AL592" i="7" a="1"/>
  <c r="AL592" i="7" s="1"/>
  <c r="AL589" i="7" a="1"/>
  <c r="AL589" i="7" s="1"/>
  <c r="AL587" i="7" a="1"/>
  <c r="AL587" i="7" s="1"/>
  <c r="AL584" i="7" a="1"/>
  <c r="AL584" i="7" s="1"/>
  <c r="AL580" i="7" a="1"/>
  <c r="AL580" i="7" s="1"/>
  <c r="AL577" i="7" a="1"/>
  <c r="AL577" i="7" s="1"/>
  <c r="AL573" i="7" a="1"/>
  <c r="AL573" i="7" s="1"/>
  <c r="AL570" i="7" a="1"/>
  <c r="AL570" i="7" s="1"/>
  <c r="AL563" i="7" a="1"/>
  <c r="AL563" i="7" s="1"/>
  <c r="AL611" i="7" a="1"/>
  <c r="AL611" i="7" s="1"/>
  <c r="AL602" i="7" a="1"/>
  <c r="AL602" i="7" s="1"/>
  <c r="AL581" i="7" a="1"/>
  <c r="AL581" i="7" s="1"/>
  <c r="AL578" i="7" a="1"/>
  <c r="AL578" i="7" s="1"/>
  <c r="AL574" i="7" a="1"/>
  <c r="AL574" i="7" s="1"/>
  <c r="AL571" i="7" a="1"/>
  <c r="AL571" i="7" s="1"/>
  <c r="AL567" i="7" a="1"/>
  <c r="AL567" i="7" s="1"/>
  <c r="AL564" i="7" a="1"/>
  <c r="AL564" i="7" s="1"/>
  <c r="AL601" i="7" a="1"/>
  <c r="AL601" i="7" s="1"/>
  <c r="AL595" i="7" a="1"/>
  <c r="AL595" i="7" s="1"/>
  <c r="AL593" i="7" a="1"/>
  <c r="AL593" i="7" s="1"/>
  <c r="AL591" i="7" a="1"/>
  <c r="AL591" i="7" s="1"/>
  <c r="AL590" i="7" a="1"/>
  <c r="AL590" i="7" s="1"/>
  <c r="AL588" i="7" a="1"/>
  <c r="AL588" i="7" s="1"/>
  <c r="AL598" i="7" a="1"/>
  <c r="AL598" i="7" s="1"/>
  <c r="AL597" i="7" a="1"/>
  <c r="AL597" i="7" s="1"/>
  <c r="AL585" i="7" a="1"/>
  <c r="AL585" i="7" s="1"/>
  <c r="AL582" i="7" a="1"/>
  <c r="AL582" i="7" s="1"/>
  <c r="AL575" i="7" a="1"/>
  <c r="AL575" i="7" s="1"/>
  <c r="AL572" i="7" a="1"/>
  <c r="AL572" i="7" s="1"/>
  <c r="AL568" i="7" a="1"/>
  <c r="AL568" i="7" s="1"/>
  <c r="AL565" i="7" a="1"/>
  <c r="AL565" i="7" s="1"/>
  <c r="AL599" i="7" a="1"/>
  <c r="AL599" i="7" s="1"/>
  <c r="AL569" i="7" a="1"/>
  <c r="AL569" i="7" s="1"/>
  <c r="AL560" i="7" a="1"/>
  <c r="AL560" i="7" s="1"/>
  <c r="AL550" i="7" a="1"/>
  <c r="AL550" i="7" s="1"/>
  <c r="AL554" i="7" a="1"/>
  <c r="AL554" i="7" s="1"/>
  <c r="AL576" i="7" a="1"/>
  <c r="AL576" i="7" s="1"/>
  <c r="AL551" i="7" a="1"/>
  <c r="AL551" i="7" s="1"/>
  <c r="AL579" i="7" a="1"/>
  <c r="AL579" i="7" s="1"/>
  <c r="AL561" i="7" a="1"/>
  <c r="AL561" i="7" s="1"/>
  <c r="AL583" i="7" a="1"/>
  <c r="AL583" i="7" s="1"/>
  <c r="AL558" i="7" a="1"/>
  <c r="AL558" i="7" s="1"/>
  <c r="AL549" i="7" a="1"/>
  <c r="AL549" i="7" s="1"/>
  <c r="AL556" i="7" a="1"/>
  <c r="AL556" i="7" s="1"/>
  <c r="AL553" i="7" a="1"/>
  <c r="AL553" i="7" s="1"/>
  <c r="AL586" i="7" a="1"/>
  <c r="AL586" i="7" s="1"/>
  <c r="AL562" i="7" a="1"/>
  <c r="AL562" i="7" s="1"/>
  <c r="AL559" i="7" a="1"/>
  <c r="AL559" i="7" s="1"/>
  <c r="AL557" i="7" a="1"/>
  <c r="AL557" i="7" s="1"/>
  <c r="AL566" i="7" a="1"/>
  <c r="AL566" i="7" s="1"/>
  <c r="AL555" i="7" a="1"/>
  <c r="AL555" i="7" s="1"/>
  <c r="AL552" i="7" a="1"/>
  <c r="AL552" i="7" s="1"/>
  <c r="AX793" i="7" a="1"/>
  <c r="AX793" i="7" s="1"/>
  <c r="AX812" i="7" a="1"/>
  <c r="AX812" i="7" s="1"/>
  <c r="AX810" i="7" a="1"/>
  <c r="AX810" i="7" s="1"/>
  <c r="AX808" i="7" a="1"/>
  <c r="AX808" i="7" s="1"/>
  <c r="AX805" i="7" a="1"/>
  <c r="AX805" i="7" s="1"/>
  <c r="AX803" i="7" a="1"/>
  <c r="AX803" i="7" s="1"/>
  <c r="AX801" i="7" a="1"/>
  <c r="AX801" i="7" s="1"/>
  <c r="AX800" i="7" a="1"/>
  <c r="AX800" i="7" s="1"/>
  <c r="AX798" i="7" a="1"/>
  <c r="AX798" i="7" s="1"/>
  <c r="AX796" i="7" a="1"/>
  <c r="AX796" i="7" s="1"/>
  <c r="AX794" i="7" a="1"/>
  <c r="AX794" i="7" s="1"/>
  <c r="AX791" i="7" a="1"/>
  <c r="AX791" i="7" s="1"/>
  <c r="AX788" i="7" a="1"/>
  <c r="AX788" i="7" s="1"/>
  <c r="AX784" i="7" a="1"/>
  <c r="AX784" i="7" s="1"/>
  <c r="AX781" i="7" a="1"/>
  <c r="AX781" i="7" s="1"/>
  <c r="AX777" i="7" a="1"/>
  <c r="AX777" i="7" s="1"/>
  <c r="AX774" i="7" a="1"/>
  <c r="AX774" i="7" s="1"/>
  <c r="AX811" i="7" a="1"/>
  <c r="AX811" i="7" s="1"/>
  <c r="AX807" i="7" a="1"/>
  <c r="AX807" i="7" s="1"/>
  <c r="AX804" i="7" a="1"/>
  <c r="AX804" i="7" s="1"/>
  <c r="AX797" i="7" a="1"/>
  <c r="AX797" i="7" s="1"/>
  <c r="AX785" i="7" a="1"/>
  <c r="AX785" i="7" s="1"/>
  <c r="AX782" i="7" a="1"/>
  <c r="AX782" i="7" s="1"/>
  <c r="AX778" i="7" a="1"/>
  <c r="AX778" i="7" s="1"/>
  <c r="AX775" i="7" a="1"/>
  <c r="AX775" i="7" s="1"/>
  <c r="AX789" i="7" a="1"/>
  <c r="AX789" i="7" s="1"/>
  <c r="AX790" i="7" a="1"/>
  <c r="AX790" i="7" s="1"/>
  <c r="AX786" i="7" a="1"/>
  <c r="AX786" i="7" s="1"/>
  <c r="AX779" i="7" a="1"/>
  <c r="AX779" i="7" s="1"/>
  <c r="AX776" i="7" a="1"/>
  <c r="AX776" i="7" s="1"/>
  <c r="AX772" i="7" a="1"/>
  <c r="AX772" i="7" s="1"/>
  <c r="AX792" i="7" a="1"/>
  <c r="AX792" i="7" s="1"/>
  <c r="AX761" i="7" a="1"/>
  <c r="AX761" i="7" s="1"/>
  <c r="AX758" i="7" a="1"/>
  <c r="AX758" i="7" s="1"/>
  <c r="AX809" i="7" a="1"/>
  <c r="AX809" i="7" s="1"/>
  <c r="AX787" i="7" a="1"/>
  <c r="AX787" i="7" s="1"/>
  <c r="AX771" i="7" a="1"/>
  <c r="AX771" i="7" s="1"/>
  <c r="AX769" i="7" a="1"/>
  <c r="AX769" i="7" s="1"/>
  <c r="AX806" i="7" a="1"/>
  <c r="AX806" i="7" s="1"/>
  <c r="AX768" i="7" a="1"/>
  <c r="AX768" i="7" s="1"/>
  <c r="AX765" i="7" a="1"/>
  <c r="AX765" i="7" s="1"/>
  <c r="AX762" i="7" a="1"/>
  <c r="AX762" i="7" s="1"/>
  <c r="AX755" i="7" a="1"/>
  <c r="AX755" i="7" s="1"/>
  <c r="AX767" i="7" a="1"/>
  <c r="AX767" i="7" s="1"/>
  <c r="AX802" i="7" a="1"/>
  <c r="AX802" i="7" s="1"/>
  <c r="AX770" i="7" a="1"/>
  <c r="AX770" i="7" s="1"/>
  <c r="AX766" i="7" a="1"/>
  <c r="AX766" i="7" s="1"/>
  <c r="AX763" i="7" a="1"/>
  <c r="AX763" i="7" s="1"/>
  <c r="AX759" i="7" a="1"/>
  <c r="AX759" i="7" s="1"/>
  <c r="AX756" i="7" a="1"/>
  <c r="AX756" i="7" s="1"/>
  <c r="AX799" i="7" a="1"/>
  <c r="AX799" i="7" s="1"/>
  <c r="AX773" i="7" a="1"/>
  <c r="AX773" i="7" s="1"/>
  <c r="AX795" i="7" a="1"/>
  <c r="AX795" i="7" s="1"/>
  <c r="AX780" i="7" a="1"/>
  <c r="AX780" i="7" s="1"/>
  <c r="AX764" i="7" a="1"/>
  <c r="AX764" i="7" s="1"/>
  <c r="AX754" i="7" a="1"/>
  <c r="AX754" i="7" s="1"/>
  <c r="AX753" i="7" a="1"/>
  <c r="AX753" i="7" s="1"/>
  <c r="AX752" i="7" a="1"/>
  <c r="AX752" i="7" s="1"/>
  <c r="AX757" i="7" a="1"/>
  <c r="AX757" i="7" s="1"/>
  <c r="AX760" i="7" a="1"/>
  <c r="AX760" i="7" s="1"/>
  <c r="AX783" i="7" a="1"/>
  <c r="AX783" i="7" s="1"/>
  <c r="AX745" i="7" a="1"/>
  <c r="AX745" i="7" s="1"/>
  <c r="AX741" i="7" a="1"/>
  <c r="AX741" i="7" s="1"/>
  <c r="AX738" i="7" a="1"/>
  <c r="AX738" i="7" s="1"/>
  <c r="AX750" i="7" a="1"/>
  <c r="AX750" i="7" s="1"/>
  <c r="AX746" i="7" a="1"/>
  <c r="AX746" i="7" s="1"/>
  <c r="AX742" i="7" a="1"/>
  <c r="AX742" i="7" s="1"/>
  <c r="AX739" i="7" a="1"/>
  <c r="AX739" i="7" s="1"/>
  <c r="AX735" i="7" a="1"/>
  <c r="AX735" i="7" s="1"/>
  <c r="AX743" i="7" a="1"/>
  <c r="AX743" i="7" s="1"/>
  <c r="AX740" i="7" a="1"/>
  <c r="AX740" i="7" s="1"/>
  <c r="AX736" i="7" a="1"/>
  <c r="AX736" i="7" s="1"/>
  <c r="AX749" i="7" a="1"/>
  <c r="AX749" i="7" s="1"/>
  <c r="AX751" i="7" a="1"/>
  <c r="AX751" i="7" s="1"/>
  <c r="AX748" i="7" a="1"/>
  <c r="AX748" i="7" s="1"/>
  <c r="AX731" i="7" a="1"/>
  <c r="AX731" i="7" s="1"/>
  <c r="AX728" i="7" a="1"/>
  <c r="AX728" i="7" s="1"/>
  <c r="AX737" i="7" a="1"/>
  <c r="AX737" i="7" s="1"/>
  <c r="AX732" i="7" a="1"/>
  <c r="AX732" i="7" s="1"/>
  <c r="AX725" i="7" a="1"/>
  <c r="AX725" i="7" s="1"/>
  <c r="AX734" i="7" a="1"/>
  <c r="AX734" i="7" s="1"/>
  <c r="AX744" i="7" a="1"/>
  <c r="AX744" i="7" s="1"/>
  <c r="AX729" i="7" a="1"/>
  <c r="AX729" i="7" s="1"/>
  <c r="AX726" i="7" a="1"/>
  <c r="AX726" i="7" s="1"/>
  <c r="AX747" i="7" a="1"/>
  <c r="AX747" i="7" s="1"/>
  <c r="AX733" i="7" a="1"/>
  <c r="AX733" i="7" s="1"/>
  <c r="AX710" i="7" a="1"/>
  <c r="AX710" i="7" s="1"/>
  <c r="AX706" i="7" a="1"/>
  <c r="AX706" i="7" s="1"/>
  <c r="AX703" i="7" a="1"/>
  <c r="AX703" i="7" s="1"/>
  <c r="AX719" i="7" a="1"/>
  <c r="AX719" i="7" s="1"/>
  <c r="AX716" i="7" a="1"/>
  <c r="AX716" i="7" s="1"/>
  <c r="AX712" i="7" a="1"/>
  <c r="AX712" i="7" s="1"/>
  <c r="AX707" i="7" a="1"/>
  <c r="AX707" i="7" s="1"/>
  <c r="AX704" i="7" a="1"/>
  <c r="AX704" i="7" s="1"/>
  <c r="AX700" i="7" a="1"/>
  <c r="AX700" i="7" s="1"/>
  <c r="AX697" i="7" a="1"/>
  <c r="AX697" i="7" s="1"/>
  <c r="AX722" i="7" a="1"/>
  <c r="AX722" i="7" s="1"/>
  <c r="AX718" i="7" a="1"/>
  <c r="AX718" i="7" s="1"/>
  <c r="AX715" i="7" a="1"/>
  <c r="AX715" i="7" s="1"/>
  <c r="AX727" i="7" a="1"/>
  <c r="AX727" i="7" s="1"/>
  <c r="AX711" i="7" a="1"/>
  <c r="AX711" i="7" s="1"/>
  <c r="AX708" i="7" a="1"/>
  <c r="AX708" i="7" s="1"/>
  <c r="AX701" i="7" a="1"/>
  <c r="AX701" i="7" s="1"/>
  <c r="AX698" i="7" a="1"/>
  <c r="AX698" i="7" s="1"/>
  <c r="AX730" i="7" a="1"/>
  <c r="AX730" i="7" s="1"/>
  <c r="AX721" i="7" a="1"/>
  <c r="AX721" i="7" s="1"/>
  <c r="AX717" i="7" a="1"/>
  <c r="AX717" i="7" s="1"/>
  <c r="AX714" i="7" a="1"/>
  <c r="AX714" i="7" s="1"/>
  <c r="AX724" i="7" a="1"/>
  <c r="AX724" i="7" s="1"/>
  <c r="AX723" i="7" a="1"/>
  <c r="AX723" i="7" s="1"/>
  <c r="AX720" i="7" a="1"/>
  <c r="AX720" i="7" s="1"/>
  <c r="AX713" i="7" a="1"/>
  <c r="AX713" i="7" s="1"/>
  <c r="AX705" i="7" a="1"/>
  <c r="AX705" i="7" s="1"/>
  <c r="AX696" i="7" a="1"/>
  <c r="AX696" i="7" s="1"/>
  <c r="AX709" i="7" a="1"/>
  <c r="AX709" i="7" s="1"/>
  <c r="AX702" i="7" a="1"/>
  <c r="AX702" i="7" s="1"/>
  <c r="AX689" i="7" a="1"/>
  <c r="AX689" i="7" s="1"/>
  <c r="AX687" i="7" a="1"/>
  <c r="AX687" i="7" s="1"/>
  <c r="AX686" i="7" a="1"/>
  <c r="AX686" i="7" s="1"/>
  <c r="AX684" i="7" a="1"/>
  <c r="AX684" i="7" s="1"/>
  <c r="AX682" i="7" a="1"/>
  <c r="AX682" i="7" s="1"/>
  <c r="AX699" i="7" a="1"/>
  <c r="AX699" i="7" s="1"/>
  <c r="AX695" i="7" a="1"/>
  <c r="AX695" i="7" s="1"/>
  <c r="AX694" i="7" a="1"/>
  <c r="AX694" i="7" s="1"/>
  <c r="AX691" i="7" a="1"/>
  <c r="AX691" i="7" s="1"/>
  <c r="AX688" i="7" a="1"/>
  <c r="AX688" i="7" s="1"/>
  <c r="AX685" i="7" a="1"/>
  <c r="AX685" i="7" s="1"/>
  <c r="AX683" i="7" a="1"/>
  <c r="AX683" i="7" s="1"/>
  <c r="AX681" i="7" a="1"/>
  <c r="AX681" i="7" s="1"/>
  <c r="AX690" i="7" a="1"/>
  <c r="AX690" i="7" s="1"/>
  <c r="AX692" i="7" a="1"/>
  <c r="AX692" i="7" s="1"/>
  <c r="AX693" i="7" a="1"/>
  <c r="AX693" i="7" s="1"/>
  <c r="AY679" i="7" a="1"/>
  <c r="AY679" i="7" s="1"/>
  <c r="AY677" i="7" a="1"/>
  <c r="AY677" i="7" s="1"/>
  <c r="AY675" i="7" a="1"/>
  <c r="AY675" i="7" s="1"/>
  <c r="AY674" i="7" a="1"/>
  <c r="AY674" i="7" s="1"/>
  <c r="AY672" i="7" a="1"/>
  <c r="AY672" i="7" s="1"/>
  <c r="AY670" i="7" a="1"/>
  <c r="AY670" i="7" s="1"/>
  <c r="AY667" i="7" a="1"/>
  <c r="AY667" i="7" s="1"/>
  <c r="AY680" i="7" a="1"/>
  <c r="AY680" i="7" s="1"/>
  <c r="AY678" i="7" a="1"/>
  <c r="AY678" i="7" s="1"/>
  <c r="AY676" i="7" a="1"/>
  <c r="AY676" i="7" s="1"/>
  <c r="AY673" i="7" a="1"/>
  <c r="AY673" i="7" s="1"/>
  <c r="AY671" i="7" a="1"/>
  <c r="AY671" i="7" s="1"/>
  <c r="AY669" i="7" a="1"/>
  <c r="AY669" i="7" s="1"/>
  <c r="AY668" i="7" a="1"/>
  <c r="AY668" i="7" s="1"/>
  <c r="AY654" i="7" a="1"/>
  <c r="AY654" i="7" s="1"/>
  <c r="AY647" i="7" a="1"/>
  <c r="AY647" i="7" s="1"/>
  <c r="AY644" i="7" a="1"/>
  <c r="AY644" i="7" s="1"/>
  <c r="AY665" i="7" a="1"/>
  <c r="AY665" i="7" s="1"/>
  <c r="AY663" i="7" a="1"/>
  <c r="AY663" i="7" s="1"/>
  <c r="AY662" i="7" a="1"/>
  <c r="AY662" i="7" s="1"/>
  <c r="AY660" i="7" a="1"/>
  <c r="AY660" i="7" s="1"/>
  <c r="AY658" i="7" a="1"/>
  <c r="AY658" i="7" s="1"/>
  <c r="AY655" i="7" a="1"/>
  <c r="AY655" i="7" s="1"/>
  <c r="AY651" i="7" a="1"/>
  <c r="AY651" i="7" s="1"/>
  <c r="AY648" i="7" a="1"/>
  <c r="AY648" i="7" s="1"/>
  <c r="AY641" i="7" a="1"/>
  <c r="AY641" i="7" s="1"/>
  <c r="AY652" i="7" a="1"/>
  <c r="AY652" i="7" s="1"/>
  <c r="AY649" i="7" a="1"/>
  <c r="AY649" i="7" s="1"/>
  <c r="AY645" i="7" a="1"/>
  <c r="AY645" i="7" s="1"/>
  <c r="AY642" i="7" a="1"/>
  <c r="AY642" i="7" s="1"/>
  <c r="AY666" i="7" a="1"/>
  <c r="AY666" i="7" s="1"/>
  <c r="AY664" i="7" a="1"/>
  <c r="AY664" i="7" s="1"/>
  <c r="AY661" i="7" a="1"/>
  <c r="AY661" i="7" s="1"/>
  <c r="AY659" i="7" a="1"/>
  <c r="AY659" i="7" s="1"/>
  <c r="AY657" i="7" a="1"/>
  <c r="AY657" i="7" s="1"/>
  <c r="AY656" i="7" a="1"/>
  <c r="AY656" i="7" s="1"/>
  <c r="AY653" i="7" a="1"/>
  <c r="AY653" i="7" s="1"/>
  <c r="AY650" i="7" a="1"/>
  <c r="AY650" i="7" s="1"/>
  <c r="AY643" i="7" a="1"/>
  <c r="AY643" i="7" s="1"/>
  <c r="AY637" i="7" a="1"/>
  <c r="AY637" i="7" s="1"/>
  <c r="AY635" i="7" a="1"/>
  <c r="AY635" i="7" s="1"/>
  <c r="AY633" i="7" a="1"/>
  <c r="AY633" i="7" s="1"/>
  <c r="AY632" i="7" a="1"/>
  <c r="AY632" i="7" s="1"/>
  <c r="AY630" i="7" a="1"/>
  <c r="AY630" i="7" s="1"/>
  <c r="AY628" i="7" a="1"/>
  <c r="AY628" i="7" s="1"/>
  <c r="AY624" i="7" a="1"/>
  <c r="AY624" i="7" s="1"/>
  <c r="AY617" i="7" a="1"/>
  <c r="AY617" i="7" s="1"/>
  <c r="AY614" i="7" a="1"/>
  <c r="AY614" i="7" s="1"/>
  <c r="AY610" i="7" a="1"/>
  <c r="AY610" i="7" s="1"/>
  <c r="AY646" i="7" a="1"/>
  <c r="AY646" i="7" s="1"/>
  <c r="AY625" i="7" a="1"/>
  <c r="AY625" i="7" s="1"/>
  <c r="AY639" i="7" a="1"/>
  <c r="AY639" i="7" s="1"/>
  <c r="AY638" i="7" a="1"/>
  <c r="AY638" i="7" s="1"/>
  <c r="AY636" i="7" a="1"/>
  <c r="AY636" i="7" s="1"/>
  <c r="AY634" i="7" a="1"/>
  <c r="AY634" i="7" s="1"/>
  <c r="AY631" i="7" a="1"/>
  <c r="AY631" i="7" s="1"/>
  <c r="AY629" i="7" a="1"/>
  <c r="AY629" i="7" s="1"/>
  <c r="AY627" i="7" a="1"/>
  <c r="AY627" i="7" s="1"/>
  <c r="AY626" i="7" a="1"/>
  <c r="AY626" i="7" s="1"/>
  <c r="AY622" i="7" a="1"/>
  <c r="AY622" i="7" s="1"/>
  <c r="AY619" i="7" a="1"/>
  <c r="AY619" i="7" s="1"/>
  <c r="AY613" i="7" a="1"/>
  <c r="AY613" i="7" s="1"/>
  <c r="AY612" i="7" a="1"/>
  <c r="AY612" i="7" s="1"/>
  <c r="AY609" i="7" a="1"/>
  <c r="AY609" i="7" s="1"/>
  <c r="AY640" i="7" a="1"/>
  <c r="AY640" i="7" s="1"/>
  <c r="AY620" i="7" a="1"/>
  <c r="AY620" i="7" s="1"/>
  <c r="AY618" i="7" a="1"/>
  <c r="AY618" i="7" s="1"/>
  <c r="AY621" i="7" a="1"/>
  <c r="AY621" i="7" s="1"/>
  <c r="AY623" i="7" a="1"/>
  <c r="AY623" i="7" s="1"/>
  <c r="AY616" i="7" a="1"/>
  <c r="AY616" i="7" s="1"/>
  <c r="AY615" i="7" a="1"/>
  <c r="AY615" i="7" s="1"/>
  <c r="AY607" i="7" a="1"/>
  <c r="AY607" i="7" s="1"/>
  <c r="AY605" i="7" a="1"/>
  <c r="AY605" i="7" s="1"/>
  <c r="AY603" i="7" a="1"/>
  <c r="AY603" i="7" s="1"/>
  <c r="AY602" i="7" a="1"/>
  <c r="AY602" i="7" s="1"/>
  <c r="AY611" i="7" a="1"/>
  <c r="AY611" i="7" s="1"/>
  <c r="AY608" i="7" a="1"/>
  <c r="AY608" i="7" s="1"/>
  <c r="AY606" i="7" a="1"/>
  <c r="AY606" i="7" s="1"/>
  <c r="AY604" i="7" a="1"/>
  <c r="AY604" i="7" s="1"/>
  <c r="AY586" i="7" a="1"/>
  <c r="AY586" i="7" s="1"/>
  <c r="AY583" i="7" a="1"/>
  <c r="AY583" i="7" s="1"/>
  <c r="AY579" i="7" a="1"/>
  <c r="AY579" i="7" s="1"/>
  <c r="AY576" i="7" a="1"/>
  <c r="AY576" i="7" s="1"/>
  <c r="AY569" i="7" a="1"/>
  <c r="AY569" i="7" s="1"/>
  <c r="AY566" i="7" a="1"/>
  <c r="AY566" i="7" s="1"/>
  <c r="AY562" i="7" a="1"/>
  <c r="AY562" i="7" s="1"/>
  <c r="AY597" i="7" a="1"/>
  <c r="AY597" i="7" s="1"/>
  <c r="AY598" i="7" a="1"/>
  <c r="AY598" i="7" s="1"/>
  <c r="AY584" i="7" a="1"/>
  <c r="AY584" i="7" s="1"/>
  <c r="AY580" i="7" a="1"/>
  <c r="AY580" i="7" s="1"/>
  <c r="AY577" i="7" a="1"/>
  <c r="AY577" i="7" s="1"/>
  <c r="AY573" i="7" a="1"/>
  <c r="AY573" i="7" s="1"/>
  <c r="AY570" i="7" a="1"/>
  <c r="AY570" i="7" s="1"/>
  <c r="AY563" i="7" a="1"/>
  <c r="AY563" i="7" s="1"/>
  <c r="AY596" i="7" a="1"/>
  <c r="AY596" i="7" s="1"/>
  <c r="AY594" i="7" a="1"/>
  <c r="AY594" i="7" s="1"/>
  <c r="AY592" i="7" a="1"/>
  <c r="AY592" i="7" s="1"/>
  <c r="AY589" i="7" a="1"/>
  <c r="AY589" i="7" s="1"/>
  <c r="AY587" i="7" a="1"/>
  <c r="AY587" i="7" s="1"/>
  <c r="AY599" i="7" a="1"/>
  <c r="AY599" i="7" s="1"/>
  <c r="AY581" i="7" a="1"/>
  <c r="AY581" i="7" s="1"/>
  <c r="AY578" i="7" a="1"/>
  <c r="AY578" i="7" s="1"/>
  <c r="AY574" i="7" a="1"/>
  <c r="AY574" i="7" s="1"/>
  <c r="AY571" i="7" a="1"/>
  <c r="AY571" i="7" s="1"/>
  <c r="AY567" i="7" a="1"/>
  <c r="AY567" i="7" s="1"/>
  <c r="AY564" i="7" a="1"/>
  <c r="AY564" i="7" s="1"/>
  <c r="AY601" i="7" a="1"/>
  <c r="AY601" i="7" s="1"/>
  <c r="AY585" i="7" a="1"/>
  <c r="AY585" i="7" s="1"/>
  <c r="AY582" i="7" a="1"/>
  <c r="AY582" i="7" s="1"/>
  <c r="AY575" i="7" a="1"/>
  <c r="AY575" i="7" s="1"/>
  <c r="AY572" i="7" a="1"/>
  <c r="AY572" i="7" s="1"/>
  <c r="AY568" i="7" a="1"/>
  <c r="AY568" i="7" s="1"/>
  <c r="AY565" i="7" a="1"/>
  <c r="AY565" i="7" s="1"/>
  <c r="AY561" i="7" a="1"/>
  <c r="AY561" i="7" s="1"/>
  <c r="AY560" i="7" a="1"/>
  <c r="AY560" i="7" s="1"/>
  <c r="AY591" i="7" a="1"/>
  <c r="AY591" i="7" s="1"/>
  <c r="AY593" i="7" a="1"/>
  <c r="AY593" i="7" s="1"/>
  <c r="AY550" i="7" a="1"/>
  <c r="AY550" i="7" s="1"/>
  <c r="AY595" i="7" a="1"/>
  <c r="AY595" i="7" s="1"/>
  <c r="AY600" i="7" a="1"/>
  <c r="AY600" i="7" s="1"/>
  <c r="AY558" i="7" a="1"/>
  <c r="AY558" i="7" s="1"/>
  <c r="AY557" i="7" a="1"/>
  <c r="AY557" i="7" s="1"/>
  <c r="AY556" i="7" a="1"/>
  <c r="AY556" i="7" s="1"/>
  <c r="AY555" i="7" a="1"/>
  <c r="AY555" i="7" s="1"/>
  <c r="AY554" i="7" a="1"/>
  <c r="AY554" i="7" s="1"/>
  <c r="AY551" i="7" a="1"/>
  <c r="AY551" i="7" s="1"/>
  <c r="AY559" i="7" a="1"/>
  <c r="AY559" i="7" s="1"/>
  <c r="AY588" i="7" a="1"/>
  <c r="AY588" i="7" s="1"/>
  <c r="AY552" i="7" a="1"/>
  <c r="AY552" i="7" s="1"/>
  <c r="AY553" i="7" a="1"/>
  <c r="AY553" i="7" s="1"/>
  <c r="AY590" i="7" a="1"/>
  <c r="AY590" i="7" s="1"/>
  <c r="AY549" i="7" a="1"/>
  <c r="AY549" i="7" s="1"/>
  <c r="AT395" i="7" a="1"/>
  <c r="AT395" i="7" s="1"/>
  <c r="AT394" i="7" a="1"/>
  <c r="AT394" i="7" s="1"/>
  <c r="AT413" i="7" a="1"/>
  <c r="AT413" i="7" s="1"/>
  <c r="AT410" i="7" a="1"/>
  <c r="AT410" i="7" s="1"/>
  <c r="AT406" i="7" a="1"/>
  <c r="AT406" i="7" s="1"/>
  <c r="AT403" i="7" a="1"/>
  <c r="AT403" i="7" s="1"/>
  <c r="AT399" i="7" a="1"/>
  <c r="AT399" i="7" s="1"/>
  <c r="AT414" i="7" a="1"/>
  <c r="AT414" i="7" s="1"/>
  <c r="AT407" i="7" a="1"/>
  <c r="AT407" i="7" s="1"/>
  <c r="AT404" i="7" a="1"/>
  <c r="AT404" i="7" s="1"/>
  <c r="AT400" i="7" a="1"/>
  <c r="AT400" i="7" s="1"/>
  <c r="AT397" i="7" a="1"/>
  <c r="AT397" i="7" s="1"/>
  <c r="AT415" i="7" a="1"/>
  <c r="AT415" i="7" s="1"/>
  <c r="AT411" i="7" a="1"/>
  <c r="AT411" i="7" s="1"/>
  <c r="AT408" i="7" a="1"/>
  <c r="AT408" i="7" s="1"/>
  <c r="AT401" i="7" a="1"/>
  <c r="AT401" i="7" s="1"/>
  <c r="AT398" i="7" a="1"/>
  <c r="AT398" i="7" s="1"/>
  <c r="AT409" i="7" a="1"/>
  <c r="AT409" i="7" s="1"/>
  <c r="AT391" i="7" a="1"/>
  <c r="AT391" i="7" s="1"/>
  <c r="AT412" i="7" a="1"/>
  <c r="AT412" i="7" s="1"/>
  <c r="AT416" i="7" a="1"/>
  <c r="AT416" i="7" s="1"/>
  <c r="AT393" i="7" a="1"/>
  <c r="AT393" i="7" s="1"/>
  <c r="AT392" i="7" a="1"/>
  <c r="AT392" i="7" s="1"/>
  <c r="AT390" i="7" a="1"/>
  <c r="AT390" i="7" s="1"/>
  <c r="AT402" i="7" a="1"/>
  <c r="AT402" i="7" s="1"/>
  <c r="AT384" i="7" a="1"/>
  <c r="AT384" i="7" s="1"/>
  <c r="AT386" i="7" a="1"/>
  <c r="AT386" i="7" s="1"/>
  <c r="AT387" i="7" a="1"/>
  <c r="AT387" i="7" s="1"/>
  <c r="AT377" i="7" a="1"/>
  <c r="AT377" i="7" s="1"/>
  <c r="AT374" i="7" a="1"/>
  <c r="AT374" i="7" s="1"/>
  <c r="AT370" i="7" a="1"/>
  <c r="AT370" i="7" s="1"/>
  <c r="AT367" i="7" a="1"/>
  <c r="AT367" i="7" s="1"/>
  <c r="AT363" i="7" a="1"/>
  <c r="AT363" i="7" s="1"/>
  <c r="AT360" i="7" a="1"/>
  <c r="AT360" i="7" s="1"/>
  <c r="AT353" i="7" a="1"/>
  <c r="AT353" i="7" s="1"/>
  <c r="AT350" i="7" a="1"/>
  <c r="AT350" i="7" s="1"/>
  <c r="AT346" i="7" a="1"/>
  <c r="AT346" i="7" s="1"/>
  <c r="AT343" i="7" a="1"/>
  <c r="AT343" i="7" s="1"/>
  <c r="AT339" i="7" a="1"/>
  <c r="AT339" i="7" s="1"/>
  <c r="AT336" i="7" a="1"/>
  <c r="AT336" i="7" s="1"/>
  <c r="AT329" i="7" a="1"/>
  <c r="AT329" i="7" s="1"/>
  <c r="AT326" i="7" a="1"/>
  <c r="AT326" i="7" s="1"/>
  <c r="AT322" i="7" a="1"/>
  <c r="AT322" i="7" s="1"/>
  <c r="AT319" i="7" a="1"/>
  <c r="AT319" i="7" s="1"/>
  <c r="AT315" i="7" a="1"/>
  <c r="AT315" i="7" s="1"/>
  <c r="AT314" i="7" a="1"/>
  <c r="AT314" i="7" s="1"/>
  <c r="AT313" i="7" a="1"/>
  <c r="AT313" i="7" s="1"/>
  <c r="AT312" i="7" a="1"/>
  <c r="AT312" i="7" s="1"/>
  <c r="AT389" i="7" a="1"/>
  <c r="AT389" i="7" s="1"/>
  <c r="AT405" i="7" a="1"/>
  <c r="AT405" i="7" s="1"/>
  <c r="AT383" i="7" a="1"/>
  <c r="AT383" i="7" s="1"/>
  <c r="AT381" i="7" a="1"/>
  <c r="AT381" i="7" s="1"/>
  <c r="AT378" i="7" a="1"/>
  <c r="AT378" i="7" s="1"/>
  <c r="AT371" i="7" a="1"/>
  <c r="AT371" i="7" s="1"/>
  <c r="AT368" i="7" a="1"/>
  <c r="AT368" i="7" s="1"/>
  <c r="AT364" i="7" a="1"/>
  <c r="AT364" i="7" s="1"/>
  <c r="AT361" i="7" a="1"/>
  <c r="AT361" i="7" s="1"/>
  <c r="AT357" i="7" a="1"/>
  <c r="AT357" i="7" s="1"/>
  <c r="AT354" i="7" a="1"/>
  <c r="AT354" i="7" s="1"/>
  <c r="AT347" i="7" a="1"/>
  <c r="AT347" i="7" s="1"/>
  <c r="AT344" i="7" a="1"/>
  <c r="AT344" i="7" s="1"/>
  <c r="AT340" i="7" a="1"/>
  <c r="AT340" i="7" s="1"/>
  <c r="AT337" i="7" a="1"/>
  <c r="AT337" i="7" s="1"/>
  <c r="AT333" i="7" a="1"/>
  <c r="AT333" i="7" s="1"/>
  <c r="AT330" i="7" a="1"/>
  <c r="AT330" i="7" s="1"/>
  <c r="AT323" i="7" a="1"/>
  <c r="AT323" i="7" s="1"/>
  <c r="AT396" i="7" a="1"/>
  <c r="AT396" i="7" s="1"/>
  <c r="AT385" i="7" a="1"/>
  <c r="AT385" i="7" s="1"/>
  <c r="AT365" i="7" a="1"/>
  <c r="AT365" i="7" s="1"/>
  <c r="AT373" i="7" a="1"/>
  <c r="AT373" i="7" s="1"/>
  <c r="AT359" i="7" a="1"/>
  <c r="AT359" i="7" s="1"/>
  <c r="AT345" i="7" a="1"/>
  <c r="AT345" i="7" s="1"/>
  <c r="AT309" i="7" a="1"/>
  <c r="AT309" i="7" s="1"/>
  <c r="AT308" i="7" a="1"/>
  <c r="AT308" i="7" s="1"/>
  <c r="AT307" i="7" a="1"/>
  <c r="AT307" i="7" s="1"/>
  <c r="AT306" i="7" a="1"/>
  <c r="AT306" i="7" s="1"/>
  <c r="AT305" i="7" a="1"/>
  <c r="AT305" i="7" s="1"/>
  <c r="AT369" i="7" a="1"/>
  <c r="AT369" i="7" s="1"/>
  <c r="AT356" i="7" a="1"/>
  <c r="AT356" i="7" s="1"/>
  <c r="AT379" i="7" a="1"/>
  <c r="AT379" i="7" s="1"/>
  <c r="AT355" i="7" a="1"/>
  <c r="AT355" i="7" s="1"/>
  <c r="AT341" i="7" a="1"/>
  <c r="AT341" i="7" s="1"/>
  <c r="AT332" i="7" a="1"/>
  <c r="AT332" i="7" s="1"/>
  <c r="AT324" i="7" a="1"/>
  <c r="AT324" i="7" s="1"/>
  <c r="AT320" i="7" a="1"/>
  <c r="AT320" i="7" s="1"/>
  <c r="AT303" i="7" a="1"/>
  <c r="AT303" i="7" s="1"/>
  <c r="AT338" i="7" a="1"/>
  <c r="AT338" i="7" s="1"/>
  <c r="AT334" i="7" a="1"/>
  <c r="AT334" i="7" s="1"/>
  <c r="AT327" i="7" a="1"/>
  <c r="AT327" i="7" s="1"/>
  <c r="AT317" i="7" a="1"/>
  <c r="AT317" i="7" s="1"/>
  <c r="AT316" i="7" a="1"/>
  <c r="AT316" i="7" s="1"/>
  <c r="AT310" i="7" a="1"/>
  <c r="AT310" i="7" s="1"/>
  <c r="AT351" i="7" a="1"/>
  <c r="AT351" i="7" s="1"/>
  <c r="AT382" i="7" a="1"/>
  <c r="AT382" i="7" s="1"/>
  <c r="AT376" i="7" a="1"/>
  <c r="AT376" i="7" s="1"/>
  <c r="AT349" i="7" a="1"/>
  <c r="AT349" i="7" s="1"/>
  <c r="AT318" i="7" a="1"/>
  <c r="AT318" i="7" s="1"/>
  <c r="AT335" i="7" a="1"/>
  <c r="AT335" i="7" s="1"/>
  <c r="AT372" i="7" a="1"/>
  <c r="AT372" i="7" s="1"/>
  <c r="AT358" i="7" a="1"/>
  <c r="AT358" i="7" s="1"/>
  <c r="AT311" i="7" a="1"/>
  <c r="AT311" i="7" s="1"/>
  <c r="AT304" i="7" a="1"/>
  <c r="AT304" i="7" s="1"/>
  <c r="AT321" i="7" a="1"/>
  <c r="AT321" i="7" s="1"/>
  <c r="AT380" i="7" a="1"/>
  <c r="AT380" i="7" s="1"/>
  <c r="AT366" i="7" a="1"/>
  <c r="AT366" i="7" s="1"/>
  <c r="AT352" i="7" a="1"/>
  <c r="AT352" i="7" s="1"/>
  <c r="AT331" i="7" a="1"/>
  <c r="AT331" i="7" s="1"/>
  <c r="AT325" i="7" a="1"/>
  <c r="AT325" i="7" s="1"/>
  <c r="AT296" i="7" a="1"/>
  <c r="AT296" i="7" s="1"/>
  <c r="AT294" i="7" a="1"/>
  <c r="AT294" i="7" s="1"/>
  <c r="AT292" i="7" a="1"/>
  <c r="AT292" i="7" s="1"/>
  <c r="AT289" i="7" a="1"/>
  <c r="AT289" i="7" s="1"/>
  <c r="AT342" i="7" a="1"/>
  <c r="AT342" i="7" s="1"/>
  <c r="AT388" i="7" a="1"/>
  <c r="AT388" i="7" s="1"/>
  <c r="AT375" i="7" a="1"/>
  <c r="AT375" i="7" s="1"/>
  <c r="AT362" i="7" a="1"/>
  <c r="AT362" i="7" s="1"/>
  <c r="AT348" i="7" a="1"/>
  <c r="AT348" i="7" s="1"/>
  <c r="AT328" i="7" a="1"/>
  <c r="AT328" i="7" s="1"/>
  <c r="AT302" i="7" a="1"/>
  <c r="AT302" i="7" s="1"/>
  <c r="AT301" i="7" a="1"/>
  <c r="AT301" i="7" s="1"/>
  <c r="AT300" i="7" a="1"/>
  <c r="AT300" i="7" s="1"/>
  <c r="AT299" i="7" a="1"/>
  <c r="AT299" i="7" s="1"/>
  <c r="AT298" i="7" a="1"/>
  <c r="AT298" i="7" s="1"/>
  <c r="AT297" i="7" a="1"/>
  <c r="AT297" i="7" s="1"/>
  <c r="AT295" i="7" a="1"/>
  <c r="AT295" i="7" s="1"/>
  <c r="AT293" i="7" a="1"/>
  <c r="AT293" i="7" s="1"/>
  <c r="AT291" i="7" a="1"/>
  <c r="AT291" i="7" s="1"/>
  <c r="AT290" i="7" a="1"/>
  <c r="AT290" i="7" s="1"/>
  <c r="AT288" i="7" a="1"/>
  <c r="AT288" i="7" s="1"/>
  <c r="AT287" i="7" a="1"/>
  <c r="AT287" i="7" s="1"/>
  <c r="AT286" i="7" a="1"/>
  <c r="AT286" i="7" s="1"/>
  <c r="AT285" i="7" a="1"/>
  <c r="AT285" i="7" s="1"/>
  <c r="AL416" i="7" a="1"/>
  <c r="AL416" i="7" s="1"/>
  <c r="AL412" i="7" a="1"/>
  <c r="AL412" i="7" s="1"/>
  <c r="AL409" i="7" a="1"/>
  <c r="AL409" i="7" s="1"/>
  <c r="AL405" i="7" a="1"/>
  <c r="AL405" i="7" s="1"/>
  <c r="AL402" i="7" a="1"/>
  <c r="AL402" i="7" s="1"/>
  <c r="AL413" i="7" a="1"/>
  <c r="AL413" i="7" s="1"/>
  <c r="AL410" i="7" a="1"/>
  <c r="AL410" i="7" s="1"/>
  <c r="AL406" i="7" a="1"/>
  <c r="AL406" i="7" s="1"/>
  <c r="AL403" i="7" a="1"/>
  <c r="AL403" i="7" s="1"/>
  <c r="AL399" i="7" a="1"/>
  <c r="AL399" i="7" s="1"/>
  <c r="AL396" i="7" a="1"/>
  <c r="AL396" i="7" s="1"/>
  <c r="AL395" i="7" a="1"/>
  <c r="AL395" i="7" s="1"/>
  <c r="AL414" i="7" a="1"/>
  <c r="AL414" i="7" s="1"/>
  <c r="AL407" i="7" a="1"/>
  <c r="AL407" i="7" s="1"/>
  <c r="AL404" i="7" a="1"/>
  <c r="AL404" i="7" s="1"/>
  <c r="AL400" i="7" a="1"/>
  <c r="AL400" i="7" s="1"/>
  <c r="AL397" i="7" a="1"/>
  <c r="AL397" i="7" s="1"/>
  <c r="AL415" i="7" a="1"/>
  <c r="AL415" i="7" s="1"/>
  <c r="AL391" i="7" a="1"/>
  <c r="AL391" i="7" s="1"/>
  <c r="AL398" i="7" a="1"/>
  <c r="AL398" i="7" s="1"/>
  <c r="AL401" i="7" a="1"/>
  <c r="AL401" i="7" s="1"/>
  <c r="AL394" i="7" a="1"/>
  <c r="AL394" i="7" s="1"/>
  <c r="AL408" i="7" a="1"/>
  <c r="AL408" i="7" s="1"/>
  <c r="AL393" i="7" a="1"/>
  <c r="AL393" i="7" s="1"/>
  <c r="AL392" i="7" a="1"/>
  <c r="AL392" i="7" s="1"/>
  <c r="AL390" i="7" a="1"/>
  <c r="AL390" i="7" s="1"/>
  <c r="AL377" i="7" a="1"/>
  <c r="AL377" i="7" s="1"/>
  <c r="AL374" i="7" a="1"/>
  <c r="AL374" i="7" s="1"/>
  <c r="AL370" i="7" a="1"/>
  <c r="AL370" i="7" s="1"/>
  <c r="AL367" i="7" a="1"/>
  <c r="AL367" i="7" s="1"/>
  <c r="AL363" i="7" a="1"/>
  <c r="AL363" i="7" s="1"/>
  <c r="AL360" i="7" a="1"/>
  <c r="AL360" i="7" s="1"/>
  <c r="AL353" i="7" a="1"/>
  <c r="AL353" i="7" s="1"/>
  <c r="AL350" i="7" a="1"/>
  <c r="AL350" i="7" s="1"/>
  <c r="AL346" i="7" a="1"/>
  <c r="AL346" i="7" s="1"/>
  <c r="AL343" i="7" a="1"/>
  <c r="AL343" i="7" s="1"/>
  <c r="AL339" i="7" a="1"/>
  <c r="AL339" i="7" s="1"/>
  <c r="AL336" i="7" a="1"/>
  <c r="AL336" i="7" s="1"/>
  <c r="AL329" i="7" a="1"/>
  <c r="AL329" i="7" s="1"/>
  <c r="AL326" i="7" a="1"/>
  <c r="AL326" i="7" s="1"/>
  <c r="AL322" i="7" a="1"/>
  <c r="AL322" i="7" s="1"/>
  <c r="AL319" i="7" a="1"/>
  <c r="AL319" i="7" s="1"/>
  <c r="AL383" i="7" a="1"/>
  <c r="AL383" i="7" s="1"/>
  <c r="AL315" i="7" a="1"/>
  <c r="AL315" i="7" s="1"/>
  <c r="AL314" i="7" a="1"/>
  <c r="AL314" i="7" s="1"/>
  <c r="AL313" i="7" a="1"/>
  <c r="AL313" i="7" s="1"/>
  <c r="AL312" i="7" a="1"/>
  <c r="AL312" i="7" s="1"/>
  <c r="AL311" i="7" a="1"/>
  <c r="AL311" i="7" s="1"/>
  <c r="AL310" i="7" a="1"/>
  <c r="AL310" i="7" s="1"/>
  <c r="AL385" i="7" a="1"/>
  <c r="AL385" i="7" s="1"/>
  <c r="AL381" i="7" a="1"/>
  <c r="AL381" i="7" s="1"/>
  <c r="AL378" i="7" a="1"/>
  <c r="AL378" i="7" s="1"/>
  <c r="AL371" i="7" a="1"/>
  <c r="AL371" i="7" s="1"/>
  <c r="AL368" i="7" a="1"/>
  <c r="AL368" i="7" s="1"/>
  <c r="AL364" i="7" a="1"/>
  <c r="AL364" i="7" s="1"/>
  <c r="AL361" i="7" a="1"/>
  <c r="AL361" i="7" s="1"/>
  <c r="AL357" i="7" a="1"/>
  <c r="AL357" i="7" s="1"/>
  <c r="AL354" i="7" a="1"/>
  <c r="AL354" i="7" s="1"/>
  <c r="AL347" i="7" a="1"/>
  <c r="AL347" i="7" s="1"/>
  <c r="AL344" i="7" a="1"/>
  <c r="AL344" i="7" s="1"/>
  <c r="AL340" i="7" a="1"/>
  <c r="AL340" i="7" s="1"/>
  <c r="AL337" i="7" a="1"/>
  <c r="AL337" i="7" s="1"/>
  <c r="AL333" i="7" a="1"/>
  <c r="AL333" i="7" s="1"/>
  <c r="AL330" i="7" a="1"/>
  <c r="AL330" i="7" s="1"/>
  <c r="AL388" i="7" a="1"/>
  <c r="AL388" i="7" s="1"/>
  <c r="AL379" i="7" a="1"/>
  <c r="AL379" i="7" s="1"/>
  <c r="AL375" i="7" a="1"/>
  <c r="AL375" i="7" s="1"/>
  <c r="AL372" i="7" a="1"/>
  <c r="AL372" i="7" s="1"/>
  <c r="AL365" i="7" a="1"/>
  <c r="AL365" i="7" s="1"/>
  <c r="AL362" i="7" a="1"/>
  <c r="AL362" i="7" s="1"/>
  <c r="AL358" i="7" a="1"/>
  <c r="AL358" i="7" s="1"/>
  <c r="AL355" i="7" a="1"/>
  <c r="AL355" i="7" s="1"/>
  <c r="AL351" i="7" a="1"/>
  <c r="AL351" i="7" s="1"/>
  <c r="AL348" i="7" a="1"/>
  <c r="AL348" i="7" s="1"/>
  <c r="AL341" i="7" a="1"/>
  <c r="AL341" i="7" s="1"/>
  <c r="AL338" i="7" a="1"/>
  <c r="AL338" i="7" s="1"/>
  <c r="AL334" i="7" a="1"/>
  <c r="AL334" i="7" s="1"/>
  <c r="AL331" i="7" a="1"/>
  <c r="AL331" i="7" s="1"/>
  <c r="AL327" i="7" a="1"/>
  <c r="AL327" i="7" s="1"/>
  <c r="AL324" i="7" a="1"/>
  <c r="AL324" i="7" s="1"/>
  <c r="AL317" i="7" a="1"/>
  <c r="AL317" i="7" s="1"/>
  <c r="AL382" i="7" a="1"/>
  <c r="AL382" i="7" s="1"/>
  <c r="AL386" i="7" a="1"/>
  <c r="AL386" i="7" s="1"/>
  <c r="AL380" i="7" a="1"/>
  <c r="AL380" i="7" s="1"/>
  <c r="AL376" i="7" a="1"/>
  <c r="AL376" i="7" s="1"/>
  <c r="AL373" i="7" a="1"/>
  <c r="AL373" i="7" s="1"/>
  <c r="AL369" i="7" a="1"/>
  <c r="AL369" i="7" s="1"/>
  <c r="AL366" i="7" a="1"/>
  <c r="AL366" i="7" s="1"/>
  <c r="AL359" i="7" a="1"/>
  <c r="AL359" i="7" s="1"/>
  <c r="AL356" i="7" a="1"/>
  <c r="AL356" i="7" s="1"/>
  <c r="AL352" i="7" a="1"/>
  <c r="AL352" i="7" s="1"/>
  <c r="AL349" i="7" a="1"/>
  <c r="AL349" i="7" s="1"/>
  <c r="AL345" i="7" a="1"/>
  <c r="AL345" i="7" s="1"/>
  <c r="AL342" i="7" a="1"/>
  <c r="AL342" i="7" s="1"/>
  <c r="AL335" i="7" a="1"/>
  <c r="AL335" i="7" s="1"/>
  <c r="AL309" i="7" a="1"/>
  <c r="AL309" i="7" s="1"/>
  <c r="AL308" i="7" a="1"/>
  <c r="AL308" i="7" s="1"/>
  <c r="AL307" i="7" a="1"/>
  <c r="AL307" i="7" s="1"/>
  <c r="AL306" i="7" a="1"/>
  <c r="AL306" i="7" s="1"/>
  <c r="AL305" i="7" a="1"/>
  <c r="AL305" i="7" s="1"/>
  <c r="AL302" i="7" a="1"/>
  <c r="AL302" i="7" s="1"/>
  <c r="AL301" i="7" a="1"/>
  <c r="AL301" i="7" s="1"/>
  <c r="AL300" i="7" a="1"/>
  <c r="AL300" i="7" s="1"/>
  <c r="AL299" i="7" a="1"/>
  <c r="AL299" i="7" s="1"/>
  <c r="AL298" i="7" a="1"/>
  <c r="AL298" i="7" s="1"/>
  <c r="AL297" i="7" a="1"/>
  <c r="AL297" i="7" s="1"/>
  <c r="AL296" i="7" a="1"/>
  <c r="AL296" i="7" s="1"/>
  <c r="AL295" i="7" a="1"/>
  <c r="AL295" i="7" s="1"/>
  <c r="AL294" i="7" a="1"/>
  <c r="AL294" i="7" s="1"/>
  <c r="AL293" i="7" a="1"/>
  <c r="AL293" i="7" s="1"/>
  <c r="AL292" i="7" a="1"/>
  <c r="AL292" i="7" s="1"/>
  <c r="AL291" i="7" a="1"/>
  <c r="AL291" i="7" s="1"/>
  <c r="AL290" i="7" a="1"/>
  <c r="AL290" i="7" s="1"/>
  <c r="AL289" i="7" a="1"/>
  <c r="AL289" i="7" s="1"/>
  <c r="AL288" i="7" a="1"/>
  <c r="AL288" i="7" s="1"/>
  <c r="AL287" i="7" a="1"/>
  <c r="AL287" i="7" s="1"/>
  <c r="AL286" i="7" a="1"/>
  <c r="AL286" i="7" s="1"/>
  <c r="AL285" i="7" a="1"/>
  <c r="AL285" i="7" s="1"/>
  <c r="AL321" i="7" a="1"/>
  <c r="AL321" i="7" s="1"/>
  <c r="AL411" i="7" a="1"/>
  <c r="AL411" i="7" s="1"/>
  <c r="AL387" i="7" a="1"/>
  <c r="AL387" i="7" s="1"/>
  <c r="AL318" i="7" a="1"/>
  <c r="AL318" i="7" s="1"/>
  <c r="AL332" i="7" a="1"/>
  <c r="AL332" i="7" s="1"/>
  <c r="AL323" i="7" a="1"/>
  <c r="AL323" i="7" s="1"/>
  <c r="AL303" i="7" a="1"/>
  <c r="AL303" i="7" s="1"/>
  <c r="AL316" i="7" a="1"/>
  <c r="AL316" i="7" s="1"/>
  <c r="AL328" i="7" a="1"/>
  <c r="AL328" i="7" s="1"/>
  <c r="AL389" i="7" a="1"/>
  <c r="AL389" i="7" s="1"/>
  <c r="AL325" i="7" a="1"/>
  <c r="AL325" i="7" s="1"/>
  <c r="AL384" i="7" a="1"/>
  <c r="AL384" i="7" s="1"/>
  <c r="AL320" i="7" a="1"/>
  <c r="AL320" i="7" s="1"/>
  <c r="AL304" i="7" a="1"/>
  <c r="AL304" i="7" s="1"/>
  <c r="AY416" i="7" a="1"/>
  <c r="AY416" i="7" s="1"/>
  <c r="AY412" i="7" a="1"/>
  <c r="AY412" i="7" s="1"/>
  <c r="AY409" i="7" a="1"/>
  <c r="AY409" i="7" s="1"/>
  <c r="AY405" i="7" a="1"/>
  <c r="AY405" i="7" s="1"/>
  <c r="AY402" i="7" a="1"/>
  <c r="AY402" i="7" s="1"/>
  <c r="AY395" i="7" a="1"/>
  <c r="AY395" i="7" s="1"/>
  <c r="AY394" i="7" a="1"/>
  <c r="AY394" i="7" s="1"/>
  <c r="AY393" i="7" a="1"/>
  <c r="AY393" i="7" s="1"/>
  <c r="AY413" i="7" a="1"/>
  <c r="AY413" i="7" s="1"/>
  <c r="AY410" i="7" a="1"/>
  <c r="AY410" i="7" s="1"/>
  <c r="AY406" i="7" a="1"/>
  <c r="AY406" i="7" s="1"/>
  <c r="AY403" i="7" a="1"/>
  <c r="AY403" i="7" s="1"/>
  <c r="AY399" i="7" a="1"/>
  <c r="AY399" i="7" s="1"/>
  <c r="AY396" i="7" a="1"/>
  <c r="AY396" i="7" s="1"/>
  <c r="AY414" i="7" a="1"/>
  <c r="AY414" i="7" s="1"/>
  <c r="AY407" i="7" a="1"/>
  <c r="AY407" i="7" s="1"/>
  <c r="AY404" i="7" a="1"/>
  <c r="AY404" i="7" s="1"/>
  <c r="AY400" i="7" a="1"/>
  <c r="AY400" i="7" s="1"/>
  <c r="AY397" i="7" a="1"/>
  <c r="AY397" i="7" s="1"/>
  <c r="AY401" i="7" a="1"/>
  <c r="AY401" i="7" s="1"/>
  <c r="AY408" i="7" a="1"/>
  <c r="AY408" i="7" s="1"/>
  <c r="AY391" i="7" a="1"/>
  <c r="AY391" i="7" s="1"/>
  <c r="AY411" i="7" a="1"/>
  <c r="AY411" i="7" s="1"/>
  <c r="AY415" i="7" a="1"/>
  <c r="AY415" i="7" s="1"/>
  <c r="AY398" i="7" a="1"/>
  <c r="AY398" i="7" s="1"/>
  <c r="AY390" i="7" a="1"/>
  <c r="AY390" i="7" s="1"/>
  <c r="AY381" i="7" a="1"/>
  <c r="AY381" i="7" s="1"/>
  <c r="AY378" i="7" a="1"/>
  <c r="AY378" i="7" s="1"/>
  <c r="AY371" i="7" a="1"/>
  <c r="AY371" i="7" s="1"/>
  <c r="AY368" i="7" a="1"/>
  <c r="AY368" i="7" s="1"/>
  <c r="AY364" i="7" a="1"/>
  <c r="AY364" i="7" s="1"/>
  <c r="AY361" i="7" a="1"/>
  <c r="AY361" i="7" s="1"/>
  <c r="AY357" i="7" a="1"/>
  <c r="AY357" i="7" s="1"/>
  <c r="AY354" i="7" a="1"/>
  <c r="AY354" i="7" s="1"/>
  <c r="AY347" i="7" a="1"/>
  <c r="AY347" i="7" s="1"/>
  <c r="AY344" i="7" a="1"/>
  <c r="AY344" i="7" s="1"/>
  <c r="AY340" i="7" a="1"/>
  <c r="AY340" i="7" s="1"/>
  <c r="AY337" i="7" a="1"/>
  <c r="AY337" i="7" s="1"/>
  <c r="AY333" i="7" a="1"/>
  <c r="AY333" i="7" s="1"/>
  <c r="AY330" i="7" a="1"/>
  <c r="AY330" i="7" s="1"/>
  <c r="AY323" i="7" a="1"/>
  <c r="AY323" i="7" s="1"/>
  <c r="AY320" i="7" a="1"/>
  <c r="AY320" i="7" s="1"/>
  <c r="AY316" i="7" a="1"/>
  <c r="AY316" i="7" s="1"/>
  <c r="AY392" i="7" a="1"/>
  <c r="AY392" i="7" s="1"/>
  <c r="AY383" i="7" a="1"/>
  <c r="AY383" i="7" s="1"/>
  <c r="AY385" i="7" a="1"/>
  <c r="AY385" i="7" s="1"/>
  <c r="AY379" i="7" a="1"/>
  <c r="AY379" i="7" s="1"/>
  <c r="AY375" i="7" a="1"/>
  <c r="AY375" i="7" s="1"/>
  <c r="AY372" i="7" a="1"/>
  <c r="AY372" i="7" s="1"/>
  <c r="AY365" i="7" a="1"/>
  <c r="AY365" i="7" s="1"/>
  <c r="AY362" i="7" a="1"/>
  <c r="AY362" i="7" s="1"/>
  <c r="AY358" i="7" a="1"/>
  <c r="AY358" i="7" s="1"/>
  <c r="AY355" i="7" a="1"/>
  <c r="AY355" i="7" s="1"/>
  <c r="AY351" i="7" a="1"/>
  <c r="AY351" i="7" s="1"/>
  <c r="AY348" i="7" a="1"/>
  <c r="AY348" i="7" s="1"/>
  <c r="AY341" i="7" a="1"/>
  <c r="AY341" i="7" s="1"/>
  <c r="AY338" i="7" a="1"/>
  <c r="AY338" i="7" s="1"/>
  <c r="AY334" i="7" a="1"/>
  <c r="AY334" i="7" s="1"/>
  <c r="AY331" i="7" a="1"/>
  <c r="AY331" i="7" s="1"/>
  <c r="AY388" i="7" a="1"/>
  <c r="AY388" i="7" s="1"/>
  <c r="AY382" i="7" a="1"/>
  <c r="AY382" i="7" s="1"/>
  <c r="AY380" i="7" a="1"/>
  <c r="AY380" i="7" s="1"/>
  <c r="AY376" i="7" a="1"/>
  <c r="AY376" i="7" s="1"/>
  <c r="AY373" i="7" a="1"/>
  <c r="AY373" i="7" s="1"/>
  <c r="AY369" i="7" a="1"/>
  <c r="AY369" i="7" s="1"/>
  <c r="AY366" i="7" a="1"/>
  <c r="AY366" i="7" s="1"/>
  <c r="AY359" i="7" a="1"/>
  <c r="AY359" i="7" s="1"/>
  <c r="AY356" i="7" a="1"/>
  <c r="AY356" i="7" s="1"/>
  <c r="AY352" i="7" a="1"/>
  <c r="AY352" i="7" s="1"/>
  <c r="AY349" i="7" a="1"/>
  <c r="AY349" i="7" s="1"/>
  <c r="AY345" i="7" a="1"/>
  <c r="AY345" i="7" s="1"/>
  <c r="AY342" i="7" a="1"/>
  <c r="AY342" i="7" s="1"/>
  <c r="AY335" i="7" a="1"/>
  <c r="AY335" i="7" s="1"/>
  <c r="AY332" i="7" a="1"/>
  <c r="AY332" i="7" s="1"/>
  <c r="AY328" i="7" a="1"/>
  <c r="AY328" i="7" s="1"/>
  <c r="AY325" i="7" a="1"/>
  <c r="AY325" i="7" s="1"/>
  <c r="AY321" i="7" a="1"/>
  <c r="AY321" i="7" s="1"/>
  <c r="AY318" i="7" a="1"/>
  <c r="AY318" i="7" s="1"/>
  <c r="AY384" i="7" a="1"/>
  <c r="AY384" i="7" s="1"/>
  <c r="AY387" i="7" a="1"/>
  <c r="AY387" i="7" s="1"/>
  <c r="AY377" i="7" a="1"/>
  <c r="AY377" i="7" s="1"/>
  <c r="AY374" i="7" a="1"/>
  <c r="AY374" i="7" s="1"/>
  <c r="AY370" i="7" a="1"/>
  <c r="AY370" i="7" s="1"/>
  <c r="AY367" i="7" a="1"/>
  <c r="AY367" i="7" s="1"/>
  <c r="AY363" i="7" a="1"/>
  <c r="AY363" i="7" s="1"/>
  <c r="AY360" i="7" a="1"/>
  <c r="AY360" i="7" s="1"/>
  <c r="AY353" i="7" a="1"/>
  <c r="AY353" i="7" s="1"/>
  <c r="AY350" i="7" a="1"/>
  <c r="AY350" i="7" s="1"/>
  <c r="AY346" i="7" a="1"/>
  <c r="AY346" i="7" s="1"/>
  <c r="AY343" i="7" a="1"/>
  <c r="AY343" i="7" s="1"/>
  <c r="AY339" i="7" a="1"/>
  <c r="AY339" i="7" s="1"/>
  <c r="AY336" i="7" a="1"/>
  <c r="AY336" i="7" s="1"/>
  <c r="AY319" i="7" a="1"/>
  <c r="AY319" i="7" s="1"/>
  <c r="AY317" i="7" a="1"/>
  <c r="AY317" i="7" s="1"/>
  <c r="AY295" i="7" a="1"/>
  <c r="AY295" i="7" s="1"/>
  <c r="AY324" i="7" a="1"/>
  <c r="AY324" i="7" s="1"/>
  <c r="AY315" i="7" a="1"/>
  <c r="AY315" i="7" s="1"/>
  <c r="AY313" i="7" a="1"/>
  <c r="AY313" i="7" s="1"/>
  <c r="AY311" i="7" a="1"/>
  <c r="AY311" i="7" s="1"/>
  <c r="AY300" i="7" a="1"/>
  <c r="AY300" i="7" s="1"/>
  <c r="AY293" i="7" a="1"/>
  <c r="AY293" i="7" s="1"/>
  <c r="AY291" i="7" a="1"/>
  <c r="AY291" i="7" s="1"/>
  <c r="AY289" i="7" a="1"/>
  <c r="AY289" i="7" s="1"/>
  <c r="AY327" i="7" a="1"/>
  <c r="AY327" i="7" s="1"/>
  <c r="AY296" i="7" a="1"/>
  <c r="AY296" i="7" s="1"/>
  <c r="AY294" i="7" a="1"/>
  <c r="AY294" i="7" s="1"/>
  <c r="AY286" i="7" a="1"/>
  <c r="AY286" i="7" s="1"/>
  <c r="AY389" i="7" a="1"/>
  <c r="AY389" i="7" s="1"/>
  <c r="AY292" i="7" a="1"/>
  <c r="AY292" i="7" s="1"/>
  <c r="AY288" i="7" a="1"/>
  <c r="AY288" i="7" s="1"/>
  <c r="AY303" i="7" a="1"/>
  <c r="AY303" i="7" s="1"/>
  <c r="AY322" i="7" a="1"/>
  <c r="AY322" i="7" s="1"/>
  <c r="AY297" i="7" a="1"/>
  <c r="AY297" i="7" s="1"/>
  <c r="AY285" i="7" a="1"/>
  <c r="AY285" i="7" s="1"/>
  <c r="AY326" i="7" a="1"/>
  <c r="AY326" i="7" s="1"/>
  <c r="AY314" i="7" a="1"/>
  <c r="AY314" i="7" s="1"/>
  <c r="AY312" i="7" a="1"/>
  <c r="AY312" i="7" s="1"/>
  <c r="AY308" i="7" a="1"/>
  <c r="AY308" i="7" s="1"/>
  <c r="AY307" i="7" a="1"/>
  <c r="AY307" i="7" s="1"/>
  <c r="AY306" i="7" a="1"/>
  <c r="AY306" i="7" s="1"/>
  <c r="AY305" i="7" a="1"/>
  <c r="AY305" i="7" s="1"/>
  <c r="AY310" i="7" a="1"/>
  <c r="AY310" i="7" s="1"/>
  <c r="AY298" i="7" a="1"/>
  <c r="AY298" i="7" s="1"/>
  <c r="AY287" i="7" a="1"/>
  <c r="AY287" i="7" s="1"/>
  <c r="AY386" i="7" a="1"/>
  <c r="AY386" i="7" s="1"/>
  <c r="AY329" i="7" a="1"/>
  <c r="AY329" i="7" s="1"/>
  <c r="AY309" i="7" a="1"/>
  <c r="AY309" i="7" s="1"/>
  <c r="AY304" i="7" a="1"/>
  <c r="AY304" i="7" s="1"/>
  <c r="AY301" i="7" a="1"/>
  <c r="AY301" i="7" s="1"/>
  <c r="AY299" i="7" a="1"/>
  <c r="AY299" i="7" s="1"/>
  <c r="AY290" i="7" a="1"/>
  <c r="AY290" i="7" s="1"/>
  <c r="AY302" i="7" a="1"/>
  <c r="AY302" i="7" s="1"/>
  <c r="AO548" i="7" a="1"/>
  <c r="AO548" i="7" s="1"/>
  <c r="AO546" i="7" a="1"/>
  <c r="AO546" i="7" s="1"/>
  <c r="AO544" i="7" a="1"/>
  <c r="AO544" i="7" s="1"/>
  <c r="AO541" i="7" a="1"/>
  <c r="AO541" i="7" s="1"/>
  <c r="AO539" i="7" a="1"/>
  <c r="AO539" i="7" s="1"/>
  <c r="AO537" i="7" a="1"/>
  <c r="AO537" i="7" s="1"/>
  <c r="AO536" i="7" a="1"/>
  <c r="AO536" i="7" s="1"/>
  <c r="AO534" i="7" a="1"/>
  <c r="AO534" i="7" s="1"/>
  <c r="AO532" i="7" a="1"/>
  <c r="AO532" i="7" s="1"/>
  <c r="AO515" i="7" a="1"/>
  <c r="AO515" i="7" s="1"/>
  <c r="AO514" i="7" a="1"/>
  <c r="AO514" i="7" s="1"/>
  <c r="AO513" i="7" a="1"/>
  <c r="AO513" i="7" s="1"/>
  <c r="AO512" i="7" a="1"/>
  <c r="AO512" i="7" s="1"/>
  <c r="AO511" i="7" a="1"/>
  <c r="AO511" i="7" s="1"/>
  <c r="AO510" i="7" a="1"/>
  <c r="AO510" i="7" s="1"/>
  <c r="AO509" i="7" a="1"/>
  <c r="AO509" i="7" s="1"/>
  <c r="AO508" i="7" a="1"/>
  <c r="AO508" i="7" s="1"/>
  <c r="AO507" i="7" a="1"/>
  <c r="AO507" i="7" s="1"/>
  <c r="AO506" i="7" a="1"/>
  <c r="AO506" i="7" s="1"/>
  <c r="AO505" i="7" a="1"/>
  <c r="AO505" i="7" s="1"/>
  <c r="AO504" i="7" a="1"/>
  <c r="AO504" i="7" s="1"/>
  <c r="AO503" i="7" a="1"/>
  <c r="AO503" i="7" s="1"/>
  <c r="AO502" i="7" a="1"/>
  <c r="AO502" i="7" s="1"/>
  <c r="AO501" i="7" a="1"/>
  <c r="AO501" i="7" s="1"/>
  <c r="AO547" i="7" a="1"/>
  <c r="AO547" i="7" s="1"/>
  <c r="AO545" i="7" a="1"/>
  <c r="AO545" i="7" s="1"/>
  <c r="AO543" i="7" a="1"/>
  <c r="AO543" i="7" s="1"/>
  <c r="AO542" i="7" a="1"/>
  <c r="AO542" i="7" s="1"/>
  <c r="AO540" i="7" a="1"/>
  <c r="AO540" i="7" s="1"/>
  <c r="AO538" i="7" a="1"/>
  <c r="AO538" i="7" s="1"/>
  <c r="AO535" i="7" a="1"/>
  <c r="AO535" i="7" s="1"/>
  <c r="AO533" i="7" a="1"/>
  <c r="AO533" i="7" s="1"/>
  <c r="AO527" i="7" a="1"/>
  <c r="AO527" i="7" s="1"/>
  <c r="AO524" i="7" a="1"/>
  <c r="AO524" i="7" s="1"/>
  <c r="AO520" i="7" a="1"/>
  <c r="AO520" i="7" s="1"/>
  <c r="AO517" i="7" a="1"/>
  <c r="AO517" i="7" s="1"/>
  <c r="AO530" i="7" a="1"/>
  <c r="AO530" i="7" s="1"/>
  <c r="AO526" i="7" a="1"/>
  <c r="AO526" i="7" s="1"/>
  <c r="AO523" i="7" a="1"/>
  <c r="AO523" i="7" s="1"/>
  <c r="AO519" i="7" a="1"/>
  <c r="AO519" i="7" s="1"/>
  <c r="AO516" i="7" a="1"/>
  <c r="AO516" i="7" s="1"/>
  <c r="AO499" i="7" a="1"/>
  <c r="AO499" i="7" s="1"/>
  <c r="AO498" i="7" a="1"/>
  <c r="AO498" i="7" s="1"/>
  <c r="AO497" i="7" a="1"/>
  <c r="AO497" i="7" s="1"/>
  <c r="AO496" i="7" a="1"/>
  <c r="AO496" i="7" s="1"/>
  <c r="AO529" i="7" a="1"/>
  <c r="AO529" i="7" s="1"/>
  <c r="AO525" i="7" a="1"/>
  <c r="AO525" i="7" s="1"/>
  <c r="AO522" i="7" a="1"/>
  <c r="AO522" i="7" s="1"/>
  <c r="AO531" i="7" a="1"/>
  <c r="AO531" i="7" s="1"/>
  <c r="AO482" i="7" a="1"/>
  <c r="AO482" i="7" s="1"/>
  <c r="AO500" i="7" a="1"/>
  <c r="AO500" i="7" s="1"/>
  <c r="AO518" i="7" a="1"/>
  <c r="AO518" i="7" s="1"/>
  <c r="AO494" i="7" a="1"/>
  <c r="AO494" i="7" s="1"/>
  <c r="AO493" i="7" a="1"/>
  <c r="AO493" i="7" s="1"/>
  <c r="AO492" i="7" a="1"/>
  <c r="AO492" i="7" s="1"/>
  <c r="AO491" i="7" a="1"/>
  <c r="AO491" i="7" s="1"/>
  <c r="AO490" i="7" a="1"/>
  <c r="AO490" i="7" s="1"/>
  <c r="AO489" i="7" a="1"/>
  <c r="AO489" i="7" s="1"/>
  <c r="AO488" i="7" a="1"/>
  <c r="AO488" i="7" s="1"/>
  <c r="AO487" i="7" a="1"/>
  <c r="AO487" i="7" s="1"/>
  <c r="AO486" i="7" a="1"/>
  <c r="AO486" i="7" s="1"/>
  <c r="AO485" i="7" a="1"/>
  <c r="AO485" i="7" s="1"/>
  <c r="AO484" i="7" a="1"/>
  <c r="AO484" i="7" s="1"/>
  <c r="AO521" i="7" a="1"/>
  <c r="AO521" i="7" s="1"/>
  <c r="AO495" i="7" a="1"/>
  <c r="AO495" i="7" s="1"/>
  <c r="AO483" i="7" a="1"/>
  <c r="AO483" i="7" s="1"/>
  <c r="AO480" i="7" a="1"/>
  <c r="AO480" i="7" s="1"/>
  <c r="AO475" i="7" a="1"/>
  <c r="AO475" i="7" s="1"/>
  <c r="AO468" i="7" a="1"/>
  <c r="AO468" i="7" s="1"/>
  <c r="AO456" i="7" a="1"/>
  <c r="AO456" i="7" s="1"/>
  <c r="AO449" i="7" a="1"/>
  <c r="AO449" i="7" s="1"/>
  <c r="AO446" i="7" a="1"/>
  <c r="AO446" i="7" s="1"/>
  <c r="AO442" i="7" a="1"/>
  <c r="AO442" i="7" s="1"/>
  <c r="AO439" i="7" a="1"/>
  <c r="AO439" i="7" s="1"/>
  <c r="AO435" i="7" a="1"/>
  <c r="AO435" i="7" s="1"/>
  <c r="AO432" i="7" a="1"/>
  <c r="AO432" i="7" s="1"/>
  <c r="AO425" i="7" a="1"/>
  <c r="AO425" i="7" s="1"/>
  <c r="AO422" i="7" a="1"/>
  <c r="AO422" i="7" s="1"/>
  <c r="AO418" i="7" a="1"/>
  <c r="AO418" i="7" s="1"/>
  <c r="AO481" i="7" a="1"/>
  <c r="AO481" i="7" s="1"/>
  <c r="AO476" i="7" a="1"/>
  <c r="AO476" i="7" s="1"/>
  <c r="AO474" i="7" a="1"/>
  <c r="AO474" i="7" s="1"/>
  <c r="AO528" i="7" a="1"/>
  <c r="AO528" i="7" s="1"/>
  <c r="AO473" i="7" a="1"/>
  <c r="AO473" i="7" s="1"/>
  <c r="AO469" i="7" a="1"/>
  <c r="AO469" i="7" s="1"/>
  <c r="AO455" i="7" a="1"/>
  <c r="AO455" i="7" s="1"/>
  <c r="AO452" i="7" a="1"/>
  <c r="AO452" i="7" s="1"/>
  <c r="AO448" i="7" a="1"/>
  <c r="AO448" i="7" s="1"/>
  <c r="AO445" i="7" a="1"/>
  <c r="AO445" i="7" s="1"/>
  <c r="AO441" i="7" a="1"/>
  <c r="AO441" i="7" s="1"/>
  <c r="AO438" i="7" a="1"/>
  <c r="AO438" i="7" s="1"/>
  <c r="AO429" i="7" a="1"/>
  <c r="AO429" i="7" s="1"/>
  <c r="AO426" i="7" a="1"/>
  <c r="AO426" i="7" s="1"/>
  <c r="AO477" i="7" a="1"/>
  <c r="AO477" i="7" s="1"/>
  <c r="AO478" i="7" a="1"/>
  <c r="AO478" i="7" s="1"/>
  <c r="AO470" i="7" a="1"/>
  <c r="AO470" i="7" s="1"/>
  <c r="AO454" i="7" a="1"/>
  <c r="AO454" i="7" s="1"/>
  <c r="AO451" i="7" a="1"/>
  <c r="AO451" i="7" s="1"/>
  <c r="AO466" i="7" a="1"/>
  <c r="AO466" i="7" s="1"/>
  <c r="AO465" i="7" a="1"/>
  <c r="AO465" i="7" s="1"/>
  <c r="AO464" i="7" a="1"/>
  <c r="AO464" i="7" s="1"/>
  <c r="AO463" i="7" a="1"/>
  <c r="AO463" i="7" s="1"/>
  <c r="AO462" i="7" a="1"/>
  <c r="AO462" i="7" s="1"/>
  <c r="AO461" i="7" a="1"/>
  <c r="AO461" i="7" s="1"/>
  <c r="AO460" i="7" a="1"/>
  <c r="AO460" i="7" s="1"/>
  <c r="AO459" i="7" a="1"/>
  <c r="AO459" i="7" s="1"/>
  <c r="AO458" i="7" a="1"/>
  <c r="AO458" i="7" s="1"/>
  <c r="AO471" i="7" a="1"/>
  <c r="AO471" i="7" s="1"/>
  <c r="AO444" i="7" a="1"/>
  <c r="AO444" i="7" s="1"/>
  <c r="AO424" i="7" a="1"/>
  <c r="AO424" i="7" s="1"/>
  <c r="AO440" i="7" a="1"/>
  <c r="AO440" i="7" s="1"/>
  <c r="AO436" i="7" a="1"/>
  <c r="AO436" i="7" s="1"/>
  <c r="AO433" i="7" a="1"/>
  <c r="AO433" i="7" s="1"/>
  <c r="AO437" i="7" a="1"/>
  <c r="AO437" i="7" s="1"/>
  <c r="AO434" i="7" a="1"/>
  <c r="AO434" i="7" s="1"/>
  <c r="AO467" i="7" a="1"/>
  <c r="AO467" i="7" s="1"/>
  <c r="AO457" i="7" a="1"/>
  <c r="AO457" i="7" s="1"/>
  <c r="AO450" i="7" a="1"/>
  <c r="AO450" i="7" s="1"/>
  <c r="AO479" i="7" a="1"/>
  <c r="AO479" i="7" s="1"/>
  <c r="AO417" i="7" a="1"/>
  <c r="AO417" i="7" s="1"/>
  <c r="AO430" i="7" a="1"/>
  <c r="AO430" i="7" s="1"/>
  <c r="AO443" i="7" a="1"/>
  <c r="AO443" i="7" s="1"/>
  <c r="AO428" i="7" a="1"/>
  <c r="AO428" i="7" s="1"/>
  <c r="AO447" i="7" a="1"/>
  <c r="AO447" i="7" s="1"/>
  <c r="AO427" i="7" a="1"/>
  <c r="AO427" i="7" s="1"/>
  <c r="AO423" i="7" a="1"/>
  <c r="AO423" i="7" s="1"/>
  <c r="AO421" i="7" a="1"/>
  <c r="AO421" i="7" s="1"/>
  <c r="AO431" i="7" a="1"/>
  <c r="AO431" i="7" s="1"/>
  <c r="AO472" i="7" a="1"/>
  <c r="AO472" i="7" s="1"/>
  <c r="AO420" i="7" a="1"/>
  <c r="AO420" i="7" s="1"/>
  <c r="AO453" i="7" a="1"/>
  <c r="AO453" i="7" s="1"/>
  <c r="AO419" i="7" a="1"/>
  <c r="AO419" i="7" s="1"/>
  <c r="AX679" i="7" a="1"/>
  <c r="AX679" i="7" s="1"/>
  <c r="AX677" i="7" a="1"/>
  <c r="AX677" i="7" s="1"/>
  <c r="AX675" i="7" a="1"/>
  <c r="AX675" i="7" s="1"/>
  <c r="AX674" i="7" a="1"/>
  <c r="AX674" i="7" s="1"/>
  <c r="AX672" i="7" a="1"/>
  <c r="AX672" i="7" s="1"/>
  <c r="AX670" i="7" a="1"/>
  <c r="AX670" i="7" s="1"/>
  <c r="AX667" i="7" a="1"/>
  <c r="AX667" i="7" s="1"/>
  <c r="AX680" i="7" a="1"/>
  <c r="AX680" i="7" s="1"/>
  <c r="AX678" i="7" a="1"/>
  <c r="AX678" i="7" s="1"/>
  <c r="AX676" i="7" a="1"/>
  <c r="AX676" i="7" s="1"/>
  <c r="AX673" i="7" a="1"/>
  <c r="AX673" i="7" s="1"/>
  <c r="AX654" i="7" a="1"/>
  <c r="AX654" i="7" s="1"/>
  <c r="AX647" i="7" a="1"/>
  <c r="AX647" i="7" s="1"/>
  <c r="AX644" i="7" a="1"/>
  <c r="AX644" i="7" s="1"/>
  <c r="AX640" i="7" a="1"/>
  <c r="AX640" i="7" s="1"/>
  <c r="AX668" i="7" a="1"/>
  <c r="AX668" i="7" s="1"/>
  <c r="AX665" i="7" a="1"/>
  <c r="AX665" i="7" s="1"/>
  <c r="AX663" i="7" a="1"/>
  <c r="AX663" i="7" s="1"/>
  <c r="AX662" i="7" a="1"/>
  <c r="AX662" i="7" s="1"/>
  <c r="AX660" i="7" a="1"/>
  <c r="AX660" i="7" s="1"/>
  <c r="AX658" i="7" a="1"/>
  <c r="AX658" i="7" s="1"/>
  <c r="AX655" i="7" a="1"/>
  <c r="AX655" i="7" s="1"/>
  <c r="AX651" i="7" a="1"/>
  <c r="AX651" i="7" s="1"/>
  <c r="AX648" i="7" a="1"/>
  <c r="AX648" i="7" s="1"/>
  <c r="AX641" i="7" a="1"/>
  <c r="AX641" i="7" s="1"/>
  <c r="AX669" i="7" a="1"/>
  <c r="AX669" i="7" s="1"/>
  <c r="AX652" i="7" a="1"/>
  <c r="AX652" i="7" s="1"/>
  <c r="AX649" i="7" a="1"/>
  <c r="AX649" i="7" s="1"/>
  <c r="AX645" i="7" a="1"/>
  <c r="AX645" i="7" s="1"/>
  <c r="AX666" i="7" a="1"/>
  <c r="AX666" i="7" s="1"/>
  <c r="AX664" i="7" a="1"/>
  <c r="AX664" i="7" s="1"/>
  <c r="AX661" i="7" a="1"/>
  <c r="AX661" i="7" s="1"/>
  <c r="AX659" i="7" a="1"/>
  <c r="AX659" i="7" s="1"/>
  <c r="AX657" i="7" a="1"/>
  <c r="AX657" i="7" s="1"/>
  <c r="AX656" i="7" a="1"/>
  <c r="AX656" i="7" s="1"/>
  <c r="AX642" i="7" a="1"/>
  <c r="AX642" i="7" s="1"/>
  <c r="AX650" i="7" a="1"/>
  <c r="AX650" i="7" s="1"/>
  <c r="AX623" i="7" a="1"/>
  <c r="AX623" i="7" s="1"/>
  <c r="AX671" i="7" a="1"/>
  <c r="AX671" i="7" s="1"/>
  <c r="AX609" i="7" a="1"/>
  <c r="AX609" i="7" s="1"/>
  <c r="AX653" i="7" a="1"/>
  <c r="AX653" i="7" s="1"/>
  <c r="AX643" i="7" a="1"/>
  <c r="AX643" i="7" s="1"/>
  <c r="AX637" i="7" a="1"/>
  <c r="AX637" i="7" s="1"/>
  <c r="AX635" i="7" a="1"/>
  <c r="AX635" i="7" s="1"/>
  <c r="AX633" i="7" a="1"/>
  <c r="AX633" i="7" s="1"/>
  <c r="AX632" i="7" a="1"/>
  <c r="AX632" i="7" s="1"/>
  <c r="AX630" i="7" a="1"/>
  <c r="AX630" i="7" s="1"/>
  <c r="AX628" i="7" a="1"/>
  <c r="AX628" i="7" s="1"/>
  <c r="AX624" i="7" a="1"/>
  <c r="AX624" i="7" s="1"/>
  <c r="AX617" i="7" a="1"/>
  <c r="AX617" i="7" s="1"/>
  <c r="AX614" i="7" a="1"/>
  <c r="AX614" i="7" s="1"/>
  <c r="AX610" i="7" a="1"/>
  <c r="AX610" i="7" s="1"/>
  <c r="AX646" i="7" a="1"/>
  <c r="AX646" i="7" s="1"/>
  <c r="AX625" i="7" a="1"/>
  <c r="AX625" i="7" s="1"/>
  <c r="AX621" i="7" a="1"/>
  <c r="AX621" i="7" s="1"/>
  <c r="AX639" i="7" a="1"/>
  <c r="AX639" i="7" s="1"/>
  <c r="AX638" i="7" a="1"/>
  <c r="AX638" i="7" s="1"/>
  <c r="AX636" i="7" a="1"/>
  <c r="AX636" i="7" s="1"/>
  <c r="AX634" i="7" a="1"/>
  <c r="AX634" i="7" s="1"/>
  <c r="AX631" i="7" a="1"/>
  <c r="AX631" i="7" s="1"/>
  <c r="AX629" i="7" a="1"/>
  <c r="AX629" i="7" s="1"/>
  <c r="AX627" i="7" a="1"/>
  <c r="AX627" i="7" s="1"/>
  <c r="AX616" i="7" a="1"/>
  <c r="AX616" i="7" s="1"/>
  <c r="AX615" i="7" a="1"/>
  <c r="AX615" i="7" s="1"/>
  <c r="AX626" i="7" a="1"/>
  <c r="AX626" i="7" s="1"/>
  <c r="AX613" i="7" a="1"/>
  <c r="AX613" i="7" s="1"/>
  <c r="AX612" i="7" a="1"/>
  <c r="AX612" i="7" s="1"/>
  <c r="AX620" i="7" a="1"/>
  <c r="AX620" i="7" s="1"/>
  <c r="AX618" i="7" a="1"/>
  <c r="AX618" i="7" s="1"/>
  <c r="AX622" i="7" a="1"/>
  <c r="AX622" i="7" s="1"/>
  <c r="AX619" i="7" a="1"/>
  <c r="AX619" i="7" s="1"/>
  <c r="AX607" i="7" a="1"/>
  <c r="AX607" i="7" s="1"/>
  <c r="AX605" i="7" a="1"/>
  <c r="AX605" i="7" s="1"/>
  <c r="AX603" i="7" a="1"/>
  <c r="AX603" i="7" s="1"/>
  <c r="AX602" i="7" a="1"/>
  <c r="AX602" i="7" s="1"/>
  <c r="AX600" i="7" a="1"/>
  <c r="AX600" i="7" s="1"/>
  <c r="AX586" i="7" a="1"/>
  <c r="AX586" i="7" s="1"/>
  <c r="AX583" i="7" a="1"/>
  <c r="AX583" i="7" s="1"/>
  <c r="AX579" i="7" a="1"/>
  <c r="AX579" i="7" s="1"/>
  <c r="AX576" i="7" a="1"/>
  <c r="AX576" i="7" s="1"/>
  <c r="AX569" i="7" a="1"/>
  <c r="AX569" i="7" s="1"/>
  <c r="AX566" i="7" a="1"/>
  <c r="AX566" i="7" s="1"/>
  <c r="AX562" i="7" a="1"/>
  <c r="AX562" i="7" s="1"/>
  <c r="AX611" i="7" a="1"/>
  <c r="AX611" i="7" s="1"/>
  <c r="AX604" i="7" a="1"/>
  <c r="AX604" i="7" s="1"/>
  <c r="AX597" i="7" a="1"/>
  <c r="AX597" i="7" s="1"/>
  <c r="AX606" i="7" a="1"/>
  <c r="AX606" i="7" s="1"/>
  <c r="AX598" i="7" a="1"/>
  <c r="AX598" i="7" s="1"/>
  <c r="AX584" i="7" a="1"/>
  <c r="AX584" i="7" s="1"/>
  <c r="AX580" i="7" a="1"/>
  <c r="AX580" i="7" s="1"/>
  <c r="AX577" i="7" a="1"/>
  <c r="AX577" i="7" s="1"/>
  <c r="AX573" i="7" a="1"/>
  <c r="AX573" i="7" s="1"/>
  <c r="AX570" i="7" a="1"/>
  <c r="AX570" i="7" s="1"/>
  <c r="AX563" i="7" a="1"/>
  <c r="AX563" i="7" s="1"/>
  <c r="AX596" i="7" a="1"/>
  <c r="AX596" i="7" s="1"/>
  <c r="AX594" i="7" a="1"/>
  <c r="AX594" i="7" s="1"/>
  <c r="AX592" i="7" a="1"/>
  <c r="AX592" i="7" s="1"/>
  <c r="AX589" i="7" a="1"/>
  <c r="AX589" i="7" s="1"/>
  <c r="AX587" i="7" a="1"/>
  <c r="AX587" i="7" s="1"/>
  <c r="AX608" i="7" a="1"/>
  <c r="AX608" i="7" s="1"/>
  <c r="AX599" i="7" a="1"/>
  <c r="AX599" i="7" s="1"/>
  <c r="AX581" i="7" a="1"/>
  <c r="AX581" i="7" s="1"/>
  <c r="AX578" i="7" a="1"/>
  <c r="AX578" i="7" s="1"/>
  <c r="AX574" i="7" a="1"/>
  <c r="AX574" i="7" s="1"/>
  <c r="AX571" i="7" a="1"/>
  <c r="AX571" i="7" s="1"/>
  <c r="AX567" i="7" a="1"/>
  <c r="AX567" i="7" s="1"/>
  <c r="AX564" i="7" a="1"/>
  <c r="AX564" i="7" s="1"/>
  <c r="AX601" i="7" a="1"/>
  <c r="AX601" i="7" s="1"/>
  <c r="AX585" i="7" a="1"/>
  <c r="AX585" i="7" s="1"/>
  <c r="AX565" i="7" a="1"/>
  <c r="AX565" i="7" s="1"/>
  <c r="AX591" i="7" a="1"/>
  <c r="AX591" i="7" s="1"/>
  <c r="AX553" i="7" a="1"/>
  <c r="AX553" i="7" s="1"/>
  <c r="AX549" i="7" a="1"/>
  <c r="AX549" i="7" s="1"/>
  <c r="AX568" i="7" a="1"/>
  <c r="AX568" i="7" s="1"/>
  <c r="AX561" i="7" a="1"/>
  <c r="AX561" i="7" s="1"/>
  <c r="AX560" i="7" a="1"/>
  <c r="AX560" i="7" s="1"/>
  <c r="AX593" i="7" a="1"/>
  <c r="AX593" i="7" s="1"/>
  <c r="AX572" i="7" a="1"/>
  <c r="AX572" i="7" s="1"/>
  <c r="AX595" i="7" a="1"/>
  <c r="AX595" i="7" s="1"/>
  <c r="AX575" i="7" a="1"/>
  <c r="AX575" i="7" s="1"/>
  <c r="AX558" i="7" a="1"/>
  <c r="AX558" i="7" s="1"/>
  <c r="AX557" i="7" a="1"/>
  <c r="AX557" i="7" s="1"/>
  <c r="AX556" i="7" a="1"/>
  <c r="AX556" i="7" s="1"/>
  <c r="AX555" i="7" a="1"/>
  <c r="AX555" i="7" s="1"/>
  <c r="AX554" i="7" a="1"/>
  <c r="AX554" i="7" s="1"/>
  <c r="AX551" i="7" a="1"/>
  <c r="AX551" i="7" s="1"/>
  <c r="AX588" i="7" a="1"/>
  <c r="AX588" i="7" s="1"/>
  <c r="AX559" i="7" a="1"/>
  <c r="AX559" i="7" s="1"/>
  <c r="AX552" i="7" a="1"/>
  <c r="AX552" i="7" s="1"/>
  <c r="AX582" i="7" a="1"/>
  <c r="AX582" i="7" s="1"/>
  <c r="AX550" i="7" a="1"/>
  <c r="AX550" i="7" s="1"/>
  <c r="AX590" i="7" a="1"/>
  <c r="AX590" i="7" s="1"/>
  <c r="BB414" i="7" a="1"/>
  <c r="BB414" i="7" s="1"/>
  <c r="BB407" i="7" a="1"/>
  <c r="BB407" i="7" s="1"/>
  <c r="BB404" i="7" a="1"/>
  <c r="BB404" i="7" s="1"/>
  <c r="BB400" i="7" a="1"/>
  <c r="BB400" i="7" s="1"/>
  <c r="BB415" i="7" a="1"/>
  <c r="BB415" i="7" s="1"/>
  <c r="BB411" i="7" a="1"/>
  <c r="BB411" i="7" s="1"/>
  <c r="BB408" i="7" a="1"/>
  <c r="BB408" i="7" s="1"/>
  <c r="BB401" i="7" a="1"/>
  <c r="BB401" i="7" s="1"/>
  <c r="BB398" i="7" a="1"/>
  <c r="BB398" i="7" s="1"/>
  <c r="BB416" i="7" a="1"/>
  <c r="BB416" i="7" s="1"/>
  <c r="BB412" i="7" a="1"/>
  <c r="BB412" i="7" s="1"/>
  <c r="BB409" i="7" a="1"/>
  <c r="BB409" i="7" s="1"/>
  <c r="BB405" i="7" a="1"/>
  <c r="BB405" i="7" s="1"/>
  <c r="BB402" i="7" a="1"/>
  <c r="BB402" i="7" s="1"/>
  <c r="BB395" i="7" a="1"/>
  <c r="BB395" i="7" s="1"/>
  <c r="BB394" i="7" a="1"/>
  <c r="BB394" i="7" s="1"/>
  <c r="BB403" i="7" a="1"/>
  <c r="BB403" i="7" s="1"/>
  <c r="BB391" i="7" a="1"/>
  <c r="BB391" i="7" s="1"/>
  <c r="BB389" i="7" a="1"/>
  <c r="BB389" i="7" s="1"/>
  <c r="BB387" i="7" a="1"/>
  <c r="BB387" i="7" s="1"/>
  <c r="BB386" i="7" a="1"/>
  <c r="BB386" i="7" s="1"/>
  <c r="BB384" i="7" a="1"/>
  <c r="BB384" i="7" s="1"/>
  <c r="BB382" i="7" a="1"/>
  <c r="BB382" i="7" s="1"/>
  <c r="BB406" i="7" a="1"/>
  <c r="BB406" i="7" s="1"/>
  <c r="BB399" i="7" a="1"/>
  <c r="BB399" i="7" s="1"/>
  <c r="BB410" i="7" a="1"/>
  <c r="BB410" i="7" s="1"/>
  <c r="BB396" i="7" a="1"/>
  <c r="BB396" i="7" s="1"/>
  <c r="BB413" i="7" a="1"/>
  <c r="BB413" i="7" s="1"/>
  <c r="BB397" i="7" a="1"/>
  <c r="BB397" i="7" s="1"/>
  <c r="BB392" i="7" a="1"/>
  <c r="BB392" i="7" s="1"/>
  <c r="BB390" i="7" a="1"/>
  <c r="BB390" i="7" s="1"/>
  <c r="BB388" i="7" a="1"/>
  <c r="BB388" i="7" s="1"/>
  <c r="BB385" i="7" a="1"/>
  <c r="BB385" i="7" s="1"/>
  <c r="BB383" i="7" a="1"/>
  <c r="BB383" i="7" s="1"/>
  <c r="BB381" i="7" a="1"/>
  <c r="BB381" i="7" s="1"/>
  <c r="BB393" i="7" a="1"/>
  <c r="BB393" i="7" s="1"/>
  <c r="BB380" i="7" a="1"/>
  <c r="BB380" i="7" s="1"/>
  <c r="BB376" i="7" a="1"/>
  <c r="BB376" i="7" s="1"/>
  <c r="BB373" i="7" a="1"/>
  <c r="BB373" i="7" s="1"/>
  <c r="BB369" i="7" a="1"/>
  <c r="BB369" i="7" s="1"/>
  <c r="BB366" i="7" a="1"/>
  <c r="BB366" i="7" s="1"/>
  <c r="BB359" i="7" a="1"/>
  <c r="BB359" i="7" s="1"/>
  <c r="BB356" i="7" a="1"/>
  <c r="BB356" i="7" s="1"/>
  <c r="BB352" i="7" a="1"/>
  <c r="BB352" i="7" s="1"/>
  <c r="BB349" i="7" a="1"/>
  <c r="BB349" i="7" s="1"/>
  <c r="BB345" i="7" a="1"/>
  <c r="BB345" i="7" s="1"/>
  <c r="BB342" i="7" a="1"/>
  <c r="BB342" i="7" s="1"/>
  <c r="BB335" i="7" a="1"/>
  <c r="BB335" i="7" s="1"/>
  <c r="BB332" i="7" a="1"/>
  <c r="BB332" i="7" s="1"/>
  <c r="BB328" i="7" a="1"/>
  <c r="BB328" i="7" s="1"/>
  <c r="BB325" i="7" a="1"/>
  <c r="BB325" i="7" s="1"/>
  <c r="BB321" i="7" a="1"/>
  <c r="BB321" i="7" s="1"/>
  <c r="BB318" i="7" a="1"/>
  <c r="BB318" i="7" s="1"/>
  <c r="BB377" i="7" a="1"/>
  <c r="BB377" i="7" s="1"/>
  <c r="BB374" i="7" a="1"/>
  <c r="BB374" i="7" s="1"/>
  <c r="BB370" i="7" a="1"/>
  <c r="BB370" i="7" s="1"/>
  <c r="BB367" i="7" a="1"/>
  <c r="BB367" i="7" s="1"/>
  <c r="BB363" i="7" a="1"/>
  <c r="BB363" i="7" s="1"/>
  <c r="BB360" i="7" a="1"/>
  <c r="BB360" i="7" s="1"/>
  <c r="BB353" i="7" a="1"/>
  <c r="BB353" i="7" s="1"/>
  <c r="BB350" i="7" a="1"/>
  <c r="BB350" i="7" s="1"/>
  <c r="BB346" i="7" a="1"/>
  <c r="BB346" i="7" s="1"/>
  <c r="BB343" i="7" a="1"/>
  <c r="BB343" i="7" s="1"/>
  <c r="BB339" i="7" a="1"/>
  <c r="BB339" i="7" s="1"/>
  <c r="BB336" i="7" a="1"/>
  <c r="BB336" i="7" s="1"/>
  <c r="BB329" i="7" a="1"/>
  <c r="BB329" i="7" s="1"/>
  <c r="BB326" i="7" a="1"/>
  <c r="BB326" i="7" s="1"/>
  <c r="BB322" i="7" a="1"/>
  <c r="BB322" i="7" s="1"/>
  <c r="BB324" i="7" a="1"/>
  <c r="BB324" i="7" s="1"/>
  <c r="BB338" i="7" a="1"/>
  <c r="BB338" i="7" s="1"/>
  <c r="BB355" i="7" a="1"/>
  <c r="BB355" i="7" s="1"/>
  <c r="BB341" i="7" a="1"/>
  <c r="BB341" i="7" s="1"/>
  <c r="BB327" i="7" a="1"/>
  <c r="BB327" i="7" s="1"/>
  <c r="BB316" i="7" a="1"/>
  <c r="BB316" i="7" s="1"/>
  <c r="BB330" i="7" a="1"/>
  <c r="BB330" i="7" s="1"/>
  <c r="BB378" i="7" a="1"/>
  <c r="BB378" i="7" s="1"/>
  <c r="BB364" i="7" a="1"/>
  <c r="BB364" i="7" s="1"/>
  <c r="BB334" i="7" a="1"/>
  <c r="BB334" i="7" s="1"/>
  <c r="BB312" i="7" a="1"/>
  <c r="BB312" i="7" s="1"/>
  <c r="BB308" i="7" a="1"/>
  <c r="BB308" i="7" s="1"/>
  <c r="BB307" i="7" a="1"/>
  <c r="BB307" i="7" s="1"/>
  <c r="BB306" i="7" a="1"/>
  <c r="BB306" i="7" s="1"/>
  <c r="BB305" i="7" a="1"/>
  <c r="BB305" i="7" s="1"/>
  <c r="BB304" i="7" a="1"/>
  <c r="BB304" i="7" s="1"/>
  <c r="BB351" i="7" a="1"/>
  <c r="BB351" i="7" s="1"/>
  <c r="BB337" i="7" a="1"/>
  <c r="BB337" i="7" s="1"/>
  <c r="BB314" i="7" a="1"/>
  <c r="BB314" i="7" s="1"/>
  <c r="BB309" i="7" a="1"/>
  <c r="BB309" i="7" s="1"/>
  <c r="BB296" i="7" a="1"/>
  <c r="BB296" i="7" s="1"/>
  <c r="BB294" i="7" a="1"/>
  <c r="BB294" i="7" s="1"/>
  <c r="BB293" i="7" a="1"/>
  <c r="BB293" i="7" s="1"/>
  <c r="BB290" i="7" a="1"/>
  <c r="BB290" i="7" s="1"/>
  <c r="BB288" i="7" a="1"/>
  <c r="BB288" i="7" s="1"/>
  <c r="BB286" i="7" a="1"/>
  <c r="BB286" i="7" s="1"/>
  <c r="BB315" i="7" a="1"/>
  <c r="BB315" i="7" s="1"/>
  <c r="BB303" i="7" a="1"/>
  <c r="BB303" i="7" s="1"/>
  <c r="BB372" i="7" a="1"/>
  <c r="BB372" i="7" s="1"/>
  <c r="BB358" i="7" a="1"/>
  <c r="BB358" i="7" s="1"/>
  <c r="BB301" i="7" a="1"/>
  <c r="BB301" i="7" s="1"/>
  <c r="BB300" i="7" a="1"/>
  <c r="BB300" i="7" s="1"/>
  <c r="BB299" i="7" a="1"/>
  <c r="BB299" i="7" s="1"/>
  <c r="BB298" i="7" a="1"/>
  <c r="BB298" i="7" s="1"/>
  <c r="BB297" i="7" a="1"/>
  <c r="BB297" i="7" s="1"/>
  <c r="BB295" i="7" a="1"/>
  <c r="BB295" i="7" s="1"/>
  <c r="BB292" i="7" a="1"/>
  <c r="BB292" i="7" s="1"/>
  <c r="BB291" i="7" a="1"/>
  <c r="BB291" i="7" s="1"/>
  <c r="BB289" i="7" a="1"/>
  <c r="BB289" i="7" s="1"/>
  <c r="BB287" i="7" a="1"/>
  <c r="BB287" i="7" s="1"/>
  <c r="BB285" i="7" a="1"/>
  <c r="BB285" i="7" s="1"/>
  <c r="BB368" i="7" a="1"/>
  <c r="BB368" i="7" s="1"/>
  <c r="BB354" i="7" a="1"/>
  <c r="BB354" i="7" s="1"/>
  <c r="BB340" i="7" a="1"/>
  <c r="BB340" i="7" s="1"/>
  <c r="BB310" i="7" a="1"/>
  <c r="BB310" i="7" s="1"/>
  <c r="BB302" i="7" a="1"/>
  <c r="BB302" i="7" s="1"/>
  <c r="BB320" i="7" a="1"/>
  <c r="BB320" i="7" s="1"/>
  <c r="BB379" i="7" a="1"/>
  <c r="BB379" i="7" s="1"/>
  <c r="BB331" i="7" a="1"/>
  <c r="BB331" i="7" s="1"/>
  <c r="BB317" i="7" a="1"/>
  <c r="BB317" i="7" s="1"/>
  <c r="BB375" i="7" a="1"/>
  <c r="BB375" i="7" s="1"/>
  <c r="BB362" i="7" a="1"/>
  <c r="BB362" i="7" s="1"/>
  <c r="BB348" i="7" a="1"/>
  <c r="BB348" i="7" s="1"/>
  <c r="BB333" i="7" a="1"/>
  <c r="BB333" i="7" s="1"/>
  <c r="BB323" i="7" a="1"/>
  <c r="BB323" i="7" s="1"/>
  <c r="BB365" i="7" a="1"/>
  <c r="BB365" i="7" s="1"/>
  <c r="BB371" i="7" a="1"/>
  <c r="BB371" i="7" s="1"/>
  <c r="BB357" i="7" a="1"/>
  <c r="BB357" i="7" s="1"/>
  <c r="BB344" i="7" a="1"/>
  <c r="BB344" i="7" s="1"/>
  <c r="BB313" i="7" a="1"/>
  <c r="BB313" i="7" s="1"/>
  <c r="BB311" i="7" a="1"/>
  <c r="BB311" i="7" s="1"/>
  <c r="BB361" i="7" a="1"/>
  <c r="BB361" i="7" s="1"/>
  <c r="BB347" i="7" a="1"/>
  <c r="BB347" i="7" s="1"/>
  <c r="BB319" i="7" a="1"/>
  <c r="BB319" i="7" s="1"/>
  <c r="BA680" i="7" a="1"/>
  <c r="BA680" i="7" s="1"/>
  <c r="BA678" i="7" a="1"/>
  <c r="BA678" i="7" s="1"/>
  <c r="BA676" i="7" a="1"/>
  <c r="BA676" i="7" s="1"/>
  <c r="BA673" i="7" a="1"/>
  <c r="BA673" i="7" s="1"/>
  <c r="BA671" i="7" a="1"/>
  <c r="BA671" i="7" s="1"/>
  <c r="BA669" i="7" a="1"/>
  <c r="BA669" i="7" s="1"/>
  <c r="BA668" i="7" a="1"/>
  <c r="BA668" i="7" s="1"/>
  <c r="BA679" i="7" a="1"/>
  <c r="BA679" i="7" s="1"/>
  <c r="BA677" i="7" a="1"/>
  <c r="BA677" i="7" s="1"/>
  <c r="BA675" i="7" a="1"/>
  <c r="BA675" i="7" s="1"/>
  <c r="BA674" i="7" a="1"/>
  <c r="BA674" i="7" s="1"/>
  <c r="BA672" i="7" a="1"/>
  <c r="BA672" i="7" s="1"/>
  <c r="BA670" i="7" a="1"/>
  <c r="BA670" i="7" s="1"/>
  <c r="BA667" i="7" a="1"/>
  <c r="BA667" i="7" s="1"/>
  <c r="BA652" i="7" a="1"/>
  <c r="BA652" i="7" s="1"/>
  <c r="BA649" i="7" a="1"/>
  <c r="BA649" i="7" s="1"/>
  <c r="BA645" i="7" a="1"/>
  <c r="BA645" i="7" s="1"/>
  <c r="BA642" i="7" a="1"/>
  <c r="BA642" i="7" s="1"/>
  <c r="BA664" i="7" a="1"/>
  <c r="BA664" i="7" s="1"/>
  <c r="BA661" i="7" a="1"/>
  <c r="BA661" i="7" s="1"/>
  <c r="BA659" i="7" a="1"/>
  <c r="BA659" i="7" s="1"/>
  <c r="BA657" i="7" a="1"/>
  <c r="BA657" i="7" s="1"/>
  <c r="BA656" i="7" a="1"/>
  <c r="BA656" i="7" s="1"/>
  <c r="BA653" i="7" a="1"/>
  <c r="BA653" i="7" s="1"/>
  <c r="BA650" i="7" a="1"/>
  <c r="BA650" i="7" s="1"/>
  <c r="BA646" i="7" a="1"/>
  <c r="BA646" i="7" s="1"/>
  <c r="BA643" i="7" a="1"/>
  <c r="BA643" i="7" s="1"/>
  <c r="BA666" i="7" a="1"/>
  <c r="BA666" i="7" s="1"/>
  <c r="BA654" i="7" a="1"/>
  <c r="BA654" i="7" s="1"/>
  <c r="BA647" i="7" a="1"/>
  <c r="BA647" i="7" s="1"/>
  <c r="BA644" i="7" a="1"/>
  <c r="BA644" i="7" s="1"/>
  <c r="BA648" i="7" a="1"/>
  <c r="BA648" i="7" s="1"/>
  <c r="BA660" i="7" a="1"/>
  <c r="BA660" i="7" s="1"/>
  <c r="BA651" i="7" a="1"/>
  <c r="BA651" i="7" s="1"/>
  <c r="BA641" i="7" a="1"/>
  <c r="BA641" i="7" s="1"/>
  <c r="BA625" i="7" a="1"/>
  <c r="BA625" i="7" s="1"/>
  <c r="BA621" i="7" a="1"/>
  <c r="BA621" i="7" s="1"/>
  <c r="BA663" i="7" a="1"/>
  <c r="BA663" i="7" s="1"/>
  <c r="BA639" i="7" a="1"/>
  <c r="BA639" i="7" s="1"/>
  <c r="BA638" i="7" a="1"/>
  <c r="BA638" i="7" s="1"/>
  <c r="BA636" i="7" a="1"/>
  <c r="BA636" i="7" s="1"/>
  <c r="BA634" i="7" a="1"/>
  <c r="BA634" i="7" s="1"/>
  <c r="BA631" i="7" a="1"/>
  <c r="BA631" i="7" s="1"/>
  <c r="BA629" i="7" a="1"/>
  <c r="BA629" i="7" s="1"/>
  <c r="BA627" i="7" a="1"/>
  <c r="BA627" i="7" s="1"/>
  <c r="BA655" i="7" a="1"/>
  <c r="BA655" i="7" s="1"/>
  <c r="BA626" i="7" a="1"/>
  <c r="BA626" i="7" s="1"/>
  <c r="BA622" i="7" a="1"/>
  <c r="BA622" i="7" s="1"/>
  <c r="BA619" i="7" a="1"/>
  <c r="BA619" i="7" s="1"/>
  <c r="BA615" i="7" a="1"/>
  <c r="BA615" i="7" s="1"/>
  <c r="BA612" i="7" a="1"/>
  <c r="BA612" i="7" s="1"/>
  <c r="BA658" i="7" a="1"/>
  <c r="BA658" i="7" s="1"/>
  <c r="BA640" i="7" a="1"/>
  <c r="BA640" i="7" s="1"/>
  <c r="BA623" i="7" a="1"/>
  <c r="BA623" i="7" s="1"/>
  <c r="BA620" i="7" a="1"/>
  <c r="BA620" i="7" s="1"/>
  <c r="BA662" i="7" a="1"/>
  <c r="BA662" i="7" s="1"/>
  <c r="BA637" i="7" a="1"/>
  <c r="BA637" i="7" s="1"/>
  <c r="BA635" i="7" a="1"/>
  <c r="BA635" i="7" s="1"/>
  <c r="BA633" i="7" a="1"/>
  <c r="BA633" i="7" s="1"/>
  <c r="BA632" i="7" a="1"/>
  <c r="BA632" i="7" s="1"/>
  <c r="BA630" i="7" a="1"/>
  <c r="BA630" i="7" s="1"/>
  <c r="BA628" i="7" a="1"/>
  <c r="BA628" i="7" s="1"/>
  <c r="BA665" i="7" a="1"/>
  <c r="BA665" i="7" s="1"/>
  <c r="BA624" i="7" a="1"/>
  <c r="BA624" i="7" s="1"/>
  <c r="BA618" i="7" a="1"/>
  <c r="BA618" i="7" s="1"/>
  <c r="BA617" i="7" a="1"/>
  <c r="BA617" i="7" s="1"/>
  <c r="BA614" i="7" a="1"/>
  <c r="BA614" i="7" s="1"/>
  <c r="BA613" i="7" a="1"/>
  <c r="BA613" i="7" s="1"/>
  <c r="BA609" i="7" a="1"/>
  <c r="BA609" i="7" s="1"/>
  <c r="BA610" i="7" a="1"/>
  <c r="BA610" i="7" s="1"/>
  <c r="BA616" i="7" a="1"/>
  <c r="BA616" i="7" s="1"/>
  <c r="BA608" i="7" a="1"/>
  <c r="BA608" i="7" s="1"/>
  <c r="BA606" i="7" a="1"/>
  <c r="BA606" i="7" s="1"/>
  <c r="BA604" i="7" a="1"/>
  <c r="BA604" i="7" s="1"/>
  <c r="BA601" i="7" a="1"/>
  <c r="BA601" i="7" s="1"/>
  <c r="BA599" i="7" a="1"/>
  <c r="BA599" i="7" s="1"/>
  <c r="BA611" i="7" a="1"/>
  <c r="BA611" i="7" s="1"/>
  <c r="BA598" i="7" a="1"/>
  <c r="BA598" i="7" s="1"/>
  <c r="BA596" i="7" a="1"/>
  <c r="BA596" i="7" s="1"/>
  <c r="BA594" i="7" a="1"/>
  <c r="BA594" i="7" s="1"/>
  <c r="BA592" i="7" a="1"/>
  <c r="BA592" i="7" s="1"/>
  <c r="BA589" i="7" a="1"/>
  <c r="BA589" i="7" s="1"/>
  <c r="BA587" i="7" a="1"/>
  <c r="BA587" i="7" s="1"/>
  <c r="BA581" i="7" a="1"/>
  <c r="BA581" i="7" s="1"/>
  <c r="BA578" i="7" a="1"/>
  <c r="BA578" i="7" s="1"/>
  <c r="BA574" i="7" a="1"/>
  <c r="BA574" i="7" s="1"/>
  <c r="BA571" i="7" a="1"/>
  <c r="BA571" i="7" s="1"/>
  <c r="BA567" i="7" a="1"/>
  <c r="BA567" i="7" s="1"/>
  <c r="BA564" i="7" a="1"/>
  <c r="BA564" i="7" s="1"/>
  <c r="BA585" i="7" a="1"/>
  <c r="BA585" i="7" s="1"/>
  <c r="BA582" i="7" a="1"/>
  <c r="BA582" i="7" s="1"/>
  <c r="BA575" i="7" a="1"/>
  <c r="BA575" i="7" s="1"/>
  <c r="BA572" i="7" a="1"/>
  <c r="BA572" i="7" s="1"/>
  <c r="BA568" i="7" a="1"/>
  <c r="BA568" i="7" s="1"/>
  <c r="BA565" i="7" a="1"/>
  <c r="BA565" i="7" s="1"/>
  <c r="BA561" i="7" a="1"/>
  <c r="BA561" i="7" s="1"/>
  <c r="BA602" i="7" a="1"/>
  <c r="BA602" i="7" s="1"/>
  <c r="BA595" i="7" a="1"/>
  <c r="BA595" i="7" s="1"/>
  <c r="BA593" i="7" a="1"/>
  <c r="BA593" i="7" s="1"/>
  <c r="BA591" i="7" a="1"/>
  <c r="BA591" i="7" s="1"/>
  <c r="BA590" i="7" a="1"/>
  <c r="BA590" i="7" s="1"/>
  <c r="BA588" i="7" a="1"/>
  <c r="BA588" i="7" s="1"/>
  <c r="BA605" i="7" a="1"/>
  <c r="BA605" i="7" s="1"/>
  <c r="BA600" i="7" a="1"/>
  <c r="BA600" i="7" s="1"/>
  <c r="BA586" i="7" a="1"/>
  <c r="BA586" i="7" s="1"/>
  <c r="BA583" i="7" a="1"/>
  <c r="BA583" i="7" s="1"/>
  <c r="BA579" i="7" a="1"/>
  <c r="BA579" i="7" s="1"/>
  <c r="BA576" i="7" a="1"/>
  <c r="BA576" i="7" s="1"/>
  <c r="BA569" i="7" a="1"/>
  <c r="BA569" i="7" s="1"/>
  <c r="BA566" i="7" a="1"/>
  <c r="BA566" i="7" s="1"/>
  <c r="BA562" i="7" a="1"/>
  <c r="BA562" i="7" s="1"/>
  <c r="BA551" i="7" a="1"/>
  <c r="BA551" i="7" s="1"/>
  <c r="BA597" i="7" a="1"/>
  <c r="BA597" i="7" s="1"/>
  <c r="BA558" i="7" a="1"/>
  <c r="BA558" i="7" s="1"/>
  <c r="BA557" i="7" a="1"/>
  <c r="BA557" i="7" s="1"/>
  <c r="BA556" i="7" a="1"/>
  <c r="BA556" i="7" s="1"/>
  <c r="BA555" i="7" a="1"/>
  <c r="BA555" i="7" s="1"/>
  <c r="BA554" i="7" a="1"/>
  <c r="BA554" i="7" s="1"/>
  <c r="BA570" i="7" a="1"/>
  <c r="BA570" i="7" s="1"/>
  <c r="BA607" i="7" a="1"/>
  <c r="BA607" i="7" s="1"/>
  <c r="BA559" i="7" a="1"/>
  <c r="BA559" i="7" s="1"/>
  <c r="BA552" i="7" a="1"/>
  <c r="BA552" i="7" s="1"/>
  <c r="BA573" i="7" a="1"/>
  <c r="BA573" i="7" s="1"/>
  <c r="BA577" i="7" a="1"/>
  <c r="BA577" i="7" s="1"/>
  <c r="BA553" i="7" a="1"/>
  <c r="BA553" i="7" s="1"/>
  <c r="BA549" i="7" a="1"/>
  <c r="BA549" i="7" s="1"/>
  <c r="BA603" i="7" a="1"/>
  <c r="BA603" i="7" s="1"/>
  <c r="BA580" i="7" a="1"/>
  <c r="BA580" i="7" s="1"/>
  <c r="BA563" i="7" a="1"/>
  <c r="BA563" i="7" s="1"/>
  <c r="BA550" i="7" a="1"/>
  <c r="BA550" i="7" s="1"/>
  <c r="BA584" i="7" a="1"/>
  <c r="BA584" i="7" s="1"/>
  <c r="BA560" i="7" a="1"/>
  <c r="BA560" i="7" s="1"/>
  <c r="AS547" i="7" a="1"/>
  <c r="AS547" i="7" s="1"/>
  <c r="AS545" i="7" a="1"/>
  <c r="AS545" i="7" s="1"/>
  <c r="AS543" i="7" a="1"/>
  <c r="AS543" i="7" s="1"/>
  <c r="AS542" i="7" a="1"/>
  <c r="AS542" i="7" s="1"/>
  <c r="AS540" i="7" a="1"/>
  <c r="AS540" i="7" s="1"/>
  <c r="AS538" i="7" a="1"/>
  <c r="AS538" i="7" s="1"/>
  <c r="AS535" i="7" a="1"/>
  <c r="AS535" i="7" s="1"/>
  <c r="AS533" i="7" a="1"/>
  <c r="AS533" i="7" s="1"/>
  <c r="AS548" i="7" a="1"/>
  <c r="AS548" i="7" s="1"/>
  <c r="AS546" i="7" a="1"/>
  <c r="AS546" i="7" s="1"/>
  <c r="AS544" i="7" a="1"/>
  <c r="AS544" i="7" s="1"/>
  <c r="AS541" i="7" a="1"/>
  <c r="AS541" i="7" s="1"/>
  <c r="AS539" i="7" a="1"/>
  <c r="AS539" i="7" s="1"/>
  <c r="AS537" i="7" a="1"/>
  <c r="AS537" i="7" s="1"/>
  <c r="AS536" i="7" a="1"/>
  <c r="AS536" i="7" s="1"/>
  <c r="AS534" i="7" a="1"/>
  <c r="AS534" i="7" s="1"/>
  <c r="AS515" i="7" a="1"/>
  <c r="AS515" i="7" s="1"/>
  <c r="AS514" i="7" a="1"/>
  <c r="AS514" i="7" s="1"/>
  <c r="AS513" i="7" a="1"/>
  <c r="AS513" i="7" s="1"/>
  <c r="AS512" i="7" a="1"/>
  <c r="AS512" i="7" s="1"/>
  <c r="AS511" i="7" a="1"/>
  <c r="AS511" i="7" s="1"/>
  <c r="AS510" i="7" a="1"/>
  <c r="AS510" i="7" s="1"/>
  <c r="AS509" i="7" a="1"/>
  <c r="AS509" i="7" s="1"/>
  <c r="AS508" i="7" a="1"/>
  <c r="AS508" i="7" s="1"/>
  <c r="AS507" i="7" a="1"/>
  <c r="AS507" i="7" s="1"/>
  <c r="AS506" i="7" a="1"/>
  <c r="AS506" i="7" s="1"/>
  <c r="AS530" i="7" a="1"/>
  <c r="AS530" i="7" s="1"/>
  <c r="AS526" i="7" a="1"/>
  <c r="AS526" i="7" s="1"/>
  <c r="AS523" i="7" a="1"/>
  <c r="AS523" i="7" s="1"/>
  <c r="AS519" i="7" a="1"/>
  <c r="AS519" i="7" s="1"/>
  <c r="AS516" i="7" a="1"/>
  <c r="AS516" i="7" s="1"/>
  <c r="AS502" i="7" a="1"/>
  <c r="AS502" i="7" s="1"/>
  <c r="AS500" i="7" a="1"/>
  <c r="AS500" i="7" s="1"/>
  <c r="AS529" i="7" a="1"/>
  <c r="AS529" i="7" s="1"/>
  <c r="AS525" i="7" a="1"/>
  <c r="AS525" i="7" s="1"/>
  <c r="AS522" i="7" a="1"/>
  <c r="AS522" i="7" s="1"/>
  <c r="AS505" i="7" a="1"/>
  <c r="AS505" i="7" s="1"/>
  <c r="AS501" i="7" a="1"/>
  <c r="AS501" i="7" s="1"/>
  <c r="AS532" i="7" a="1"/>
  <c r="AS532" i="7" s="1"/>
  <c r="AS531" i="7" a="1"/>
  <c r="AS531" i="7" s="1"/>
  <c r="AS528" i="7" a="1"/>
  <c r="AS528" i="7" s="1"/>
  <c r="AS521" i="7" a="1"/>
  <c r="AS521" i="7" s="1"/>
  <c r="AS518" i="7" a="1"/>
  <c r="AS518" i="7" s="1"/>
  <c r="AS504" i="7" a="1"/>
  <c r="AS504" i="7" s="1"/>
  <c r="AS498" i="7" a="1"/>
  <c r="AS498" i="7" s="1"/>
  <c r="AS497" i="7" a="1"/>
  <c r="AS497" i="7" s="1"/>
  <c r="AS496" i="7" a="1"/>
  <c r="AS496" i="7" s="1"/>
  <c r="AS494" i="7" a="1"/>
  <c r="AS494" i="7" s="1"/>
  <c r="AS493" i="7" a="1"/>
  <c r="AS493" i="7" s="1"/>
  <c r="AS492" i="7" a="1"/>
  <c r="AS492" i="7" s="1"/>
  <c r="AS491" i="7" a="1"/>
  <c r="AS491" i="7" s="1"/>
  <c r="AS490" i="7" a="1"/>
  <c r="AS490" i="7" s="1"/>
  <c r="AS489" i="7" a="1"/>
  <c r="AS489" i="7" s="1"/>
  <c r="AS488" i="7" a="1"/>
  <c r="AS488" i="7" s="1"/>
  <c r="AS487" i="7" a="1"/>
  <c r="AS487" i="7" s="1"/>
  <c r="AS486" i="7" a="1"/>
  <c r="AS486" i="7" s="1"/>
  <c r="AS485" i="7" a="1"/>
  <c r="AS485" i="7" s="1"/>
  <c r="AS484" i="7" a="1"/>
  <c r="AS484" i="7" s="1"/>
  <c r="AS527" i="7" a="1"/>
  <c r="AS527" i="7" s="1"/>
  <c r="AS483" i="7" a="1"/>
  <c r="AS483" i="7" s="1"/>
  <c r="AS480" i="7" a="1"/>
  <c r="AS480" i="7" s="1"/>
  <c r="AS470" i="7" a="1"/>
  <c r="AS470" i="7" s="1"/>
  <c r="AS469" i="7" a="1"/>
  <c r="AS469" i="7" s="1"/>
  <c r="AS468" i="7" a="1"/>
  <c r="AS468" i="7" s="1"/>
  <c r="AS467" i="7" a="1"/>
  <c r="AS467" i="7" s="1"/>
  <c r="AS466" i="7" a="1"/>
  <c r="AS466" i="7" s="1"/>
  <c r="AS465" i="7" a="1"/>
  <c r="AS465" i="7" s="1"/>
  <c r="AS464" i="7" a="1"/>
  <c r="AS464" i="7" s="1"/>
  <c r="AS463" i="7" a="1"/>
  <c r="AS463" i="7" s="1"/>
  <c r="AS462" i="7" a="1"/>
  <c r="AS462" i="7" s="1"/>
  <c r="AS461" i="7" a="1"/>
  <c r="AS461" i="7" s="1"/>
  <c r="AS460" i="7" a="1"/>
  <c r="AS460" i="7" s="1"/>
  <c r="AS459" i="7" a="1"/>
  <c r="AS459" i="7" s="1"/>
  <c r="AS458" i="7" a="1"/>
  <c r="AS458" i="7" s="1"/>
  <c r="AS495" i="7" a="1"/>
  <c r="AS495" i="7" s="1"/>
  <c r="AS479" i="7" a="1"/>
  <c r="AS479" i="7" s="1"/>
  <c r="AS477" i="7" a="1"/>
  <c r="AS477" i="7" s="1"/>
  <c r="AS476" i="7" a="1"/>
  <c r="AS476" i="7" s="1"/>
  <c r="AS474" i="7" a="1"/>
  <c r="AS474" i="7" s="1"/>
  <c r="AS472" i="7" a="1"/>
  <c r="AS472" i="7" s="1"/>
  <c r="AS517" i="7" a="1"/>
  <c r="AS517" i="7" s="1"/>
  <c r="AS503" i="7" a="1"/>
  <c r="AS503" i="7" s="1"/>
  <c r="AS482" i="7" a="1"/>
  <c r="AS482" i="7" s="1"/>
  <c r="AS475" i="7" a="1"/>
  <c r="AS475" i="7" s="1"/>
  <c r="AS481" i="7" a="1"/>
  <c r="AS481" i="7" s="1"/>
  <c r="AS430" i="7" a="1"/>
  <c r="AS430" i="7" s="1"/>
  <c r="AS427" i="7" a="1"/>
  <c r="AS427" i="7" s="1"/>
  <c r="AS454" i="7" a="1"/>
  <c r="AS454" i="7" s="1"/>
  <c r="AS451" i="7" a="1"/>
  <c r="AS451" i="7" s="1"/>
  <c r="AS447" i="7" a="1"/>
  <c r="AS447" i="7" s="1"/>
  <c r="AS444" i="7" a="1"/>
  <c r="AS444" i="7" s="1"/>
  <c r="AS437" i="7" a="1"/>
  <c r="AS437" i="7" s="1"/>
  <c r="AS434" i="7" a="1"/>
  <c r="AS434" i="7" s="1"/>
  <c r="AS473" i="7" a="1"/>
  <c r="AS473" i="7" s="1"/>
  <c r="AS431" i="7" a="1"/>
  <c r="AS431" i="7" s="1"/>
  <c r="AS428" i="7" a="1"/>
  <c r="AS428" i="7" s="1"/>
  <c r="AS424" i="7" a="1"/>
  <c r="AS424" i="7" s="1"/>
  <c r="AS421" i="7" a="1"/>
  <c r="AS421" i="7" s="1"/>
  <c r="AS478" i="7" a="1"/>
  <c r="AS478" i="7" s="1"/>
  <c r="AS457" i="7" a="1"/>
  <c r="AS457" i="7" s="1"/>
  <c r="AS453" i="7" a="1"/>
  <c r="AS453" i="7" s="1"/>
  <c r="AS450" i="7" a="1"/>
  <c r="AS450" i="7" s="1"/>
  <c r="AS443" i="7" a="1"/>
  <c r="AS443" i="7" s="1"/>
  <c r="AS440" i="7" a="1"/>
  <c r="AS440" i="7" s="1"/>
  <c r="AS436" i="7" a="1"/>
  <c r="AS436" i="7" s="1"/>
  <c r="AS433" i="7" a="1"/>
  <c r="AS433" i="7" s="1"/>
  <c r="AS524" i="7" a="1"/>
  <c r="AS524" i="7" s="1"/>
  <c r="AS456" i="7" a="1"/>
  <c r="AS456" i="7" s="1"/>
  <c r="AS449" i="7" a="1"/>
  <c r="AS449" i="7" s="1"/>
  <c r="AS520" i="7" a="1"/>
  <c r="AS520" i="7" s="1"/>
  <c r="AS471" i="7" a="1"/>
  <c r="AS471" i="7" s="1"/>
  <c r="AS455" i="7" a="1"/>
  <c r="AS455" i="7" s="1"/>
  <c r="AS442" i="7" a="1"/>
  <c r="AS442" i="7" s="1"/>
  <c r="AS425" i="7" a="1"/>
  <c r="AS425" i="7" s="1"/>
  <c r="AS448" i="7" a="1"/>
  <c r="AS448" i="7" s="1"/>
  <c r="AS499" i="7" a="1"/>
  <c r="AS499" i="7" s="1"/>
  <c r="AS422" i="7" a="1"/>
  <c r="AS422" i="7" s="1"/>
  <c r="AS445" i="7" a="1"/>
  <c r="AS445" i="7" s="1"/>
  <c r="AS429" i="7" a="1"/>
  <c r="AS429" i="7" s="1"/>
  <c r="AS423" i="7" a="1"/>
  <c r="AS423" i="7" s="1"/>
  <c r="AS452" i="7" a="1"/>
  <c r="AS452" i="7" s="1"/>
  <c r="AS438" i="7" a="1"/>
  <c r="AS438" i="7" s="1"/>
  <c r="AS420" i="7" a="1"/>
  <c r="AS420" i="7" s="1"/>
  <c r="AS419" i="7" a="1"/>
  <c r="AS419" i="7" s="1"/>
  <c r="AS439" i="7" a="1"/>
  <c r="AS439" i="7" s="1"/>
  <c r="AS435" i="7" a="1"/>
  <c r="AS435" i="7" s="1"/>
  <c r="AS432" i="7" a="1"/>
  <c r="AS432" i="7" s="1"/>
  <c r="AS418" i="7" a="1"/>
  <c r="AS418" i="7" s="1"/>
  <c r="AS441" i="7" a="1"/>
  <c r="AS441" i="7" s="1"/>
  <c r="AS446" i="7" a="1"/>
  <c r="AS446" i="7" s="1"/>
  <c r="AS426" i="7" a="1"/>
  <c r="AS426" i="7" s="1"/>
  <c r="AS417" i="7" a="1"/>
  <c r="AS417" i="7" s="1"/>
  <c r="AS680" i="7" a="1"/>
  <c r="AS680" i="7" s="1"/>
  <c r="AS678" i="7" a="1"/>
  <c r="AS678" i="7" s="1"/>
  <c r="AS676" i="7" a="1"/>
  <c r="AS676" i="7" s="1"/>
  <c r="AS673" i="7" a="1"/>
  <c r="AS673" i="7" s="1"/>
  <c r="AS671" i="7" a="1"/>
  <c r="AS671" i="7" s="1"/>
  <c r="AS669" i="7" a="1"/>
  <c r="AS669" i="7" s="1"/>
  <c r="AS668" i="7" a="1"/>
  <c r="AS668" i="7" s="1"/>
  <c r="AS679" i="7" a="1"/>
  <c r="AS679" i="7" s="1"/>
  <c r="AS677" i="7" a="1"/>
  <c r="AS677" i="7" s="1"/>
  <c r="AS675" i="7" a="1"/>
  <c r="AS675" i="7" s="1"/>
  <c r="AS674" i="7" a="1"/>
  <c r="AS674" i="7" s="1"/>
  <c r="AS670" i="7" a="1"/>
  <c r="AS670" i="7" s="1"/>
  <c r="AS665" i="7" a="1"/>
  <c r="AS665" i="7" s="1"/>
  <c r="AS663" i="7" a="1"/>
  <c r="AS663" i="7" s="1"/>
  <c r="AS662" i="7" a="1"/>
  <c r="AS662" i="7" s="1"/>
  <c r="AS660" i="7" a="1"/>
  <c r="AS660" i="7" s="1"/>
  <c r="AS658" i="7" a="1"/>
  <c r="AS658" i="7" s="1"/>
  <c r="AS655" i="7" a="1"/>
  <c r="AS655" i="7" s="1"/>
  <c r="AS651" i="7" a="1"/>
  <c r="AS651" i="7" s="1"/>
  <c r="AS648" i="7" a="1"/>
  <c r="AS648" i="7" s="1"/>
  <c r="AS641" i="7" a="1"/>
  <c r="AS641" i="7" s="1"/>
  <c r="AS672" i="7" a="1"/>
  <c r="AS672" i="7" s="1"/>
  <c r="AS652" i="7" a="1"/>
  <c r="AS652" i="7" s="1"/>
  <c r="AS649" i="7" a="1"/>
  <c r="AS649" i="7" s="1"/>
  <c r="AS645" i="7" a="1"/>
  <c r="AS645" i="7" s="1"/>
  <c r="AS642" i="7" a="1"/>
  <c r="AS642" i="7" s="1"/>
  <c r="AS666" i="7" a="1"/>
  <c r="AS666" i="7" s="1"/>
  <c r="AS664" i="7" a="1"/>
  <c r="AS664" i="7" s="1"/>
  <c r="AS661" i="7" a="1"/>
  <c r="AS661" i="7" s="1"/>
  <c r="AS659" i="7" a="1"/>
  <c r="AS659" i="7" s="1"/>
  <c r="AS657" i="7" a="1"/>
  <c r="AS657" i="7" s="1"/>
  <c r="AS656" i="7" a="1"/>
  <c r="AS656" i="7" s="1"/>
  <c r="AS667" i="7" a="1"/>
  <c r="AS667" i="7" s="1"/>
  <c r="AS653" i="7" a="1"/>
  <c r="AS653" i="7" s="1"/>
  <c r="AS650" i="7" a="1"/>
  <c r="AS650" i="7" s="1"/>
  <c r="AS646" i="7" a="1"/>
  <c r="AS646" i="7" s="1"/>
  <c r="AS643" i="7" a="1"/>
  <c r="AS643" i="7" s="1"/>
  <c r="AS647" i="7" a="1"/>
  <c r="AS647" i="7" s="1"/>
  <c r="AS624" i="7" a="1"/>
  <c r="AS624" i="7" s="1"/>
  <c r="AS640" i="7" a="1"/>
  <c r="AS640" i="7" s="1"/>
  <c r="AS625" i="7" a="1"/>
  <c r="AS625" i="7" s="1"/>
  <c r="AS621" i="7" a="1"/>
  <c r="AS621" i="7" s="1"/>
  <c r="AS618" i="7" a="1"/>
  <c r="AS618" i="7" s="1"/>
  <c r="AS611" i="7" a="1"/>
  <c r="AS611" i="7" s="1"/>
  <c r="AS639" i="7" a="1"/>
  <c r="AS639" i="7" s="1"/>
  <c r="AS638" i="7" a="1"/>
  <c r="AS638" i="7" s="1"/>
  <c r="AS636" i="7" a="1"/>
  <c r="AS636" i="7" s="1"/>
  <c r="AS634" i="7" a="1"/>
  <c r="AS634" i="7" s="1"/>
  <c r="AS631" i="7" a="1"/>
  <c r="AS631" i="7" s="1"/>
  <c r="AS629" i="7" a="1"/>
  <c r="AS629" i="7" s="1"/>
  <c r="AS627" i="7" a="1"/>
  <c r="AS627" i="7" s="1"/>
  <c r="AS626" i="7" a="1"/>
  <c r="AS626" i="7" s="1"/>
  <c r="AS622" i="7" a="1"/>
  <c r="AS622" i="7" s="1"/>
  <c r="AS644" i="7" a="1"/>
  <c r="AS644" i="7" s="1"/>
  <c r="AS637" i="7" a="1"/>
  <c r="AS637" i="7" s="1"/>
  <c r="AS623" i="7" a="1"/>
  <c r="AS623" i="7" s="1"/>
  <c r="AS628" i="7" a="1"/>
  <c r="AS628" i="7" s="1"/>
  <c r="AS619" i="7" a="1"/>
  <c r="AS619" i="7" s="1"/>
  <c r="AS654" i="7" a="1"/>
  <c r="AS654" i="7" s="1"/>
  <c r="AS630" i="7" a="1"/>
  <c r="AS630" i="7" s="1"/>
  <c r="AS632" i="7" a="1"/>
  <c r="AS632" i="7" s="1"/>
  <c r="AS633" i="7" a="1"/>
  <c r="AS633" i="7" s="1"/>
  <c r="AS620" i="7" a="1"/>
  <c r="AS620" i="7" s="1"/>
  <c r="AS614" i="7" a="1"/>
  <c r="AS614" i="7" s="1"/>
  <c r="AS613" i="7" a="1"/>
  <c r="AS613" i="7" s="1"/>
  <c r="AS635" i="7" a="1"/>
  <c r="AS635" i="7" s="1"/>
  <c r="AS610" i="7" a="1"/>
  <c r="AS610" i="7" s="1"/>
  <c r="AS607" i="7" a="1"/>
  <c r="AS607" i="7" s="1"/>
  <c r="AS605" i="7" a="1"/>
  <c r="AS605" i="7" s="1"/>
  <c r="AS603" i="7" a="1"/>
  <c r="AS603" i="7" s="1"/>
  <c r="AS617" i="7" a="1"/>
  <c r="AS617" i="7" s="1"/>
  <c r="AS616" i="7" a="1"/>
  <c r="AS616" i="7" s="1"/>
  <c r="AS608" i="7" a="1"/>
  <c r="AS608" i="7" s="1"/>
  <c r="AS606" i="7" a="1"/>
  <c r="AS606" i="7" s="1"/>
  <c r="AS604" i="7" a="1"/>
  <c r="AS604" i="7" s="1"/>
  <c r="AS601" i="7" a="1"/>
  <c r="AS601" i="7" s="1"/>
  <c r="AS612" i="7" a="1"/>
  <c r="AS612" i="7" s="1"/>
  <c r="AS602" i="7" a="1"/>
  <c r="AS602" i="7" s="1"/>
  <c r="AS599" i="7" a="1"/>
  <c r="AS599" i="7" s="1"/>
  <c r="AS596" i="7" a="1"/>
  <c r="AS596" i="7" s="1"/>
  <c r="AS594" i="7" a="1"/>
  <c r="AS594" i="7" s="1"/>
  <c r="AS592" i="7" a="1"/>
  <c r="AS592" i="7" s="1"/>
  <c r="AS589" i="7" a="1"/>
  <c r="AS589" i="7" s="1"/>
  <c r="AS587" i="7" a="1"/>
  <c r="AS587" i="7" s="1"/>
  <c r="AS584" i="7" a="1"/>
  <c r="AS584" i="7" s="1"/>
  <c r="AS580" i="7" a="1"/>
  <c r="AS580" i="7" s="1"/>
  <c r="AS577" i="7" a="1"/>
  <c r="AS577" i="7" s="1"/>
  <c r="AS573" i="7" a="1"/>
  <c r="AS573" i="7" s="1"/>
  <c r="AS570" i="7" a="1"/>
  <c r="AS570" i="7" s="1"/>
  <c r="AS563" i="7" a="1"/>
  <c r="AS563" i="7" s="1"/>
  <c r="AS615" i="7" a="1"/>
  <c r="AS615" i="7" s="1"/>
  <c r="AS600" i="7" a="1"/>
  <c r="AS600" i="7" s="1"/>
  <c r="AS581" i="7" a="1"/>
  <c r="AS581" i="7" s="1"/>
  <c r="AS578" i="7" a="1"/>
  <c r="AS578" i="7" s="1"/>
  <c r="AS574" i="7" a="1"/>
  <c r="AS574" i="7" s="1"/>
  <c r="AS571" i="7" a="1"/>
  <c r="AS571" i="7" s="1"/>
  <c r="AS567" i="7" a="1"/>
  <c r="AS567" i="7" s="1"/>
  <c r="AS564" i="7" a="1"/>
  <c r="AS564" i="7" s="1"/>
  <c r="AS595" i="7" a="1"/>
  <c r="AS595" i="7" s="1"/>
  <c r="AS593" i="7" a="1"/>
  <c r="AS593" i="7" s="1"/>
  <c r="AS591" i="7" a="1"/>
  <c r="AS591" i="7" s="1"/>
  <c r="AS590" i="7" a="1"/>
  <c r="AS590" i="7" s="1"/>
  <c r="AS588" i="7" a="1"/>
  <c r="AS588" i="7" s="1"/>
  <c r="AS585" i="7" a="1"/>
  <c r="AS585" i="7" s="1"/>
  <c r="AS582" i="7" a="1"/>
  <c r="AS582" i="7" s="1"/>
  <c r="AS575" i="7" a="1"/>
  <c r="AS575" i="7" s="1"/>
  <c r="AS572" i="7" a="1"/>
  <c r="AS572" i="7" s="1"/>
  <c r="AS568" i="7" a="1"/>
  <c r="AS568" i="7" s="1"/>
  <c r="AS565" i="7" a="1"/>
  <c r="AS565" i="7" s="1"/>
  <c r="AS561" i="7" a="1"/>
  <c r="AS561" i="7" s="1"/>
  <c r="AS560" i="7" a="1"/>
  <c r="AS560" i="7" s="1"/>
  <c r="AS598" i="7" a="1"/>
  <c r="AS598" i="7" s="1"/>
  <c r="AS558" i="7" a="1"/>
  <c r="AS558" i="7" s="1"/>
  <c r="AS557" i="7" a="1"/>
  <c r="AS557" i="7" s="1"/>
  <c r="AS556" i="7" a="1"/>
  <c r="AS556" i="7" s="1"/>
  <c r="AS555" i="7" a="1"/>
  <c r="AS555" i="7" s="1"/>
  <c r="AS550" i="7" a="1"/>
  <c r="AS550" i="7" s="1"/>
  <c r="AS609" i="7" a="1"/>
  <c r="AS609" i="7" s="1"/>
  <c r="AS559" i="7" a="1"/>
  <c r="AS559" i="7" s="1"/>
  <c r="AS576" i="7" a="1"/>
  <c r="AS576" i="7" s="1"/>
  <c r="AS554" i="7" a="1"/>
  <c r="AS554" i="7" s="1"/>
  <c r="AS597" i="7" a="1"/>
  <c r="AS597" i="7" s="1"/>
  <c r="AS579" i="7" a="1"/>
  <c r="AS579" i="7" s="1"/>
  <c r="AS583" i="7" a="1"/>
  <c r="AS583" i="7" s="1"/>
  <c r="AS552" i="7" a="1"/>
  <c r="AS552" i="7" s="1"/>
  <c r="AS562" i="7" a="1"/>
  <c r="AS562" i="7" s="1"/>
  <c r="AS586" i="7" a="1"/>
  <c r="AS586" i="7" s="1"/>
  <c r="AS569" i="7" a="1"/>
  <c r="AS569" i="7" s="1"/>
  <c r="AS549" i="7" a="1"/>
  <c r="AS549" i="7" s="1"/>
  <c r="AS566" i="7" a="1"/>
  <c r="AS566" i="7" s="1"/>
  <c r="AS551" i="7" a="1"/>
  <c r="AS551" i="7" s="1"/>
  <c r="AS553" i="7" a="1"/>
  <c r="AS553" i="7" s="1"/>
  <c r="AO414" i="7" a="1"/>
  <c r="AO414" i="7" s="1"/>
  <c r="AO407" i="7" a="1"/>
  <c r="AO407" i="7" s="1"/>
  <c r="AO404" i="7" a="1"/>
  <c r="AO404" i="7" s="1"/>
  <c r="AO400" i="7" a="1"/>
  <c r="AO400" i="7" s="1"/>
  <c r="AO415" i="7" a="1"/>
  <c r="AO415" i="7" s="1"/>
  <c r="AO411" i="7" a="1"/>
  <c r="AO411" i="7" s="1"/>
  <c r="AO408" i="7" a="1"/>
  <c r="AO408" i="7" s="1"/>
  <c r="AO401" i="7" a="1"/>
  <c r="AO401" i="7" s="1"/>
  <c r="AO398" i="7" a="1"/>
  <c r="AO398" i="7" s="1"/>
  <c r="AO416" i="7" a="1"/>
  <c r="AO416" i="7" s="1"/>
  <c r="AO412" i="7" a="1"/>
  <c r="AO412" i="7" s="1"/>
  <c r="AO409" i="7" a="1"/>
  <c r="AO409" i="7" s="1"/>
  <c r="AO405" i="7" a="1"/>
  <c r="AO405" i="7" s="1"/>
  <c r="AO402" i="7" a="1"/>
  <c r="AO402" i="7" s="1"/>
  <c r="AO396" i="7" a="1"/>
  <c r="AO396" i="7" s="1"/>
  <c r="AO394" i="7" a="1"/>
  <c r="AO394" i="7" s="1"/>
  <c r="AO397" i="7" a="1"/>
  <c r="AO397" i="7" s="1"/>
  <c r="AO393" i="7" a="1"/>
  <c r="AO393" i="7" s="1"/>
  <c r="AO392" i="7" a="1"/>
  <c r="AO392" i="7" s="1"/>
  <c r="AO390" i="7" a="1"/>
  <c r="AO390" i="7" s="1"/>
  <c r="AO403" i="7" a="1"/>
  <c r="AO403" i="7" s="1"/>
  <c r="AO395" i="7" a="1"/>
  <c r="AO395" i="7" s="1"/>
  <c r="AO406" i="7" a="1"/>
  <c r="AO406" i="7" s="1"/>
  <c r="AO410" i="7" a="1"/>
  <c r="AO410" i="7" s="1"/>
  <c r="AO399" i="7" a="1"/>
  <c r="AO399" i="7" s="1"/>
  <c r="AO391" i="7" a="1"/>
  <c r="AO391" i="7" s="1"/>
  <c r="AO388" i="7" a="1"/>
  <c r="AO388" i="7" s="1"/>
  <c r="AO379" i="7" a="1"/>
  <c r="AO379" i="7" s="1"/>
  <c r="AO375" i="7" a="1"/>
  <c r="AO375" i="7" s="1"/>
  <c r="AO372" i="7" a="1"/>
  <c r="AO372" i="7" s="1"/>
  <c r="AO365" i="7" a="1"/>
  <c r="AO365" i="7" s="1"/>
  <c r="AO362" i="7" a="1"/>
  <c r="AO362" i="7" s="1"/>
  <c r="AO358" i="7" a="1"/>
  <c r="AO358" i="7" s="1"/>
  <c r="AO355" i="7" a="1"/>
  <c r="AO355" i="7" s="1"/>
  <c r="AO351" i="7" a="1"/>
  <c r="AO351" i="7" s="1"/>
  <c r="AO348" i="7" a="1"/>
  <c r="AO348" i="7" s="1"/>
  <c r="AO341" i="7" a="1"/>
  <c r="AO341" i="7" s="1"/>
  <c r="AO338" i="7" a="1"/>
  <c r="AO338" i="7" s="1"/>
  <c r="AO334" i="7" a="1"/>
  <c r="AO334" i="7" s="1"/>
  <c r="AO331" i="7" a="1"/>
  <c r="AO331" i="7" s="1"/>
  <c r="AO327" i="7" a="1"/>
  <c r="AO327" i="7" s="1"/>
  <c r="AO324" i="7" a="1"/>
  <c r="AO324" i="7" s="1"/>
  <c r="AO317" i="7" a="1"/>
  <c r="AO317" i="7" s="1"/>
  <c r="AO382" i="7" a="1"/>
  <c r="AO382" i="7" s="1"/>
  <c r="AO384" i="7" a="1"/>
  <c r="AO384" i="7" s="1"/>
  <c r="AO386" i="7" a="1"/>
  <c r="AO386" i="7" s="1"/>
  <c r="AO380" i="7" a="1"/>
  <c r="AO380" i="7" s="1"/>
  <c r="AO376" i="7" a="1"/>
  <c r="AO376" i="7" s="1"/>
  <c r="AO373" i="7" a="1"/>
  <c r="AO373" i="7" s="1"/>
  <c r="AO369" i="7" a="1"/>
  <c r="AO369" i="7" s="1"/>
  <c r="AO366" i="7" a="1"/>
  <c r="AO366" i="7" s="1"/>
  <c r="AO359" i="7" a="1"/>
  <c r="AO359" i="7" s="1"/>
  <c r="AO356" i="7" a="1"/>
  <c r="AO356" i="7" s="1"/>
  <c r="AO352" i="7" a="1"/>
  <c r="AO352" i="7" s="1"/>
  <c r="AO349" i="7" a="1"/>
  <c r="AO349" i="7" s="1"/>
  <c r="AO345" i="7" a="1"/>
  <c r="AO345" i="7" s="1"/>
  <c r="AO342" i="7" a="1"/>
  <c r="AO342" i="7" s="1"/>
  <c r="AO335" i="7" a="1"/>
  <c r="AO335" i="7" s="1"/>
  <c r="AO332" i="7" a="1"/>
  <c r="AO332" i="7" s="1"/>
  <c r="AO328" i="7" a="1"/>
  <c r="AO328" i="7" s="1"/>
  <c r="AO325" i="7" a="1"/>
  <c r="AO325" i="7" s="1"/>
  <c r="AO321" i="7" a="1"/>
  <c r="AO321" i="7" s="1"/>
  <c r="AO387" i="7" a="1"/>
  <c r="AO387" i="7" s="1"/>
  <c r="AO389" i="7" a="1"/>
  <c r="AO389" i="7" s="1"/>
  <c r="AO413" i="7" a="1"/>
  <c r="AO413" i="7" s="1"/>
  <c r="AO383" i="7" a="1"/>
  <c r="AO383" i="7" s="1"/>
  <c r="AO329" i="7" a="1"/>
  <c r="AO329" i="7" s="1"/>
  <c r="AO371" i="7" a="1"/>
  <c r="AO371" i="7" s="1"/>
  <c r="AO357" i="7" a="1"/>
  <c r="AO357" i="7" s="1"/>
  <c r="AO344" i="7" a="1"/>
  <c r="AO344" i="7" s="1"/>
  <c r="AO340" i="7" a="1"/>
  <c r="AO340" i="7" s="1"/>
  <c r="AO367" i="7" a="1"/>
  <c r="AO367" i="7" s="1"/>
  <c r="AO353" i="7" a="1"/>
  <c r="AO353" i="7" s="1"/>
  <c r="AO339" i="7" a="1"/>
  <c r="AO339" i="7" s="1"/>
  <c r="AO333" i="7" a="1"/>
  <c r="AO333" i="7" s="1"/>
  <c r="AO304" i="7" a="1"/>
  <c r="AO304" i="7" s="1"/>
  <c r="AO336" i="7" a="1"/>
  <c r="AO336" i="7" s="1"/>
  <c r="AO323" i="7" a="1"/>
  <c r="AO323" i="7" s="1"/>
  <c r="AO322" i="7" a="1"/>
  <c r="AO322" i="7" s="1"/>
  <c r="AO377" i="7" a="1"/>
  <c r="AO377" i="7" s="1"/>
  <c r="AO311" i="7" a="1"/>
  <c r="AO311" i="7" s="1"/>
  <c r="AO385" i="7" a="1"/>
  <c r="AO385" i="7" s="1"/>
  <c r="AO361" i="7" a="1"/>
  <c r="AO361" i="7" s="1"/>
  <c r="AO347" i="7" a="1"/>
  <c r="AO347" i="7" s="1"/>
  <c r="AO314" i="7" a="1"/>
  <c r="AO314" i="7" s="1"/>
  <c r="AO312" i="7" a="1"/>
  <c r="AO312" i="7" s="1"/>
  <c r="AO350" i="7" a="1"/>
  <c r="AO350" i="7" s="1"/>
  <c r="AO303" i="7" a="1"/>
  <c r="AO303" i="7" s="1"/>
  <c r="AO370" i="7" a="1"/>
  <c r="AO370" i="7" s="1"/>
  <c r="AO343" i="7" a="1"/>
  <c r="AO343" i="7" s="1"/>
  <c r="AO297" i="7" a="1"/>
  <c r="AO297" i="7" s="1"/>
  <c r="AO296" i="7" a="1"/>
  <c r="AO296" i="7" s="1"/>
  <c r="AO294" i="7" a="1"/>
  <c r="AO294" i="7" s="1"/>
  <c r="AO293" i="7" a="1"/>
  <c r="AO293" i="7" s="1"/>
  <c r="AO291" i="7" a="1"/>
  <c r="AO291" i="7" s="1"/>
  <c r="AO289" i="7" a="1"/>
  <c r="AO289" i="7" s="1"/>
  <c r="AO288" i="7" a="1"/>
  <c r="AO288" i="7" s="1"/>
  <c r="AO286" i="7" a="1"/>
  <c r="AO286" i="7" s="1"/>
  <c r="AO330" i="7" a="1"/>
  <c r="AO330" i="7" s="1"/>
  <c r="AO319" i="7" a="1"/>
  <c r="AO319" i="7" s="1"/>
  <c r="AO318" i="7" a="1"/>
  <c r="AO318" i="7" s="1"/>
  <c r="AO302" i="7" a="1"/>
  <c r="AO302" i="7" s="1"/>
  <c r="AO301" i="7" a="1"/>
  <c r="AO301" i="7" s="1"/>
  <c r="AO300" i="7" a="1"/>
  <c r="AO300" i="7" s="1"/>
  <c r="AO299" i="7" a="1"/>
  <c r="AO299" i="7" s="1"/>
  <c r="AO298" i="7" a="1"/>
  <c r="AO298" i="7" s="1"/>
  <c r="AO295" i="7" a="1"/>
  <c r="AO295" i="7" s="1"/>
  <c r="AO292" i="7" a="1"/>
  <c r="AO292" i="7" s="1"/>
  <c r="AO290" i="7" a="1"/>
  <c r="AO290" i="7" s="1"/>
  <c r="AO287" i="7" a="1"/>
  <c r="AO287" i="7" s="1"/>
  <c r="AO285" i="7" a="1"/>
  <c r="AO285" i="7" s="1"/>
  <c r="AO310" i="7" a="1"/>
  <c r="AO310" i="7" s="1"/>
  <c r="AO381" i="7" a="1"/>
  <c r="AO381" i="7" s="1"/>
  <c r="AO368" i="7" a="1"/>
  <c r="AO368" i="7" s="1"/>
  <c r="AO378" i="7" a="1"/>
  <c r="AO378" i="7" s="1"/>
  <c r="AO364" i="7" a="1"/>
  <c r="AO364" i="7" s="1"/>
  <c r="AO320" i="7" a="1"/>
  <c r="AO320" i="7" s="1"/>
  <c r="AO315" i="7" a="1"/>
  <c r="AO315" i="7" s="1"/>
  <c r="AO309" i="7" a="1"/>
  <c r="AO309" i="7" s="1"/>
  <c r="AO308" i="7" a="1"/>
  <c r="AO308" i="7" s="1"/>
  <c r="AO307" i="7" a="1"/>
  <c r="AO307" i="7" s="1"/>
  <c r="AO306" i="7" a="1"/>
  <c r="AO306" i="7" s="1"/>
  <c r="AO305" i="7" a="1"/>
  <c r="AO305" i="7" s="1"/>
  <c r="AO363" i="7" a="1"/>
  <c r="AO363" i="7" s="1"/>
  <c r="AO326" i="7" a="1"/>
  <c r="AO326" i="7" s="1"/>
  <c r="AO374" i="7" a="1"/>
  <c r="AO374" i="7" s="1"/>
  <c r="AO360" i="7" a="1"/>
  <c r="AO360" i="7" s="1"/>
  <c r="AO346" i="7" a="1"/>
  <c r="AO346" i="7" s="1"/>
  <c r="AO316" i="7" a="1"/>
  <c r="AO316" i="7" s="1"/>
  <c r="AO354" i="7" a="1"/>
  <c r="AO354" i="7" s="1"/>
  <c r="AO337" i="7" a="1"/>
  <c r="AO337" i="7" s="1"/>
  <c r="AO313" i="7" a="1"/>
  <c r="AO313" i="7" s="1"/>
  <c r="AX547" i="7" a="1"/>
  <c r="AX547" i="7" s="1"/>
  <c r="AX545" i="7" a="1"/>
  <c r="AX545" i="7" s="1"/>
  <c r="AX543" i="7" a="1"/>
  <c r="AX543" i="7" s="1"/>
  <c r="AX542" i="7" a="1"/>
  <c r="AX542" i="7" s="1"/>
  <c r="AX540" i="7" a="1"/>
  <c r="AX540" i="7" s="1"/>
  <c r="AX538" i="7" a="1"/>
  <c r="AX538" i="7" s="1"/>
  <c r="AX535" i="7" a="1"/>
  <c r="AX535" i="7" s="1"/>
  <c r="AX533" i="7" a="1"/>
  <c r="AX533" i="7" s="1"/>
  <c r="AX514" i="7" a="1"/>
  <c r="AX514" i="7" s="1"/>
  <c r="AX513" i="7" a="1"/>
  <c r="AX513" i="7" s="1"/>
  <c r="AX541" i="7" a="1"/>
  <c r="AX541" i="7" s="1"/>
  <c r="AX529" i="7" a="1"/>
  <c r="AX529" i="7" s="1"/>
  <c r="AX525" i="7" a="1"/>
  <c r="AX525" i="7" s="1"/>
  <c r="AX522" i="7" a="1"/>
  <c r="AX522" i="7" s="1"/>
  <c r="AX515" i="7" a="1"/>
  <c r="AX515" i="7" s="1"/>
  <c r="AX504" i="7" a="1"/>
  <c r="AX504" i="7" s="1"/>
  <c r="AX499" i="7" a="1"/>
  <c r="AX499" i="7" s="1"/>
  <c r="AX544" i="7" a="1"/>
  <c r="AX544" i="7" s="1"/>
  <c r="AX536" i="7" a="1"/>
  <c r="AX536" i="7" s="1"/>
  <c r="AX532" i="7" a="1"/>
  <c r="AX532" i="7" s="1"/>
  <c r="AX531" i="7" a="1"/>
  <c r="AX531" i="7" s="1"/>
  <c r="AX528" i="7" a="1"/>
  <c r="AX528" i="7" s="1"/>
  <c r="AX521" i="7" a="1"/>
  <c r="AX521" i="7" s="1"/>
  <c r="AX518" i="7" a="1"/>
  <c r="AX518" i="7" s="1"/>
  <c r="AX503" i="7" a="1"/>
  <c r="AX503" i="7" s="1"/>
  <c r="AX548" i="7" a="1"/>
  <c r="AX548" i="7" s="1"/>
  <c r="AX539" i="7" a="1"/>
  <c r="AX539" i="7" s="1"/>
  <c r="AX527" i="7" a="1"/>
  <c r="AX527" i="7" s="1"/>
  <c r="AX524" i="7" a="1"/>
  <c r="AX524" i="7" s="1"/>
  <c r="AX520" i="7" a="1"/>
  <c r="AX520" i="7" s="1"/>
  <c r="AX517" i="7" a="1"/>
  <c r="AX517" i="7" s="1"/>
  <c r="AX502" i="7" a="1"/>
  <c r="AX502" i="7" s="1"/>
  <c r="AX500" i="7" a="1"/>
  <c r="AX500" i="7" s="1"/>
  <c r="AX534" i="7" a="1"/>
  <c r="AX534" i="7" s="1"/>
  <c r="AX523" i="7" a="1"/>
  <c r="AX523" i="7" s="1"/>
  <c r="AX512" i="7" a="1"/>
  <c r="AX512" i="7" s="1"/>
  <c r="AX509" i="7" a="1"/>
  <c r="AX509" i="7" s="1"/>
  <c r="AX482" i="7" a="1"/>
  <c r="AX482" i="7" s="1"/>
  <c r="AX546" i="7" a="1"/>
  <c r="AX546" i="7" s="1"/>
  <c r="AX526" i="7" a="1"/>
  <c r="AX526" i="7" s="1"/>
  <c r="AX501" i="7" a="1"/>
  <c r="AX501" i="7" s="1"/>
  <c r="AX497" i="7" a="1"/>
  <c r="AX497" i="7" s="1"/>
  <c r="AX478" i="7" a="1"/>
  <c r="AX478" i="7" s="1"/>
  <c r="AX475" i="7" a="1"/>
  <c r="AX475" i="7" s="1"/>
  <c r="AX473" i="7" a="1"/>
  <c r="AX473" i="7" s="1"/>
  <c r="AX471" i="7" a="1"/>
  <c r="AX471" i="7" s="1"/>
  <c r="AX481" i="7" a="1"/>
  <c r="AX481" i="7" s="1"/>
  <c r="AX470" i="7" a="1"/>
  <c r="AX470" i="7" s="1"/>
  <c r="AX530" i="7" a="1"/>
  <c r="AX530" i="7" s="1"/>
  <c r="AX511" i="7" a="1"/>
  <c r="AX511" i="7" s="1"/>
  <c r="AX508" i="7" a="1"/>
  <c r="AX508" i="7" s="1"/>
  <c r="AX506" i="7" a="1"/>
  <c r="AX506" i="7" s="1"/>
  <c r="AX498" i="7" a="1"/>
  <c r="AX498" i="7" s="1"/>
  <c r="AX494" i="7" a="1"/>
  <c r="AX494" i="7" s="1"/>
  <c r="AX493" i="7" a="1"/>
  <c r="AX493" i="7" s="1"/>
  <c r="AX492" i="7" a="1"/>
  <c r="AX492" i="7" s="1"/>
  <c r="AX491" i="7" a="1"/>
  <c r="AX491" i="7" s="1"/>
  <c r="AX490" i="7" a="1"/>
  <c r="AX490" i="7" s="1"/>
  <c r="AX489" i="7" a="1"/>
  <c r="AX489" i="7" s="1"/>
  <c r="AX488" i="7" a="1"/>
  <c r="AX488" i="7" s="1"/>
  <c r="AX487" i="7" a="1"/>
  <c r="AX487" i="7" s="1"/>
  <c r="AX486" i="7" a="1"/>
  <c r="AX486" i="7" s="1"/>
  <c r="AX485" i="7" a="1"/>
  <c r="AX485" i="7" s="1"/>
  <c r="AX484" i="7" a="1"/>
  <c r="AX484" i="7" s="1"/>
  <c r="AX483" i="7" a="1"/>
  <c r="AX483" i="7" s="1"/>
  <c r="AX480" i="7" a="1"/>
  <c r="AX480" i="7" s="1"/>
  <c r="AX537" i="7" a="1"/>
  <c r="AX537" i="7" s="1"/>
  <c r="AX516" i="7" a="1"/>
  <c r="AX516" i="7" s="1"/>
  <c r="AX510" i="7" a="1"/>
  <c r="AX510" i="7" s="1"/>
  <c r="AX507" i="7" a="1"/>
  <c r="AX507" i="7" s="1"/>
  <c r="AX505" i="7" a="1"/>
  <c r="AX505" i="7" s="1"/>
  <c r="AX477" i="7" a="1"/>
  <c r="AX477" i="7" s="1"/>
  <c r="AX476" i="7" a="1"/>
  <c r="AX476" i="7" s="1"/>
  <c r="AX467" i="7" a="1"/>
  <c r="AX467" i="7" s="1"/>
  <c r="AX456" i="7" a="1"/>
  <c r="AX456" i="7" s="1"/>
  <c r="AX449" i="7" a="1"/>
  <c r="AX449" i="7" s="1"/>
  <c r="AX446" i="7" a="1"/>
  <c r="AX446" i="7" s="1"/>
  <c r="AX442" i="7" a="1"/>
  <c r="AX442" i="7" s="1"/>
  <c r="AX439" i="7" a="1"/>
  <c r="AX439" i="7" s="1"/>
  <c r="AX435" i="7" a="1"/>
  <c r="AX435" i="7" s="1"/>
  <c r="AX432" i="7" a="1"/>
  <c r="AX432" i="7" s="1"/>
  <c r="AX472" i="7" a="1"/>
  <c r="AX472" i="7" s="1"/>
  <c r="AX429" i="7" a="1"/>
  <c r="AX429" i="7" s="1"/>
  <c r="AX426" i="7" a="1"/>
  <c r="AX426" i="7" s="1"/>
  <c r="AX468" i="7" a="1"/>
  <c r="AX468" i="7" s="1"/>
  <c r="AX455" i="7" a="1"/>
  <c r="AX455" i="7" s="1"/>
  <c r="AX452" i="7" a="1"/>
  <c r="AX452" i="7" s="1"/>
  <c r="AX448" i="7" a="1"/>
  <c r="AX448" i="7" s="1"/>
  <c r="AX445" i="7" a="1"/>
  <c r="AX445" i="7" s="1"/>
  <c r="AX441" i="7" a="1"/>
  <c r="AX441" i="7" s="1"/>
  <c r="AX438" i="7" a="1"/>
  <c r="AX438" i="7" s="1"/>
  <c r="AX479" i="7" a="1"/>
  <c r="AX479" i="7" s="1"/>
  <c r="AX430" i="7" a="1"/>
  <c r="AX430" i="7" s="1"/>
  <c r="AX427" i="7" a="1"/>
  <c r="AX427" i="7" s="1"/>
  <c r="AX423" i="7" a="1"/>
  <c r="AX423" i="7" s="1"/>
  <c r="AX420" i="7" a="1"/>
  <c r="AX420" i="7" s="1"/>
  <c r="AX496" i="7" a="1"/>
  <c r="AX496" i="7" s="1"/>
  <c r="AX469" i="7" a="1"/>
  <c r="AX469" i="7" s="1"/>
  <c r="AX454" i="7" a="1"/>
  <c r="AX454" i="7" s="1"/>
  <c r="AX451" i="7" a="1"/>
  <c r="AX451" i="7" s="1"/>
  <c r="AX447" i="7" a="1"/>
  <c r="AX447" i="7" s="1"/>
  <c r="AX444" i="7" a="1"/>
  <c r="AX444" i="7" s="1"/>
  <c r="AX437" i="7" a="1"/>
  <c r="AX437" i="7" s="1"/>
  <c r="AX434" i="7" a="1"/>
  <c r="AX434" i="7" s="1"/>
  <c r="AX431" i="7" a="1"/>
  <c r="AX431" i="7" s="1"/>
  <c r="AX495" i="7" a="1"/>
  <c r="AX495" i="7" s="1"/>
  <c r="AX474" i="7" a="1"/>
  <c r="AX474" i="7" s="1"/>
  <c r="AX465" i="7" a="1"/>
  <c r="AX465" i="7" s="1"/>
  <c r="AX464" i="7" a="1"/>
  <c r="AX464" i="7" s="1"/>
  <c r="AX463" i="7" a="1"/>
  <c r="AX463" i="7" s="1"/>
  <c r="AX462" i="7" a="1"/>
  <c r="AX462" i="7" s="1"/>
  <c r="AX461" i="7" a="1"/>
  <c r="AX461" i="7" s="1"/>
  <c r="AX460" i="7" a="1"/>
  <c r="AX460" i="7" s="1"/>
  <c r="AX459" i="7" a="1"/>
  <c r="AX459" i="7" s="1"/>
  <c r="AX458" i="7" a="1"/>
  <c r="AX458" i="7" s="1"/>
  <c r="AX466" i="7" a="1"/>
  <c r="AX466" i="7" s="1"/>
  <c r="AX457" i="7" a="1"/>
  <c r="AX457" i="7" s="1"/>
  <c r="AX453" i="7" a="1"/>
  <c r="AX453" i="7" s="1"/>
  <c r="AX450" i="7" a="1"/>
  <c r="AX450" i="7" s="1"/>
  <c r="AX443" i="7" a="1"/>
  <c r="AX443" i="7" s="1"/>
  <c r="AX519" i="7" a="1"/>
  <c r="AX519" i="7" s="1"/>
  <c r="AX428" i="7" a="1"/>
  <c r="AX428" i="7" s="1"/>
  <c r="AX419" i="7" a="1"/>
  <c r="AX419" i="7" s="1"/>
  <c r="AX418" i="7" a="1"/>
  <c r="AX418" i="7" s="1"/>
  <c r="AX424" i="7" a="1"/>
  <c r="AX424" i="7" s="1"/>
  <c r="AX417" i="7" a="1"/>
  <c r="AX417" i="7" s="1"/>
  <c r="AX440" i="7" a="1"/>
  <c r="AX440" i="7" s="1"/>
  <c r="AX436" i="7" a="1"/>
  <c r="AX436" i="7" s="1"/>
  <c r="AX433" i="7" a="1"/>
  <c r="AX433" i="7" s="1"/>
  <c r="AX421" i="7" a="1"/>
  <c r="AX421" i="7" s="1"/>
  <c r="AX425" i="7" a="1"/>
  <c r="AX425" i="7" s="1"/>
  <c r="AX422" i="7" a="1"/>
  <c r="AX422" i="7" s="1"/>
  <c r="AZ680" i="7" a="1"/>
  <c r="AZ680" i="7" s="1"/>
  <c r="AZ678" i="7" a="1"/>
  <c r="AZ678" i="7" s="1"/>
  <c r="AZ676" i="7" a="1"/>
  <c r="AZ676" i="7" s="1"/>
  <c r="AZ673" i="7" a="1"/>
  <c r="AZ673" i="7" s="1"/>
  <c r="AZ671" i="7" a="1"/>
  <c r="AZ671" i="7" s="1"/>
  <c r="AZ669" i="7" a="1"/>
  <c r="AZ669" i="7" s="1"/>
  <c r="AZ668" i="7" a="1"/>
  <c r="AZ668" i="7" s="1"/>
  <c r="AZ666" i="7" a="1"/>
  <c r="AZ666" i="7" s="1"/>
  <c r="AZ679" i="7" a="1"/>
  <c r="AZ679" i="7" s="1"/>
  <c r="AZ677" i="7" a="1"/>
  <c r="AZ677" i="7" s="1"/>
  <c r="AZ675" i="7" a="1"/>
  <c r="AZ675" i="7" s="1"/>
  <c r="AZ674" i="7" a="1"/>
  <c r="AZ674" i="7" s="1"/>
  <c r="AZ672" i="7" a="1"/>
  <c r="AZ672" i="7" s="1"/>
  <c r="AZ665" i="7" a="1"/>
  <c r="AZ665" i="7" s="1"/>
  <c r="AZ663" i="7" a="1"/>
  <c r="AZ663" i="7" s="1"/>
  <c r="AZ662" i="7" a="1"/>
  <c r="AZ662" i="7" s="1"/>
  <c r="AZ660" i="7" a="1"/>
  <c r="AZ660" i="7" s="1"/>
  <c r="AZ658" i="7" a="1"/>
  <c r="AZ658" i="7" s="1"/>
  <c r="AZ655" i="7" a="1"/>
  <c r="AZ655" i="7" s="1"/>
  <c r="AZ651" i="7" a="1"/>
  <c r="AZ651" i="7" s="1"/>
  <c r="AZ648" i="7" a="1"/>
  <c r="AZ648" i="7" s="1"/>
  <c r="AZ641" i="7" a="1"/>
  <c r="AZ641" i="7" s="1"/>
  <c r="AZ667" i="7" a="1"/>
  <c r="AZ667" i="7" s="1"/>
  <c r="AZ652" i="7" a="1"/>
  <c r="AZ652" i="7" s="1"/>
  <c r="AZ649" i="7" a="1"/>
  <c r="AZ649" i="7" s="1"/>
  <c r="AZ645" i="7" a="1"/>
  <c r="AZ645" i="7" s="1"/>
  <c r="AZ642" i="7" a="1"/>
  <c r="AZ642" i="7" s="1"/>
  <c r="AZ664" i="7" a="1"/>
  <c r="AZ664" i="7" s="1"/>
  <c r="AZ661" i="7" a="1"/>
  <c r="AZ661" i="7" s="1"/>
  <c r="AZ659" i="7" a="1"/>
  <c r="AZ659" i="7" s="1"/>
  <c r="AZ657" i="7" a="1"/>
  <c r="AZ657" i="7" s="1"/>
  <c r="AZ656" i="7" a="1"/>
  <c r="AZ656" i="7" s="1"/>
  <c r="AZ653" i="7" a="1"/>
  <c r="AZ653" i="7" s="1"/>
  <c r="AZ650" i="7" a="1"/>
  <c r="AZ650" i="7" s="1"/>
  <c r="AZ646" i="7" a="1"/>
  <c r="AZ646" i="7" s="1"/>
  <c r="AZ643" i="7" a="1"/>
  <c r="AZ643" i="7" s="1"/>
  <c r="AZ670" i="7" a="1"/>
  <c r="AZ670" i="7" s="1"/>
  <c r="AZ624" i="7" a="1"/>
  <c r="AZ624" i="7" s="1"/>
  <c r="AZ617" i="7" a="1"/>
  <c r="AZ617" i="7" s="1"/>
  <c r="AZ625" i="7" a="1"/>
  <c r="AZ625" i="7" s="1"/>
  <c r="AZ621" i="7" a="1"/>
  <c r="AZ621" i="7" s="1"/>
  <c r="AZ644" i="7" a="1"/>
  <c r="AZ644" i="7" s="1"/>
  <c r="AZ639" i="7" a="1"/>
  <c r="AZ639" i="7" s="1"/>
  <c r="AZ638" i="7" a="1"/>
  <c r="AZ638" i="7" s="1"/>
  <c r="AZ636" i="7" a="1"/>
  <c r="AZ636" i="7" s="1"/>
  <c r="AZ634" i="7" a="1"/>
  <c r="AZ634" i="7" s="1"/>
  <c r="AZ631" i="7" a="1"/>
  <c r="AZ631" i="7" s="1"/>
  <c r="AZ629" i="7" a="1"/>
  <c r="AZ629" i="7" s="1"/>
  <c r="AZ627" i="7" a="1"/>
  <c r="AZ627" i="7" s="1"/>
  <c r="AZ626" i="7" a="1"/>
  <c r="AZ626" i="7" s="1"/>
  <c r="AZ622" i="7" a="1"/>
  <c r="AZ622" i="7" s="1"/>
  <c r="AZ619" i="7" a="1"/>
  <c r="AZ619" i="7" s="1"/>
  <c r="AZ615" i="7" a="1"/>
  <c r="AZ615" i="7" s="1"/>
  <c r="AZ612" i="7" a="1"/>
  <c r="AZ612" i="7" s="1"/>
  <c r="AZ654" i="7" a="1"/>
  <c r="AZ654" i="7" s="1"/>
  <c r="AZ647" i="7" a="1"/>
  <c r="AZ647" i="7" s="1"/>
  <c r="AZ640" i="7" a="1"/>
  <c r="AZ640" i="7" s="1"/>
  <c r="AZ628" i="7" a="1"/>
  <c r="AZ628" i="7" s="1"/>
  <c r="AZ620" i="7" a="1"/>
  <c r="AZ620" i="7" s="1"/>
  <c r="AZ630" i="7" a="1"/>
  <c r="AZ630" i="7" s="1"/>
  <c r="AZ618" i="7" a="1"/>
  <c r="AZ618" i="7" s="1"/>
  <c r="AZ611" i="7" a="1"/>
  <c r="AZ611" i="7" s="1"/>
  <c r="AZ632" i="7" a="1"/>
  <c r="AZ632" i="7" s="1"/>
  <c r="AZ633" i="7" a="1"/>
  <c r="AZ633" i="7" s="1"/>
  <c r="AZ610" i="7" a="1"/>
  <c r="AZ610" i="7" s="1"/>
  <c r="AZ635" i="7" a="1"/>
  <c r="AZ635" i="7" s="1"/>
  <c r="AZ623" i="7" a="1"/>
  <c r="AZ623" i="7" s="1"/>
  <c r="AZ616" i="7" a="1"/>
  <c r="AZ616" i="7" s="1"/>
  <c r="AZ637" i="7" a="1"/>
  <c r="AZ637" i="7" s="1"/>
  <c r="AZ614" i="7" a="1"/>
  <c r="AZ614" i="7" s="1"/>
  <c r="AZ613" i="7" a="1"/>
  <c r="AZ613" i="7" s="1"/>
  <c r="AZ609" i="7" a="1"/>
  <c r="AZ609" i="7" s="1"/>
  <c r="AZ607" i="7" a="1"/>
  <c r="AZ607" i="7" s="1"/>
  <c r="AZ605" i="7" a="1"/>
  <c r="AZ605" i="7" s="1"/>
  <c r="AZ603" i="7" a="1"/>
  <c r="AZ603" i="7" s="1"/>
  <c r="AZ602" i="7" a="1"/>
  <c r="AZ602" i="7" s="1"/>
  <c r="AZ608" i="7" a="1"/>
  <c r="AZ608" i="7" s="1"/>
  <c r="AZ606" i="7" a="1"/>
  <c r="AZ606" i="7" s="1"/>
  <c r="AZ604" i="7" a="1"/>
  <c r="AZ604" i="7" s="1"/>
  <c r="AZ601" i="7" a="1"/>
  <c r="AZ601" i="7" s="1"/>
  <c r="AZ597" i="7" a="1"/>
  <c r="AZ597" i="7" s="1"/>
  <c r="AZ584" i="7" a="1"/>
  <c r="AZ584" i="7" s="1"/>
  <c r="AZ580" i="7" a="1"/>
  <c r="AZ580" i="7" s="1"/>
  <c r="AZ577" i="7" a="1"/>
  <c r="AZ577" i="7" s="1"/>
  <c r="AZ573" i="7" a="1"/>
  <c r="AZ573" i="7" s="1"/>
  <c r="AZ570" i="7" a="1"/>
  <c r="AZ570" i="7" s="1"/>
  <c r="AZ563" i="7" a="1"/>
  <c r="AZ563" i="7" s="1"/>
  <c r="AZ598" i="7" a="1"/>
  <c r="AZ598" i="7" s="1"/>
  <c r="AZ596" i="7" a="1"/>
  <c r="AZ596" i="7" s="1"/>
  <c r="AZ594" i="7" a="1"/>
  <c r="AZ594" i="7" s="1"/>
  <c r="AZ592" i="7" a="1"/>
  <c r="AZ592" i="7" s="1"/>
  <c r="AZ589" i="7" a="1"/>
  <c r="AZ589" i="7" s="1"/>
  <c r="AZ587" i="7" a="1"/>
  <c r="AZ587" i="7" s="1"/>
  <c r="AZ599" i="7" a="1"/>
  <c r="AZ599" i="7" s="1"/>
  <c r="AZ581" i="7" a="1"/>
  <c r="AZ581" i="7" s="1"/>
  <c r="AZ578" i="7" a="1"/>
  <c r="AZ578" i="7" s="1"/>
  <c r="AZ574" i="7" a="1"/>
  <c r="AZ574" i="7" s="1"/>
  <c r="AZ571" i="7" a="1"/>
  <c r="AZ571" i="7" s="1"/>
  <c r="AZ567" i="7" a="1"/>
  <c r="AZ567" i="7" s="1"/>
  <c r="AZ564" i="7" a="1"/>
  <c r="AZ564" i="7" s="1"/>
  <c r="AZ585" i="7" a="1"/>
  <c r="AZ585" i="7" s="1"/>
  <c r="AZ582" i="7" a="1"/>
  <c r="AZ582" i="7" s="1"/>
  <c r="AZ575" i="7" a="1"/>
  <c r="AZ575" i="7" s="1"/>
  <c r="AZ572" i="7" a="1"/>
  <c r="AZ572" i="7" s="1"/>
  <c r="AZ568" i="7" a="1"/>
  <c r="AZ568" i="7" s="1"/>
  <c r="AZ565" i="7" a="1"/>
  <c r="AZ565" i="7" s="1"/>
  <c r="AZ561" i="7" a="1"/>
  <c r="AZ561" i="7" s="1"/>
  <c r="AZ595" i="7" a="1"/>
  <c r="AZ595" i="7" s="1"/>
  <c r="AZ593" i="7" a="1"/>
  <c r="AZ593" i="7" s="1"/>
  <c r="AZ591" i="7" a="1"/>
  <c r="AZ591" i="7" s="1"/>
  <c r="AZ590" i="7" a="1"/>
  <c r="AZ590" i="7" s="1"/>
  <c r="AZ588" i="7" a="1"/>
  <c r="AZ588" i="7" s="1"/>
  <c r="AZ576" i="7" a="1"/>
  <c r="AZ576" i="7" s="1"/>
  <c r="AZ560" i="7" a="1"/>
  <c r="AZ560" i="7" s="1"/>
  <c r="AZ550" i="7" a="1"/>
  <c r="AZ550" i="7" s="1"/>
  <c r="AZ579" i="7" a="1"/>
  <c r="AZ579" i="7" s="1"/>
  <c r="AZ551" i="7" a="1"/>
  <c r="AZ551" i="7" s="1"/>
  <c r="AZ600" i="7" a="1"/>
  <c r="AZ600" i="7" s="1"/>
  <c r="AZ583" i="7" a="1"/>
  <c r="AZ583" i="7" s="1"/>
  <c r="AZ562" i="7" a="1"/>
  <c r="AZ562" i="7" s="1"/>
  <c r="AZ558" i="7" a="1"/>
  <c r="AZ558" i="7" s="1"/>
  <c r="AZ557" i="7" a="1"/>
  <c r="AZ557" i="7" s="1"/>
  <c r="AZ556" i="7" a="1"/>
  <c r="AZ556" i="7" s="1"/>
  <c r="AZ555" i="7" a="1"/>
  <c r="AZ555" i="7" s="1"/>
  <c r="AZ554" i="7" a="1"/>
  <c r="AZ554" i="7" s="1"/>
  <c r="AZ586" i="7" a="1"/>
  <c r="AZ586" i="7" s="1"/>
  <c r="AZ566" i="7" a="1"/>
  <c r="AZ566" i="7" s="1"/>
  <c r="AZ559" i="7" a="1"/>
  <c r="AZ559" i="7" s="1"/>
  <c r="AZ552" i="7" a="1"/>
  <c r="AZ552" i="7" s="1"/>
  <c r="AZ569" i="7" a="1"/>
  <c r="AZ569" i="7" s="1"/>
  <c r="AZ553" i="7" a="1"/>
  <c r="AZ553" i="7" s="1"/>
  <c r="AZ549" i="7" a="1"/>
  <c r="AZ549" i="7" s="1"/>
  <c r="AU548" i="7" a="1"/>
  <c r="AU548" i="7" s="1"/>
  <c r="AU546" i="7" a="1"/>
  <c r="AU546" i="7" s="1"/>
  <c r="AU544" i="7" a="1"/>
  <c r="AU544" i="7" s="1"/>
  <c r="AU541" i="7" a="1"/>
  <c r="AU541" i="7" s="1"/>
  <c r="AU539" i="7" a="1"/>
  <c r="AU539" i="7" s="1"/>
  <c r="AU537" i="7" a="1"/>
  <c r="AU537" i="7" s="1"/>
  <c r="AU536" i="7" a="1"/>
  <c r="AU536" i="7" s="1"/>
  <c r="AU534" i="7" a="1"/>
  <c r="AU534" i="7" s="1"/>
  <c r="AU532" i="7" a="1"/>
  <c r="AU532" i="7" s="1"/>
  <c r="AU515" i="7" a="1"/>
  <c r="AU515" i="7" s="1"/>
  <c r="AU514" i="7" a="1"/>
  <c r="AU514" i="7" s="1"/>
  <c r="AU513" i="7" a="1"/>
  <c r="AU513" i="7" s="1"/>
  <c r="AU512" i="7" a="1"/>
  <c r="AU512" i="7" s="1"/>
  <c r="AU511" i="7" a="1"/>
  <c r="AU511" i="7" s="1"/>
  <c r="AU510" i="7" a="1"/>
  <c r="AU510" i="7" s="1"/>
  <c r="AU509" i="7" a="1"/>
  <c r="AU509" i="7" s="1"/>
  <c r="AU508" i="7" a="1"/>
  <c r="AU508" i="7" s="1"/>
  <c r="AU507" i="7" a="1"/>
  <c r="AU507" i="7" s="1"/>
  <c r="AU506" i="7" a="1"/>
  <c r="AU506" i="7" s="1"/>
  <c r="AU505" i="7" a="1"/>
  <c r="AU505" i="7" s="1"/>
  <c r="AU504" i="7" a="1"/>
  <c r="AU504" i="7" s="1"/>
  <c r="AU503" i="7" a="1"/>
  <c r="AU503" i="7" s="1"/>
  <c r="AU502" i="7" a="1"/>
  <c r="AU502" i="7" s="1"/>
  <c r="AU501" i="7" a="1"/>
  <c r="AU501" i="7" s="1"/>
  <c r="AU547" i="7" a="1"/>
  <c r="AU547" i="7" s="1"/>
  <c r="AU545" i="7" a="1"/>
  <c r="AU545" i="7" s="1"/>
  <c r="AU543" i="7" a="1"/>
  <c r="AU543" i="7" s="1"/>
  <c r="AU542" i="7" a="1"/>
  <c r="AU542" i="7" s="1"/>
  <c r="AU540" i="7" a="1"/>
  <c r="AU540" i="7" s="1"/>
  <c r="AU538" i="7" a="1"/>
  <c r="AU538" i="7" s="1"/>
  <c r="AU535" i="7" a="1"/>
  <c r="AU535" i="7" s="1"/>
  <c r="AU533" i="7" a="1"/>
  <c r="AU533" i="7" s="1"/>
  <c r="AU530" i="7" a="1"/>
  <c r="AU530" i="7" s="1"/>
  <c r="AU526" i="7" a="1"/>
  <c r="AU526" i="7" s="1"/>
  <c r="AU523" i="7" a="1"/>
  <c r="AU523" i="7" s="1"/>
  <c r="AU519" i="7" a="1"/>
  <c r="AU519" i="7" s="1"/>
  <c r="AU516" i="7" a="1"/>
  <c r="AU516" i="7" s="1"/>
  <c r="AU500" i="7" a="1"/>
  <c r="AU500" i="7" s="1"/>
  <c r="AU529" i="7" a="1"/>
  <c r="AU529" i="7" s="1"/>
  <c r="AU525" i="7" a="1"/>
  <c r="AU525" i="7" s="1"/>
  <c r="AU522" i="7" a="1"/>
  <c r="AU522" i="7" s="1"/>
  <c r="AU498" i="7" a="1"/>
  <c r="AU498" i="7" s="1"/>
  <c r="AU497" i="7" a="1"/>
  <c r="AU497" i="7" s="1"/>
  <c r="AU496" i="7" a="1"/>
  <c r="AU496" i="7" s="1"/>
  <c r="AU531" i="7" a="1"/>
  <c r="AU531" i="7" s="1"/>
  <c r="AU528" i="7" a="1"/>
  <c r="AU528" i="7" s="1"/>
  <c r="AU521" i="7" a="1"/>
  <c r="AU521" i="7" s="1"/>
  <c r="AU518" i="7" a="1"/>
  <c r="AU518" i="7" s="1"/>
  <c r="AU499" i="7" a="1"/>
  <c r="AU499" i="7" s="1"/>
  <c r="AU527" i="7" a="1"/>
  <c r="AU527" i="7" s="1"/>
  <c r="AU524" i="7" a="1"/>
  <c r="AU524" i="7" s="1"/>
  <c r="AU520" i="7" a="1"/>
  <c r="AU520" i="7" s="1"/>
  <c r="AU517" i="7" a="1"/>
  <c r="AU517" i="7" s="1"/>
  <c r="AU495" i="7" a="1"/>
  <c r="AU495" i="7" s="1"/>
  <c r="AU477" i="7" a="1"/>
  <c r="AU477" i="7" s="1"/>
  <c r="AU476" i="7" a="1"/>
  <c r="AU476" i="7" s="1"/>
  <c r="AU474" i="7" a="1"/>
  <c r="AU474" i="7" s="1"/>
  <c r="AU472" i="7" a="1"/>
  <c r="AU472" i="7" s="1"/>
  <c r="AU479" i="7" a="1"/>
  <c r="AU479" i="7" s="1"/>
  <c r="AU478" i="7" a="1"/>
  <c r="AU478" i="7" s="1"/>
  <c r="AU475" i="7" a="1"/>
  <c r="AU475" i="7" s="1"/>
  <c r="AU473" i="7" a="1"/>
  <c r="AU473" i="7" s="1"/>
  <c r="AU471" i="7" a="1"/>
  <c r="AU471" i="7" s="1"/>
  <c r="AU481" i="7" a="1"/>
  <c r="AU481" i="7" s="1"/>
  <c r="AU431" i="7" a="1"/>
  <c r="AU431" i="7" s="1"/>
  <c r="AU428" i="7" a="1"/>
  <c r="AU428" i="7" s="1"/>
  <c r="AU424" i="7" a="1"/>
  <c r="AU424" i="7" s="1"/>
  <c r="AU493" i="7" a="1"/>
  <c r="AU493" i="7" s="1"/>
  <c r="AU491" i="7" a="1"/>
  <c r="AU491" i="7" s="1"/>
  <c r="AU489" i="7" a="1"/>
  <c r="AU489" i="7" s="1"/>
  <c r="AU487" i="7" a="1"/>
  <c r="AU487" i="7" s="1"/>
  <c r="AU484" i="7" a="1"/>
  <c r="AU484" i="7" s="1"/>
  <c r="AU466" i="7" a="1"/>
  <c r="AU466" i="7" s="1"/>
  <c r="AU465" i="7" a="1"/>
  <c r="AU465" i="7" s="1"/>
  <c r="AU464" i="7" a="1"/>
  <c r="AU464" i="7" s="1"/>
  <c r="AU463" i="7" a="1"/>
  <c r="AU463" i="7" s="1"/>
  <c r="AU462" i="7" a="1"/>
  <c r="AU462" i="7" s="1"/>
  <c r="AU461" i="7" a="1"/>
  <c r="AU461" i="7" s="1"/>
  <c r="AU460" i="7" a="1"/>
  <c r="AU460" i="7" s="1"/>
  <c r="AU459" i="7" a="1"/>
  <c r="AU459" i="7" s="1"/>
  <c r="AU458" i="7" a="1"/>
  <c r="AU458" i="7" s="1"/>
  <c r="AU470" i="7" a="1"/>
  <c r="AU470" i="7" s="1"/>
  <c r="AU457" i="7" a="1"/>
  <c r="AU457" i="7" s="1"/>
  <c r="AU453" i="7" a="1"/>
  <c r="AU453" i="7" s="1"/>
  <c r="AU450" i="7" a="1"/>
  <c r="AU450" i="7" s="1"/>
  <c r="AU443" i="7" a="1"/>
  <c r="AU443" i="7" s="1"/>
  <c r="AU440" i="7" a="1"/>
  <c r="AU440" i="7" s="1"/>
  <c r="AU436" i="7" a="1"/>
  <c r="AU436" i="7" s="1"/>
  <c r="AU433" i="7" a="1"/>
  <c r="AU433" i="7" s="1"/>
  <c r="AU482" i="7" a="1"/>
  <c r="AU482" i="7" s="1"/>
  <c r="AU425" i="7" a="1"/>
  <c r="AU425" i="7" s="1"/>
  <c r="AU422" i="7" a="1"/>
  <c r="AU422" i="7" s="1"/>
  <c r="AU418" i="7" a="1"/>
  <c r="AU418" i="7" s="1"/>
  <c r="AU467" i="7" a="1"/>
  <c r="AU467" i="7" s="1"/>
  <c r="AU488" i="7" a="1"/>
  <c r="AU488" i="7" s="1"/>
  <c r="AU485" i="7" a="1"/>
  <c r="AU485" i="7" s="1"/>
  <c r="AU456" i="7" a="1"/>
  <c r="AU456" i="7" s="1"/>
  <c r="AU449" i="7" a="1"/>
  <c r="AU449" i="7" s="1"/>
  <c r="AU446" i="7" a="1"/>
  <c r="AU446" i="7" s="1"/>
  <c r="AU442" i="7" a="1"/>
  <c r="AU442" i="7" s="1"/>
  <c r="AU439" i="7" a="1"/>
  <c r="AU439" i="7" s="1"/>
  <c r="AU435" i="7" a="1"/>
  <c r="AU435" i="7" s="1"/>
  <c r="AU432" i="7" a="1"/>
  <c r="AU432" i="7" s="1"/>
  <c r="AU429" i="7" a="1"/>
  <c r="AU429" i="7" s="1"/>
  <c r="AU426" i="7" a="1"/>
  <c r="AU426" i="7" s="1"/>
  <c r="AU494" i="7" a="1"/>
  <c r="AU494" i="7" s="1"/>
  <c r="AU492" i="7" a="1"/>
  <c r="AU492" i="7" s="1"/>
  <c r="AU490" i="7" a="1"/>
  <c r="AU490" i="7" s="1"/>
  <c r="AU468" i="7" a="1"/>
  <c r="AU468" i="7" s="1"/>
  <c r="AU455" i="7" a="1"/>
  <c r="AU455" i="7" s="1"/>
  <c r="AU452" i="7" a="1"/>
  <c r="AU452" i="7" s="1"/>
  <c r="AU486" i="7" a="1"/>
  <c r="AU486" i="7" s="1"/>
  <c r="AU444" i="7" a="1"/>
  <c r="AU444" i="7" s="1"/>
  <c r="AU448" i="7" a="1"/>
  <c r="AU448" i="7" s="1"/>
  <c r="AU437" i="7" a="1"/>
  <c r="AU437" i="7" s="1"/>
  <c r="AU434" i="7" a="1"/>
  <c r="AU434" i="7" s="1"/>
  <c r="AU423" i="7" a="1"/>
  <c r="AU423" i="7" s="1"/>
  <c r="AU421" i="7" a="1"/>
  <c r="AU421" i="7" s="1"/>
  <c r="AU420" i="7" a="1"/>
  <c r="AU420" i="7" s="1"/>
  <c r="AU419" i="7" a="1"/>
  <c r="AU419" i="7" s="1"/>
  <c r="AU480" i="7" a="1"/>
  <c r="AU480" i="7" s="1"/>
  <c r="AU445" i="7" a="1"/>
  <c r="AU445" i="7" s="1"/>
  <c r="AU438" i="7" a="1"/>
  <c r="AU438" i="7" s="1"/>
  <c r="AU454" i="7" a="1"/>
  <c r="AU454" i="7" s="1"/>
  <c r="AU430" i="7" a="1"/>
  <c r="AU430" i="7" s="1"/>
  <c r="AU427" i="7" a="1"/>
  <c r="AU427" i="7" s="1"/>
  <c r="AU441" i="7" a="1"/>
  <c r="AU441" i="7" s="1"/>
  <c r="AU469" i="7" a="1"/>
  <c r="AU469" i="7" s="1"/>
  <c r="AU447" i="7" a="1"/>
  <c r="AU447" i="7" s="1"/>
  <c r="AU417" i="7" a="1"/>
  <c r="AU417" i="7" s="1"/>
  <c r="AU483" i="7" a="1"/>
  <c r="AU483" i="7" s="1"/>
  <c r="AU451" i="7" a="1"/>
  <c r="AU451" i="7" s="1"/>
  <c r="AT680" i="7" a="1"/>
  <c r="AT680" i="7" s="1"/>
  <c r="AT678" i="7" a="1"/>
  <c r="AT678" i="7" s="1"/>
  <c r="AT676" i="7" a="1"/>
  <c r="AT676" i="7" s="1"/>
  <c r="AT673" i="7" a="1"/>
  <c r="AT673" i="7" s="1"/>
  <c r="AT671" i="7" a="1"/>
  <c r="AT671" i="7" s="1"/>
  <c r="AT669" i="7" a="1"/>
  <c r="AT669" i="7" s="1"/>
  <c r="AT668" i="7" a="1"/>
  <c r="AT668" i="7" s="1"/>
  <c r="AT679" i="7" a="1"/>
  <c r="AT679" i="7" s="1"/>
  <c r="AT677" i="7" a="1"/>
  <c r="AT677" i="7" s="1"/>
  <c r="AT675" i="7" a="1"/>
  <c r="AT675" i="7" s="1"/>
  <c r="AT674" i="7" a="1"/>
  <c r="AT674" i="7" s="1"/>
  <c r="AT672" i="7" a="1"/>
  <c r="AT672" i="7" s="1"/>
  <c r="AT670" i="7" a="1"/>
  <c r="AT670" i="7" s="1"/>
  <c r="AT667" i="7" a="1"/>
  <c r="AT667" i="7" s="1"/>
  <c r="AT655" i="7" a="1"/>
  <c r="AT655" i="7" s="1"/>
  <c r="AT651" i="7" a="1"/>
  <c r="AT651" i="7" s="1"/>
  <c r="AT648" i="7" a="1"/>
  <c r="AT648" i="7" s="1"/>
  <c r="AT652" i="7" a="1"/>
  <c r="AT652" i="7" s="1"/>
  <c r="AT649" i="7" a="1"/>
  <c r="AT649" i="7" s="1"/>
  <c r="AT645" i="7" a="1"/>
  <c r="AT645" i="7" s="1"/>
  <c r="AT642" i="7" a="1"/>
  <c r="AT642" i="7" s="1"/>
  <c r="AT666" i="7" a="1"/>
  <c r="AT666" i="7" s="1"/>
  <c r="AT664" i="7" a="1"/>
  <c r="AT664" i="7" s="1"/>
  <c r="AT661" i="7" a="1"/>
  <c r="AT661" i="7" s="1"/>
  <c r="AT659" i="7" a="1"/>
  <c r="AT659" i="7" s="1"/>
  <c r="AT657" i="7" a="1"/>
  <c r="AT657" i="7" s="1"/>
  <c r="AT656" i="7" a="1"/>
  <c r="AT656" i="7" s="1"/>
  <c r="AT653" i="7" a="1"/>
  <c r="AT653" i="7" s="1"/>
  <c r="AT650" i="7" a="1"/>
  <c r="AT650" i="7" s="1"/>
  <c r="AT646" i="7" a="1"/>
  <c r="AT646" i="7" s="1"/>
  <c r="AT643" i="7" a="1"/>
  <c r="AT643" i="7" s="1"/>
  <c r="AT654" i="7" a="1"/>
  <c r="AT654" i="7" s="1"/>
  <c r="AT660" i="7" a="1"/>
  <c r="AT660" i="7" s="1"/>
  <c r="AT640" i="7" a="1"/>
  <c r="AT640" i="7" s="1"/>
  <c r="AT625" i="7" a="1"/>
  <c r="AT625" i="7" s="1"/>
  <c r="AT621" i="7" a="1"/>
  <c r="AT621" i="7" s="1"/>
  <c r="AT618" i="7" a="1"/>
  <c r="AT618" i="7" s="1"/>
  <c r="AT611" i="7" a="1"/>
  <c r="AT611" i="7" s="1"/>
  <c r="AT639" i="7" a="1"/>
  <c r="AT639" i="7" s="1"/>
  <c r="AT638" i="7" a="1"/>
  <c r="AT638" i="7" s="1"/>
  <c r="AT636" i="7" a="1"/>
  <c r="AT636" i="7" s="1"/>
  <c r="AT634" i="7" a="1"/>
  <c r="AT634" i="7" s="1"/>
  <c r="AT631" i="7" a="1"/>
  <c r="AT631" i="7" s="1"/>
  <c r="AT629" i="7" a="1"/>
  <c r="AT629" i="7" s="1"/>
  <c r="AT627" i="7" a="1"/>
  <c r="AT627" i="7" s="1"/>
  <c r="AT663" i="7" a="1"/>
  <c r="AT663" i="7" s="1"/>
  <c r="AT626" i="7" a="1"/>
  <c r="AT626" i="7" s="1"/>
  <c r="AT658" i="7" a="1"/>
  <c r="AT658" i="7" s="1"/>
  <c r="AT644" i="7" a="1"/>
  <c r="AT644" i="7" s="1"/>
  <c r="AT641" i="7" a="1"/>
  <c r="AT641" i="7" s="1"/>
  <c r="AT623" i="7" a="1"/>
  <c r="AT623" i="7" s="1"/>
  <c r="AT620" i="7" a="1"/>
  <c r="AT620" i="7" s="1"/>
  <c r="AT662" i="7" a="1"/>
  <c r="AT662" i="7" s="1"/>
  <c r="AT637" i="7" a="1"/>
  <c r="AT637" i="7" s="1"/>
  <c r="AT635" i="7" a="1"/>
  <c r="AT635" i="7" s="1"/>
  <c r="AT633" i="7" a="1"/>
  <c r="AT633" i="7" s="1"/>
  <c r="AT632" i="7" a="1"/>
  <c r="AT632" i="7" s="1"/>
  <c r="AT630" i="7" a="1"/>
  <c r="AT630" i="7" s="1"/>
  <c r="AT628" i="7" a="1"/>
  <c r="AT628" i="7" s="1"/>
  <c r="AT647" i="7" a="1"/>
  <c r="AT647" i="7" s="1"/>
  <c r="AT665" i="7" a="1"/>
  <c r="AT665" i="7" s="1"/>
  <c r="AT619" i="7" a="1"/>
  <c r="AT619" i="7" s="1"/>
  <c r="AT624" i="7" a="1"/>
  <c r="AT624" i="7" s="1"/>
  <c r="AT617" i="7" a="1"/>
  <c r="AT617" i="7" s="1"/>
  <c r="AT616" i="7" a="1"/>
  <c r="AT616" i="7" s="1"/>
  <c r="AT615" i="7" a="1"/>
  <c r="AT615" i="7" s="1"/>
  <c r="AT614" i="7" a="1"/>
  <c r="AT614" i="7" s="1"/>
  <c r="AT613" i="7" a="1"/>
  <c r="AT613" i="7" s="1"/>
  <c r="AT609" i="7" a="1"/>
  <c r="AT609" i="7" s="1"/>
  <c r="AT622" i="7" a="1"/>
  <c r="AT622" i="7" s="1"/>
  <c r="AT608" i="7" a="1"/>
  <c r="AT608" i="7" s="1"/>
  <c r="AT606" i="7" a="1"/>
  <c r="AT606" i="7" s="1"/>
  <c r="AT604" i="7" a="1"/>
  <c r="AT604" i="7" s="1"/>
  <c r="AT601" i="7" a="1"/>
  <c r="AT601" i="7" s="1"/>
  <c r="AT599" i="7" a="1"/>
  <c r="AT599" i="7" s="1"/>
  <c r="AT612" i="7" a="1"/>
  <c r="AT612" i="7" s="1"/>
  <c r="AT607" i="7" a="1"/>
  <c r="AT607" i="7" s="1"/>
  <c r="AT596" i="7" a="1"/>
  <c r="AT596" i="7" s="1"/>
  <c r="AT594" i="7" a="1"/>
  <c r="AT594" i="7" s="1"/>
  <c r="AT592" i="7" a="1"/>
  <c r="AT592" i="7" s="1"/>
  <c r="AT589" i="7" a="1"/>
  <c r="AT589" i="7" s="1"/>
  <c r="AT587" i="7" a="1"/>
  <c r="AT587" i="7" s="1"/>
  <c r="AT584" i="7" a="1"/>
  <c r="AT584" i="7" s="1"/>
  <c r="AT580" i="7" a="1"/>
  <c r="AT580" i="7" s="1"/>
  <c r="AT577" i="7" a="1"/>
  <c r="AT577" i="7" s="1"/>
  <c r="AT573" i="7" a="1"/>
  <c r="AT573" i="7" s="1"/>
  <c r="AT570" i="7" a="1"/>
  <c r="AT570" i="7" s="1"/>
  <c r="AT563" i="7" a="1"/>
  <c r="AT563" i="7" s="1"/>
  <c r="AT603" i="7" a="1"/>
  <c r="AT603" i="7" s="1"/>
  <c r="AT600" i="7" a="1"/>
  <c r="AT600" i="7" s="1"/>
  <c r="AT581" i="7" a="1"/>
  <c r="AT581" i="7" s="1"/>
  <c r="AT578" i="7" a="1"/>
  <c r="AT578" i="7" s="1"/>
  <c r="AT574" i="7" a="1"/>
  <c r="AT574" i="7" s="1"/>
  <c r="AT571" i="7" a="1"/>
  <c r="AT571" i="7" s="1"/>
  <c r="AT567" i="7" a="1"/>
  <c r="AT567" i="7" s="1"/>
  <c r="AT564" i="7" a="1"/>
  <c r="AT564" i="7" s="1"/>
  <c r="AT610" i="7" a="1"/>
  <c r="AT610" i="7" s="1"/>
  <c r="AT595" i="7" a="1"/>
  <c r="AT595" i="7" s="1"/>
  <c r="AT593" i="7" a="1"/>
  <c r="AT593" i="7" s="1"/>
  <c r="AT591" i="7" a="1"/>
  <c r="AT591" i="7" s="1"/>
  <c r="AT590" i="7" a="1"/>
  <c r="AT590" i="7" s="1"/>
  <c r="AT588" i="7" a="1"/>
  <c r="AT588" i="7" s="1"/>
  <c r="AT585" i="7" a="1"/>
  <c r="AT585" i="7" s="1"/>
  <c r="AT582" i="7" a="1"/>
  <c r="AT582" i="7" s="1"/>
  <c r="AT575" i="7" a="1"/>
  <c r="AT575" i="7" s="1"/>
  <c r="AT572" i="7" a="1"/>
  <c r="AT572" i="7" s="1"/>
  <c r="AT568" i="7" a="1"/>
  <c r="AT568" i="7" s="1"/>
  <c r="AT565" i="7" a="1"/>
  <c r="AT565" i="7" s="1"/>
  <c r="AT561" i="7" a="1"/>
  <c r="AT561" i="7" s="1"/>
  <c r="AT597" i="7" a="1"/>
  <c r="AT597" i="7" s="1"/>
  <c r="AT598" i="7" a="1"/>
  <c r="AT598" i="7" s="1"/>
  <c r="AT586" i="7" a="1"/>
  <c r="AT586" i="7" s="1"/>
  <c r="AT583" i="7" a="1"/>
  <c r="AT583" i="7" s="1"/>
  <c r="AT579" i="7" a="1"/>
  <c r="AT579" i="7" s="1"/>
  <c r="AT576" i="7" a="1"/>
  <c r="AT576" i="7" s="1"/>
  <c r="AT569" i="7" a="1"/>
  <c r="AT569" i="7" s="1"/>
  <c r="AT566" i="7" a="1"/>
  <c r="AT566" i="7" s="1"/>
  <c r="AT562" i="7" a="1"/>
  <c r="AT562" i="7" s="1"/>
  <c r="AT602" i="7" a="1"/>
  <c r="AT602" i="7" s="1"/>
  <c r="AT558" i="7" a="1"/>
  <c r="AT558" i="7" s="1"/>
  <c r="AT557" i="7" a="1"/>
  <c r="AT557" i="7" s="1"/>
  <c r="AT556" i="7" a="1"/>
  <c r="AT556" i="7" s="1"/>
  <c r="AT555" i="7" a="1"/>
  <c r="AT555" i="7" s="1"/>
  <c r="AT559" i="7" a="1"/>
  <c r="AT559" i="7" s="1"/>
  <c r="AT554" i="7" a="1"/>
  <c r="AT554" i="7" s="1"/>
  <c r="AT551" i="7" a="1"/>
  <c r="AT551" i="7" s="1"/>
  <c r="AT552" i="7" a="1"/>
  <c r="AT552" i="7" s="1"/>
  <c r="AT605" i="7" a="1"/>
  <c r="AT605" i="7" s="1"/>
  <c r="AT560" i="7" a="1"/>
  <c r="AT560" i="7" s="1"/>
  <c r="AT549" i="7" a="1"/>
  <c r="AT549" i="7" s="1"/>
  <c r="AT553" i="7" a="1"/>
  <c r="AT553" i="7" s="1"/>
  <c r="AT550" i="7" a="1"/>
  <c r="AT550" i="7" s="1"/>
  <c r="AR547" i="7" a="1"/>
  <c r="AR547" i="7" s="1"/>
  <c r="AR545" i="7" a="1"/>
  <c r="AR545" i="7" s="1"/>
  <c r="AR543" i="7" a="1"/>
  <c r="AR543" i="7" s="1"/>
  <c r="AR542" i="7" a="1"/>
  <c r="AR542" i="7" s="1"/>
  <c r="AR540" i="7" a="1"/>
  <c r="AR540" i="7" s="1"/>
  <c r="AR538" i="7" a="1"/>
  <c r="AR538" i="7" s="1"/>
  <c r="AR535" i="7" a="1"/>
  <c r="AR535" i="7" s="1"/>
  <c r="AR533" i="7" a="1"/>
  <c r="AR533" i="7" s="1"/>
  <c r="AR548" i="7" a="1"/>
  <c r="AR548" i="7" s="1"/>
  <c r="AR546" i="7" a="1"/>
  <c r="AR546" i="7" s="1"/>
  <c r="AR544" i="7" a="1"/>
  <c r="AR544" i="7" s="1"/>
  <c r="AR541" i="7" a="1"/>
  <c r="AR541" i="7" s="1"/>
  <c r="AR539" i="7" a="1"/>
  <c r="AR539" i="7" s="1"/>
  <c r="AR537" i="7" a="1"/>
  <c r="AR537" i="7" s="1"/>
  <c r="AR536" i="7" a="1"/>
  <c r="AR536" i="7" s="1"/>
  <c r="AR534" i="7" a="1"/>
  <c r="AR534" i="7" s="1"/>
  <c r="AR515" i="7" a="1"/>
  <c r="AR515" i="7" s="1"/>
  <c r="AR514" i="7" a="1"/>
  <c r="AR514" i="7" s="1"/>
  <c r="AR527" i="7" a="1"/>
  <c r="AR527" i="7" s="1"/>
  <c r="AR524" i="7" a="1"/>
  <c r="AR524" i="7" s="1"/>
  <c r="AR520" i="7" a="1"/>
  <c r="AR520" i="7" s="1"/>
  <c r="AR517" i="7" a="1"/>
  <c r="AR517" i="7" s="1"/>
  <c r="AR499" i="7" a="1"/>
  <c r="AR499" i="7" s="1"/>
  <c r="AR503" i="7" a="1"/>
  <c r="AR503" i="7" s="1"/>
  <c r="AR530" i="7" a="1"/>
  <c r="AR530" i="7" s="1"/>
  <c r="AR526" i="7" a="1"/>
  <c r="AR526" i="7" s="1"/>
  <c r="AR523" i="7" a="1"/>
  <c r="AR523" i="7" s="1"/>
  <c r="AR519" i="7" a="1"/>
  <c r="AR519" i="7" s="1"/>
  <c r="AR516" i="7" a="1"/>
  <c r="AR516" i="7" s="1"/>
  <c r="AR502" i="7" a="1"/>
  <c r="AR502" i="7" s="1"/>
  <c r="AR500" i="7" a="1"/>
  <c r="AR500" i="7" s="1"/>
  <c r="AR529" i="7" a="1"/>
  <c r="AR529" i="7" s="1"/>
  <c r="AR525" i="7" a="1"/>
  <c r="AR525" i="7" s="1"/>
  <c r="AR522" i="7" a="1"/>
  <c r="AR522" i="7" s="1"/>
  <c r="AR512" i="7" a="1"/>
  <c r="AR512" i="7" s="1"/>
  <c r="AR511" i="7" a="1"/>
  <c r="AR511" i="7" s="1"/>
  <c r="AR510" i="7" a="1"/>
  <c r="AR510" i="7" s="1"/>
  <c r="AR509" i="7" a="1"/>
  <c r="AR509" i="7" s="1"/>
  <c r="AR508" i="7" a="1"/>
  <c r="AR508" i="7" s="1"/>
  <c r="AR507" i="7" a="1"/>
  <c r="AR507" i="7" s="1"/>
  <c r="AR506" i="7" a="1"/>
  <c r="AR506" i="7" s="1"/>
  <c r="AR532" i="7" a="1"/>
  <c r="AR532" i="7" s="1"/>
  <c r="AR513" i="7" a="1"/>
  <c r="AR513" i="7" s="1"/>
  <c r="AR505" i="7" a="1"/>
  <c r="AR505" i="7" s="1"/>
  <c r="AR501" i="7" a="1"/>
  <c r="AR501" i="7" s="1"/>
  <c r="AR531" i="7" a="1"/>
  <c r="AR531" i="7" s="1"/>
  <c r="AR528" i="7" a="1"/>
  <c r="AR528" i="7" s="1"/>
  <c r="AR521" i="7" a="1"/>
  <c r="AR521" i="7" s="1"/>
  <c r="AR518" i="7" a="1"/>
  <c r="AR518" i="7" s="1"/>
  <c r="AR481" i="7" a="1"/>
  <c r="AR481" i="7" s="1"/>
  <c r="AR478" i="7" a="1"/>
  <c r="AR478" i="7" s="1"/>
  <c r="AR475" i="7" a="1"/>
  <c r="AR475" i="7" s="1"/>
  <c r="AR473" i="7" a="1"/>
  <c r="AR473" i="7" s="1"/>
  <c r="AR471" i="7" a="1"/>
  <c r="AR471" i="7" s="1"/>
  <c r="AR504" i="7" a="1"/>
  <c r="AR504" i="7" s="1"/>
  <c r="AR496" i="7" a="1"/>
  <c r="AR496" i="7" s="1"/>
  <c r="AR494" i="7" a="1"/>
  <c r="AR494" i="7" s="1"/>
  <c r="AR493" i="7" a="1"/>
  <c r="AR493" i="7" s="1"/>
  <c r="AR492" i="7" a="1"/>
  <c r="AR492" i="7" s="1"/>
  <c r="AR491" i="7" a="1"/>
  <c r="AR491" i="7" s="1"/>
  <c r="AR490" i="7" a="1"/>
  <c r="AR490" i="7" s="1"/>
  <c r="AR489" i="7" a="1"/>
  <c r="AR489" i="7" s="1"/>
  <c r="AR488" i="7" a="1"/>
  <c r="AR488" i="7" s="1"/>
  <c r="AR487" i="7" a="1"/>
  <c r="AR487" i="7" s="1"/>
  <c r="AR486" i="7" a="1"/>
  <c r="AR486" i="7" s="1"/>
  <c r="AR485" i="7" a="1"/>
  <c r="AR485" i="7" s="1"/>
  <c r="AR484" i="7" a="1"/>
  <c r="AR484" i="7" s="1"/>
  <c r="AR483" i="7" a="1"/>
  <c r="AR483" i="7" s="1"/>
  <c r="AR480" i="7" a="1"/>
  <c r="AR480" i="7" s="1"/>
  <c r="AR470" i="7" a="1"/>
  <c r="AR470" i="7" s="1"/>
  <c r="AR497" i="7" a="1"/>
  <c r="AR497" i="7" s="1"/>
  <c r="AR495" i="7" a="1"/>
  <c r="AR495" i="7" s="1"/>
  <c r="AR479" i="7" a="1"/>
  <c r="AR479" i="7" s="1"/>
  <c r="AR477" i="7" a="1"/>
  <c r="AR477" i="7" s="1"/>
  <c r="AR476" i="7" a="1"/>
  <c r="AR476" i="7" s="1"/>
  <c r="AR474" i="7" a="1"/>
  <c r="AR474" i="7" s="1"/>
  <c r="AR498" i="7" a="1"/>
  <c r="AR498" i="7" s="1"/>
  <c r="AR455" i="7" a="1"/>
  <c r="AR455" i="7" s="1"/>
  <c r="AR452" i="7" a="1"/>
  <c r="AR452" i="7" s="1"/>
  <c r="AR448" i="7" a="1"/>
  <c r="AR448" i="7" s="1"/>
  <c r="AR445" i="7" a="1"/>
  <c r="AR445" i="7" s="1"/>
  <c r="AR441" i="7" a="1"/>
  <c r="AR441" i="7" s="1"/>
  <c r="AR438" i="7" a="1"/>
  <c r="AR438" i="7" s="1"/>
  <c r="AR429" i="7" a="1"/>
  <c r="AR429" i="7" s="1"/>
  <c r="AR426" i="7" a="1"/>
  <c r="AR426" i="7" s="1"/>
  <c r="AR469" i="7" a="1"/>
  <c r="AR469" i="7" s="1"/>
  <c r="AR454" i="7" a="1"/>
  <c r="AR454" i="7" s="1"/>
  <c r="AR451" i="7" a="1"/>
  <c r="AR451" i="7" s="1"/>
  <c r="AR447" i="7" a="1"/>
  <c r="AR447" i="7" s="1"/>
  <c r="AR444" i="7" a="1"/>
  <c r="AR444" i="7" s="1"/>
  <c r="AR437" i="7" a="1"/>
  <c r="AR437" i="7" s="1"/>
  <c r="AR434" i="7" a="1"/>
  <c r="AR434" i="7" s="1"/>
  <c r="AR430" i="7" a="1"/>
  <c r="AR430" i="7" s="1"/>
  <c r="AR427" i="7" a="1"/>
  <c r="AR427" i="7" s="1"/>
  <c r="AR423" i="7" a="1"/>
  <c r="AR423" i="7" s="1"/>
  <c r="AR420" i="7" a="1"/>
  <c r="AR420" i="7" s="1"/>
  <c r="AR482" i="7" a="1"/>
  <c r="AR482" i="7" s="1"/>
  <c r="AR466" i="7" a="1"/>
  <c r="AR466" i="7" s="1"/>
  <c r="AR465" i="7" a="1"/>
  <c r="AR465" i="7" s="1"/>
  <c r="AR464" i="7" a="1"/>
  <c r="AR464" i="7" s="1"/>
  <c r="AR463" i="7" a="1"/>
  <c r="AR463" i="7" s="1"/>
  <c r="AR462" i="7" a="1"/>
  <c r="AR462" i="7" s="1"/>
  <c r="AR461" i="7" a="1"/>
  <c r="AR461" i="7" s="1"/>
  <c r="AR460" i="7" a="1"/>
  <c r="AR460" i="7" s="1"/>
  <c r="AR459" i="7" a="1"/>
  <c r="AR459" i="7" s="1"/>
  <c r="AR458" i="7" a="1"/>
  <c r="AR458" i="7" s="1"/>
  <c r="AR472" i="7" a="1"/>
  <c r="AR472" i="7" s="1"/>
  <c r="AR457" i="7" a="1"/>
  <c r="AR457" i="7" s="1"/>
  <c r="AR453" i="7" a="1"/>
  <c r="AR453" i="7" s="1"/>
  <c r="AR450" i="7" a="1"/>
  <c r="AR450" i="7" s="1"/>
  <c r="AR443" i="7" a="1"/>
  <c r="AR443" i="7" s="1"/>
  <c r="AR440" i="7" a="1"/>
  <c r="AR440" i="7" s="1"/>
  <c r="AR436" i="7" a="1"/>
  <c r="AR436" i="7" s="1"/>
  <c r="AR433" i="7" a="1"/>
  <c r="AR433" i="7" s="1"/>
  <c r="AR431" i="7" a="1"/>
  <c r="AR431" i="7" s="1"/>
  <c r="AR428" i="7" a="1"/>
  <c r="AR428" i="7" s="1"/>
  <c r="AR424" i="7" a="1"/>
  <c r="AR424" i="7" s="1"/>
  <c r="AR467" i="7" a="1"/>
  <c r="AR467" i="7" s="1"/>
  <c r="AR456" i="7" a="1"/>
  <c r="AR456" i="7" s="1"/>
  <c r="AR449" i="7" a="1"/>
  <c r="AR449" i="7" s="1"/>
  <c r="AR446" i="7" a="1"/>
  <c r="AR446" i="7" s="1"/>
  <c r="AR442" i="7" a="1"/>
  <c r="AR442" i="7" s="1"/>
  <c r="AR468" i="7" a="1"/>
  <c r="AR468" i="7" s="1"/>
  <c r="AR417" i="7" a="1"/>
  <c r="AR417" i="7" s="1"/>
  <c r="AR425" i="7" a="1"/>
  <c r="AR425" i="7" s="1"/>
  <c r="AR422" i="7" a="1"/>
  <c r="AR422" i="7" s="1"/>
  <c r="AR421" i="7" a="1"/>
  <c r="AR421" i="7" s="1"/>
  <c r="AR439" i="7" a="1"/>
  <c r="AR439" i="7" s="1"/>
  <c r="AR435" i="7" a="1"/>
  <c r="AR435" i="7" s="1"/>
  <c r="AR432" i="7" a="1"/>
  <c r="AR432" i="7" s="1"/>
  <c r="AR419" i="7" a="1"/>
  <c r="AR419" i="7" s="1"/>
  <c r="AR418" i="7" a="1"/>
  <c r="AR418" i="7" s="1"/>
  <c r="AN680" i="7" a="1"/>
  <c r="AN680" i="7" s="1"/>
  <c r="AN678" i="7" a="1"/>
  <c r="AN678" i="7" s="1"/>
  <c r="AN676" i="7" a="1"/>
  <c r="AN676" i="7" s="1"/>
  <c r="AN673" i="7" a="1"/>
  <c r="AN673" i="7" s="1"/>
  <c r="AN671" i="7" a="1"/>
  <c r="AN671" i="7" s="1"/>
  <c r="AN669" i="7" a="1"/>
  <c r="AN669" i="7" s="1"/>
  <c r="AN668" i="7" a="1"/>
  <c r="AN668" i="7" s="1"/>
  <c r="AN679" i="7" a="1"/>
  <c r="AN679" i="7" s="1"/>
  <c r="AN677" i="7" a="1"/>
  <c r="AN677" i="7" s="1"/>
  <c r="AN675" i="7" a="1"/>
  <c r="AN675" i="7" s="1"/>
  <c r="AN674" i="7" a="1"/>
  <c r="AN674" i="7" s="1"/>
  <c r="AN672" i="7" a="1"/>
  <c r="AN672" i="7" s="1"/>
  <c r="AN670" i="7" a="1"/>
  <c r="AN670" i="7" s="1"/>
  <c r="AN667" i="7" a="1"/>
  <c r="AN667" i="7" s="1"/>
  <c r="AN652" i="7" a="1"/>
  <c r="AN652" i="7" s="1"/>
  <c r="AN649" i="7" a="1"/>
  <c r="AN649" i="7" s="1"/>
  <c r="AN645" i="7" a="1"/>
  <c r="AN645" i="7" s="1"/>
  <c r="AN642" i="7" a="1"/>
  <c r="AN642" i="7" s="1"/>
  <c r="AN666" i="7" a="1"/>
  <c r="AN666" i="7" s="1"/>
  <c r="AN664" i="7" a="1"/>
  <c r="AN664" i="7" s="1"/>
  <c r="AN661" i="7" a="1"/>
  <c r="AN661" i="7" s="1"/>
  <c r="AN659" i="7" a="1"/>
  <c r="AN659" i="7" s="1"/>
  <c r="AN657" i="7" a="1"/>
  <c r="AN657" i="7" s="1"/>
  <c r="AN656" i="7" a="1"/>
  <c r="AN656" i="7" s="1"/>
  <c r="AN653" i="7" a="1"/>
  <c r="AN653" i="7" s="1"/>
  <c r="AN650" i="7" a="1"/>
  <c r="AN650" i="7" s="1"/>
  <c r="AN646" i="7" a="1"/>
  <c r="AN646" i="7" s="1"/>
  <c r="AN643" i="7" a="1"/>
  <c r="AN643" i="7" s="1"/>
  <c r="AN654" i="7" a="1"/>
  <c r="AN654" i="7" s="1"/>
  <c r="AN647" i="7" a="1"/>
  <c r="AN647" i="7" s="1"/>
  <c r="AN644" i="7" a="1"/>
  <c r="AN644" i="7" s="1"/>
  <c r="AN665" i="7" a="1"/>
  <c r="AN665" i="7" s="1"/>
  <c r="AN663" i="7" a="1"/>
  <c r="AN663" i="7" s="1"/>
  <c r="AN662" i="7" a="1"/>
  <c r="AN662" i="7" s="1"/>
  <c r="AN660" i="7" a="1"/>
  <c r="AN660" i="7" s="1"/>
  <c r="AN658" i="7" a="1"/>
  <c r="AN658" i="7" s="1"/>
  <c r="AN639" i="7" a="1"/>
  <c r="AN639" i="7" s="1"/>
  <c r="AN638" i="7" a="1"/>
  <c r="AN638" i="7" s="1"/>
  <c r="AN636" i="7" a="1"/>
  <c r="AN636" i="7" s="1"/>
  <c r="AN634" i="7" a="1"/>
  <c r="AN634" i="7" s="1"/>
  <c r="AN631" i="7" a="1"/>
  <c r="AN631" i="7" s="1"/>
  <c r="AN629" i="7" a="1"/>
  <c r="AN629" i="7" s="1"/>
  <c r="AN627" i="7" a="1"/>
  <c r="AN627" i="7" s="1"/>
  <c r="AN625" i="7" a="1"/>
  <c r="AN625" i="7" s="1"/>
  <c r="AN641" i="7" a="1"/>
  <c r="AN641" i="7" s="1"/>
  <c r="AN626" i="7" a="1"/>
  <c r="AN626" i="7" s="1"/>
  <c r="AN622" i="7" a="1"/>
  <c r="AN622" i="7" s="1"/>
  <c r="AN619" i="7" a="1"/>
  <c r="AN619" i="7" s="1"/>
  <c r="AN615" i="7" a="1"/>
  <c r="AN615" i="7" s="1"/>
  <c r="AN612" i="7" a="1"/>
  <c r="AN612" i="7" s="1"/>
  <c r="AN651" i="7" a="1"/>
  <c r="AN651" i="7" s="1"/>
  <c r="AN648" i="7" a="1"/>
  <c r="AN648" i="7" s="1"/>
  <c r="AN655" i="7" a="1"/>
  <c r="AN655" i="7" s="1"/>
  <c r="AN637" i="7" a="1"/>
  <c r="AN637" i="7" s="1"/>
  <c r="AN635" i="7" a="1"/>
  <c r="AN635" i="7" s="1"/>
  <c r="AN633" i="7" a="1"/>
  <c r="AN633" i="7" s="1"/>
  <c r="AN632" i="7" a="1"/>
  <c r="AN632" i="7" s="1"/>
  <c r="AN630" i="7" a="1"/>
  <c r="AN630" i="7" s="1"/>
  <c r="AN628" i="7" a="1"/>
  <c r="AN628" i="7" s="1"/>
  <c r="AN623" i="7" a="1"/>
  <c r="AN623" i="7" s="1"/>
  <c r="AN620" i="7" a="1"/>
  <c r="AN620" i="7" s="1"/>
  <c r="AN640" i="7" a="1"/>
  <c r="AN640" i="7" s="1"/>
  <c r="AN617" i="7" a="1"/>
  <c r="AN617" i="7" s="1"/>
  <c r="AN616" i="7" a="1"/>
  <c r="AN616" i="7" s="1"/>
  <c r="AN610" i="7" a="1"/>
  <c r="AN610" i="7" s="1"/>
  <c r="AN618" i="7" a="1"/>
  <c r="AN618" i="7" s="1"/>
  <c r="AN614" i="7" a="1"/>
  <c r="AN614" i="7" s="1"/>
  <c r="AN613" i="7" a="1"/>
  <c r="AN613" i="7" s="1"/>
  <c r="AN621" i="7" a="1"/>
  <c r="AN621" i="7" s="1"/>
  <c r="AN624" i="7" a="1"/>
  <c r="AN624" i="7" s="1"/>
  <c r="AN608" i="7" a="1"/>
  <c r="AN608" i="7" s="1"/>
  <c r="AN606" i="7" a="1"/>
  <c r="AN606" i="7" s="1"/>
  <c r="AN604" i="7" a="1"/>
  <c r="AN604" i="7" s="1"/>
  <c r="AN609" i="7" a="1"/>
  <c r="AN609" i="7" s="1"/>
  <c r="AN611" i="7" a="1"/>
  <c r="AN611" i="7" s="1"/>
  <c r="AN607" i="7" a="1"/>
  <c r="AN607" i="7" s="1"/>
  <c r="AN605" i="7" a="1"/>
  <c r="AN605" i="7" s="1"/>
  <c r="AN602" i="7" a="1"/>
  <c r="AN602" i="7" s="1"/>
  <c r="AN581" i="7" a="1"/>
  <c r="AN581" i="7" s="1"/>
  <c r="AN578" i="7" a="1"/>
  <c r="AN578" i="7" s="1"/>
  <c r="AN574" i="7" a="1"/>
  <c r="AN574" i="7" s="1"/>
  <c r="AN571" i="7" a="1"/>
  <c r="AN571" i="7" s="1"/>
  <c r="AN567" i="7" a="1"/>
  <c r="AN567" i="7" s="1"/>
  <c r="AN564" i="7" a="1"/>
  <c r="AN564" i="7" s="1"/>
  <c r="AN601" i="7" a="1"/>
  <c r="AN601" i="7" s="1"/>
  <c r="AN595" i="7" a="1"/>
  <c r="AN595" i="7" s="1"/>
  <c r="AN593" i="7" a="1"/>
  <c r="AN593" i="7" s="1"/>
  <c r="AN591" i="7" a="1"/>
  <c r="AN591" i="7" s="1"/>
  <c r="AN590" i="7" a="1"/>
  <c r="AN590" i="7" s="1"/>
  <c r="AN588" i="7" a="1"/>
  <c r="AN588" i="7" s="1"/>
  <c r="AN603" i="7" a="1"/>
  <c r="AN603" i="7" s="1"/>
  <c r="AN598" i="7" a="1"/>
  <c r="AN598" i="7" s="1"/>
  <c r="AN597" i="7" a="1"/>
  <c r="AN597" i="7" s="1"/>
  <c r="AN585" i="7" a="1"/>
  <c r="AN585" i="7" s="1"/>
  <c r="AN582" i="7" a="1"/>
  <c r="AN582" i="7" s="1"/>
  <c r="AN575" i="7" a="1"/>
  <c r="AN575" i="7" s="1"/>
  <c r="AN572" i="7" a="1"/>
  <c r="AN572" i="7" s="1"/>
  <c r="AN568" i="7" a="1"/>
  <c r="AN568" i="7" s="1"/>
  <c r="AN565" i="7" a="1"/>
  <c r="AN565" i="7" s="1"/>
  <c r="AN599" i="7" a="1"/>
  <c r="AN599" i="7" s="1"/>
  <c r="AN561" i="7" a="1"/>
  <c r="AN561" i="7" s="1"/>
  <c r="AN586" i="7" a="1"/>
  <c r="AN586" i="7" s="1"/>
  <c r="AN583" i="7" a="1"/>
  <c r="AN583" i="7" s="1"/>
  <c r="AN579" i="7" a="1"/>
  <c r="AN579" i="7" s="1"/>
  <c r="AN576" i="7" a="1"/>
  <c r="AN576" i="7" s="1"/>
  <c r="AN569" i="7" a="1"/>
  <c r="AN569" i="7" s="1"/>
  <c r="AN566" i="7" a="1"/>
  <c r="AN566" i="7" s="1"/>
  <c r="AN562" i="7" a="1"/>
  <c r="AN562" i="7" s="1"/>
  <c r="AN594" i="7" a="1"/>
  <c r="AN594" i="7" s="1"/>
  <c r="AN560" i="7" a="1"/>
  <c r="AN560" i="7" s="1"/>
  <c r="AN580" i="7" a="1"/>
  <c r="AN580" i="7" s="1"/>
  <c r="AN551" i="7" a="1"/>
  <c r="AN551" i="7" s="1"/>
  <c r="AN596" i="7" a="1"/>
  <c r="AN596" i="7" s="1"/>
  <c r="AN584" i="7" a="1"/>
  <c r="AN584" i="7" s="1"/>
  <c r="AN563" i="7" a="1"/>
  <c r="AN563" i="7" s="1"/>
  <c r="AN552" i="7" a="1"/>
  <c r="AN552" i="7" s="1"/>
  <c r="AN587" i="7" a="1"/>
  <c r="AN587" i="7" s="1"/>
  <c r="AN600" i="7" a="1"/>
  <c r="AN600" i="7" s="1"/>
  <c r="AN589" i="7" a="1"/>
  <c r="AN589" i="7" s="1"/>
  <c r="AN570" i="7" a="1"/>
  <c r="AN570" i="7" s="1"/>
  <c r="AN553" i="7" a="1"/>
  <c r="AN553" i="7" s="1"/>
  <c r="AN549" i="7" a="1"/>
  <c r="AN549" i="7" s="1"/>
  <c r="AN559" i="7" a="1"/>
  <c r="AN559" i="7" s="1"/>
  <c r="AN558" i="7" a="1"/>
  <c r="AN558" i="7" s="1"/>
  <c r="AN557" i="7" a="1"/>
  <c r="AN557" i="7" s="1"/>
  <c r="AN554" i="7" a="1"/>
  <c r="AN554" i="7" s="1"/>
  <c r="AN550" i="7" a="1"/>
  <c r="AN550" i="7" s="1"/>
  <c r="AN577" i="7" a="1"/>
  <c r="AN577" i="7" s="1"/>
  <c r="AN573" i="7" a="1"/>
  <c r="AN573" i="7" s="1"/>
  <c r="AN555" i="7" a="1"/>
  <c r="AN555" i="7" s="1"/>
  <c r="AN592" i="7" a="1"/>
  <c r="AN592" i="7" s="1"/>
  <c r="AN556" i="7" a="1"/>
  <c r="AN556" i="7" s="1"/>
  <c r="AT548" i="7" a="1"/>
  <c r="AT548" i="7" s="1"/>
  <c r="AT546" i="7" a="1"/>
  <c r="AT546" i="7" s="1"/>
  <c r="AT544" i="7" a="1"/>
  <c r="AT544" i="7" s="1"/>
  <c r="AT541" i="7" a="1"/>
  <c r="AT541" i="7" s="1"/>
  <c r="AT539" i="7" a="1"/>
  <c r="AT539" i="7" s="1"/>
  <c r="AT537" i="7" a="1"/>
  <c r="AT537" i="7" s="1"/>
  <c r="AT536" i="7" a="1"/>
  <c r="AT536" i="7" s="1"/>
  <c r="AT534" i="7" a="1"/>
  <c r="AT534" i="7" s="1"/>
  <c r="AT515" i="7" a="1"/>
  <c r="AT515" i="7" s="1"/>
  <c r="AT514" i="7" a="1"/>
  <c r="AT514" i="7" s="1"/>
  <c r="AT513" i="7" a="1"/>
  <c r="AT513" i="7" s="1"/>
  <c r="AT512" i="7" a="1"/>
  <c r="AT512" i="7" s="1"/>
  <c r="AT511" i="7" a="1"/>
  <c r="AT511" i="7" s="1"/>
  <c r="AT510" i="7" a="1"/>
  <c r="AT510" i="7" s="1"/>
  <c r="AT509" i="7" a="1"/>
  <c r="AT509" i="7" s="1"/>
  <c r="AT508" i="7" a="1"/>
  <c r="AT508" i="7" s="1"/>
  <c r="AT507" i="7" a="1"/>
  <c r="AT507" i="7" s="1"/>
  <c r="AT506" i="7" a="1"/>
  <c r="AT506" i="7" s="1"/>
  <c r="AT505" i="7" a="1"/>
  <c r="AT505" i="7" s="1"/>
  <c r="AT504" i="7" a="1"/>
  <c r="AT504" i="7" s="1"/>
  <c r="AT503" i="7" a="1"/>
  <c r="AT503" i="7" s="1"/>
  <c r="AT502" i="7" a="1"/>
  <c r="AT502" i="7" s="1"/>
  <c r="AT501" i="7" a="1"/>
  <c r="AT501" i="7" s="1"/>
  <c r="AT500" i="7" a="1"/>
  <c r="AT500" i="7" s="1"/>
  <c r="AT533" i="7" a="1"/>
  <c r="AT533" i="7" s="1"/>
  <c r="AT545" i="7" a="1"/>
  <c r="AT545" i="7" s="1"/>
  <c r="AT530" i="7" a="1"/>
  <c r="AT530" i="7" s="1"/>
  <c r="AT526" i="7" a="1"/>
  <c r="AT526" i="7" s="1"/>
  <c r="AT523" i="7" a="1"/>
  <c r="AT523" i="7" s="1"/>
  <c r="AT519" i="7" a="1"/>
  <c r="AT519" i="7" s="1"/>
  <c r="AT516" i="7" a="1"/>
  <c r="AT516" i="7" s="1"/>
  <c r="AT540" i="7" a="1"/>
  <c r="AT540" i="7" s="1"/>
  <c r="AT529" i="7" a="1"/>
  <c r="AT529" i="7" s="1"/>
  <c r="AT525" i="7" a="1"/>
  <c r="AT525" i="7" s="1"/>
  <c r="AT522" i="7" a="1"/>
  <c r="AT522" i="7" s="1"/>
  <c r="AT532" i="7" a="1"/>
  <c r="AT532" i="7" s="1"/>
  <c r="AT543" i="7" a="1"/>
  <c r="AT543" i="7" s="1"/>
  <c r="AT535" i="7" a="1"/>
  <c r="AT535" i="7" s="1"/>
  <c r="AT531" i="7" a="1"/>
  <c r="AT531" i="7" s="1"/>
  <c r="AT528" i="7" a="1"/>
  <c r="AT528" i="7" s="1"/>
  <c r="AT521" i="7" a="1"/>
  <c r="AT521" i="7" s="1"/>
  <c r="AT518" i="7" a="1"/>
  <c r="AT518" i="7" s="1"/>
  <c r="AT498" i="7" a="1"/>
  <c r="AT498" i="7" s="1"/>
  <c r="AT497" i="7" a="1"/>
  <c r="AT497" i="7" s="1"/>
  <c r="AT496" i="7" a="1"/>
  <c r="AT496" i="7" s="1"/>
  <c r="AT547" i="7" a="1"/>
  <c r="AT547" i="7" s="1"/>
  <c r="AT499" i="7" a="1"/>
  <c r="AT499" i="7" s="1"/>
  <c r="AT538" i="7" a="1"/>
  <c r="AT538" i="7" s="1"/>
  <c r="AT527" i="7" a="1"/>
  <c r="AT527" i="7" s="1"/>
  <c r="AT483" i="7" a="1"/>
  <c r="AT483" i="7" s="1"/>
  <c r="AT480" i="7" a="1"/>
  <c r="AT480" i="7" s="1"/>
  <c r="AT495" i="7" a="1"/>
  <c r="AT495" i="7" s="1"/>
  <c r="AT479" i="7" a="1"/>
  <c r="AT479" i="7" s="1"/>
  <c r="AT477" i="7" a="1"/>
  <c r="AT477" i="7" s="1"/>
  <c r="AT476" i="7" a="1"/>
  <c r="AT476" i="7" s="1"/>
  <c r="AT474" i="7" a="1"/>
  <c r="AT474" i="7" s="1"/>
  <c r="AT472" i="7" a="1"/>
  <c r="AT472" i="7" s="1"/>
  <c r="AT542" i="7" a="1"/>
  <c r="AT542" i="7" s="1"/>
  <c r="AT517" i="7" a="1"/>
  <c r="AT517" i="7" s="1"/>
  <c r="AT482" i="7" a="1"/>
  <c r="AT482" i="7" s="1"/>
  <c r="AT520" i="7" a="1"/>
  <c r="AT520" i="7" s="1"/>
  <c r="AT481" i="7" a="1"/>
  <c r="AT481" i="7" s="1"/>
  <c r="AT469" i="7" a="1"/>
  <c r="AT469" i="7" s="1"/>
  <c r="AT454" i="7" a="1"/>
  <c r="AT454" i="7" s="1"/>
  <c r="AT451" i="7" a="1"/>
  <c r="AT451" i="7" s="1"/>
  <c r="AT447" i="7" a="1"/>
  <c r="AT447" i="7" s="1"/>
  <c r="AT444" i="7" a="1"/>
  <c r="AT444" i="7" s="1"/>
  <c r="AT437" i="7" a="1"/>
  <c r="AT437" i="7" s="1"/>
  <c r="AT434" i="7" a="1"/>
  <c r="AT434" i="7" s="1"/>
  <c r="AT493" i="7" a="1"/>
  <c r="AT493" i="7" s="1"/>
  <c r="AT491" i="7" a="1"/>
  <c r="AT491" i="7" s="1"/>
  <c r="AT489" i="7" a="1"/>
  <c r="AT489" i="7" s="1"/>
  <c r="AT487" i="7" a="1"/>
  <c r="AT487" i="7" s="1"/>
  <c r="AT484" i="7" a="1"/>
  <c r="AT484" i="7" s="1"/>
  <c r="AT473" i="7" a="1"/>
  <c r="AT473" i="7" s="1"/>
  <c r="AT431" i="7" a="1"/>
  <c r="AT431" i="7" s="1"/>
  <c r="AT428" i="7" a="1"/>
  <c r="AT428" i="7" s="1"/>
  <c r="AT424" i="7" a="1"/>
  <c r="AT424" i="7" s="1"/>
  <c r="AT421" i="7" a="1"/>
  <c r="AT421" i="7" s="1"/>
  <c r="AT417" i="7" a="1"/>
  <c r="AT417" i="7" s="1"/>
  <c r="AT466" i="7" a="1"/>
  <c r="AT466" i="7" s="1"/>
  <c r="AT465" i="7" a="1"/>
  <c r="AT465" i="7" s="1"/>
  <c r="AT464" i="7" a="1"/>
  <c r="AT464" i="7" s="1"/>
  <c r="AT463" i="7" a="1"/>
  <c r="AT463" i="7" s="1"/>
  <c r="AT462" i="7" a="1"/>
  <c r="AT462" i="7" s="1"/>
  <c r="AT461" i="7" a="1"/>
  <c r="AT461" i="7" s="1"/>
  <c r="AT460" i="7" a="1"/>
  <c r="AT460" i="7" s="1"/>
  <c r="AT459" i="7" a="1"/>
  <c r="AT459" i="7" s="1"/>
  <c r="AT458" i="7" a="1"/>
  <c r="AT458" i="7" s="1"/>
  <c r="AT478" i="7" a="1"/>
  <c r="AT478" i="7" s="1"/>
  <c r="AT470" i="7" a="1"/>
  <c r="AT470" i="7" s="1"/>
  <c r="AT457" i="7" a="1"/>
  <c r="AT457" i="7" s="1"/>
  <c r="AT453" i="7" a="1"/>
  <c r="AT453" i="7" s="1"/>
  <c r="AT450" i="7" a="1"/>
  <c r="AT450" i="7" s="1"/>
  <c r="AT443" i="7" a="1"/>
  <c r="AT443" i="7" s="1"/>
  <c r="AT440" i="7" a="1"/>
  <c r="AT440" i="7" s="1"/>
  <c r="AT436" i="7" a="1"/>
  <c r="AT436" i="7" s="1"/>
  <c r="AT433" i="7" a="1"/>
  <c r="AT433" i="7" s="1"/>
  <c r="AT425" i="7" a="1"/>
  <c r="AT425" i="7" s="1"/>
  <c r="AT488" i="7" a="1"/>
  <c r="AT488" i="7" s="1"/>
  <c r="AT485" i="7" a="1"/>
  <c r="AT485" i="7" s="1"/>
  <c r="AT467" i="7" a="1"/>
  <c r="AT467" i="7" s="1"/>
  <c r="AT524" i="7" a="1"/>
  <c r="AT524" i="7" s="1"/>
  <c r="AT456" i="7" a="1"/>
  <c r="AT456" i="7" s="1"/>
  <c r="AT449" i="7" a="1"/>
  <c r="AT449" i="7" s="1"/>
  <c r="AT446" i="7" a="1"/>
  <c r="AT446" i="7" s="1"/>
  <c r="AT442" i="7" a="1"/>
  <c r="AT442" i="7" s="1"/>
  <c r="AT439" i="7" a="1"/>
  <c r="AT439" i="7" s="1"/>
  <c r="AT435" i="7" a="1"/>
  <c r="AT435" i="7" s="1"/>
  <c r="AT432" i="7" a="1"/>
  <c r="AT432" i="7" s="1"/>
  <c r="AT494" i="7" a="1"/>
  <c r="AT494" i="7" s="1"/>
  <c r="AT492" i="7" a="1"/>
  <c r="AT492" i="7" s="1"/>
  <c r="AT490" i="7" a="1"/>
  <c r="AT490" i="7" s="1"/>
  <c r="AT471" i="7" a="1"/>
  <c r="AT471" i="7" s="1"/>
  <c r="AT468" i="7" a="1"/>
  <c r="AT468" i="7" s="1"/>
  <c r="AT455" i="7" a="1"/>
  <c r="AT455" i="7" s="1"/>
  <c r="AT448" i="7" a="1"/>
  <c r="AT448" i="7" s="1"/>
  <c r="AT422" i="7" a="1"/>
  <c r="AT422" i="7" s="1"/>
  <c r="AT475" i="7" a="1"/>
  <c r="AT475" i="7" s="1"/>
  <c r="AT429" i="7" a="1"/>
  <c r="AT429" i="7" s="1"/>
  <c r="AT445" i="7" a="1"/>
  <c r="AT445" i="7" s="1"/>
  <c r="AT423" i="7" a="1"/>
  <c r="AT423" i="7" s="1"/>
  <c r="AT420" i="7" a="1"/>
  <c r="AT420" i="7" s="1"/>
  <c r="AT419" i="7" a="1"/>
  <c r="AT419" i="7" s="1"/>
  <c r="AT486" i="7" a="1"/>
  <c r="AT486" i="7" s="1"/>
  <c r="AT452" i="7" a="1"/>
  <c r="AT452" i="7" s="1"/>
  <c r="AT438" i="7" a="1"/>
  <c r="AT438" i="7" s="1"/>
  <c r="AT418" i="7" a="1"/>
  <c r="AT418" i="7" s="1"/>
  <c r="AT430" i="7" a="1"/>
  <c r="AT430" i="7" s="1"/>
  <c r="AT441" i="7" a="1"/>
  <c r="AT441" i="7" s="1"/>
  <c r="AT427" i="7" a="1"/>
  <c r="AT427" i="7" s="1"/>
  <c r="AT426" i="7" a="1"/>
  <c r="AT426" i="7" s="1"/>
  <c r="AO679" i="7" a="1"/>
  <c r="AO679" i="7" s="1"/>
  <c r="AO677" i="7" a="1"/>
  <c r="AO677" i="7" s="1"/>
  <c r="AO675" i="7" a="1"/>
  <c r="AO675" i="7" s="1"/>
  <c r="AO674" i="7" a="1"/>
  <c r="AO674" i="7" s="1"/>
  <c r="AO672" i="7" a="1"/>
  <c r="AO672" i="7" s="1"/>
  <c r="AO670" i="7" a="1"/>
  <c r="AO670" i="7" s="1"/>
  <c r="AO667" i="7" a="1"/>
  <c r="AO667" i="7" s="1"/>
  <c r="AO680" i="7" a="1"/>
  <c r="AO680" i="7" s="1"/>
  <c r="AO678" i="7" a="1"/>
  <c r="AO678" i="7" s="1"/>
  <c r="AO676" i="7" a="1"/>
  <c r="AO676" i="7" s="1"/>
  <c r="AO652" i="7" a="1"/>
  <c r="AO652" i="7" s="1"/>
  <c r="AO649" i="7" a="1"/>
  <c r="AO649" i="7" s="1"/>
  <c r="AO645" i="7" a="1"/>
  <c r="AO645" i="7" s="1"/>
  <c r="AO669" i="7" a="1"/>
  <c r="AO669" i="7" s="1"/>
  <c r="AO666" i="7" a="1"/>
  <c r="AO666" i="7" s="1"/>
  <c r="AO664" i="7" a="1"/>
  <c r="AO664" i="7" s="1"/>
  <c r="AO661" i="7" a="1"/>
  <c r="AO661" i="7" s="1"/>
  <c r="AO659" i="7" a="1"/>
  <c r="AO659" i="7" s="1"/>
  <c r="AO657" i="7" a="1"/>
  <c r="AO657" i="7" s="1"/>
  <c r="AO656" i="7" a="1"/>
  <c r="AO656" i="7" s="1"/>
  <c r="AO653" i="7" a="1"/>
  <c r="AO653" i="7" s="1"/>
  <c r="AO650" i="7" a="1"/>
  <c r="AO650" i="7" s="1"/>
  <c r="AO646" i="7" a="1"/>
  <c r="AO646" i="7" s="1"/>
  <c r="AO643" i="7" a="1"/>
  <c r="AO643" i="7" s="1"/>
  <c r="AO671" i="7" a="1"/>
  <c r="AO671" i="7" s="1"/>
  <c r="AO654" i="7" a="1"/>
  <c r="AO654" i="7" s="1"/>
  <c r="AO647" i="7" a="1"/>
  <c r="AO647" i="7" s="1"/>
  <c r="AO644" i="7" a="1"/>
  <c r="AO644" i="7" s="1"/>
  <c r="AO640" i="7" a="1"/>
  <c r="AO640" i="7" s="1"/>
  <c r="AO665" i="7" a="1"/>
  <c r="AO665" i="7" s="1"/>
  <c r="AO663" i="7" a="1"/>
  <c r="AO663" i="7" s="1"/>
  <c r="AO662" i="7" a="1"/>
  <c r="AO662" i="7" s="1"/>
  <c r="AO660" i="7" a="1"/>
  <c r="AO660" i="7" s="1"/>
  <c r="AO658" i="7" a="1"/>
  <c r="AO658" i="7" s="1"/>
  <c r="AO668" i="7" a="1"/>
  <c r="AO668" i="7" s="1"/>
  <c r="AO655" i="7" a="1"/>
  <c r="AO655" i="7" s="1"/>
  <c r="AO651" i="7" a="1"/>
  <c r="AO651" i="7" s="1"/>
  <c r="AO673" i="7" a="1"/>
  <c r="AO673" i="7" s="1"/>
  <c r="AO641" i="7" a="1"/>
  <c r="AO641" i="7" s="1"/>
  <c r="AO626" i="7" a="1"/>
  <c r="AO626" i="7" s="1"/>
  <c r="AO622" i="7" a="1"/>
  <c r="AO622" i="7" s="1"/>
  <c r="AO619" i="7" a="1"/>
  <c r="AO619" i="7" s="1"/>
  <c r="AO615" i="7" a="1"/>
  <c r="AO615" i="7" s="1"/>
  <c r="AO612" i="7" a="1"/>
  <c r="AO612" i="7" s="1"/>
  <c r="AO648" i="7" a="1"/>
  <c r="AO648" i="7" s="1"/>
  <c r="AO637" i="7" a="1"/>
  <c r="AO637" i="7" s="1"/>
  <c r="AO635" i="7" a="1"/>
  <c r="AO635" i="7" s="1"/>
  <c r="AO633" i="7" a="1"/>
  <c r="AO633" i="7" s="1"/>
  <c r="AO632" i="7" a="1"/>
  <c r="AO632" i="7" s="1"/>
  <c r="AO630" i="7" a="1"/>
  <c r="AO630" i="7" s="1"/>
  <c r="AO628" i="7" a="1"/>
  <c r="AO628" i="7" s="1"/>
  <c r="AO624" i="7" a="1"/>
  <c r="AO624" i="7" s="1"/>
  <c r="AO642" i="7" a="1"/>
  <c r="AO642" i="7" s="1"/>
  <c r="AO631" i="7" a="1"/>
  <c r="AO631" i="7" s="1"/>
  <c r="AO625" i="7" a="1"/>
  <c r="AO625" i="7" s="1"/>
  <c r="AO620" i="7" a="1"/>
  <c r="AO620" i="7" s="1"/>
  <c r="AO614" i="7" a="1"/>
  <c r="AO614" i="7" s="1"/>
  <c r="AO623" i="7" a="1"/>
  <c r="AO623" i="7" s="1"/>
  <c r="AO618" i="7" a="1"/>
  <c r="AO618" i="7" s="1"/>
  <c r="AO621" i="7" a="1"/>
  <c r="AO621" i="7" s="1"/>
  <c r="AO634" i="7" a="1"/>
  <c r="AO634" i="7" s="1"/>
  <c r="AO636" i="7" a="1"/>
  <c r="AO636" i="7" s="1"/>
  <c r="AO638" i="7" a="1"/>
  <c r="AO638" i="7" s="1"/>
  <c r="AO627" i="7" a="1"/>
  <c r="AO627" i="7" s="1"/>
  <c r="AO639" i="7" a="1"/>
  <c r="AO639" i="7" s="1"/>
  <c r="AO629" i="7" a="1"/>
  <c r="AO629" i="7" s="1"/>
  <c r="AO617" i="7" a="1"/>
  <c r="AO617" i="7" s="1"/>
  <c r="AO608" i="7" a="1"/>
  <c r="AO608" i="7" s="1"/>
  <c r="AO606" i="7" a="1"/>
  <c r="AO606" i="7" s="1"/>
  <c r="AO604" i="7" a="1"/>
  <c r="AO604" i="7" s="1"/>
  <c r="AO610" i="7" a="1"/>
  <c r="AO610" i="7" s="1"/>
  <c r="AO609" i="7" a="1"/>
  <c r="AO609" i="7" s="1"/>
  <c r="AO607" i="7" a="1"/>
  <c r="AO607" i="7" s="1"/>
  <c r="AO605" i="7" a="1"/>
  <c r="AO605" i="7" s="1"/>
  <c r="AO603" i="7" a="1"/>
  <c r="AO603" i="7" s="1"/>
  <c r="AO602" i="7" a="1"/>
  <c r="AO602" i="7" s="1"/>
  <c r="AO616" i="7" a="1"/>
  <c r="AO616" i="7" s="1"/>
  <c r="AO611" i="7" a="1"/>
  <c r="AO611" i="7" s="1"/>
  <c r="AO613" i="7" a="1"/>
  <c r="AO613" i="7" s="1"/>
  <c r="AO581" i="7" a="1"/>
  <c r="AO581" i="7" s="1"/>
  <c r="AO578" i="7" a="1"/>
  <c r="AO578" i="7" s="1"/>
  <c r="AO574" i="7" a="1"/>
  <c r="AO574" i="7" s="1"/>
  <c r="AO571" i="7" a="1"/>
  <c r="AO571" i="7" s="1"/>
  <c r="AO567" i="7" a="1"/>
  <c r="AO567" i="7" s="1"/>
  <c r="AO564" i="7" a="1"/>
  <c r="AO564" i="7" s="1"/>
  <c r="AO595" i="7" a="1"/>
  <c r="AO595" i="7" s="1"/>
  <c r="AO593" i="7" a="1"/>
  <c r="AO593" i="7" s="1"/>
  <c r="AO591" i="7" a="1"/>
  <c r="AO591" i="7" s="1"/>
  <c r="AO590" i="7" a="1"/>
  <c r="AO590" i="7" s="1"/>
  <c r="AO588" i="7" a="1"/>
  <c r="AO588" i="7" s="1"/>
  <c r="AO601" i="7" a="1"/>
  <c r="AO601" i="7" s="1"/>
  <c r="AO598" i="7" a="1"/>
  <c r="AO598" i="7" s="1"/>
  <c r="AO597" i="7" a="1"/>
  <c r="AO597" i="7" s="1"/>
  <c r="AO585" i="7" a="1"/>
  <c r="AO585" i="7" s="1"/>
  <c r="AO582" i="7" a="1"/>
  <c r="AO582" i="7" s="1"/>
  <c r="AO575" i="7" a="1"/>
  <c r="AO575" i="7" s="1"/>
  <c r="AO572" i="7" a="1"/>
  <c r="AO572" i="7" s="1"/>
  <c r="AO568" i="7" a="1"/>
  <c r="AO568" i="7" s="1"/>
  <c r="AO565" i="7" a="1"/>
  <c r="AO565" i="7" s="1"/>
  <c r="AO599" i="7" a="1"/>
  <c r="AO599" i="7" s="1"/>
  <c r="AO561" i="7" a="1"/>
  <c r="AO561" i="7" s="1"/>
  <c r="AO586" i="7" a="1"/>
  <c r="AO586" i="7" s="1"/>
  <c r="AO583" i="7" a="1"/>
  <c r="AO583" i="7" s="1"/>
  <c r="AO579" i="7" a="1"/>
  <c r="AO579" i="7" s="1"/>
  <c r="AO576" i="7" a="1"/>
  <c r="AO576" i="7" s="1"/>
  <c r="AO569" i="7" a="1"/>
  <c r="AO569" i="7" s="1"/>
  <c r="AO566" i="7" a="1"/>
  <c r="AO566" i="7" s="1"/>
  <c r="AO600" i="7" a="1"/>
  <c r="AO600" i="7" s="1"/>
  <c r="AO596" i="7" a="1"/>
  <c r="AO596" i="7" s="1"/>
  <c r="AO594" i="7" a="1"/>
  <c r="AO594" i="7" s="1"/>
  <c r="AO592" i="7" a="1"/>
  <c r="AO592" i="7" s="1"/>
  <c r="AO589" i="7" a="1"/>
  <c r="AO589" i="7" s="1"/>
  <c r="AO587" i="7" a="1"/>
  <c r="AO587" i="7" s="1"/>
  <c r="AO584" i="7" a="1"/>
  <c r="AO584" i="7" s="1"/>
  <c r="AO580" i="7" a="1"/>
  <c r="AO580" i="7" s="1"/>
  <c r="AO577" i="7" a="1"/>
  <c r="AO577" i="7" s="1"/>
  <c r="AO573" i="7" a="1"/>
  <c r="AO573" i="7" s="1"/>
  <c r="AO570" i="7" a="1"/>
  <c r="AO570" i="7" s="1"/>
  <c r="AO563" i="7" a="1"/>
  <c r="AO563" i="7" s="1"/>
  <c r="AO552" i="7" a="1"/>
  <c r="AO552" i="7" s="1"/>
  <c r="AO553" i="7" a="1"/>
  <c r="AO553" i="7" s="1"/>
  <c r="AO559" i="7" a="1"/>
  <c r="AO559" i="7" s="1"/>
  <c r="AO558" i="7" a="1"/>
  <c r="AO558" i="7" s="1"/>
  <c r="AO557" i="7" a="1"/>
  <c r="AO557" i="7" s="1"/>
  <c r="AO556" i="7" a="1"/>
  <c r="AO556" i="7" s="1"/>
  <c r="AO555" i="7" a="1"/>
  <c r="AO555" i="7" s="1"/>
  <c r="AO554" i="7" a="1"/>
  <c r="AO554" i="7" s="1"/>
  <c r="AO551" i="7" a="1"/>
  <c r="AO551" i="7" s="1"/>
  <c r="AO550" i="7" a="1"/>
  <c r="AO550" i="7" s="1"/>
  <c r="AO562" i="7" a="1"/>
  <c r="AO562" i="7" s="1"/>
  <c r="AO549" i="7" a="1"/>
  <c r="AO549" i="7" s="1"/>
  <c r="AO560" i="7" a="1"/>
  <c r="AO560" i="7" s="1"/>
  <c r="AX415" i="7" a="1"/>
  <c r="AX415" i="7" s="1"/>
  <c r="AX411" i="7" a="1"/>
  <c r="AX411" i="7" s="1"/>
  <c r="AX408" i="7" a="1"/>
  <c r="AX408" i="7" s="1"/>
  <c r="AX401" i="7" a="1"/>
  <c r="AX401" i="7" s="1"/>
  <c r="AX398" i="7" a="1"/>
  <c r="AX398" i="7" s="1"/>
  <c r="AX416" i="7" a="1"/>
  <c r="AX416" i="7" s="1"/>
  <c r="AX412" i="7" a="1"/>
  <c r="AX412" i="7" s="1"/>
  <c r="AX409" i="7" a="1"/>
  <c r="AX409" i="7" s="1"/>
  <c r="AX405" i="7" a="1"/>
  <c r="AX405" i="7" s="1"/>
  <c r="AX402" i="7" a="1"/>
  <c r="AX402" i="7" s="1"/>
  <c r="AX395" i="7" a="1"/>
  <c r="AX395" i="7" s="1"/>
  <c r="AX394" i="7" a="1"/>
  <c r="AX394" i="7" s="1"/>
  <c r="AX413" i="7" a="1"/>
  <c r="AX413" i="7" s="1"/>
  <c r="AX410" i="7" a="1"/>
  <c r="AX410" i="7" s="1"/>
  <c r="AX406" i="7" a="1"/>
  <c r="AX406" i="7" s="1"/>
  <c r="AX403" i="7" a="1"/>
  <c r="AX403" i="7" s="1"/>
  <c r="AX399" i="7" a="1"/>
  <c r="AX399" i="7" s="1"/>
  <c r="AX396" i="7" a="1"/>
  <c r="AX396" i="7" s="1"/>
  <c r="AX414" i="7" a="1"/>
  <c r="AX414" i="7" s="1"/>
  <c r="AX407" i="7" a="1"/>
  <c r="AX407" i="7" s="1"/>
  <c r="AX404" i="7" a="1"/>
  <c r="AX404" i="7" s="1"/>
  <c r="AX400" i="7" a="1"/>
  <c r="AX400" i="7" s="1"/>
  <c r="AX397" i="7" a="1"/>
  <c r="AX397" i="7" s="1"/>
  <c r="AX393" i="7" a="1"/>
  <c r="AX393" i="7" s="1"/>
  <c r="AX392" i="7" a="1"/>
  <c r="AX392" i="7" s="1"/>
  <c r="AX390" i="7" a="1"/>
  <c r="AX390" i="7" s="1"/>
  <c r="AX391" i="7" a="1"/>
  <c r="AX391" i="7" s="1"/>
  <c r="AX381" i="7" a="1"/>
  <c r="AX381" i="7" s="1"/>
  <c r="AX378" i="7" a="1"/>
  <c r="AX378" i="7" s="1"/>
  <c r="AX371" i="7" a="1"/>
  <c r="AX371" i="7" s="1"/>
  <c r="AX368" i="7" a="1"/>
  <c r="AX368" i="7" s="1"/>
  <c r="AX364" i="7" a="1"/>
  <c r="AX364" i="7" s="1"/>
  <c r="AX361" i="7" a="1"/>
  <c r="AX361" i="7" s="1"/>
  <c r="AX357" i="7" a="1"/>
  <c r="AX357" i="7" s="1"/>
  <c r="AX354" i="7" a="1"/>
  <c r="AX354" i="7" s="1"/>
  <c r="AX347" i="7" a="1"/>
  <c r="AX347" i="7" s="1"/>
  <c r="AX344" i="7" a="1"/>
  <c r="AX344" i="7" s="1"/>
  <c r="AX340" i="7" a="1"/>
  <c r="AX340" i="7" s="1"/>
  <c r="AX337" i="7" a="1"/>
  <c r="AX337" i="7" s="1"/>
  <c r="AX333" i="7" a="1"/>
  <c r="AX333" i="7" s="1"/>
  <c r="AX330" i="7" a="1"/>
  <c r="AX330" i="7" s="1"/>
  <c r="AX323" i="7" a="1"/>
  <c r="AX323" i="7" s="1"/>
  <c r="AX320" i="7" a="1"/>
  <c r="AX320" i="7" s="1"/>
  <c r="AX316" i="7" a="1"/>
  <c r="AX316" i="7" s="1"/>
  <c r="AX383" i="7" a="1"/>
  <c r="AX383" i="7" s="1"/>
  <c r="AX385" i="7" a="1"/>
  <c r="AX385" i="7" s="1"/>
  <c r="AX379" i="7" a="1"/>
  <c r="AX379" i="7" s="1"/>
  <c r="AX375" i="7" a="1"/>
  <c r="AX375" i="7" s="1"/>
  <c r="AX372" i="7" a="1"/>
  <c r="AX372" i="7" s="1"/>
  <c r="AX365" i="7" a="1"/>
  <c r="AX365" i="7" s="1"/>
  <c r="AX362" i="7" a="1"/>
  <c r="AX362" i="7" s="1"/>
  <c r="AX358" i="7" a="1"/>
  <c r="AX358" i="7" s="1"/>
  <c r="AX355" i="7" a="1"/>
  <c r="AX355" i="7" s="1"/>
  <c r="AX351" i="7" a="1"/>
  <c r="AX351" i="7" s="1"/>
  <c r="AX348" i="7" a="1"/>
  <c r="AX348" i="7" s="1"/>
  <c r="AX341" i="7" a="1"/>
  <c r="AX341" i="7" s="1"/>
  <c r="AX338" i="7" a="1"/>
  <c r="AX338" i="7" s="1"/>
  <c r="AX334" i="7" a="1"/>
  <c r="AX334" i="7" s="1"/>
  <c r="AX331" i="7" a="1"/>
  <c r="AX331" i="7" s="1"/>
  <c r="AX327" i="7" a="1"/>
  <c r="AX327" i="7" s="1"/>
  <c r="AX324" i="7" a="1"/>
  <c r="AX324" i="7" s="1"/>
  <c r="AX317" i="7" a="1"/>
  <c r="AX317" i="7" s="1"/>
  <c r="AX388" i="7" a="1"/>
  <c r="AX388" i="7" s="1"/>
  <c r="AX382" i="7" a="1"/>
  <c r="AX382" i="7" s="1"/>
  <c r="AX380" i="7" a="1"/>
  <c r="AX380" i="7" s="1"/>
  <c r="AX376" i="7" a="1"/>
  <c r="AX376" i="7" s="1"/>
  <c r="AX373" i="7" a="1"/>
  <c r="AX373" i="7" s="1"/>
  <c r="AX369" i="7" a="1"/>
  <c r="AX369" i="7" s="1"/>
  <c r="AX366" i="7" a="1"/>
  <c r="AX366" i="7" s="1"/>
  <c r="AX359" i="7" a="1"/>
  <c r="AX359" i="7" s="1"/>
  <c r="AX356" i="7" a="1"/>
  <c r="AX356" i="7" s="1"/>
  <c r="AX352" i="7" a="1"/>
  <c r="AX352" i="7" s="1"/>
  <c r="AX349" i="7" a="1"/>
  <c r="AX349" i="7" s="1"/>
  <c r="AX345" i="7" a="1"/>
  <c r="AX345" i="7" s="1"/>
  <c r="AX342" i="7" a="1"/>
  <c r="AX342" i="7" s="1"/>
  <c r="AX335" i="7" a="1"/>
  <c r="AX335" i="7" s="1"/>
  <c r="AX332" i="7" a="1"/>
  <c r="AX332" i="7" s="1"/>
  <c r="AX328" i="7" a="1"/>
  <c r="AX328" i="7" s="1"/>
  <c r="AX325" i="7" a="1"/>
  <c r="AX325" i="7" s="1"/>
  <c r="AX321" i="7" a="1"/>
  <c r="AX321" i="7" s="1"/>
  <c r="AX386" i="7" a="1"/>
  <c r="AX386" i="7" s="1"/>
  <c r="AX387" i="7" a="1"/>
  <c r="AX387" i="7" s="1"/>
  <c r="AX367" i="7" a="1"/>
  <c r="AX367" i="7" s="1"/>
  <c r="AX353" i="7" a="1"/>
  <c r="AX353" i="7" s="1"/>
  <c r="AX339" i="7" a="1"/>
  <c r="AX339" i="7" s="1"/>
  <c r="AX318" i="7" a="1"/>
  <c r="AX318" i="7" s="1"/>
  <c r="AX301" i="7" a="1"/>
  <c r="AX301" i="7" s="1"/>
  <c r="AX300" i="7" a="1"/>
  <c r="AX300" i="7" s="1"/>
  <c r="AX299" i="7" a="1"/>
  <c r="AX299" i="7" s="1"/>
  <c r="AX298" i="7" a="1"/>
  <c r="AX298" i="7" s="1"/>
  <c r="AX297" i="7" a="1"/>
  <c r="AX297" i="7" s="1"/>
  <c r="AX296" i="7" a="1"/>
  <c r="AX296" i="7" s="1"/>
  <c r="AX295" i="7" a="1"/>
  <c r="AX295" i="7" s="1"/>
  <c r="AX294" i="7" a="1"/>
  <c r="AX294" i="7" s="1"/>
  <c r="AX293" i="7" a="1"/>
  <c r="AX293" i="7" s="1"/>
  <c r="AX292" i="7" a="1"/>
  <c r="AX292" i="7" s="1"/>
  <c r="AX291" i="7" a="1"/>
  <c r="AX291" i="7" s="1"/>
  <c r="AX290" i="7" a="1"/>
  <c r="AX290" i="7" s="1"/>
  <c r="AX289" i="7" a="1"/>
  <c r="AX289" i="7" s="1"/>
  <c r="AX288" i="7" a="1"/>
  <c r="AX288" i="7" s="1"/>
  <c r="AX287" i="7" a="1"/>
  <c r="AX287" i="7" s="1"/>
  <c r="AX286" i="7" a="1"/>
  <c r="AX286" i="7" s="1"/>
  <c r="AX285" i="7" a="1"/>
  <c r="AX285" i="7" s="1"/>
  <c r="AX336" i="7" a="1"/>
  <c r="AX336" i="7" s="1"/>
  <c r="AX319" i="7" a="1"/>
  <c r="AX319" i="7" s="1"/>
  <c r="AX302" i="7" a="1"/>
  <c r="AX302" i="7" s="1"/>
  <c r="AX315" i="7" a="1"/>
  <c r="AX315" i="7" s="1"/>
  <c r="AX313" i="7" a="1"/>
  <c r="AX313" i="7" s="1"/>
  <c r="AX311" i="7" a="1"/>
  <c r="AX311" i="7" s="1"/>
  <c r="AX309" i="7" a="1"/>
  <c r="AX309" i="7" s="1"/>
  <c r="AX304" i="7" a="1"/>
  <c r="AX304" i="7" s="1"/>
  <c r="AX370" i="7" a="1"/>
  <c r="AX370" i="7" s="1"/>
  <c r="AX343" i="7" a="1"/>
  <c r="AX343" i="7" s="1"/>
  <c r="AX350" i="7" a="1"/>
  <c r="AX350" i="7" s="1"/>
  <c r="AX389" i="7" a="1"/>
  <c r="AX389" i="7" s="1"/>
  <c r="AX384" i="7" a="1"/>
  <c r="AX384" i="7" s="1"/>
  <c r="AX374" i="7" a="1"/>
  <c r="AX374" i="7" s="1"/>
  <c r="AX360" i="7" a="1"/>
  <c r="AX360" i="7" s="1"/>
  <c r="AX346" i="7" a="1"/>
  <c r="AX346" i="7" s="1"/>
  <c r="AX322" i="7" a="1"/>
  <c r="AX322" i="7" s="1"/>
  <c r="AX303" i="7" a="1"/>
  <c r="AX303" i="7" s="1"/>
  <c r="AX310" i="7" a="1"/>
  <c r="AX310" i="7" s="1"/>
  <c r="AX326" i="7" a="1"/>
  <c r="AX326" i="7" s="1"/>
  <c r="AX314" i="7" a="1"/>
  <c r="AX314" i="7" s="1"/>
  <c r="AX312" i="7" a="1"/>
  <c r="AX312" i="7" s="1"/>
  <c r="AX308" i="7" a="1"/>
  <c r="AX308" i="7" s="1"/>
  <c r="AX307" i="7" a="1"/>
  <c r="AX307" i="7" s="1"/>
  <c r="AX306" i="7" a="1"/>
  <c r="AX306" i="7" s="1"/>
  <c r="AX305" i="7" a="1"/>
  <c r="AX305" i="7" s="1"/>
  <c r="AX363" i="7" a="1"/>
  <c r="AX363" i="7" s="1"/>
  <c r="AX377" i="7" a="1"/>
  <c r="AX377" i="7" s="1"/>
  <c r="AX329" i="7" a="1"/>
  <c r="AX329" i="7" s="1"/>
  <c r="BA413" i="7" a="1"/>
  <c r="BA413" i="7" s="1"/>
  <c r="BA410" i="7" a="1"/>
  <c r="BA410" i="7" s="1"/>
  <c r="BA406" i="7" a="1"/>
  <c r="BA406" i="7" s="1"/>
  <c r="BA403" i="7" a="1"/>
  <c r="BA403" i="7" s="1"/>
  <c r="BA399" i="7" a="1"/>
  <c r="BA399" i="7" s="1"/>
  <c r="BA396" i="7" a="1"/>
  <c r="BA396" i="7" s="1"/>
  <c r="BA414" i="7" a="1"/>
  <c r="BA414" i="7" s="1"/>
  <c r="BA407" i="7" a="1"/>
  <c r="BA407" i="7" s="1"/>
  <c r="BA404" i="7" a="1"/>
  <c r="BA404" i="7" s="1"/>
  <c r="BA400" i="7" a="1"/>
  <c r="BA400" i="7" s="1"/>
  <c r="BA397" i="7" a="1"/>
  <c r="BA397" i="7" s="1"/>
  <c r="BA415" i="7" a="1"/>
  <c r="BA415" i="7" s="1"/>
  <c r="BA411" i="7" a="1"/>
  <c r="BA411" i="7" s="1"/>
  <c r="BA408" i="7" a="1"/>
  <c r="BA408" i="7" s="1"/>
  <c r="BA401" i="7" a="1"/>
  <c r="BA401" i="7" s="1"/>
  <c r="BA398" i="7" a="1"/>
  <c r="BA398" i="7" s="1"/>
  <c r="BA416" i="7" a="1"/>
  <c r="BA416" i="7" s="1"/>
  <c r="BA412" i="7" a="1"/>
  <c r="BA412" i="7" s="1"/>
  <c r="BA409" i="7" a="1"/>
  <c r="BA409" i="7" s="1"/>
  <c r="BA405" i="7" a="1"/>
  <c r="BA405" i="7" s="1"/>
  <c r="BA402" i="7" a="1"/>
  <c r="BA402" i="7" s="1"/>
  <c r="BA391" i="7" a="1"/>
  <c r="BA391" i="7" s="1"/>
  <c r="BA395" i="7" a="1"/>
  <c r="BA395" i="7" s="1"/>
  <c r="BA392" i="7" a="1"/>
  <c r="BA392" i="7" s="1"/>
  <c r="BA390" i="7" a="1"/>
  <c r="BA390" i="7" s="1"/>
  <c r="BA393" i="7" a="1"/>
  <c r="BA393" i="7" s="1"/>
  <c r="BA379" i="7" a="1"/>
  <c r="BA379" i="7" s="1"/>
  <c r="BA375" i="7" a="1"/>
  <c r="BA375" i="7" s="1"/>
  <c r="BA372" i="7" a="1"/>
  <c r="BA372" i="7" s="1"/>
  <c r="BA365" i="7" a="1"/>
  <c r="BA365" i="7" s="1"/>
  <c r="BA362" i="7" a="1"/>
  <c r="BA362" i="7" s="1"/>
  <c r="BA358" i="7" a="1"/>
  <c r="BA358" i="7" s="1"/>
  <c r="BA355" i="7" a="1"/>
  <c r="BA355" i="7" s="1"/>
  <c r="BA351" i="7" a="1"/>
  <c r="BA351" i="7" s="1"/>
  <c r="BA348" i="7" a="1"/>
  <c r="BA348" i="7" s="1"/>
  <c r="BA341" i="7" a="1"/>
  <c r="BA341" i="7" s="1"/>
  <c r="BA338" i="7" a="1"/>
  <c r="BA338" i="7" s="1"/>
  <c r="BA334" i="7" a="1"/>
  <c r="BA334" i="7" s="1"/>
  <c r="BA331" i="7" a="1"/>
  <c r="BA331" i="7" s="1"/>
  <c r="BA327" i="7" a="1"/>
  <c r="BA327" i="7" s="1"/>
  <c r="BA324" i="7" a="1"/>
  <c r="BA324" i="7" s="1"/>
  <c r="BA317" i="7" a="1"/>
  <c r="BA317" i="7" s="1"/>
  <c r="BA388" i="7" a="1"/>
  <c r="BA388" i="7" s="1"/>
  <c r="BA380" i="7" a="1"/>
  <c r="BA380" i="7" s="1"/>
  <c r="BA376" i="7" a="1"/>
  <c r="BA376" i="7" s="1"/>
  <c r="BA373" i="7" a="1"/>
  <c r="BA373" i="7" s="1"/>
  <c r="BA369" i="7" a="1"/>
  <c r="BA369" i="7" s="1"/>
  <c r="BA366" i="7" a="1"/>
  <c r="BA366" i="7" s="1"/>
  <c r="BA359" i="7" a="1"/>
  <c r="BA359" i="7" s="1"/>
  <c r="BA356" i="7" a="1"/>
  <c r="BA356" i="7" s="1"/>
  <c r="BA352" i="7" a="1"/>
  <c r="BA352" i="7" s="1"/>
  <c r="BA349" i="7" a="1"/>
  <c r="BA349" i="7" s="1"/>
  <c r="BA345" i="7" a="1"/>
  <c r="BA345" i="7" s="1"/>
  <c r="BA342" i="7" a="1"/>
  <c r="BA342" i="7" s="1"/>
  <c r="BA335" i="7" a="1"/>
  <c r="BA335" i="7" s="1"/>
  <c r="BA332" i="7" a="1"/>
  <c r="BA332" i="7" s="1"/>
  <c r="BA382" i="7" a="1"/>
  <c r="BA382" i="7" s="1"/>
  <c r="BA314" i="7" a="1"/>
  <c r="BA314" i="7" s="1"/>
  <c r="BA384" i="7" a="1"/>
  <c r="BA384" i="7" s="1"/>
  <c r="BA386" i="7" a="1"/>
  <c r="BA386" i="7" s="1"/>
  <c r="BA377" i="7" a="1"/>
  <c r="BA377" i="7" s="1"/>
  <c r="BA374" i="7" a="1"/>
  <c r="BA374" i="7" s="1"/>
  <c r="BA370" i="7" a="1"/>
  <c r="BA370" i="7" s="1"/>
  <c r="BA367" i="7" a="1"/>
  <c r="BA367" i="7" s="1"/>
  <c r="BA363" i="7" a="1"/>
  <c r="BA363" i="7" s="1"/>
  <c r="BA360" i="7" a="1"/>
  <c r="BA360" i="7" s="1"/>
  <c r="BA353" i="7" a="1"/>
  <c r="BA353" i="7" s="1"/>
  <c r="BA350" i="7" a="1"/>
  <c r="BA350" i="7" s="1"/>
  <c r="BA346" i="7" a="1"/>
  <c r="BA346" i="7" s="1"/>
  <c r="BA343" i="7" a="1"/>
  <c r="BA343" i="7" s="1"/>
  <c r="BA339" i="7" a="1"/>
  <c r="BA339" i="7" s="1"/>
  <c r="BA336" i="7" a="1"/>
  <c r="BA336" i="7" s="1"/>
  <c r="BA329" i="7" a="1"/>
  <c r="BA329" i="7" s="1"/>
  <c r="BA326" i="7" a="1"/>
  <c r="BA326" i="7" s="1"/>
  <c r="BA322" i="7" a="1"/>
  <c r="BA322" i="7" s="1"/>
  <c r="BA319" i="7" a="1"/>
  <c r="BA319" i="7" s="1"/>
  <c r="BA315" i="7" a="1"/>
  <c r="BA315" i="7" s="1"/>
  <c r="BA387" i="7" a="1"/>
  <c r="BA387" i="7" s="1"/>
  <c r="BA389" i="7" a="1"/>
  <c r="BA389" i="7" s="1"/>
  <c r="BA381" i="7" a="1"/>
  <c r="BA381" i="7" s="1"/>
  <c r="BA378" i="7" a="1"/>
  <c r="BA378" i="7" s="1"/>
  <c r="BA371" i="7" a="1"/>
  <c r="BA371" i="7" s="1"/>
  <c r="BA368" i="7" a="1"/>
  <c r="BA368" i="7" s="1"/>
  <c r="BA364" i="7" a="1"/>
  <c r="BA364" i="7" s="1"/>
  <c r="BA361" i="7" a="1"/>
  <c r="BA361" i="7" s="1"/>
  <c r="BA357" i="7" a="1"/>
  <c r="BA357" i="7" s="1"/>
  <c r="BA354" i="7" a="1"/>
  <c r="BA354" i="7" s="1"/>
  <c r="BA347" i="7" a="1"/>
  <c r="BA347" i="7" s="1"/>
  <c r="BA344" i="7" a="1"/>
  <c r="BA344" i="7" s="1"/>
  <c r="BA340" i="7" a="1"/>
  <c r="BA340" i="7" s="1"/>
  <c r="BA330" i="7" a="1"/>
  <c r="BA330" i="7" s="1"/>
  <c r="BA385" i="7" a="1"/>
  <c r="BA385" i="7" s="1"/>
  <c r="BA303" i="7" a="1"/>
  <c r="BA303" i="7" s="1"/>
  <c r="BA311" i="7" a="1"/>
  <c r="BA311" i="7" s="1"/>
  <c r="BA321" i="7" a="1"/>
  <c r="BA321" i="7" s="1"/>
  <c r="BA325" i="7" a="1"/>
  <c r="BA325" i="7" s="1"/>
  <c r="BA312" i="7" a="1"/>
  <c r="BA312" i="7" s="1"/>
  <c r="BA308" i="7" a="1"/>
  <c r="BA308" i="7" s="1"/>
  <c r="BA307" i="7" a="1"/>
  <c r="BA307" i="7" s="1"/>
  <c r="BA306" i="7" a="1"/>
  <c r="BA306" i="7" s="1"/>
  <c r="BA305" i="7" a="1"/>
  <c r="BA305" i="7" s="1"/>
  <c r="BA337" i="7" a="1"/>
  <c r="BA337" i="7" s="1"/>
  <c r="BA328" i="7" a="1"/>
  <c r="BA328" i="7" s="1"/>
  <c r="BA309" i="7" a="1"/>
  <c r="BA309" i="7" s="1"/>
  <c r="BA304" i="7" a="1"/>
  <c r="BA304" i="7" s="1"/>
  <c r="BA313" i="7" a="1"/>
  <c r="BA313" i="7" s="1"/>
  <c r="BA296" i="7" a="1"/>
  <c r="BA296" i="7" s="1"/>
  <c r="BA294" i="7" a="1"/>
  <c r="BA294" i="7" s="1"/>
  <c r="BA291" i="7" a="1"/>
  <c r="BA291" i="7" s="1"/>
  <c r="BA290" i="7" a="1"/>
  <c r="BA290" i="7" s="1"/>
  <c r="BA289" i="7" a="1"/>
  <c r="BA289" i="7" s="1"/>
  <c r="BA288" i="7" a="1"/>
  <c r="BA288" i="7" s="1"/>
  <c r="BA286" i="7" a="1"/>
  <c r="BA286" i="7" s="1"/>
  <c r="BA310" i="7" a="1"/>
  <c r="BA310" i="7" s="1"/>
  <c r="BA301" i="7" a="1"/>
  <c r="BA301" i="7" s="1"/>
  <c r="BA300" i="7" a="1"/>
  <c r="BA300" i="7" s="1"/>
  <c r="BA299" i="7" a="1"/>
  <c r="BA299" i="7" s="1"/>
  <c r="BA298" i="7" a="1"/>
  <c r="BA298" i="7" s="1"/>
  <c r="BA297" i="7" a="1"/>
  <c r="BA297" i="7" s="1"/>
  <c r="BA295" i="7" a="1"/>
  <c r="BA295" i="7" s="1"/>
  <c r="BA293" i="7" a="1"/>
  <c r="BA293" i="7" s="1"/>
  <c r="BA292" i="7" a="1"/>
  <c r="BA292" i="7" s="1"/>
  <c r="BA287" i="7" a="1"/>
  <c r="BA287" i="7" s="1"/>
  <c r="BA285" i="7" a="1"/>
  <c r="BA285" i="7" s="1"/>
  <c r="BA318" i="7" a="1"/>
  <c r="BA318" i="7" s="1"/>
  <c r="BA394" i="7" a="1"/>
  <c r="BA394" i="7" s="1"/>
  <c r="BA302" i="7" a="1"/>
  <c r="BA302" i="7" s="1"/>
  <c r="BA316" i="7" a="1"/>
  <c r="BA316" i="7" s="1"/>
  <c r="BA333" i="7" a="1"/>
  <c r="BA333" i="7" s="1"/>
  <c r="BA323" i="7" a="1"/>
  <c r="BA323" i="7" s="1"/>
  <c r="BA320" i="7" a="1"/>
  <c r="BA320" i="7" s="1"/>
  <c r="BA383" i="7" a="1"/>
  <c r="BA383" i="7" s="1"/>
  <c r="AS811" i="7" a="1"/>
  <c r="AS811" i="7" s="1"/>
  <c r="AS809" i="7" a="1"/>
  <c r="AS809" i="7" s="1"/>
  <c r="AS807" i="7" a="1"/>
  <c r="AS807" i="7" s="1"/>
  <c r="AS806" i="7" a="1"/>
  <c r="AS806" i="7" s="1"/>
  <c r="AS804" i="7" a="1"/>
  <c r="AS804" i="7" s="1"/>
  <c r="AS802" i="7" a="1"/>
  <c r="AS802" i="7" s="1"/>
  <c r="AS799" i="7" a="1"/>
  <c r="AS799" i="7" s="1"/>
  <c r="AS797" i="7" a="1"/>
  <c r="AS797" i="7" s="1"/>
  <c r="AS795" i="7" a="1"/>
  <c r="AS795" i="7" s="1"/>
  <c r="AS794" i="7" a="1"/>
  <c r="AS794" i="7" s="1"/>
  <c r="AS790" i="7" a="1"/>
  <c r="AS790" i="7" s="1"/>
  <c r="AS793" i="7" a="1"/>
  <c r="AS793" i="7" s="1"/>
  <c r="AS789" i="7" a="1"/>
  <c r="AS789" i="7" s="1"/>
  <c r="AS792" i="7" a="1"/>
  <c r="AS792" i="7" s="1"/>
  <c r="AS812" i="7" a="1"/>
  <c r="AS812" i="7" s="1"/>
  <c r="AS808" i="7" a="1"/>
  <c r="AS808" i="7" s="1"/>
  <c r="AS805" i="7" a="1"/>
  <c r="AS805" i="7" s="1"/>
  <c r="AS801" i="7" a="1"/>
  <c r="AS801" i="7" s="1"/>
  <c r="AS798" i="7" a="1"/>
  <c r="AS798" i="7" s="1"/>
  <c r="AS785" i="7" a="1"/>
  <c r="AS785" i="7" s="1"/>
  <c r="AS782" i="7" a="1"/>
  <c r="AS782" i="7" s="1"/>
  <c r="AS778" i="7" a="1"/>
  <c r="AS778" i="7" s="1"/>
  <c r="AS775" i="7" a="1"/>
  <c r="AS775" i="7" s="1"/>
  <c r="AS771" i="7" a="1"/>
  <c r="AS771" i="7" s="1"/>
  <c r="AS786" i="7" a="1"/>
  <c r="AS786" i="7" s="1"/>
  <c r="AS779" i="7" a="1"/>
  <c r="AS779" i="7" s="1"/>
  <c r="AS776" i="7" a="1"/>
  <c r="AS776" i="7" s="1"/>
  <c r="AS772" i="7" a="1"/>
  <c r="AS772" i="7" s="1"/>
  <c r="AS791" i="7" a="1"/>
  <c r="AS791" i="7" s="1"/>
  <c r="AS810" i="7" a="1"/>
  <c r="AS810" i="7" s="1"/>
  <c r="AS803" i="7" a="1"/>
  <c r="AS803" i="7" s="1"/>
  <c r="AS800" i="7" a="1"/>
  <c r="AS800" i="7" s="1"/>
  <c r="AS796" i="7" a="1"/>
  <c r="AS796" i="7" s="1"/>
  <c r="AS787" i="7" a="1"/>
  <c r="AS787" i="7" s="1"/>
  <c r="AS783" i="7" a="1"/>
  <c r="AS783" i="7" s="1"/>
  <c r="AS780" i="7" a="1"/>
  <c r="AS780" i="7" s="1"/>
  <c r="AS773" i="7" a="1"/>
  <c r="AS773" i="7" s="1"/>
  <c r="AS765" i="7" a="1"/>
  <c r="AS765" i="7" s="1"/>
  <c r="AS762" i="7" a="1"/>
  <c r="AS762" i="7" s="1"/>
  <c r="AS774" i="7" a="1"/>
  <c r="AS774" i="7" s="1"/>
  <c r="AS777" i="7" a="1"/>
  <c r="AS777" i="7" s="1"/>
  <c r="AS766" i="7" a="1"/>
  <c r="AS766" i="7" s="1"/>
  <c r="AS763" i="7" a="1"/>
  <c r="AS763" i="7" s="1"/>
  <c r="AS759" i="7" a="1"/>
  <c r="AS759" i="7" s="1"/>
  <c r="AS756" i="7" a="1"/>
  <c r="AS756" i="7" s="1"/>
  <c r="AS781" i="7" a="1"/>
  <c r="AS781" i="7" s="1"/>
  <c r="AS764" i="7" a="1"/>
  <c r="AS764" i="7" s="1"/>
  <c r="AS760" i="7" a="1"/>
  <c r="AS760" i="7" s="1"/>
  <c r="AS757" i="7" a="1"/>
  <c r="AS757" i="7" s="1"/>
  <c r="AS784" i="7" a="1"/>
  <c r="AS784" i="7" s="1"/>
  <c r="AS770" i="7" a="1"/>
  <c r="AS770" i="7" s="1"/>
  <c r="AS768" i="7" a="1"/>
  <c r="AS768" i="7" s="1"/>
  <c r="AS767" i="7" a="1"/>
  <c r="AS767" i="7" s="1"/>
  <c r="AS753" i="7" a="1"/>
  <c r="AS753" i="7" s="1"/>
  <c r="AS752" i="7" a="1"/>
  <c r="AS752" i="7" s="1"/>
  <c r="AS788" i="7" a="1"/>
  <c r="AS788" i="7" s="1"/>
  <c r="AS758" i="7" a="1"/>
  <c r="AS758" i="7" s="1"/>
  <c r="AS761" i="7" a="1"/>
  <c r="AS761" i="7" s="1"/>
  <c r="AS751" i="7" a="1"/>
  <c r="AS751" i="7" s="1"/>
  <c r="AS769" i="7" a="1"/>
  <c r="AS769" i="7" s="1"/>
  <c r="AS755" i="7" a="1"/>
  <c r="AS755" i="7" s="1"/>
  <c r="AS754" i="7" a="1"/>
  <c r="AS754" i="7" s="1"/>
  <c r="AS746" i="7" a="1"/>
  <c r="AS746" i="7" s="1"/>
  <c r="AS742" i="7" a="1"/>
  <c r="AS742" i="7" s="1"/>
  <c r="AS739" i="7" a="1"/>
  <c r="AS739" i="7" s="1"/>
  <c r="AS735" i="7" a="1"/>
  <c r="AS735" i="7" s="1"/>
  <c r="AS749" i="7" a="1"/>
  <c r="AS749" i="7" s="1"/>
  <c r="AS748" i="7" a="1"/>
  <c r="AS748" i="7" s="1"/>
  <c r="AS743" i="7" a="1"/>
  <c r="AS743" i="7" s="1"/>
  <c r="AS740" i="7" a="1"/>
  <c r="AS740" i="7" s="1"/>
  <c r="AS736" i="7" a="1"/>
  <c r="AS736" i="7" s="1"/>
  <c r="AS733" i="7" a="1"/>
  <c r="AS733" i="7" s="1"/>
  <c r="AS750" i="7" a="1"/>
  <c r="AS750" i="7" s="1"/>
  <c r="AS747" i="7" a="1"/>
  <c r="AS747" i="7" s="1"/>
  <c r="AS744" i="7" a="1"/>
  <c r="AS744" i="7" s="1"/>
  <c r="AS737" i="7" a="1"/>
  <c r="AS737" i="7" s="1"/>
  <c r="AS738" i="7" a="1"/>
  <c r="AS738" i="7" s="1"/>
  <c r="AS731" i="7" a="1"/>
  <c r="AS731" i="7" s="1"/>
  <c r="AS728" i="7" a="1"/>
  <c r="AS728" i="7" s="1"/>
  <c r="AS734" i="7" a="1"/>
  <c r="AS734" i="7" s="1"/>
  <c r="AS741" i="7" a="1"/>
  <c r="AS741" i="7" s="1"/>
  <c r="AS732" i="7" a="1"/>
  <c r="AS732" i="7" s="1"/>
  <c r="AS745" i="7" a="1"/>
  <c r="AS745" i="7" s="1"/>
  <c r="AS725" i="7" a="1"/>
  <c r="AS725" i="7" s="1"/>
  <c r="AS729" i="7" a="1"/>
  <c r="AS729" i="7" s="1"/>
  <c r="AS726" i="7" a="1"/>
  <c r="AS726" i="7" s="1"/>
  <c r="AS722" i="7" a="1"/>
  <c r="AS722" i="7" s="1"/>
  <c r="AS718" i="7" a="1"/>
  <c r="AS718" i="7" s="1"/>
  <c r="AS715" i="7" a="1"/>
  <c r="AS715" i="7" s="1"/>
  <c r="AS707" i="7" a="1"/>
  <c r="AS707" i="7" s="1"/>
  <c r="AS704" i="7" a="1"/>
  <c r="AS704" i="7" s="1"/>
  <c r="AS724" i="7" a="1"/>
  <c r="AS724" i="7" s="1"/>
  <c r="AS721" i="7" a="1"/>
  <c r="AS721" i="7" s="1"/>
  <c r="AS717" i="7" a="1"/>
  <c r="AS717" i="7" s="1"/>
  <c r="AS714" i="7" a="1"/>
  <c r="AS714" i="7" s="1"/>
  <c r="AS711" i="7" a="1"/>
  <c r="AS711" i="7" s="1"/>
  <c r="AS708" i="7" a="1"/>
  <c r="AS708" i="7" s="1"/>
  <c r="AS701" i="7" a="1"/>
  <c r="AS701" i="7" s="1"/>
  <c r="AS698" i="7" a="1"/>
  <c r="AS698" i="7" s="1"/>
  <c r="AS694" i="7" a="1"/>
  <c r="AS694" i="7" s="1"/>
  <c r="AS723" i="7" a="1"/>
  <c r="AS723" i="7" s="1"/>
  <c r="AS720" i="7" a="1"/>
  <c r="AS720" i="7" s="1"/>
  <c r="AS713" i="7" a="1"/>
  <c r="AS713" i="7" s="1"/>
  <c r="AS709" i="7" a="1"/>
  <c r="AS709" i="7" s="1"/>
  <c r="AS705" i="7" a="1"/>
  <c r="AS705" i="7" s="1"/>
  <c r="AS702" i="7" a="1"/>
  <c r="AS702" i="7" s="1"/>
  <c r="AS730" i="7" a="1"/>
  <c r="AS730" i="7" s="1"/>
  <c r="AS727" i="7" a="1"/>
  <c r="AS727" i="7" s="1"/>
  <c r="AS699" i="7" a="1"/>
  <c r="AS699" i="7" s="1"/>
  <c r="AS696" i="7" a="1"/>
  <c r="AS696" i="7" s="1"/>
  <c r="AS719" i="7" a="1"/>
  <c r="AS719" i="7" s="1"/>
  <c r="AS712" i="7" a="1"/>
  <c r="AS712" i="7" s="1"/>
  <c r="AS706" i="7" a="1"/>
  <c r="AS706" i="7" s="1"/>
  <c r="AS703" i="7" a="1"/>
  <c r="AS703" i="7" s="1"/>
  <c r="AS697" i="7" a="1"/>
  <c r="AS697" i="7" s="1"/>
  <c r="AS695" i="7" a="1"/>
  <c r="AS695" i="7" s="1"/>
  <c r="AS693" i="7" a="1"/>
  <c r="AS693" i="7" s="1"/>
  <c r="AS700" i="7" a="1"/>
  <c r="AS700" i="7" s="1"/>
  <c r="AS691" i="7" a="1"/>
  <c r="AS691" i="7" s="1"/>
  <c r="AS710" i="7" a="1"/>
  <c r="AS710" i="7" s="1"/>
  <c r="AS692" i="7" a="1"/>
  <c r="AS692" i="7" s="1"/>
  <c r="AS690" i="7" a="1"/>
  <c r="AS690" i="7" s="1"/>
  <c r="AS688" i="7" a="1"/>
  <c r="AS688" i="7" s="1"/>
  <c r="AS685" i="7" a="1"/>
  <c r="AS685" i="7" s="1"/>
  <c r="AS683" i="7" a="1"/>
  <c r="AS683" i="7" s="1"/>
  <c r="AS681" i="7" a="1"/>
  <c r="AS681" i="7" s="1"/>
  <c r="AS716" i="7" a="1"/>
  <c r="AS716" i="7" s="1"/>
  <c r="AS689" i="7" a="1"/>
  <c r="AS689" i="7" s="1"/>
  <c r="AS687" i="7" a="1"/>
  <c r="AS687" i="7" s="1"/>
  <c r="AS686" i="7" a="1"/>
  <c r="AS686" i="7" s="1"/>
  <c r="AS684" i="7" a="1"/>
  <c r="AS684" i="7" s="1"/>
  <c r="AS682" i="7" a="1"/>
  <c r="AS682" i="7" s="1"/>
  <c r="AK515" i="7" a="1"/>
  <c r="AK515" i="7" s="1"/>
  <c r="AK514" i="7" a="1"/>
  <c r="AK514" i="7" s="1"/>
  <c r="AK547" i="7" a="1"/>
  <c r="AK547" i="7" s="1"/>
  <c r="AK545" i="7" a="1"/>
  <c r="AK545" i="7" s="1"/>
  <c r="AK543" i="7" a="1"/>
  <c r="AK543" i="7" s="1"/>
  <c r="AK542" i="7" a="1"/>
  <c r="AK542" i="7" s="1"/>
  <c r="AK540" i="7" a="1"/>
  <c r="AK540" i="7" s="1"/>
  <c r="AK538" i="7" a="1"/>
  <c r="AK538" i="7" s="1"/>
  <c r="AK535" i="7" a="1"/>
  <c r="AK535" i="7" s="1"/>
  <c r="AK533" i="7" a="1"/>
  <c r="AK533" i="7" s="1"/>
  <c r="AK531" i="7" a="1"/>
  <c r="AK531" i="7" s="1"/>
  <c r="AK530" i="7" a="1"/>
  <c r="AK530" i="7" s="1"/>
  <c r="AK528" i="7" a="1"/>
  <c r="AK528" i="7" s="1"/>
  <c r="AK526" i="7" a="1"/>
  <c r="AK526" i="7" s="1"/>
  <c r="AK523" i="7" a="1"/>
  <c r="AK523" i="7" s="1"/>
  <c r="AK521" i="7" a="1"/>
  <c r="AK521" i="7" s="1"/>
  <c r="AK519" i="7" a="1"/>
  <c r="AK519" i="7" s="1"/>
  <c r="AK518" i="7" a="1"/>
  <c r="AK518" i="7" s="1"/>
  <c r="AK516" i="7" a="1"/>
  <c r="AK516" i="7" s="1"/>
  <c r="AK548" i="7" a="1"/>
  <c r="AK548" i="7" s="1"/>
  <c r="AK546" i="7" a="1"/>
  <c r="AK546" i="7" s="1"/>
  <c r="AK544" i="7" a="1"/>
  <c r="AK544" i="7" s="1"/>
  <c r="AK541" i="7" a="1"/>
  <c r="AK541" i="7" s="1"/>
  <c r="AK539" i="7" a="1"/>
  <c r="AK539" i="7" s="1"/>
  <c r="AK537" i="7" a="1"/>
  <c r="AK537" i="7" s="1"/>
  <c r="AK536" i="7" a="1"/>
  <c r="AK536" i="7" s="1"/>
  <c r="AK534" i="7" a="1"/>
  <c r="AK534" i="7" s="1"/>
  <c r="AK532" i="7" a="1"/>
  <c r="AK532" i="7" s="1"/>
  <c r="AK529" i="7" a="1"/>
  <c r="AK529" i="7" s="1"/>
  <c r="AK527" i="7" a="1"/>
  <c r="AK527" i="7" s="1"/>
  <c r="AK525" i="7" a="1"/>
  <c r="AK525" i="7" s="1"/>
  <c r="AK524" i="7" a="1"/>
  <c r="AK524" i="7" s="1"/>
  <c r="AK522" i="7" a="1"/>
  <c r="AK522" i="7" s="1"/>
  <c r="AK520" i="7" a="1"/>
  <c r="AK520" i="7" s="1"/>
  <c r="AK517" i="7" a="1"/>
  <c r="AK517" i="7" s="1"/>
  <c r="AK503" i="7" a="1"/>
  <c r="AK503" i="7" s="1"/>
  <c r="AK499" i="7" a="1"/>
  <c r="AK499" i="7" s="1"/>
  <c r="AK498" i="7" a="1"/>
  <c r="AK498" i="7" s="1"/>
  <c r="AK497" i="7" a="1"/>
  <c r="AK497" i="7" s="1"/>
  <c r="AK496" i="7" a="1"/>
  <c r="AK496" i="7" s="1"/>
  <c r="AK502" i="7" a="1"/>
  <c r="AK502" i="7" s="1"/>
  <c r="AK513" i="7" a="1"/>
  <c r="AK513" i="7" s="1"/>
  <c r="AK512" i="7" a="1"/>
  <c r="AK512" i="7" s="1"/>
  <c r="AK511" i="7" a="1"/>
  <c r="AK511" i="7" s="1"/>
  <c r="AK510" i="7" a="1"/>
  <c r="AK510" i="7" s="1"/>
  <c r="AK509" i="7" a="1"/>
  <c r="AK509" i="7" s="1"/>
  <c r="AK508" i="7" a="1"/>
  <c r="AK508" i="7" s="1"/>
  <c r="AK507" i="7" a="1"/>
  <c r="AK507" i="7" s="1"/>
  <c r="AK506" i="7" a="1"/>
  <c r="AK506" i="7" s="1"/>
  <c r="AK500" i="7" a="1"/>
  <c r="AK500" i="7" s="1"/>
  <c r="AK505" i="7" a="1"/>
  <c r="AK505" i="7" s="1"/>
  <c r="AK501" i="7" a="1"/>
  <c r="AK501" i="7" s="1"/>
  <c r="AK504" i="7" a="1"/>
  <c r="AK504" i="7" s="1"/>
  <c r="AK495" i="7" a="1"/>
  <c r="AK495" i="7" s="1"/>
  <c r="AK478" i="7" a="1"/>
  <c r="AK478" i="7" s="1"/>
  <c r="AK475" i="7" a="1"/>
  <c r="AK475" i="7" s="1"/>
  <c r="AK473" i="7" a="1"/>
  <c r="AK473" i="7" s="1"/>
  <c r="AK471" i="7" a="1"/>
  <c r="AK471" i="7" s="1"/>
  <c r="AK483" i="7" a="1"/>
  <c r="AK483" i="7" s="1"/>
  <c r="AK480" i="7" a="1"/>
  <c r="AK480" i="7" s="1"/>
  <c r="AK479" i="7" a="1"/>
  <c r="AK479" i="7" s="1"/>
  <c r="AK477" i="7" a="1"/>
  <c r="AK477" i="7" s="1"/>
  <c r="AK476" i="7" a="1"/>
  <c r="AK476" i="7" s="1"/>
  <c r="AK482" i="7" a="1"/>
  <c r="AK482" i="7" s="1"/>
  <c r="AK472" i="7" a="1"/>
  <c r="AK472" i="7" s="1"/>
  <c r="AK470" i="7" a="1"/>
  <c r="AK470" i="7" s="1"/>
  <c r="AK429" i="7" a="1"/>
  <c r="AK429" i="7" s="1"/>
  <c r="AK426" i="7" a="1"/>
  <c r="AK426" i="7" s="1"/>
  <c r="AK466" i="7" a="1"/>
  <c r="AK466" i="7" s="1"/>
  <c r="AK465" i="7" a="1"/>
  <c r="AK465" i="7" s="1"/>
  <c r="AK464" i="7" a="1"/>
  <c r="AK464" i="7" s="1"/>
  <c r="AK463" i="7" a="1"/>
  <c r="AK463" i="7" s="1"/>
  <c r="AK462" i="7" a="1"/>
  <c r="AK462" i="7" s="1"/>
  <c r="AK461" i="7" a="1"/>
  <c r="AK461" i="7" s="1"/>
  <c r="AK460" i="7" a="1"/>
  <c r="AK460" i="7" s="1"/>
  <c r="AK459" i="7" a="1"/>
  <c r="AK459" i="7" s="1"/>
  <c r="AK458" i="7" a="1"/>
  <c r="AK458" i="7" s="1"/>
  <c r="AK454" i="7" a="1"/>
  <c r="AK454" i="7" s="1"/>
  <c r="AK451" i="7" a="1"/>
  <c r="AK451" i="7" s="1"/>
  <c r="AK447" i="7" a="1"/>
  <c r="AK447" i="7" s="1"/>
  <c r="AK444" i="7" a="1"/>
  <c r="AK444" i="7" s="1"/>
  <c r="AK437" i="7" a="1"/>
  <c r="AK437" i="7" s="1"/>
  <c r="AK434" i="7" a="1"/>
  <c r="AK434" i="7" s="1"/>
  <c r="AK486" i="7" a="1"/>
  <c r="AK486" i="7" s="1"/>
  <c r="AK467" i="7" a="1"/>
  <c r="AK467" i="7" s="1"/>
  <c r="AK430" i="7" a="1"/>
  <c r="AK430" i="7" s="1"/>
  <c r="AK427" i="7" a="1"/>
  <c r="AK427" i="7" s="1"/>
  <c r="AK423" i="7" a="1"/>
  <c r="AK423" i="7" s="1"/>
  <c r="AK420" i="7" a="1"/>
  <c r="AK420" i="7" s="1"/>
  <c r="AK457" i="7" a="1"/>
  <c r="AK457" i="7" s="1"/>
  <c r="AK453" i="7" a="1"/>
  <c r="AK453" i="7" s="1"/>
  <c r="AK450" i="7" a="1"/>
  <c r="AK450" i="7" s="1"/>
  <c r="AK443" i="7" a="1"/>
  <c r="AK443" i="7" s="1"/>
  <c r="AK440" i="7" a="1"/>
  <c r="AK440" i="7" s="1"/>
  <c r="AK436" i="7" a="1"/>
  <c r="AK436" i="7" s="1"/>
  <c r="AK433" i="7" a="1"/>
  <c r="AK433" i="7" s="1"/>
  <c r="AK493" i="7" a="1"/>
  <c r="AK493" i="7" s="1"/>
  <c r="AK491" i="7" a="1"/>
  <c r="AK491" i="7" s="1"/>
  <c r="AK489" i="7" a="1"/>
  <c r="AK489" i="7" s="1"/>
  <c r="AK487" i="7" a="1"/>
  <c r="AK487" i="7" s="1"/>
  <c r="AK484" i="7" a="1"/>
  <c r="AK484" i="7" s="1"/>
  <c r="AK481" i="7" a="1"/>
  <c r="AK481" i="7" s="1"/>
  <c r="AK474" i="7" a="1"/>
  <c r="AK474" i="7" s="1"/>
  <c r="AK468" i="7" a="1"/>
  <c r="AK468" i="7" s="1"/>
  <c r="AK431" i="7" a="1"/>
  <c r="AK431" i="7" s="1"/>
  <c r="AK428" i="7" a="1"/>
  <c r="AK428" i="7" s="1"/>
  <c r="AK424" i="7" a="1"/>
  <c r="AK424" i="7" s="1"/>
  <c r="AK456" i="7" a="1"/>
  <c r="AK456" i="7" s="1"/>
  <c r="AK449" i="7" a="1"/>
  <c r="AK449" i="7" s="1"/>
  <c r="AK446" i="7" a="1"/>
  <c r="AK446" i="7" s="1"/>
  <c r="AK442" i="7" a="1"/>
  <c r="AK442" i="7" s="1"/>
  <c r="AK439" i="7" a="1"/>
  <c r="AK439" i="7" s="1"/>
  <c r="AK435" i="7" a="1"/>
  <c r="AK435" i="7" s="1"/>
  <c r="AK469" i="7" a="1"/>
  <c r="AK469" i="7" s="1"/>
  <c r="AK490" i="7" a="1"/>
  <c r="AK490" i="7" s="1"/>
  <c r="AK432" i="7" a="1"/>
  <c r="AK432" i="7" s="1"/>
  <c r="AK455" i="7" a="1"/>
  <c r="AK455" i="7" s="1"/>
  <c r="AK422" i="7" a="1"/>
  <c r="AK422" i="7" s="1"/>
  <c r="AK421" i="7" a="1"/>
  <c r="AK421" i="7" s="1"/>
  <c r="AK488" i="7" a="1"/>
  <c r="AK488" i="7" s="1"/>
  <c r="AK448" i="7" a="1"/>
  <c r="AK448" i="7" s="1"/>
  <c r="AK419" i="7" a="1"/>
  <c r="AK419" i="7" s="1"/>
  <c r="AK485" i="7" a="1"/>
  <c r="AK485" i="7" s="1"/>
  <c r="AK452" i="7" a="1"/>
  <c r="AK452" i="7" s="1"/>
  <c r="AK445" i="7" a="1"/>
  <c r="AK445" i="7" s="1"/>
  <c r="AK418" i="7" a="1"/>
  <c r="AK418" i="7" s="1"/>
  <c r="AK494" i="7" a="1"/>
  <c r="AK494" i="7" s="1"/>
  <c r="AK492" i="7" a="1"/>
  <c r="AK492" i="7" s="1"/>
  <c r="AK438" i="7" a="1"/>
  <c r="AK438" i="7" s="1"/>
  <c r="AK425" i="7" a="1"/>
  <c r="AK425" i="7" s="1"/>
  <c r="AK417" i="7" a="1"/>
  <c r="AK417" i="7" s="1"/>
  <c r="AK441" i="7" a="1"/>
  <c r="AK441" i="7" s="1"/>
  <c r="AT811" i="7" a="1"/>
  <c r="AT811" i="7" s="1"/>
  <c r="AT809" i="7" a="1"/>
  <c r="AT809" i="7" s="1"/>
  <c r="AT807" i="7" a="1"/>
  <c r="AT807" i="7" s="1"/>
  <c r="AT806" i="7" a="1"/>
  <c r="AT806" i="7" s="1"/>
  <c r="AT804" i="7" a="1"/>
  <c r="AT804" i="7" s="1"/>
  <c r="AT802" i="7" a="1"/>
  <c r="AT802" i="7" s="1"/>
  <c r="AT799" i="7" a="1"/>
  <c r="AT799" i="7" s="1"/>
  <c r="AT797" i="7" a="1"/>
  <c r="AT797" i="7" s="1"/>
  <c r="AT795" i="7" a="1"/>
  <c r="AT795" i="7" s="1"/>
  <c r="AT794" i="7" a="1"/>
  <c r="AT794" i="7" s="1"/>
  <c r="AT793" i="7" a="1"/>
  <c r="AT793" i="7" s="1"/>
  <c r="AT812" i="7" a="1"/>
  <c r="AT812" i="7" s="1"/>
  <c r="AT810" i="7" a="1"/>
  <c r="AT810" i="7" s="1"/>
  <c r="AT808" i="7" a="1"/>
  <c r="AT808" i="7" s="1"/>
  <c r="AT805" i="7" a="1"/>
  <c r="AT805" i="7" s="1"/>
  <c r="AT803" i="7" a="1"/>
  <c r="AT803" i="7" s="1"/>
  <c r="AT801" i="7" a="1"/>
  <c r="AT801" i="7" s="1"/>
  <c r="AT800" i="7" a="1"/>
  <c r="AT800" i="7" s="1"/>
  <c r="AT798" i="7" a="1"/>
  <c r="AT798" i="7" s="1"/>
  <c r="AT796" i="7" a="1"/>
  <c r="AT796" i="7" s="1"/>
  <c r="AT789" i="7" a="1"/>
  <c r="AT789" i="7" s="1"/>
  <c r="AT785" i="7" a="1"/>
  <c r="AT785" i="7" s="1"/>
  <c r="AT782" i="7" a="1"/>
  <c r="AT782" i="7" s="1"/>
  <c r="AT778" i="7" a="1"/>
  <c r="AT778" i="7" s="1"/>
  <c r="AT775" i="7" a="1"/>
  <c r="AT775" i="7" s="1"/>
  <c r="AT771" i="7" a="1"/>
  <c r="AT771" i="7" s="1"/>
  <c r="AT790" i="7" a="1"/>
  <c r="AT790" i="7" s="1"/>
  <c r="AT786" i="7" a="1"/>
  <c r="AT786" i="7" s="1"/>
  <c r="AT779" i="7" a="1"/>
  <c r="AT779" i="7" s="1"/>
  <c r="AT776" i="7" a="1"/>
  <c r="AT776" i="7" s="1"/>
  <c r="AT772" i="7" a="1"/>
  <c r="AT772" i="7" s="1"/>
  <c r="AT769" i="7" a="1"/>
  <c r="AT769" i="7" s="1"/>
  <c r="AT791" i="7" a="1"/>
  <c r="AT791" i="7" s="1"/>
  <c r="AT787" i="7" a="1"/>
  <c r="AT787" i="7" s="1"/>
  <c r="AT783" i="7" a="1"/>
  <c r="AT783" i="7" s="1"/>
  <c r="AT780" i="7" a="1"/>
  <c r="AT780" i="7" s="1"/>
  <c r="AT773" i="7" a="1"/>
  <c r="AT773" i="7" s="1"/>
  <c r="AT770" i="7" a="1"/>
  <c r="AT770" i="7" s="1"/>
  <c r="AT774" i="7" a="1"/>
  <c r="AT774" i="7" s="1"/>
  <c r="AT792" i="7" a="1"/>
  <c r="AT792" i="7" s="1"/>
  <c r="AT766" i="7" a="1"/>
  <c r="AT766" i="7" s="1"/>
  <c r="AT763" i="7" a="1"/>
  <c r="AT763" i="7" s="1"/>
  <c r="AT759" i="7" a="1"/>
  <c r="AT759" i="7" s="1"/>
  <c r="AT756" i="7" a="1"/>
  <c r="AT756" i="7" s="1"/>
  <c r="AT777" i="7" a="1"/>
  <c r="AT777" i="7" s="1"/>
  <c r="AT781" i="7" a="1"/>
  <c r="AT781" i="7" s="1"/>
  <c r="AT764" i="7" a="1"/>
  <c r="AT764" i="7" s="1"/>
  <c r="AT760" i="7" a="1"/>
  <c r="AT760" i="7" s="1"/>
  <c r="AT757" i="7" a="1"/>
  <c r="AT757" i="7" s="1"/>
  <c r="AT784" i="7" a="1"/>
  <c r="AT784" i="7" s="1"/>
  <c r="AT761" i="7" a="1"/>
  <c r="AT761" i="7" s="1"/>
  <c r="AT758" i="7" a="1"/>
  <c r="AT758" i="7" s="1"/>
  <c r="AT788" i="7" a="1"/>
  <c r="AT788" i="7" s="1"/>
  <c r="AT768" i="7" a="1"/>
  <c r="AT768" i="7" s="1"/>
  <c r="AT767" i="7" a="1"/>
  <c r="AT767" i="7" s="1"/>
  <c r="AT765" i="7" a="1"/>
  <c r="AT765" i="7" s="1"/>
  <c r="AT762" i="7" a="1"/>
  <c r="AT762" i="7" s="1"/>
  <c r="AT755" i="7" a="1"/>
  <c r="AT755" i="7" s="1"/>
  <c r="AT751" i="7" a="1"/>
  <c r="AT751" i="7" s="1"/>
  <c r="AT749" i="7" a="1"/>
  <c r="AT749" i="7" s="1"/>
  <c r="AT754" i="7" a="1"/>
  <c r="AT754" i="7" s="1"/>
  <c r="AT748" i="7" a="1"/>
  <c r="AT748" i="7" s="1"/>
  <c r="AT743" i="7" a="1"/>
  <c r="AT743" i="7" s="1"/>
  <c r="AT740" i="7" a="1"/>
  <c r="AT740" i="7" s="1"/>
  <c r="AT752" i="7" a="1"/>
  <c r="AT752" i="7" s="1"/>
  <c r="AT747" i="7" a="1"/>
  <c r="AT747" i="7" s="1"/>
  <c r="AT744" i="7" a="1"/>
  <c r="AT744" i="7" s="1"/>
  <c r="AT737" i="7" a="1"/>
  <c r="AT737" i="7" s="1"/>
  <c r="AT734" i="7" a="1"/>
  <c r="AT734" i="7" s="1"/>
  <c r="AT750" i="7" a="1"/>
  <c r="AT750" i="7" s="1"/>
  <c r="AT745" i="7" a="1"/>
  <c r="AT745" i="7" s="1"/>
  <c r="AT741" i="7" a="1"/>
  <c r="AT741" i="7" s="1"/>
  <c r="AT738" i="7" a="1"/>
  <c r="AT738" i="7" s="1"/>
  <c r="AT746" i="7" a="1"/>
  <c r="AT746" i="7" s="1"/>
  <c r="AT742" i="7" a="1"/>
  <c r="AT742" i="7" s="1"/>
  <c r="AT739" i="7" a="1"/>
  <c r="AT739" i="7" s="1"/>
  <c r="AT735" i="7" a="1"/>
  <c r="AT735" i="7" s="1"/>
  <c r="AT732" i="7" a="1"/>
  <c r="AT732" i="7" s="1"/>
  <c r="AT736" i="7" a="1"/>
  <c r="AT736" i="7" s="1"/>
  <c r="AT725" i="7" a="1"/>
  <c r="AT725" i="7" s="1"/>
  <c r="AT729" i="7" a="1"/>
  <c r="AT729" i="7" s="1"/>
  <c r="AT726" i="7" a="1"/>
  <c r="AT726" i="7" s="1"/>
  <c r="AT753" i="7" a="1"/>
  <c r="AT753" i="7" s="1"/>
  <c r="AT733" i="7" a="1"/>
  <c r="AT733" i="7" s="1"/>
  <c r="AT730" i="7" a="1"/>
  <c r="AT730" i="7" s="1"/>
  <c r="AT731" i="7" a="1"/>
  <c r="AT731" i="7" s="1"/>
  <c r="AT724" i="7" a="1"/>
  <c r="AT724" i="7" s="1"/>
  <c r="AT721" i="7" a="1"/>
  <c r="AT721" i="7" s="1"/>
  <c r="AT717" i="7" a="1"/>
  <c r="AT717" i="7" s="1"/>
  <c r="AT714" i="7" a="1"/>
  <c r="AT714" i="7" s="1"/>
  <c r="AT711" i="7" a="1"/>
  <c r="AT711" i="7" s="1"/>
  <c r="AT708" i="7" a="1"/>
  <c r="AT708" i="7" s="1"/>
  <c r="AT701" i="7" a="1"/>
  <c r="AT701" i="7" s="1"/>
  <c r="AT698" i="7" a="1"/>
  <c r="AT698" i="7" s="1"/>
  <c r="AT723" i="7" a="1"/>
  <c r="AT723" i="7" s="1"/>
  <c r="AT720" i="7" a="1"/>
  <c r="AT720" i="7" s="1"/>
  <c r="AT713" i="7" a="1"/>
  <c r="AT713" i="7" s="1"/>
  <c r="AT709" i="7" a="1"/>
  <c r="AT709" i="7" s="1"/>
  <c r="AT705" i="7" a="1"/>
  <c r="AT705" i="7" s="1"/>
  <c r="AT702" i="7" a="1"/>
  <c r="AT702" i="7" s="1"/>
  <c r="AT727" i="7" a="1"/>
  <c r="AT727" i="7" s="1"/>
  <c r="AT719" i="7" a="1"/>
  <c r="AT719" i="7" s="1"/>
  <c r="AT716" i="7" a="1"/>
  <c r="AT716" i="7" s="1"/>
  <c r="AT712" i="7" a="1"/>
  <c r="AT712" i="7" s="1"/>
  <c r="AT710" i="7" a="1"/>
  <c r="AT710" i="7" s="1"/>
  <c r="AT728" i="7" a="1"/>
  <c r="AT728" i="7" s="1"/>
  <c r="AT699" i="7" a="1"/>
  <c r="AT699" i="7" s="1"/>
  <c r="AT694" i="7" a="1"/>
  <c r="AT694" i="7" s="1"/>
  <c r="AT722" i="7" a="1"/>
  <c r="AT722" i="7" s="1"/>
  <c r="AT715" i="7" a="1"/>
  <c r="AT715" i="7" s="1"/>
  <c r="AT706" i="7" a="1"/>
  <c r="AT706" i="7" s="1"/>
  <c r="AT704" i="7" a="1"/>
  <c r="AT704" i="7" s="1"/>
  <c r="AT703" i="7" a="1"/>
  <c r="AT703" i="7" s="1"/>
  <c r="AT697" i="7" a="1"/>
  <c r="AT697" i="7" s="1"/>
  <c r="AT707" i="7" a="1"/>
  <c r="AT707" i="7" s="1"/>
  <c r="AT692" i="7" a="1"/>
  <c r="AT692" i="7" s="1"/>
  <c r="AT718" i="7" a="1"/>
  <c r="AT718" i="7" s="1"/>
  <c r="AT700" i="7" a="1"/>
  <c r="AT700" i="7" s="1"/>
  <c r="AT696" i="7" a="1"/>
  <c r="AT696" i="7" s="1"/>
  <c r="AT691" i="7" a="1"/>
  <c r="AT691" i="7" s="1"/>
  <c r="AT693" i="7" a="1"/>
  <c r="AT693" i="7" s="1"/>
  <c r="AT688" i="7" a="1"/>
  <c r="AT688" i="7" s="1"/>
  <c r="AT685" i="7" a="1"/>
  <c r="AT685" i="7" s="1"/>
  <c r="AT683" i="7" a="1"/>
  <c r="AT683" i="7" s="1"/>
  <c r="AT681" i="7" a="1"/>
  <c r="AT681" i="7" s="1"/>
  <c r="AT690" i="7" a="1"/>
  <c r="AT690" i="7" s="1"/>
  <c r="AT689" i="7" a="1"/>
  <c r="AT689" i="7" s="1"/>
  <c r="AT687" i="7" a="1"/>
  <c r="AT687" i="7" s="1"/>
  <c r="AT686" i="7" a="1"/>
  <c r="AT686" i="7" s="1"/>
  <c r="AT684" i="7" a="1"/>
  <c r="AT684" i="7" s="1"/>
  <c r="AT682" i="7" a="1"/>
  <c r="AT682" i="7" s="1"/>
  <c r="AT695" i="7" a="1"/>
  <c r="AT695" i="7" s="1"/>
  <c r="AV414" i="7" a="1"/>
  <c r="AV414" i="7" s="1"/>
  <c r="AV407" i="7" a="1"/>
  <c r="AV407" i="7" s="1"/>
  <c r="AV404" i="7" a="1"/>
  <c r="AV404" i="7" s="1"/>
  <c r="AV400" i="7" a="1"/>
  <c r="AV400" i="7" s="1"/>
  <c r="AV397" i="7" a="1"/>
  <c r="AV397" i="7" s="1"/>
  <c r="AV415" i="7" a="1"/>
  <c r="AV415" i="7" s="1"/>
  <c r="AV411" i="7" a="1"/>
  <c r="AV411" i="7" s="1"/>
  <c r="AV408" i="7" a="1"/>
  <c r="AV408" i="7" s="1"/>
  <c r="AV401" i="7" a="1"/>
  <c r="AV401" i="7" s="1"/>
  <c r="AV398" i="7" a="1"/>
  <c r="AV398" i="7" s="1"/>
  <c r="AV416" i="7" a="1"/>
  <c r="AV416" i="7" s="1"/>
  <c r="AV412" i="7" a="1"/>
  <c r="AV412" i="7" s="1"/>
  <c r="AV409" i="7" a="1"/>
  <c r="AV409" i="7" s="1"/>
  <c r="AV405" i="7" a="1"/>
  <c r="AV405" i="7" s="1"/>
  <c r="AV402" i="7" a="1"/>
  <c r="AV402" i="7" s="1"/>
  <c r="AV395" i="7" a="1"/>
  <c r="AV395" i="7" s="1"/>
  <c r="AV394" i="7" a="1"/>
  <c r="AV394" i="7" s="1"/>
  <c r="AV413" i="7" a="1"/>
  <c r="AV413" i="7" s="1"/>
  <c r="AV410" i="7" a="1"/>
  <c r="AV410" i="7" s="1"/>
  <c r="AV406" i="7" a="1"/>
  <c r="AV406" i="7" s="1"/>
  <c r="AV403" i="7" a="1"/>
  <c r="AV403" i="7" s="1"/>
  <c r="AV399" i="7" a="1"/>
  <c r="AV399" i="7" s="1"/>
  <c r="AV396" i="7" a="1"/>
  <c r="AV396" i="7" s="1"/>
  <c r="AV393" i="7" a="1"/>
  <c r="AV393" i="7" s="1"/>
  <c r="AV392" i="7" a="1"/>
  <c r="AV392" i="7" s="1"/>
  <c r="AV390" i="7" a="1"/>
  <c r="AV390" i="7" s="1"/>
  <c r="AV388" i="7" a="1"/>
  <c r="AV388" i="7" s="1"/>
  <c r="AV385" i="7" a="1"/>
  <c r="AV385" i="7" s="1"/>
  <c r="AV383" i="7" a="1"/>
  <c r="AV383" i="7" s="1"/>
  <c r="AV387" i="7" a="1"/>
  <c r="AV387" i="7" s="1"/>
  <c r="AV377" i="7" a="1"/>
  <c r="AV377" i="7" s="1"/>
  <c r="AV374" i="7" a="1"/>
  <c r="AV374" i="7" s="1"/>
  <c r="AV370" i="7" a="1"/>
  <c r="AV370" i="7" s="1"/>
  <c r="AV367" i="7" a="1"/>
  <c r="AV367" i="7" s="1"/>
  <c r="AV363" i="7" a="1"/>
  <c r="AV363" i="7" s="1"/>
  <c r="AV360" i="7" a="1"/>
  <c r="AV360" i="7" s="1"/>
  <c r="AV353" i="7" a="1"/>
  <c r="AV353" i="7" s="1"/>
  <c r="AV350" i="7" a="1"/>
  <c r="AV350" i="7" s="1"/>
  <c r="AV346" i="7" a="1"/>
  <c r="AV346" i="7" s="1"/>
  <c r="AV343" i="7" a="1"/>
  <c r="AV343" i="7" s="1"/>
  <c r="AV339" i="7" a="1"/>
  <c r="AV339" i="7" s="1"/>
  <c r="AV336" i="7" a="1"/>
  <c r="AV336" i="7" s="1"/>
  <c r="AV329" i="7" a="1"/>
  <c r="AV329" i="7" s="1"/>
  <c r="AV326" i="7" a="1"/>
  <c r="AV326" i="7" s="1"/>
  <c r="AV322" i="7" a="1"/>
  <c r="AV322" i="7" s="1"/>
  <c r="AV319" i="7" a="1"/>
  <c r="AV319" i="7" s="1"/>
  <c r="AV315" i="7" a="1"/>
  <c r="AV315" i="7" s="1"/>
  <c r="AV389" i="7" a="1"/>
  <c r="AV389" i="7" s="1"/>
  <c r="AV381" i="7" a="1"/>
  <c r="AV381" i="7" s="1"/>
  <c r="AV378" i="7" a="1"/>
  <c r="AV378" i="7" s="1"/>
  <c r="AV371" i="7" a="1"/>
  <c r="AV371" i="7" s="1"/>
  <c r="AV368" i="7" a="1"/>
  <c r="AV368" i="7" s="1"/>
  <c r="AV364" i="7" a="1"/>
  <c r="AV364" i="7" s="1"/>
  <c r="AV361" i="7" a="1"/>
  <c r="AV361" i="7" s="1"/>
  <c r="AV357" i="7" a="1"/>
  <c r="AV357" i="7" s="1"/>
  <c r="AV354" i="7" a="1"/>
  <c r="AV354" i="7" s="1"/>
  <c r="AV347" i="7" a="1"/>
  <c r="AV347" i="7" s="1"/>
  <c r="AV344" i="7" a="1"/>
  <c r="AV344" i="7" s="1"/>
  <c r="AV340" i="7" a="1"/>
  <c r="AV340" i="7" s="1"/>
  <c r="AV337" i="7" a="1"/>
  <c r="AV337" i="7" s="1"/>
  <c r="AV333" i="7" a="1"/>
  <c r="AV333" i="7" s="1"/>
  <c r="AV330" i="7" a="1"/>
  <c r="AV330" i="7" s="1"/>
  <c r="AV391" i="7" a="1"/>
  <c r="AV391" i="7" s="1"/>
  <c r="AV379" i="7" a="1"/>
  <c r="AV379" i="7" s="1"/>
  <c r="AV375" i="7" a="1"/>
  <c r="AV375" i="7" s="1"/>
  <c r="AV372" i="7" a="1"/>
  <c r="AV372" i="7" s="1"/>
  <c r="AV365" i="7" a="1"/>
  <c r="AV365" i="7" s="1"/>
  <c r="AV362" i="7" a="1"/>
  <c r="AV362" i="7" s="1"/>
  <c r="AV358" i="7" a="1"/>
  <c r="AV358" i="7" s="1"/>
  <c r="AV355" i="7" a="1"/>
  <c r="AV355" i="7" s="1"/>
  <c r="AV351" i="7" a="1"/>
  <c r="AV351" i="7" s="1"/>
  <c r="AV348" i="7" a="1"/>
  <c r="AV348" i="7" s="1"/>
  <c r="AV341" i="7" a="1"/>
  <c r="AV341" i="7" s="1"/>
  <c r="AV338" i="7" a="1"/>
  <c r="AV338" i="7" s="1"/>
  <c r="AV334" i="7" a="1"/>
  <c r="AV334" i="7" s="1"/>
  <c r="AV331" i="7" a="1"/>
  <c r="AV331" i="7" s="1"/>
  <c r="AV327" i="7" a="1"/>
  <c r="AV327" i="7" s="1"/>
  <c r="AV324" i="7" a="1"/>
  <c r="AV324" i="7" s="1"/>
  <c r="AV317" i="7" a="1"/>
  <c r="AV317" i="7" s="1"/>
  <c r="AV382" i="7" a="1"/>
  <c r="AV382" i="7" s="1"/>
  <c r="AV380" i="7" a="1"/>
  <c r="AV380" i="7" s="1"/>
  <c r="AV376" i="7" a="1"/>
  <c r="AV376" i="7" s="1"/>
  <c r="AV373" i="7" a="1"/>
  <c r="AV373" i="7" s="1"/>
  <c r="AV369" i="7" a="1"/>
  <c r="AV369" i="7" s="1"/>
  <c r="AV366" i="7" a="1"/>
  <c r="AV366" i="7" s="1"/>
  <c r="AV359" i="7" a="1"/>
  <c r="AV359" i="7" s="1"/>
  <c r="AV356" i="7" a="1"/>
  <c r="AV356" i="7" s="1"/>
  <c r="AV352" i="7" a="1"/>
  <c r="AV352" i="7" s="1"/>
  <c r="AV349" i="7" a="1"/>
  <c r="AV349" i="7" s="1"/>
  <c r="AV345" i="7" a="1"/>
  <c r="AV345" i="7" s="1"/>
  <c r="AV342" i="7" a="1"/>
  <c r="AV342" i="7" s="1"/>
  <c r="AV332" i="7" a="1"/>
  <c r="AV332" i="7" s="1"/>
  <c r="AV314" i="7" a="1"/>
  <c r="AV314" i="7" s="1"/>
  <c r="AV307" i="7" a="1"/>
  <c r="AV307" i="7" s="1"/>
  <c r="AV320" i="7" a="1"/>
  <c r="AV320" i="7" s="1"/>
  <c r="AV310" i="7" a="1"/>
  <c r="AV310" i="7" s="1"/>
  <c r="AV304" i="7" a="1"/>
  <c r="AV304" i="7" s="1"/>
  <c r="AV318" i="7" a="1"/>
  <c r="AV318" i="7" s="1"/>
  <c r="AV316" i="7" a="1"/>
  <c r="AV316" i="7" s="1"/>
  <c r="AV323" i="7" a="1"/>
  <c r="AV323" i="7" s="1"/>
  <c r="AV309" i="7" a="1"/>
  <c r="AV309" i="7" s="1"/>
  <c r="AV295" i="7" a="1"/>
  <c r="AV295" i="7" s="1"/>
  <c r="AV292" i="7" a="1"/>
  <c r="AV292" i="7" s="1"/>
  <c r="AV291" i="7" a="1"/>
  <c r="AV291" i="7" s="1"/>
  <c r="AV289" i="7" a="1"/>
  <c r="AV289" i="7" s="1"/>
  <c r="AV287" i="7" a="1"/>
  <c r="AV287" i="7" s="1"/>
  <c r="AV285" i="7" a="1"/>
  <c r="AV285" i="7" s="1"/>
  <c r="AV308" i="7" a="1"/>
  <c r="AV308" i="7" s="1"/>
  <c r="AV321" i="7" a="1"/>
  <c r="AV321" i="7" s="1"/>
  <c r="AV313" i="7" a="1"/>
  <c r="AV313" i="7" s="1"/>
  <c r="AV311" i="7" a="1"/>
  <c r="AV311" i="7" s="1"/>
  <c r="AV302" i="7" a="1"/>
  <c r="AV302" i="7" s="1"/>
  <c r="AV301" i="7" a="1"/>
  <c r="AV301" i="7" s="1"/>
  <c r="AV300" i="7" a="1"/>
  <c r="AV300" i="7" s="1"/>
  <c r="AV299" i="7" a="1"/>
  <c r="AV299" i="7" s="1"/>
  <c r="AV298" i="7" a="1"/>
  <c r="AV298" i="7" s="1"/>
  <c r="AV297" i="7" a="1"/>
  <c r="AV297" i="7" s="1"/>
  <c r="AV296" i="7" a="1"/>
  <c r="AV296" i="7" s="1"/>
  <c r="AV294" i="7" a="1"/>
  <c r="AV294" i="7" s="1"/>
  <c r="AV293" i="7" a="1"/>
  <c r="AV293" i="7" s="1"/>
  <c r="AV290" i="7" a="1"/>
  <c r="AV290" i="7" s="1"/>
  <c r="AV288" i="7" a="1"/>
  <c r="AV288" i="7" s="1"/>
  <c r="AV286" i="7" a="1"/>
  <c r="AV286" i="7" s="1"/>
  <c r="AV312" i="7" a="1"/>
  <c r="AV312" i="7" s="1"/>
  <c r="AV305" i="7" a="1"/>
  <c r="AV305" i="7" s="1"/>
  <c r="AV325" i="7" a="1"/>
  <c r="AV325" i="7" s="1"/>
  <c r="AV384" i="7" a="1"/>
  <c r="AV384" i="7" s="1"/>
  <c r="AV328" i="7" a="1"/>
  <c r="AV328" i="7" s="1"/>
  <c r="AV386" i="7" a="1"/>
  <c r="AV386" i="7" s="1"/>
  <c r="AV303" i="7" a="1"/>
  <c r="AV303" i="7" s="1"/>
  <c r="AV335" i="7" a="1"/>
  <c r="AV335" i="7" s="1"/>
  <c r="AV306" i="7" a="1"/>
  <c r="AV306" i="7" s="1"/>
  <c r="AR416" i="7" a="1"/>
  <c r="AR416" i="7" s="1"/>
  <c r="AR412" i="7" a="1"/>
  <c r="AR412" i="7" s="1"/>
  <c r="AR409" i="7" a="1"/>
  <c r="AR409" i="7" s="1"/>
  <c r="AR405" i="7" a="1"/>
  <c r="AR405" i="7" s="1"/>
  <c r="AR402" i="7" a="1"/>
  <c r="AR402" i="7" s="1"/>
  <c r="AR395" i="7" a="1"/>
  <c r="AR395" i="7" s="1"/>
  <c r="AR413" i="7" a="1"/>
  <c r="AR413" i="7" s="1"/>
  <c r="AR410" i="7" a="1"/>
  <c r="AR410" i="7" s="1"/>
  <c r="AR406" i="7" a="1"/>
  <c r="AR406" i="7" s="1"/>
  <c r="AR403" i="7" a="1"/>
  <c r="AR403" i="7" s="1"/>
  <c r="AR414" i="7" a="1"/>
  <c r="AR414" i="7" s="1"/>
  <c r="AR407" i="7" a="1"/>
  <c r="AR407" i="7" s="1"/>
  <c r="AR404" i="7" a="1"/>
  <c r="AR404" i="7" s="1"/>
  <c r="AR400" i="7" a="1"/>
  <c r="AR400" i="7" s="1"/>
  <c r="AR397" i="7" a="1"/>
  <c r="AR397" i="7" s="1"/>
  <c r="AR398" i="7" a="1"/>
  <c r="AR398" i="7" s="1"/>
  <c r="AR401" i="7" a="1"/>
  <c r="AR401" i="7" s="1"/>
  <c r="AR391" i="7" a="1"/>
  <c r="AR391" i="7" s="1"/>
  <c r="AR408" i="7" a="1"/>
  <c r="AR408" i="7" s="1"/>
  <c r="AR399" i="7" a="1"/>
  <c r="AR399" i="7" s="1"/>
  <c r="AR411" i="7" a="1"/>
  <c r="AR411" i="7" s="1"/>
  <c r="AR394" i="7" a="1"/>
  <c r="AR394" i="7" s="1"/>
  <c r="AR382" i="7" a="1"/>
  <c r="AR382" i="7" s="1"/>
  <c r="AR384" i="7" a="1"/>
  <c r="AR384" i="7" s="1"/>
  <c r="AR380" i="7" a="1"/>
  <c r="AR380" i="7" s="1"/>
  <c r="AR376" i="7" a="1"/>
  <c r="AR376" i="7" s="1"/>
  <c r="AR373" i="7" a="1"/>
  <c r="AR373" i="7" s="1"/>
  <c r="AR369" i="7" a="1"/>
  <c r="AR369" i="7" s="1"/>
  <c r="AR366" i="7" a="1"/>
  <c r="AR366" i="7" s="1"/>
  <c r="AR359" i="7" a="1"/>
  <c r="AR359" i="7" s="1"/>
  <c r="AR356" i="7" a="1"/>
  <c r="AR356" i="7" s="1"/>
  <c r="AR352" i="7" a="1"/>
  <c r="AR352" i="7" s="1"/>
  <c r="AR349" i="7" a="1"/>
  <c r="AR349" i="7" s="1"/>
  <c r="AR345" i="7" a="1"/>
  <c r="AR345" i="7" s="1"/>
  <c r="AR342" i="7" a="1"/>
  <c r="AR342" i="7" s="1"/>
  <c r="AR335" i="7" a="1"/>
  <c r="AR335" i="7" s="1"/>
  <c r="AR332" i="7" a="1"/>
  <c r="AR332" i="7" s="1"/>
  <c r="AR328" i="7" a="1"/>
  <c r="AR328" i="7" s="1"/>
  <c r="AR325" i="7" a="1"/>
  <c r="AR325" i="7" s="1"/>
  <c r="AR321" i="7" a="1"/>
  <c r="AR321" i="7" s="1"/>
  <c r="AR318" i="7" a="1"/>
  <c r="AR318" i="7" s="1"/>
  <c r="AR392" i="7" a="1"/>
  <c r="AR392" i="7" s="1"/>
  <c r="AR390" i="7" a="1"/>
  <c r="AR390" i="7" s="1"/>
  <c r="AR386" i="7" a="1"/>
  <c r="AR386" i="7" s="1"/>
  <c r="AR387" i="7" a="1"/>
  <c r="AR387" i="7" s="1"/>
  <c r="AR393" i="7" a="1"/>
  <c r="AR393" i="7" s="1"/>
  <c r="AR389" i="7" a="1"/>
  <c r="AR389" i="7" s="1"/>
  <c r="AR377" i="7" a="1"/>
  <c r="AR377" i="7" s="1"/>
  <c r="AR374" i="7" a="1"/>
  <c r="AR374" i="7" s="1"/>
  <c r="AR370" i="7" a="1"/>
  <c r="AR370" i="7" s="1"/>
  <c r="AR367" i="7" a="1"/>
  <c r="AR367" i="7" s="1"/>
  <c r="AR363" i="7" a="1"/>
  <c r="AR363" i="7" s="1"/>
  <c r="AR360" i="7" a="1"/>
  <c r="AR360" i="7" s="1"/>
  <c r="AR353" i="7" a="1"/>
  <c r="AR353" i="7" s="1"/>
  <c r="AR350" i="7" a="1"/>
  <c r="AR350" i="7" s="1"/>
  <c r="AR346" i="7" a="1"/>
  <c r="AR346" i="7" s="1"/>
  <c r="AR343" i="7" a="1"/>
  <c r="AR343" i="7" s="1"/>
  <c r="AR339" i="7" a="1"/>
  <c r="AR339" i="7" s="1"/>
  <c r="AR336" i="7" a="1"/>
  <c r="AR336" i="7" s="1"/>
  <c r="AR329" i="7" a="1"/>
  <c r="AR329" i="7" s="1"/>
  <c r="AR326" i="7" a="1"/>
  <c r="AR326" i="7" s="1"/>
  <c r="AR322" i="7" a="1"/>
  <c r="AR322" i="7" s="1"/>
  <c r="AR415" i="7" a="1"/>
  <c r="AR415" i="7" s="1"/>
  <c r="AR396" i="7" a="1"/>
  <c r="AR396" i="7" s="1"/>
  <c r="AR385" i="7" a="1"/>
  <c r="AR385" i="7" s="1"/>
  <c r="AR323" i="7" a="1"/>
  <c r="AR323" i="7" s="1"/>
  <c r="AR302" i="7" a="1"/>
  <c r="AR302" i="7" s="1"/>
  <c r="AR301" i="7" a="1"/>
  <c r="AR301" i="7" s="1"/>
  <c r="AR300" i="7" a="1"/>
  <c r="AR300" i="7" s="1"/>
  <c r="AR299" i="7" a="1"/>
  <c r="AR299" i="7" s="1"/>
  <c r="AR298" i="7" a="1"/>
  <c r="AR298" i="7" s="1"/>
  <c r="AR297" i="7" a="1"/>
  <c r="AR297" i="7" s="1"/>
  <c r="AR296" i="7" a="1"/>
  <c r="AR296" i="7" s="1"/>
  <c r="AR295" i="7" a="1"/>
  <c r="AR295" i="7" s="1"/>
  <c r="AR294" i="7" a="1"/>
  <c r="AR294" i="7" s="1"/>
  <c r="AR293" i="7" a="1"/>
  <c r="AR293" i="7" s="1"/>
  <c r="AR292" i="7" a="1"/>
  <c r="AR292" i="7" s="1"/>
  <c r="AR291" i="7" a="1"/>
  <c r="AR291" i="7" s="1"/>
  <c r="AR290" i="7" a="1"/>
  <c r="AR290" i="7" s="1"/>
  <c r="AR289" i="7" a="1"/>
  <c r="AR289" i="7" s="1"/>
  <c r="AR288" i="7" a="1"/>
  <c r="AR288" i="7" s="1"/>
  <c r="AR287" i="7" a="1"/>
  <c r="AR287" i="7" s="1"/>
  <c r="AR286" i="7" a="1"/>
  <c r="AR286" i="7" s="1"/>
  <c r="AR285" i="7" a="1"/>
  <c r="AR285" i="7" s="1"/>
  <c r="AR375" i="7" a="1"/>
  <c r="AR375" i="7" s="1"/>
  <c r="AR371" i="7" a="1"/>
  <c r="AR371" i="7" s="1"/>
  <c r="AR379" i="7" a="1"/>
  <c r="AR379" i="7" s="1"/>
  <c r="AR365" i="7" a="1"/>
  <c r="AR365" i="7" s="1"/>
  <c r="AR351" i="7" a="1"/>
  <c r="AR351" i="7" s="1"/>
  <c r="AR314" i="7" a="1"/>
  <c r="AR314" i="7" s="1"/>
  <c r="AR312" i="7" a="1"/>
  <c r="AR312" i="7" s="1"/>
  <c r="AR331" i="7" a="1"/>
  <c r="AR331" i="7" s="1"/>
  <c r="AR357" i="7" a="1"/>
  <c r="AR357" i="7" s="1"/>
  <c r="AR361" i="7" a="1"/>
  <c r="AR361" i="7" s="1"/>
  <c r="AR347" i="7" a="1"/>
  <c r="AR347" i="7" s="1"/>
  <c r="AR338" i="7" a="1"/>
  <c r="AR338" i="7" s="1"/>
  <c r="AR388" i="7" a="1"/>
  <c r="AR388" i="7" s="1"/>
  <c r="AR330" i="7" a="1"/>
  <c r="AR330" i="7" s="1"/>
  <c r="AR355" i="7" a="1"/>
  <c r="AR355" i="7" s="1"/>
  <c r="AR341" i="7" a="1"/>
  <c r="AR341" i="7" s="1"/>
  <c r="AR320" i="7" a="1"/>
  <c r="AR320" i="7" s="1"/>
  <c r="AR319" i="7" a="1"/>
  <c r="AR319" i="7" s="1"/>
  <c r="AR309" i="7" a="1"/>
  <c r="AR309" i="7" s="1"/>
  <c r="AR308" i="7" a="1"/>
  <c r="AR308" i="7" s="1"/>
  <c r="AR307" i="7" a="1"/>
  <c r="AR307" i="7" s="1"/>
  <c r="AR306" i="7" a="1"/>
  <c r="AR306" i="7" s="1"/>
  <c r="AR305" i="7" a="1"/>
  <c r="AR305" i="7" s="1"/>
  <c r="AR362" i="7" a="1"/>
  <c r="AR362" i="7" s="1"/>
  <c r="AR348" i="7" a="1"/>
  <c r="AR348" i="7" s="1"/>
  <c r="AR383" i="7" a="1"/>
  <c r="AR383" i="7" s="1"/>
  <c r="AR378" i="7" a="1"/>
  <c r="AR378" i="7" s="1"/>
  <c r="AR364" i="7" a="1"/>
  <c r="AR364" i="7" s="1"/>
  <c r="AR324" i="7" a="1"/>
  <c r="AR324" i="7" s="1"/>
  <c r="AR316" i="7" a="1"/>
  <c r="AR316" i="7" s="1"/>
  <c r="AR315" i="7" a="1"/>
  <c r="AR315" i="7" s="1"/>
  <c r="AR333" i="7" a="1"/>
  <c r="AR333" i="7" s="1"/>
  <c r="AR334" i="7" a="1"/>
  <c r="AR334" i="7" s="1"/>
  <c r="AR327" i="7" a="1"/>
  <c r="AR327" i="7" s="1"/>
  <c r="AR317" i="7" a="1"/>
  <c r="AR317" i="7" s="1"/>
  <c r="AR310" i="7" a="1"/>
  <c r="AR310" i="7" s="1"/>
  <c r="AR303" i="7" a="1"/>
  <c r="AR303" i="7" s="1"/>
  <c r="AR344" i="7" a="1"/>
  <c r="AR344" i="7" s="1"/>
  <c r="AR372" i="7" a="1"/>
  <c r="AR372" i="7" s="1"/>
  <c r="AR358" i="7" a="1"/>
  <c r="AR358" i="7" s="1"/>
  <c r="AR337" i="7" a="1"/>
  <c r="AR337" i="7" s="1"/>
  <c r="AR313" i="7" a="1"/>
  <c r="AR313" i="7" s="1"/>
  <c r="AR304" i="7" a="1"/>
  <c r="AR304" i="7" s="1"/>
  <c r="AR381" i="7" a="1"/>
  <c r="AR381" i="7" s="1"/>
  <c r="AR368" i="7" a="1"/>
  <c r="AR368" i="7" s="1"/>
  <c r="AR354" i="7" a="1"/>
  <c r="AR354" i="7" s="1"/>
  <c r="AR340" i="7" a="1"/>
  <c r="AR340" i="7" s="1"/>
  <c r="AR311" i="7" a="1"/>
  <c r="AR311" i="7" s="1"/>
  <c r="AW679" i="7" a="1"/>
  <c r="AW679" i="7" s="1"/>
  <c r="AW677" i="7" a="1"/>
  <c r="AW677" i="7" s="1"/>
  <c r="AW675" i="7" a="1"/>
  <c r="AW675" i="7" s="1"/>
  <c r="AW674" i="7" a="1"/>
  <c r="AW674" i="7" s="1"/>
  <c r="AW672" i="7" a="1"/>
  <c r="AW672" i="7" s="1"/>
  <c r="AW670" i="7" a="1"/>
  <c r="AW670" i="7" s="1"/>
  <c r="AW680" i="7" a="1"/>
  <c r="AW680" i="7" s="1"/>
  <c r="AW678" i="7" a="1"/>
  <c r="AW678" i="7" s="1"/>
  <c r="AW671" i="7" a="1"/>
  <c r="AW671" i="7" s="1"/>
  <c r="AW666" i="7" a="1"/>
  <c r="AW666" i="7" s="1"/>
  <c r="AW664" i="7" a="1"/>
  <c r="AW664" i="7" s="1"/>
  <c r="AW661" i="7" a="1"/>
  <c r="AW661" i="7" s="1"/>
  <c r="AW659" i="7" a="1"/>
  <c r="AW659" i="7" s="1"/>
  <c r="AW657" i="7" a="1"/>
  <c r="AW657" i="7" s="1"/>
  <c r="AW656" i="7" a="1"/>
  <c r="AW656" i="7" s="1"/>
  <c r="AW653" i="7" a="1"/>
  <c r="AW653" i="7" s="1"/>
  <c r="AW650" i="7" a="1"/>
  <c r="AW650" i="7" s="1"/>
  <c r="AW646" i="7" a="1"/>
  <c r="AW646" i="7" s="1"/>
  <c r="AW643" i="7" a="1"/>
  <c r="AW643" i="7" s="1"/>
  <c r="AW676" i="7" a="1"/>
  <c r="AW676" i="7" s="1"/>
  <c r="AW668" i="7" a="1"/>
  <c r="AW668" i="7" s="1"/>
  <c r="AW654" i="7" a="1"/>
  <c r="AW654" i="7" s="1"/>
  <c r="AW647" i="7" a="1"/>
  <c r="AW647" i="7" s="1"/>
  <c r="AW644" i="7" a="1"/>
  <c r="AW644" i="7" s="1"/>
  <c r="AW640" i="7" a="1"/>
  <c r="AW640" i="7" s="1"/>
  <c r="AW667" i="7" a="1"/>
  <c r="AW667" i="7" s="1"/>
  <c r="AW673" i="7" a="1"/>
  <c r="AW673" i="7" s="1"/>
  <c r="AW665" i="7" a="1"/>
  <c r="AW665" i="7" s="1"/>
  <c r="AW663" i="7" a="1"/>
  <c r="AW663" i="7" s="1"/>
  <c r="AW662" i="7" a="1"/>
  <c r="AW662" i="7" s="1"/>
  <c r="AW660" i="7" a="1"/>
  <c r="AW660" i="7" s="1"/>
  <c r="AW658" i="7" a="1"/>
  <c r="AW658" i="7" s="1"/>
  <c r="AW655" i="7" a="1"/>
  <c r="AW655" i="7" s="1"/>
  <c r="AW651" i="7" a="1"/>
  <c r="AW651" i="7" s="1"/>
  <c r="AW648" i="7" a="1"/>
  <c r="AW648" i="7" s="1"/>
  <c r="AW669" i="7" a="1"/>
  <c r="AW669" i="7" s="1"/>
  <c r="AW626" i="7" a="1"/>
  <c r="AW626" i="7" s="1"/>
  <c r="AW622" i="7" a="1"/>
  <c r="AW622" i="7" s="1"/>
  <c r="AW619" i="7" a="1"/>
  <c r="AW619" i="7" s="1"/>
  <c r="AW645" i="7" a="1"/>
  <c r="AW645" i="7" s="1"/>
  <c r="AW642" i="7" a="1"/>
  <c r="AW642" i="7" s="1"/>
  <c r="AW641" i="7" a="1"/>
  <c r="AW641" i="7" s="1"/>
  <c r="AW623" i="7" a="1"/>
  <c r="AW623" i="7" s="1"/>
  <c r="AW609" i="7" a="1"/>
  <c r="AW609" i="7" s="1"/>
  <c r="AW637" i="7" a="1"/>
  <c r="AW637" i="7" s="1"/>
  <c r="AW635" i="7" a="1"/>
  <c r="AW635" i="7" s="1"/>
  <c r="AW633" i="7" a="1"/>
  <c r="AW633" i="7" s="1"/>
  <c r="AW632" i="7" a="1"/>
  <c r="AW632" i="7" s="1"/>
  <c r="AW630" i="7" a="1"/>
  <c r="AW630" i="7" s="1"/>
  <c r="AW628" i="7" a="1"/>
  <c r="AW628" i="7" s="1"/>
  <c r="AW649" i="7" a="1"/>
  <c r="AW649" i="7" s="1"/>
  <c r="AW624" i="7" a="1"/>
  <c r="AW624" i="7" s="1"/>
  <c r="AW617" i="7" a="1"/>
  <c r="AW617" i="7" s="1"/>
  <c r="AW614" i="7" a="1"/>
  <c r="AW614" i="7" s="1"/>
  <c r="AW652" i="7" a="1"/>
  <c r="AW652" i="7" s="1"/>
  <c r="AW625" i="7" a="1"/>
  <c r="AW625" i="7" s="1"/>
  <c r="AW616" i="7" a="1"/>
  <c r="AW616" i="7" s="1"/>
  <c r="AW634" i="7" a="1"/>
  <c r="AW634" i="7" s="1"/>
  <c r="AW615" i="7" a="1"/>
  <c r="AW615" i="7" s="1"/>
  <c r="AW636" i="7" a="1"/>
  <c r="AW636" i="7" s="1"/>
  <c r="AW620" i="7" a="1"/>
  <c r="AW620" i="7" s="1"/>
  <c r="AW618" i="7" a="1"/>
  <c r="AW618" i="7" s="1"/>
  <c r="AW612" i="7" a="1"/>
  <c r="AW612" i="7" s="1"/>
  <c r="AW638" i="7" a="1"/>
  <c r="AW638" i="7" s="1"/>
  <c r="AW627" i="7" a="1"/>
  <c r="AW627" i="7" s="1"/>
  <c r="AW621" i="7" a="1"/>
  <c r="AW621" i="7" s="1"/>
  <c r="AW639" i="7" a="1"/>
  <c r="AW639" i="7" s="1"/>
  <c r="AW629" i="7" a="1"/>
  <c r="AW629" i="7" s="1"/>
  <c r="AW631" i="7" a="1"/>
  <c r="AW631" i="7" s="1"/>
  <c r="AW613" i="7" a="1"/>
  <c r="AW613" i="7" s="1"/>
  <c r="AW607" i="7" a="1"/>
  <c r="AW607" i="7" s="1"/>
  <c r="AW605" i="7" a="1"/>
  <c r="AW605" i="7" s="1"/>
  <c r="AW610" i="7" a="1"/>
  <c r="AW610" i="7" s="1"/>
  <c r="AW603" i="7" a="1"/>
  <c r="AW603" i="7" s="1"/>
  <c r="AW600" i="7" a="1"/>
  <c r="AW600" i="7" s="1"/>
  <c r="AW585" i="7" a="1"/>
  <c r="AW585" i="7" s="1"/>
  <c r="AW582" i="7" a="1"/>
  <c r="AW582" i="7" s="1"/>
  <c r="AW575" i="7" a="1"/>
  <c r="AW575" i="7" s="1"/>
  <c r="AW572" i="7" a="1"/>
  <c r="AW572" i="7" s="1"/>
  <c r="AW568" i="7" a="1"/>
  <c r="AW568" i="7" s="1"/>
  <c r="AW565" i="7" a="1"/>
  <c r="AW565" i="7" s="1"/>
  <c r="AW595" i="7" a="1"/>
  <c r="AW595" i="7" s="1"/>
  <c r="AW593" i="7" a="1"/>
  <c r="AW593" i="7" s="1"/>
  <c r="AW591" i="7" a="1"/>
  <c r="AW591" i="7" s="1"/>
  <c r="AW590" i="7" a="1"/>
  <c r="AW590" i="7" s="1"/>
  <c r="AW588" i="7" a="1"/>
  <c r="AW588" i="7" s="1"/>
  <c r="AW561" i="7" a="1"/>
  <c r="AW561" i="7" s="1"/>
  <c r="AW560" i="7" a="1"/>
  <c r="AW560" i="7" s="1"/>
  <c r="AW559" i="7" a="1"/>
  <c r="AW559" i="7" s="1"/>
  <c r="AW611" i="7" a="1"/>
  <c r="AW611" i="7" s="1"/>
  <c r="AW586" i="7" a="1"/>
  <c r="AW586" i="7" s="1"/>
  <c r="AW583" i="7" a="1"/>
  <c r="AW583" i="7" s="1"/>
  <c r="AW579" i="7" a="1"/>
  <c r="AW579" i="7" s="1"/>
  <c r="AW576" i="7" a="1"/>
  <c r="AW576" i="7" s="1"/>
  <c r="AW569" i="7" a="1"/>
  <c r="AW569" i="7" s="1"/>
  <c r="AW566" i="7" a="1"/>
  <c r="AW566" i="7" s="1"/>
  <c r="AW562" i="7" a="1"/>
  <c r="AW562" i="7" s="1"/>
  <c r="AW604" i="7" a="1"/>
  <c r="AW604" i="7" s="1"/>
  <c r="AW597" i="7" a="1"/>
  <c r="AW597" i="7" s="1"/>
  <c r="AW606" i="7" a="1"/>
  <c r="AW606" i="7" s="1"/>
  <c r="AW598" i="7" a="1"/>
  <c r="AW598" i="7" s="1"/>
  <c r="AW584" i="7" a="1"/>
  <c r="AW584" i="7" s="1"/>
  <c r="AW580" i="7" a="1"/>
  <c r="AW580" i="7" s="1"/>
  <c r="AW577" i="7" a="1"/>
  <c r="AW577" i="7" s="1"/>
  <c r="AW573" i="7" a="1"/>
  <c r="AW573" i="7" s="1"/>
  <c r="AW570" i="7" a="1"/>
  <c r="AW570" i="7" s="1"/>
  <c r="AW563" i="7" a="1"/>
  <c r="AW563" i="7" s="1"/>
  <c r="AW608" i="7" a="1"/>
  <c r="AW608" i="7" s="1"/>
  <c r="AW596" i="7" a="1"/>
  <c r="AW596" i="7" s="1"/>
  <c r="AW594" i="7" a="1"/>
  <c r="AW594" i="7" s="1"/>
  <c r="AW592" i="7" a="1"/>
  <c r="AW592" i="7" s="1"/>
  <c r="AW589" i="7" a="1"/>
  <c r="AW589" i="7" s="1"/>
  <c r="AW587" i="7" a="1"/>
  <c r="AW587" i="7" s="1"/>
  <c r="AW602" i="7" a="1"/>
  <c r="AW602" i="7" s="1"/>
  <c r="AW599" i="7" a="1"/>
  <c r="AW599" i="7" s="1"/>
  <c r="AW601" i="7" a="1"/>
  <c r="AW601" i="7" s="1"/>
  <c r="AW581" i="7" a="1"/>
  <c r="AW581" i="7" s="1"/>
  <c r="AW578" i="7" a="1"/>
  <c r="AW578" i="7" s="1"/>
  <c r="AW574" i="7" a="1"/>
  <c r="AW574" i="7" s="1"/>
  <c r="AW571" i="7" a="1"/>
  <c r="AW571" i="7" s="1"/>
  <c r="AW567" i="7" a="1"/>
  <c r="AW567" i="7" s="1"/>
  <c r="AW564" i="7" a="1"/>
  <c r="AW564" i="7" s="1"/>
  <c r="AW552" i="7" a="1"/>
  <c r="AW552" i="7" s="1"/>
  <c r="AW553" i="7" a="1"/>
  <c r="AW553" i="7" s="1"/>
  <c r="AW549" i="7" a="1"/>
  <c r="AW549" i="7" s="1"/>
  <c r="AW550" i="7" a="1"/>
  <c r="AW550" i="7" s="1"/>
  <c r="AW558" i="7" a="1"/>
  <c r="AW558" i="7" s="1"/>
  <c r="AW557" i="7" a="1"/>
  <c r="AW557" i="7" s="1"/>
  <c r="AW555" i="7" a="1"/>
  <c r="AW555" i="7" s="1"/>
  <c r="AW551" i="7" a="1"/>
  <c r="AW551" i="7" s="1"/>
  <c r="AW556" i="7" a="1"/>
  <c r="AW556" i="7" s="1"/>
  <c r="AW554" i="7" a="1"/>
  <c r="AW554" i="7" s="1"/>
  <c r="BB680" i="7" a="1"/>
  <c r="BB680" i="7" s="1"/>
  <c r="BB678" i="7" a="1"/>
  <c r="BB678" i="7" s="1"/>
  <c r="BB676" i="7" a="1"/>
  <c r="BB676" i="7" s="1"/>
  <c r="BB673" i="7" a="1"/>
  <c r="BB673" i="7" s="1"/>
  <c r="BB671" i="7" a="1"/>
  <c r="BB671" i="7" s="1"/>
  <c r="BB669" i="7" a="1"/>
  <c r="BB669" i="7" s="1"/>
  <c r="BB668" i="7" a="1"/>
  <c r="BB668" i="7" s="1"/>
  <c r="BB679" i="7" a="1"/>
  <c r="BB679" i="7" s="1"/>
  <c r="BB677" i="7" a="1"/>
  <c r="BB677" i="7" s="1"/>
  <c r="BB675" i="7" a="1"/>
  <c r="BB675" i="7" s="1"/>
  <c r="BB674" i="7" a="1"/>
  <c r="BB674" i="7" s="1"/>
  <c r="BB672" i="7" a="1"/>
  <c r="BB672" i="7" s="1"/>
  <c r="BB667" i="7" a="1"/>
  <c r="BB667" i="7" s="1"/>
  <c r="BB652" i="7" a="1"/>
  <c r="BB652" i="7" s="1"/>
  <c r="BB649" i="7" a="1"/>
  <c r="BB649" i="7" s="1"/>
  <c r="BB645" i="7" a="1"/>
  <c r="BB645" i="7" s="1"/>
  <c r="BB642" i="7" a="1"/>
  <c r="BB642" i="7" s="1"/>
  <c r="BB664" i="7" a="1"/>
  <c r="BB664" i="7" s="1"/>
  <c r="BB661" i="7" a="1"/>
  <c r="BB661" i="7" s="1"/>
  <c r="BB659" i="7" a="1"/>
  <c r="BB659" i="7" s="1"/>
  <c r="BB657" i="7" a="1"/>
  <c r="BB657" i="7" s="1"/>
  <c r="BB656" i="7" a="1"/>
  <c r="BB656" i="7" s="1"/>
  <c r="BB653" i="7" a="1"/>
  <c r="BB653" i="7" s="1"/>
  <c r="BB650" i="7" a="1"/>
  <c r="BB650" i="7" s="1"/>
  <c r="BB646" i="7" a="1"/>
  <c r="BB646" i="7" s="1"/>
  <c r="BB643" i="7" a="1"/>
  <c r="BB643" i="7" s="1"/>
  <c r="BB639" i="7" a="1"/>
  <c r="BB639" i="7" s="1"/>
  <c r="BB666" i="7" a="1"/>
  <c r="BB666" i="7" s="1"/>
  <c r="BB670" i="7" a="1"/>
  <c r="BB670" i="7" s="1"/>
  <c r="BB654" i="7" a="1"/>
  <c r="BB654" i="7" s="1"/>
  <c r="BB647" i="7" a="1"/>
  <c r="BB647" i="7" s="1"/>
  <c r="BB644" i="7" a="1"/>
  <c r="BB644" i="7" s="1"/>
  <c r="BB665" i="7" a="1"/>
  <c r="BB665" i="7" s="1"/>
  <c r="BB663" i="7" a="1"/>
  <c r="BB663" i="7" s="1"/>
  <c r="BB662" i="7" a="1"/>
  <c r="BB662" i="7" s="1"/>
  <c r="BB660" i="7" a="1"/>
  <c r="BB660" i="7" s="1"/>
  <c r="BB658" i="7" a="1"/>
  <c r="BB658" i="7" s="1"/>
  <c r="BB655" i="7" a="1"/>
  <c r="BB655" i="7" s="1"/>
  <c r="BB651" i="7" a="1"/>
  <c r="BB651" i="7" s="1"/>
  <c r="BB641" i="7" a="1"/>
  <c r="BB641" i="7" s="1"/>
  <c r="BB625" i="7" a="1"/>
  <c r="BB625" i="7" s="1"/>
  <c r="BB621" i="7" a="1"/>
  <c r="BB621" i="7" s="1"/>
  <c r="BB618" i="7" a="1"/>
  <c r="BB618" i="7" s="1"/>
  <c r="BB638" i="7" a="1"/>
  <c r="BB638" i="7" s="1"/>
  <c r="BB636" i="7" a="1"/>
  <c r="BB636" i="7" s="1"/>
  <c r="BB634" i="7" a="1"/>
  <c r="BB634" i="7" s="1"/>
  <c r="BB631" i="7" a="1"/>
  <c r="BB631" i="7" s="1"/>
  <c r="BB629" i="7" a="1"/>
  <c r="BB629" i="7" s="1"/>
  <c r="BB627" i="7" a="1"/>
  <c r="BB627" i="7" s="1"/>
  <c r="BB626" i="7" a="1"/>
  <c r="BB626" i="7" s="1"/>
  <c r="BB622" i="7" a="1"/>
  <c r="BB622" i="7" s="1"/>
  <c r="BB640" i="7" a="1"/>
  <c r="BB640" i="7" s="1"/>
  <c r="BB623" i="7" a="1"/>
  <c r="BB623" i="7" s="1"/>
  <c r="BB620" i="7" a="1"/>
  <c r="BB620" i="7" s="1"/>
  <c r="BB616" i="7" a="1"/>
  <c r="BB616" i="7" s="1"/>
  <c r="BB613" i="7" a="1"/>
  <c r="BB613" i="7" s="1"/>
  <c r="BB637" i="7" a="1"/>
  <c r="BB637" i="7" s="1"/>
  <c r="BB635" i="7" a="1"/>
  <c r="BB635" i="7" s="1"/>
  <c r="BB633" i="7" a="1"/>
  <c r="BB633" i="7" s="1"/>
  <c r="BB632" i="7" a="1"/>
  <c r="BB632" i="7" s="1"/>
  <c r="BB630" i="7" a="1"/>
  <c r="BB630" i="7" s="1"/>
  <c r="BB628" i="7" a="1"/>
  <c r="BB628" i="7" s="1"/>
  <c r="BB624" i="7" a="1"/>
  <c r="BB624" i="7" s="1"/>
  <c r="BB611" i="7" a="1"/>
  <c r="BB611" i="7" s="1"/>
  <c r="BB619" i="7" a="1"/>
  <c r="BB619" i="7" s="1"/>
  <c r="BB648" i="7" a="1"/>
  <c r="BB648" i="7" s="1"/>
  <c r="BB617" i="7" a="1"/>
  <c r="BB617" i="7" s="1"/>
  <c r="BB615" i="7" a="1"/>
  <c r="BB615" i="7" s="1"/>
  <c r="BB609" i="7" a="1"/>
  <c r="BB609" i="7" s="1"/>
  <c r="BB612" i="7" a="1"/>
  <c r="BB612" i="7" s="1"/>
  <c r="BB610" i="7" a="1"/>
  <c r="BB610" i="7" s="1"/>
  <c r="BB608" i="7" a="1"/>
  <c r="BB608" i="7" s="1"/>
  <c r="BB606" i="7" a="1"/>
  <c r="BB606" i="7" s="1"/>
  <c r="BB604" i="7" a="1"/>
  <c r="BB604" i="7" s="1"/>
  <c r="BB601" i="7" a="1"/>
  <c r="BB601" i="7" s="1"/>
  <c r="BB599" i="7" a="1"/>
  <c r="BB599" i="7" s="1"/>
  <c r="BB597" i="7" a="1"/>
  <c r="BB597" i="7" s="1"/>
  <c r="BB596" i="7" a="1"/>
  <c r="BB596" i="7" s="1"/>
  <c r="BB607" i="7" a="1"/>
  <c r="BB607" i="7" s="1"/>
  <c r="BB605" i="7" a="1"/>
  <c r="BB605" i="7" s="1"/>
  <c r="BB603" i="7" a="1"/>
  <c r="BB603" i="7" s="1"/>
  <c r="BB602" i="7" a="1"/>
  <c r="BB602" i="7" s="1"/>
  <c r="BB600" i="7" a="1"/>
  <c r="BB600" i="7" s="1"/>
  <c r="BB598" i="7" a="1"/>
  <c r="BB598" i="7" s="1"/>
  <c r="BB581" i="7" a="1"/>
  <c r="BB581" i="7" s="1"/>
  <c r="BB578" i="7" a="1"/>
  <c r="BB578" i="7" s="1"/>
  <c r="BB574" i="7" a="1"/>
  <c r="BB574" i="7" s="1"/>
  <c r="BB571" i="7" a="1"/>
  <c r="BB571" i="7" s="1"/>
  <c r="BB567" i="7" a="1"/>
  <c r="BB567" i="7" s="1"/>
  <c r="BB564" i="7" a="1"/>
  <c r="BB564" i="7" s="1"/>
  <c r="BB585" i="7" a="1"/>
  <c r="BB585" i="7" s="1"/>
  <c r="BB582" i="7" a="1"/>
  <c r="BB582" i="7" s="1"/>
  <c r="BB575" i="7" a="1"/>
  <c r="BB575" i="7" s="1"/>
  <c r="BB572" i="7" a="1"/>
  <c r="BB572" i="7" s="1"/>
  <c r="BB568" i="7" a="1"/>
  <c r="BB568" i="7" s="1"/>
  <c r="BB565" i="7" a="1"/>
  <c r="BB565" i="7" s="1"/>
  <c r="BB561" i="7" a="1"/>
  <c r="BB561" i="7" s="1"/>
  <c r="BB595" i="7" a="1"/>
  <c r="BB595" i="7" s="1"/>
  <c r="BB593" i="7" a="1"/>
  <c r="BB593" i="7" s="1"/>
  <c r="BB591" i="7" a="1"/>
  <c r="BB591" i="7" s="1"/>
  <c r="BB590" i="7" a="1"/>
  <c r="BB590" i="7" s="1"/>
  <c r="BB588" i="7" a="1"/>
  <c r="BB588" i="7" s="1"/>
  <c r="BB614" i="7" a="1"/>
  <c r="BB614" i="7" s="1"/>
  <c r="BB586" i="7" a="1"/>
  <c r="BB586" i="7" s="1"/>
  <c r="BB583" i="7" a="1"/>
  <c r="BB583" i="7" s="1"/>
  <c r="BB579" i="7" a="1"/>
  <c r="BB579" i="7" s="1"/>
  <c r="BB576" i="7" a="1"/>
  <c r="BB576" i="7" s="1"/>
  <c r="BB569" i="7" a="1"/>
  <c r="BB569" i="7" s="1"/>
  <c r="BB566" i="7" a="1"/>
  <c r="BB566" i="7" s="1"/>
  <c r="BB562" i="7" a="1"/>
  <c r="BB562" i="7" s="1"/>
  <c r="BB584" i="7" a="1"/>
  <c r="BB584" i="7" s="1"/>
  <c r="BB580" i="7" a="1"/>
  <c r="BB580" i="7" s="1"/>
  <c r="BB577" i="7" a="1"/>
  <c r="BB577" i="7" s="1"/>
  <c r="BB573" i="7" a="1"/>
  <c r="BB573" i="7" s="1"/>
  <c r="BB570" i="7" a="1"/>
  <c r="BB570" i="7" s="1"/>
  <c r="BB563" i="7" a="1"/>
  <c r="BB563" i="7" s="1"/>
  <c r="BB587" i="7" a="1"/>
  <c r="BB587" i="7" s="1"/>
  <c r="BB558" i="7" a="1"/>
  <c r="BB558" i="7" s="1"/>
  <c r="BB557" i="7" a="1"/>
  <c r="BB557" i="7" s="1"/>
  <c r="BB556" i="7" a="1"/>
  <c r="BB556" i="7" s="1"/>
  <c r="BB555" i="7" a="1"/>
  <c r="BB555" i="7" s="1"/>
  <c r="BB554" i="7" a="1"/>
  <c r="BB554" i="7" s="1"/>
  <c r="BB552" i="7" a="1"/>
  <c r="BB552" i="7" s="1"/>
  <c r="BB589" i="7" a="1"/>
  <c r="BB589" i="7" s="1"/>
  <c r="BB559" i="7" a="1"/>
  <c r="BB559" i="7" s="1"/>
  <c r="BB553" i="7" a="1"/>
  <c r="BB553" i="7" s="1"/>
  <c r="BB592" i="7" a="1"/>
  <c r="BB592" i="7" s="1"/>
  <c r="BB594" i="7" a="1"/>
  <c r="BB594" i="7" s="1"/>
  <c r="BB551" i="7" a="1"/>
  <c r="BB551" i="7" s="1"/>
  <c r="BB550" i="7" a="1"/>
  <c r="BB550" i="7" s="1"/>
  <c r="BB549" i="7" a="1"/>
  <c r="BB549" i="7" s="1"/>
  <c r="BB560" i="7" a="1"/>
  <c r="BB560" i="7" s="1"/>
  <c r="AQ679" i="7" a="1"/>
  <c r="AQ679" i="7" s="1"/>
  <c r="AQ677" i="7" a="1"/>
  <c r="AQ677" i="7" s="1"/>
  <c r="AQ675" i="7" a="1"/>
  <c r="AQ675" i="7" s="1"/>
  <c r="AQ674" i="7" a="1"/>
  <c r="AQ674" i="7" s="1"/>
  <c r="AQ672" i="7" a="1"/>
  <c r="AQ672" i="7" s="1"/>
  <c r="AQ670" i="7" a="1"/>
  <c r="AQ670" i="7" s="1"/>
  <c r="AQ680" i="7" a="1"/>
  <c r="AQ680" i="7" s="1"/>
  <c r="AQ678" i="7" a="1"/>
  <c r="AQ678" i="7" s="1"/>
  <c r="AQ676" i="7" a="1"/>
  <c r="AQ676" i="7" s="1"/>
  <c r="AQ673" i="7" a="1"/>
  <c r="AQ673" i="7" s="1"/>
  <c r="AQ653" i="7" a="1"/>
  <c r="AQ653" i="7" s="1"/>
  <c r="AQ650" i="7" a="1"/>
  <c r="AQ650" i="7" s="1"/>
  <c r="AQ646" i="7" a="1"/>
  <c r="AQ646" i="7" s="1"/>
  <c r="AQ643" i="7" a="1"/>
  <c r="AQ643" i="7" s="1"/>
  <c r="AQ671" i="7" a="1"/>
  <c r="AQ671" i="7" s="1"/>
  <c r="AQ654" i="7" a="1"/>
  <c r="AQ654" i="7" s="1"/>
  <c r="AQ647" i="7" a="1"/>
  <c r="AQ647" i="7" s="1"/>
  <c r="AQ644" i="7" a="1"/>
  <c r="AQ644" i="7" s="1"/>
  <c r="AQ640" i="7" a="1"/>
  <c r="AQ640" i="7" s="1"/>
  <c r="AQ665" i="7" a="1"/>
  <c r="AQ665" i="7" s="1"/>
  <c r="AQ663" i="7" a="1"/>
  <c r="AQ663" i="7" s="1"/>
  <c r="AQ662" i="7" a="1"/>
  <c r="AQ662" i="7" s="1"/>
  <c r="AQ660" i="7" a="1"/>
  <c r="AQ660" i="7" s="1"/>
  <c r="AQ658" i="7" a="1"/>
  <c r="AQ658" i="7" s="1"/>
  <c r="AQ655" i="7" a="1"/>
  <c r="AQ655" i="7" s="1"/>
  <c r="AQ651" i="7" a="1"/>
  <c r="AQ651" i="7" s="1"/>
  <c r="AQ648" i="7" a="1"/>
  <c r="AQ648" i="7" s="1"/>
  <c r="AQ641" i="7" a="1"/>
  <c r="AQ641" i="7" s="1"/>
  <c r="AQ668" i="7" a="1"/>
  <c r="AQ668" i="7" s="1"/>
  <c r="AQ652" i="7" a="1"/>
  <c r="AQ652" i="7" s="1"/>
  <c r="AQ649" i="7" a="1"/>
  <c r="AQ649" i="7" s="1"/>
  <c r="AQ667" i="7" a="1"/>
  <c r="AQ667" i="7" s="1"/>
  <c r="AQ666" i="7" a="1"/>
  <c r="AQ666" i="7" s="1"/>
  <c r="AQ664" i="7" a="1"/>
  <c r="AQ664" i="7" s="1"/>
  <c r="AQ661" i="7" a="1"/>
  <c r="AQ661" i="7" s="1"/>
  <c r="AQ659" i="7" a="1"/>
  <c r="AQ659" i="7" s="1"/>
  <c r="AQ657" i="7" a="1"/>
  <c r="AQ657" i="7" s="1"/>
  <c r="AQ656" i="7" a="1"/>
  <c r="AQ656" i="7" s="1"/>
  <c r="AQ623" i="7" a="1"/>
  <c r="AQ623" i="7" s="1"/>
  <c r="AQ620" i="7" a="1"/>
  <c r="AQ620" i="7" s="1"/>
  <c r="AQ616" i="7" a="1"/>
  <c r="AQ616" i="7" s="1"/>
  <c r="AQ613" i="7" a="1"/>
  <c r="AQ613" i="7" s="1"/>
  <c r="AQ637" i="7" a="1"/>
  <c r="AQ637" i="7" s="1"/>
  <c r="AQ635" i="7" a="1"/>
  <c r="AQ635" i="7" s="1"/>
  <c r="AQ633" i="7" a="1"/>
  <c r="AQ633" i="7" s="1"/>
  <c r="AQ632" i="7" a="1"/>
  <c r="AQ632" i="7" s="1"/>
  <c r="AQ630" i="7" a="1"/>
  <c r="AQ630" i="7" s="1"/>
  <c r="AQ628" i="7" a="1"/>
  <c r="AQ628" i="7" s="1"/>
  <c r="AQ669" i="7" a="1"/>
  <c r="AQ669" i="7" s="1"/>
  <c r="AQ645" i="7" a="1"/>
  <c r="AQ645" i="7" s="1"/>
  <c r="AQ609" i="7" a="1"/>
  <c r="AQ609" i="7" s="1"/>
  <c r="AQ624" i="7" a="1"/>
  <c r="AQ624" i="7" s="1"/>
  <c r="AQ642" i="7" a="1"/>
  <c r="AQ642" i="7" s="1"/>
  <c r="AQ625" i="7" a="1"/>
  <c r="AQ625" i="7" s="1"/>
  <c r="AQ621" i="7" a="1"/>
  <c r="AQ621" i="7" s="1"/>
  <c r="AQ618" i="7" a="1"/>
  <c r="AQ618" i="7" s="1"/>
  <c r="AQ639" i="7" a="1"/>
  <c r="AQ639" i="7" s="1"/>
  <c r="AQ638" i="7" a="1"/>
  <c r="AQ638" i="7" s="1"/>
  <c r="AQ636" i="7" a="1"/>
  <c r="AQ636" i="7" s="1"/>
  <c r="AQ634" i="7" a="1"/>
  <c r="AQ634" i="7" s="1"/>
  <c r="AQ631" i="7" a="1"/>
  <c r="AQ631" i="7" s="1"/>
  <c r="AQ629" i="7" a="1"/>
  <c r="AQ629" i="7" s="1"/>
  <c r="AQ627" i="7" a="1"/>
  <c r="AQ627" i="7" s="1"/>
  <c r="AQ622" i="7" a="1"/>
  <c r="AQ622" i="7" s="1"/>
  <c r="AQ619" i="7" a="1"/>
  <c r="AQ619" i="7" s="1"/>
  <c r="AQ626" i="7" a="1"/>
  <c r="AQ626" i="7" s="1"/>
  <c r="AQ617" i="7" a="1"/>
  <c r="AQ617" i="7" s="1"/>
  <c r="AQ615" i="7" a="1"/>
  <c r="AQ615" i="7" s="1"/>
  <c r="AQ610" i="7" a="1"/>
  <c r="AQ610" i="7" s="1"/>
  <c r="AQ607" i="7" a="1"/>
  <c r="AQ607" i="7" s="1"/>
  <c r="AQ605" i="7" a="1"/>
  <c r="AQ605" i="7" s="1"/>
  <c r="AQ603" i="7" a="1"/>
  <c r="AQ603" i="7" s="1"/>
  <c r="AQ602" i="7" a="1"/>
  <c r="AQ602" i="7" s="1"/>
  <c r="AQ600" i="7" a="1"/>
  <c r="AQ600" i="7" s="1"/>
  <c r="AQ598" i="7" a="1"/>
  <c r="AQ598" i="7" s="1"/>
  <c r="AQ611" i="7" a="1"/>
  <c r="AQ611" i="7" s="1"/>
  <c r="AQ614" i="7" a="1"/>
  <c r="AQ614" i="7" s="1"/>
  <c r="AQ608" i="7" a="1"/>
  <c r="AQ608" i="7" s="1"/>
  <c r="AQ606" i="7" a="1"/>
  <c r="AQ606" i="7" s="1"/>
  <c r="AQ604" i="7" a="1"/>
  <c r="AQ604" i="7" s="1"/>
  <c r="AQ601" i="7" a="1"/>
  <c r="AQ601" i="7" s="1"/>
  <c r="AQ599" i="7" a="1"/>
  <c r="AQ599" i="7" s="1"/>
  <c r="AQ597" i="7" a="1"/>
  <c r="AQ597" i="7" s="1"/>
  <c r="AQ612" i="7" a="1"/>
  <c r="AQ612" i="7" s="1"/>
  <c r="AQ561" i="7" a="1"/>
  <c r="AQ561" i="7" s="1"/>
  <c r="AQ560" i="7" a="1"/>
  <c r="AQ560" i="7" s="1"/>
  <c r="AQ559" i="7" a="1"/>
  <c r="AQ559" i="7" s="1"/>
  <c r="AQ586" i="7" a="1"/>
  <c r="AQ586" i="7" s="1"/>
  <c r="AQ583" i="7" a="1"/>
  <c r="AQ583" i="7" s="1"/>
  <c r="AQ579" i="7" a="1"/>
  <c r="AQ579" i="7" s="1"/>
  <c r="AQ576" i="7" a="1"/>
  <c r="AQ576" i="7" s="1"/>
  <c r="AQ569" i="7" a="1"/>
  <c r="AQ569" i="7" s="1"/>
  <c r="AQ566" i="7" a="1"/>
  <c r="AQ566" i="7" s="1"/>
  <c r="AQ562" i="7" a="1"/>
  <c r="AQ562" i="7" s="1"/>
  <c r="AQ596" i="7" a="1"/>
  <c r="AQ596" i="7" s="1"/>
  <c r="AQ594" i="7" a="1"/>
  <c r="AQ594" i="7" s="1"/>
  <c r="AQ592" i="7" a="1"/>
  <c r="AQ592" i="7" s="1"/>
  <c r="AQ589" i="7" a="1"/>
  <c r="AQ589" i="7" s="1"/>
  <c r="AQ587" i="7" a="1"/>
  <c r="AQ587" i="7" s="1"/>
  <c r="AQ584" i="7" a="1"/>
  <c r="AQ584" i="7" s="1"/>
  <c r="AQ580" i="7" a="1"/>
  <c r="AQ580" i="7" s="1"/>
  <c r="AQ577" i="7" a="1"/>
  <c r="AQ577" i="7" s="1"/>
  <c r="AQ573" i="7" a="1"/>
  <c r="AQ573" i="7" s="1"/>
  <c r="AQ570" i="7" a="1"/>
  <c r="AQ570" i="7" s="1"/>
  <c r="AQ563" i="7" a="1"/>
  <c r="AQ563" i="7" s="1"/>
  <c r="AQ581" i="7" a="1"/>
  <c r="AQ581" i="7" s="1"/>
  <c r="AQ578" i="7" a="1"/>
  <c r="AQ578" i="7" s="1"/>
  <c r="AQ574" i="7" a="1"/>
  <c r="AQ574" i="7" s="1"/>
  <c r="AQ571" i="7" a="1"/>
  <c r="AQ571" i="7" s="1"/>
  <c r="AQ567" i="7" a="1"/>
  <c r="AQ567" i="7" s="1"/>
  <c r="AQ564" i="7" a="1"/>
  <c r="AQ564" i="7" s="1"/>
  <c r="AQ590" i="7" a="1"/>
  <c r="AQ590" i="7" s="1"/>
  <c r="AQ582" i="7" a="1"/>
  <c r="AQ582" i="7" s="1"/>
  <c r="AQ553" i="7" a="1"/>
  <c r="AQ553" i="7" s="1"/>
  <c r="AQ549" i="7" a="1"/>
  <c r="AQ549" i="7" s="1"/>
  <c r="AQ591" i="7" a="1"/>
  <c r="AQ591" i="7" s="1"/>
  <c r="AQ585" i="7" a="1"/>
  <c r="AQ585" i="7" s="1"/>
  <c r="AQ565" i="7" a="1"/>
  <c r="AQ565" i="7" s="1"/>
  <c r="AQ558" i="7" a="1"/>
  <c r="AQ558" i="7" s="1"/>
  <c r="AQ557" i="7" a="1"/>
  <c r="AQ557" i="7" s="1"/>
  <c r="AQ556" i="7" a="1"/>
  <c r="AQ556" i="7" s="1"/>
  <c r="AQ555" i="7" a="1"/>
  <c r="AQ555" i="7" s="1"/>
  <c r="AQ593" i="7" a="1"/>
  <c r="AQ593" i="7" s="1"/>
  <c r="AQ568" i="7" a="1"/>
  <c r="AQ568" i="7" s="1"/>
  <c r="AQ550" i="7" a="1"/>
  <c r="AQ550" i="7" s="1"/>
  <c r="AQ554" i="7" a="1"/>
  <c r="AQ554" i="7" s="1"/>
  <c r="AQ595" i="7" a="1"/>
  <c r="AQ595" i="7" s="1"/>
  <c r="AQ572" i="7" a="1"/>
  <c r="AQ572" i="7" s="1"/>
  <c r="AQ588" i="7" a="1"/>
  <c r="AQ588" i="7" s="1"/>
  <c r="AQ575" i="7" a="1"/>
  <c r="AQ575" i="7" s="1"/>
  <c r="AQ551" i="7" a="1"/>
  <c r="AQ551" i="7" s="1"/>
  <c r="AQ552" i="7" a="1"/>
  <c r="AQ552" i="7" s="1"/>
  <c r="AQ515" i="7" a="1"/>
  <c r="AQ515" i="7" s="1"/>
  <c r="AQ514" i="7" a="1"/>
  <c r="AQ514" i="7" s="1"/>
  <c r="AQ513" i="7" a="1"/>
  <c r="AQ513" i="7" s="1"/>
  <c r="AQ547" i="7" a="1"/>
  <c r="AQ547" i="7" s="1"/>
  <c r="AQ545" i="7" a="1"/>
  <c r="AQ545" i="7" s="1"/>
  <c r="AQ543" i="7" a="1"/>
  <c r="AQ543" i="7" s="1"/>
  <c r="AQ542" i="7" a="1"/>
  <c r="AQ542" i="7" s="1"/>
  <c r="AQ540" i="7" a="1"/>
  <c r="AQ540" i="7" s="1"/>
  <c r="AQ538" i="7" a="1"/>
  <c r="AQ538" i="7" s="1"/>
  <c r="AQ535" i="7" a="1"/>
  <c r="AQ535" i="7" s="1"/>
  <c r="AQ533" i="7" a="1"/>
  <c r="AQ533" i="7" s="1"/>
  <c r="AQ531" i="7" a="1"/>
  <c r="AQ531" i="7" s="1"/>
  <c r="AQ530" i="7" a="1"/>
  <c r="AQ530" i="7" s="1"/>
  <c r="AQ528" i="7" a="1"/>
  <c r="AQ528" i="7" s="1"/>
  <c r="AQ526" i="7" a="1"/>
  <c r="AQ526" i="7" s="1"/>
  <c r="AQ523" i="7" a="1"/>
  <c r="AQ523" i="7" s="1"/>
  <c r="AQ521" i="7" a="1"/>
  <c r="AQ521" i="7" s="1"/>
  <c r="AQ519" i="7" a="1"/>
  <c r="AQ519" i="7" s="1"/>
  <c r="AQ518" i="7" a="1"/>
  <c r="AQ518" i="7" s="1"/>
  <c r="AQ516" i="7" a="1"/>
  <c r="AQ516" i="7" s="1"/>
  <c r="AQ548" i="7" a="1"/>
  <c r="AQ548" i="7" s="1"/>
  <c r="AQ546" i="7" a="1"/>
  <c r="AQ546" i="7" s="1"/>
  <c r="AQ544" i="7" a="1"/>
  <c r="AQ544" i="7" s="1"/>
  <c r="AQ541" i="7" a="1"/>
  <c r="AQ541" i="7" s="1"/>
  <c r="AQ539" i="7" a="1"/>
  <c r="AQ539" i="7" s="1"/>
  <c r="AQ537" i="7" a="1"/>
  <c r="AQ537" i="7" s="1"/>
  <c r="AQ536" i="7" a="1"/>
  <c r="AQ536" i="7" s="1"/>
  <c r="AQ534" i="7" a="1"/>
  <c r="AQ534" i="7" s="1"/>
  <c r="AQ532" i="7" a="1"/>
  <c r="AQ532" i="7" s="1"/>
  <c r="AQ529" i="7" a="1"/>
  <c r="AQ529" i="7" s="1"/>
  <c r="AQ527" i="7" a="1"/>
  <c r="AQ527" i="7" s="1"/>
  <c r="AQ525" i="7" a="1"/>
  <c r="AQ525" i="7" s="1"/>
  <c r="AQ524" i="7" a="1"/>
  <c r="AQ524" i="7" s="1"/>
  <c r="AQ522" i="7" a="1"/>
  <c r="AQ522" i="7" s="1"/>
  <c r="AQ520" i="7" a="1"/>
  <c r="AQ520" i="7" s="1"/>
  <c r="AQ517" i="7" a="1"/>
  <c r="AQ517" i="7" s="1"/>
  <c r="AQ504" i="7" a="1"/>
  <c r="AQ504" i="7" s="1"/>
  <c r="AQ498" i="7" a="1"/>
  <c r="AQ498" i="7" s="1"/>
  <c r="AQ497" i="7" a="1"/>
  <c r="AQ497" i="7" s="1"/>
  <c r="AQ496" i="7" a="1"/>
  <c r="AQ496" i="7" s="1"/>
  <c r="AQ495" i="7" a="1"/>
  <c r="AQ495" i="7" s="1"/>
  <c r="AQ499" i="7" a="1"/>
  <c r="AQ499" i="7" s="1"/>
  <c r="AQ503" i="7" a="1"/>
  <c r="AQ503" i="7" s="1"/>
  <c r="AQ502" i="7" a="1"/>
  <c r="AQ502" i="7" s="1"/>
  <c r="AQ500" i="7" a="1"/>
  <c r="AQ500" i="7" s="1"/>
  <c r="AQ512" i="7" a="1"/>
  <c r="AQ512" i="7" s="1"/>
  <c r="AQ511" i="7" a="1"/>
  <c r="AQ511" i="7" s="1"/>
  <c r="AQ510" i="7" a="1"/>
  <c r="AQ510" i="7" s="1"/>
  <c r="AQ509" i="7" a="1"/>
  <c r="AQ509" i="7" s="1"/>
  <c r="AQ508" i="7" a="1"/>
  <c r="AQ508" i="7" s="1"/>
  <c r="AQ507" i="7" a="1"/>
  <c r="AQ507" i="7" s="1"/>
  <c r="AQ506" i="7" a="1"/>
  <c r="AQ506" i="7" s="1"/>
  <c r="AQ505" i="7" a="1"/>
  <c r="AQ505" i="7" s="1"/>
  <c r="AQ501" i="7" a="1"/>
  <c r="AQ501" i="7" s="1"/>
  <c r="AQ481" i="7" a="1"/>
  <c r="AQ481" i="7" s="1"/>
  <c r="AQ478" i="7" a="1"/>
  <c r="AQ478" i="7" s="1"/>
  <c r="AQ475" i="7" a="1"/>
  <c r="AQ475" i="7" s="1"/>
  <c r="AQ473" i="7" a="1"/>
  <c r="AQ473" i="7" s="1"/>
  <c r="AQ471" i="7" a="1"/>
  <c r="AQ471" i="7" s="1"/>
  <c r="AQ494" i="7" a="1"/>
  <c r="AQ494" i="7" s="1"/>
  <c r="AQ493" i="7" a="1"/>
  <c r="AQ493" i="7" s="1"/>
  <c r="AQ492" i="7" a="1"/>
  <c r="AQ492" i="7" s="1"/>
  <c r="AQ491" i="7" a="1"/>
  <c r="AQ491" i="7" s="1"/>
  <c r="AQ490" i="7" a="1"/>
  <c r="AQ490" i="7" s="1"/>
  <c r="AQ489" i="7" a="1"/>
  <c r="AQ489" i="7" s="1"/>
  <c r="AQ488" i="7" a="1"/>
  <c r="AQ488" i="7" s="1"/>
  <c r="AQ487" i="7" a="1"/>
  <c r="AQ487" i="7" s="1"/>
  <c r="AQ486" i="7" a="1"/>
  <c r="AQ486" i="7" s="1"/>
  <c r="AQ485" i="7" a="1"/>
  <c r="AQ485" i="7" s="1"/>
  <c r="AQ484" i="7" a="1"/>
  <c r="AQ484" i="7" s="1"/>
  <c r="AQ479" i="7" a="1"/>
  <c r="AQ479" i="7" s="1"/>
  <c r="AQ477" i="7" a="1"/>
  <c r="AQ477" i="7" s="1"/>
  <c r="AQ476" i="7" a="1"/>
  <c r="AQ476" i="7" s="1"/>
  <c r="AQ474" i="7" a="1"/>
  <c r="AQ474" i="7" s="1"/>
  <c r="AQ455" i="7" a="1"/>
  <c r="AQ455" i="7" s="1"/>
  <c r="AQ452" i="7" a="1"/>
  <c r="AQ452" i="7" s="1"/>
  <c r="AQ448" i="7" a="1"/>
  <c r="AQ448" i="7" s="1"/>
  <c r="AQ445" i="7" a="1"/>
  <c r="AQ445" i="7" s="1"/>
  <c r="AQ441" i="7" a="1"/>
  <c r="AQ441" i="7" s="1"/>
  <c r="AQ438" i="7" a="1"/>
  <c r="AQ438" i="7" s="1"/>
  <c r="AQ429" i="7" a="1"/>
  <c r="AQ429" i="7" s="1"/>
  <c r="AQ469" i="7" a="1"/>
  <c r="AQ469" i="7" s="1"/>
  <c r="AQ454" i="7" a="1"/>
  <c r="AQ454" i="7" s="1"/>
  <c r="AQ451" i="7" a="1"/>
  <c r="AQ451" i="7" s="1"/>
  <c r="AQ447" i="7" a="1"/>
  <c r="AQ447" i="7" s="1"/>
  <c r="AQ444" i="7" a="1"/>
  <c r="AQ444" i="7" s="1"/>
  <c r="AQ437" i="7" a="1"/>
  <c r="AQ437" i="7" s="1"/>
  <c r="AQ434" i="7" a="1"/>
  <c r="AQ434" i="7" s="1"/>
  <c r="AQ430" i="7" a="1"/>
  <c r="AQ430" i="7" s="1"/>
  <c r="AQ427" i="7" a="1"/>
  <c r="AQ427" i="7" s="1"/>
  <c r="AQ423" i="7" a="1"/>
  <c r="AQ423" i="7" s="1"/>
  <c r="AQ420" i="7" a="1"/>
  <c r="AQ420" i="7" s="1"/>
  <c r="AQ470" i="7" a="1"/>
  <c r="AQ470" i="7" s="1"/>
  <c r="AQ466" i="7" a="1"/>
  <c r="AQ466" i="7" s="1"/>
  <c r="AQ465" i="7" a="1"/>
  <c r="AQ465" i="7" s="1"/>
  <c r="AQ464" i="7" a="1"/>
  <c r="AQ464" i="7" s="1"/>
  <c r="AQ463" i="7" a="1"/>
  <c r="AQ463" i="7" s="1"/>
  <c r="AQ462" i="7" a="1"/>
  <c r="AQ462" i="7" s="1"/>
  <c r="AQ461" i="7" a="1"/>
  <c r="AQ461" i="7" s="1"/>
  <c r="AQ460" i="7" a="1"/>
  <c r="AQ460" i="7" s="1"/>
  <c r="AQ459" i="7" a="1"/>
  <c r="AQ459" i="7" s="1"/>
  <c r="AQ458" i="7" a="1"/>
  <c r="AQ458" i="7" s="1"/>
  <c r="AQ482" i="7" a="1"/>
  <c r="AQ482" i="7" s="1"/>
  <c r="AQ472" i="7" a="1"/>
  <c r="AQ472" i="7" s="1"/>
  <c r="AQ457" i="7" a="1"/>
  <c r="AQ457" i="7" s="1"/>
  <c r="AQ453" i="7" a="1"/>
  <c r="AQ453" i="7" s="1"/>
  <c r="AQ450" i="7" a="1"/>
  <c r="AQ450" i="7" s="1"/>
  <c r="AQ443" i="7" a="1"/>
  <c r="AQ443" i="7" s="1"/>
  <c r="AQ440" i="7" a="1"/>
  <c r="AQ440" i="7" s="1"/>
  <c r="AQ436" i="7" a="1"/>
  <c r="AQ436" i="7" s="1"/>
  <c r="AQ433" i="7" a="1"/>
  <c r="AQ433" i="7" s="1"/>
  <c r="AQ431" i="7" a="1"/>
  <c r="AQ431" i="7" s="1"/>
  <c r="AQ467" i="7" a="1"/>
  <c r="AQ467" i="7" s="1"/>
  <c r="AQ426" i="7" a="1"/>
  <c r="AQ426" i="7" s="1"/>
  <c r="AQ468" i="7" a="1"/>
  <c r="AQ468" i="7" s="1"/>
  <c r="AQ442" i="7" a="1"/>
  <c r="AQ442" i="7" s="1"/>
  <c r="AQ417" i="7" a="1"/>
  <c r="AQ417" i="7" s="1"/>
  <c r="AQ425" i="7" a="1"/>
  <c r="AQ425" i="7" s="1"/>
  <c r="AQ480" i="7" a="1"/>
  <c r="AQ480" i="7" s="1"/>
  <c r="AQ428" i="7" a="1"/>
  <c r="AQ428" i="7" s="1"/>
  <c r="AQ422" i="7" a="1"/>
  <c r="AQ422" i="7" s="1"/>
  <c r="AQ421" i="7" a="1"/>
  <c r="AQ421" i="7" s="1"/>
  <c r="AQ456" i="7" a="1"/>
  <c r="AQ456" i="7" s="1"/>
  <c r="AQ449" i="7" a="1"/>
  <c r="AQ449" i="7" s="1"/>
  <c r="AQ439" i="7" a="1"/>
  <c r="AQ439" i="7" s="1"/>
  <c r="AQ432" i="7" a="1"/>
  <c r="AQ432" i="7" s="1"/>
  <c r="AQ483" i="7" a="1"/>
  <c r="AQ483" i="7" s="1"/>
  <c r="AQ418" i="7" a="1"/>
  <c r="AQ418" i="7" s="1"/>
  <c r="AQ446" i="7" a="1"/>
  <c r="AQ446" i="7" s="1"/>
  <c r="AQ435" i="7" a="1"/>
  <c r="AQ435" i="7" s="1"/>
  <c r="AQ419" i="7" a="1"/>
  <c r="AQ419" i="7" s="1"/>
  <c r="AQ424" i="7" a="1"/>
  <c r="AQ424" i="7" s="1"/>
  <c r="AP679" i="7" a="1"/>
  <c r="AP679" i="7" s="1"/>
  <c r="AP677" i="7" a="1"/>
  <c r="AP677" i="7" s="1"/>
  <c r="AP675" i="7" a="1"/>
  <c r="AP675" i="7" s="1"/>
  <c r="AP674" i="7" a="1"/>
  <c r="AP674" i="7" s="1"/>
  <c r="AP672" i="7" a="1"/>
  <c r="AP672" i="7" s="1"/>
  <c r="AP670" i="7" a="1"/>
  <c r="AP670" i="7" s="1"/>
  <c r="AP680" i="7" a="1"/>
  <c r="AP680" i="7" s="1"/>
  <c r="AP678" i="7" a="1"/>
  <c r="AP678" i="7" s="1"/>
  <c r="AP669" i="7" a="1"/>
  <c r="AP669" i="7" s="1"/>
  <c r="AP667" i="7" a="1"/>
  <c r="AP667" i="7" s="1"/>
  <c r="AP666" i="7" a="1"/>
  <c r="AP666" i="7" s="1"/>
  <c r="AP664" i="7" a="1"/>
  <c r="AP664" i="7" s="1"/>
  <c r="AP661" i="7" a="1"/>
  <c r="AP661" i="7" s="1"/>
  <c r="AP659" i="7" a="1"/>
  <c r="AP659" i="7" s="1"/>
  <c r="AP657" i="7" a="1"/>
  <c r="AP657" i="7" s="1"/>
  <c r="AP656" i="7" a="1"/>
  <c r="AP656" i="7" s="1"/>
  <c r="AP653" i="7" a="1"/>
  <c r="AP653" i="7" s="1"/>
  <c r="AP650" i="7" a="1"/>
  <c r="AP650" i="7" s="1"/>
  <c r="AP646" i="7" a="1"/>
  <c r="AP646" i="7" s="1"/>
  <c r="AP643" i="7" a="1"/>
  <c r="AP643" i="7" s="1"/>
  <c r="AP676" i="7" a="1"/>
  <c r="AP676" i="7" s="1"/>
  <c r="AP671" i="7" a="1"/>
  <c r="AP671" i="7" s="1"/>
  <c r="AP654" i="7" a="1"/>
  <c r="AP654" i="7" s="1"/>
  <c r="AP647" i="7" a="1"/>
  <c r="AP647" i="7" s="1"/>
  <c r="AP644" i="7" a="1"/>
  <c r="AP644" i="7" s="1"/>
  <c r="AP640" i="7" a="1"/>
  <c r="AP640" i="7" s="1"/>
  <c r="AP665" i="7" a="1"/>
  <c r="AP665" i="7" s="1"/>
  <c r="AP663" i="7" a="1"/>
  <c r="AP663" i="7" s="1"/>
  <c r="AP662" i="7" a="1"/>
  <c r="AP662" i="7" s="1"/>
  <c r="AP660" i="7" a="1"/>
  <c r="AP660" i="7" s="1"/>
  <c r="AP658" i="7" a="1"/>
  <c r="AP658" i="7" s="1"/>
  <c r="AP668" i="7" a="1"/>
  <c r="AP668" i="7" s="1"/>
  <c r="AP655" i="7" a="1"/>
  <c r="AP655" i="7" s="1"/>
  <c r="AP651" i="7" a="1"/>
  <c r="AP651" i="7" s="1"/>
  <c r="AP648" i="7" a="1"/>
  <c r="AP648" i="7" s="1"/>
  <c r="AP673" i="7" a="1"/>
  <c r="AP673" i="7" s="1"/>
  <c r="AP626" i="7" a="1"/>
  <c r="AP626" i="7" s="1"/>
  <c r="AP622" i="7" a="1"/>
  <c r="AP622" i="7" s="1"/>
  <c r="AP637" i="7" a="1"/>
  <c r="AP637" i="7" s="1"/>
  <c r="AP635" i="7" a="1"/>
  <c r="AP635" i="7" s="1"/>
  <c r="AP633" i="7" a="1"/>
  <c r="AP633" i="7" s="1"/>
  <c r="AP632" i="7" a="1"/>
  <c r="AP632" i="7" s="1"/>
  <c r="AP630" i="7" a="1"/>
  <c r="AP630" i="7" s="1"/>
  <c r="AP628" i="7" a="1"/>
  <c r="AP628" i="7" s="1"/>
  <c r="AP623" i="7" a="1"/>
  <c r="AP623" i="7" s="1"/>
  <c r="AP620" i="7" a="1"/>
  <c r="AP620" i="7" s="1"/>
  <c r="AP616" i="7" a="1"/>
  <c r="AP616" i="7" s="1"/>
  <c r="AP613" i="7" a="1"/>
  <c r="AP613" i="7" s="1"/>
  <c r="AP645" i="7" a="1"/>
  <c r="AP645" i="7" s="1"/>
  <c r="AP624" i="7" a="1"/>
  <c r="AP624" i="7" s="1"/>
  <c r="AP642" i="7" a="1"/>
  <c r="AP642" i="7" s="1"/>
  <c r="AP649" i="7" a="1"/>
  <c r="AP649" i="7" s="1"/>
  <c r="AP615" i="7" a="1"/>
  <c r="AP615" i="7" s="1"/>
  <c r="AP614" i="7" a="1"/>
  <c r="AP614" i="7" s="1"/>
  <c r="AP618" i="7" a="1"/>
  <c r="AP618" i="7" s="1"/>
  <c r="AP641" i="7" a="1"/>
  <c r="AP641" i="7" s="1"/>
  <c r="AP621" i="7" a="1"/>
  <c r="AP621" i="7" s="1"/>
  <c r="AP634" i="7" a="1"/>
  <c r="AP634" i="7" s="1"/>
  <c r="AP652" i="7" a="1"/>
  <c r="AP652" i="7" s="1"/>
  <c r="AP636" i="7" a="1"/>
  <c r="AP636" i="7" s="1"/>
  <c r="AP638" i="7" a="1"/>
  <c r="AP638" i="7" s="1"/>
  <c r="AP627" i="7" a="1"/>
  <c r="AP627" i="7" s="1"/>
  <c r="AP611" i="7" a="1"/>
  <c r="AP611" i="7" s="1"/>
  <c r="AP639" i="7" a="1"/>
  <c r="AP639" i="7" s="1"/>
  <c r="AP629" i="7" a="1"/>
  <c r="AP629" i="7" s="1"/>
  <c r="AP617" i="7" a="1"/>
  <c r="AP617" i="7" s="1"/>
  <c r="AP612" i="7" a="1"/>
  <c r="AP612" i="7" s="1"/>
  <c r="AP609" i="7" a="1"/>
  <c r="AP609" i="7" s="1"/>
  <c r="AP610" i="7" a="1"/>
  <c r="AP610" i="7" s="1"/>
  <c r="AP631" i="7" a="1"/>
  <c r="AP631" i="7" s="1"/>
  <c r="AP607" i="7" a="1"/>
  <c r="AP607" i="7" s="1"/>
  <c r="AP605" i="7" a="1"/>
  <c r="AP605" i="7" s="1"/>
  <c r="AP625" i="7" a="1"/>
  <c r="AP625" i="7" s="1"/>
  <c r="AP619" i="7" a="1"/>
  <c r="AP619" i="7" s="1"/>
  <c r="AP602" i="7" a="1"/>
  <c r="AP602" i="7" s="1"/>
  <c r="AP595" i="7" a="1"/>
  <c r="AP595" i="7" s="1"/>
  <c r="AP593" i="7" a="1"/>
  <c r="AP593" i="7" s="1"/>
  <c r="AP591" i="7" a="1"/>
  <c r="AP591" i="7" s="1"/>
  <c r="AP590" i="7" a="1"/>
  <c r="AP590" i="7" s="1"/>
  <c r="AP588" i="7" a="1"/>
  <c r="AP588" i="7" s="1"/>
  <c r="AP585" i="7" a="1"/>
  <c r="AP585" i="7" s="1"/>
  <c r="AP582" i="7" a="1"/>
  <c r="AP582" i="7" s="1"/>
  <c r="AP575" i="7" a="1"/>
  <c r="AP575" i="7" s="1"/>
  <c r="AP572" i="7" a="1"/>
  <c r="AP572" i="7" s="1"/>
  <c r="AP568" i="7" a="1"/>
  <c r="AP568" i="7" s="1"/>
  <c r="AP565" i="7" a="1"/>
  <c r="AP565" i="7" s="1"/>
  <c r="AP601" i="7" a="1"/>
  <c r="AP601" i="7" s="1"/>
  <c r="AP598" i="7" a="1"/>
  <c r="AP598" i="7" s="1"/>
  <c r="AP597" i="7" a="1"/>
  <c r="AP597" i="7" s="1"/>
  <c r="AP561" i="7" a="1"/>
  <c r="AP561" i="7" s="1"/>
  <c r="AP603" i="7" a="1"/>
  <c r="AP603" i="7" s="1"/>
  <c r="AP599" i="7" a="1"/>
  <c r="AP599" i="7" s="1"/>
  <c r="AP586" i="7" a="1"/>
  <c r="AP586" i="7" s="1"/>
  <c r="AP583" i="7" a="1"/>
  <c r="AP583" i="7" s="1"/>
  <c r="AP579" i="7" a="1"/>
  <c r="AP579" i="7" s="1"/>
  <c r="AP576" i="7" a="1"/>
  <c r="AP576" i="7" s="1"/>
  <c r="AP569" i="7" a="1"/>
  <c r="AP569" i="7" s="1"/>
  <c r="AP566" i="7" a="1"/>
  <c r="AP566" i="7" s="1"/>
  <c r="AP562" i="7" a="1"/>
  <c r="AP562" i="7" s="1"/>
  <c r="AP606" i="7" a="1"/>
  <c r="AP606" i="7" s="1"/>
  <c r="AP604" i="7" a="1"/>
  <c r="AP604" i="7" s="1"/>
  <c r="AP600" i="7" a="1"/>
  <c r="AP600" i="7" s="1"/>
  <c r="AP596" i="7" a="1"/>
  <c r="AP596" i="7" s="1"/>
  <c r="AP594" i="7" a="1"/>
  <c r="AP594" i="7" s="1"/>
  <c r="AP592" i="7" a="1"/>
  <c r="AP592" i="7" s="1"/>
  <c r="AP589" i="7" a="1"/>
  <c r="AP589" i="7" s="1"/>
  <c r="AP587" i="7" a="1"/>
  <c r="AP587" i="7" s="1"/>
  <c r="AP584" i="7" a="1"/>
  <c r="AP584" i="7" s="1"/>
  <c r="AP580" i="7" a="1"/>
  <c r="AP580" i="7" s="1"/>
  <c r="AP577" i="7" a="1"/>
  <c r="AP577" i="7" s="1"/>
  <c r="AP573" i="7" a="1"/>
  <c r="AP573" i="7" s="1"/>
  <c r="AP570" i="7" a="1"/>
  <c r="AP570" i="7" s="1"/>
  <c r="AP563" i="7" a="1"/>
  <c r="AP563" i="7" s="1"/>
  <c r="AP608" i="7" a="1"/>
  <c r="AP608" i="7" s="1"/>
  <c r="AP571" i="7" a="1"/>
  <c r="AP571" i="7" s="1"/>
  <c r="AP552" i="7" a="1"/>
  <c r="AP552" i="7" s="1"/>
  <c r="AP574" i="7" a="1"/>
  <c r="AP574" i="7" s="1"/>
  <c r="AP553" i="7" a="1"/>
  <c r="AP553" i="7" s="1"/>
  <c r="AP549" i="7" a="1"/>
  <c r="AP549" i="7" s="1"/>
  <c r="AP578" i="7" a="1"/>
  <c r="AP578" i="7" s="1"/>
  <c r="AP559" i="7" a="1"/>
  <c r="AP559" i="7" s="1"/>
  <c r="AP558" i="7" a="1"/>
  <c r="AP558" i="7" s="1"/>
  <c r="AP557" i="7" a="1"/>
  <c r="AP557" i="7" s="1"/>
  <c r="AP556" i="7" a="1"/>
  <c r="AP556" i="7" s="1"/>
  <c r="AP555" i="7" a="1"/>
  <c r="AP555" i="7" s="1"/>
  <c r="AP581" i="7" a="1"/>
  <c r="AP581" i="7" s="1"/>
  <c r="AP550" i="7" a="1"/>
  <c r="AP550" i="7" s="1"/>
  <c r="AP554" i="7" a="1"/>
  <c r="AP554" i="7" s="1"/>
  <c r="AP564" i="7" a="1"/>
  <c r="AP564" i="7" s="1"/>
  <c r="AP567" i="7" a="1"/>
  <c r="AP567" i="7" s="1"/>
  <c r="AP560" i="7" a="1"/>
  <c r="AP560" i="7" s="1"/>
  <c r="AP551" i="7" a="1"/>
  <c r="AP551" i="7" s="1"/>
  <c r="AK680" i="7" a="1"/>
  <c r="AK680" i="7" s="1"/>
  <c r="AK678" i="7" a="1"/>
  <c r="AK678" i="7" s="1"/>
  <c r="AK676" i="7" a="1"/>
  <c r="AK676" i="7" s="1"/>
  <c r="AK673" i="7" a="1"/>
  <c r="AK673" i="7" s="1"/>
  <c r="AK671" i="7" a="1"/>
  <c r="AK671" i="7" s="1"/>
  <c r="AK669" i="7" a="1"/>
  <c r="AK669" i="7" s="1"/>
  <c r="AK668" i="7" a="1"/>
  <c r="AK668" i="7" s="1"/>
  <c r="AK679" i="7" a="1"/>
  <c r="AK679" i="7" s="1"/>
  <c r="AK677" i="7" a="1"/>
  <c r="AK677" i="7" s="1"/>
  <c r="AK675" i="7" a="1"/>
  <c r="AK675" i="7" s="1"/>
  <c r="AK665" i="7" a="1"/>
  <c r="AK665" i="7" s="1"/>
  <c r="AK663" i="7" a="1"/>
  <c r="AK663" i="7" s="1"/>
  <c r="AK662" i="7" a="1"/>
  <c r="AK662" i="7" s="1"/>
  <c r="AK660" i="7" a="1"/>
  <c r="AK660" i="7" s="1"/>
  <c r="AK658" i="7" a="1"/>
  <c r="AK658" i="7" s="1"/>
  <c r="AK654" i="7" a="1"/>
  <c r="AK654" i="7" s="1"/>
  <c r="AK647" i="7" a="1"/>
  <c r="AK647" i="7" s="1"/>
  <c r="AK644" i="7" a="1"/>
  <c r="AK644" i="7" s="1"/>
  <c r="AK640" i="7" a="1"/>
  <c r="AK640" i="7" s="1"/>
  <c r="AK674" i="7" a="1"/>
  <c r="AK674" i="7" s="1"/>
  <c r="AK667" i="7" a="1"/>
  <c r="AK667" i="7" s="1"/>
  <c r="AK655" i="7" a="1"/>
  <c r="AK655" i="7" s="1"/>
  <c r="AK651" i="7" a="1"/>
  <c r="AK651" i="7" s="1"/>
  <c r="AK648" i="7" a="1"/>
  <c r="AK648" i="7" s="1"/>
  <c r="AK641" i="7" a="1"/>
  <c r="AK641" i="7" s="1"/>
  <c r="AK670" i="7" a="1"/>
  <c r="AK670" i="7" s="1"/>
  <c r="AK666" i="7" a="1"/>
  <c r="AK666" i="7" s="1"/>
  <c r="AK664" i="7" a="1"/>
  <c r="AK664" i="7" s="1"/>
  <c r="AK661" i="7" a="1"/>
  <c r="AK661" i="7" s="1"/>
  <c r="AK659" i="7" a="1"/>
  <c r="AK659" i="7" s="1"/>
  <c r="AK657" i="7" a="1"/>
  <c r="AK657" i="7" s="1"/>
  <c r="AK656" i="7" a="1"/>
  <c r="AK656" i="7" s="1"/>
  <c r="AK652" i="7" a="1"/>
  <c r="AK652" i="7" s="1"/>
  <c r="AK649" i="7" a="1"/>
  <c r="AK649" i="7" s="1"/>
  <c r="AK645" i="7" a="1"/>
  <c r="AK645" i="7" s="1"/>
  <c r="AK672" i="7" a="1"/>
  <c r="AK672" i="7" s="1"/>
  <c r="AK646" i="7" a="1"/>
  <c r="AK646" i="7" s="1"/>
  <c r="AK637" i="7" a="1"/>
  <c r="AK637" i="7" s="1"/>
  <c r="AK635" i="7" a="1"/>
  <c r="AK635" i="7" s="1"/>
  <c r="AK633" i="7" a="1"/>
  <c r="AK633" i="7" s="1"/>
  <c r="AK632" i="7" a="1"/>
  <c r="AK632" i="7" s="1"/>
  <c r="AK630" i="7" a="1"/>
  <c r="AK630" i="7" s="1"/>
  <c r="AK628" i="7" a="1"/>
  <c r="AK628" i="7" s="1"/>
  <c r="AK623" i="7" a="1"/>
  <c r="AK623" i="7" s="1"/>
  <c r="AK624" i="7" a="1"/>
  <c r="AK624" i="7" s="1"/>
  <c r="AK617" i="7" a="1"/>
  <c r="AK617" i="7" s="1"/>
  <c r="AK614" i="7" a="1"/>
  <c r="AK614" i="7" s="1"/>
  <c r="AK610" i="7" a="1"/>
  <c r="AK610" i="7" s="1"/>
  <c r="AK609" i="7" a="1"/>
  <c r="AK609" i="7" s="1"/>
  <c r="AK650" i="7" a="1"/>
  <c r="AK650" i="7" s="1"/>
  <c r="AK653" i="7" a="1"/>
  <c r="AK653" i="7" s="1"/>
  <c r="AK639" i="7" a="1"/>
  <c r="AK639" i="7" s="1"/>
  <c r="AK638" i="7" a="1"/>
  <c r="AK638" i="7" s="1"/>
  <c r="AK636" i="7" a="1"/>
  <c r="AK636" i="7" s="1"/>
  <c r="AK634" i="7" a="1"/>
  <c r="AK634" i="7" s="1"/>
  <c r="AK631" i="7" a="1"/>
  <c r="AK631" i="7" s="1"/>
  <c r="AK629" i="7" a="1"/>
  <c r="AK629" i="7" s="1"/>
  <c r="AK627" i="7" a="1"/>
  <c r="AK627" i="7" s="1"/>
  <c r="AK625" i="7" a="1"/>
  <c r="AK625" i="7" s="1"/>
  <c r="AK621" i="7" a="1"/>
  <c r="AK621" i="7" s="1"/>
  <c r="AK643" i="7" a="1"/>
  <c r="AK643" i="7" s="1"/>
  <c r="AK642" i="7" a="1"/>
  <c r="AK642" i="7" s="1"/>
  <c r="AK622" i="7" a="1"/>
  <c r="AK622" i="7" s="1"/>
  <c r="AK620" i="7" a="1"/>
  <c r="AK620" i="7" s="1"/>
  <c r="AK626" i="7" a="1"/>
  <c r="AK626" i="7" s="1"/>
  <c r="AK613" i="7" a="1"/>
  <c r="AK613" i="7" s="1"/>
  <c r="AK618" i="7" a="1"/>
  <c r="AK618" i="7" s="1"/>
  <c r="AK615" i="7" a="1"/>
  <c r="AK615" i="7" s="1"/>
  <c r="AK607" i="7" a="1"/>
  <c r="AK607" i="7" s="1"/>
  <c r="AK605" i="7" a="1"/>
  <c r="AK605" i="7" s="1"/>
  <c r="AK603" i="7" a="1"/>
  <c r="AK603" i="7" s="1"/>
  <c r="AK602" i="7" a="1"/>
  <c r="AK602" i="7" s="1"/>
  <c r="AK600" i="7" a="1"/>
  <c r="AK600" i="7" s="1"/>
  <c r="AK598" i="7" a="1"/>
  <c r="AK598" i="7" s="1"/>
  <c r="AK612" i="7" a="1"/>
  <c r="AK612" i="7" s="1"/>
  <c r="AK608" i="7" a="1"/>
  <c r="AK608" i="7" s="1"/>
  <c r="AK606" i="7" a="1"/>
  <c r="AK606" i="7" s="1"/>
  <c r="AK604" i="7" a="1"/>
  <c r="AK604" i="7" s="1"/>
  <c r="AK601" i="7" a="1"/>
  <c r="AK601" i="7" s="1"/>
  <c r="AK616" i="7" a="1"/>
  <c r="AK616" i="7" s="1"/>
  <c r="AK619" i="7" a="1"/>
  <c r="AK619" i="7" s="1"/>
  <c r="AK586" i="7" a="1"/>
  <c r="AK586" i="7" s="1"/>
  <c r="AK583" i="7" a="1"/>
  <c r="AK583" i="7" s="1"/>
  <c r="AK579" i="7" a="1"/>
  <c r="AK579" i="7" s="1"/>
  <c r="AK576" i="7" a="1"/>
  <c r="AK576" i="7" s="1"/>
  <c r="AK569" i="7" a="1"/>
  <c r="AK569" i="7" s="1"/>
  <c r="AK566" i="7" a="1"/>
  <c r="AK566" i="7" s="1"/>
  <c r="AK562" i="7" a="1"/>
  <c r="AK562" i="7" s="1"/>
  <c r="AK561" i="7" a="1"/>
  <c r="AK561" i="7" s="1"/>
  <c r="AK560" i="7" a="1"/>
  <c r="AK560" i="7" s="1"/>
  <c r="AK596" i="7" a="1"/>
  <c r="AK596" i="7" s="1"/>
  <c r="AK594" i="7" a="1"/>
  <c r="AK594" i="7" s="1"/>
  <c r="AK592" i="7" a="1"/>
  <c r="AK592" i="7" s="1"/>
  <c r="AK589" i="7" a="1"/>
  <c r="AK589" i="7" s="1"/>
  <c r="AK587" i="7" a="1"/>
  <c r="AK587" i="7" s="1"/>
  <c r="AK584" i="7" a="1"/>
  <c r="AK584" i="7" s="1"/>
  <c r="AK580" i="7" a="1"/>
  <c r="AK580" i="7" s="1"/>
  <c r="AK577" i="7" a="1"/>
  <c r="AK577" i="7" s="1"/>
  <c r="AK573" i="7" a="1"/>
  <c r="AK573" i="7" s="1"/>
  <c r="AK570" i="7" a="1"/>
  <c r="AK570" i="7" s="1"/>
  <c r="AK563" i="7" a="1"/>
  <c r="AK563" i="7" s="1"/>
  <c r="AK611" i="7" a="1"/>
  <c r="AK611" i="7" s="1"/>
  <c r="AK581" i="7" a="1"/>
  <c r="AK581" i="7" s="1"/>
  <c r="AK578" i="7" a="1"/>
  <c r="AK578" i="7" s="1"/>
  <c r="AK574" i="7" a="1"/>
  <c r="AK574" i="7" s="1"/>
  <c r="AK571" i="7" a="1"/>
  <c r="AK571" i="7" s="1"/>
  <c r="AK567" i="7" a="1"/>
  <c r="AK567" i="7" s="1"/>
  <c r="AK564" i="7" a="1"/>
  <c r="AK564" i="7" s="1"/>
  <c r="AK597" i="7" a="1"/>
  <c r="AK597" i="7" s="1"/>
  <c r="AK595" i="7" a="1"/>
  <c r="AK595" i="7" s="1"/>
  <c r="AK593" i="7" a="1"/>
  <c r="AK593" i="7" s="1"/>
  <c r="AK591" i="7" a="1"/>
  <c r="AK591" i="7" s="1"/>
  <c r="AK590" i="7" a="1"/>
  <c r="AK590" i="7" s="1"/>
  <c r="AK588" i="7" a="1"/>
  <c r="AK588" i="7" s="1"/>
  <c r="AK559" i="7" a="1"/>
  <c r="AK559" i="7" s="1"/>
  <c r="AK558" i="7" a="1"/>
  <c r="AK558" i="7" s="1"/>
  <c r="AK557" i="7" a="1"/>
  <c r="AK557" i="7" s="1"/>
  <c r="AK556" i="7" a="1"/>
  <c r="AK556" i="7" s="1"/>
  <c r="AK555" i="7" a="1"/>
  <c r="AK555" i="7" s="1"/>
  <c r="AK553" i="7" a="1"/>
  <c r="AK553" i="7" s="1"/>
  <c r="AK549" i="7" a="1"/>
  <c r="AK549" i="7" s="1"/>
  <c r="AK582" i="7" a="1"/>
  <c r="AK582" i="7" s="1"/>
  <c r="AK585" i="7" a="1"/>
  <c r="AK585" i="7" s="1"/>
  <c r="AK565" i="7" a="1"/>
  <c r="AK565" i="7" s="1"/>
  <c r="AK554" i="7" a="1"/>
  <c r="AK554" i="7" s="1"/>
  <c r="AK568" i="7" a="1"/>
  <c r="AK568" i="7" s="1"/>
  <c r="AK551" i="7" a="1"/>
  <c r="AK551" i="7" s="1"/>
  <c r="AK572" i="7" a="1"/>
  <c r="AK572" i="7" s="1"/>
  <c r="AK552" i="7" a="1"/>
  <c r="AK552" i="7" s="1"/>
  <c r="AK599" i="7" a="1"/>
  <c r="AK599" i="7" s="1"/>
  <c r="AK550" i="7" a="1"/>
  <c r="AK550" i="7" s="1"/>
  <c r="AK575" i="7" a="1"/>
  <c r="AK575" i="7" s="1"/>
  <c r="AV548" i="7" a="1"/>
  <c r="AV548" i="7" s="1"/>
  <c r="AV546" i="7" a="1"/>
  <c r="AV546" i="7" s="1"/>
  <c r="AV544" i="7" a="1"/>
  <c r="AV544" i="7" s="1"/>
  <c r="AV541" i="7" a="1"/>
  <c r="AV541" i="7" s="1"/>
  <c r="AV539" i="7" a="1"/>
  <c r="AV539" i="7" s="1"/>
  <c r="AV537" i="7" a="1"/>
  <c r="AV537" i="7" s="1"/>
  <c r="AV536" i="7" a="1"/>
  <c r="AV536" i="7" s="1"/>
  <c r="AV534" i="7" a="1"/>
  <c r="AV534" i="7" s="1"/>
  <c r="AV532" i="7" a="1"/>
  <c r="AV532" i="7" s="1"/>
  <c r="AV515" i="7" a="1"/>
  <c r="AV515" i="7" s="1"/>
  <c r="AV514" i="7" a="1"/>
  <c r="AV514" i="7" s="1"/>
  <c r="AV513" i="7" a="1"/>
  <c r="AV513" i="7" s="1"/>
  <c r="AV512" i="7" a="1"/>
  <c r="AV512" i="7" s="1"/>
  <c r="AV511" i="7" a="1"/>
  <c r="AV511" i="7" s="1"/>
  <c r="AV510" i="7" a="1"/>
  <c r="AV510" i="7" s="1"/>
  <c r="AV509" i="7" a="1"/>
  <c r="AV509" i="7" s="1"/>
  <c r="AV508" i="7" a="1"/>
  <c r="AV508" i="7" s="1"/>
  <c r="AV507" i="7" a="1"/>
  <c r="AV507" i="7" s="1"/>
  <c r="AV506" i="7" a="1"/>
  <c r="AV506" i="7" s="1"/>
  <c r="AV505" i="7" a="1"/>
  <c r="AV505" i="7" s="1"/>
  <c r="AV504" i="7" a="1"/>
  <c r="AV504" i="7" s="1"/>
  <c r="AV503" i="7" a="1"/>
  <c r="AV503" i="7" s="1"/>
  <c r="AV502" i="7" a="1"/>
  <c r="AV502" i="7" s="1"/>
  <c r="AV501" i="7" a="1"/>
  <c r="AV501" i="7" s="1"/>
  <c r="AV500" i="7" a="1"/>
  <c r="AV500" i="7" s="1"/>
  <c r="AV499" i="7" a="1"/>
  <c r="AV499" i="7" s="1"/>
  <c r="AV547" i="7" a="1"/>
  <c r="AV547" i="7" s="1"/>
  <c r="AV545" i="7" a="1"/>
  <c r="AV545" i="7" s="1"/>
  <c r="AV543" i="7" a="1"/>
  <c r="AV543" i="7" s="1"/>
  <c r="AV542" i="7" a="1"/>
  <c r="AV542" i="7" s="1"/>
  <c r="AV540" i="7" a="1"/>
  <c r="AV540" i="7" s="1"/>
  <c r="AV538" i="7" a="1"/>
  <c r="AV538" i="7" s="1"/>
  <c r="AV535" i="7" a="1"/>
  <c r="AV535" i="7" s="1"/>
  <c r="AV533" i="7" a="1"/>
  <c r="AV533" i="7" s="1"/>
  <c r="AV529" i="7" a="1"/>
  <c r="AV529" i="7" s="1"/>
  <c r="AV525" i="7" a="1"/>
  <c r="AV525" i="7" s="1"/>
  <c r="AV522" i="7" a="1"/>
  <c r="AV522" i="7" s="1"/>
  <c r="AV498" i="7" a="1"/>
  <c r="AV498" i="7" s="1"/>
  <c r="AV497" i="7" a="1"/>
  <c r="AV497" i="7" s="1"/>
  <c r="AV496" i="7" a="1"/>
  <c r="AV496" i="7" s="1"/>
  <c r="AV495" i="7" a="1"/>
  <c r="AV495" i="7" s="1"/>
  <c r="AV531" i="7" a="1"/>
  <c r="AV531" i="7" s="1"/>
  <c r="AV528" i="7" a="1"/>
  <c r="AV528" i="7" s="1"/>
  <c r="AV521" i="7" a="1"/>
  <c r="AV521" i="7" s="1"/>
  <c r="AV518" i="7" a="1"/>
  <c r="AV518" i="7" s="1"/>
  <c r="AV527" i="7" a="1"/>
  <c r="AV527" i="7" s="1"/>
  <c r="AV524" i="7" a="1"/>
  <c r="AV524" i="7" s="1"/>
  <c r="AV520" i="7" a="1"/>
  <c r="AV520" i="7" s="1"/>
  <c r="AV517" i="7" a="1"/>
  <c r="AV517" i="7" s="1"/>
  <c r="AV479" i="7" a="1"/>
  <c r="AV479" i="7" s="1"/>
  <c r="AV523" i="7" a="1"/>
  <c r="AV523" i="7" s="1"/>
  <c r="AV526" i="7" a="1"/>
  <c r="AV526" i="7" s="1"/>
  <c r="AV482" i="7" a="1"/>
  <c r="AV482" i="7" s="1"/>
  <c r="AV530" i="7" a="1"/>
  <c r="AV530" i="7" s="1"/>
  <c r="AV481" i="7" a="1"/>
  <c r="AV481" i="7" s="1"/>
  <c r="AV470" i="7" a="1"/>
  <c r="AV470" i="7" s="1"/>
  <c r="AV469" i="7" a="1"/>
  <c r="AV469" i="7" s="1"/>
  <c r="AV468" i="7" a="1"/>
  <c r="AV468" i="7" s="1"/>
  <c r="AV467" i="7" a="1"/>
  <c r="AV467" i="7" s="1"/>
  <c r="AV466" i="7" a="1"/>
  <c r="AV466" i="7" s="1"/>
  <c r="AV494" i="7" a="1"/>
  <c r="AV494" i="7" s="1"/>
  <c r="AV493" i="7" a="1"/>
  <c r="AV493" i="7" s="1"/>
  <c r="AV492" i="7" a="1"/>
  <c r="AV492" i="7" s="1"/>
  <c r="AV491" i="7" a="1"/>
  <c r="AV491" i="7" s="1"/>
  <c r="AV490" i="7" a="1"/>
  <c r="AV490" i="7" s="1"/>
  <c r="AV489" i="7" a="1"/>
  <c r="AV489" i="7" s="1"/>
  <c r="AV488" i="7" a="1"/>
  <c r="AV488" i="7" s="1"/>
  <c r="AV487" i="7" a="1"/>
  <c r="AV487" i="7" s="1"/>
  <c r="AV486" i="7" a="1"/>
  <c r="AV486" i="7" s="1"/>
  <c r="AV485" i="7" a="1"/>
  <c r="AV485" i="7" s="1"/>
  <c r="AV484" i="7" a="1"/>
  <c r="AV484" i="7" s="1"/>
  <c r="AV516" i="7" a="1"/>
  <c r="AV516" i="7" s="1"/>
  <c r="AV457" i="7" a="1"/>
  <c r="AV457" i="7" s="1"/>
  <c r="AV453" i="7" a="1"/>
  <c r="AV453" i="7" s="1"/>
  <c r="AV450" i="7" a="1"/>
  <c r="AV450" i="7" s="1"/>
  <c r="AV443" i="7" a="1"/>
  <c r="AV443" i="7" s="1"/>
  <c r="AV440" i="7" a="1"/>
  <c r="AV440" i="7" s="1"/>
  <c r="AV436" i="7" a="1"/>
  <c r="AV436" i="7" s="1"/>
  <c r="AV433" i="7" a="1"/>
  <c r="AV433" i="7" s="1"/>
  <c r="AV477" i="7" a="1"/>
  <c r="AV477" i="7" s="1"/>
  <c r="AV478" i="7" a="1"/>
  <c r="AV478" i="7" s="1"/>
  <c r="AV456" i="7" a="1"/>
  <c r="AV456" i="7" s="1"/>
  <c r="AV449" i="7" a="1"/>
  <c r="AV449" i="7" s="1"/>
  <c r="AV446" i="7" a="1"/>
  <c r="AV446" i="7" s="1"/>
  <c r="AV442" i="7" a="1"/>
  <c r="AV442" i="7" s="1"/>
  <c r="AV439" i="7" a="1"/>
  <c r="AV439" i="7" s="1"/>
  <c r="AV435" i="7" a="1"/>
  <c r="AV435" i="7" s="1"/>
  <c r="AV432" i="7" a="1"/>
  <c r="AV432" i="7" s="1"/>
  <c r="AV472" i="7" a="1"/>
  <c r="AV472" i="7" s="1"/>
  <c r="AV429" i="7" a="1"/>
  <c r="AV429" i="7" s="1"/>
  <c r="AV426" i="7" a="1"/>
  <c r="AV426" i="7" s="1"/>
  <c r="AV419" i="7" a="1"/>
  <c r="AV419" i="7" s="1"/>
  <c r="AV471" i="7" a="1"/>
  <c r="AV471" i="7" s="1"/>
  <c r="AV455" i="7" a="1"/>
  <c r="AV455" i="7" s="1"/>
  <c r="AV452" i="7" a="1"/>
  <c r="AV452" i="7" s="1"/>
  <c r="AV448" i="7" a="1"/>
  <c r="AV448" i="7" s="1"/>
  <c r="AV445" i="7" a="1"/>
  <c r="AV445" i="7" s="1"/>
  <c r="AV441" i="7" a="1"/>
  <c r="AV441" i="7" s="1"/>
  <c r="AV438" i="7" a="1"/>
  <c r="AV438" i="7" s="1"/>
  <c r="AV430" i="7" a="1"/>
  <c r="AV430" i="7" s="1"/>
  <c r="AV483" i="7" a="1"/>
  <c r="AV483" i="7" s="1"/>
  <c r="AV480" i="7" a="1"/>
  <c r="AV480" i="7" s="1"/>
  <c r="AV475" i="7" a="1"/>
  <c r="AV475" i="7" s="1"/>
  <c r="AV454" i="7" a="1"/>
  <c r="AV454" i="7" s="1"/>
  <c r="AV451" i="7" a="1"/>
  <c r="AV451" i="7" s="1"/>
  <c r="AV447" i="7" a="1"/>
  <c r="AV447" i="7" s="1"/>
  <c r="AV444" i="7" a="1"/>
  <c r="AV444" i="7" s="1"/>
  <c r="AV476" i="7" a="1"/>
  <c r="AV476" i="7" s="1"/>
  <c r="AV425" i="7" a="1"/>
  <c r="AV425" i="7" s="1"/>
  <c r="AV519" i="7" a="1"/>
  <c r="AV519" i="7" s="1"/>
  <c r="AV437" i="7" a="1"/>
  <c r="AV437" i="7" s="1"/>
  <c r="AV434" i="7" a="1"/>
  <c r="AV434" i="7" s="1"/>
  <c r="AV423" i="7" a="1"/>
  <c r="AV423" i="7" s="1"/>
  <c r="AV422" i="7" a="1"/>
  <c r="AV422" i="7" s="1"/>
  <c r="AV421" i="7" a="1"/>
  <c r="AV421" i="7" s="1"/>
  <c r="AV420" i="7" a="1"/>
  <c r="AV420" i="7" s="1"/>
  <c r="AV462" i="7" a="1"/>
  <c r="AV462" i="7" s="1"/>
  <c r="AV459" i="7" a="1"/>
  <c r="AV459" i="7" s="1"/>
  <c r="AV428" i="7" a="1"/>
  <c r="AV428" i="7" s="1"/>
  <c r="AV427" i="7" a="1"/>
  <c r="AV427" i="7" s="1"/>
  <c r="AV418" i="7" a="1"/>
  <c r="AV418" i="7" s="1"/>
  <c r="AV474" i="7" a="1"/>
  <c r="AV474" i="7" s="1"/>
  <c r="AV431" i="7" a="1"/>
  <c r="AV431" i="7" s="1"/>
  <c r="AV424" i="7" a="1"/>
  <c r="AV424" i="7" s="1"/>
  <c r="AV473" i="7" a="1"/>
  <c r="AV473" i="7" s="1"/>
  <c r="AV464" i="7" a="1"/>
  <c r="AV464" i="7" s="1"/>
  <c r="AV461" i="7" a="1"/>
  <c r="AV461" i="7" s="1"/>
  <c r="AV417" i="7" a="1"/>
  <c r="AV417" i="7" s="1"/>
  <c r="AV463" i="7" a="1"/>
  <c r="AV463" i="7" s="1"/>
  <c r="AV460" i="7" a="1"/>
  <c r="AV460" i="7" s="1"/>
  <c r="AV458" i="7" a="1"/>
  <c r="AV458" i="7" s="1"/>
  <c r="AV465" i="7" a="1"/>
  <c r="AV465" i="7" s="1"/>
  <c r="AM548" i="7" a="1"/>
  <c r="AM548" i="7" s="1"/>
  <c r="AM546" i="7" a="1"/>
  <c r="AM546" i="7" s="1"/>
  <c r="AM544" i="7" a="1"/>
  <c r="AM544" i="7" s="1"/>
  <c r="AM541" i="7" a="1"/>
  <c r="AM541" i="7" s="1"/>
  <c r="AM539" i="7" a="1"/>
  <c r="AM539" i="7" s="1"/>
  <c r="AM537" i="7" a="1"/>
  <c r="AM537" i="7" s="1"/>
  <c r="AM536" i="7" a="1"/>
  <c r="AM536" i="7" s="1"/>
  <c r="AM534" i="7" a="1"/>
  <c r="AM534" i="7" s="1"/>
  <c r="AM515" i="7" a="1"/>
  <c r="AM515" i="7" s="1"/>
  <c r="AM514" i="7" a="1"/>
  <c r="AM514" i="7" s="1"/>
  <c r="AM513" i="7" a="1"/>
  <c r="AM513" i="7" s="1"/>
  <c r="AM512" i="7" a="1"/>
  <c r="AM512" i="7" s="1"/>
  <c r="AM511" i="7" a="1"/>
  <c r="AM511" i="7" s="1"/>
  <c r="AM510" i="7" a="1"/>
  <c r="AM510" i="7" s="1"/>
  <c r="AM509" i="7" a="1"/>
  <c r="AM509" i="7" s="1"/>
  <c r="AM508" i="7" a="1"/>
  <c r="AM508" i="7" s="1"/>
  <c r="AM507" i="7" a="1"/>
  <c r="AM507" i="7" s="1"/>
  <c r="AM506" i="7" a="1"/>
  <c r="AM506" i="7" s="1"/>
  <c r="AM542" i="7" a="1"/>
  <c r="AM542" i="7" s="1"/>
  <c r="AM531" i="7" a="1"/>
  <c r="AM531" i="7" s="1"/>
  <c r="AM528" i="7" a="1"/>
  <c r="AM528" i="7" s="1"/>
  <c r="AM521" i="7" a="1"/>
  <c r="AM521" i="7" s="1"/>
  <c r="AM518" i="7" a="1"/>
  <c r="AM518" i="7" s="1"/>
  <c r="AM500" i="7" a="1"/>
  <c r="AM500" i="7" s="1"/>
  <c r="AM545" i="7" a="1"/>
  <c r="AM545" i="7" s="1"/>
  <c r="AM533" i="7" a="1"/>
  <c r="AM533" i="7" s="1"/>
  <c r="AM505" i="7" a="1"/>
  <c r="AM505" i="7" s="1"/>
  <c r="AM501" i="7" a="1"/>
  <c r="AM501" i="7" s="1"/>
  <c r="AM527" i="7" a="1"/>
  <c r="AM527" i="7" s="1"/>
  <c r="AM524" i="7" a="1"/>
  <c r="AM524" i="7" s="1"/>
  <c r="AM520" i="7" a="1"/>
  <c r="AM520" i="7" s="1"/>
  <c r="AM517" i="7" a="1"/>
  <c r="AM517" i="7" s="1"/>
  <c r="AM540" i="7" a="1"/>
  <c r="AM540" i="7" s="1"/>
  <c r="AM504" i="7" a="1"/>
  <c r="AM504" i="7" s="1"/>
  <c r="AM543" i="7" a="1"/>
  <c r="AM543" i="7" s="1"/>
  <c r="AM530" i="7" a="1"/>
  <c r="AM530" i="7" s="1"/>
  <c r="AM526" i="7" a="1"/>
  <c r="AM526" i="7" s="1"/>
  <c r="AM523" i="7" a="1"/>
  <c r="AM523" i="7" s="1"/>
  <c r="AM519" i="7" a="1"/>
  <c r="AM519" i="7" s="1"/>
  <c r="AM516" i="7" a="1"/>
  <c r="AM516" i="7" s="1"/>
  <c r="AM535" i="7" a="1"/>
  <c r="AM535" i="7" s="1"/>
  <c r="AM503" i="7" a="1"/>
  <c r="AM503" i="7" s="1"/>
  <c r="AM547" i="7" a="1"/>
  <c r="AM547" i="7" s="1"/>
  <c r="AM499" i="7" a="1"/>
  <c r="AM499" i="7" s="1"/>
  <c r="AM498" i="7" a="1"/>
  <c r="AM498" i="7" s="1"/>
  <c r="AM497" i="7" a="1"/>
  <c r="AM497" i="7" s="1"/>
  <c r="AM502" i="7" a="1"/>
  <c r="AM502" i="7" s="1"/>
  <c r="AM470" i="7" a="1"/>
  <c r="AM470" i="7" s="1"/>
  <c r="AM469" i="7" a="1"/>
  <c r="AM469" i="7" s="1"/>
  <c r="AM468" i="7" a="1"/>
  <c r="AM468" i="7" s="1"/>
  <c r="AM467" i="7" a="1"/>
  <c r="AM467" i="7" s="1"/>
  <c r="AM466" i="7" a="1"/>
  <c r="AM466" i="7" s="1"/>
  <c r="AM465" i="7" a="1"/>
  <c r="AM465" i="7" s="1"/>
  <c r="AM464" i="7" a="1"/>
  <c r="AM464" i="7" s="1"/>
  <c r="AM463" i="7" a="1"/>
  <c r="AM463" i="7" s="1"/>
  <c r="AM462" i="7" a="1"/>
  <c r="AM462" i="7" s="1"/>
  <c r="AM461" i="7" a="1"/>
  <c r="AM461" i="7" s="1"/>
  <c r="AM460" i="7" a="1"/>
  <c r="AM460" i="7" s="1"/>
  <c r="AM459" i="7" a="1"/>
  <c r="AM459" i="7" s="1"/>
  <c r="AM458" i="7" a="1"/>
  <c r="AM458" i="7" s="1"/>
  <c r="AM479" i="7" a="1"/>
  <c r="AM479" i="7" s="1"/>
  <c r="AM477" i="7" a="1"/>
  <c r="AM477" i="7" s="1"/>
  <c r="AM476" i="7" a="1"/>
  <c r="AM476" i="7" s="1"/>
  <c r="AM474" i="7" a="1"/>
  <c r="AM474" i="7" s="1"/>
  <c r="AM472" i="7" a="1"/>
  <c r="AM472" i="7" s="1"/>
  <c r="AM522" i="7" a="1"/>
  <c r="AM522" i="7" s="1"/>
  <c r="AM496" i="7" a="1"/>
  <c r="AM496" i="7" s="1"/>
  <c r="AM482" i="7" a="1"/>
  <c r="AM482" i="7" s="1"/>
  <c r="AM538" i="7" a="1"/>
  <c r="AM538" i="7" s="1"/>
  <c r="AM525" i="7" a="1"/>
  <c r="AM525" i="7" s="1"/>
  <c r="AM481" i="7" a="1"/>
  <c r="AM481" i="7" s="1"/>
  <c r="AM529" i="7" a="1"/>
  <c r="AM529" i="7" s="1"/>
  <c r="AM494" i="7" a="1"/>
  <c r="AM494" i="7" s="1"/>
  <c r="AM493" i="7" a="1"/>
  <c r="AM493" i="7" s="1"/>
  <c r="AM492" i="7" a="1"/>
  <c r="AM492" i="7" s="1"/>
  <c r="AM491" i="7" a="1"/>
  <c r="AM491" i="7" s="1"/>
  <c r="AM490" i="7" a="1"/>
  <c r="AM490" i="7" s="1"/>
  <c r="AM489" i="7" a="1"/>
  <c r="AM489" i="7" s="1"/>
  <c r="AM488" i="7" a="1"/>
  <c r="AM488" i="7" s="1"/>
  <c r="AM487" i="7" a="1"/>
  <c r="AM487" i="7" s="1"/>
  <c r="AM486" i="7" a="1"/>
  <c r="AM486" i="7" s="1"/>
  <c r="AM485" i="7" a="1"/>
  <c r="AM485" i="7" s="1"/>
  <c r="AM484" i="7" a="1"/>
  <c r="AM484" i="7" s="1"/>
  <c r="AM478" i="7" a="1"/>
  <c r="AM478" i="7" s="1"/>
  <c r="AM430" i="7" a="1"/>
  <c r="AM430" i="7" s="1"/>
  <c r="AM427" i="7" a="1"/>
  <c r="AM427" i="7" s="1"/>
  <c r="AM423" i="7" a="1"/>
  <c r="AM423" i="7" s="1"/>
  <c r="AM532" i="7" a="1"/>
  <c r="AM532" i="7" s="1"/>
  <c r="AM483" i="7" a="1"/>
  <c r="AM483" i="7" s="1"/>
  <c r="AM480" i="7" a="1"/>
  <c r="AM480" i="7" s="1"/>
  <c r="AM471" i="7" a="1"/>
  <c r="AM471" i="7" s="1"/>
  <c r="AM457" i="7" a="1"/>
  <c r="AM457" i="7" s="1"/>
  <c r="AM453" i="7" a="1"/>
  <c r="AM453" i="7" s="1"/>
  <c r="AM450" i="7" a="1"/>
  <c r="AM450" i="7" s="1"/>
  <c r="AM443" i="7" a="1"/>
  <c r="AM443" i="7" s="1"/>
  <c r="AM440" i="7" a="1"/>
  <c r="AM440" i="7" s="1"/>
  <c r="AM436" i="7" a="1"/>
  <c r="AM436" i="7" s="1"/>
  <c r="AM433" i="7" a="1"/>
  <c r="AM433" i="7" s="1"/>
  <c r="AM475" i="7" a="1"/>
  <c r="AM475" i="7" s="1"/>
  <c r="AM431" i="7" a="1"/>
  <c r="AM431" i="7" s="1"/>
  <c r="AM428" i="7" a="1"/>
  <c r="AM428" i="7" s="1"/>
  <c r="AM424" i="7" a="1"/>
  <c r="AM424" i="7" s="1"/>
  <c r="AM421" i="7" a="1"/>
  <c r="AM421" i="7" s="1"/>
  <c r="AM417" i="7" a="1"/>
  <c r="AM417" i="7" s="1"/>
  <c r="AM456" i="7" a="1"/>
  <c r="AM456" i="7" s="1"/>
  <c r="AM449" i="7" a="1"/>
  <c r="AM449" i="7" s="1"/>
  <c r="AM446" i="7" a="1"/>
  <c r="AM446" i="7" s="1"/>
  <c r="AM442" i="7" a="1"/>
  <c r="AM442" i="7" s="1"/>
  <c r="AM439" i="7" a="1"/>
  <c r="AM439" i="7" s="1"/>
  <c r="AM435" i="7" a="1"/>
  <c r="AM435" i="7" s="1"/>
  <c r="AM432" i="7" a="1"/>
  <c r="AM432" i="7" s="1"/>
  <c r="AM425" i="7" a="1"/>
  <c r="AM425" i="7" s="1"/>
  <c r="AM473" i="7" a="1"/>
  <c r="AM473" i="7" s="1"/>
  <c r="AM455" i="7" a="1"/>
  <c r="AM455" i="7" s="1"/>
  <c r="AM452" i="7" a="1"/>
  <c r="AM452" i="7" s="1"/>
  <c r="AM495" i="7" a="1"/>
  <c r="AM495" i="7" s="1"/>
  <c r="AM447" i="7" a="1"/>
  <c r="AM447" i="7" s="1"/>
  <c r="AM422" i="7" a="1"/>
  <c r="AM422" i="7" s="1"/>
  <c r="AM451" i="7" a="1"/>
  <c r="AM451" i="7" s="1"/>
  <c r="AM444" i="7" a="1"/>
  <c r="AM444" i="7" s="1"/>
  <c r="AM426" i="7" a="1"/>
  <c r="AM426" i="7" s="1"/>
  <c r="AM420" i="7" a="1"/>
  <c r="AM420" i="7" s="1"/>
  <c r="AM419" i="7" a="1"/>
  <c r="AM419" i="7" s="1"/>
  <c r="AM448" i="7" a="1"/>
  <c r="AM448" i="7" s="1"/>
  <c r="AM418" i="7" a="1"/>
  <c r="AM418" i="7" s="1"/>
  <c r="AM454" i="7" a="1"/>
  <c r="AM454" i="7" s="1"/>
  <c r="AM445" i="7" a="1"/>
  <c r="AM445" i="7" s="1"/>
  <c r="AM437" i="7" a="1"/>
  <c r="AM437" i="7" s="1"/>
  <c r="AM434" i="7" a="1"/>
  <c r="AM434" i="7" s="1"/>
  <c r="AM438" i="7" a="1"/>
  <c r="AM438" i="7" s="1"/>
  <c r="AM429" i="7" a="1"/>
  <c r="AM429" i="7" s="1"/>
  <c r="AM441" i="7" a="1"/>
  <c r="AM441" i="7" s="1"/>
  <c r="AW415" i="7" a="1"/>
  <c r="AW415" i="7" s="1"/>
  <c r="AW411" i="7" a="1"/>
  <c r="AW411" i="7" s="1"/>
  <c r="AW408" i="7" a="1"/>
  <c r="AW408" i="7" s="1"/>
  <c r="AW401" i="7" a="1"/>
  <c r="AW401" i="7" s="1"/>
  <c r="AW416" i="7" a="1"/>
  <c r="AW416" i="7" s="1"/>
  <c r="AW412" i="7" a="1"/>
  <c r="AW412" i="7" s="1"/>
  <c r="AW409" i="7" a="1"/>
  <c r="AW409" i="7" s="1"/>
  <c r="AW405" i="7" a="1"/>
  <c r="AW405" i="7" s="1"/>
  <c r="AW402" i="7" a="1"/>
  <c r="AW402" i="7" s="1"/>
  <c r="AW413" i="7" a="1"/>
  <c r="AW413" i="7" s="1"/>
  <c r="AW410" i="7" a="1"/>
  <c r="AW410" i="7" s="1"/>
  <c r="AW406" i="7" a="1"/>
  <c r="AW406" i="7" s="1"/>
  <c r="AW403" i="7" a="1"/>
  <c r="AW403" i="7" s="1"/>
  <c r="AW399" i="7" a="1"/>
  <c r="AW399" i="7" s="1"/>
  <c r="AW396" i="7" a="1"/>
  <c r="AW396" i="7" s="1"/>
  <c r="AW414" i="7" a="1"/>
  <c r="AW414" i="7" s="1"/>
  <c r="AW393" i="7" a="1"/>
  <c r="AW393" i="7" s="1"/>
  <c r="AW392" i="7" a="1"/>
  <c r="AW392" i="7" s="1"/>
  <c r="AW390" i="7" a="1"/>
  <c r="AW390" i="7" s="1"/>
  <c r="AW394" i="7" a="1"/>
  <c r="AW394" i="7" s="1"/>
  <c r="AW404" i="7" a="1"/>
  <c r="AW404" i="7" s="1"/>
  <c r="AW400" i="7" a="1"/>
  <c r="AW400" i="7" s="1"/>
  <c r="AW397" i="7" a="1"/>
  <c r="AW397" i="7" s="1"/>
  <c r="AW391" i="7" a="1"/>
  <c r="AW391" i="7" s="1"/>
  <c r="AW389" i="7" a="1"/>
  <c r="AW389" i="7" s="1"/>
  <c r="AW407" i="7" a="1"/>
  <c r="AW407" i="7" s="1"/>
  <c r="AW398" i="7" a="1"/>
  <c r="AW398" i="7" s="1"/>
  <c r="AW381" i="7" a="1"/>
  <c r="AW381" i="7" s="1"/>
  <c r="AW378" i="7" a="1"/>
  <c r="AW378" i="7" s="1"/>
  <c r="AW371" i="7" a="1"/>
  <c r="AW371" i="7" s="1"/>
  <c r="AW368" i="7" a="1"/>
  <c r="AW368" i="7" s="1"/>
  <c r="AW364" i="7" a="1"/>
  <c r="AW364" i="7" s="1"/>
  <c r="AW361" i="7" a="1"/>
  <c r="AW361" i="7" s="1"/>
  <c r="AW357" i="7" a="1"/>
  <c r="AW357" i="7" s="1"/>
  <c r="AW354" i="7" a="1"/>
  <c r="AW354" i="7" s="1"/>
  <c r="AW347" i="7" a="1"/>
  <c r="AW347" i="7" s="1"/>
  <c r="AW344" i="7" a="1"/>
  <c r="AW344" i="7" s="1"/>
  <c r="AW340" i="7" a="1"/>
  <c r="AW340" i="7" s="1"/>
  <c r="AW337" i="7" a="1"/>
  <c r="AW337" i="7" s="1"/>
  <c r="AW333" i="7" a="1"/>
  <c r="AW333" i="7" s="1"/>
  <c r="AW330" i="7" a="1"/>
  <c r="AW330" i="7" s="1"/>
  <c r="AW323" i="7" a="1"/>
  <c r="AW323" i="7" s="1"/>
  <c r="AW320" i="7" a="1"/>
  <c r="AW320" i="7" s="1"/>
  <c r="AW316" i="7" a="1"/>
  <c r="AW316" i="7" s="1"/>
  <c r="AW383" i="7" a="1"/>
  <c r="AW383" i="7" s="1"/>
  <c r="AW385" i="7" a="1"/>
  <c r="AW385" i="7" s="1"/>
  <c r="AW379" i="7" a="1"/>
  <c r="AW379" i="7" s="1"/>
  <c r="AW375" i="7" a="1"/>
  <c r="AW375" i="7" s="1"/>
  <c r="AW372" i="7" a="1"/>
  <c r="AW372" i="7" s="1"/>
  <c r="AW365" i="7" a="1"/>
  <c r="AW365" i="7" s="1"/>
  <c r="AW362" i="7" a="1"/>
  <c r="AW362" i="7" s="1"/>
  <c r="AW358" i="7" a="1"/>
  <c r="AW358" i="7" s="1"/>
  <c r="AW355" i="7" a="1"/>
  <c r="AW355" i="7" s="1"/>
  <c r="AW351" i="7" a="1"/>
  <c r="AW351" i="7" s="1"/>
  <c r="AW348" i="7" a="1"/>
  <c r="AW348" i="7" s="1"/>
  <c r="AW341" i="7" a="1"/>
  <c r="AW341" i="7" s="1"/>
  <c r="AW338" i="7" a="1"/>
  <c r="AW338" i="7" s="1"/>
  <c r="AW334" i="7" a="1"/>
  <c r="AW334" i="7" s="1"/>
  <c r="AW331" i="7" a="1"/>
  <c r="AW331" i="7" s="1"/>
  <c r="AW327" i="7" a="1"/>
  <c r="AW327" i="7" s="1"/>
  <c r="AW324" i="7" a="1"/>
  <c r="AW324" i="7" s="1"/>
  <c r="AW388" i="7" a="1"/>
  <c r="AW388" i="7" s="1"/>
  <c r="AW395" i="7" a="1"/>
  <c r="AW395" i="7" s="1"/>
  <c r="AW384" i="7" a="1"/>
  <c r="AW384" i="7" s="1"/>
  <c r="AW310" i="7" a="1"/>
  <c r="AW310" i="7" s="1"/>
  <c r="AW350" i="7" a="1"/>
  <c r="AW350" i="7" s="1"/>
  <c r="AW387" i="7" a="1"/>
  <c r="AW387" i="7" s="1"/>
  <c r="AW367" i="7" a="1"/>
  <c r="AW367" i="7" s="1"/>
  <c r="AW353" i="7" a="1"/>
  <c r="AW353" i="7" s="1"/>
  <c r="AW339" i="7" a="1"/>
  <c r="AW339" i="7" s="1"/>
  <c r="AW318" i="7" a="1"/>
  <c r="AW318" i="7" s="1"/>
  <c r="AW317" i="7" a="1"/>
  <c r="AW317" i="7" s="1"/>
  <c r="AW298" i="7" a="1"/>
  <c r="AW298" i="7" s="1"/>
  <c r="AW295" i="7" a="1"/>
  <c r="AW295" i="7" s="1"/>
  <c r="AW293" i="7" a="1"/>
  <c r="AW293" i="7" s="1"/>
  <c r="AW290" i="7" a="1"/>
  <c r="AW290" i="7" s="1"/>
  <c r="AW314" i="7" a="1"/>
  <c r="AW314" i="7" s="1"/>
  <c r="AW305" i="7" a="1"/>
  <c r="AW305" i="7" s="1"/>
  <c r="AW309" i="7" a="1"/>
  <c r="AW309" i="7" s="1"/>
  <c r="AW345" i="7" a="1"/>
  <c r="AW345" i="7" s="1"/>
  <c r="AW304" i="7" a="1"/>
  <c r="AW304" i="7" s="1"/>
  <c r="AW382" i="7" a="1"/>
  <c r="AW382" i="7" s="1"/>
  <c r="AW376" i="7" a="1"/>
  <c r="AW376" i="7" s="1"/>
  <c r="AW349" i="7" a="1"/>
  <c r="AW349" i="7" s="1"/>
  <c r="AW336" i="7" a="1"/>
  <c r="AW336" i="7" s="1"/>
  <c r="AW319" i="7" a="1"/>
  <c r="AW319" i="7" s="1"/>
  <c r="AW302" i="7" a="1"/>
  <c r="AW302" i="7" s="1"/>
  <c r="AW301" i="7" a="1"/>
  <c r="AW301" i="7" s="1"/>
  <c r="AW300" i="7" a="1"/>
  <c r="AW300" i="7" s="1"/>
  <c r="AW299" i="7" a="1"/>
  <c r="AW299" i="7" s="1"/>
  <c r="AW297" i="7" a="1"/>
  <c r="AW297" i="7" s="1"/>
  <c r="AW296" i="7" a="1"/>
  <c r="AW296" i="7" s="1"/>
  <c r="AW294" i="7" a="1"/>
  <c r="AW294" i="7" s="1"/>
  <c r="AW292" i="7" a="1"/>
  <c r="AW292" i="7" s="1"/>
  <c r="AW291" i="7" a="1"/>
  <c r="AW291" i="7" s="1"/>
  <c r="AW289" i="7" a="1"/>
  <c r="AW289" i="7" s="1"/>
  <c r="AW288" i="7" a="1"/>
  <c r="AW288" i="7" s="1"/>
  <c r="AW287" i="7" a="1"/>
  <c r="AW287" i="7" s="1"/>
  <c r="AW286" i="7" a="1"/>
  <c r="AW286" i="7" s="1"/>
  <c r="AW285" i="7" a="1"/>
  <c r="AW285" i="7" s="1"/>
  <c r="AW329" i="7" a="1"/>
  <c r="AW329" i="7" s="1"/>
  <c r="AW373" i="7" a="1"/>
  <c r="AW373" i="7" s="1"/>
  <c r="AW321" i="7" a="1"/>
  <c r="AW321" i="7" s="1"/>
  <c r="AW315" i="7" a="1"/>
  <c r="AW315" i="7" s="1"/>
  <c r="AW313" i="7" a="1"/>
  <c r="AW313" i="7" s="1"/>
  <c r="AW311" i="7" a="1"/>
  <c r="AW311" i="7" s="1"/>
  <c r="AW377" i="7" a="1"/>
  <c r="AW377" i="7" s="1"/>
  <c r="AW363" i="7" a="1"/>
  <c r="AW363" i="7" s="1"/>
  <c r="AW370" i="7" a="1"/>
  <c r="AW370" i="7" s="1"/>
  <c r="AW343" i="7" a="1"/>
  <c r="AW343" i="7" s="1"/>
  <c r="AW325" i="7" a="1"/>
  <c r="AW325" i="7" s="1"/>
  <c r="AW307" i="7" a="1"/>
  <c r="AW307" i="7" s="1"/>
  <c r="AW359" i="7" a="1"/>
  <c r="AW359" i="7" s="1"/>
  <c r="AW332" i="7" a="1"/>
  <c r="AW332" i="7" s="1"/>
  <c r="AW380" i="7" a="1"/>
  <c r="AW380" i="7" s="1"/>
  <c r="AW366" i="7" a="1"/>
  <c r="AW366" i="7" s="1"/>
  <c r="AW352" i="7" a="1"/>
  <c r="AW352" i="7" s="1"/>
  <c r="AW328" i="7" a="1"/>
  <c r="AW328" i="7" s="1"/>
  <c r="AW326" i="7" a="1"/>
  <c r="AW326" i="7" s="1"/>
  <c r="AW374" i="7" a="1"/>
  <c r="AW374" i="7" s="1"/>
  <c r="AW360" i="7" a="1"/>
  <c r="AW360" i="7" s="1"/>
  <c r="AW346" i="7" a="1"/>
  <c r="AW346" i="7" s="1"/>
  <c r="AW335" i="7" a="1"/>
  <c r="AW335" i="7" s="1"/>
  <c r="AW312" i="7" a="1"/>
  <c r="AW312" i="7" s="1"/>
  <c r="AW308" i="7" a="1"/>
  <c r="AW308" i="7" s="1"/>
  <c r="AW369" i="7" a="1"/>
  <c r="AW369" i="7" s="1"/>
  <c r="AW356" i="7" a="1"/>
  <c r="AW356" i="7" s="1"/>
  <c r="AW342" i="7" a="1"/>
  <c r="AW342" i="7" s="1"/>
  <c r="AW322" i="7" a="1"/>
  <c r="AW322" i="7" s="1"/>
  <c r="AW303" i="7" a="1"/>
  <c r="AW303" i="7" s="1"/>
  <c r="AW306" i="7" a="1"/>
  <c r="AW306" i="7" s="1"/>
  <c r="AW386" i="7" a="1"/>
  <c r="AW386" i="7" s="1"/>
  <c r="AM812" i="7" a="1"/>
  <c r="AM812" i="7" s="1"/>
  <c r="AM810" i="7" a="1"/>
  <c r="AM810" i="7" s="1"/>
  <c r="AM808" i="7" a="1"/>
  <c r="AM808" i="7" s="1"/>
  <c r="AM805" i="7" a="1"/>
  <c r="AM805" i="7" s="1"/>
  <c r="AM803" i="7" a="1"/>
  <c r="AM803" i="7" s="1"/>
  <c r="AM801" i="7" a="1"/>
  <c r="AM801" i="7" s="1"/>
  <c r="AM800" i="7" a="1"/>
  <c r="AM800" i="7" s="1"/>
  <c r="AM798" i="7" a="1"/>
  <c r="AM798" i="7" s="1"/>
  <c r="AM796" i="7" a="1"/>
  <c r="AM796" i="7" s="1"/>
  <c r="AM793" i="7" a="1"/>
  <c r="AM793" i="7" s="1"/>
  <c r="AM789" i="7" a="1"/>
  <c r="AM789" i="7" s="1"/>
  <c r="AM792" i="7" a="1"/>
  <c r="AM792" i="7" s="1"/>
  <c r="AM809" i="7" a="1"/>
  <c r="AM809" i="7" s="1"/>
  <c r="AM806" i="7" a="1"/>
  <c r="AM806" i="7" s="1"/>
  <c r="AM802" i="7" a="1"/>
  <c r="AM802" i="7" s="1"/>
  <c r="AM799" i="7" a="1"/>
  <c r="AM799" i="7" s="1"/>
  <c r="AM794" i="7" a="1"/>
  <c r="AM794" i="7" s="1"/>
  <c r="AM791" i="7" a="1"/>
  <c r="AM791" i="7" s="1"/>
  <c r="AM795" i="7" a="1"/>
  <c r="AM795" i="7" s="1"/>
  <c r="AM785" i="7" a="1"/>
  <c r="AM785" i="7" s="1"/>
  <c r="AM782" i="7" a="1"/>
  <c r="AM782" i="7" s="1"/>
  <c r="AM778" i="7" a="1"/>
  <c r="AM778" i="7" s="1"/>
  <c r="AM775" i="7" a="1"/>
  <c r="AM775" i="7" s="1"/>
  <c r="AM771" i="7" a="1"/>
  <c r="AM771" i="7" s="1"/>
  <c r="AM786" i="7" a="1"/>
  <c r="AM786" i="7" s="1"/>
  <c r="AM779" i="7" a="1"/>
  <c r="AM779" i="7" s="1"/>
  <c r="AM776" i="7" a="1"/>
  <c r="AM776" i="7" s="1"/>
  <c r="AM772" i="7" a="1"/>
  <c r="AM772" i="7" s="1"/>
  <c r="AM811" i="7" a="1"/>
  <c r="AM811" i="7" s="1"/>
  <c r="AM807" i="7" a="1"/>
  <c r="AM807" i="7" s="1"/>
  <c r="AM804" i="7" a="1"/>
  <c r="AM804" i="7" s="1"/>
  <c r="AM797" i="7" a="1"/>
  <c r="AM797" i="7" s="1"/>
  <c r="AM787" i="7" a="1"/>
  <c r="AM787" i="7" s="1"/>
  <c r="AM783" i="7" a="1"/>
  <c r="AM783" i="7" s="1"/>
  <c r="AM780" i="7" a="1"/>
  <c r="AM780" i="7" s="1"/>
  <c r="AM773" i="7" a="1"/>
  <c r="AM773" i="7" s="1"/>
  <c r="AM770" i="7" a="1"/>
  <c r="AM770" i="7" s="1"/>
  <c r="AM790" i="7" a="1"/>
  <c r="AM790" i="7" s="1"/>
  <c r="AM788" i="7" a="1"/>
  <c r="AM788" i="7" s="1"/>
  <c r="AM784" i="7" a="1"/>
  <c r="AM784" i="7" s="1"/>
  <c r="AM781" i="7" a="1"/>
  <c r="AM781" i="7" s="1"/>
  <c r="AM777" i="7" a="1"/>
  <c r="AM777" i="7" s="1"/>
  <c r="AM766" i="7" a="1"/>
  <c r="AM766" i="7" s="1"/>
  <c r="AM763" i="7" a="1"/>
  <c r="AM763" i="7" s="1"/>
  <c r="AM759" i="7" a="1"/>
  <c r="AM759" i="7" s="1"/>
  <c r="AM756" i="7" a="1"/>
  <c r="AM756" i="7" s="1"/>
  <c r="AM774" i="7" a="1"/>
  <c r="AM774" i="7" s="1"/>
  <c r="AM769" i="7" a="1"/>
  <c r="AM769" i="7" s="1"/>
  <c r="AM764" i="7" a="1"/>
  <c r="AM764" i="7" s="1"/>
  <c r="AM760" i="7" a="1"/>
  <c r="AM760" i="7" s="1"/>
  <c r="AM757" i="7" a="1"/>
  <c r="AM757" i="7" s="1"/>
  <c r="AM768" i="7" a="1"/>
  <c r="AM768" i="7" s="1"/>
  <c r="AM767" i="7" a="1"/>
  <c r="AM767" i="7" s="1"/>
  <c r="AM761" i="7" a="1"/>
  <c r="AM761" i="7" s="1"/>
  <c r="AM758" i="7" a="1"/>
  <c r="AM758" i="7" s="1"/>
  <c r="AM762" i="7" a="1"/>
  <c r="AM762" i="7" s="1"/>
  <c r="AM765" i="7" a="1"/>
  <c r="AM765" i="7" s="1"/>
  <c r="AM755" i="7" a="1"/>
  <c r="AM755" i="7" s="1"/>
  <c r="AM754" i="7" a="1"/>
  <c r="AM754" i="7" s="1"/>
  <c r="AM753" i="7" a="1"/>
  <c r="AM753" i="7" s="1"/>
  <c r="AM752" i="7" a="1"/>
  <c r="AM752" i="7" s="1"/>
  <c r="AM743" i="7" a="1"/>
  <c r="AM743" i="7" s="1"/>
  <c r="AM740" i="7" a="1"/>
  <c r="AM740" i="7" s="1"/>
  <c r="AM736" i="7" a="1"/>
  <c r="AM736" i="7" s="1"/>
  <c r="AM747" i="7" a="1"/>
  <c r="AM747" i="7" s="1"/>
  <c r="AM744" i="7" a="1"/>
  <c r="AM744" i="7" s="1"/>
  <c r="AM737" i="7" a="1"/>
  <c r="AM737" i="7" s="1"/>
  <c r="AM734" i="7" a="1"/>
  <c r="AM734" i="7" s="1"/>
  <c r="AM751" i="7" a="1"/>
  <c r="AM751" i="7" s="1"/>
  <c r="AM745" i="7" a="1"/>
  <c r="AM745" i="7" s="1"/>
  <c r="AM741" i="7" a="1"/>
  <c r="AM741" i="7" s="1"/>
  <c r="AM738" i="7" a="1"/>
  <c r="AM738" i="7" s="1"/>
  <c r="AM749" i="7" a="1"/>
  <c r="AM749" i="7" s="1"/>
  <c r="AM748" i="7" a="1"/>
  <c r="AM748" i="7" s="1"/>
  <c r="AM750" i="7" a="1"/>
  <c r="AM750" i="7" s="1"/>
  <c r="AM746" i="7" a="1"/>
  <c r="AM746" i="7" s="1"/>
  <c r="AM735" i="7" a="1"/>
  <c r="AM735" i="7" s="1"/>
  <c r="AM732" i="7" a="1"/>
  <c r="AM732" i="7" s="1"/>
  <c r="AM725" i="7" a="1"/>
  <c r="AM725" i="7" s="1"/>
  <c r="AM733" i="7" a="1"/>
  <c r="AM733" i="7" s="1"/>
  <c r="AM729" i="7" a="1"/>
  <c r="AM729" i="7" s="1"/>
  <c r="AM726" i="7" a="1"/>
  <c r="AM726" i="7" s="1"/>
  <c r="AM730" i="7" a="1"/>
  <c r="AM730" i="7" s="1"/>
  <c r="AM727" i="7" a="1"/>
  <c r="AM727" i="7" s="1"/>
  <c r="AM739" i="7" a="1"/>
  <c r="AM739" i="7" s="1"/>
  <c r="AM724" i="7" a="1"/>
  <c r="AM724" i="7" s="1"/>
  <c r="AM721" i="7" a="1"/>
  <c r="AM721" i="7" s="1"/>
  <c r="AM717" i="7" a="1"/>
  <c r="AM717" i="7" s="1"/>
  <c r="AM714" i="7" a="1"/>
  <c r="AM714" i="7" s="1"/>
  <c r="AM728" i="7" a="1"/>
  <c r="AM728" i="7" s="1"/>
  <c r="AM711" i="7" a="1"/>
  <c r="AM711" i="7" s="1"/>
  <c r="AM708" i="7" a="1"/>
  <c r="AM708" i="7" s="1"/>
  <c r="AM701" i="7" a="1"/>
  <c r="AM701" i="7" s="1"/>
  <c r="AM698" i="7" a="1"/>
  <c r="AM698" i="7" s="1"/>
  <c r="AM723" i="7" a="1"/>
  <c r="AM723" i="7" s="1"/>
  <c r="AM720" i="7" a="1"/>
  <c r="AM720" i="7" s="1"/>
  <c r="AM713" i="7" a="1"/>
  <c r="AM713" i="7" s="1"/>
  <c r="AM742" i="7" a="1"/>
  <c r="AM742" i="7" s="1"/>
  <c r="AM731" i="7" a="1"/>
  <c r="AM731" i="7" s="1"/>
  <c r="AM709" i="7" a="1"/>
  <c r="AM709" i="7" s="1"/>
  <c r="AM705" i="7" a="1"/>
  <c r="AM705" i="7" s="1"/>
  <c r="AM702" i="7" a="1"/>
  <c r="AM702" i="7" s="1"/>
  <c r="AM719" i="7" a="1"/>
  <c r="AM719" i="7" s="1"/>
  <c r="AM716" i="7" a="1"/>
  <c r="AM716" i="7" s="1"/>
  <c r="AM712" i="7" a="1"/>
  <c r="AM712" i="7" s="1"/>
  <c r="AM710" i="7" a="1"/>
  <c r="AM710" i="7" s="1"/>
  <c r="AM703" i="7" a="1"/>
  <c r="AM703" i="7" s="1"/>
  <c r="AM700" i="7" a="1"/>
  <c r="AM700" i="7" s="1"/>
  <c r="AM722" i="7" a="1"/>
  <c r="AM722" i="7" s="1"/>
  <c r="AM715" i="7" a="1"/>
  <c r="AM715" i="7" s="1"/>
  <c r="AM697" i="7" a="1"/>
  <c r="AM697" i="7" s="1"/>
  <c r="AM699" i="7" a="1"/>
  <c r="AM699" i="7" s="1"/>
  <c r="AM704" i="7" a="1"/>
  <c r="AM704" i="7" s="1"/>
  <c r="AM695" i="7" a="1"/>
  <c r="AM695" i="7" s="1"/>
  <c r="AM690" i="7" a="1"/>
  <c r="AM690" i="7" s="1"/>
  <c r="AM688" i="7" a="1"/>
  <c r="AM688" i="7" s="1"/>
  <c r="AM685" i="7" a="1"/>
  <c r="AM685" i="7" s="1"/>
  <c r="AM683" i="7" a="1"/>
  <c r="AM683" i="7" s="1"/>
  <c r="AM681" i="7" a="1"/>
  <c r="AM681" i="7" s="1"/>
  <c r="AM696" i="7" a="1"/>
  <c r="AM696" i="7" s="1"/>
  <c r="AM694" i="7" a="1"/>
  <c r="AM694" i="7" s="1"/>
  <c r="AM718" i="7" a="1"/>
  <c r="AM718" i="7" s="1"/>
  <c r="AM693" i="7" a="1"/>
  <c r="AM693" i="7" s="1"/>
  <c r="AM689" i="7" a="1"/>
  <c r="AM689" i="7" s="1"/>
  <c r="AM687" i="7" a="1"/>
  <c r="AM687" i="7" s="1"/>
  <c r="AM686" i="7" a="1"/>
  <c r="AM686" i="7" s="1"/>
  <c r="AM684" i="7" a="1"/>
  <c r="AM684" i="7" s="1"/>
  <c r="AM682" i="7" a="1"/>
  <c r="AM682" i="7" s="1"/>
  <c r="AM707" i="7" a="1"/>
  <c r="AM707" i="7" s="1"/>
  <c r="AM706" i="7" a="1"/>
  <c r="AM706" i="7" s="1"/>
  <c r="AM692" i="7" a="1"/>
  <c r="AM692" i="7" s="1"/>
  <c r="AM691" i="7" a="1"/>
  <c r="AM691" i="7" s="1"/>
  <c r="AU811" i="7" a="1"/>
  <c r="AU811" i="7" s="1"/>
  <c r="AU809" i="7" a="1"/>
  <c r="AU809" i="7" s="1"/>
  <c r="AU807" i="7" a="1"/>
  <c r="AU807" i="7" s="1"/>
  <c r="AU806" i="7" a="1"/>
  <c r="AU806" i="7" s="1"/>
  <c r="AU804" i="7" a="1"/>
  <c r="AU804" i="7" s="1"/>
  <c r="AU802" i="7" a="1"/>
  <c r="AU802" i="7" s="1"/>
  <c r="AU799" i="7" a="1"/>
  <c r="AU799" i="7" s="1"/>
  <c r="AU797" i="7" a="1"/>
  <c r="AU797" i="7" s="1"/>
  <c r="AU795" i="7" a="1"/>
  <c r="AU795" i="7" s="1"/>
  <c r="AU794" i="7" a="1"/>
  <c r="AU794" i="7" s="1"/>
  <c r="AU793" i="7" a="1"/>
  <c r="AU793" i="7" s="1"/>
  <c r="AU812" i="7" a="1"/>
  <c r="AU812" i="7" s="1"/>
  <c r="AU810" i="7" a="1"/>
  <c r="AU810" i="7" s="1"/>
  <c r="AU808" i="7" a="1"/>
  <c r="AU808" i="7" s="1"/>
  <c r="AU805" i="7" a="1"/>
  <c r="AU805" i="7" s="1"/>
  <c r="AU803" i="7" a="1"/>
  <c r="AU803" i="7" s="1"/>
  <c r="AU801" i="7" a="1"/>
  <c r="AU801" i="7" s="1"/>
  <c r="AU800" i="7" a="1"/>
  <c r="AU800" i="7" s="1"/>
  <c r="AU798" i="7" a="1"/>
  <c r="AU798" i="7" s="1"/>
  <c r="AU796" i="7" a="1"/>
  <c r="AU796" i="7" s="1"/>
  <c r="AU792" i="7" a="1"/>
  <c r="AU792" i="7" s="1"/>
  <c r="AU790" i="7" a="1"/>
  <c r="AU790" i="7" s="1"/>
  <c r="AU786" i="7" a="1"/>
  <c r="AU786" i="7" s="1"/>
  <c r="AU779" i="7" a="1"/>
  <c r="AU779" i="7" s="1"/>
  <c r="AU776" i="7" a="1"/>
  <c r="AU776" i="7" s="1"/>
  <c r="AU772" i="7" a="1"/>
  <c r="AU772" i="7" s="1"/>
  <c r="AU769" i="7" a="1"/>
  <c r="AU769" i="7" s="1"/>
  <c r="AU791" i="7" a="1"/>
  <c r="AU791" i="7" s="1"/>
  <c r="AU787" i="7" a="1"/>
  <c r="AU787" i="7" s="1"/>
  <c r="AU783" i="7" a="1"/>
  <c r="AU783" i="7" s="1"/>
  <c r="AU780" i="7" a="1"/>
  <c r="AU780" i="7" s="1"/>
  <c r="AU773" i="7" a="1"/>
  <c r="AU773" i="7" s="1"/>
  <c r="AU788" i="7" a="1"/>
  <c r="AU788" i="7" s="1"/>
  <c r="AU784" i="7" a="1"/>
  <c r="AU784" i="7" s="1"/>
  <c r="AU781" i="7" a="1"/>
  <c r="AU781" i="7" s="1"/>
  <c r="AU777" i="7" a="1"/>
  <c r="AU777" i="7" s="1"/>
  <c r="AU774" i="7" a="1"/>
  <c r="AU774" i="7" s="1"/>
  <c r="AU767" i="7" a="1"/>
  <c r="AU767" i="7" s="1"/>
  <c r="AU785" i="7" a="1"/>
  <c r="AU785" i="7" s="1"/>
  <c r="AU782" i="7" a="1"/>
  <c r="AU782" i="7" s="1"/>
  <c r="AU778" i="7" a="1"/>
  <c r="AU778" i="7" s="1"/>
  <c r="AU775" i="7" a="1"/>
  <c r="AU775" i="7" s="1"/>
  <c r="AU764" i="7" a="1"/>
  <c r="AU764" i="7" s="1"/>
  <c r="AU760" i="7" a="1"/>
  <c r="AU760" i="7" s="1"/>
  <c r="AU757" i="7" a="1"/>
  <c r="AU757" i="7" s="1"/>
  <c r="AU771" i="7" a="1"/>
  <c r="AU771" i="7" s="1"/>
  <c r="AU761" i="7" a="1"/>
  <c r="AU761" i="7" s="1"/>
  <c r="AU758" i="7" a="1"/>
  <c r="AU758" i="7" s="1"/>
  <c r="AU768" i="7" a="1"/>
  <c r="AU768" i="7" s="1"/>
  <c r="AU770" i="7" a="1"/>
  <c r="AU770" i="7" s="1"/>
  <c r="AU765" i="7" a="1"/>
  <c r="AU765" i="7" s="1"/>
  <c r="AU762" i="7" a="1"/>
  <c r="AU762" i="7" s="1"/>
  <c r="AU789" i="7" a="1"/>
  <c r="AU789" i="7" s="1"/>
  <c r="AU751" i="7" a="1"/>
  <c r="AU751" i="7" s="1"/>
  <c r="AU749" i="7" a="1"/>
  <c r="AU749" i="7" s="1"/>
  <c r="AU759" i="7" a="1"/>
  <c r="AU759" i="7" s="1"/>
  <c r="AU756" i="7" a="1"/>
  <c r="AU756" i="7" s="1"/>
  <c r="AU763" i="7" a="1"/>
  <c r="AU763" i="7" s="1"/>
  <c r="AU755" i="7" a="1"/>
  <c r="AU755" i="7" s="1"/>
  <c r="AU754" i="7" a="1"/>
  <c r="AU754" i="7" s="1"/>
  <c r="AU743" i="7" a="1"/>
  <c r="AU743" i="7" s="1"/>
  <c r="AU740" i="7" a="1"/>
  <c r="AU740" i="7" s="1"/>
  <c r="AU736" i="7" a="1"/>
  <c r="AU736" i="7" s="1"/>
  <c r="AU752" i="7" a="1"/>
  <c r="AU752" i="7" s="1"/>
  <c r="AU750" i="7" a="1"/>
  <c r="AU750" i="7" s="1"/>
  <c r="AU747" i="7" a="1"/>
  <c r="AU747" i="7" s="1"/>
  <c r="AU744" i="7" a="1"/>
  <c r="AU744" i="7" s="1"/>
  <c r="AU737" i="7" a="1"/>
  <c r="AU737" i="7" s="1"/>
  <c r="AU734" i="7" a="1"/>
  <c r="AU734" i="7" s="1"/>
  <c r="AU766" i="7" a="1"/>
  <c r="AU766" i="7" s="1"/>
  <c r="AU745" i="7" a="1"/>
  <c r="AU745" i="7" s="1"/>
  <c r="AU741" i="7" a="1"/>
  <c r="AU741" i="7" s="1"/>
  <c r="AU738" i="7" a="1"/>
  <c r="AU738" i="7" s="1"/>
  <c r="AU753" i="7" a="1"/>
  <c r="AU753" i="7" s="1"/>
  <c r="AU725" i="7" a="1"/>
  <c r="AU725" i="7" s="1"/>
  <c r="AU724" i="7" a="1"/>
  <c r="AU724" i="7" s="1"/>
  <c r="AU729" i="7" a="1"/>
  <c r="AU729" i="7" s="1"/>
  <c r="AU726" i="7" a="1"/>
  <c r="AU726" i="7" s="1"/>
  <c r="AU733" i="7" a="1"/>
  <c r="AU733" i="7" s="1"/>
  <c r="AU730" i="7" a="1"/>
  <c r="AU730" i="7" s="1"/>
  <c r="AU727" i="7" a="1"/>
  <c r="AU727" i="7" s="1"/>
  <c r="AU739" i="7" a="1"/>
  <c r="AU739" i="7" s="1"/>
  <c r="AU748" i="7" a="1"/>
  <c r="AU748" i="7" s="1"/>
  <c r="AU742" i="7" a="1"/>
  <c r="AU742" i="7" s="1"/>
  <c r="AU731" i="7" a="1"/>
  <c r="AU731" i="7" s="1"/>
  <c r="AU728" i="7" a="1"/>
  <c r="AU728" i="7" s="1"/>
  <c r="AU735" i="7" a="1"/>
  <c r="AU735" i="7" s="1"/>
  <c r="AU746" i="7" a="1"/>
  <c r="AU746" i="7" s="1"/>
  <c r="AU711" i="7" a="1"/>
  <c r="AU711" i="7" s="1"/>
  <c r="AU708" i="7" a="1"/>
  <c r="AU708" i="7" s="1"/>
  <c r="AU721" i="7" a="1"/>
  <c r="AU721" i="7" s="1"/>
  <c r="AU717" i="7" a="1"/>
  <c r="AU717" i="7" s="1"/>
  <c r="AU714" i="7" a="1"/>
  <c r="AU714" i="7" s="1"/>
  <c r="AU709" i="7" a="1"/>
  <c r="AU709" i="7" s="1"/>
  <c r="AU705" i="7" a="1"/>
  <c r="AU705" i="7" s="1"/>
  <c r="AU702" i="7" a="1"/>
  <c r="AU702" i="7" s="1"/>
  <c r="AU695" i="7" a="1"/>
  <c r="AU695" i="7" s="1"/>
  <c r="AU723" i="7" a="1"/>
  <c r="AU723" i="7" s="1"/>
  <c r="AU720" i="7" a="1"/>
  <c r="AU720" i="7" s="1"/>
  <c r="AU713" i="7" a="1"/>
  <c r="AU713" i="7" s="1"/>
  <c r="AU710" i="7" a="1"/>
  <c r="AU710" i="7" s="1"/>
  <c r="AU706" i="7" a="1"/>
  <c r="AU706" i="7" s="1"/>
  <c r="AU703" i="7" a="1"/>
  <c r="AU703" i="7" s="1"/>
  <c r="AU699" i="7" a="1"/>
  <c r="AU699" i="7" s="1"/>
  <c r="AU719" i="7" a="1"/>
  <c r="AU719" i="7" s="1"/>
  <c r="AU716" i="7" a="1"/>
  <c r="AU716" i="7" s="1"/>
  <c r="AU712" i="7" a="1"/>
  <c r="AU712" i="7" s="1"/>
  <c r="AU732" i="7" a="1"/>
  <c r="AU732" i="7" s="1"/>
  <c r="AU722" i="7" a="1"/>
  <c r="AU722" i="7" s="1"/>
  <c r="AU718" i="7" a="1"/>
  <c r="AU718" i="7" s="1"/>
  <c r="AU715" i="7" a="1"/>
  <c r="AU715" i="7" s="1"/>
  <c r="AU698" i="7" a="1"/>
  <c r="AU698" i="7" s="1"/>
  <c r="AU701" i="7" a="1"/>
  <c r="AU701" i="7" s="1"/>
  <c r="AU704" i="7" a="1"/>
  <c r="AU704" i="7" s="1"/>
  <c r="AU697" i="7" a="1"/>
  <c r="AU697" i="7" s="1"/>
  <c r="AU707" i="7" a="1"/>
  <c r="AU707" i="7" s="1"/>
  <c r="AU700" i="7" a="1"/>
  <c r="AU700" i="7" s="1"/>
  <c r="AU693" i="7" a="1"/>
  <c r="AU693" i="7" s="1"/>
  <c r="AU696" i="7" a="1"/>
  <c r="AU696" i="7" s="1"/>
  <c r="AU688" i="7" a="1"/>
  <c r="AU688" i="7" s="1"/>
  <c r="AU685" i="7" a="1"/>
  <c r="AU685" i="7" s="1"/>
  <c r="AU683" i="7" a="1"/>
  <c r="AU683" i="7" s="1"/>
  <c r="AU681" i="7" a="1"/>
  <c r="AU681" i="7" s="1"/>
  <c r="AU692" i="7" a="1"/>
  <c r="AU692" i="7" s="1"/>
  <c r="AU690" i="7" a="1"/>
  <c r="AU690" i="7" s="1"/>
  <c r="AU689" i="7" a="1"/>
  <c r="AU689" i="7" s="1"/>
  <c r="AU687" i="7" a="1"/>
  <c r="AU687" i="7" s="1"/>
  <c r="AU686" i="7" a="1"/>
  <c r="AU686" i="7" s="1"/>
  <c r="AU684" i="7" a="1"/>
  <c r="AU684" i="7" s="1"/>
  <c r="AU682" i="7" a="1"/>
  <c r="AU682" i="7" s="1"/>
  <c r="AU694" i="7" a="1"/>
  <c r="AU694" i="7" s="1"/>
  <c r="AU691" i="7" a="1"/>
  <c r="AU691" i="7" s="1"/>
  <c r="AP415" i="7" a="1"/>
  <c r="AP415" i="7" s="1"/>
  <c r="AP411" i="7" a="1"/>
  <c r="AP411" i="7" s="1"/>
  <c r="AP408" i="7" a="1"/>
  <c r="AP408" i="7" s="1"/>
  <c r="AP401" i="7" a="1"/>
  <c r="AP401" i="7" s="1"/>
  <c r="AP398" i="7" a="1"/>
  <c r="AP398" i="7" s="1"/>
  <c r="AP416" i="7" a="1"/>
  <c r="AP416" i="7" s="1"/>
  <c r="AP412" i="7" a="1"/>
  <c r="AP412" i="7" s="1"/>
  <c r="AP409" i="7" a="1"/>
  <c r="AP409" i="7" s="1"/>
  <c r="AP405" i="7" a="1"/>
  <c r="AP405" i="7" s="1"/>
  <c r="AP402" i="7" a="1"/>
  <c r="AP402" i="7" s="1"/>
  <c r="AP413" i="7" a="1"/>
  <c r="AP413" i="7" s="1"/>
  <c r="AP410" i="7" a="1"/>
  <c r="AP410" i="7" s="1"/>
  <c r="AP406" i="7" a="1"/>
  <c r="AP406" i="7" s="1"/>
  <c r="AP403" i="7" a="1"/>
  <c r="AP403" i="7" s="1"/>
  <c r="AP399" i="7" a="1"/>
  <c r="AP399" i="7" s="1"/>
  <c r="AP396" i="7" a="1"/>
  <c r="AP396" i="7" s="1"/>
  <c r="AP395" i="7" a="1"/>
  <c r="AP395" i="7" s="1"/>
  <c r="AP400" i="7" a="1"/>
  <c r="AP400" i="7" s="1"/>
  <c r="AP394" i="7" a="1"/>
  <c r="AP394" i="7" s="1"/>
  <c r="AP407" i="7" a="1"/>
  <c r="AP407" i="7" s="1"/>
  <c r="AP397" i="7" a="1"/>
  <c r="AP397" i="7" s="1"/>
  <c r="AP393" i="7" a="1"/>
  <c r="AP393" i="7" s="1"/>
  <c r="AP392" i="7" a="1"/>
  <c r="AP392" i="7" s="1"/>
  <c r="AP390" i="7" a="1"/>
  <c r="AP390" i="7" s="1"/>
  <c r="AP388" i="7" a="1"/>
  <c r="AP388" i="7" s="1"/>
  <c r="AP385" i="7" a="1"/>
  <c r="AP385" i="7" s="1"/>
  <c r="AP383" i="7" a="1"/>
  <c r="AP383" i="7" s="1"/>
  <c r="AP414" i="7" a="1"/>
  <c r="AP414" i="7" s="1"/>
  <c r="AP391" i="7" a="1"/>
  <c r="AP391" i="7" s="1"/>
  <c r="AP389" i="7" a="1"/>
  <c r="AP389" i="7" s="1"/>
  <c r="AP387" i="7" a="1"/>
  <c r="AP387" i="7" s="1"/>
  <c r="AP386" i="7" a="1"/>
  <c r="AP386" i="7" s="1"/>
  <c r="AP384" i="7" a="1"/>
  <c r="AP384" i="7" s="1"/>
  <c r="AP382" i="7" a="1"/>
  <c r="AP382" i="7" s="1"/>
  <c r="AP379" i="7" a="1"/>
  <c r="AP379" i="7" s="1"/>
  <c r="AP375" i="7" a="1"/>
  <c r="AP375" i="7" s="1"/>
  <c r="AP372" i="7" a="1"/>
  <c r="AP372" i="7" s="1"/>
  <c r="AP365" i="7" a="1"/>
  <c r="AP365" i="7" s="1"/>
  <c r="AP362" i="7" a="1"/>
  <c r="AP362" i="7" s="1"/>
  <c r="AP358" i="7" a="1"/>
  <c r="AP358" i="7" s="1"/>
  <c r="AP355" i="7" a="1"/>
  <c r="AP355" i="7" s="1"/>
  <c r="AP351" i="7" a="1"/>
  <c r="AP351" i="7" s="1"/>
  <c r="AP348" i="7" a="1"/>
  <c r="AP348" i="7" s="1"/>
  <c r="AP341" i="7" a="1"/>
  <c r="AP341" i="7" s="1"/>
  <c r="AP338" i="7" a="1"/>
  <c r="AP338" i="7" s="1"/>
  <c r="AP334" i="7" a="1"/>
  <c r="AP334" i="7" s="1"/>
  <c r="AP331" i="7" a="1"/>
  <c r="AP331" i="7" s="1"/>
  <c r="AP327" i="7" a="1"/>
  <c r="AP327" i="7" s="1"/>
  <c r="AP324" i="7" a="1"/>
  <c r="AP324" i="7" s="1"/>
  <c r="AP317" i="7" a="1"/>
  <c r="AP317" i="7" s="1"/>
  <c r="AP380" i="7" a="1"/>
  <c r="AP380" i="7" s="1"/>
  <c r="AP376" i="7" a="1"/>
  <c r="AP376" i="7" s="1"/>
  <c r="AP373" i="7" a="1"/>
  <c r="AP373" i="7" s="1"/>
  <c r="AP369" i="7" a="1"/>
  <c r="AP369" i="7" s="1"/>
  <c r="AP366" i="7" a="1"/>
  <c r="AP366" i="7" s="1"/>
  <c r="AP359" i="7" a="1"/>
  <c r="AP359" i="7" s="1"/>
  <c r="AP356" i="7" a="1"/>
  <c r="AP356" i="7" s="1"/>
  <c r="AP352" i="7" a="1"/>
  <c r="AP352" i="7" s="1"/>
  <c r="AP349" i="7" a="1"/>
  <c r="AP349" i="7" s="1"/>
  <c r="AP345" i="7" a="1"/>
  <c r="AP345" i="7" s="1"/>
  <c r="AP342" i="7" a="1"/>
  <c r="AP342" i="7" s="1"/>
  <c r="AP335" i="7" a="1"/>
  <c r="AP335" i="7" s="1"/>
  <c r="AP332" i="7" a="1"/>
  <c r="AP332" i="7" s="1"/>
  <c r="AP328" i="7" a="1"/>
  <c r="AP328" i="7" s="1"/>
  <c r="AP325" i="7" a="1"/>
  <c r="AP325" i="7" s="1"/>
  <c r="AP321" i="7" a="1"/>
  <c r="AP321" i="7" s="1"/>
  <c r="AP318" i="7" a="1"/>
  <c r="AP318" i="7" s="1"/>
  <c r="AP404" i="7" a="1"/>
  <c r="AP404" i="7" s="1"/>
  <c r="AP377" i="7" a="1"/>
  <c r="AP377" i="7" s="1"/>
  <c r="AP374" i="7" a="1"/>
  <c r="AP374" i="7" s="1"/>
  <c r="AP370" i="7" a="1"/>
  <c r="AP370" i="7" s="1"/>
  <c r="AP367" i="7" a="1"/>
  <c r="AP367" i="7" s="1"/>
  <c r="AP363" i="7" a="1"/>
  <c r="AP363" i="7" s="1"/>
  <c r="AP360" i="7" a="1"/>
  <c r="AP360" i="7" s="1"/>
  <c r="AP353" i="7" a="1"/>
  <c r="AP353" i="7" s="1"/>
  <c r="AP350" i="7" a="1"/>
  <c r="AP350" i="7" s="1"/>
  <c r="AP346" i="7" a="1"/>
  <c r="AP346" i="7" s="1"/>
  <c r="AP343" i="7" a="1"/>
  <c r="AP343" i="7" s="1"/>
  <c r="AP339" i="7" a="1"/>
  <c r="AP339" i="7" s="1"/>
  <c r="AP336" i="7" a="1"/>
  <c r="AP336" i="7" s="1"/>
  <c r="AP329" i="7" a="1"/>
  <c r="AP329" i="7" s="1"/>
  <c r="AP326" i="7" a="1"/>
  <c r="AP326" i="7" s="1"/>
  <c r="AP322" i="7" a="1"/>
  <c r="AP322" i="7" s="1"/>
  <c r="AP371" i="7" a="1"/>
  <c r="AP371" i="7" s="1"/>
  <c r="AP357" i="7" a="1"/>
  <c r="AP357" i="7" s="1"/>
  <c r="AP344" i="7" a="1"/>
  <c r="AP344" i="7" s="1"/>
  <c r="AP304" i="7" a="1"/>
  <c r="AP304" i="7" s="1"/>
  <c r="AP333" i="7" a="1"/>
  <c r="AP333" i="7" s="1"/>
  <c r="AP354" i="7" a="1"/>
  <c r="AP354" i="7" s="1"/>
  <c r="AP323" i="7" a="1"/>
  <c r="AP323" i="7" s="1"/>
  <c r="AP337" i="7" a="1"/>
  <c r="AP337" i="7" s="1"/>
  <c r="AP311" i="7" a="1"/>
  <c r="AP311" i="7" s="1"/>
  <c r="AP361" i="7" a="1"/>
  <c r="AP361" i="7" s="1"/>
  <c r="AP347" i="7" a="1"/>
  <c r="AP347" i="7" s="1"/>
  <c r="AP314" i="7" a="1"/>
  <c r="AP314" i="7" s="1"/>
  <c r="AP312" i="7" a="1"/>
  <c r="AP312" i="7" s="1"/>
  <c r="AP296" i="7" a="1"/>
  <c r="AP296" i="7" s="1"/>
  <c r="AP293" i="7" a="1"/>
  <c r="AP293" i="7" s="1"/>
  <c r="AP292" i="7" a="1"/>
  <c r="AP292" i="7" s="1"/>
  <c r="AP290" i="7" a="1"/>
  <c r="AP290" i="7" s="1"/>
  <c r="AP288" i="7" a="1"/>
  <c r="AP288" i="7" s="1"/>
  <c r="AP286" i="7" a="1"/>
  <c r="AP286" i="7" s="1"/>
  <c r="AP313" i="7" a="1"/>
  <c r="AP313" i="7" s="1"/>
  <c r="AP302" i="7" a="1"/>
  <c r="AP302" i="7" s="1"/>
  <c r="AP301" i="7" a="1"/>
  <c r="AP301" i="7" s="1"/>
  <c r="AP300" i="7" a="1"/>
  <c r="AP300" i="7" s="1"/>
  <c r="AP299" i="7" a="1"/>
  <c r="AP299" i="7" s="1"/>
  <c r="AP298" i="7" a="1"/>
  <c r="AP298" i="7" s="1"/>
  <c r="AP297" i="7" a="1"/>
  <c r="AP297" i="7" s="1"/>
  <c r="AP295" i="7" a="1"/>
  <c r="AP295" i="7" s="1"/>
  <c r="AP294" i="7" a="1"/>
  <c r="AP294" i="7" s="1"/>
  <c r="AP291" i="7" a="1"/>
  <c r="AP291" i="7" s="1"/>
  <c r="AP289" i="7" a="1"/>
  <c r="AP289" i="7" s="1"/>
  <c r="AP287" i="7" a="1"/>
  <c r="AP287" i="7" s="1"/>
  <c r="AP285" i="7" a="1"/>
  <c r="AP285" i="7" s="1"/>
  <c r="AP303" i="7" a="1"/>
  <c r="AP303" i="7" s="1"/>
  <c r="AP330" i="7" a="1"/>
  <c r="AP330" i="7" s="1"/>
  <c r="AP319" i="7" a="1"/>
  <c r="AP319" i="7" s="1"/>
  <c r="AP378" i="7" a="1"/>
  <c r="AP378" i="7" s="1"/>
  <c r="AP364" i="7" a="1"/>
  <c r="AP364" i="7" s="1"/>
  <c r="AP320" i="7" a="1"/>
  <c r="AP320" i="7" s="1"/>
  <c r="AP315" i="7" a="1"/>
  <c r="AP315" i="7" s="1"/>
  <c r="AP309" i="7" a="1"/>
  <c r="AP309" i="7" s="1"/>
  <c r="AP308" i="7" a="1"/>
  <c r="AP308" i="7" s="1"/>
  <c r="AP307" i="7" a="1"/>
  <c r="AP307" i="7" s="1"/>
  <c r="AP306" i="7" a="1"/>
  <c r="AP306" i="7" s="1"/>
  <c r="AP305" i="7" a="1"/>
  <c r="AP305" i="7" s="1"/>
  <c r="AP316" i="7" a="1"/>
  <c r="AP316" i="7" s="1"/>
  <c r="AP340" i="7" a="1"/>
  <c r="AP340" i="7" s="1"/>
  <c r="AP310" i="7" a="1"/>
  <c r="AP310" i="7" s="1"/>
  <c r="AP381" i="7" a="1"/>
  <c r="AP381" i="7" s="1"/>
  <c r="AP368" i="7" a="1"/>
  <c r="AP368" i="7" s="1"/>
  <c r="AM413" i="7" a="1"/>
  <c r="AM413" i="7" s="1"/>
  <c r="AM410" i="7" a="1"/>
  <c r="AM410" i="7" s="1"/>
  <c r="AM406" i="7" a="1"/>
  <c r="AM406" i="7" s="1"/>
  <c r="AM403" i="7" a="1"/>
  <c r="AM403" i="7" s="1"/>
  <c r="AM399" i="7" a="1"/>
  <c r="AM399" i="7" s="1"/>
  <c r="AM396" i="7" a="1"/>
  <c r="AM396" i="7" s="1"/>
  <c r="AM395" i="7" a="1"/>
  <c r="AM395" i="7" s="1"/>
  <c r="AM394" i="7" a="1"/>
  <c r="AM394" i="7" s="1"/>
  <c r="AM414" i="7" a="1"/>
  <c r="AM414" i="7" s="1"/>
  <c r="AM407" i="7" a="1"/>
  <c r="AM407" i="7" s="1"/>
  <c r="AM404" i="7" a="1"/>
  <c r="AM404" i="7" s="1"/>
  <c r="AM415" i="7" a="1"/>
  <c r="AM415" i="7" s="1"/>
  <c r="AM411" i="7" a="1"/>
  <c r="AM411" i="7" s="1"/>
  <c r="AM408" i="7" a="1"/>
  <c r="AM408" i="7" s="1"/>
  <c r="AM401" i="7" a="1"/>
  <c r="AM401" i="7" s="1"/>
  <c r="AM398" i="7" a="1"/>
  <c r="AM398" i="7" s="1"/>
  <c r="AM405" i="7" a="1"/>
  <c r="AM405" i="7" s="1"/>
  <c r="AM400" i="7" a="1"/>
  <c r="AM400" i="7" s="1"/>
  <c r="AM391" i="7" a="1"/>
  <c r="AM391" i="7" s="1"/>
  <c r="AM409" i="7" a="1"/>
  <c r="AM409" i="7" s="1"/>
  <c r="AM397" i="7" a="1"/>
  <c r="AM397" i="7" s="1"/>
  <c r="AM412" i="7" a="1"/>
  <c r="AM412" i="7" s="1"/>
  <c r="AM416" i="7" a="1"/>
  <c r="AM416" i="7" s="1"/>
  <c r="AM393" i="7" a="1"/>
  <c r="AM393" i="7" s="1"/>
  <c r="AM392" i="7" a="1"/>
  <c r="AM392" i="7" s="1"/>
  <c r="AM383" i="7" a="1"/>
  <c r="AM383" i="7" s="1"/>
  <c r="AM315" i="7" a="1"/>
  <c r="AM315" i="7" s="1"/>
  <c r="AM314" i="7" a="1"/>
  <c r="AM314" i="7" s="1"/>
  <c r="AM313" i="7" a="1"/>
  <c r="AM313" i="7" s="1"/>
  <c r="AM312" i="7" a="1"/>
  <c r="AM312" i="7" s="1"/>
  <c r="AM385" i="7" a="1"/>
  <c r="AM385" i="7" s="1"/>
  <c r="AM381" i="7" a="1"/>
  <c r="AM381" i="7" s="1"/>
  <c r="AM378" i="7" a="1"/>
  <c r="AM378" i="7" s="1"/>
  <c r="AM371" i="7" a="1"/>
  <c r="AM371" i="7" s="1"/>
  <c r="AM368" i="7" a="1"/>
  <c r="AM368" i="7" s="1"/>
  <c r="AM364" i="7" a="1"/>
  <c r="AM364" i="7" s="1"/>
  <c r="AM361" i="7" a="1"/>
  <c r="AM361" i="7" s="1"/>
  <c r="AM357" i="7" a="1"/>
  <c r="AM357" i="7" s="1"/>
  <c r="AM354" i="7" a="1"/>
  <c r="AM354" i="7" s="1"/>
  <c r="AM347" i="7" a="1"/>
  <c r="AM347" i="7" s="1"/>
  <c r="AM344" i="7" a="1"/>
  <c r="AM344" i="7" s="1"/>
  <c r="AM340" i="7" a="1"/>
  <c r="AM340" i="7" s="1"/>
  <c r="AM337" i="7" a="1"/>
  <c r="AM337" i="7" s="1"/>
  <c r="AM333" i="7" a="1"/>
  <c r="AM333" i="7" s="1"/>
  <c r="AM330" i="7" a="1"/>
  <c r="AM330" i="7" s="1"/>
  <c r="AM323" i="7" a="1"/>
  <c r="AM323" i="7" s="1"/>
  <c r="AM320" i="7" a="1"/>
  <c r="AM320" i="7" s="1"/>
  <c r="AM316" i="7" a="1"/>
  <c r="AM316" i="7" s="1"/>
  <c r="AM388" i="7" a="1"/>
  <c r="AM388" i="7" s="1"/>
  <c r="AM379" i="7" a="1"/>
  <c r="AM379" i="7" s="1"/>
  <c r="AM375" i="7" a="1"/>
  <c r="AM375" i="7" s="1"/>
  <c r="AM372" i="7" a="1"/>
  <c r="AM372" i="7" s="1"/>
  <c r="AM365" i="7" a="1"/>
  <c r="AM365" i="7" s="1"/>
  <c r="AM362" i="7" a="1"/>
  <c r="AM362" i="7" s="1"/>
  <c r="AM358" i="7" a="1"/>
  <c r="AM358" i="7" s="1"/>
  <c r="AM355" i="7" a="1"/>
  <c r="AM355" i="7" s="1"/>
  <c r="AM351" i="7" a="1"/>
  <c r="AM351" i="7" s="1"/>
  <c r="AM348" i="7" a="1"/>
  <c r="AM348" i="7" s="1"/>
  <c r="AM341" i="7" a="1"/>
  <c r="AM341" i="7" s="1"/>
  <c r="AM338" i="7" a="1"/>
  <c r="AM338" i="7" s="1"/>
  <c r="AM334" i="7" a="1"/>
  <c r="AM334" i="7" s="1"/>
  <c r="AM331" i="7" a="1"/>
  <c r="AM331" i="7" s="1"/>
  <c r="AM327" i="7" a="1"/>
  <c r="AM327" i="7" s="1"/>
  <c r="AM324" i="7" a="1"/>
  <c r="AM324" i="7" s="1"/>
  <c r="AM390" i="7" a="1"/>
  <c r="AM390" i="7" s="1"/>
  <c r="AM382" i="7" a="1"/>
  <c r="AM382" i="7" s="1"/>
  <c r="AM384" i="7" a="1"/>
  <c r="AM384" i="7" s="1"/>
  <c r="AM402" i="7" a="1"/>
  <c r="AM402" i="7" s="1"/>
  <c r="AM387" i="7" a="1"/>
  <c r="AM387" i="7" s="1"/>
  <c r="AM360" i="7" a="1"/>
  <c r="AM360" i="7" s="1"/>
  <c r="AM299" i="7" a="1"/>
  <c r="AM299" i="7" s="1"/>
  <c r="AM297" i="7" a="1"/>
  <c r="AM297" i="7" s="1"/>
  <c r="AM293" i="7" a="1"/>
  <c r="AM293" i="7" s="1"/>
  <c r="AM287" i="7" a="1"/>
  <c r="AM287" i="7" s="1"/>
  <c r="AM305" i="7" a="1"/>
  <c r="AM305" i="7" s="1"/>
  <c r="AM377" i="7" a="1"/>
  <c r="AM377" i="7" s="1"/>
  <c r="AM363" i="7" a="1"/>
  <c r="AM363" i="7" s="1"/>
  <c r="AM350" i="7" a="1"/>
  <c r="AM350" i="7" s="1"/>
  <c r="AM322" i="7" a="1"/>
  <c r="AM322" i="7" s="1"/>
  <c r="AM310" i="7" a="1"/>
  <c r="AM310" i="7" s="1"/>
  <c r="AM321" i="7" a="1"/>
  <c r="AM321" i="7" s="1"/>
  <c r="AM374" i="7" a="1"/>
  <c r="AM374" i="7" s="1"/>
  <c r="AM373" i="7" a="1"/>
  <c r="AM373" i="7" s="1"/>
  <c r="AM359" i="7" a="1"/>
  <c r="AM359" i="7" s="1"/>
  <c r="AM345" i="7" a="1"/>
  <c r="AM345" i="7" s="1"/>
  <c r="AM326" i="7" a="1"/>
  <c r="AM326" i="7" s="1"/>
  <c r="AM298" i="7" a="1"/>
  <c r="AM298" i="7" s="1"/>
  <c r="AM285" i="7" a="1"/>
  <c r="AM285" i="7" s="1"/>
  <c r="AM369" i="7" a="1"/>
  <c r="AM369" i="7" s="1"/>
  <c r="AM356" i="7" a="1"/>
  <c r="AM356" i="7" s="1"/>
  <c r="AM332" i="7" a="1"/>
  <c r="AM332" i="7" s="1"/>
  <c r="AM329" i="7" a="1"/>
  <c r="AM329" i="7" s="1"/>
  <c r="AM311" i="7" a="1"/>
  <c r="AM311" i="7" s="1"/>
  <c r="AM303" i="7" a="1"/>
  <c r="AM303" i="7" s="1"/>
  <c r="AM346" i="7" a="1"/>
  <c r="AM346" i="7" s="1"/>
  <c r="AM328" i="7" a="1"/>
  <c r="AM328" i="7" s="1"/>
  <c r="AM300" i="7" a="1"/>
  <c r="AM300" i="7" s="1"/>
  <c r="AM295" i="7" a="1"/>
  <c r="AM295" i="7" s="1"/>
  <c r="AM286" i="7" a="1"/>
  <c r="AM286" i="7" s="1"/>
  <c r="AM335" i="7" a="1"/>
  <c r="AM335" i="7" s="1"/>
  <c r="AM367" i="7" a="1"/>
  <c r="AM367" i="7" s="1"/>
  <c r="AM353" i="7" a="1"/>
  <c r="AM353" i="7" s="1"/>
  <c r="AM339" i="7" a="1"/>
  <c r="AM339" i="7" s="1"/>
  <c r="AM294" i="7" a="1"/>
  <c r="AM294" i="7" s="1"/>
  <c r="AM289" i="7" a="1"/>
  <c r="AM289" i="7" s="1"/>
  <c r="AM308" i="7" a="1"/>
  <c r="AM308" i="7" s="1"/>
  <c r="AM376" i="7" a="1"/>
  <c r="AM376" i="7" s="1"/>
  <c r="AM349" i="7" a="1"/>
  <c r="AM349" i="7" s="1"/>
  <c r="AM389" i="7" a="1"/>
  <c r="AM389" i="7" s="1"/>
  <c r="AM336" i="7" a="1"/>
  <c r="AM336" i="7" s="1"/>
  <c r="AM304" i="7" a="1"/>
  <c r="AM304" i="7" s="1"/>
  <c r="AM302" i="7" a="1"/>
  <c r="AM302" i="7" s="1"/>
  <c r="AM296" i="7" a="1"/>
  <c r="AM296" i="7" s="1"/>
  <c r="AM288" i="7" a="1"/>
  <c r="AM288" i="7" s="1"/>
  <c r="AM370" i="7" a="1"/>
  <c r="AM370" i="7" s="1"/>
  <c r="AM343" i="7" a="1"/>
  <c r="AM343" i="7" s="1"/>
  <c r="AM319" i="7" a="1"/>
  <c r="AM319" i="7" s="1"/>
  <c r="AM301" i="7" a="1"/>
  <c r="AM301" i="7" s="1"/>
  <c r="AM291" i="7" a="1"/>
  <c r="AM291" i="7" s="1"/>
  <c r="AM290" i="7" a="1"/>
  <c r="AM290" i="7" s="1"/>
  <c r="AM386" i="7" a="1"/>
  <c r="AM386" i="7" s="1"/>
  <c r="AM342" i="7" a="1"/>
  <c r="AM342" i="7" s="1"/>
  <c r="AM307" i="7" a="1"/>
  <c r="AM307" i="7" s="1"/>
  <c r="AM380" i="7" a="1"/>
  <c r="AM380" i="7" s="1"/>
  <c r="AM366" i="7" a="1"/>
  <c r="AM366" i="7" s="1"/>
  <c r="AM352" i="7" a="1"/>
  <c r="AM352" i="7" s="1"/>
  <c r="AM318" i="7" a="1"/>
  <c r="AM318" i="7" s="1"/>
  <c r="AM317" i="7" a="1"/>
  <c r="AM317" i="7" s="1"/>
  <c r="AM325" i="7" a="1"/>
  <c r="AM325" i="7" s="1"/>
  <c r="AM292" i="7" a="1"/>
  <c r="AM292" i="7" s="1"/>
  <c r="AM309" i="7" a="1"/>
  <c r="AM309" i="7" s="1"/>
  <c r="AM306" i="7" a="1"/>
  <c r="AM306" i="7" s="1"/>
  <c r="AW548" i="7" a="1"/>
  <c r="AW548" i="7" s="1"/>
  <c r="AW546" i="7" a="1"/>
  <c r="AW546" i="7" s="1"/>
  <c r="AW544" i="7" a="1"/>
  <c r="AW544" i="7" s="1"/>
  <c r="AW541" i="7" a="1"/>
  <c r="AW541" i="7" s="1"/>
  <c r="AW539" i="7" a="1"/>
  <c r="AW539" i="7" s="1"/>
  <c r="AW537" i="7" a="1"/>
  <c r="AW537" i="7" s="1"/>
  <c r="AW536" i="7" a="1"/>
  <c r="AW536" i="7" s="1"/>
  <c r="AW534" i="7" a="1"/>
  <c r="AW534" i="7" s="1"/>
  <c r="AW532" i="7" a="1"/>
  <c r="AW532" i="7" s="1"/>
  <c r="AW529" i="7" a="1"/>
  <c r="AW529" i="7" s="1"/>
  <c r="AW527" i="7" a="1"/>
  <c r="AW527" i="7" s="1"/>
  <c r="AW525" i="7" a="1"/>
  <c r="AW525" i="7" s="1"/>
  <c r="AW524" i="7" a="1"/>
  <c r="AW524" i="7" s="1"/>
  <c r="AW522" i="7" a="1"/>
  <c r="AW522" i="7" s="1"/>
  <c r="AW520" i="7" a="1"/>
  <c r="AW520" i="7" s="1"/>
  <c r="AW517" i="7" a="1"/>
  <c r="AW517" i="7" s="1"/>
  <c r="AW514" i="7" a="1"/>
  <c r="AW514" i="7" s="1"/>
  <c r="AW513" i="7" a="1"/>
  <c r="AW513" i="7" s="1"/>
  <c r="AW547" i="7" a="1"/>
  <c r="AW547" i="7" s="1"/>
  <c r="AW545" i="7" a="1"/>
  <c r="AW545" i="7" s="1"/>
  <c r="AW543" i="7" a="1"/>
  <c r="AW543" i="7" s="1"/>
  <c r="AW542" i="7" a="1"/>
  <c r="AW542" i="7" s="1"/>
  <c r="AW540" i="7" a="1"/>
  <c r="AW540" i="7" s="1"/>
  <c r="AW538" i="7" a="1"/>
  <c r="AW538" i="7" s="1"/>
  <c r="AW535" i="7" a="1"/>
  <c r="AW535" i="7" s="1"/>
  <c r="AW533" i="7" a="1"/>
  <c r="AW533" i="7" s="1"/>
  <c r="AW531" i="7" a="1"/>
  <c r="AW531" i="7" s="1"/>
  <c r="AW530" i="7" a="1"/>
  <c r="AW530" i="7" s="1"/>
  <c r="AW528" i="7" a="1"/>
  <c r="AW528" i="7" s="1"/>
  <c r="AW526" i="7" a="1"/>
  <c r="AW526" i="7" s="1"/>
  <c r="AW523" i="7" a="1"/>
  <c r="AW523" i="7" s="1"/>
  <c r="AW521" i="7" a="1"/>
  <c r="AW521" i="7" s="1"/>
  <c r="AW519" i="7" a="1"/>
  <c r="AW519" i="7" s="1"/>
  <c r="AW518" i="7" a="1"/>
  <c r="AW518" i="7" s="1"/>
  <c r="AW516" i="7" a="1"/>
  <c r="AW516" i="7" s="1"/>
  <c r="AW512" i="7" a="1"/>
  <c r="AW512" i="7" s="1"/>
  <c r="AW511" i="7" a="1"/>
  <c r="AW511" i="7" s="1"/>
  <c r="AW510" i="7" a="1"/>
  <c r="AW510" i="7" s="1"/>
  <c r="AW509" i="7" a="1"/>
  <c r="AW509" i="7" s="1"/>
  <c r="AW508" i="7" a="1"/>
  <c r="AW508" i="7" s="1"/>
  <c r="AW507" i="7" a="1"/>
  <c r="AW507" i="7" s="1"/>
  <c r="AW506" i="7" a="1"/>
  <c r="AW506" i="7" s="1"/>
  <c r="AW505" i="7" a="1"/>
  <c r="AW505" i="7" s="1"/>
  <c r="AW501" i="7" a="1"/>
  <c r="AW501" i="7" s="1"/>
  <c r="AW498" i="7" a="1"/>
  <c r="AW498" i="7" s="1"/>
  <c r="AW497" i="7" a="1"/>
  <c r="AW497" i="7" s="1"/>
  <c r="AW496" i="7" a="1"/>
  <c r="AW496" i="7" s="1"/>
  <c r="AW495" i="7" a="1"/>
  <c r="AW495" i="7" s="1"/>
  <c r="AW515" i="7" a="1"/>
  <c r="AW515" i="7" s="1"/>
  <c r="AW504" i="7" a="1"/>
  <c r="AW504" i="7" s="1"/>
  <c r="AW499" i="7" a="1"/>
  <c r="AW499" i="7" s="1"/>
  <c r="AW503" i="7" a="1"/>
  <c r="AW503" i="7" s="1"/>
  <c r="AW502" i="7" a="1"/>
  <c r="AW502" i="7" s="1"/>
  <c r="AW500" i="7" a="1"/>
  <c r="AW500" i="7" s="1"/>
  <c r="AW482" i="7" a="1"/>
  <c r="AW482" i="7" s="1"/>
  <c r="AW478" i="7" a="1"/>
  <c r="AW478" i="7" s="1"/>
  <c r="AW475" i="7" a="1"/>
  <c r="AW475" i="7" s="1"/>
  <c r="AW473" i="7" a="1"/>
  <c r="AW473" i="7" s="1"/>
  <c r="AW471" i="7" a="1"/>
  <c r="AW471" i="7" s="1"/>
  <c r="AW494" i="7" a="1"/>
  <c r="AW494" i="7" s="1"/>
  <c r="AW493" i="7" a="1"/>
  <c r="AW493" i="7" s="1"/>
  <c r="AW492" i="7" a="1"/>
  <c r="AW492" i="7" s="1"/>
  <c r="AW491" i="7" a="1"/>
  <c r="AW491" i="7" s="1"/>
  <c r="AW490" i="7" a="1"/>
  <c r="AW490" i="7" s="1"/>
  <c r="AW489" i="7" a="1"/>
  <c r="AW489" i="7" s="1"/>
  <c r="AW488" i="7" a="1"/>
  <c r="AW488" i="7" s="1"/>
  <c r="AW487" i="7" a="1"/>
  <c r="AW487" i="7" s="1"/>
  <c r="AW486" i="7" a="1"/>
  <c r="AW486" i="7" s="1"/>
  <c r="AW485" i="7" a="1"/>
  <c r="AW485" i="7" s="1"/>
  <c r="AW484" i="7" a="1"/>
  <c r="AW484" i="7" s="1"/>
  <c r="AW483" i="7" a="1"/>
  <c r="AW483" i="7" s="1"/>
  <c r="AW480" i="7" a="1"/>
  <c r="AW480" i="7" s="1"/>
  <c r="AW477" i="7" a="1"/>
  <c r="AW477" i="7" s="1"/>
  <c r="AW467" i="7" a="1"/>
  <c r="AW467" i="7" s="1"/>
  <c r="AW456" i="7" a="1"/>
  <c r="AW456" i="7" s="1"/>
  <c r="AW449" i="7" a="1"/>
  <c r="AW449" i="7" s="1"/>
  <c r="AW446" i="7" a="1"/>
  <c r="AW446" i="7" s="1"/>
  <c r="AW442" i="7" a="1"/>
  <c r="AW442" i="7" s="1"/>
  <c r="AW439" i="7" a="1"/>
  <c r="AW439" i="7" s="1"/>
  <c r="AW435" i="7" a="1"/>
  <c r="AW435" i="7" s="1"/>
  <c r="AW432" i="7" a="1"/>
  <c r="AW432" i="7" s="1"/>
  <c r="AW429" i="7" a="1"/>
  <c r="AW429" i="7" s="1"/>
  <c r="AW426" i="7" a="1"/>
  <c r="AW426" i="7" s="1"/>
  <c r="AW419" i="7" a="1"/>
  <c r="AW419" i="7" s="1"/>
  <c r="AW472" i="7" a="1"/>
  <c r="AW472" i="7" s="1"/>
  <c r="AW468" i="7" a="1"/>
  <c r="AW468" i="7" s="1"/>
  <c r="AW455" i="7" a="1"/>
  <c r="AW455" i="7" s="1"/>
  <c r="AW452" i="7" a="1"/>
  <c r="AW452" i="7" s="1"/>
  <c r="AW448" i="7" a="1"/>
  <c r="AW448" i="7" s="1"/>
  <c r="AW445" i="7" a="1"/>
  <c r="AW445" i="7" s="1"/>
  <c r="AW441" i="7" a="1"/>
  <c r="AW441" i="7" s="1"/>
  <c r="AW438" i="7" a="1"/>
  <c r="AW438" i="7" s="1"/>
  <c r="AW430" i="7" a="1"/>
  <c r="AW430" i="7" s="1"/>
  <c r="AW427" i="7" a="1"/>
  <c r="AW427" i="7" s="1"/>
  <c r="AW479" i="7" a="1"/>
  <c r="AW479" i="7" s="1"/>
  <c r="AW469" i="7" a="1"/>
  <c r="AW469" i="7" s="1"/>
  <c r="AW454" i="7" a="1"/>
  <c r="AW454" i="7" s="1"/>
  <c r="AW451" i="7" a="1"/>
  <c r="AW451" i="7" s="1"/>
  <c r="AW447" i="7" a="1"/>
  <c r="AW447" i="7" s="1"/>
  <c r="AW444" i="7" a="1"/>
  <c r="AW444" i="7" s="1"/>
  <c r="AW437" i="7" a="1"/>
  <c r="AW437" i="7" s="1"/>
  <c r="AW434" i="7" a="1"/>
  <c r="AW434" i="7" s="1"/>
  <c r="AW476" i="7" a="1"/>
  <c r="AW476" i="7" s="1"/>
  <c r="AW465" i="7" a="1"/>
  <c r="AW465" i="7" s="1"/>
  <c r="AW464" i="7" a="1"/>
  <c r="AW464" i="7" s="1"/>
  <c r="AW463" i="7" a="1"/>
  <c r="AW463" i="7" s="1"/>
  <c r="AW462" i="7" a="1"/>
  <c r="AW462" i="7" s="1"/>
  <c r="AW461" i="7" a="1"/>
  <c r="AW461" i="7" s="1"/>
  <c r="AW460" i="7" a="1"/>
  <c r="AW460" i="7" s="1"/>
  <c r="AW459" i="7" a="1"/>
  <c r="AW459" i="7" s="1"/>
  <c r="AW458" i="7" a="1"/>
  <c r="AW458" i="7" s="1"/>
  <c r="AW457" i="7" a="1"/>
  <c r="AW457" i="7" s="1"/>
  <c r="AW450" i="7" a="1"/>
  <c r="AW450" i="7" s="1"/>
  <c r="AW428" i="7" a="1"/>
  <c r="AW428" i="7" s="1"/>
  <c r="AW418" i="7" a="1"/>
  <c r="AW418" i="7" s="1"/>
  <c r="AW481" i="7" a="1"/>
  <c r="AW481" i="7" s="1"/>
  <c r="AW474" i="7" a="1"/>
  <c r="AW474" i="7" s="1"/>
  <c r="AW431" i="7" a="1"/>
  <c r="AW431" i="7" s="1"/>
  <c r="AW424" i="7" a="1"/>
  <c r="AW424" i="7" s="1"/>
  <c r="AW470" i="7" a="1"/>
  <c r="AW470" i="7" s="1"/>
  <c r="AW443" i="7" a="1"/>
  <c r="AW443" i="7" s="1"/>
  <c r="AW417" i="7" a="1"/>
  <c r="AW417" i="7" s="1"/>
  <c r="AW466" i="7" a="1"/>
  <c r="AW466" i="7" s="1"/>
  <c r="AW453" i="7" a="1"/>
  <c r="AW453" i="7" s="1"/>
  <c r="AW440" i="7" a="1"/>
  <c r="AW440" i="7" s="1"/>
  <c r="AW433" i="7" a="1"/>
  <c r="AW433" i="7" s="1"/>
  <c r="AW423" i="7" a="1"/>
  <c r="AW423" i="7" s="1"/>
  <c r="AW421" i="7" a="1"/>
  <c r="AW421" i="7" s="1"/>
  <c r="AW420" i="7" a="1"/>
  <c r="AW420" i="7" s="1"/>
  <c r="AW436" i="7" a="1"/>
  <c r="AW436" i="7" s="1"/>
  <c r="AW425" i="7" a="1"/>
  <c r="AW425" i="7" s="1"/>
  <c r="AW422" i="7" a="1"/>
  <c r="AW422" i="7" s="1"/>
  <c r="AP793" i="7" a="1"/>
  <c r="AP793" i="7" s="1"/>
  <c r="AP812" i="7" a="1"/>
  <c r="AP812" i="7" s="1"/>
  <c r="AP810" i="7" a="1"/>
  <c r="AP810" i="7" s="1"/>
  <c r="AP808" i="7" a="1"/>
  <c r="AP808" i="7" s="1"/>
  <c r="AP805" i="7" a="1"/>
  <c r="AP805" i="7" s="1"/>
  <c r="AP803" i="7" a="1"/>
  <c r="AP803" i="7" s="1"/>
  <c r="AP801" i="7" a="1"/>
  <c r="AP801" i="7" s="1"/>
  <c r="AP800" i="7" a="1"/>
  <c r="AP800" i="7" s="1"/>
  <c r="AP798" i="7" a="1"/>
  <c r="AP798" i="7" s="1"/>
  <c r="AP796" i="7" a="1"/>
  <c r="AP796" i="7" s="1"/>
  <c r="AP811" i="7" a="1"/>
  <c r="AP811" i="7" s="1"/>
  <c r="AP809" i="7" a="1"/>
  <c r="AP809" i="7" s="1"/>
  <c r="AP807" i="7" a="1"/>
  <c r="AP807" i="7" s="1"/>
  <c r="AP806" i="7" a="1"/>
  <c r="AP806" i="7" s="1"/>
  <c r="AP804" i="7" a="1"/>
  <c r="AP804" i="7" s="1"/>
  <c r="AP802" i="7" a="1"/>
  <c r="AP802" i="7" s="1"/>
  <c r="AP799" i="7" a="1"/>
  <c r="AP799" i="7" s="1"/>
  <c r="AP797" i="7" a="1"/>
  <c r="AP797" i="7" s="1"/>
  <c r="AP795" i="7" a="1"/>
  <c r="AP795" i="7" s="1"/>
  <c r="AP794" i="7" a="1"/>
  <c r="AP794" i="7" s="1"/>
  <c r="AP787" i="7" a="1"/>
  <c r="AP787" i="7" s="1"/>
  <c r="AP783" i="7" a="1"/>
  <c r="AP783" i="7" s="1"/>
  <c r="AP780" i="7" a="1"/>
  <c r="AP780" i="7" s="1"/>
  <c r="AP773" i="7" a="1"/>
  <c r="AP773" i="7" s="1"/>
  <c r="AP770" i="7" a="1"/>
  <c r="AP770" i="7" s="1"/>
  <c r="AP792" i="7" a="1"/>
  <c r="AP792" i="7" s="1"/>
  <c r="AP788" i="7" a="1"/>
  <c r="AP788" i="7" s="1"/>
  <c r="AP784" i="7" a="1"/>
  <c r="AP784" i="7" s="1"/>
  <c r="AP781" i="7" a="1"/>
  <c r="AP781" i="7" s="1"/>
  <c r="AP777" i="7" a="1"/>
  <c r="AP777" i="7" s="1"/>
  <c r="AP774" i="7" a="1"/>
  <c r="AP774" i="7" s="1"/>
  <c r="AP789" i="7" a="1"/>
  <c r="AP789" i="7" s="1"/>
  <c r="AP790" i="7" a="1"/>
  <c r="AP790" i="7" s="1"/>
  <c r="AP785" i="7" a="1"/>
  <c r="AP785" i="7" s="1"/>
  <c r="AP782" i="7" a="1"/>
  <c r="AP782" i="7" s="1"/>
  <c r="AP778" i="7" a="1"/>
  <c r="AP778" i="7" s="1"/>
  <c r="AP775" i="7" a="1"/>
  <c r="AP775" i="7" s="1"/>
  <c r="AP771" i="7" a="1"/>
  <c r="AP771" i="7" s="1"/>
  <c r="AP768" i="7" a="1"/>
  <c r="AP768" i="7" s="1"/>
  <c r="AP786" i="7" a="1"/>
  <c r="AP786" i="7" s="1"/>
  <c r="AP779" i="7" a="1"/>
  <c r="AP779" i="7" s="1"/>
  <c r="AP776" i="7" a="1"/>
  <c r="AP776" i="7" s="1"/>
  <c r="AP769" i="7" a="1"/>
  <c r="AP769" i="7" s="1"/>
  <c r="AP767" i="7" a="1"/>
  <c r="AP767" i="7" s="1"/>
  <c r="AP761" i="7" a="1"/>
  <c r="AP761" i="7" s="1"/>
  <c r="AP758" i="7" a="1"/>
  <c r="AP758" i="7" s="1"/>
  <c r="AP754" i="7" a="1"/>
  <c r="AP754" i="7" s="1"/>
  <c r="AP791" i="7" a="1"/>
  <c r="AP791" i="7" s="1"/>
  <c r="AP765" i="7" a="1"/>
  <c r="AP765" i="7" s="1"/>
  <c r="AP762" i="7" a="1"/>
  <c r="AP762" i="7" s="1"/>
  <c r="AP772" i="7" a="1"/>
  <c r="AP772" i="7" s="1"/>
  <c r="AP766" i="7" a="1"/>
  <c r="AP766" i="7" s="1"/>
  <c r="AP763" i="7" a="1"/>
  <c r="AP763" i="7" s="1"/>
  <c r="AP759" i="7" a="1"/>
  <c r="AP759" i="7" s="1"/>
  <c r="AP756" i="7" a="1"/>
  <c r="AP756" i="7" s="1"/>
  <c r="AP760" i="7" a="1"/>
  <c r="AP760" i="7" s="1"/>
  <c r="AP764" i="7" a="1"/>
  <c r="AP764" i="7" s="1"/>
  <c r="AP753" i="7" a="1"/>
  <c r="AP753" i="7" s="1"/>
  <c r="AP752" i="7" a="1"/>
  <c r="AP752" i="7" s="1"/>
  <c r="AP750" i="7" a="1"/>
  <c r="AP750" i="7" s="1"/>
  <c r="AP755" i="7" a="1"/>
  <c r="AP755" i="7" s="1"/>
  <c r="AP747" i="7" a="1"/>
  <c r="AP747" i="7" s="1"/>
  <c r="AP744" i="7" a="1"/>
  <c r="AP744" i="7" s="1"/>
  <c r="AP737" i="7" a="1"/>
  <c r="AP737" i="7" s="1"/>
  <c r="AP745" i="7" a="1"/>
  <c r="AP745" i="7" s="1"/>
  <c r="AP741" i="7" a="1"/>
  <c r="AP741" i="7" s="1"/>
  <c r="AP738" i="7" a="1"/>
  <c r="AP738" i="7" s="1"/>
  <c r="AP751" i="7" a="1"/>
  <c r="AP751" i="7" s="1"/>
  <c r="AP757" i="7" a="1"/>
  <c r="AP757" i="7" s="1"/>
  <c r="AP749" i="7" a="1"/>
  <c r="AP749" i="7" s="1"/>
  <c r="AP746" i="7" a="1"/>
  <c r="AP746" i="7" s="1"/>
  <c r="AP742" i="7" a="1"/>
  <c r="AP742" i="7" s="1"/>
  <c r="AP739" i="7" a="1"/>
  <c r="AP739" i="7" s="1"/>
  <c r="AP735" i="7" a="1"/>
  <c r="AP735" i="7" s="1"/>
  <c r="AP748" i="7" a="1"/>
  <c r="AP748" i="7" s="1"/>
  <c r="AP733" i="7" a="1"/>
  <c r="AP733" i="7" s="1"/>
  <c r="AP740" i="7" a="1"/>
  <c r="AP740" i="7" s="1"/>
  <c r="AP730" i="7" a="1"/>
  <c r="AP730" i="7" s="1"/>
  <c r="AP727" i="7" a="1"/>
  <c r="AP727" i="7" s="1"/>
  <c r="AP736" i="7" a="1"/>
  <c r="AP736" i="7" s="1"/>
  <c r="AP743" i="7" a="1"/>
  <c r="AP743" i="7" s="1"/>
  <c r="AP731" i="7" a="1"/>
  <c r="AP731" i="7" s="1"/>
  <c r="AP728" i="7" a="1"/>
  <c r="AP728" i="7" s="1"/>
  <c r="AP734" i="7" a="1"/>
  <c r="AP734" i="7" s="1"/>
  <c r="AP732" i="7" a="1"/>
  <c r="AP732" i="7" s="1"/>
  <c r="AP709" i="7" a="1"/>
  <c r="AP709" i="7" s="1"/>
  <c r="AP705" i="7" a="1"/>
  <c r="AP705" i="7" s="1"/>
  <c r="AP719" i="7" a="1"/>
  <c r="AP719" i="7" s="1"/>
  <c r="AP716" i="7" a="1"/>
  <c r="AP716" i="7" s="1"/>
  <c r="AP712" i="7" a="1"/>
  <c r="AP712" i="7" s="1"/>
  <c r="AP710" i="7" a="1"/>
  <c r="AP710" i="7" s="1"/>
  <c r="AP706" i="7" a="1"/>
  <c r="AP706" i="7" s="1"/>
  <c r="AP703" i="7" a="1"/>
  <c r="AP703" i="7" s="1"/>
  <c r="AP699" i="7" a="1"/>
  <c r="AP699" i="7" s="1"/>
  <c r="AP696" i="7" a="1"/>
  <c r="AP696" i="7" s="1"/>
  <c r="AP722" i="7" a="1"/>
  <c r="AP722" i="7" s="1"/>
  <c r="AP718" i="7" a="1"/>
  <c r="AP718" i="7" s="1"/>
  <c r="AP715" i="7" a="1"/>
  <c r="AP715" i="7" s="1"/>
  <c r="AP729" i="7" a="1"/>
  <c r="AP729" i="7" s="1"/>
  <c r="AP707" i="7" a="1"/>
  <c r="AP707" i="7" s="1"/>
  <c r="AP704" i="7" a="1"/>
  <c r="AP704" i="7" s="1"/>
  <c r="AP700" i="7" a="1"/>
  <c r="AP700" i="7" s="1"/>
  <c r="AP724" i="7" a="1"/>
  <c r="AP724" i="7" s="1"/>
  <c r="AP721" i="7" a="1"/>
  <c r="AP721" i="7" s="1"/>
  <c r="AP717" i="7" a="1"/>
  <c r="AP717" i="7" s="1"/>
  <c r="AP714" i="7" a="1"/>
  <c r="AP714" i="7" s="1"/>
  <c r="AP726" i="7" a="1"/>
  <c r="AP726" i="7" s="1"/>
  <c r="AP720" i="7" a="1"/>
  <c r="AP720" i="7" s="1"/>
  <c r="AP713" i="7" a="1"/>
  <c r="AP713" i="7" s="1"/>
  <c r="AP697" i="7" a="1"/>
  <c r="AP697" i="7" s="1"/>
  <c r="AP695" i="7" a="1"/>
  <c r="AP695" i="7" s="1"/>
  <c r="AP702" i="7" a="1"/>
  <c r="AP702" i="7" s="1"/>
  <c r="AP693" i="7" a="1"/>
  <c r="AP693" i="7" s="1"/>
  <c r="AP723" i="7" a="1"/>
  <c r="AP723" i="7" s="1"/>
  <c r="AP701" i="7" a="1"/>
  <c r="AP701" i="7" s="1"/>
  <c r="AP694" i="7" a="1"/>
  <c r="AP694" i="7" s="1"/>
  <c r="AP698" i="7" a="1"/>
  <c r="AP698" i="7" s="1"/>
  <c r="AP708" i="7" a="1"/>
  <c r="AP708" i="7" s="1"/>
  <c r="AP725" i="7" a="1"/>
  <c r="AP725" i="7" s="1"/>
  <c r="AP711" i="7" a="1"/>
  <c r="AP711" i="7" s="1"/>
  <c r="AP689" i="7" a="1"/>
  <c r="AP689" i="7" s="1"/>
  <c r="AP687" i="7" a="1"/>
  <c r="AP687" i="7" s="1"/>
  <c r="AP686" i="7" a="1"/>
  <c r="AP686" i="7" s="1"/>
  <c r="AP684" i="7" a="1"/>
  <c r="AP684" i="7" s="1"/>
  <c r="AP682" i="7" a="1"/>
  <c r="AP682" i="7" s="1"/>
  <c r="AP691" i="7" a="1"/>
  <c r="AP691" i="7" s="1"/>
  <c r="AP692" i="7" a="1"/>
  <c r="AP692" i="7" s="1"/>
  <c r="AP690" i="7" a="1"/>
  <c r="AP690" i="7" s="1"/>
  <c r="AP688" i="7" a="1"/>
  <c r="AP688" i="7" s="1"/>
  <c r="AP685" i="7" a="1"/>
  <c r="AP685" i="7" s="1"/>
  <c r="AP683" i="7" a="1"/>
  <c r="AP683" i="7" s="1"/>
  <c r="AP681" i="7" a="1"/>
  <c r="AP681" i="7" s="1"/>
  <c r="V10" i="7"/>
  <c r="Q211" i="7"/>
  <c r="V12" i="7"/>
  <c r="T821" i="7"/>
  <c r="X9" i="7" s="1"/>
  <c r="X13" i="7" s="1"/>
  <c r="V9" i="7"/>
  <c r="V13" i="7" s="1"/>
  <c r="BE12" i="7"/>
  <c r="BE13" i="7"/>
  <c r="BW13" i="7"/>
  <c r="BW12" i="7"/>
  <c r="BO12" i="7"/>
  <c r="BO13" i="7"/>
  <c r="BH12" i="7"/>
  <c r="BH13" i="7"/>
  <c r="BZ13" i="7"/>
  <c r="BZ12" i="7"/>
  <c r="BQ12" i="7"/>
  <c r="BQ13" i="7"/>
  <c r="BK13" i="7"/>
  <c r="BK12" i="7"/>
  <c r="BV12" i="7"/>
  <c r="BV13" i="7"/>
  <c r="BP12" i="7"/>
  <c r="BP13" i="7"/>
  <c r="BT12" i="7"/>
  <c r="BT13" i="7"/>
  <c r="BL13" i="7"/>
  <c r="BL12" i="7"/>
  <c r="BU12" i="7"/>
  <c r="BU13" i="7"/>
  <c r="BN12" i="7"/>
  <c r="BN13" i="7"/>
  <c r="BF12" i="7"/>
  <c r="BF13" i="7"/>
  <c r="BS12" i="7"/>
  <c r="BS13" i="7"/>
  <c r="BG12" i="7"/>
  <c r="BG13" i="7"/>
  <c r="BI12" i="7"/>
  <c r="BI13" i="7"/>
  <c r="BY13" i="7"/>
  <c r="BY12" i="7"/>
  <c r="BJ13" i="7"/>
  <c r="BJ12" i="7"/>
  <c r="BR12" i="7"/>
  <c r="BR13" i="7"/>
  <c r="Q217" i="7"/>
  <c r="P169" i="7"/>
  <c r="Q156" i="7"/>
  <c r="Q163" i="7"/>
  <c r="Q155" i="7"/>
  <c r="Q264" i="7"/>
  <c r="Q175" i="7"/>
  <c r="P258" i="7"/>
  <c r="P175" i="7"/>
  <c r="Q154" i="7"/>
  <c r="Q157" i="7"/>
  <c r="Q161" i="7"/>
  <c r="Q169" i="7"/>
  <c r="P215" i="7"/>
  <c r="P259" i="7"/>
  <c r="P162" i="7"/>
  <c r="P238" i="7"/>
  <c r="P245" i="7"/>
  <c r="P281" i="7"/>
  <c r="P275" i="7"/>
  <c r="Q168" i="7"/>
  <c r="P222" i="7"/>
  <c r="P220" i="7"/>
  <c r="P221" i="7"/>
  <c r="Q185" i="7"/>
  <c r="P179" i="7"/>
  <c r="P252" i="7"/>
  <c r="Q265" i="7"/>
  <c r="Q166" i="7"/>
  <c r="R178" i="7"/>
  <c r="Q192" i="7"/>
  <c r="P217" i="7"/>
  <c r="R211" i="7"/>
  <c r="P226" i="7"/>
  <c r="P263" i="7"/>
  <c r="Q258" i="7"/>
  <c r="R280" i="7"/>
  <c r="R282" i="7"/>
  <c r="Q221" i="7"/>
  <c r="R252" i="7"/>
  <c r="R271" i="7"/>
  <c r="Q259" i="7"/>
  <c r="Q280" i="7"/>
  <c r="Q187" i="7"/>
  <c r="P223" i="7"/>
  <c r="P154" i="7"/>
  <c r="Q178" i="7"/>
  <c r="P193" i="7"/>
  <c r="R184" i="7"/>
  <c r="P198" i="7"/>
  <c r="P233" i="7"/>
  <c r="P228" i="7"/>
  <c r="P268" i="7"/>
  <c r="Q251" i="7"/>
  <c r="R257" i="7"/>
  <c r="P181" i="7"/>
  <c r="P197" i="7"/>
  <c r="P186" i="7"/>
  <c r="Q229" i="7"/>
  <c r="P251" i="7"/>
  <c r="R245" i="7"/>
  <c r="R283" i="7"/>
  <c r="P253" i="7"/>
  <c r="Q262" i="7"/>
  <c r="P265" i="7"/>
  <c r="P180" i="7"/>
  <c r="R173" i="7"/>
  <c r="R174" i="7"/>
  <c r="Q193" i="7"/>
  <c r="R199" i="7"/>
  <c r="P185" i="7"/>
  <c r="R198" i="7"/>
  <c r="Q209" i="7"/>
  <c r="Q216" i="7"/>
  <c r="Q257" i="7"/>
  <c r="Q263" i="7"/>
  <c r="P178" i="7"/>
  <c r="P168" i="7"/>
  <c r="R162" i="7"/>
  <c r="R187" i="7"/>
  <c r="Q191" i="7"/>
  <c r="R197" i="7"/>
  <c r="R186" i="7"/>
  <c r="Q208" i="7"/>
  <c r="Q226" i="7"/>
  <c r="P163" i="7"/>
  <c r="P166" i="7"/>
  <c r="R185" i="7"/>
  <c r="R214" i="7"/>
  <c r="R234" i="7"/>
  <c r="P250" i="7"/>
  <c r="R156" i="7"/>
  <c r="Q281" i="7"/>
  <c r="R235" i="7"/>
  <c r="R262" i="7"/>
  <c r="R256" i="7"/>
  <c r="Q282" i="7"/>
  <c r="Q228" i="7"/>
  <c r="P229" i="7"/>
  <c r="P264" i="7"/>
  <c r="Q256" i="7"/>
  <c r="R244" i="7"/>
  <c r="P269" i="7"/>
  <c r="Q253" i="7"/>
  <c r="R275" i="7"/>
  <c r="P270" i="7"/>
  <c r="Q283" i="7"/>
  <c r="P161" i="7"/>
  <c r="R205" i="7"/>
  <c r="Q173" i="7"/>
  <c r="Q180" i="7"/>
  <c r="P211" i="7"/>
  <c r="P190" i="7"/>
  <c r="R196" i="7"/>
  <c r="P208" i="7"/>
  <c r="P216" i="7"/>
  <c r="R209" i="7"/>
  <c r="R216" i="7"/>
  <c r="P240" i="7"/>
  <c r="R233" i="7"/>
  <c r="R263" i="7"/>
  <c r="P274" i="7"/>
  <c r="P276" i="7"/>
  <c r="P173" i="7"/>
  <c r="Q204" i="7"/>
  <c r="P202" i="7"/>
  <c r="Q190" i="7"/>
  <c r="R238" i="7"/>
  <c r="P246" i="7"/>
  <c r="R270" i="7"/>
  <c r="Q241" i="7"/>
  <c r="Q261" i="7"/>
  <c r="R274" i="7"/>
  <c r="BV14" i="7"/>
  <c r="BV10" i="7"/>
  <c r="BV11" i="7"/>
  <c r="R159" i="7"/>
  <c r="R220" i="7"/>
  <c r="P249" i="7"/>
  <c r="Q252" i="7"/>
  <c r="Q279" i="7"/>
  <c r="Q270" i="7"/>
  <c r="BK14" i="7"/>
  <c r="BK10" i="7"/>
  <c r="BK11" i="7"/>
  <c r="R175" i="7"/>
  <c r="P177" i="7"/>
  <c r="Q160" i="7"/>
  <c r="R172" i="7"/>
  <c r="R179" i="7"/>
  <c r="R180" i="7"/>
  <c r="Q199" i="7"/>
  <c r="P189" i="7"/>
  <c r="Q189" i="7"/>
  <c r="R204" i="7"/>
  <c r="P191" i="7"/>
  <c r="Q186" i="7"/>
  <c r="P205" i="7"/>
  <c r="P207" i="7"/>
  <c r="Q207" i="7"/>
  <c r="Q215" i="7"/>
  <c r="R221" i="7"/>
  <c r="Q239" i="7"/>
  <c r="Q223" i="7"/>
  <c r="Q268" i="7"/>
  <c r="R264" i="7"/>
  <c r="R246" i="7"/>
  <c r="P247" i="7"/>
  <c r="R247" i="7"/>
  <c r="P262" i="7"/>
  <c r="Q277" i="7"/>
  <c r="P280" i="7"/>
  <c r="Q273" i="7"/>
  <c r="Q275" i="7"/>
  <c r="R276" i="7"/>
  <c r="BT11" i="7"/>
  <c r="BT14" i="7"/>
  <c r="BT10" i="7"/>
  <c r="R160" i="7"/>
  <c r="BE11" i="7"/>
  <c r="BE10" i="7"/>
  <c r="BE14" i="7"/>
  <c r="Q153" i="7"/>
  <c r="Q205" i="7"/>
  <c r="R213" i="7"/>
  <c r="R226" i="7"/>
  <c r="R261" i="7"/>
  <c r="P241" i="7"/>
  <c r="P279" i="7"/>
  <c r="R273" i="7"/>
  <c r="BN14" i="7"/>
  <c r="BN10" i="7"/>
  <c r="BN11" i="7"/>
  <c r="Q220" i="7"/>
  <c r="R231" i="7"/>
  <c r="R222" i="7"/>
  <c r="Q244" i="7"/>
  <c r="R279" i="7"/>
  <c r="BZ14" i="7"/>
  <c r="BZ10" i="7"/>
  <c r="BZ11" i="7"/>
  <c r="R163" i="7"/>
  <c r="P165" i="7"/>
  <c r="R177" i="7"/>
  <c r="P174" i="7"/>
  <c r="R167" i="7"/>
  <c r="R168" i="7"/>
  <c r="R193" i="7"/>
  <c r="Q197" i="7"/>
  <c r="R203" i="7"/>
  <c r="R192" i="7"/>
  <c r="P231" i="7"/>
  <c r="Q214" i="7"/>
  <c r="Q210" i="7"/>
  <c r="P225" i="7"/>
  <c r="Q237" i="7"/>
  <c r="Q232" i="7"/>
  <c r="Q227" i="7"/>
  <c r="Q234" i="7"/>
  <c r="P243" i="7"/>
  <c r="P235" i="7"/>
  <c r="R229" i="7"/>
  <c r="R250" i="7"/>
  <c r="Q274" i="7"/>
  <c r="BG11" i="7"/>
  <c r="BG10" i="7"/>
  <c r="BG14" i="7"/>
  <c r="BS11" i="7"/>
  <c r="BS14" i="7"/>
  <c r="BS10" i="7"/>
  <c r="P153" i="7"/>
  <c r="Q171" i="7"/>
  <c r="Q255" i="7"/>
  <c r="R249" i="7"/>
  <c r="R267" i="7"/>
  <c r="P261" i="7"/>
  <c r="BL10" i="7"/>
  <c r="BL14" i="7"/>
  <c r="BL11" i="7"/>
  <c r="BW14" i="7"/>
  <c r="BW10" i="7"/>
  <c r="BW11" i="7"/>
  <c r="BQ11" i="7"/>
  <c r="BQ10" i="7"/>
  <c r="BQ14" i="7"/>
  <c r="R195" i="7"/>
  <c r="P172" i="7"/>
  <c r="R165" i="7"/>
  <c r="R181" i="7"/>
  <c r="Q196" i="7"/>
  <c r="R191" i="7"/>
  <c r="Q225" i="7"/>
  <c r="R240" i="7"/>
  <c r="P256" i="7"/>
  <c r="Q250" i="7"/>
  <c r="Q247" i="7"/>
  <c r="BF11" i="7"/>
  <c r="BF14" i="7"/>
  <c r="BF10" i="7"/>
  <c r="Q162" i="7"/>
  <c r="Q159" i="7"/>
  <c r="P195" i="7"/>
  <c r="R183" i="7"/>
  <c r="Q213" i="7"/>
  <c r="P255" i="7"/>
  <c r="R253" i="7"/>
  <c r="Q195" i="7"/>
  <c r="P213" i="7"/>
  <c r="Q243" i="7"/>
  <c r="P160" i="7"/>
  <c r="P167" i="7"/>
  <c r="Q179" i="7"/>
  <c r="P196" i="7"/>
  <c r="Q184" i="7"/>
  <c r="R202" i="7"/>
  <c r="P214" i="7"/>
  <c r="R219" i="7"/>
  <c r="R208" i="7"/>
  <c r="R215" i="7"/>
  <c r="R237" i="7"/>
  <c r="R232" i="7"/>
  <c r="R239" i="7"/>
  <c r="R228" i="7"/>
  <c r="R241" i="7"/>
  <c r="P244" i="7"/>
  <c r="Q246" i="7"/>
  <c r="P277" i="7"/>
  <c r="R265" i="7"/>
  <c r="P282" i="7"/>
  <c r="R281" i="7"/>
  <c r="BP11" i="7"/>
  <c r="BP10" i="7"/>
  <c r="BP14" i="7"/>
  <c r="R169" i="7"/>
  <c r="R166" i="7"/>
  <c r="P183" i="7"/>
  <c r="Q203" i="7"/>
  <c r="Q222" i="7"/>
  <c r="P237" i="7"/>
  <c r="Q233" i="7"/>
  <c r="R243" i="7"/>
  <c r="Q271" i="7"/>
  <c r="P283" i="7"/>
  <c r="BO10" i="7"/>
  <c r="BO11" i="7"/>
  <c r="BO14" i="7"/>
  <c r="P171" i="7"/>
  <c r="Q183" i="7"/>
  <c r="Q238" i="7"/>
  <c r="Q240" i="7"/>
  <c r="R268" i="7"/>
  <c r="Q177" i="7"/>
  <c r="Q181" i="7"/>
  <c r="Q167" i="7"/>
  <c r="Q174" i="7"/>
  <c r="P199" i="7"/>
  <c r="P184" i="7"/>
  <c r="R201" i="7"/>
  <c r="R190" i="7"/>
  <c r="R207" i="7"/>
  <c r="P210" i="7"/>
  <c r="R210" i="7"/>
  <c r="R225" i="7"/>
  <c r="P239" i="7"/>
  <c r="P234" i="7"/>
  <c r="R227" i="7"/>
  <c r="R255" i="7"/>
  <c r="Q267" i="7"/>
  <c r="R259" i="7"/>
  <c r="Q269" i="7"/>
  <c r="R155" i="7"/>
  <c r="R154" i="7"/>
  <c r="R153" i="7"/>
  <c r="BJ14" i="7"/>
  <c r="BJ10" i="7"/>
  <c r="BJ11" i="7"/>
  <c r="BI14" i="7"/>
  <c r="BI10" i="7"/>
  <c r="BI11" i="7"/>
  <c r="Q231" i="7"/>
  <c r="R223" i="7"/>
  <c r="BH14" i="7"/>
  <c r="BH10" i="7"/>
  <c r="BH11" i="7"/>
  <c r="P159" i="7"/>
  <c r="R171" i="7"/>
  <c r="Q202" i="7"/>
  <c r="BY10" i="7"/>
  <c r="BY14" i="7"/>
  <c r="BY11" i="7"/>
  <c r="Q165" i="7"/>
  <c r="Q172" i="7"/>
  <c r="P187" i="7"/>
  <c r="P201" i="7"/>
  <c r="Q201" i="7"/>
  <c r="R189" i="7"/>
  <c r="P203" i="7"/>
  <c r="P192" i="7"/>
  <c r="Q198" i="7"/>
  <c r="R217" i="7"/>
  <c r="P219" i="7"/>
  <c r="Q219" i="7"/>
  <c r="P209" i="7"/>
  <c r="P204" i="7"/>
  <c r="P232" i="7"/>
  <c r="P227" i="7"/>
  <c r="Q235" i="7"/>
  <c r="Q249" i="7"/>
  <c r="P257" i="7"/>
  <c r="Q245" i="7"/>
  <c r="R251" i="7"/>
  <c r="R258" i="7"/>
  <c r="P273" i="7"/>
  <c r="P267" i="7"/>
  <c r="Q276" i="7"/>
  <c r="R269" i="7"/>
  <c r="R157" i="7"/>
  <c r="BR11" i="7"/>
  <c r="BR10" i="7"/>
  <c r="BR14" i="7"/>
  <c r="R161" i="7"/>
  <c r="BU14" i="7"/>
  <c r="BU11" i="7"/>
  <c r="BU10" i="7"/>
  <c r="AZ10" i="8" l="1"/>
  <c r="AK38" i="8"/>
  <c r="AK37" i="8"/>
  <c r="AZ11" i="8"/>
  <c r="V44" i="8"/>
  <c r="BC753" i="7"/>
  <c r="BC447" i="7"/>
  <c r="BC475" i="7"/>
  <c r="BC453" i="7"/>
  <c r="BC465" i="7"/>
  <c r="BC776" i="7"/>
  <c r="BC461" i="7"/>
  <c r="BC512" i="7"/>
  <c r="BC539" i="7"/>
  <c r="BC527" i="7"/>
  <c r="BC784" i="7"/>
  <c r="BC733" i="7"/>
  <c r="BC768" i="7"/>
  <c r="BC486" i="7"/>
  <c r="BC804" i="7"/>
  <c r="BC459" i="7"/>
  <c r="BC693" i="7"/>
  <c r="BC469" i="7"/>
  <c r="BC544" i="7"/>
  <c r="BC502" i="7"/>
  <c r="BC457" i="7"/>
  <c r="BC434" i="7"/>
  <c r="BC508" i="7"/>
  <c r="BC466" i="7"/>
  <c r="BC726" i="7"/>
  <c r="BC794" i="7"/>
  <c r="BC723" i="7"/>
  <c r="BC697" i="7"/>
  <c r="BC521" i="7"/>
  <c r="BC761" i="7"/>
  <c r="BC805" i="7"/>
  <c r="BC788" i="7"/>
  <c r="BC515" i="7"/>
  <c r="BC483" i="7"/>
  <c r="BC494" i="7"/>
  <c r="BC713" i="7"/>
  <c r="BC448" i="7"/>
  <c r="BC808" i="7"/>
  <c r="BC487" i="7"/>
  <c r="BC735" i="7"/>
  <c r="BC757" i="7"/>
  <c r="BC771" i="7"/>
  <c r="BC531" i="7"/>
  <c r="BC734" i="7"/>
  <c r="BC744" i="7"/>
  <c r="BC779" i="7"/>
  <c r="BC518" i="7"/>
  <c r="BC439" i="7"/>
  <c r="BC549" i="7"/>
  <c r="BC703" i="7"/>
  <c r="BC803" i="7"/>
  <c r="BC706" i="7"/>
  <c r="BC737" i="7"/>
  <c r="BC548" i="7"/>
  <c r="BC722" i="7"/>
  <c r="BC721" i="7"/>
  <c r="BC718" i="7"/>
  <c r="BC736" i="7"/>
  <c r="BC740" i="7"/>
  <c r="N765" i="7"/>
  <c r="BC547" i="7"/>
  <c r="BC471" i="7"/>
  <c r="BC460" i="7"/>
  <c r="BC479" i="7"/>
  <c r="BC488" i="7"/>
  <c r="BC511" i="7"/>
  <c r="BC546" i="7"/>
  <c r="BC536" i="7"/>
  <c r="BC699" i="7"/>
  <c r="BC716" i="7"/>
  <c r="BC725" i="7"/>
  <c r="BC743" i="7"/>
  <c r="BC798" i="7"/>
  <c r="BC428" i="7"/>
  <c r="BC540" i="7"/>
  <c r="BC749" i="7"/>
  <c r="BC769" i="7"/>
  <c r="BC775" i="7"/>
  <c r="BC698" i="7"/>
  <c r="BC760" i="7"/>
  <c r="BC778" i="7"/>
  <c r="BC481" i="7"/>
  <c r="BC455" i="7"/>
  <c r="BC478" i="7"/>
  <c r="BC519" i="7"/>
  <c r="BC462" i="7"/>
  <c r="BC510" i="7"/>
  <c r="BC727" i="7"/>
  <c r="BC763" i="7"/>
  <c r="BC541" i="7"/>
  <c r="BC730" i="7"/>
  <c r="BC756" i="7"/>
  <c r="BC724" i="7"/>
  <c r="BC796" i="7"/>
  <c r="BC717" i="7"/>
  <c r="BC745" i="7"/>
  <c r="BC783" i="7"/>
  <c r="BC720" i="7"/>
  <c r="BC773" i="7"/>
  <c r="BC806" i="7"/>
  <c r="BC490" i="7"/>
  <c r="BC789" i="7"/>
  <c r="N720" i="7"/>
  <c r="BC473" i="7"/>
  <c r="BC732" i="7"/>
  <c r="BC550" i="7"/>
  <c r="BC493" i="7"/>
  <c r="BC532" i="7"/>
  <c r="BC514" i="7"/>
  <c r="BC489" i="7"/>
  <c r="N750" i="7"/>
  <c r="N795" i="7"/>
  <c r="BC517" i="7"/>
  <c r="BC491" i="7"/>
  <c r="BC506" i="7"/>
  <c r="BC542" i="7"/>
  <c r="N790" i="7"/>
  <c r="BC450" i="7"/>
  <c r="BC454" i="7"/>
  <c r="BC445" i="7"/>
  <c r="BC537" i="7"/>
  <c r="BC492" i="7"/>
  <c r="BC523" i="7"/>
  <c r="BC503" i="7"/>
  <c r="BC538" i="7"/>
  <c r="BC728" i="7"/>
  <c r="BC802" i="7"/>
  <c r="BC758" i="7"/>
  <c r="BC524" i="7"/>
  <c r="BC752" i="7"/>
  <c r="BC759" i="7"/>
  <c r="BC774" i="7"/>
  <c r="BC476" i="7"/>
  <c r="BC499" i="7"/>
  <c r="BC507" i="7"/>
  <c r="N771" i="7"/>
  <c r="N736" i="7"/>
  <c r="N783" i="7"/>
  <c r="BC440" i="7"/>
  <c r="BC474" i="7"/>
  <c r="BC496" i="7"/>
  <c r="BC452" i="7"/>
  <c r="BC522" i="7"/>
  <c r="BC780" i="7"/>
  <c r="BC782" i="7"/>
  <c r="BC810" i="7"/>
  <c r="BC505" i="7"/>
  <c r="BC705" i="7"/>
  <c r="BC710" i="7"/>
  <c r="BC754" i="7"/>
  <c r="BC786" i="7"/>
  <c r="BC790" i="7"/>
  <c r="BC777" i="7"/>
  <c r="BC766" i="7"/>
  <c r="BC809" i="7"/>
  <c r="BC807" i="7"/>
  <c r="BC525" i="7"/>
  <c r="BC543" i="7"/>
  <c r="BC709" i="7"/>
  <c r="BC795" i="7"/>
  <c r="BC785" i="7"/>
  <c r="BC791" i="7"/>
  <c r="BC812" i="7"/>
  <c r="BC449" i="7"/>
  <c r="BC482" i="7"/>
  <c r="BC704" i="7"/>
  <c r="BC755" i="7"/>
  <c r="BC781" i="7"/>
  <c r="BC800" i="7"/>
  <c r="BC739" i="7"/>
  <c r="BC770" i="7"/>
  <c r="BC811" i="7"/>
  <c r="BC528" i="7"/>
  <c r="BC470" i="7"/>
  <c r="BC534" i="7"/>
  <c r="V31" i="8"/>
  <c r="V40" i="8"/>
  <c r="AZ18" i="8"/>
  <c r="BC707" i="7"/>
  <c r="BC741" i="7"/>
  <c r="BC509" i="7"/>
  <c r="BC513" i="7"/>
  <c r="BC797" i="7"/>
  <c r="BC793" i="7"/>
  <c r="AZ37" i="8"/>
  <c r="BC530" i="7"/>
  <c r="BC529" i="7"/>
  <c r="BC484" i="7"/>
  <c r="BC504" i="7"/>
  <c r="BC495" i="7"/>
  <c r="N774" i="7"/>
  <c r="BC762" i="7"/>
  <c r="N746" i="7"/>
  <c r="N550" i="7"/>
  <c r="N791" i="7"/>
  <c r="N798" i="7"/>
  <c r="N548" i="7"/>
  <c r="N474" i="7"/>
  <c r="BC458" i="7"/>
  <c r="BC468" i="7"/>
  <c r="BC467" i="7"/>
  <c r="BC497" i="7"/>
  <c r="BC545" i="7"/>
  <c r="BC456" i="7"/>
  <c r="BC472" i="7"/>
  <c r="BC516" i="7"/>
  <c r="BC535" i="7"/>
  <c r="BC695" i="7"/>
  <c r="BC747" i="7"/>
  <c r="BC748" i="7"/>
  <c r="BC715" i="7"/>
  <c r="BC801" i="7"/>
  <c r="BC708" i="7"/>
  <c r="BC719" i="7"/>
  <c r="BC731" i="7"/>
  <c r="BC787" i="7"/>
  <c r="N471" i="7"/>
  <c r="BC729" i="7"/>
  <c r="BC765" i="7"/>
  <c r="BC714" i="7"/>
  <c r="BC799" i="7"/>
  <c r="BC751" i="7"/>
  <c r="BC712" i="7"/>
  <c r="BC746" i="7"/>
  <c r="BC701" i="7"/>
  <c r="BC750" i="7"/>
  <c r="BC792" i="7"/>
  <c r="BC767" i="7"/>
  <c r="N770" i="7"/>
  <c r="N501" i="7"/>
  <c r="BC711" i="7"/>
  <c r="BC742" i="7"/>
  <c r="BC498" i="7"/>
  <c r="BC526" i="7"/>
  <c r="BC477" i="7"/>
  <c r="BC442" i="7"/>
  <c r="BC520" i="7"/>
  <c r="BC533" i="7"/>
  <c r="BC464" i="7"/>
  <c r="BC463" i="7"/>
  <c r="N711" i="7"/>
  <c r="BC480" i="7"/>
  <c r="BC500" i="7"/>
  <c r="N751" i="7"/>
  <c r="BC772" i="7"/>
  <c r="BC485" i="7"/>
  <c r="BC764" i="7"/>
  <c r="N714" i="7"/>
  <c r="N749" i="7"/>
  <c r="N754" i="7"/>
  <c r="BC446" i="7"/>
  <c r="BC501" i="7"/>
  <c r="BC451" i="7"/>
  <c r="BC433" i="7"/>
  <c r="BC687" i="7"/>
  <c r="N525" i="7"/>
  <c r="BC696" i="7"/>
  <c r="BC702" i="7"/>
  <c r="N725" i="7"/>
  <c r="N803" i="7"/>
  <c r="BC738" i="7"/>
  <c r="BC432" i="7"/>
  <c r="N485" i="7"/>
  <c r="N530" i="7"/>
  <c r="N731" i="7"/>
  <c r="N498" i="7"/>
  <c r="N806" i="7"/>
  <c r="N772" i="7"/>
  <c r="N740" i="7"/>
  <c r="N712" i="7"/>
  <c r="N515" i="7"/>
  <c r="N752" i="7"/>
  <c r="N463" i="7"/>
  <c r="N777" i="7"/>
  <c r="N758" i="7"/>
  <c r="N786" i="7"/>
  <c r="N732" i="7"/>
  <c r="N462" i="7"/>
  <c r="N517" i="7"/>
  <c r="N804" i="7"/>
  <c r="N723" i="7"/>
  <c r="N502" i="7"/>
  <c r="N695" i="7"/>
  <c r="L695" i="7" s="1"/>
  <c r="BC692" i="7"/>
  <c r="BC426" i="7"/>
  <c r="N768" i="7"/>
  <c r="N705" i="7"/>
  <c r="N522" i="7"/>
  <c r="BC441" i="7"/>
  <c r="N788" i="7"/>
  <c r="N727" i="7"/>
  <c r="N717" i="7"/>
  <c r="N739" i="7"/>
  <c r="N780" i="7"/>
  <c r="N759" i="7"/>
  <c r="N799" i="7"/>
  <c r="M799" i="7" s="1"/>
  <c r="N446" i="7"/>
  <c r="N543" i="7"/>
  <c r="N685" i="7"/>
  <c r="N718" i="7"/>
  <c r="BC431" i="7"/>
  <c r="BC424" i="7"/>
  <c r="N541" i="7"/>
  <c r="N512" i="7"/>
  <c r="N709" i="7"/>
  <c r="L709" i="7" s="1"/>
  <c r="N760" i="7"/>
  <c r="BC444" i="7"/>
  <c r="BC429" i="7"/>
  <c r="N545" i="7"/>
  <c r="N523" i="7"/>
  <c r="N716" i="7"/>
  <c r="N743" i="7"/>
  <c r="N767" i="7"/>
  <c r="N478" i="7"/>
  <c r="N450" i="7"/>
  <c r="N730" i="7"/>
  <c r="L730" i="7" s="1"/>
  <c r="N755" i="7"/>
  <c r="N764" i="7"/>
  <c r="N503" i="7"/>
  <c r="N773" i="7"/>
  <c r="N722" i="7"/>
  <c r="N800" i="7"/>
  <c r="N793" i="7"/>
  <c r="N715" i="7"/>
  <c r="L715" i="7" s="1"/>
  <c r="N728" i="7"/>
  <c r="N477" i="7"/>
  <c r="L477" i="7" s="1"/>
  <c r="N782" i="7"/>
  <c r="N747" i="7"/>
  <c r="N440" i="7"/>
  <c r="N432" i="7"/>
  <c r="N465" i="7"/>
  <c r="N452" i="7"/>
  <c r="M452" i="7" s="1"/>
  <c r="N540" i="7"/>
  <c r="N524" i="7"/>
  <c r="BC688" i="7"/>
  <c r="BC690" i="7"/>
  <c r="N785" i="7"/>
  <c r="N449" i="7"/>
  <c r="N789" i="7"/>
  <c r="N698" i="7"/>
  <c r="N733" i="7"/>
  <c r="N781" i="7"/>
  <c r="N710" i="7"/>
  <c r="N693" i="7"/>
  <c r="N753" i="7"/>
  <c r="M753" i="7" s="1"/>
  <c r="N492" i="7"/>
  <c r="M492" i="7" s="1"/>
  <c r="N475" i="7"/>
  <c r="N797" i="7"/>
  <c r="N699" i="7"/>
  <c r="M699" i="7" s="1"/>
  <c r="BC436" i="7"/>
  <c r="N507" i="7"/>
  <c r="N469" i="7"/>
  <c r="N514" i="7"/>
  <c r="N526" i="7"/>
  <c r="BC427" i="7"/>
  <c r="N769" i="7"/>
  <c r="N775" i="7"/>
  <c r="N687" i="7"/>
  <c r="N713" i="7"/>
  <c r="BC443" i="7"/>
  <c r="N763" i="7"/>
  <c r="M763" i="7" s="1"/>
  <c r="N748" i="7"/>
  <c r="N439" i="7"/>
  <c r="N424" i="7"/>
  <c r="N535" i="7"/>
  <c r="N719" i="7"/>
  <c r="N708" i="7"/>
  <c r="N792" i="7"/>
  <c r="N448" i="7"/>
  <c r="L448" i="7" s="1"/>
  <c r="BC423" i="7"/>
  <c r="N459" i="7"/>
  <c r="N534" i="7"/>
  <c r="N434" i="7"/>
  <c r="N519" i="7"/>
  <c r="N812" i="7"/>
  <c r="N470" i="7"/>
  <c r="N483" i="7"/>
  <c r="N461" i="7"/>
  <c r="M461" i="7" s="1"/>
  <c r="N547" i="7"/>
  <c r="N490" i="7"/>
  <c r="N484" i="7"/>
  <c r="N497" i="7"/>
  <c r="N481" i="7"/>
  <c r="N520" i="7"/>
  <c r="N488" i="7"/>
  <c r="L488" i="7" s="1"/>
  <c r="N493" i="7"/>
  <c r="N444" i="7"/>
  <c r="BC422" i="7"/>
  <c r="N521" i="7"/>
  <c r="N423" i="7"/>
  <c r="N491" i="7"/>
  <c r="N518" i="7"/>
  <c r="N467" i="7"/>
  <c r="N532" i="7"/>
  <c r="N735" i="7"/>
  <c r="N745" i="7"/>
  <c r="N707" i="7"/>
  <c r="N810" i="7"/>
  <c r="N808" i="7"/>
  <c r="N761" i="7"/>
  <c r="N696" i="7"/>
  <c r="N701" i="7"/>
  <c r="N537" i="7"/>
  <c r="N506" i="7"/>
  <c r="N442" i="7"/>
  <c r="L442" i="7" s="1"/>
  <c r="N516" i="7"/>
  <c r="N426" i="7"/>
  <c r="N706" i="7"/>
  <c r="N778" i="7"/>
  <c r="N494" i="7"/>
  <c r="N538" i="7"/>
  <c r="N505" i="7"/>
  <c r="N456" i="7"/>
  <c r="N527" i="7"/>
  <c r="N499" i="7"/>
  <c r="BC430" i="7"/>
  <c r="N489" i="7"/>
  <c r="N703" i="7"/>
  <c r="N729" i="7"/>
  <c r="N702" i="7"/>
  <c r="N697" i="7"/>
  <c r="M697" i="7" s="1"/>
  <c r="N482" i="7"/>
  <c r="N454" i="7"/>
  <c r="N504" i="7"/>
  <c r="BC437" i="7"/>
  <c r="N533" i="7"/>
  <c r="N468" i="7"/>
  <c r="N458" i="7"/>
  <c r="L458" i="7" s="1"/>
  <c r="N453" i="7"/>
  <c r="N500" i="7"/>
  <c r="N428" i="7"/>
  <c r="N531" i="7"/>
  <c r="N486" i="7"/>
  <c r="N433" i="7"/>
  <c r="N451" i="7"/>
  <c r="N721" i="7"/>
  <c r="N726" i="7"/>
  <c r="N809" i="7"/>
  <c r="N737" i="7"/>
  <c r="N744" i="7"/>
  <c r="BC603" i="7"/>
  <c r="N684" i="7"/>
  <c r="N700" i="7"/>
  <c r="N549" i="7"/>
  <c r="BC679" i="7"/>
  <c r="BC684" i="7"/>
  <c r="N690" i="7"/>
  <c r="N734" i="7"/>
  <c r="N787" i="7"/>
  <c r="BC683" i="7"/>
  <c r="N802" i="7"/>
  <c r="N613" i="7"/>
  <c r="N566" i="7"/>
  <c r="N801" i="7"/>
  <c r="N766" i="7"/>
  <c r="N779" i="7"/>
  <c r="N742" i="7"/>
  <c r="N762" i="7"/>
  <c r="N794" i="7"/>
  <c r="N724" i="7"/>
  <c r="N689" i="7"/>
  <c r="M689" i="7" s="1"/>
  <c r="N796" i="7"/>
  <c r="N460" i="7"/>
  <c r="N536" i="7"/>
  <c r="N436" i="7"/>
  <c r="N508" i="7"/>
  <c r="N445" i="7"/>
  <c r="N542" i="7"/>
  <c r="N421" i="7"/>
  <c r="N633" i="7"/>
  <c r="N738" i="7"/>
  <c r="BC570" i="7"/>
  <c r="N479" i="7"/>
  <c r="N529" i="7"/>
  <c r="N430" i="7"/>
  <c r="N811" i="7"/>
  <c r="BC691" i="7"/>
  <c r="N472" i="7"/>
  <c r="N805" i="7"/>
  <c r="N464" i="7"/>
  <c r="BC419" i="7"/>
  <c r="N466" i="7"/>
  <c r="N496" i="7"/>
  <c r="BC700" i="7"/>
  <c r="BC425" i="7"/>
  <c r="BC655" i="7"/>
  <c r="N422" i="7"/>
  <c r="N480" i="7"/>
  <c r="N429" i="7"/>
  <c r="N447" i="7"/>
  <c r="N509" i="7"/>
  <c r="N431" i="7"/>
  <c r="BC689" i="7"/>
  <c r="N618" i="7"/>
  <c r="BC575" i="7"/>
  <c r="BC627" i="7"/>
  <c r="BC590" i="7"/>
  <c r="BC619" i="7"/>
  <c r="BC552" i="7"/>
  <c r="N427" i="7"/>
  <c r="N441" i="7"/>
  <c r="BC438" i="7"/>
  <c r="N692" i="7"/>
  <c r="N741" i="7"/>
  <c r="N513" i="7"/>
  <c r="N438" i="7"/>
  <c r="M438" i="7" s="1"/>
  <c r="N437" i="7"/>
  <c r="BC418" i="7"/>
  <c r="N473" i="7"/>
  <c r="M473" i="7" s="1"/>
  <c r="BC421" i="7"/>
  <c r="N704" i="7"/>
  <c r="N476" i="7"/>
  <c r="N510" i="7"/>
  <c r="N662" i="7"/>
  <c r="N553" i="7"/>
  <c r="L553" i="7" s="1"/>
  <c r="BC435" i="7"/>
  <c r="N435" i="7"/>
  <c r="N455" i="7"/>
  <c r="N544" i="7"/>
  <c r="BC659" i="7"/>
  <c r="N495" i="7"/>
  <c r="N418" i="7"/>
  <c r="BC662" i="7"/>
  <c r="N457" i="7"/>
  <c r="N528" i="7"/>
  <c r="N443" i="7"/>
  <c r="BC694" i="7"/>
  <c r="N691" i="7"/>
  <c r="N595" i="7"/>
  <c r="N573" i="7"/>
  <c r="N565" i="7"/>
  <c r="N641" i="7"/>
  <c r="L641" i="7" s="1"/>
  <c r="N593" i="7"/>
  <c r="BC556" i="7"/>
  <c r="BC664" i="7"/>
  <c r="N670" i="7"/>
  <c r="BC640" i="7"/>
  <c r="BC634" i="7"/>
  <c r="BC670" i="7"/>
  <c r="N574" i="7"/>
  <c r="BC601" i="7"/>
  <c r="N649" i="7"/>
  <c r="N589" i="7"/>
  <c r="N615" i="7"/>
  <c r="N612" i="7"/>
  <c r="N580" i="7"/>
  <c r="N621" i="7"/>
  <c r="N647" i="7"/>
  <c r="N560" i="7"/>
  <c r="M560" i="7" s="1"/>
  <c r="BC607" i="7"/>
  <c r="BC606" i="7"/>
  <c r="BC581" i="7"/>
  <c r="BC584" i="7"/>
  <c r="N642" i="7"/>
  <c r="N679" i="7"/>
  <c r="BC569" i="7"/>
  <c r="N638" i="7"/>
  <c r="M638" i="7" s="1"/>
  <c r="BC643" i="7"/>
  <c r="N671" i="7"/>
  <c r="BC666" i="7"/>
  <c r="N624" i="7"/>
  <c r="N655" i="7"/>
  <c r="N600" i="7"/>
  <c r="N632" i="7"/>
  <c r="N583" i="7"/>
  <c r="N597" i="7"/>
  <c r="N620" i="7"/>
  <c r="N659" i="7"/>
  <c r="L659" i="7" s="1"/>
  <c r="N564" i="7"/>
  <c r="M564" i="7" s="1"/>
  <c r="BC682" i="7"/>
  <c r="BC618" i="7"/>
  <c r="BC571" i="7"/>
  <c r="BC579" i="7"/>
  <c r="BC600" i="7"/>
  <c r="BC673" i="7"/>
  <c r="BC563" i="7"/>
  <c r="N634" i="7"/>
  <c r="N598" i="7"/>
  <c r="N630" i="7"/>
  <c r="BC680" i="7"/>
  <c r="N594" i="7"/>
  <c r="N611" i="7"/>
  <c r="N556" i="7"/>
  <c r="N639" i="7"/>
  <c r="N614" i="7"/>
  <c r="BC612" i="7"/>
  <c r="BC617" i="7"/>
  <c r="BC568" i="7"/>
  <c r="BC578" i="7"/>
  <c r="N557" i="7"/>
  <c r="N667" i="7"/>
  <c r="BC557" i="7"/>
  <c r="N663" i="7"/>
  <c r="N605" i="7"/>
  <c r="M605" i="7" s="1"/>
  <c r="BC641" i="7"/>
  <c r="N587" i="7"/>
  <c r="BC610" i="7"/>
  <c r="N591" i="7"/>
  <c r="N592" i="7"/>
  <c r="N673" i="7"/>
  <c r="N608" i="7"/>
  <c r="BC583" i="7"/>
  <c r="BC580" i="7"/>
  <c r="BC572" i="7"/>
  <c r="BC587" i="7"/>
  <c r="BC613" i="7"/>
  <c r="N694" i="7"/>
  <c r="N562" i="7"/>
  <c r="N672" i="7"/>
  <c r="BC555" i="7"/>
  <c r="BC554" i="7"/>
  <c r="BC660" i="7"/>
  <c r="N666" i="7"/>
  <c r="BC582" i="7"/>
  <c r="N681" i="7"/>
  <c r="N569" i="7"/>
  <c r="N582" i="7"/>
  <c r="N577" i="7"/>
  <c r="M577" i="7" s="1"/>
  <c r="N643" i="7"/>
  <c r="L643" i="7" s="1"/>
  <c r="N581" i="7"/>
  <c r="BC628" i="7"/>
  <c r="BC681" i="7"/>
  <c r="BC592" i="7"/>
  <c r="BC597" i="7"/>
  <c r="BC644" i="7"/>
  <c r="BC566" i="7"/>
  <c r="BC565" i="7"/>
  <c r="BC594" i="7"/>
  <c r="N546" i="7"/>
  <c r="N554" i="7"/>
  <c r="N650" i="7"/>
  <c r="N609" i="7"/>
  <c r="L609" i="7" s="1"/>
  <c r="N625" i="7"/>
  <c r="N599" i="7"/>
  <c r="BC573" i="7"/>
  <c r="N677" i="7"/>
  <c r="BC625" i="7"/>
  <c r="BC589" i="7"/>
  <c r="N669" i="7"/>
  <c r="BC646" i="7"/>
  <c r="N555" i="7"/>
  <c r="N561" i="7"/>
  <c r="N622" i="7"/>
  <c r="N648" i="7"/>
  <c r="N571" i="7"/>
  <c r="N602" i="7"/>
  <c r="N675" i="7"/>
  <c r="BC658" i="7"/>
  <c r="BC639" i="7"/>
  <c r="BC560" i="7"/>
  <c r="BC631" i="7"/>
  <c r="BC599" i="7"/>
  <c r="N579" i="7"/>
  <c r="BC417" i="7"/>
  <c r="BC574" i="7"/>
  <c r="N601" i="7"/>
  <c r="N626" i="7"/>
  <c r="M626" i="7" s="1"/>
  <c r="N586" i="7"/>
  <c r="N682" i="7"/>
  <c r="M682" i="7" s="1"/>
  <c r="N664" i="7"/>
  <c r="N629" i="7"/>
  <c r="N627" i="7"/>
  <c r="N661" i="7"/>
  <c r="N558" i="7"/>
  <c r="M558" i="7" s="1"/>
  <c r="N596" i="7"/>
  <c r="BC638" i="7"/>
  <c r="BC649" i="7"/>
  <c r="BC577" i="7"/>
  <c r="BC637" i="7"/>
  <c r="BC614" i="7"/>
  <c r="BC667" i="7"/>
  <c r="BC636" i="7"/>
  <c r="BC616" i="7"/>
  <c r="BC672" i="7"/>
  <c r="N757" i="7"/>
  <c r="N603" i="7"/>
  <c r="N640" i="7"/>
  <c r="BC558" i="7"/>
  <c r="BC650" i="7"/>
  <c r="BC648" i="7"/>
  <c r="BC586" i="7"/>
  <c r="N567" i="7"/>
  <c r="L567" i="7" s="1"/>
  <c r="BC652" i="7"/>
  <c r="BC611" i="7"/>
  <c r="BC598" i="7"/>
  <c r="N651" i="7"/>
  <c r="N563" i="7"/>
  <c r="M563" i="7" s="1"/>
  <c r="N628" i="7"/>
  <c r="BC647" i="7"/>
  <c r="BC676" i="7"/>
  <c r="N660" i="7"/>
  <c r="N644" i="7"/>
  <c r="N619" i="7"/>
  <c r="N653" i="7"/>
  <c r="N575" i="7"/>
  <c r="N590" i="7"/>
  <c r="BC651" i="7"/>
  <c r="BC567" i="7"/>
  <c r="BC663" i="7"/>
  <c r="BC608" i="7"/>
  <c r="BC671" i="7"/>
  <c r="BC605" i="7"/>
  <c r="BC669" i="7"/>
  <c r="BC609" i="7"/>
  <c r="N419" i="7"/>
  <c r="N511" i="7"/>
  <c r="N645" i="7"/>
  <c r="BC553" i="7"/>
  <c r="BC564" i="7"/>
  <c r="BC632" i="7"/>
  <c r="BC585" i="7"/>
  <c r="N610" i="7"/>
  <c r="BC615" i="7"/>
  <c r="BC653" i="7"/>
  <c r="N680" i="7"/>
  <c r="L680" i="7" s="1"/>
  <c r="N658" i="7"/>
  <c r="N568" i="7"/>
  <c r="N584" i="7"/>
  <c r="L584" i="7" s="1"/>
  <c r="BC620" i="7"/>
  <c r="N604" i="7"/>
  <c r="N657" i="7"/>
  <c r="BC645" i="7"/>
  <c r="BC635" i="7"/>
  <c r="BC642" i="7"/>
  <c r="N487" i="7"/>
  <c r="N425" i="7"/>
  <c r="N654" i="7"/>
  <c r="BC559" i="7"/>
  <c r="BC678" i="7"/>
  <c r="N585" i="7"/>
  <c r="L585" i="7" s="1"/>
  <c r="N570" i="7"/>
  <c r="N617" i="7"/>
  <c r="BC595" i="7"/>
  <c r="N646" i="7"/>
  <c r="N676" i="7"/>
  <c r="N636" i="7"/>
  <c r="N678" i="7"/>
  <c r="N606" i="7"/>
  <c r="N637" i="7"/>
  <c r="N559" i="7"/>
  <c r="N578" i="7"/>
  <c r="BC629" i="7"/>
  <c r="BC654" i="7"/>
  <c r="BC633" i="7"/>
  <c r="BC602" i="7"/>
  <c r="BC657" i="7"/>
  <c r="BC576" i="7"/>
  <c r="BC562" i="7"/>
  <c r="N631" i="7"/>
  <c r="N576" i="7"/>
  <c r="BC593" i="7"/>
  <c r="BC624" i="7"/>
  <c r="BC677" i="7"/>
  <c r="BC661" i="7"/>
  <c r="N652" i="7"/>
  <c r="N616" i="7"/>
  <c r="N607" i="7"/>
  <c r="N635" i="7"/>
  <c r="N572" i="7"/>
  <c r="BC630" i="7"/>
  <c r="BC622" i="7"/>
  <c r="BC621" i="7"/>
  <c r="BC596" i="7"/>
  <c r="BC604" i="7"/>
  <c r="BC561" i="7"/>
  <c r="BC591" i="7"/>
  <c r="BC675" i="7"/>
  <c r="BC626" i="7"/>
  <c r="N539" i="7"/>
  <c r="N756" i="7"/>
  <c r="BC402" i="7"/>
  <c r="N668" i="7"/>
  <c r="BC408" i="7"/>
  <c r="N674" i="7"/>
  <c r="BC357" i="7"/>
  <c r="N623" i="7"/>
  <c r="N420" i="7"/>
  <c r="N417" i="7"/>
  <c r="N683" i="7"/>
  <c r="BC399" i="7"/>
  <c r="BC665" i="7"/>
  <c r="N776" i="7"/>
  <c r="N688" i="7"/>
  <c r="BC325" i="7"/>
  <c r="BC322" i="7"/>
  <c r="N588" i="7"/>
  <c r="BC685" i="7"/>
  <c r="N807" i="7"/>
  <c r="BC390" i="7"/>
  <c r="BC656" i="7"/>
  <c r="BC373" i="7"/>
  <c r="N552" i="7"/>
  <c r="N784" i="7"/>
  <c r="BC285" i="7"/>
  <c r="BC551" i="7"/>
  <c r="BC420" i="7"/>
  <c r="BC409" i="7"/>
  <c r="BC360" i="7"/>
  <c r="BC347" i="7"/>
  <c r="BC334" i="7"/>
  <c r="BC407" i="7"/>
  <c r="BC333" i="7"/>
  <c r="BC406" i="7"/>
  <c r="BC332" i="7"/>
  <c r="BC378" i="7"/>
  <c r="BC391" i="7"/>
  <c r="BC328" i="7"/>
  <c r="BC410" i="7"/>
  <c r="BC326" i="7"/>
  <c r="BC404" i="7"/>
  <c r="BC339" i="7"/>
  <c r="BC344" i="7"/>
  <c r="BC401" i="7"/>
  <c r="BC348" i="7"/>
  <c r="BC311" i="7"/>
  <c r="BC386" i="7"/>
  <c r="BC300" i="7"/>
  <c r="BC299" i="7"/>
  <c r="BC313" i="7"/>
  <c r="BC365" i="7"/>
  <c r="BC372" i="7"/>
  <c r="BC370" i="7"/>
  <c r="BC316" i="7"/>
  <c r="BC383" i="7"/>
  <c r="BC371" i="7"/>
  <c r="BC323" i="7"/>
  <c r="BC403" i="7"/>
  <c r="BC294" i="7"/>
  <c r="BC374" i="7"/>
  <c r="BC306" i="7"/>
  <c r="BC321" i="7"/>
  <c r="BC346" i="7"/>
  <c r="BC359" i="7"/>
  <c r="BC397" i="7"/>
  <c r="BC312" i="7"/>
  <c r="BC297" i="7"/>
  <c r="BC414" i="7"/>
  <c r="BC394" i="7"/>
  <c r="BC319" i="7"/>
  <c r="BC351" i="7"/>
  <c r="BC318" i="7"/>
  <c r="BC349" i="7"/>
  <c r="BC335" i="7"/>
  <c r="BC315" i="7"/>
  <c r="BC341" i="7"/>
  <c r="BC317" i="7"/>
  <c r="BC375" i="7"/>
  <c r="BC295" i="7"/>
  <c r="BC385" i="7"/>
  <c r="BC301" i="7"/>
  <c r="BC296" i="7"/>
  <c r="BC395" i="7"/>
  <c r="BC411" i="7"/>
  <c r="BC327" i="7"/>
  <c r="BC356" i="7"/>
  <c r="BC364" i="7"/>
  <c r="BC330" i="7"/>
  <c r="BC358" i="7"/>
  <c r="BC329" i="7"/>
  <c r="BC412" i="7"/>
  <c r="BC368" i="7"/>
  <c r="BC310" i="7"/>
  <c r="BC363" i="7"/>
  <c r="BC388" i="7"/>
  <c r="BC336" i="7"/>
  <c r="BC415" i="7"/>
  <c r="BC309" i="7"/>
  <c r="BC320" i="7"/>
  <c r="BC337" i="7"/>
  <c r="BC361" i="7"/>
  <c r="BC387" i="7"/>
  <c r="BC298" i="7"/>
  <c r="BC380" i="7"/>
  <c r="BC376" i="7"/>
  <c r="BC287" i="7"/>
  <c r="BC369" i="7"/>
  <c r="BC350" i="7"/>
  <c r="BC354" i="7"/>
  <c r="N391" i="7"/>
  <c r="BC291" i="7"/>
  <c r="BC343" i="7"/>
  <c r="BC396" i="7"/>
  <c r="BC314" i="7"/>
  <c r="BC286" i="7"/>
  <c r="BC362" i="7"/>
  <c r="BC352" i="7"/>
  <c r="BC331" i="7"/>
  <c r="BC393" i="7"/>
  <c r="BC303" i="7"/>
  <c r="BC353" i="7"/>
  <c r="BC324" i="7"/>
  <c r="BC307" i="7"/>
  <c r="BC305" i="7"/>
  <c r="BC366" i="7"/>
  <c r="BC389" i="7"/>
  <c r="BC289" i="7"/>
  <c r="BC379" i="7"/>
  <c r="BC377" i="7"/>
  <c r="BC413" i="7"/>
  <c r="BC400" i="7"/>
  <c r="BC405" i="7"/>
  <c r="N405" i="7"/>
  <c r="BC345" i="7"/>
  <c r="BC382" i="7"/>
  <c r="BC381" i="7"/>
  <c r="BC338" i="7"/>
  <c r="BC292" i="7"/>
  <c r="BC308" i="7"/>
  <c r="BC342" i="7"/>
  <c r="N401" i="7"/>
  <c r="M401" i="7" s="1"/>
  <c r="BC302" i="7"/>
  <c r="BC355" i="7"/>
  <c r="BC398" i="7"/>
  <c r="BC384" i="7"/>
  <c r="BC290" i="7"/>
  <c r="BC288" i="7"/>
  <c r="BC293" i="7"/>
  <c r="N357" i="7"/>
  <c r="N224" i="7" s="1"/>
  <c r="BC304" i="7"/>
  <c r="N356" i="7"/>
  <c r="N415" i="7"/>
  <c r="M415" i="7" s="1"/>
  <c r="N363" i="7"/>
  <c r="N393" i="7"/>
  <c r="N412" i="7"/>
  <c r="N333" i="7"/>
  <c r="N365" i="7"/>
  <c r="N352" i="7"/>
  <c r="N409" i="7"/>
  <c r="N387" i="7"/>
  <c r="N347" i="7"/>
  <c r="N326" i="7"/>
  <c r="M326" i="7" s="1"/>
  <c r="N394" i="7"/>
  <c r="M394" i="7" s="1"/>
  <c r="N379" i="7"/>
  <c r="M379" i="7" s="1"/>
  <c r="N349" i="7"/>
  <c r="N360" i="7"/>
  <c r="N350" i="7"/>
  <c r="N380" i="7"/>
  <c r="M380" i="7" s="1"/>
  <c r="N293" i="7"/>
  <c r="N355" i="7"/>
  <c r="N344" i="7"/>
  <c r="L344" i="7" s="1"/>
  <c r="N362" i="7"/>
  <c r="L362" i="7" s="1"/>
  <c r="N408" i="7"/>
  <c r="N414" i="7"/>
  <c r="N375" i="7"/>
  <c r="N351" i="7"/>
  <c r="M351" i="7" s="1"/>
  <c r="M218" i="7" s="1"/>
  <c r="N397" i="7"/>
  <c r="N392" i="7"/>
  <c r="BC392" i="7"/>
  <c r="N305" i="7"/>
  <c r="N367" i="7"/>
  <c r="N374" i="7"/>
  <c r="N384" i="7"/>
  <c r="N385" i="7"/>
  <c r="N320" i="7"/>
  <c r="N403" i="7"/>
  <c r="N332" i="7"/>
  <c r="N413" i="7"/>
  <c r="N325" i="7"/>
  <c r="N406" i="7"/>
  <c r="BC367" i="7"/>
  <c r="N336" i="7"/>
  <c r="N369" i="7"/>
  <c r="N373" i="7"/>
  <c r="N289" i="7"/>
  <c r="N376" i="7"/>
  <c r="N400" i="7"/>
  <c r="N389" i="7"/>
  <c r="N416" i="7"/>
  <c r="N342" i="7"/>
  <c r="N308" i="7"/>
  <c r="N359" i="7"/>
  <c r="N390" i="7"/>
  <c r="N382" i="7"/>
  <c r="M382" i="7" s="1"/>
  <c r="N364" i="7"/>
  <c r="N407" i="7"/>
  <c r="N366" i="7"/>
  <c r="N404" i="7"/>
  <c r="L404" i="7" s="1"/>
  <c r="N399" i="7"/>
  <c r="N386" i="7"/>
  <c r="N340" i="7"/>
  <c r="M340" i="7" s="1"/>
  <c r="N309" i="7"/>
  <c r="N322" i="7"/>
  <c r="N317" i="7"/>
  <c r="N345" i="7"/>
  <c r="N292" i="7"/>
  <c r="N324" i="7"/>
  <c r="N339" i="7"/>
  <c r="N372" i="7"/>
  <c r="BC340" i="7"/>
  <c r="N368" i="7"/>
  <c r="N294" i="7"/>
  <c r="N331" i="7"/>
  <c r="BC416" i="7"/>
  <c r="N307" i="7"/>
  <c r="N338" i="7"/>
  <c r="N410" i="7"/>
  <c r="N348" i="7"/>
  <c r="M348" i="7" s="1"/>
  <c r="N316" i="7"/>
  <c r="N343" i="7"/>
  <c r="N395" i="7"/>
  <c r="L395" i="7" s="1"/>
  <c r="N370" i="7"/>
  <c r="M370" i="7" s="1"/>
  <c r="N378" i="7"/>
  <c r="N377" i="7"/>
  <c r="N388" i="7"/>
  <c r="N318" i="7"/>
  <c r="L318" i="7" s="1"/>
  <c r="N396" i="7"/>
  <c r="N354" i="7"/>
  <c r="M354" i="7" s="1"/>
  <c r="N346" i="7"/>
  <c r="N329" i="7"/>
  <c r="N371" i="7"/>
  <c r="N295" i="7"/>
  <c r="N319" i="7"/>
  <c r="L319" i="7" s="1"/>
  <c r="N361" i="7"/>
  <c r="N285" i="7"/>
  <c r="N312" i="7"/>
  <c r="N303" i="7"/>
  <c r="N287" i="7"/>
  <c r="N341" i="7"/>
  <c r="N315" i="7"/>
  <c r="N353" i="7"/>
  <c r="N321" i="7"/>
  <c r="M321" i="7" s="1"/>
  <c r="N337" i="7"/>
  <c r="N291" i="7"/>
  <c r="N327" i="7"/>
  <c r="N358" i="7"/>
  <c r="N381" i="7"/>
  <c r="N286" i="7"/>
  <c r="N299" i="7"/>
  <c r="M299" i="7" s="1"/>
  <c r="N398" i="7"/>
  <c r="N330" i="7"/>
  <c r="N411" i="7"/>
  <c r="N402" i="7"/>
  <c r="N314" i="7"/>
  <c r="M314" i="7" s="1"/>
  <c r="N302" i="7"/>
  <c r="M302" i="7" s="1"/>
  <c r="N334" i="7"/>
  <c r="N304" i="7"/>
  <c r="N310" i="7"/>
  <c r="N300" i="7"/>
  <c r="N297" i="7"/>
  <c r="N383" i="7"/>
  <c r="N335" i="7"/>
  <c r="N298" i="7"/>
  <c r="M298" i="7" s="1"/>
  <c r="N323" i="7"/>
  <c r="N328" i="7"/>
  <c r="M328" i="7" s="1"/>
  <c r="N296" i="7"/>
  <c r="N313" i="7"/>
  <c r="N290" i="7"/>
  <c r="N311" i="7"/>
  <c r="N301" i="7"/>
  <c r="N306" i="7"/>
  <c r="N288" i="7"/>
  <c r="M458" i="7" l="1"/>
  <c r="L733" i="7"/>
  <c r="L452" i="7"/>
  <c r="M439" i="7"/>
  <c r="L543" i="7"/>
  <c r="M523" i="7"/>
  <c r="L523" i="7"/>
  <c r="L514" i="7"/>
  <c r="L418" i="7"/>
  <c r="M462" i="7"/>
  <c r="M434" i="7"/>
  <c r="M514" i="7"/>
  <c r="L439" i="7"/>
  <c r="M499" i="7"/>
  <c r="L469" i="7"/>
  <c r="M721" i="7"/>
  <c r="L546" i="7"/>
  <c r="L698" i="7"/>
  <c r="L438" i="7"/>
  <c r="L463" i="7"/>
  <c r="M495" i="7"/>
  <c r="M463" i="7"/>
  <c r="L714" i="7"/>
  <c r="L459" i="7"/>
  <c r="L538" i="7"/>
  <c r="L447" i="7"/>
  <c r="L536" i="7"/>
  <c r="M714" i="7"/>
  <c r="L731" i="7"/>
  <c r="M511" i="7"/>
  <c r="M496" i="7"/>
  <c r="L537" i="7"/>
  <c r="M479" i="7"/>
  <c r="L496" i="7"/>
  <c r="L518" i="7"/>
  <c r="M487" i="7"/>
  <c r="M731" i="7"/>
  <c r="L799" i="7"/>
  <c r="L479" i="7"/>
  <c r="M540" i="7"/>
  <c r="L783" i="7"/>
  <c r="L501" i="7"/>
  <c r="M469" i="7"/>
  <c r="M535" i="7"/>
  <c r="L800" i="7"/>
  <c r="L539" i="7"/>
  <c r="L506" i="7"/>
  <c r="L446" i="7"/>
  <c r="M765" i="7"/>
  <c r="M720" i="7"/>
  <c r="L765" i="7"/>
  <c r="L790" i="7"/>
  <c r="L502" i="7"/>
  <c r="M488" i="7"/>
  <c r="M750" i="7"/>
  <c r="L548" i="7"/>
  <c r="M457" i="7"/>
  <c r="M783" i="7"/>
  <c r="L540" i="7"/>
  <c r="M548" i="7"/>
  <c r="L486" i="7"/>
  <c r="M478" i="7"/>
  <c r="L457" i="7"/>
  <c r="L516" i="7"/>
  <c r="L750" i="7"/>
  <c r="M790" i="7"/>
  <c r="M516" i="7"/>
  <c r="L755" i="7"/>
  <c r="L471" i="7"/>
  <c r="M501" i="7"/>
  <c r="M539" i="7"/>
  <c r="M436" i="7"/>
  <c r="M534" i="7"/>
  <c r="L748" i="7"/>
  <c r="L460" i="7"/>
  <c r="M506" i="7"/>
  <c r="L499" i="7"/>
  <c r="L749" i="7"/>
  <c r="L481" i="7"/>
  <c r="M431" i="7"/>
  <c r="M722" i="7"/>
  <c r="M749" i="7"/>
  <c r="L466" i="7"/>
  <c r="L467" i="7"/>
  <c r="M466" i="7"/>
  <c r="L425" i="7"/>
  <c r="M525" i="7"/>
  <c r="L534" i="7"/>
  <c r="M545" i="7"/>
  <c r="L529" i="7"/>
  <c r="M475" i="7"/>
  <c r="L498" i="7"/>
  <c r="L722" i="7"/>
  <c r="L545" i="7"/>
  <c r="M465" i="7"/>
  <c r="L465" i="7"/>
  <c r="M481" i="7"/>
  <c r="L436" i="7"/>
  <c r="L431" i="7"/>
  <c r="L720" i="7"/>
  <c r="M467" i="7"/>
  <c r="M529" i="7"/>
  <c r="M498" i="7"/>
  <c r="L721" i="7"/>
  <c r="M451" i="7"/>
  <c r="M546" i="7"/>
  <c r="M446" i="7"/>
  <c r="M460" i="7"/>
  <c r="M419" i="7"/>
  <c r="M425" i="7"/>
  <c r="L732" i="7"/>
  <c r="L795" i="7"/>
  <c r="M795" i="7"/>
  <c r="M736" i="7"/>
  <c r="M518" i="7"/>
  <c r="M442" i="7"/>
  <c r="M537" i="7"/>
  <c r="L533" i="7"/>
  <c r="L495" i="7"/>
  <c r="L804" i="7"/>
  <c r="M771" i="7"/>
  <c r="M543" i="7"/>
  <c r="L507" i="7"/>
  <c r="L527" i="7"/>
  <c r="M527" i="7"/>
  <c r="L517" i="7"/>
  <c r="L432" i="7"/>
  <c r="M507" i="7"/>
  <c r="M536" i="7"/>
  <c r="M517" i="7"/>
  <c r="L462" i="7"/>
  <c r="M432" i="7"/>
  <c r="L511" i="7"/>
  <c r="M497" i="7"/>
  <c r="L497" i="7"/>
  <c r="M418" i="7"/>
  <c r="M532" i="7"/>
  <c r="M508" i="7"/>
  <c r="L434" i="7"/>
  <c r="L487" i="7"/>
  <c r="L736" i="7"/>
  <c r="M459" i="7"/>
  <c r="L771" i="7"/>
  <c r="M441" i="7"/>
  <c r="L509" i="7"/>
  <c r="M505" i="7"/>
  <c r="L423" i="7"/>
  <c r="L484" i="7"/>
  <c r="L449" i="7"/>
  <c r="M730" i="7"/>
  <c r="M502" i="7"/>
  <c r="M426" i="7"/>
  <c r="M547" i="7"/>
  <c r="L547" i="7"/>
  <c r="M477" i="7"/>
  <c r="M444" i="7"/>
  <c r="L444" i="7"/>
  <c r="L524" i="7"/>
  <c r="M524" i="7"/>
  <c r="M531" i="7"/>
  <c r="L512" i="7"/>
  <c r="L421" i="7"/>
  <c r="L426" i="7"/>
  <c r="L693" i="7"/>
  <c r="M693" i="7"/>
  <c r="M788" i="7"/>
  <c r="L788" i="7"/>
  <c r="L746" i="7"/>
  <c r="M450" i="7"/>
  <c r="L450" i="7"/>
  <c r="M512" i="7"/>
  <c r="M421" i="7"/>
  <c r="M804" i="7"/>
  <c r="M778" i="7"/>
  <c r="L808" i="7"/>
  <c r="L798" i="7"/>
  <c r="M798" i="7"/>
  <c r="L443" i="7"/>
  <c r="M443" i="7"/>
  <c r="L437" i="7"/>
  <c r="M437" i="7"/>
  <c r="L453" i="7"/>
  <c r="M453" i="7"/>
  <c r="M793" i="7"/>
  <c r="L745" i="7"/>
  <c r="L531" i="7"/>
  <c r="M729" i="7"/>
  <c r="M769" i="7"/>
  <c r="L769" i="7"/>
  <c r="M745" i="7"/>
  <c r="L719" i="7"/>
  <c r="L492" i="7"/>
  <c r="M528" i="7"/>
  <c r="M470" i="7"/>
  <c r="L470" i="7"/>
  <c r="M429" i="7"/>
  <c r="M494" i="7"/>
  <c r="M695" i="7"/>
  <c r="M428" i="7"/>
  <c r="L428" i="7"/>
  <c r="L541" i="7"/>
  <c r="M541" i="7"/>
  <c r="L475" i="7"/>
  <c r="L494" i="7"/>
  <c r="L429" i="7"/>
  <c r="M808" i="7"/>
  <c r="L793" i="7"/>
  <c r="M746" i="7"/>
  <c r="L535" i="7"/>
  <c r="M800" i="7"/>
  <c r="L474" i="7"/>
  <c r="M471" i="7"/>
  <c r="M474" i="7"/>
  <c r="M692" i="7"/>
  <c r="L692" i="7"/>
  <c r="L757" i="7"/>
  <c r="L704" i="7"/>
  <c r="M724" i="7"/>
  <c r="L700" i="7"/>
  <c r="M687" i="7"/>
  <c r="L687" i="7"/>
  <c r="M785" i="7"/>
  <c r="L785" i="7"/>
  <c r="L773" i="7"/>
  <c r="M773" i="7"/>
  <c r="M717" i="7"/>
  <c r="L717" i="7"/>
  <c r="L786" i="7"/>
  <c r="M786" i="7"/>
  <c r="L752" i="7"/>
  <c r="M752" i="7"/>
  <c r="L724" i="7"/>
  <c r="M738" i="7"/>
  <c r="L697" i="7"/>
  <c r="M789" i="7"/>
  <c r="M787" i="7"/>
  <c r="M704" i="7"/>
  <c r="L789" i="7"/>
  <c r="M700" i="7"/>
  <c r="M430" i="7"/>
  <c r="M550" i="7"/>
  <c r="L801" i="7"/>
  <c r="L754" i="7"/>
  <c r="L550" i="7"/>
  <c r="L532" i="7"/>
  <c r="L508" i="7"/>
  <c r="M705" i="7"/>
  <c r="L806" i="7"/>
  <c r="L430" i="7"/>
  <c r="M533" i="7"/>
  <c r="M733" i="7"/>
  <c r="L707" i="7"/>
  <c r="M754" i="7"/>
  <c r="L705" i="7"/>
  <c r="M801" i="7"/>
  <c r="L741" i="7"/>
  <c r="L419" i="7"/>
  <c r="L480" i="7"/>
  <c r="L525" i="7"/>
  <c r="M802" i="7"/>
  <c r="M480" i="7"/>
  <c r="L515" i="7"/>
  <c r="M624" i="7"/>
  <c r="L805" i="7"/>
  <c r="L794" i="7"/>
  <c r="M794" i="7"/>
  <c r="L802" i="7"/>
  <c r="M734" i="7"/>
  <c r="L734" i="7"/>
  <c r="M744" i="7"/>
  <c r="L744" i="7"/>
  <c r="L778" i="7"/>
  <c r="L461" i="7"/>
  <c r="M792" i="7"/>
  <c r="L792" i="7"/>
  <c r="M775" i="7"/>
  <c r="L775" i="7"/>
  <c r="L728" i="7"/>
  <c r="M728" i="7"/>
  <c r="M515" i="7"/>
  <c r="L791" i="7"/>
  <c r="M774" i="7"/>
  <c r="M791" i="7"/>
  <c r="L774" i="7"/>
  <c r="L655" i="7"/>
  <c r="L787" i="7"/>
  <c r="L613" i="7"/>
  <c r="L573" i="7"/>
  <c r="M655" i="7"/>
  <c r="L621" i="7"/>
  <c r="M742" i="7"/>
  <c r="M741" i="7"/>
  <c r="M806" i="7"/>
  <c r="L565" i="7"/>
  <c r="M613" i="7"/>
  <c r="M621" i="7"/>
  <c r="M573" i="7"/>
  <c r="L630" i="7"/>
  <c r="M633" i="7"/>
  <c r="L624" i="7"/>
  <c r="M580" i="7"/>
  <c r="L580" i="7"/>
  <c r="L633" i="7"/>
  <c r="L636" i="7"/>
  <c r="L652" i="7"/>
  <c r="M578" i="7"/>
  <c r="L646" i="7"/>
  <c r="M585" i="7"/>
  <c r="M604" i="7"/>
  <c r="L644" i="7"/>
  <c r="L664" i="7"/>
  <c r="L675" i="7"/>
  <c r="M622" i="7"/>
  <c r="M634" i="7"/>
  <c r="M620" i="7"/>
  <c r="L620" i="7"/>
  <c r="M679" i="7"/>
  <c r="M615" i="7"/>
  <c r="M574" i="7"/>
  <c r="L729" i="7"/>
  <c r="M719" i="7"/>
  <c r="M748" i="7"/>
  <c r="M698" i="7"/>
  <c r="L742" i="7"/>
  <c r="L679" i="7"/>
  <c r="L615" i="7"/>
  <c r="M732" i="7"/>
  <c r="L767" i="7"/>
  <c r="M767" i="7"/>
  <c r="M669" i="7"/>
  <c r="M646" i="7"/>
  <c r="M644" i="7"/>
  <c r="M666" i="7"/>
  <c r="M652" i="7"/>
  <c r="L578" i="7"/>
  <c r="L604" i="7"/>
  <c r="L628" i="7"/>
  <c r="M660" i="7"/>
  <c r="M630" i="7"/>
  <c r="L612" i="7"/>
  <c r="M565" i="7"/>
  <c r="M607" i="7"/>
  <c r="M653" i="7"/>
  <c r="L607" i="7"/>
  <c r="M575" i="7"/>
  <c r="L660" i="7"/>
  <c r="L669" i="7"/>
  <c r="L626" i="7"/>
  <c r="L653" i="7"/>
  <c r="M586" i="7"/>
  <c r="M628" i="7"/>
  <c r="M675" i="7"/>
  <c r="L622" i="7"/>
  <c r="M673" i="7"/>
  <c r="L572" i="7"/>
  <c r="L673" i="7"/>
  <c r="L666" i="7"/>
  <c r="M572" i="7"/>
  <c r="M631" i="7"/>
  <c r="M606" i="7"/>
  <c r="L631" i="7"/>
  <c r="M629" i="7"/>
  <c r="L629" i="7"/>
  <c r="M554" i="7"/>
  <c r="L526" i="7"/>
  <c r="M420" i="7"/>
  <c r="L766" i="7"/>
  <c r="M716" i="7"/>
  <c r="M772" i="7"/>
  <c r="L566" i="7"/>
  <c r="L603" i="7"/>
  <c r="L569" i="7"/>
  <c r="M519" i="7"/>
  <c r="L489" i="7"/>
  <c r="L420" i="7"/>
  <c r="L726" i="7"/>
  <c r="M766" i="7"/>
  <c r="L716" i="7"/>
  <c r="L582" i="7"/>
  <c r="L781" i="7"/>
  <c r="M489" i="7"/>
  <c r="M726" i="7"/>
  <c r="L725" i="7"/>
  <c r="L468" i="7"/>
  <c r="L520" i="7"/>
  <c r="M781" i="7"/>
  <c r="L735" i="7"/>
  <c r="L583" i="7"/>
  <c r="L625" i="7"/>
  <c r="M468" i="7"/>
  <c r="M445" i="7"/>
  <c r="M725" i="7"/>
  <c r="L772" i="7"/>
  <c r="L575" i="7"/>
  <c r="M582" i="7"/>
  <c r="L513" i="7"/>
  <c r="L522" i="7"/>
  <c r="M526" i="7"/>
  <c r="L445" i="7"/>
  <c r="M520" i="7"/>
  <c r="M735" i="7"/>
  <c r="M583" i="7"/>
  <c r="M636" i="7"/>
  <c r="L586" i="7"/>
  <c r="M625" i="7"/>
  <c r="M424" i="7"/>
  <c r="M513" i="7"/>
  <c r="L662" i="7"/>
  <c r="L424" i="7"/>
  <c r="M522" i="7"/>
  <c r="L519" i="7"/>
  <c r="L672" i="7"/>
  <c r="M681" i="7"/>
  <c r="L559" i="7"/>
  <c r="M643" i="7"/>
  <c r="L587" i="7"/>
  <c r="M661" i="7"/>
  <c r="M587" i="7"/>
  <c r="N152" i="7"/>
  <c r="M757" i="7"/>
  <c r="L740" i="7"/>
  <c r="M559" i="7"/>
  <c r="L650" i="7"/>
  <c r="L803" i="7"/>
  <c r="M650" i="7"/>
  <c r="M740" i="7"/>
  <c r="L743" i="7"/>
  <c r="L779" i="7"/>
  <c r="L639" i="7"/>
  <c r="L555" i="7"/>
  <c r="M639" i="7"/>
  <c r="L661" i="7"/>
  <c r="M555" i="7"/>
  <c r="L605" i="7"/>
  <c r="M743" i="7"/>
  <c r="L703" i="7"/>
  <c r="M553" i="7"/>
  <c r="L658" i="7"/>
  <c r="L593" i="7"/>
  <c r="M664" i="7"/>
  <c r="L770" i="7"/>
  <c r="M703" i="7"/>
  <c r="L608" i="7"/>
  <c r="L812" i="7"/>
  <c r="L589" i="7"/>
  <c r="L751" i="7"/>
  <c r="M770" i="7"/>
  <c r="L710" i="7"/>
  <c r="L597" i="7"/>
  <c r="M812" i="7"/>
  <c r="L642" i="7"/>
  <c r="M589" i="7"/>
  <c r="M593" i="7"/>
  <c r="L590" i="7"/>
  <c r="L809" i="7"/>
  <c r="M710" i="7"/>
  <c r="L811" i="7"/>
  <c r="L718" i="7"/>
  <c r="M751" i="7"/>
  <c r="M642" i="7"/>
  <c r="M658" i="7"/>
  <c r="L645" i="7"/>
  <c r="M590" i="7"/>
  <c r="M779" i="7"/>
  <c r="M803" i="7"/>
  <c r="M809" i="7"/>
  <c r="M597" i="7"/>
  <c r="M811" i="7"/>
  <c r="M718" i="7"/>
  <c r="M645" i="7"/>
  <c r="L554" i="7"/>
  <c r="M608" i="7"/>
  <c r="M663" i="7"/>
  <c r="L577" i="7"/>
  <c r="L663" i="7"/>
  <c r="L557" i="7"/>
  <c r="L676" i="7"/>
  <c r="M680" i="7"/>
  <c r="M676" i="7"/>
  <c r="M591" i="7"/>
  <c r="M562" i="7"/>
  <c r="M566" i="7"/>
  <c r="L562" i="7"/>
  <c r="L681" i="7"/>
  <c r="L611" i="7"/>
  <c r="L574" i="7"/>
  <c r="M557" i="7"/>
  <c r="M611" i="7"/>
  <c r="L591" i="7"/>
  <c r="M486" i="7"/>
  <c r="M448" i="7"/>
  <c r="M739" i="7"/>
  <c r="L782" i="7"/>
  <c r="L761" i="7"/>
  <c r="M713" i="7"/>
  <c r="M709" i="7"/>
  <c r="M427" i="7"/>
  <c r="M755" i="7"/>
  <c r="L521" i="7"/>
  <c r="M782" i="7"/>
  <c r="M761" i="7"/>
  <c r="L797" i="7"/>
  <c r="M521" i="7"/>
  <c r="L490" i="7"/>
  <c r="M797" i="7"/>
  <c r="M482" i="7"/>
  <c r="L482" i="7"/>
  <c r="L464" i="7"/>
  <c r="M455" i="7"/>
  <c r="L485" i="7"/>
  <c r="M490" i="7"/>
  <c r="M538" i="7"/>
  <c r="L739" i="7"/>
  <c r="M485" i="7"/>
  <c r="L713" i="7"/>
  <c r="L500" i="7"/>
  <c r="L422" i="7"/>
  <c r="L493" i="7"/>
  <c r="M702" i="7"/>
  <c r="M659" i="7"/>
  <c r="M637" i="7"/>
  <c r="L712" i="7"/>
  <c r="M707" i="7"/>
  <c r="M715" i="7"/>
  <c r="M612" i="7"/>
  <c r="L435" i="7"/>
  <c r="M500" i="7"/>
  <c r="L483" i="7"/>
  <c r="L690" i="7"/>
  <c r="L706" i="7"/>
  <c r="L727" i="7"/>
  <c r="L723" i="7"/>
  <c r="L637" i="7"/>
  <c r="L561" i="7"/>
  <c r="M493" i="7"/>
  <c r="M690" i="7"/>
  <c r="L708" i="7"/>
  <c r="L737" i="7"/>
  <c r="M483" i="7"/>
  <c r="M706" i="7"/>
  <c r="L762" i="7"/>
  <c r="M727" i="7"/>
  <c r="M723" i="7"/>
  <c r="M561" i="7"/>
  <c r="M422" i="7"/>
  <c r="M737" i="7"/>
  <c r="L753" i="7"/>
  <c r="M762" i="7"/>
  <c r="L702" i="7"/>
  <c r="L576" i="7"/>
  <c r="M708" i="7"/>
  <c r="M576" i="7"/>
  <c r="L651" i="7"/>
  <c r="L627" i="7"/>
  <c r="L579" i="7"/>
  <c r="M435" i="7"/>
  <c r="L478" i="7"/>
  <c r="M712" i="7"/>
  <c r="M651" i="7"/>
  <c r="M627" i="7"/>
  <c r="M579" i="7"/>
  <c r="M569" i="7"/>
  <c r="L556" i="7"/>
  <c r="M556" i="7"/>
  <c r="M672" i="7"/>
  <c r="L667" i="7"/>
  <c r="M667" i="7"/>
  <c r="M449" i="7"/>
  <c r="M447" i="7"/>
  <c r="L670" i="7"/>
  <c r="L640" i="7"/>
  <c r="M464" i="7"/>
  <c r="L747" i="7"/>
  <c r="L455" i="7"/>
  <c r="M423" i="7"/>
  <c r="L760" i="7"/>
  <c r="L699" i="7"/>
  <c r="M640" i="7"/>
  <c r="L505" i="7"/>
  <c r="M433" i="7"/>
  <c r="L711" i="7"/>
  <c r="M780" i="7"/>
  <c r="M747" i="7"/>
  <c r="L454" i="7"/>
  <c r="M711" i="7"/>
  <c r="L684" i="7"/>
  <c r="M760" i="7"/>
  <c r="L427" i="7"/>
  <c r="M454" i="7"/>
  <c r="L691" i="7"/>
  <c r="M684" i="7"/>
  <c r="L777" i="7"/>
  <c r="M777" i="7"/>
  <c r="L671" i="7"/>
  <c r="L764" i="7"/>
  <c r="M484" i="7"/>
  <c r="L433" i="7"/>
  <c r="L689" i="7"/>
  <c r="M691" i="7"/>
  <c r="L780" i="7"/>
  <c r="M671" i="7"/>
  <c r="L570" i="7"/>
  <c r="M764" i="7"/>
  <c r="L657" i="7"/>
  <c r="M657" i="7"/>
  <c r="M544" i="7"/>
  <c r="M440" i="7"/>
  <c r="L530" i="7"/>
  <c r="L758" i="7"/>
  <c r="L617" i="7"/>
  <c r="M677" i="7"/>
  <c r="L504" i="7"/>
  <c r="L602" i="7"/>
  <c r="M768" i="7"/>
  <c r="M617" i="7"/>
  <c r="M509" i="7"/>
  <c r="L701" i="7"/>
  <c r="M602" i="7"/>
  <c r="M504" i="7"/>
  <c r="L456" i="7"/>
  <c r="L763" i="7"/>
  <c r="L601" i="7"/>
  <c r="L440" i="7"/>
  <c r="M701" i="7"/>
  <c r="L759" i="7"/>
  <c r="L796" i="7"/>
  <c r="L677" i="7"/>
  <c r="L451" i="7"/>
  <c r="L491" i="7"/>
  <c r="L503" i="7"/>
  <c r="M456" i="7"/>
  <c r="M758" i="7"/>
  <c r="L610" i="7"/>
  <c r="M601" i="7"/>
  <c r="M759" i="7"/>
  <c r="M796" i="7"/>
  <c r="M530" i="7"/>
  <c r="M491" i="7"/>
  <c r="L441" i="7"/>
  <c r="M503" i="7"/>
  <c r="L560" i="7"/>
  <c r="M610" i="7"/>
  <c r="L768" i="7"/>
  <c r="L544" i="7"/>
  <c r="M635" i="7"/>
  <c r="M584" i="7"/>
  <c r="L599" i="7"/>
  <c r="M594" i="7"/>
  <c r="L648" i="7"/>
  <c r="M599" i="7"/>
  <c r="L632" i="7"/>
  <c r="M662" i="7"/>
  <c r="L618" i="7"/>
  <c r="L654" i="7"/>
  <c r="M648" i="7"/>
  <c r="M632" i="7"/>
  <c r="M618" i="7"/>
  <c r="M609" i="7"/>
  <c r="L685" i="7"/>
  <c r="M654" i="7"/>
  <c r="L558" i="7"/>
  <c r="M685" i="7"/>
  <c r="L606" i="7"/>
  <c r="L542" i="7"/>
  <c r="L635" i="7"/>
  <c r="L594" i="7"/>
  <c r="N254" i="7"/>
  <c r="M549" i="7"/>
  <c r="L549" i="7"/>
  <c r="M810" i="7"/>
  <c r="L810" i="7"/>
  <c r="L598" i="7"/>
  <c r="L634" i="7"/>
  <c r="M405" i="7"/>
  <c r="M272" i="7" s="1"/>
  <c r="M670" i="7"/>
  <c r="L595" i="7"/>
  <c r="M603" i="7"/>
  <c r="L614" i="7"/>
  <c r="M598" i="7"/>
  <c r="M592" i="7"/>
  <c r="M696" i="7"/>
  <c r="M595" i="7"/>
  <c r="L616" i="7"/>
  <c r="L596" i="7"/>
  <c r="M614" i="7"/>
  <c r="M694" i="7"/>
  <c r="M616" i="7"/>
  <c r="L568" i="7"/>
  <c r="L571" i="7"/>
  <c r="M596" i="7"/>
  <c r="N272" i="7"/>
  <c r="L647" i="7"/>
  <c r="M678" i="7"/>
  <c r="M568" i="7"/>
  <c r="M571" i="7"/>
  <c r="L592" i="7"/>
  <c r="L405" i="7"/>
  <c r="L694" i="7"/>
  <c r="L564" i="7"/>
  <c r="L638" i="7"/>
  <c r="M647" i="7"/>
  <c r="L563" i="7"/>
  <c r="L696" i="7"/>
  <c r="L678" i="7"/>
  <c r="M756" i="7"/>
  <c r="L649" i="7"/>
  <c r="L472" i="7"/>
  <c r="M472" i="7"/>
  <c r="M570" i="7"/>
  <c r="M805" i="7"/>
  <c r="M649" i="7"/>
  <c r="L600" i="7"/>
  <c r="M600" i="7"/>
  <c r="L619" i="7"/>
  <c r="M567" i="7"/>
  <c r="M581" i="7"/>
  <c r="M510" i="7"/>
  <c r="L510" i="7"/>
  <c r="M542" i="7"/>
  <c r="M476" i="7"/>
  <c r="L476" i="7"/>
  <c r="M641" i="7"/>
  <c r="M619" i="7"/>
  <c r="L473" i="7"/>
  <c r="L528" i="7"/>
  <c r="L682" i="7"/>
  <c r="L738" i="7"/>
  <c r="L581" i="7"/>
  <c r="L756" i="7"/>
  <c r="M588" i="7"/>
  <c r="L588" i="7"/>
  <c r="M623" i="7"/>
  <c r="L623" i="7"/>
  <c r="M674" i="7"/>
  <c r="L674" i="7"/>
  <c r="M668" i="7"/>
  <c r="L668" i="7"/>
  <c r="M784" i="7"/>
  <c r="L784" i="7"/>
  <c r="L417" i="7"/>
  <c r="M417" i="7"/>
  <c r="BC668" i="7"/>
  <c r="BC588" i="7"/>
  <c r="N665" i="7"/>
  <c r="N551" i="7"/>
  <c r="BC674" i="7"/>
  <c r="N656" i="7"/>
  <c r="BC623" i="7"/>
  <c r="M776" i="7"/>
  <c r="L776" i="7"/>
  <c r="L552" i="7"/>
  <c r="M552" i="7"/>
  <c r="M807" i="7"/>
  <c r="L807" i="7"/>
  <c r="BC686" i="7"/>
  <c r="N686" i="7"/>
  <c r="M688" i="7"/>
  <c r="L688" i="7"/>
  <c r="M683" i="7"/>
  <c r="L683" i="7"/>
  <c r="M352" i="7"/>
  <c r="M219" i="7" s="1"/>
  <c r="L352" i="7"/>
  <c r="N276" i="7"/>
  <c r="M409" i="7"/>
  <c r="L364" i="7"/>
  <c r="L409" i="7"/>
  <c r="L336" i="7"/>
  <c r="M336" i="7"/>
  <c r="L386" i="7"/>
  <c r="M386" i="7"/>
  <c r="M387" i="7"/>
  <c r="M254" i="7" s="1"/>
  <c r="L387" i="7"/>
  <c r="M356" i="7"/>
  <c r="M223" i="7" s="1"/>
  <c r="L356" i="7"/>
  <c r="L380" i="7"/>
  <c r="N257" i="7"/>
  <c r="M390" i="7"/>
  <c r="L390" i="7"/>
  <c r="M378" i="7"/>
  <c r="M391" i="7"/>
  <c r="N258" i="7"/>
  <c r="L399" i="7"/>
  <c r="L391" i="7"/>
  <c r="N230" i="7"/>
  <c r="L379" i="7"/>
  <c r="L363" i="7"/>
  <c r="M363" i="7"/>
  <c r="M230" i="7" s="1"/>
  <c r="N260" i="7"/>
  <c r="M393" i="7"/>
  <c r="M260" i="7" s="1"/>
  <c r="M388" i="7"/>
  <c r="L393" i="7"/>
  <c r="N273" i="7"/>
  <c r="M412" i="7"/>
  <c r="L414" i="7"/>
  <c r="L412" i="7"/>
  <c r="L406" i="7"/>
  <c r="M406" i="7"/>
  <c r="L401" i="7"/>
  <c r="M357" i="7"/>
  <c r="M224" i="7" s="1"/>
  <c r="L382" i="7"/>
  <c r="L357" i="7"/>
  <c r="N229" i="7"/>
  <c r="N223" i="7"/>
  <c r="M221" i="7"/>
  <c r="L365" i="7"/>
  <c r="M365" i="7"/>
  <c r="M350" i="7"/>
  <c r="L351" i="7"/>
  <c r="L350" i="7"/>
  <c r="N219" i="7"/>
  <c r="N222" i="7"/>
  <c r="N218" i="7"/>
  <c r="N232" i="7"/>
  <c r="M303" i="7"/>
  <c r="M170" i="7" s="1"/>
  <c r="N217" i="7"/>
  <c r="N212" i="7"/>
  <c r="L345" i="7"/>
  <c r="M345" i="7"/>
  <c r="M212" i="7" s="1"/>
  <c r="L303" i="7"/>
  <c r="N214" i="7"/>
  <c r="M293" i="7"/>
  <c r="M347" i="7"/>
  <c r="L347" i="7"/>
  <c r="L317" i="7"/>
  <c r="L293" i="7"/>
  <c r="L340" i="7"/>
  <c r="M396" i="7"/>
  <c r="L373" i="7"/>
  <c r="L355" i="7"/>
  <c r="M355" i="7"/>
  <c r="M222" i="7" s="1"/>
  <c r="M403" i="7"/>
  <c r="M344" i="7"/>
  <c r="L305" i="7"/>
  <c r="L394" i="7"/>
  <c r="N187" i="7"/>
  <c r="L326" i="7"/>
  <c r="N261" i="7"/>
  <c r="L388" i="7"/>
  <c r="N270" i="7"/>
  <c r="L415" i="7"/>
  <c r="M320" i="7"/>
  <c r="L320" i="7"/>
  <c r="L403" i="7"/>
  <c r="M305" i="7"/>
  <c r="L359" i="7"/>
  <c r="L349" i="7"/>
  <c r="M317" i="7"/>
  <c r="L325" i="7"/>
  <c r="M325" i="7"/>
  <c r="M192" i="7" s="1"/>
  <c r="M404" i="7"/>
  <c r="N226" i="7"/>
  <c r="N237" i="7"/>
  <c r="M413" i="7"/>
  <c r="N228" i="7"/>
  <c r="L322" i="7"/>
  <c r="M322" i="7"/>
  <c r="M189" i="7" s="1"/>
  <c r="N200" i="7"/>
  <c r="L370" i="7"/>
  <c r="M333" i="7"/>
  <c r="M287" i="7"/>
  <c r="M367" i="7"/>
  <c r="L287" i="7"/>
  <c r="N203" i="7"/>
  <c r="N234" i="7"/>
  <c r="L333" i="7"/>
  <c r="L367" i="7"/>
  <c r="M308" i="7"/>
  <c r="L397" i="7"/>
  <c r="N264" i="7"/>
  <c r="M397" i="7"/>
  <c r="L308" i="7"/>
  <c r="L413" i="7"/>
  <c r="N263" i="7"/>
  <c r="N221" i="7"/>
  <c r="N275" i="7"/>
  <c r="M408" i="7"/>
  <c r="M374" i="7"/>
  <c r="L354" i="7"/>
  <c r="N241" i="7"/>
  <c r="L408" i="7"/>
  <c r="L374" i="7"/>
  <c r="M359" i="7"/>
  <c r="N231" i="7"/>
  <c r="M332" i="7"/>
  <c r="N227" i="7"/>
  <c r="L372" i="7"/>
  <c r="L295" i="7"/>
  <c r="M414" i="7"/>
  <c r="L332" i="7"/>
  <c r="M289" i="7"/>
  <c r="L304" i="7"/>
  <c r="L309" i="7"/>
  <c r="M372" i="7"/>
  <c r="N239" i="7"/>
  <c r="M295" i="7"/>
  <c r="M373" i="7"/>
  <c r="N179" i="7"/>
  <c r="L289" i="7"/>
  <c r="N171" i="7"/>
  <c r="N262" i="7"/>
  <c r="M385" i="7"/>
  <c r="M360" i="7"/>
  <c r="M392" i="7"/>
  <c r="N274" i="7"/>
  <c r="N176" i="7"/>
  <c r="M304" i="7"/>
  <c r="L385" i="7"/>
  <c r="M309" i="7"/>
  <c r="M176" i="7" s="1"/>
  <c r="M395" i="7"/>
  <c r="L360" i="7"/>
  <c r="N191" i="7"/>
  <c r="M368" i="7"/>
  <c r="L342" i="7"/>
  <c r="M349" i="7"/>
  <c r="N216" i="7"/>
  <c r="N235" i="7"/>
  <c r="M416" i="7"/>
  <c r="N246" i="7"/>
  <c r="N247" i="7"/>
  <c r="N259" i="7"/>
  <c r="L368" i="7"/>
  <c r="N240" i="7"/>
  <c r="M364" i="7"/>
  <c r="L416" i="7"/>
  <c r="M375" i="7"/>
  <c r="M242" i="7" s="1"/>
  <c r="M342" i="7"/>
  <c r="N242" i="7"/>
  <c r="N252" i="7"/>
  <c r="L392" i="7"/>
  <c r="L375" i="7"/>
  <c r="M362" i="7"/>
  <c r="M410" i="7"/>
  <c r="M389" i="7"/>
  <c r="L389" i="7"/>
  <c r="N256" i="7"/>
  <c r="M306" i="7"/>
  <c r="M338" i="7"/>
  <c r="L400" i="7"/>
  <c r="L338" i="7"/>
  <c r="L384" i="7"/>
  <c r="M400" i="7"/>
  <c r="M384" i="7"/>
  <c r="M323" i="7"/>
  <c r="M190" i="7" s="1"/>
  <c r="N172" i="7"/>
  <c r="L299" i="7"/>
  <c r="L396" i="7"/>
  <c r="N170" i="7"/>
  <c r="L323" i="7"/>
  <c r="N175" i="7"/>
  <c r="N186" i="7"/>
  <c r="N174" i="7"/>
  <c r="N188" i="7"/>
  <c r="L312" i="7"/>
  <c r="N267" i="7"/>
  <c r="N185" i="7"/>
  <c r="M399" i="7"/>
  <c r="L307" i="7"/>
  <c r="M318" i="7"/>
  <c r="N190" i="7"/>
  <c r="N266" i="7"/>
  <c r="L376" i="7"/>
  <c r="M369" i="7"/>
  <c r="L369" i="7"/>
  <c r="N236" i="7"/>
  <c r="N269" i="7"/>
  <c r="L321" i="7"/>
  <c r="M376" i="7"/>
  <c r="N243" i="7"/>
  <c r="M312" i="7"/>
  <c r="N268" i="7"/>
  <c r="M307" i="7"/>
  <c r="N271" i="7"/>
  <c r="M319" i="7"/>
  <c r="N245" i="7"/>
  <c r="L378" i="7"/>
  <c r="N193" i="7"/>
  <c r="N173" i="7"/>
  <c r="M337" i="7"/>
  <c r="N204" i="7"/>
  <c r="L343" i="7"/>
  <c r="M343" i="7"/>
  <c r="L306" i="7"/>
  <c r="L337" i="7"/>
  <c r="M407" i="7"/>
  <c r="L366" i="7"/>
  <c r="N233" i="7"/>
  <c r="N169" i="7"/>
  <c r="N164" i="7"/>
  <c r="N177" i="7"/>
  <c r="N166" i="7"/>
  <c r="M366" i="7"/>
  <c r="L297" i="7"/>
  <c r="M297" i="7"/>
  <c r="M166" i="7" s="1"/>
  <c r="L407" i="7"/>
  <c r="N192" i="7"/>
  <c r="M188" i="7"/>
  <c r="M193" i="7"/>
  <c r="N206" i="7"/>
  <c r="N154" i="7"/>
  <c r="L348" i="7"/>
  <c r="L291" i="7"/>
  <c r="L410" i="7"/>
  <c r="N205" i="7"/>
  <c r="N210" i="7"/>
  <c r="N159" i="7"/>
  <c r="M316" i="7"/>
  <c r="N201" i="7"/>
  <c r="M324" i="7"/>
  <c r="M191" i="7" s="1"/>
  <c r="N207" i="7"/>
  <c r="N208" i="7"/>
  <c r="L411" i="7"/>
  <c r="N158" i="7"/>
  <c r="L316" i="7"/>
  <c r="L334" i="7"/>
  <c r="N255" i="7"/>
  <c r="N189" i="7"/>
  <c r="N156" i="7"/>
  <c r="M346" i="7"/>
  <c r="L377" i="7"/>
  <c r="L292" i="7"/>
  <c r="M334" i="7"/>
  <c r="N162" i="7"/>
  <c r="N279" i="7"/>
  <c r="N244" i="7"/>
  <c r="M292" i="7"/>
  <c r="M377" i="7"/>
  <c r="N161" i="7"/>
  <c r="N213" i="7"/>
  <c r="L324" i="7"/>
  <c r="M331" i="7"/>
  <c r="L331" i="7"/>
  <c r="N160" i="7"/>
  <c r="M285" i="7"/>
  <c r="M152" i="7" s="1"/>
  <c r="N215" i="7"/>
  <c r="L339" i="7"/>
  <c r="N280" i="7"/>
  <c r="M291" i="7"/>
  <c r="M158" i="7" s="1"/>
  <c r="L285" i="7"/>
  <c r="M294" i="7"/>
  <c r="L294" i="7"/>
  <c r="N209" i="7"/>
  <c r="N183" i="7"/>
  <c r="N277" i="7"/>
  <c r="N211" i="7"/>
  <c r="L346" i="7"/>
  <c r="M339" i="7"/>
  <c r="M206" i="7" s="1"/>
  <c r="N281" i="7"/>
  <c r="L335" i="7"/>
  <c r="N167" i="7"/>
  <c r="M361" i="7"/>
  <c r="L361" i="7"/>
  <c r="N238" i="7"/>
  <c r="L371" i="7"/>
  <c r="M371" i="7"/>
  <c r="M329" i="7"/>
  <c r="L329" i="7"/>
  <c r="N202" i="7"/>
  <c r="M335" i="7"/>
  <c r="L300" i="7"/>
  <c r="N196" i="7"/>
  <c r="N197" i="7"/>
  <c r="M353" i="7"/>
  <c r="M220" i="7" s="1"/>
  <c r="N220" i="7"/>
  <c r="L353" i="7"/>
  <c r="M286" i="7"/>
  <c r="N198" i="7"/>
  <c r="M315" i="7"/>
  <c r="N182" i="7"/>
  <c r="N184" i="7"/>
  <c r="L315" i="7"/>
  <c r="M341" i="7"/>
  <c r="L341" i="7"/>
  <c r="M300" i="7"/>
  <c r="M327" i="7"/>
  <c r="M194" i="7" s="1"/>
  <c r="L314" i="7"/>
  <c r="N199" i="7"/>
  <c r="L327" i="7"/>
  <c r="N165" i="7"/>
  <c r="N194" i="7"/>
  <c r="N153" i="7"/>
  <c r="N181" i="7"/>
  <c r="N283" i="7"/>
  <c r="N178" i="7"/>
  <c r="N282" i="7"/>
  <c r="N253" i="7"/>
  <c r="N195" i="7"/>
  <c r="N249" i="7"/>
  <c r="M358" i="7"/>
  <c r="L358" i="7"/>
  <c r="L298" i="7"/>
  <c r="L398" i="7"/>
  <c r="N265" i="7"/>
  <c r="M398" i="7"/>
  <c r="L328" i="7"/>
  <c r="M330" i="7"/>
  <c r="L330" i="7"/>
  <c r="M381" i="7"/>
  <c r="N248" i="7"/>
  <c r="L381" i="7"/>
  <c r="N251" i="7"/>
  <c r="N225" i="7"/>
  <c r="L286" i="7"/>
  <c r="M402" i="7"/>
  <c r="L402" i="7"/>
  <c r="L302" i="7"/>
  <c r="M411" i="7"/>
  <c r="N278" i="7"/>
  <c r="M383" i="7"/>
  <c r="L383" i="7"/>
  <c r="N250" i="7"/>
  <c r="M310" i="7"/>
  <c r="L310" i="7"/>
  <c r="L301" i="7"/>
  <c r="N168" i="7"/>
  <c r="M311" i="7"/>
  <c r="L311" i="7"/>
  <c r="M301" i="7"/>
  <c r="N180" i="7"/>
  <c r="M313" i="7"/>
  <c r="L313" i="7"/>
  <c r="M296" i="7"/>
  <c r="L296" i="7"/>
  <c r="N163" i="7"/>
  <c r="N157" i="7"/>
  <c r="M290" i="7"/>
  <c r="L290" i="7"/>
  <c r="M288" i="7"/>
  <c r="L288" i="7"/>
  <c r="N155" i="7"/>
  <c r="M274" i="7" l="1"/>
  <c r="M276" i="7"/>
  <c r="M277" i="7"/>
  <c r="M275" i="7"/>
  <c r="M273" i="7"/>
  <c r="M656" i="7"/>
  <c r="L656" i="7"/>
  <c r="M551" i="7"/>
  <c r="L551" i="7"/>
  <c r="M665" i="7"/>
  <c r="L665" i="7"/>
  <c r="M686" i="7"/>
  <c r="L686" i="7"/>
  <c r="M216" i="7"/>
  <c r="M213" i="7"/>
  <c r="M215" i="7"/>
  <c r="M255" i="7"/>
  <c r="M256" i="7"/>
  <c r="M259" i="7"/>
  <c r="M257" i="7"/>
  <c r="M258" i="7"/>
  <c r="M174" i="7"/>
  <c r="M214" i="7"/>
  <c r="M247" i="7"/>
  <c r="M201" i="7"/>
  <c r="M225" i="7"/>
  <c r="M227" i="7"/>
  <c r="M229" i="7"/>
  <c r="M228" i="7"/>
  <c r="M226" i="7"/>
  <c r="M271" i="7"/>
  <c r="M231" i="7"/>
  <c r="M235" i="7"/>
  <c r="M262" i="7"/>
  <c r="M265" i="7"/>
  <c r="M233" i="7"/>
  <c r="M232" i="7"/>
  <c r="M264" i="7"/>
  <c r="M234" i="7"/>
  <c r="M173" i="7"/>
  <c r="M175" i="7"/>
  <c r="M172" i="7"/>
  <c r="M217" i="7"/>
  <c r="M171" i="7"/>
  <c r="M263" i="7"/>
  <c r="M261" i="7"/>
  <c r="M202" i="7"/>
  <c r="M187" i="7"/>
  <c r="M208" i="7"/>
  <c r="M153" i="7"/>
  <c r="M155" i="7"/>
  <c r="M156" i="7"/>
  <c r="M157" i="7"/>
  <c r="M205" i="7"/>
  <c r="M204" i="7"/>
  <c r="M268" i="7"/>
  <c r="M266" i="7"/>
  <c r="M270" i="7"/>
  <c r="M269" i="7"/>
  <c r="M267" i="7"/>
  <c r="M154" i="7"/>
  <c r="M169" i="7"/>
  <c r="M167" i="7"/>
  <c r="M164" i="7"/>
  <c r="M168" i="7"/>
  <c r="M165" i="7"/>
  <c r="M244" i="7"/>
  <c r="M245" i="7"/>
  <c r="M246" i="7"/>
  <c r="M243" i="7"/>
  <c r="M240" i="7"/>
  <c r="M200" i="7"/>
  <c r="M203" i="7"/>
  <c r="M238" i="7"/>
  <c r="M241" i="7"/>
  <c r="M239" i="7"/>
  <c r="M178" i="7"/>
  <c r="M181" i="7"/>
  <c r="M180" i="7"/>
  <c r="M177" i="7"/>
  <c r="M179" i="7"/>
  <c r="M163" i="7"/>
  <c r="M161" i="7"/>
  <c r="M236" i="7"/>
  <c r="M237" i="7"/>
  <c r="M195" i="7"/>
  <c r="M197" i="7"/>
  <c r="M159" i="7"/>
  <c r="M209" i="7"/>
  <c r="M211" i="7"/>
  <c r="M207" i="7"/>
  <c r="M185" i="7"/>
  <c r="M160" i="7"/>
  <c r="M186" i="7"/>
  <c r="M162" i="7"/>
  <c r="M210" i="7"/>
  <c r="M252" i="7"/>
  <c r="M182" i="7"/>
  <c r="M184" i="7"/>
  <c r="M183" i="7"/>
  <c r="M198" i="7"/>
  <c r="M196" i="7"/>
  <c r="M199" i="7"/>
  <c r="M250" i="7"/>
  <c r="M248" i="7"/>
  <c r="M249" i="7"/>
  <c r="M251" i="7"/>
  <c r="M253" i="7"/>
  <c r="M278" i="7"/>
  <c r="M282" i="7"/>
  <c r="M281" i="7"/>
  <c r="M283" i="7"/>
  <c r="M279" i="7"/>
  <c r="M280" i="7"/>
  <c r="BD268" i="11" l="1"/>
  <c r="BD271" i="11"/>
  <c r="BC100" i="11" s="1"/>
  <c r="Q389" i="11"/>
  <c r="Q399" i="11"/>
  <c r="AU389" i="11"/>
  <c r="AU241" i="11" s="1"/>
  <c r="AU36" i="11" s="1"/>
  <c r="AI399" i="11"/>
  <c r="AI251" i="11" s="1"/>
  <c r="AI46" i="11" s="1"/>
  <c r="AD398" i="11"/>
  <c r="AD250" i="11" s="1"/>
  <c r="AD45" i="11" s="1"/>
  <c r="X402" i="11"/>
  <c r="X254" i="11" s="1"/>
  <c r="X49" i="11" s="1"/>
  <c r="R383" i="11"/>
  <c r="K390" i="11"/>
  <c r="L395" i="11"/>
  <c r="AV385" i="11"/>
  <c r="AV237" i="11" s="1"/>
  <c r="AV32" i="11" s="1"/>
  <c r="W395" i="11"/>
  <c r="W247" i="11" s="1"/>
  <c r="W42" i="11" s="1"/>
  <c r="AU398" i="11"/>
  <c r="AU250" i="11" s="1"/>
  <c r="AU45" i="11" s="1"/>
  <c r="L383" i="11"/>
  <c r="AJ401" i="11"/>
  <c r="AJ253" i="11" s="1"/>
  <c r="AJ48" i="11" s="1"/>
  <c r="AC401" i="11"/>
  <c r="AC253" i="11" s="1"/>
  <c r="AC48" i="11" s="1"/>
  <c r="K403" i="11"/>
  <c r="K255" i="11" s="1"/>
  <c r="K50" i="11" s="1"/>
  <c r="W393" i="11"/>
  <c r="W245" i="11" s="1"/>
  <c r="W40" i="11" s="1"/>
  <c r="AI397" i="11"/>
  <c r="AI249" i="11" s="1"/>
  <c r="AI44" i="11" s="1"/>
  <c r="AP401" i="11"/>
  <c r="AP253" i="11" s="1"/>
  <c r="AP48" i="11" s="1"/>
  <c r="K400" i="11"/>
  <c r="AJ384" i="11"/>
  <c r="AJ236" i="11" s="1"/>
  <c r="AJ31" i="11" s="1"/>
  <c r="AV399" i="11"/>
  <c r="AV251" i="11" s="1"/>
  <c r="AV46" i="11" s="1"/>
  <c r="W390" i="11"/>
  <c r="W242" i="11" s="1"/>
  <c r="W37" i="11" s="1"/>
  <c r="W383" i="11"/>
  <c r="W235" i="11" s="1"/>
  <c r="W30" i="11" s="1"/>
  <c r="AP397" i="11"/>
  <c r="AP249" i="11" s="1"/>
  <c r="AP44" i="11" s="1"/>
  <c r="AJ398" i="11"/>
  <c r="AJ250" i="11" s="1"/>
  <c r="AJ45" i="11" s="1"/>
  <c r="AI400" i="11"/>
  <c r="AI252" i="11" s="1"/>
  <c r="AI47" i="11" s="1"/>
  <c r="W389" i="11"/>
  <c r="W241" i="11" s="1"/>
  <c r="W36" i="11" s="1"/>
  <c r="AC399" i="11"/>
  <c r="AC251" i="11" s="1"/>
  <c r="AC46" i="11" s="1"/>
  <c r="AV402" i="11"/>
  <c r="AV254" i="11" s="1"/>
  <c r="AV49" i="11" s="1"/>
  <c r="AO402" i="11"/>
  <c r="AO254" i="11" s="1"/>
  <c r="AO49" i="11" s="1"/>
  <c r="Q383" i="11"/>
  <c r="K388" i="11"/>
  <c r="AD394" i="11"/>
  <c r="AD246" i="11" s="1"/>
  <c r="AD41" i="11" s="1"/>
  <c r="W402" i="11"/>
  <c r="W254" i="11" s="1"/>
  <c r="W49" i="11" s="1"/>
  <c r="AC395" i="11"/>
  <c r="AC247" i="11" s="1"/>
  <c r="AC42" i="11" s="1"/>
  <c r="K386" i="11"/>
  <c r="L393" i="11"/>
  <c r="AV386" i="11"/>
  <c r="AV238" i="11" s="1"/>
  <c r="AV33" i="11" s="1"/>
  <c r="L389" i="11"/>
  <c r="L403" i="11"/>
  <c r="L255" i="11" s="1"/>
  <c r="L50" i="11" s="1"/>
  <c r="W398" i="11"/>
  <c r="W250" i="11" s="1"/>
  <c r="W45" i="11" s="1"/>
  <c r="AC396" i="11"/>
  <c r="AC248" i="11" s="1"/>
  <c r="AC43" i="11" s="1"/>
  <c r="X389" i="11"/>
  <c r="X241" i="11" s="1"/>
  <c r="X36" i="11" s="1"/>
  <c r="AP394" i="11"/>
  <c r="AP246" i="11" s="1"/>
  <c r="AP41" i="11" s="1"/>
  <c r="K395" i="11"/>
  <c r="Q403" i="11"/>
  <c r="Q255" i="11" s="1"/>
  <c r="Q50" i="11" s="1"/>
  <c r="AV387" i="11"/>
  <c r="AV239" i="11" s="1"/>
  <c r="AV34" i="11" s="1"/>
  <c r="AD393" i="11"/>
  <c r="AD245" i="11" s="1"/>
  <c r="AD40" i="11" s="1"/>
  <c r="K391" i="11"/>
  <c r="Q391" i="11"/>
  <c r="AI396" i="11"/>
  <c r="AI248" i="11" s="1"/>
  <c r="AI43" i="11" s="1"/>
  <c r="AV398" i="11"/>
  <c r="AV250" i="11" s="1"/>
  <c r="AV45" i="11" s="1"/>
  <c r="AI401" i="11"/>
  <c r="AI253" i="11" s="1"/>
  <c r="AI48" i="11" s="1"/>
  <c r="AV388" i="11"/>
  <c r="AV240" i="11" s="1"/>
  <c r="AV35" i="11" s="1"/>
  <c r="R396" i="11"/>
  <c r="R398" i="11"/>
  <c r="AU403" i="11"/>
  <c r="AU255" i="11" s="1"/>
  <c r="AU50" i="11" s="1"/>
  <c r="W391" i="11"/>
  <c r="W243" i="11" s="1"/>
  <c r="W38" i="11" s="1"/>
  <c r="AJ403" i="11"/>
  <c r="AJ255" i="11" s="1"/>
  <c r="AJ50" i="11" s="1"/>
  <c r="AC394" i="11"/>
  <c r="AC246" i="11" s="1"/>
  <c r="AC41" i="11" s="1"/>
  <c r="AJ387" i="11"/>
  <c r="AJ239" i="11" s="1"/>
  <c r="AJ34" i="11" s="1"/>
  <c r="L385" i="11"/>
  <c r="R384" i="11"/>
  <c r="AU394" i="11"/>
  <c r="AU246" i="11" s="1"/>
  <c r="AU41" i="11" s="1"/>
  <c r="AU390" i="11"/>
  <c r="AU242" i="11" s="1"/>
  <c r="AU37" i="11" s="1"/>
  <c r="AO399" i="11"/>
  <c r="AO251" i="11" s="1"/>
  <c r="AO46" i="11" s="1"/>
  <c r="K384" i="11"/>
  <c r="L386" i="11"/>
  <c r="R400" i="11"/>
  <c r="AC387" i="11"/>
  <c r="AC239" i="11" s="1"/>
  <c r="AC34" i="11" s="1"/>
  <c r="AO396" i="11"/>
  <c r="AO248" i="11" s="1"/>
  <c r="AO43" i="11" s="1"/>
  <c r="AJ386" i="11"/>
  <c r="AJ238" i="11" s="1"/>
  <c r="AJ33" i="11" s="1"/>
  <c r="AV383" i="11"/>
  <c r="AV235" i="11" s="1"/>
  <c r="AV30" i="11" s="1"/>
  <c r="AD383" i="11"/>
  <c r="AD235" i="11" s="1"/>
  <c r="AD30" i="11" s="1"/>
  <c r="AD400" i="11"/>
  <c r="AD252" i="11" s="1"/>
  <c r="AD47" i="11" s="1"/>
  <c r="AP403" i="11"/>
  <c r="AP255" i="11" s="1"/>
  <c r="AP50" i="11" s="1"/>
  <c r="AV389" i="11"/>
  <c r="AV241" i="11" s="1"/>
  <c r="AV36" i="11" s="1"/>
  <c r="BD265" i="11"/>
  <c r="AP387" i="11"/>
  <c r="AP239" i="11" s="1"/>
  <c r="AP34" i="11" s="1"/>
  <c r="AU395" i="11"/>
  <c r="AU247" i="11" s="1"/>
  <c r="AU42" i="11" s="1"/>
  <c r="X386" i="11"/>
  <c r="X238" i="11" s="1"/>
  <c r="X33" i="11" s="1"/>
  <c r="AV403" i="11"/>
  <c r="AV255" i="11" s="1"/>
  <c r="AV50" i="11" s="1"/>
  <c r="AP396" i="11"/>
  <c r="AP248" i="11" s="1"/>
  <c r="AP43" i="11" s="1"/>
  <c r="AI403" i="11"/>
  <c r="AI255" i="11" s="1"/>
  <c r="AI50" i="11" s="1"/>
  <c r="K394" i="11"/>
  <c r="Q385" i="11"/>
  <c r="AO391" i="11"/>
  <c r="AO243" i="11" s="1"/>
  <c r="AO38" i="11" s="1"/>
  <c r="AI394" i="11"/>
  <c r="AI246" i="11" s="1"/>
  <c r="AI41" i="11" s="1"/>
  <c r="AC393" i="11"/>
  <c r="AC245" i="11" s="1"/>
  <c r="AC40" i="11" s="1"/>
  <c r="AO388" i="11"/>
  <c r="AO240" i="11" s="1"/>
  <c r="AO35" i="11" s="1"/>
  <c r="R403" i="11"/>
  <c r="R255" i="11" s="1"/>
  <c r="R50" i="11" s="1"/>
  <c r="AJ396" i="11"/>
  <c r="AJ248" i="11" s="1"/>
  <c r="AJ43" i="11" s="1"/>
  <c r="W386" i="11"/>
  <c r="W238" i="11" s="1"/>
  <c r="W33" i="11" s="1"/>
  <c r="L391" i="11"/>
  <c r="K397" i="11"/>
  <c r="L396" i="11"/>
  <c r="AI386" i="11"/>
  <c r="AI238" i="11" s="1"/>
  <c r="AI33" i="11" s="1"/>
  <c r="AO386" i="11"/>
  <c r="AO238" i="11" s="1"/>
  <c r="AO33" i="11" s="1"/>
  <c r="K383" i="11"/>
  <c r="R391" i="11"/>
  <c r="AP391" i="11"/>
  <c r="AP243" i="11" s="1"/>
  <c r="AP38" i="11" s="1"/>
  <c r="X390" i="11"/>
  <c r="X242" i="11" s="1"/>
  <c r="X37" i="11" s="1"/>
  <c r="W403" i="11"/>
  <c r="W255" i="11" s="1"/>
  <c r="W50" i="11" s="1"/>
  <c r="Q401" i="11"/>
  <c r="Q253" i="11" s="1"/>
  <c r="Q48" i="11" s="1"/>
  <c r="Q390" i="11"/>
  <c r="AP395" i="11"/>
  <c r="AP247" i="11" s="1"/>
  <c r="AP42" i="11" s="1"/>
  <c r="AI387" i="11"/>
  <c r="AI239" i="11" s="1"/>
  <c r="AI34" i="11" s="1"/>
  <c r="L400" i="11"/>
  <c r="AJ393" i="11"/>
  <c r="AJ245" i="11" s="1"/>
  <c r="AJ40" i="11" s="1"/>
  <c r="Q393" i="11"/>
  <c r="W384" i="11"/>
  <c r="W236" i="11" s="1"/>
  <c r="W31" i="11" s="1"/>
  <c r="AD399" i="11"/>
  <c r="AD251" i="11" s="1"/>
  <c r="AD46" i="11" s="1"/>
  <c r="AI384" i="11"/>
  <c r="AI236" i="11" s="1"/>
  <c r="AI31" i="11" s="1"/>
  <c r="L390" i="11"/>
  <c r="AC385" i="11"/>
  <c r="AC237" i="11" s="1"/>
  <c r="AC32" i="11" s="1"/>
  <c r="L394" i="11"/>
  <c r="AV390" i="11"/>
  <c r="AV242" i="11" s="1"/>
  <c r="AV37" i="11" s="1"/>
  <c r="BD259" i="11"/>
  <c r="BC99" i="11" s="1"/>
  <c r="AD385" i="11"/>
  <c r="AD237" i="11" s="1"/>
  <c r="AD32" i="11" s="1"/>
  <c r="AU383" i="11"/>
  <c r="AU235" i="11" s="1"/>
  <c r="AU30" i="11" s="1"/>
  <c r="R390" i="11"/>
  <c r="AV400" i="11"/>
  <c r="AV252" i="11" s="1"/>
  <c r="AV47" i="11" s="1"/>
  <c r="AP398" i="11"/>
  <c r="AP250" i="11" s="1"/>
  <c r="AP45" i="11" s="1"/>
  <c r="AI391" i="11"/>
  <c r="AI243" i="11" s="1"/>
  <c r="AI38" i="11" s="1"/>
  <c r="K392" i="11"/>
  <c r="W397" i="11"/>
  <c r="W249" i="11" s="1"/>
  <c r="W44" i="11" s="1"/>
  <c r="X393" i="11"/>
  <c r="X245" i="11" s="1"/>
  <c r="X40" i="11" s="1"/>
  <c r="AI398" i="11"/>
  <c r="AI250" i="11" s="1"/>
  <c r="AI45" i="11" s="1"/>
  <c r="AU392" i="11"/>
  <c r="AU244" i="11" s="1"/>
  <c r="AU39" i="11" s="1"/>
  <c r="AU402" i="11"/>
  <c r="AU254" i="11" s="1"/>
  <c r="AU49" i="11" s="1"/>
  <c r="Q396" i="11"/>
  <c r="AP384" i="11"/>
  <c r="AP236" i="11" s="1"/>
  <c r="AP31" i="11" s="1"/>
  <c r="AO390" i="11"/>
  <c r="AO242" i="11" s="1"/>
  <c r="AO37" i="11" s="1"/>
  <c r="AO389" i="11"/>
  <c r="AO241" i="11" s="1"/>
  <c r="AO36" i="11" s="1"/>
  <c r="AV384" i="11"/>
  <c r="AV236" i="11" s="1"/>
  <c r="AV31" i="11" s="1"/>
  <c r="AI395" i="11"/>
  <c r="AI247" i="11" s="1"/>
  <c r="AI42" i="11" s="1"/>
  <c r="AD397" i="11"/>
  <c r="AD249" i="11" s="1"/>
  <c r="AD44" i="11" s="1"/>
  <c r="Q395" i="11"/>
  <c r="AJ389" i="11"/>
  <c r="AJ241" i="11" s="1"/>
  <c r="AJ36" i="11" s="1"/>
  <c r="AD388" i="11"/>
  <c r="AD240" i="11" s="1"/>
  <c r="AD35" i="11" s="1"/>
  <c r="AI392" i="11"/>
  <c r="AI244" i="11" s="1"/>
  <c r="AI39" i="11" s="1"/>
  <c r="AC388" i="11"/>
  <c r="AC240" i="11" s="1"/>
  <c r="AC35" i="11" s="1"/>
  <c r="Q387" i="11"/>
  <c r="AU400" i="11"/>
  <c r="AU252" i="11" s="1"/>
  <c r="AU47" i="11" s="1"/>
  <c r="X395" i="11"/>
  <c r="X247" i="11" s="1"/>
  <c r="X42" i="11" s="1"/>
  <c r="R385" i="11"/>
  <c r="AJ394" i="11"/>
  <c r="AJ246" i="11" s="1"/>
  <c r="AJ41" i="11" s="1"/>
  <c r="R388" i="11"/>
  <c r="AU391" i="11"/>
  <c r="AU243" i="11" s="1"/>
  <c r="AU38" i="11" s="1"/>
  <c r="AP390" i="11"/>
  <c r="AP242" i="11" s="1"/>
  <c r="AP37" i="11" s="1"/>
  <c r="AD391" i="11"/>
  <c r="AD243" i="11" s="1"/>
  <c r="AD38" i="11" s="1"/>
  <c r="L401" i="11"/>
  <c r="L253" i="11" s="1"/>
  <c r="L48" i="11" s="1"/>
  <c r="AJ397" i="11"/>
  <c r="AJ249" i="11" s="1"/>
  <c r="AJ44" i="11" s="1"/>
  <c r="W396" i="11"/>
  <c r="W248" i="11" s="1"/>
  <c r="W43" i="11" s="1"/>
  <c r="AP385" i="11"/>
  <c r="AP237" i="11" s="1"/>
  <c r="AP32" i="11" s="1"/>
  <c r="X401" i="11"/>
  <c r="X253" i="11" s="1"/>
  <c r="X48" i="11" s="1"/>
  <c r="AU397" i="11"/>
  <c r="AU249" i="11" s="1"/>
  <c r="AU44" i="11" s="1"/>
  <c r="AO384" i="11"/>
  <c r="AO236" i="11" s="1"/>
  <c r="AO31" i="11" s="1"/>
  <c r="AO395" i="11"/>
  <c r="AO247" i="11" s="1"/>
  <c r="AO42" i="11" s="1"/>
  <c r="AJ390" i="11"/>
  <c r="AJ242" i="11" s="1"/>
  <c r="AJ37" i="11" s="1"/>
  <c r="AD390" i="11"/>
  <c r="AD242" i="11" s="1"/>
  <c r="AD37" i="11" s="1"/>
  <c r="AO383" i="11"/>
  <c r="AO235" i="11" s="1"/>
  <c r="AO30" i="11" s="1"/>
  <c r="X394" i="11"/>
  <c r="X246" i="11" s="1"/>
  <c r="X41" i="11" s="1"/>
  <c r="AJ399" i="11"/>
  <c r="AJ251" i="11" s="1"/>
  <c r="AJ46" i="11" s="1"/>
  <c r="AO394" i="11"/>
  <c r="AO246" i="11" s="1"/>
  <c r="AO41" i="11" s="1"/>
  <c r="AU386" i="11"/>
  <c r="AU238" i="11" s="1"/>
  <c r="AU33" i="11" s="1"/>
  <c r="AD387" i="11"/>
  <c r="AD239" i="11" s="1"/>
  <c r="AD34" i="11" s="1"/>
  <c r="R386" i="11"/>
  <c r="R387" i="11"/>
  <c r="BD262" i="11"/>
  <c r="AJ388" i="11"/>
  <c r="AJ240" i="11" s="1"/>
  <c r="AJ35" i="11" s="1"/>
  <c r="AJ383" i="11"/>
  <c r="AJ235" i="11" s="1"/>
  <c r="AJ30" i="11" s="1"/>
  <c r="AD386" i="11"/>
  <c r="AD238" i="11" s="1"/>
  <c r="AD33" i="11" s="1"/>
  <c r="AU396" i="11"/>
  <c r="AU248" i="11" s="1"/>
  <c r="AU43" i="11" s="1"/>
  <c r="Q386" i="11"/>
  <c r="R395" i="11"/>
  <c r="X400" i="11"/>
  <c r="X252" i="11" s="1"/>
  <c r="X47" i="11" s="1"/>
  <c r="X383" i="11"/>
  <c r="X235" i="11" s="1"/>
  <c r="X30" i="11" s="1"/>
  <c r="AI402" i="11"/>
  <c r="AI254" i="11" s="1"/>
  <c r="AI49" i="11" s="1"/>
  <c r="AI383" i="11"/>
  <c r="AI235" i="11" s="1"/>
  <c r="AI30" i="11" s="1"/>
  <c r="AP393" i="11"/>
  <c r="AP245" i="11" s="1"/>
  <c r="AP40" i="11" s="1"/>
  <c r="AI385" i="11"/>
  <c r="AI237" i="11" s="1"/>
  <c r="AI32" i="11" s="1"/>
  <c r="R394" i="11"/>
  <c r="AU387" i="11"/>
  <c r="AU239" i="11" s="1"/>
  <c r="AU34" i="11" s="1"/>
  <c r="AC391" i="11"/>
  <c r="AC243" i="11" s="1"/>
  <c r="AC38" i="11" s="1"/>
  <c r="X388" i="11"/>
  <c r="X240" i="11" s="1"/>
  <c r="X35" i="11" s="1"/>
  <c r="X396" i="11"/>
  <c r="X248" i="11" s="1"/>
  <c r="X43" i="11" s="1"/>
  <c r="AD389" i="11"/>
  <c r="AD241" i="11" s="1"/>
  <c r="AD36" i="11" s="1"/>
  <c r="AP399" i="11"/>
  <c r="AP251" i="11" s="1"/>
  <c r="AP46" i="11" s="1"/>
  <c r="AC383" i="11"/>
  <c r="AC235" i="11" s="1"/>
  <c r="AC30" i="11" s="1"/>
  <c r="L402" i="11"/>
  <c r="L254" i="11" s="1"/>
  <c r="L49" i="11" s="1"/>
  <c r="K389" i="11"/>
  <c r="AC397" i="11"/>
  <c r="AC249" i="11" s="1"/>
  <c r="AC44" i="11" s="1"/>
  <c r="AV393" i="11"/>
  <c r="AV245" i="11" s="1"/>
  <c r="AV40" i="11" s="1"/>
  <c r="AV394" i="11"/>
  <c r="AV246" i="11" s="1"/>
  <c r="AV41" i="11" s="1"/>
  <c r="K402" i="11"/>
  <c r="K254" i="11" s="1"/>
  <c r="K49" i="11" s="1"/>
  <c r="L387" i="11"/>
  <c r="AO392" i="11"/>
  <c r="AO244" i="11" s="1"/>
  <c r="AO39" i="11" s="1"/>
  <c r="AU393" i="11"/>
  <c r="AU245" i="11" s="1"/>
  <c r="AU40" i="11" s="1"/>
  <c r="AP400" i="11"/>
  <c r="AP252" i="11" s="1"/>
  <c r="AP47" i="11" s="1"/>
  <c r="AO398" i="11"/>
  <c r="AO250" i="11" s="1"/>
  <c r="AO45" i="11" s="1"/>
  <c r="L388" i="11"/>
  <c r="AP392" i="11"/>
  <c r="AP244" i="11" s="1"/>
  <c r="AP39" i="11" s="1"/>
  <c r="X403" i="11"/>
  <c r="X255" i="11" s="1"/>
  <c r="X50" i="11" s="1"/>
  <c r="W387" i="11"/>
  <c r="W239" i="11" s="1"/>
  <c r="W34" i="11" s="1"/>
  <c r="AC403" i="11"/>
  <c r="AC255" i="11" s="1"/>
  <c r="AC50" i="11" s="1"/>
  <c r="Q394" i="11"/>
  <c r="AC400" i="11"/>
  <c r="AC252" i="11" s="1"/>
  <c r="AC47" i="11" s="1"/>
  <c r="AV391" i="11"/>
  <c r="AV243" i="11" s="1"/>
  <c r="AV38" i="11" s="1"/>
  <c r="AC390" i="11"/>
  <c r="AC242" i="11" s="1"/>
  <c r="AC37" i="11" s="1"/>
  <c r="Q384" i="11"/>
  <c r="AJ385" i="11"/>
  <c r="AJ237" i="11" s="1"/>
  <c r="AJ32" i="11" s="1"/>
  <c r="X392" i="11"/>
  <c r="X244" i="11" s="1"/>
  <c r="X39" i="11" s="1"/>
  <c r="AP386" i="11"/>
  <c r="AP238" i="11" s="1"/>
  <c r="AP33" i="11" s="1"/>
  <c r="AJ391" i="11"/>
  <c r="AJ243" i="11" s="1"/>
  <c r="AJ38" i="11" s="1"/>
  <c r="K393" i="11"/>
  <c r="Q402" i="11"/>
  <c r="Q254" i="11" s="1"/>
  <c r="Q49" i="11" s="1"/>
  <c r="AV392" i="11"/>
  <c r="AV244" i="11" s="1"/>
  <c r="AV39" i="11" s="1"/>
  <c r="AU385" i="11"/>
  <c r="AU237" i="11" s="1"/>
  <c r="AU32" i="11" s="1"/>
  <c r="AD396" i="11"/>
  <c r="AD248" i="11" s="1"/>
  <c r="AD43" i="11" s="1"/>
  <c r="AU388" i="11"/>
  <c r="AU240" i="11" s="1"/>
  <c r="AU35" i="11" s="1"/>
  <c r="K396" i="11"/>
  <c r="AP389" i="11"/>
  <c r="AP241" i="11" s="1"/>
  <c r="AP36" i="11" s="1"/>
  <c r="AO403" i="11"/>
  <c r="AO255" i="11" s="1"/>
  <c r="AO50" i="11" s="1"/>
  <c r="W392" i="11"/>
  <c r="W244" i="11" s="1"/>
  <c r="W39" i="11" s="1"/>
  <c r="Q397" i="11"/>
  <c r="R389" i="11"/>
  <c r="L399" i="11"/>
  <c r="Q392" i="11"/>
  <c r="AI393" i="11"/>
  <c r="AI245" i="11" s="1"/>
  <c r="AI40" i="11" s="1"/>
  <c r="AO397" i="11"/>
  <c r="AO249" i="11" s="1"/>
  <c r="AO44" i="11" s="1"/>
  <c r="R402" i="11"/>
  <c r="R254" i="11" s="1"/>
  <c r="R49" i="11" s="1"/>
  <c r="AV401" i="11"/>
  <c r="AV253" i="11" s="1"/>
  <c r="AV48" i="11" s="1"/>
  <c r="R393" i="11"/>
  <c r="X391" i="11"/>
  <c r="X243" i="11" s="1"/>
  <c r="X38" i="11" s="1"/>
  <c r="AI390" i="11"/>
  <c r="AI242" i="11" s="1"/>
  <c r="AI37" i="11" s="1"/>
  <c r="Q388" i="11"/>
  <c r="AV395" i="11"/>
  <c r="AV247" i="11" s="1"/>
  <c r="AV42" i="11" s="1"/>
  <c r="AU384" i="11"/>
  <c r="AU236" i="11" s="1"/>
  <c r="AU31" i="11" s="1"/>
  <c r="W385" i="11"/>
  <c r="W237" i="11" s="1"/>
  <c r="W32" i="11" s="1"/>
  <c r="X397" i="11"/>
  <c r="X249" i="11" s="1"/>
  <c r="X44" i="11" s="1"/>
  <c r="AV397" i="11"/>
  <c r="AV249" i="11" s="1"/>
  <c r="AV44" i="11" s="1"/>
  <c r="AJ392" i="11"/>
  <c r="AJ244" i="11" s="1"/>
  <c r="AJ39" i="11" s="1"/>
  <c r="AC402" i="11"/>
  <c r="AC254" i="11" s="1"/>
  <c r="AC49" i="11" s="1"/>
  <c r="R392" i="11"/>
  <c r="AP402" i="11"/>
  <c r="AP254" i="11" s="1"/>
  <c r="AP49" i="11" s="1"/>
  <c r="AP383" i="11"/>
  <c r="AP235" i="11" s="1"/>
  <c r="AP30" i="11" s="1"/>
  <c r="X387" i="11"/>
  <c r="X239" i="11" s="1"/>
  <c r="X34" i="11" s="1"/>
  <c r="AC384" i="11"/>
  <c r="AC236" i="11" s="1"/>
  <c r="AC31" i="11" s="1"/>
  <c r="K398" i="11"/>
  <c r="Q400" i="11"/>
  <c r="AC398" i="11"/>
  <c r="AC250" i="11" s="1"/>
  <c r="AC45" i="11" s="1"/>
  <c r="AD384" i="11"/>
  <c r="AD236" i="11" s="1"/>
  <c r="AD31" i="11" s="1"/>
  <c r="L398" i="11"/>
  <c r="AD403" i="11"/>
  <c r="AD255" i="11" s="1"/>
  <c r="AD50" i="11" s="1"/>
  <c r="AI389" i="11"/>
  <c r="AI241" i="11" s="1"/>
  <c r="AI36" i="11" s="1"/>
  <c r="AO393" i="11"/>
  <c r="AO245" i="11" s="1"/>
  <c r="AO40" i="11" s="1"/>
  <c r="AU399" i="11"/>
  <c r="AU251" i="11" s="1"/>
  <c r="AU46" i="11" s="1"/>
  <c r="L384" i="11"/>
  <c r="AI388" i="11"/>
  <c r="AI240" i="11" s="1"/>
  <c r="AI35" i="11" s="1"/>
  <c r="L392" i="11"/>
  <c r="L397" i="11"/>
  <c r="AO385" i="11"/>
  <c r="AO237" i="11" s="1"/>
  <c r="AO32" i="11" s="1"/>
  <c r="K387" i="11"/>
  <c r="W394" i="11"/>
  <c r="W246" i="11" s="1"/>
  <c r="W41" i="11" s="1"/>
  <c r="AV396" i="11"/>
  <c r="AV248" i="11" s="1"/>
  <c r="AV43" i="11" s="1"/>
  <c r="AD402" i="11"/>
  <c r="AD254" i="11" s="1"/>
  <c r="AD49" i="11" s="1"/>
  <c r="AC389" i="11"/>
  <c r="AC241" i="11" s="1"/>
  <c r="AC36" i="11" s="1"/>
  <c r="AP388" i="11"/>
  <c r="AP240" i="11" s="1"/>
  <c r="AP35" i="11" s="1"/>
  <c r="AO387" i="11"/>
  <c r="AO239" i="11" s="1"/>
  <c r="AO34" i="11" s="1"/>
  <c r="Q398" i="11"/>
  <c r="R401" i="11"/>
  <c r="R253" i="11" s="1"/>
  <c r="R48" i="11" s="1"/>
  <c r="K399" i="11"/>
  <c r="AD401" i="11"/>
  <c r="AD253" i="11" s="1"/>
  <c r="AD48" i="11" s="1"/>
  <c r="W399" i="11"/>
  <c r="W251" i="11" s="1"/>
  <c r="W46" i="11" s="1"/>
  <c r="AD392" i="11"/>
  <c r="AD244" i="11" s="1"/>
  <c r="AD39" i="11" s="1"/>
  <c r="X385" i="11"/>
  <c r="X237" i="11" s="1"/>
  <c r="X32" i="11" s="1"/>
  <c r="AJ395" i="11"/>
  <c r="AJ247" i="11" s="1"/>
  <c r="AJ42" i="11" s="1"/>
  <c r="AC386" i="11"/>
  <c r="AC238" i="11" s="1"/>
  <c r="AC33" i="11" s="1"/>
  <c r="AJ400" i="11"/>
  <c r="AJ252" i="11" s="1"/>
  <c r="AJ47" i="11" s="1"/>
  <c r="W388" i="11"/>
  <c r="W240" i="11" s="1"/>
  <c r="W35" i="11" s="1"/>
  <c r="AD395" i="11"/>
  <c r="AD247" i="11" s="1"/>
  <c r="AD42" i="11" s="1"/>
  <c r="X398" i="11"/>
  <c r="X250" i="11" s="1"/>
  <c r="X45" i="11" s="1"/>
  <c r="AO400" i="11"/>
  <c r="AO252" i="11" s="1"/>
  <c r="AO47" i="11" s="1"/>
  <c r="AC392" i="11"/>
  <c r="AC244" i="11" s="1"/>
  <c r="AC39" i="11" s="1"/>
  <c r="K401" i="11"/>
  <c r="K253" i="11" s="1"/>
  <c r="K48" i="11" s="1"/>
  <c r="X399" i="11"/>
  <c r="X251" i="11" s="1"/>
  <c r="X46" i="11" s="1"/>
  <c r="AU401" i="11"/>
  <c r="AU253" i="11" s="1"/>
  <c r="AU48" i="11" s="1"/>
  <c r="AJ402" i="11"/>
  <c r="AJ254" i="11" s="1"/>
  <c r="AJ49" i="11" s="1"/>
  <c r="AO401" i="11"/>
  <c r="AO253" i="11" s="1"/>
  <c r="AO48" i="11" s="1"/>
  <c r="R399" i="11"/>
  <c r="W400" i="11"/>
  <c r="W252" i="11" s="1"/>
  <c r="W47" i="11" s="1"/>
  <c r="K385" i="11"/>
  <c r="W401" i="11"/>
  <c r="W253" i="11" s="1"/>
  <c r="W48" i="11" s="1"/>
  <c r="X384" i="11"/>
  <c r="X236" i="11" s="1"/>
  <c r="X31" i="11" s="1"/>
  <c r="R397" i="11"/>
  <c r="BE100" i="11" l="1"/>
  <c r="BD100" i="11"/>
  <c r="BE101" i="11"/>
  <c r="BD101" i="11"/>
  <c r="BE99" i="11"/>
  <c r="BD99" i="11"/>
  <c r="BE102" i="11"/>
  <c r="BD102" i="11"/>
  <c r="Q236" i="11"/>
  <c r="Q31" i="11" s="1"/>
  <c r="Q215" i="11"/>
  <c r="Q10" i="11" s="1"/>
  <c r="R246" i="11"/>
  <c r="R41" i="11" s="1"/>
  <c r="R225" i="11"/>
  <c r="R20" i="11" s="1"/>
  <c r="K235" i="11"/>
  <c r="K30" i="11" s="1"/>
  <c r="K214" i="11"/>
  <c r="K9" i="11" s="1"/>
  <c r="R236" i="11"/>
  <c r="R31" i="11" s="1"/>
  <c r="R215" i="11"/>
  <c r="R10" i="11" s="1"/>
  <c r="L241" i="11"/>
  <c r="L36" i="11" s="1"/>
  <c r="L220" i="11"/>
  <c r="L15" i="11" s="1"/>
  <c r="R245" i="11"/>
  <c r="R40" i="11" s="1"/>
  <c r="R224" i="11"/>
  <c r="R19" i="11" s="1"/>
  <c r="K248" i="11"/>
  <c r="K43" i="11" s="1"/>
  <c r="K227" i="11"/>
  <c r="K22" i="11" s="1"/>
  <c r="R237" i="11"/>
  <c r="R32" i="11" s="1"/>
  <c r="R216" i="11"/>
  <c r="R11" i="11" s="1"/>
  <c r="Q245" i="11"/>
  <c r="Q40" i="11" s="1"/>
  <c r="Q224" i="11"/>
  <c r="Q19" i="11" s="1"/>
  <c r="Q237" i="11"/>
  <c r="Q32" i="11" s="1"/>
  <c r="Q216" i="11"/>
  <c r="Q11" i="11" s="1"/>
  <c r="L237" i="11"/>
  <c r="L32" i="11" s="1"/>
  <c r="L216" i="11"/>
  <c r="L11" i="11" s="1"/>
  <c r="Q243" i="11"/>
  <c r="Q38" i="11" s="1"/>
  <c r="Q222" i="11"/>
  <c r="Q17" i="11" s="1"/>
  <c r="R244" i="11"/>
  <c r="R39" i="11" s="1"/>
  <c r="R223" i="11"/>
  <c r="R18" i="11" s="1"/>
  <c r="R242" i="11"/>
  <c r="R37" i="11" s="1"/>
  <c r="R221" i="11"/>
  <c r="R16" i="11" s="1"/>
  <c r="R249" i="11"/>
  <c r="R44" i="11" s="1"/>
  <c r="R228" i="11"/>
  <c r="R23" i="11" s="1"/>
  <c r="K241" i="11"/>
  <c r="K36" i="11" s="1"/>
  <c r="K220" i="11"/>
  <c r="K15" i="11" s="1"/>
  <c r="R238" i="11"/>
  <c r="R33" i="11" s="1"/>
  <c r="R217" i="11"/>
  <c r="R12" i="11" s="1"/>
  <c r="L252" i="11"/>
  <c r="L47" i="11" s="1"/>
  <c r="L231" i="11"/>
  <c r="L26" i="11" s="1"/>
  <c r="L248" i="11"/>
  <c r="L43" i="11" s="1"/>
  <c r="L227" i="11"/>
  <c r="L22" i="11" s="1"/>
  <c r="K238" i="11"/>
  <c r="K33" i="11" s="1"/>
  <c r="K217" i="11"/>
  <c r="K12" i="11" s="1"/>
  <c r="L235" i="11"/>
  <c r="L30" i="11" s="1"/>
  <c r="L214" i="11"/>
  <c r="L9" i="11" s="1"/>
  <c r="Q241" i="11"/>
  <c r="Q36" i="11" s="1"/>
  <c r="Q220" i="11"/>
  <c r="Q15" i="11" s="1"/>
  <c r="Q250" i="11"/>
  <c r="Q45" i="11" s="1"/>
  <c r="Q229" i="11"/>
  <c r="Q24" i="11" s="1"/>
  <c r="Q246" i="11"/>
  <c r="Q41" i="11" s="1"/>
  <c r="Q225" i="11"/>
  <c r="Q20" i="11" s="1"/>
  <c r="Q239" i="11"/>
  <c r="Q34" i="11" s="1"/>
  <c r="Q218" i="11"/>
  <c r="Q13" i="11" s="1"/>
  <c r="Q248" i="11"/>
  <c r="Q43" i="11" s="1"/>
  <c r="Q227" i="11"/>
  <c r="Q22" i="11" s="1"/>
  <c r="K249" i="11"/>
  <c r="K44" i="11" s="1"/>
  <c r="K228" i="11"/>
  <c r="K23" i="11" s="1"/>
  <c r="R239" i="11"/>
  <c r="R34" i="11" s="1"/>
  <c r="R218" i="11"/>
  <c r="R13" i="11" s="1"/>
  <c r="L245" i="11"/>
  <c r="L40" i="11" s="1"/>
  <c r="L224" i="11"/>
  <c r="L19" i="11" s="1"/>
  <c r="L250" i="11"/>
  <c r="L45" i="11" s="1"/>
  <c r="L229" i="11"/>
  <c r="L24" i="11" s="1"/>
  <c r="L240" i="11"/>
  <c r="L35" i="11" s="1"/>
  <c r="L219" i="11"/>
  <c r="L14" i="11" s="1"/>
  <c r="L243" i="11"/>
  <c r="L38" i="11" s="1"/>
  <c r="L222" i="11"/>
  <c r="L17" i="11" s="1"/>
  <c r="K237" i="11"/>
  <c r="K32" i="11" s="1"/>
  <c r="K216" i="11"/>
  <c r="K11" i="11" s="1"/>
  <c r="Q244" i="11"/>
  <c r="Q39" i="11" s="1"/>
  <c r="Q223" i="11"/>
  <c r="Q18" i="11" s="1"/>
  <c r="Q242" i="11"/>
  <c r="Q37" i="11" s="1"/>
  <c r="Q221" i="11"/>
  <c r="Q16" i="11" s="1"/>
  <c r="R252" i="11"/>
  <c r="R47" i="11" s="1"/>
  <c r="R231" i="11"/>
  <c r="R26" i="11" s="1"/>
  <c r="K247" i="11"/>
  <c r="K42" i="11" s="1"/>
  <c r="K226" i="11"/>
  <c r="K21" i="11" s="1"/>
  <c r="K251" i="11"/>
  <c r="K46" i="11" s="1"/>
  <c r="K230" i="11"/>
  <c r="K25" i="11" s="1"/>
  <c r="K239" i="11"/>
  <c r="K34" i="11" s="1"/>
  <c r="K218" i="11"/>
  <c r="K13" i="11" s="1"/>
  <c r="L251" i="11"/>
  <c r="L46" i="11" s="1"/>
  <c r="L230" i="11"/>
  <c r="L25" i="11" s="1"/>
  <c r="K245" i="11"/>
  <c r="K40" i="11" s="1"/>
  <c r="K224" i="11"/>
  <c r="K19" i="11" s="1"/>
  <c r="R247" i="11"/>
  <c r="R42" i="11" s="1"/>
  <c r="R226" i="11"/>
  <c r="R21" i="11" s="1"/>
  <c r="L246" i="11"/>
  <c r="L41" i="11" s="1"/>
  <c r="L225" i="11"/>
  <c r="L20" i="11" s="1"/>
  <c r="L238" i="11"/>
  <c r="L33" i="11" s="1"/>
  <c r="L217" i="11"/>
  <c r="L12" i="11" s="1"/>
  <c r="R250" i="11"/>
  <c r="R45" i="11" s="1"/>
  <c r="R229" i="11"/>
  <c r="R24" i="11" s="1"/>
  <c r="K240" i="11"/>
  <c r="K35" i="11" s="1"/>
  <c r="K219" i="11"/>
  <c r="K14" i="11" s="1"/>
  <c r="L247" i="11"/>
  <c r="L42" i="11" s="1"/>
  <c r="L226" i="11"/>
  <c r="L21" i="11" s="1"/>
  <c r="K246" i="11"/>
  <c r="K41" i="11" s="1"/>
  <c r="K225" i="11"/>
  <c r="K20" i="11" s="1"/>
  <c r="K243" i="11"/>
  <c r="K38" i="11" s="1"/>
  <c r="K222" i="11"/>
  <c r="K17" i="11" s="1"/>
  <c r="R251" i="11"/>
  <c r="R46" i="11" s="1"/>
  <c r="R230" i="11"/>
  <c r="R25" i="11" s="1"/>
  <c r="Q252" i="11"/>
  <c r="Q47" i="11" s="1"/>
  <c r="Q231" i="11"/>
  <c r="Q26" i="11" s="1"/>
  <c r="R241" i="11"/>
  <c r="R36" i="11" s="1"/>
  <c r="R220" i="11"/>
  <c r="R15" i="11" s="1"/>
  <c r="Q238" i="11"/>
  <c r="Q33" i="11" s="1"/>
  <c r="Q217" i="11"/>
  <c r="Q12" i="11" s="1"/>
  <c r="K236" i="11"/>
  <c r="K31" i="11" s="1"/>
  <c r="K215" i="11"/>
  <c r="K10" i="11" s="1"/>
  <c r="R248" i="11"/>
  <c r="R43" i="11" s="1"/>
  <c r="R227" i="11"/>
  <c r="R22" i="11" s="1"/>
  <c r="Q235" i="11"/>
  <c r="Q30" i="11" s="1"/>
  <c r="Q214" i="11"/>
  <c r="Q9" i="11" s="1"/>
  <c r="K252" i="11"/>
  <c r="K47" i="11" s="1"/>
  <c r="K231" i="11"/>
  <c r="K26" i="11" s="1"/>
  <c r="K242" i="11"/>
  <c r="K37" i="11" s="1"/>
  <c r="K221" i="11"/>
  <c r="K16" i="11" s="1"/>
  <c r="L249" i="11"/>
  <c r="L44" i="11" s="1"/>
  <c r="L228" i="11"/>
  <c r="L23" i="11" s="1"/>
  <c r="K250" i="11"/>
  <c r="K45" i="11" s="1"/>
  <c r="K229" i="11"/>
  <c r="K24" i="11" s="1"/>
  <c r="Q249" i="11"/>
  <c r="Q44" i="11" s="1"/>
  <c r="Q228" i="11"/>
  <c r="Q23" i="11" s="1"/>
  <c r="Q247" i="11"/>
  <c r="Q42" i="11" s="1"/>
  <c r="Q226" i="11"/>
  <c r="Q21" i="11" s="1"/>
  <c r="L242" i="11"/>
  <c r="L37" i="11" s="1"/>
  <c r="L221" i="11"/>
  <c r="L16" i="11" s="1"/>
  <c r="R235" i="11"/>
  <c r="R30" i="11" s="1"/>
  <c r="R214" i="11"/>
  <c r="R9" i="11" s="1"/>
  <c r="L244" i="11"/>
  <c r="L39" i="11" s="1"/>
  <c r="L223" i="11"/>
  <c r="L18" i="11" s="1"/>
  <c r="Q240" i="11"/>
  <c r="Q35" i="11" s="1"/>
  <c r="Q219" i="11"/>
  <c r="Q14" i="11" s="1"/>
  <c r="L239" i="11"/>
  <c r="L34" i="11" s="1"/>
  <c r="L218" i="11"/>
  <c r="L13" i="11" s="1"/>
  <c r="K244" i="11"/>
  <c r="K39" i="11" s="1"/>
  <c r="K223" i="11"/>
  <c r="K18" i="11" s="1"/>
  <c r="L236" i="11"/>
  <c r="L31" i="11" s="1"/>
  <c r="L215" i="11"/>
  <c r="L10" i="11" s="1"/>
  <c r="Q251" i="11"/>
  <c r="Q46" i="11" s="1"/>
  <c r="Q230" i="11"/>
  <c r="Q25" i="11" s="1"/>
  <c r="R240" i="11"/>
  <c r="R35" i="11" s="1"/>
  <c r="R219" i="11"/>
  <c r="R14" i="11" s="1"/>
  <c r="R243" i="11"/>
  <c r="R38" i="11" s="1"/>
  <c r="R222" i="11"/>
  <c r="R17" i="11" s="1"/>
  <c r="AC220" i="11"/>
  <c r="AC15" i="11" s="1"/>
  <c r="AC232" i="11"/>
  <c r="AC27" i="11" s="1"/>
  <c r="AJ232" i="11"/>
  <c r="AJ27" i="11" s="1"/>
  <c r="AJ219" i="11"/>
  <c r="AJ14" i="11" s="1"/>
  <c r="AJ221" i="11"/>
  <c r="AJ16" i="11" s="1"/>
  <c r="AO231" i="11"/>
  <c r="AO26" i="11" s="1"/>
  <c r="AI226" i="11"/>
  <c r="AI21" i="11" s="1"/>
  <c r="AV215" i="11"/>
  <c r="AV10" i="11" s="1"/>
  <c r="AO219" i="11"/>
  <c r="AO14" i="11" s="1"/>
  <c r="W220" i="11"/>
  <c r="W15" i="11" s="1"/>
  <c r="W218" i="11"/>
  <c r="W13" i="11" s="1"/>
  <c r="AD215" i="11"/>
  <c r="AD10" i="11" s="1"/>
  <c r="AU219" i="11"/>
  <c r="AU14" i="11" s="1"/>
  <c r="X227" i="11"/>
  <c r="X22" i="11" s="1"/>
  <c r="AD222" i="11"/>
  <c r="AD17" i="11" s="1"/>
  <c r="AI215" i="11"/>
  <c r="AI10" i="11" s="1"/>
  <c r="AC225" i="11"/>
  <c r="AC20" i="11" s="1"/>
  <c r="AU215" i="11"/>
  <c r="AU10" i="11" s="1"/>
  <c r="AV224" i="11"/>
  <c r="AV19" i="11" s="1"/>
  <c r="AC228" i="11"/>
  <c r="AC23" i="11" s="1"/>
  <c r="AI222" i="11"/>
  <c r="AI17" i="11" s="1"/>
  <c r="AO224" i="11"/>
  <c r="AO19" i="11" s="1"/>
  <c r="W223" i="11"/>
  <c r="W18" i="11" s="1"/>
  <c r="AO229" i="11"/>
  <c r="AO24" i="11" s="1"/>
  <c r="AC219" i="11"/>
  <c r="AC14" i="11" s="1"/>
  <c r="AD232" i="11"/>
  <c r="AD27" i="11" s="1"/>
  <c r="AI219" i="11"/>
  <c r="AI14" i="11" s="1"/>
  <c r="W216" i="11"/>
  <c r="W11" i="11" s="1"/>
  <c r="X223" i="11"/>
  <c r="X18" i="11" s="1"/>
  <c r="AJ214" i="11"/>
  <c r="AJ9" i="11" s="1"/>
  <c r="AV234" i="11"/>
  <c r="AV29" i="11" s="1"/>
  <c r="X218" i="11"/>
  <c r="X13" i="11" s="1"/>
  <c r="X214" i="11"/>
  <c r="X9" i="11" s="1"/>
  <c r="AC224" i="11"/>
  <c r="AC19" i="11" s="1"/>
  <c r="X231" i="11"/>
  <c r="X26" i="11" s="1"/>
  <c r="AI227" i="11"/>
  <c r="AI22" i="11" s="1"/>
  <c r="AC227" i="11"/>
  <c r="AC22" i="11" s="1"/>
  <c r="AJ224" i="11"/>
  <c r="AJ19" i="11" s="1"/>
  <c r="AU218" i="11"/>
  <c r="AU13" i="11" s="1"/>
  <c r="AU233" i="11"/>
  <c r="AU28" i="11" s="1"/>
  <c r="R233" i="11"/>
  <c r="R28" i="11" s="1"/>
  <c r="AP217" i="11"/>
  <c r="AP12" i="11" s="1"/>
  <c r="AU223" i="11"/>
  <c r="AU18" i="11" s="1"/>
  <c r="AC216" i="11"/>
  <c r="AC11" i="11" s="1"/>
  <c r="AP227" i="11"/>
  <c r="AP22" i="11" s="1"/>
  <c r="AI228" i="11"/>
  <c r="AI23" i="11" s="1"/>
  <c r="AJ233" i="11"/>
  <c r="AJ28" i="11" s="1"/>
  <c r="X228" i="11"/>
  <c r="X23" i="11" s="1"/>
  <c r="AV232" i="11"/>
  <c r="AV27" i="11" s="1"/>
  <c r="AD221" i="11"/>
  <c r="AD16" i="11" s="1"/>
  <c r="AU231" i="11"/>
  <c r="AU26" i="11" s="1"/>
  <c r="W217" i="11"/>
  <c r="W12" i="11" s="1"/>
  <c r="AI234" i="11"/>
  <c r="AI29" i="11" s="1"/>
  <c r="AJ217" i="11"/>
  <c r="AJ12" i="11" s="1"/>
  <c r="AV217" i="11"/>
  <c r="AV12" i="11" s="1"/>
  <c r="AO233" i="11"/>
  <c r="AO28" i="11" s="1"/>
  <c r="W221" i="11"/>
  <c r="W16" i="11" s="1"/>
  <c r="X215" i="11"/>
  <c r="X10" i="11" s="1"/>
  <c r="X216" i="11"/>
  <c r="X11" i="11" s="1"/>
  <c r="AP214" i="11"/>
  <c r="AP9" i="11" s="1"/>
  <c r="AD218" i="11"/>
  <c r="AD13" i="11" s="1"/>
  <c r="AP229" i="11"/>
  <c r="AP24" i="11" s="1"/>
  <c r="AP225" i="11"/>
  <c r="AP20" i="11" s="1"/>
  <c r="AD229" i="11"/>
  <c r="AD24" i="11" s="1"/>
  <c r="AO216" i="11"/>
  <c r="AO11" i="11" s="1"/>
  <c r="AP233" i="11"/>
  <c r="AP28" i="11" s="1"/>
  <c r="AU217" i="11"/>
  <c r="AU12" i="11" s="1"/>
  <c r="AD228" i="11"/>
  <c r="AD23" i="11" s="1"/>
  <c r="AV231" i="11"/>
  <c r="AV26" i="11" s="1"/>
  <c r="X220" i="11"/>
  <c r="X15" i="11" s="1"/>
  <c r="AU229" i="11"/>
  <c r="AU24" i="11" s="1"/>
  <c r="X229" i="11"/>
  <c r="X24" i="11" s="1"/>
  <c r="AD227" i="11"/>
  <c r="AD22" i="11" s="1"/>
  <c r="AP231" i="11"/>
  <c r="AP26" i="11" s="1"/>
  <c r="AP216" i="11"/>
  <c r="AP11" i="11" s="1"/>
  <c r="AI229" i="11"/>
  <c r="AI24" i="11" s="1"/>
  <c r="AD214" i="11"/>
  <c r="AD9" i="11" s="1"/>
  <c r="AO230" i="11"/>
  <c r="AO25" i="11" s="1"/>
  <c r="AU234" i="11"/>
  <c r="AU29" i="11" s="1"/>
  <c r="AP228" i="11"/>
  <c r="AP23" i="11" s="1"/>
  <c r="W224" i="11"/>
  <c r="W19" i="11" s="1"/>
  <c r="AO232" i="11"/>
  <c r="AO27" i="11" s="1"/>
  <c r="AV228" i="11"/>
  <c r="AV23" i="11" s="1"/>
  <c r="AU216" i="11"/>
  <c r="AU11" i="11" s="1"/>
  <c r="AC221" i="11"/>
  <c r="AC16" i="11" s="1"/>
  <c r="AU224" i="11"/>
  <c r="AU19" i="11" s="1"/>
  <c r="AC214" i="11"/>
  <c r="AC9" i="11" s="1"/>
  <c r="AO214" i="11"/>
  <c r="AO9" i="11" s="1"/>
  <c r="W227" i="11"/>
  <c r="W22" i="11" s="1"/>
  <c r="X226" i="11"/>
  <c r="X21" i="11" s="1"/>
  <c r="AI218" i="11"/>
  <c r="AI13" i="11" s="1"/>
  <c r="AV214" i="11"/>
  <c r="AV9" i="11" s="1"/>
  <c r="W214" i="11"/>
  <c r="W9" i="11" s="1"/>
  <c r="W225" i="11"/>
  <c r="W20" i="11" s="1"/>
  <c r="AU230" i="11"/>
  <c r="AU25" i="11" s="1"/>
  <c r="AJ222" i="11"/>
  <c r="AJ17" i="11" s="1"/>
  <c r="AC231" i="11"/>
  <c r="AC26" i="11" s="1"/>
  <c r="W234" i="11"/>
  <c r="W29" i="11" s="1"/>
  <c r="AP222" i="11"/>
  <c r="AP17" i="11" s="1"/>
  <c r="AO222" i="11"/>
  <c r="AO17" i="11" s="1"/>
  <c r="AD231" i="11"/>
  <c r="AD26" i="11" s="1"/>
  <c r="AJ218" i="11"/>
  <c r="AJ13" i="11" s="1"/>
  <c r="AV219" i="11"/>
  <c r="AV14" i="11" s="1"/>
  <c r="AJ229" i="11"/>
  <c r="AJ24" i="11" s="1"/>
  <c r="AP232" i="11"/>
  <c r="AP27" i="11" s="1"/>
  <c r="X233" i="11"/>
  <c r="X28" i="11" s="1"/>
  <c r="AJ231" i="11"/>
  <c r="AJ26" i="11" s="1"/>
  <c r="K233" i="11"/>
  <c r="K28" i="11" s="1"/>
  <c r="AP230" i="11"/>
  <c r="AP25" i="11" s="1"/>
  <c r="AI216" i="11"/>
  <c r="AI11" i="11" s="1"/>
  <c r="AU228" i="11"/>
  <c r="AU23" i="11" s="1"/>
  <c r="AP221" i="11"/>
  <c r="AP16" i="11" s="1"/>
  <c r="AI223" i="11"/>
  <c r="AI18" i="11" s="1"/>
  <c r="AO220" i="11"/>
  <c r="AO15" i="11" s="1"/>
  <c r="AD216" i="11"/>
  <c r="AD11" i="11" s="1"/>
  <c r="W226" i="11"/>
  <c r="W21" i="11" s="1"/>
  <c r="K232" i="11"/>
  <c r="K27" i="11" s="1"/>
  <c r="AC217" i="11"/>
  <c r="AC12" i="11" s="1"/>
  <c r="R232" i="11"/>
  <c r="R27" i="11" s="1"/>
  <c r="AV225" i="11"/>
  <c r="AV20" i="11" s="1"/>
  <c r="AD220" i="11"/>
  <c r="AD15" i="11" s="1"/>
  <c r="AP224" i="11"/>
  <c r="AP19" i="11" s="1"/>
  <c r="X225" i="11"/>
  <c r="X20" i="11" s="1"/>
  <c r="X232" i="11"/>
  <c r="X27" i="11" s="1"/>
  <c r="AU222" i="11"/>
  <c r="AU17" i="11" s="1"/>
  <c r="AD219" i="11"/>
  <c r="AD14" i="11" s="1"/>
  <c r="AU220" i="11"/>
  <c r="AU15" i="11" s="1"/>
  <c r="AC223" i="11"/>
  <c r="AC18" i="11" s="1"/>
  <c r="AJ226" i="11"/>
  <c r="AJ21" i="11" s="1"/>
  <c r="AV227" i="11"/>
  <c r="AV22" i="11" s="1"/>
  <c r="AC229" i="11"/>
  <c r="AC24" i="11" s="1"/>
  <c r="AV226" i="11"/>
  <c r="AV21" i="11" s="1"/>
  <c r="AO228" i="11"/>
  <c r="AO23" i="11" s="1"/>
  <c r="AV222" i="11"/>
  <c r="AV17" i="11" s="1"/>
  <c r="Q232" i="11"/>
  <c r="Q27" i="11" s="1"/>
  <c r="X221" i="11"/>
  <c r="X16" i="11" s="1"/>
  <c r="AI225" i="11"/>
  <c r="AI20" i="11" s="1"/>
  <c r="X217" i="11"/>
  <c r="X12" i="11" s="1"/>
  <c r="AD224" i="11"/>
  <c r="AD19" i="11" s="1"/>
  <c r="AD225" i="11"/>
  <c r="AD20" i="11" s="1"/>
  <c r="AI231" i="11"/>
  <c r="AI26" i="11" s="1"/>
  <c r="W232" i="11"/>
  <c r="W27" i="11" s="1"/>
  <c r="AU232" i="11"/>
  <c r="AU27" i="11" s="1"/>
  <c r="AD226" i="11"/>
  <c r="AD21" i="11" s="1"/>
  <c r="AD223" i="11"/>
  <c r="AD18" i="11" s="1"/>
  <c r="AO218" i="11"/>
  <c r="AO13" i="11" s="1"/>
  <c r="AI220" i="11"/>
  <c r="AI15" i="11" s="1"/>
  <c r="AC233" i="11"/>
  <c r="AC28" i="11" s="1"/>
  <c r="AI221" i="11"/>
  <c r="AI16" i="11" s="1"/>
  <c r="AI224" i="11"/>
  <c r="AI19" i="11" s="1"/>
  <c r="AO234" i="11"/>
  <c r="AO29" i="11" s="1"/>
  <c r="AV223" i="11"/>
  <c r="AV18" i="11" s="1"/>
  <c r="AJ216" i="11"/>
  <c r="AJ11" i="11" s="1"/>
  <c r="AC234" i="11"/>
  <c r="AC29" i="11" s="1"/>
  <c r="X234" i="11"/>
  <c r="X29" i="11" s="1"/>
  <c r="AO223" i="11"/>
  <c r="AO18" i="11" s="1"/>
  <c r="X219" i="11"/>
  <c r="X14" i="11" s="1"/>
  <c r="AI214" i="11"/>
  <c r="AI9" i="11" s="1"/>
  <c r="AU227" i="11"/>
  <c r="AU22" i="11" s="1"/>
  <c r="AO225" i="11"/>
  <c r="AO20" i="11" s="1"/>
  <c r="AO226" i="11"/>
  <c r="AO21" i="11" s="1"/>
  <c r="AJ228" i="11"/>
  <c r="AJ23" i="11" s="1"/>
  <c r="AJ225" i="11"/>
  <c r="AJ20" i="11" s="1"/>
  <c r="AJ220" i="11"/>
  <c r="AJ15" i="11" s="1"/>
  <c r="AO221" i="11"/>
  <c r="AO16" i="11" s="1"/>
  <c r="X224" i="11"/>
  <c r="X19" i="11" s="1"/>
  <c r="AD230" i="11"/>
  <c r="AD25" i="11" s="1"/>
  <c r="AP226" i="11"/>
  <c r="AP21" i="11" s="1"/>
  <c r="AO217" i="11"/>
  <c r="AO12" i="11" s="1"/>
  <c r="AJ227" i="11"/>
  <c r="AJ22" i="11" s="1"/>
  <c r="AU226" i="11"/>
  <c r="AU21" i="11" s="1"/>
  <c r="AV220" i="11"/>
  <c r="AV15" i="11" s="1"/>
  <c r="AO227" i="11"/>
  <c r="AO22" i="11" s="1"/>
  <c r="AU221" i="11"/>
  <c r="AU16" i="11" s="1"/>
  <c r="AJ234" i="11"/>
  <c r="AJ29" i="11" s="1"/>
  <c r="AI232" i="11"/>
  <c r="AI27" i="11" s="1"/>
  <c r="AV218" i="11"/>
  <c r="AV13" i="11" s="1"/>
  <c r="W229" i="11"/>
  <c r="W24" i="11" s="1"/>
  <c r="AC226" i="11"/>
  <c r="AC21" i="11" s="1"/>
  <c r="AV233" i="11"/>
  <c r="AV28" i="11" s="1"/>
  <c r="AV230" i="11"/>
  <c r="AV25" i="11" s="1"/>
  <c r="K234" i="11"/>
  <c r="K29" i="11" s="1"/>
  <c r="AV216" i="11"/>
  <c r="AV11" i="11" s="1"/>
  <c r="AI230" i="11"/>
  <c r="AI25" i="11" s="1"/>
  <c r="X230" i="11"/>
  <c r="X25" i="11" s="1"/>
  <c r="W219" i="11"/>
  <c r="W14" i="11" s="1"/>
  <c r="W230" i="11"/>
  <c r="W25" i="11" s="1"/>
  <c r="AP219" i="11"/>
  <c r="AP14" i="11" s="1"/>
  <c r="AD233" i="11"/>
  <c r="AD28" i="11" s="1"/>
  <c r="AD234" i="11"/>
  <c r="AD29" i="11" s="1"/>
  <c r="AC215" i="11"/>
  <c r="AC10" i="11" s="1"/>
  <c r="AJ223" i="11"/>
  <c r="AJ18" i="11" s="1"/>
  <c r="X222" i="11"/>
  <c r="X17" i="11" s="1"/>
  <c r="AP220" i="11"/>
  <c r="AP15" i="11" s="1"/>
  <c r="Q233" i="11"/>
  <c r="Q28" i="11" s="1"/>
  <c r="AP223" i="11"/>
  <c r="AP18" i="11" s="1"/>
  <c r="L233" i="11"/>
  <c r="L28" i="11" s="1"/>
  <c r="AC222" i="11"/>
  <c r="AC17" i="11" s="1"/>
  <c r="AI233" i="11"/>
  <c r="AI28" i="11" s="1"/>
  <c r="AD217" i="11"/>
  <c r="AD12" i="11" s="1"/>
  <c r="AJ230" i="11"/>
  <c r="AJ25" i="11" s="1"/>
  <c r="AO215" i="11"/>
  <c r="AO10" i="11" s="1"/>
  <c r="L232" i="11"/>
  <c r="L27" i="11" s="1"/>
  <c r="AP215" i="11"/>
  <c r="AP10" i="11" s="1"/>
  <c r="W228" i="11"/>
  <c r="W23" i="11" s="1"/>
  <c r="AU214" i="11"/>
  <c r="AU9" i="11" s="1"/>
  <c r="AV221" i="11"/>
  <c r="AV16" i="11" s="1"/>
  <c r="W215" i="11"/>
  <c r="W10" i="11" s="1"/>
  <c r="AI217" i="11"/>
  <c r="AI12" i="11" s="1"/>
  <c r="R234" i="11"/>
  <c r="R29" i="11" s="1"/>
  <c r="AP218" i="11"/>
  <c r="AP13" i="11" s="1"/>
  <c r="AP234" i="11"/>
  <c r="AP29" i="11" s="1"/>
  <c r="AC218" i="11"/>
  <c r="AC13" i="11" s="1"/>
  <c r="AU225" i="11"/>
  <c r="AU20" i="11" s="1"/>
  <c r="W222" i="11"/>
  <c r="W17" i="11" s="1"/>
  <c r="AV229" i="11"/>
  <c r="AV24" i="11" s="1"/>
  <c r="Q234" i="11"/>
  <c r="Q29" i="11" s="1"/>
  <c r="L234" i="11"/>
  <c r="L29" i="11" s="1"/>
  <c r="W233" i="11"/>
  <c r="W28" i="11" s="1"/>
  <c r="AC230" i="11"/>
  <c r="AC25" i="11" s="1"/>
  <c r="AJ215" i="11"/>
  <c r="AJ10" i="11" s="1"/>
  <c r="W231" i="11"/>
  <c r="W26"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Amelie Michalke</author>
    <author>Lukas Meßmann</author>
    <author>Sandra Boldoczki</author>
  </authors>
  <commentList>
    <comment ref="BK9" authorId="0" shapeId="0" xr:uid="{EA2D8F6C-E19C-49E0-AB5A-A51D56AFA2C4}">
      <text>
        <r>
          <rPr>
            <b/>
            <sz val="9"/>
            <color indexed="81"/>
            <rFont val="Segoe UI"/>
            <family val="2"/>
          </rPr>
          <t>Amelie Michalke:</t>
        </r>
        <r>
          <rPr>
            <sz val="9"/>
            <color indexed="81"/>
            <rFont val="Segoe UI"/>
            <family val="2"/>
          </rPr>
          <t xml:space="preserve">
kg Trockensubstanz pro Masteinheit</t>
        </r>
      </text>
    </comment>
    <comment ref="S10" authorId="0" shapeId="0" xr:uid="{9C6E5D5F-ADC0-492F-BD9B-FC2245A35606}">
      <text>
        <r>
          <rPr>
            <b/>
            <sz val="9"/>
            <color indexed="81"/>
            <rFont val="Segoe UI"/>
            <family val="2"/>
          </rPr>
          <t>Amelie Michalke:</t>
        </r>
        <r>
          <rPr>
            <sz val="9"/>
            <color indexed="81"/>
            <rFont val="Segoe UI"/>
            <family val="2"/>
          </rPr>
          <t xml:space="preserve">
Mastdauer</t>
        </r>
      </text>
    </comment>
    <comment ref="T10" authorId="0" shapeId="0" xr:uid="{FB63A479-C613-4442-AC03-098126C54E9B}">
      <text>
        <r>
          <rPr>
            <b/>
            <sz val="9"/>
            <color indexed="81"/>
            <rFont val="Segoe UI"/>
            <family val="2"/>
          </rPr>
          <t>Amelie Michalke:</t>
        </r>
        <r>
          <rPr>
            <sz val="9"/>
            <color indexed="81"/>
            <rFont val="Segoe UI"/>
            <family val="2"/>
          </rPr>
          <t xml:space="preserve">
Mastdauer</t>
        </r>
      </text>
    </comment>
    <comment ref="BK10" authorId="0" shapeId="0" xr:uid="{109E8331-AF21-4683-90D6-61B1475749FA}">
      <text>
        <r>
          <rPr>
            <b/>
            <sz val="9"/>
            <color indexed="81"/>
            <rFont val="Segoe UI"/>
            <family val="2"/>
          </rPr>
          <t>Amelie Michalke:</t>
        </r>
        <r>
          <rPr>
            <sz val="9"/>
            <color indexed="81"/>
            <rFont val="Segoe UI"/>
            <family val="2"/>
          </rPr>
          <t xml:space="preserve">
kg Futter pro kg Tier Zuwachs</t>
        </r>
      </text>
    </comment>
    <comment ref="S11" authorId="0" shapeId="0" xr:uid="{3342156E-3A1F-4C2D-BE2A-B014A161CD6F}">
      <text>
        <r>
          <rPr>
            <b/>
            <sz val="9"/>
            <color indexed="81"/>
            <rFont val="Segoe UI"/>
            <family val="2"/>
          </rPr>
          <t>Amelie Michalke:</t>
        </r>
        <r>
          <rPr>
            <sz val="9"/>
            <color indexed="81"/>
            <rFont val="Segoe UI"/>
            <family val="2"/>
          </rPr>
          <t xml:space="preserve">
Mastdauer</t>
        </r>
      </text>
    </comment>
    <comment ref="T11" authorId="0" shapeId="0" xr:uid="{D4EC2ECE-81E4-4E44-AD06-9B5793A49BB6}">
      <text>
        <r>
          <rPr>
            <b/>
            <sz val="9"/>
            <color indexed="81"/>
            <rFont val="Segoe UI"/>
            <family val="2"/>
          </rPr>
          <t>Amelie Michalke:</t>
        </r>
        <r>
          <rPr>
            <sz val="9"/>
            <color indexed="81"/>
            <rFont val="Segoe UI"/>
            <family val="2"/>
          </rPr>
          <t xml:space="preserve">
Mastdauer</t>
        </r>
      </text>
    </comment>
    <comment ref="BK11" authorId="0" shapeId="0" xr:uid="{4F69E7D9-5A3E-4550-A8CC-CEC108C763D5}">
      <text>
        <r>
          <rPr>
            <b/>
            <sz val="9"/>
            <color indexed="81"/>
            <rFont val="Segoe UI"/>
            <family val="2"/>
          </rPr>
          <t>Amelie Michalke:</t>
        </r>
        <r>
          <rPr>
            <sz val="9"/>
            <color indexed="81"/>
            <rFont val="Segoe UI"/>
            <family val="2"/>
          </rPr>
          <t xml:space="preserve">
kg Futter pro kg Tier</t>
        </r>
      </text>
    </comment>
    <comment ref="O13" authorId="0" shapeId="0" xr:uid="{5D8F5E77-BCE6-4C20-98FD-E17806200E6E}">
      <text>
        <r>
          <rPr>
            <b/>
            <sz val="9"/>
            <color indexed="81"/>
            <rFont val="Segoe UI"/>
            <family val="2"/>
          </rPr>
          <t>Amelie Michalke:</t>
        </r>
        <r>
          <rPr>
            <sz val="9"/>
            <color indexed="81"/>
            <rFont val="Segoe UI"/>
            <family val="2"/>
          </rPr>
          <t xml:space="preserve">
Average of organic and organic-Plus (has higher restrictions for animal welfare and product quality) </t>
        </r>
      </text>
    </comment>
    <comment ref="K14" authorId="0" shapeId="0" xr:uid="{9E8C9D87-DE8F-4EB7-A18A-6E9A9078DA36}">
      <text>
        <r>
          <rPr>
            <b/>
            <sz val="9"/>
            <color indexed="81"/>
            <rFont val="Segoe UI"/>
            <family val="2"/>
          </rPr>
          <t>Amelie Michalke:</t>
        </r>
        <r>
          <rPr>
            <sz val="9"/>
            <color indexed="81"/>
            <rFont val="Segoe UI"/>
            <family val="2"/>
          </rPr>
          <t xml:space="preserve">
Functional unit: deﬁned as the production of 1 kg of live weight meat from bullocks and heifers (HM) at the farm gate level --&gt; we look at values for "Heifers-Bullock"</t>
        </r>
      </text>
    </comment>
    <comment ref="AY24" authorId="0" shapeId="0" xr:uid="{7706083E-9072-41B3-8E47-F74E7F046BED}">
      <text>
        <r>
          <rPr>
            <b/>
            <sz val="9"/>
            <color indexed="81"/>
            <rFont val="Segoe UI"/>
            <family val="2"/>
          </rPr>
          <t>Amelie Michalke:</t>
        </r>
        <r>
          <rPr>
            <sz val="9"/>
            <color indexed="81"/>
            <rFont val="Segoe UI"/>
            <family val="2"/>
          </rPr>
          <t xml:space="preserve">
Umgerechnet aus MJ/kgMilch * kgMilch/ha</t>
        </r>
      </text>
    </comment>
    <comment ref="BK26" authorId="1" shapeId="0" xr:uid="{B704208D-1B85-4C5A-82D8-FB24E699C323}">
      <text>
        <r>
          <rPr>
            <sz val="14"/>
            <color indexed="81"/>
            <rFont val="Segoe UI"/>
            <family val="2"/>
          </rPr>
          <t xml:space="preserve">. It </t>
        </r>
        <r>
          <rPr>
            <sz val="16"/>
            <color indexed="81"/>
            <rFont val="Segoe UI"/>
            <family val="2"/>
          </rPr>
          <t>was assumed that the replacement rate for the milking cows was 25% in both systems and this was accounted for by adjusting the total metabolizable energy (ME) required to maintain one cow (60 MJ day−1) to include 25% of total ME (including maintenance, growth and pregnancy) for a 6-month-old (50 MJ day−1) and an 18-month-old (80 MJ day−1) replacement heifer. This maintenance energy was added to the energy required to produce a typical yield of milk for an organic cow (6758 l y−1) or a conventional cow (8250 l y−1) [25] assuming that it takes 5.4 MJ of ME to produce one litre of milk [8,13]. Based on these calculations, 78,313 MJ of ME from feed is necessary to support one cow plus followers in a conventional system compared with 70,256 MJ of ME from feed in an organic system.</t>
        </r>
      </text>
    </comment>
    <comment ref="AU39" authorId="0" shapeId="0" xr:uid="{40E6B35F-E95D-49BB-9EE7-6590B6A760E1}">
      <text>
        <r>
          <rPr>
            <b/>
            <sz val="9"/>
            <color indexed="81"/>
            <rFont val="Segoe UI"/>
            <family val="2"/>
          </rPr>
          <t>Amelie Michalke:</t>
        </r>
        <r>
          <rPr>
            <sz val="9"/>
            <color indexed="81"/>
            <rFont val="Segoe UI"/>
            <family val="2"/>
          </rPr>
          <t xml:space="preserve">
per kgMilk: 3,1 MJ
</t>
        </r>
      </text>
    </comment>
    <comment ref="AV39" authorId="0" shapeId="0" xr:uid="{68EAE9D9-8584-4D52-B245-4D225485B8ED}">
      <text>
        <r>
          <rPr>
            <b/>
            <sz val="9"/>
            <color indexed="81"/>
            <rFont val="Segoe UI"/>
            <family val="2"/>
          </rPr>
          <t>Amelie Michalke:</t>
        </r>
        <r>
          <rPr>
            <sz val="9"/>
            <color indexed="81"/>
            <rFont val="Segoe UI"/>
            <family val="2"/>
          </rPr>
          <t xml:space="preserve">
per kgMilk: 5 MJ</t>
        </r>
      </text>
    </comment>
    <comment ref="S40" authorId="0" shapeId="0" xr:uid="{7120AAAF-AD0A-42B1-A4E7-0D0F91FE9E65}">
      <text>
        <r>
          <rPr>
            <b/>
            <sz val="9"/>
            <color indexed="81"/>
            <rFont val="Segoe UI"/>
            <family val="2"/>
          </rPr>
          <t>Amelie Michalke:</t>
        </r>
        <r>
          <rPr>
            <sz val="9"/>
            <color indexed="81"/>
            <rFont val="Segoe UI"/>
            <family val="2"/>
          </rPr>
          <t xml:space="preserve">
Pasture residence time: how much time is spent grazing, not particularly meaningful regarding age at slaughter</t>
        </r>
      </text>
    </comment>
    <comment ref="BI40" authorId="0" shapeId="0" xr:uid="{29EB6E90-94E1-4BBC-8EFB-A9A437D1548F}">
      <text>
        <r>
          <rPr>
            <b/>
            <sz val="9"/>
            <color indexed="81"/>
            <rFont val="Segoe UI"/>
            <family val="2"/>
          </rPr>
          <t>Amelie Michalke:</t>
        </r>
        <r>
          <rPr>
            <sz val="9"/>
            <color indexed="81"/>
            <rFont val="Segoe UI"/>
            <family val="2"/>
          </rPr>
          <t xml:space="preserve">
Only concentrated feed per cow is included, not grazing for example</t>
        </r>
      </text>
    </comment>
    <comment ref="BS40" authorId="0" shapeId="0" xr:uid="{25AD17E5-61A2-4FBF-81CD-187121A946BD}">
      <text>
        <r>
          <rPr>
            <b/>
            <sz val="9"/>
            <color indexed="81"/>
            <rFont val="Segoe UI"/>
            <family val="2"/>
          </rPr>
          <t>Amelie Michalke:</t>
        </r>
        <r>
          <rPr>
            <sz val="9"/>
            <color indexed="81"/>
            <rFont val="Segoe UI"/>
            <family val="2"/>
          </rPr>
          <t xml:space="preserve">
"organic fertilizer"</t>
        </r>
      </text>
    </comment>
    <comment ref="BT44" authorId="2" shapeId="0" xr:uid="{7B8D1D73-7EB1-48DC-9F2F-905C21B11E5F}">
      <text>
        <r>
          <rPr>
            <b/>
            <sz val="9"/>
            <color indexed="81"/>
            <rFont val="Segoe UI"/>
            <family val="2"/>
          </rPr>
          <t>Sandra Boldoczki:</t>
        </r>
        <r>
          <rPr>
            <sz val="9"/>
            <color indexed="81"/>
            <rFont val="Segoe UI"/>
            <family val="2"/>
          </rPr>
          <t xml:space="preserve">
manure vs slurry nicht vergleichbar</t>
        </r>
      </text>
    </comment>
    <comment ref="G46" authorId="2" shapeId="0" xr:uid="{39F64F47-075E-4926-AD14-FDF2A8736B1E}">
      <text>
        <r>
          <rPr>
            <b/>
            <sz val="9"/>
            <color indexed="81"/>
            <rFont val="Segoe UI"/>
            <family val="2"/>
          </rPr>
          <t>Sandra Boldoczki:</t>
        </r>
        <r>
          <rPr>
            <sz val="9"/>
            <color indexed="81"/>
            <rFont val="Segoe UI"/>
            <family val="2"/>
          </rPr>
          <t xml:space="preserve">
winter wheat</t>
        </r>
      </text>
    </comment>
    <comment ref="BT47" authorId="2" shapeId="0" xr:uid="{D73104A2-3EB7-4F8C-A5D3-9237ABF56A88}">
      <text>
        <r>
          <rPr>
            <b/>
            <sz val="9"/>
            <color indexed="81"/>
            <rFont val="Segoe UI"/>
            <family val="2"/>
          </rPr>
          <t>Sandra Boldoczki:</t>
        </r>
        <r>
          <rPr>
            <sz val="9"/>
            <color indexed="81"/>
            <rFont val="Segoe UI"/>
            <family val="2"/>
          </rPr>
          <t xml:space="preserve">
However, the distribution of manure and slurry in the rotation is system specific. Wheat in the CONFYM system receives no farmyard manure. It is supplemented with mineral fertilisers to the plant-specific Swiss standard as recommended by official extension services. In the harvest years 2006, 2007 and 2009, the wheat plots of the systems BIODYN and BIOORG received a 89% and 83% lower mean annual addition of soluble nitrogen (NH+4 - Nand NO−3 -N), respectively, compared to the CONFYM system</t>
        </r>
      </text>
    </comment>
    <comment ref="BT48" authorId="2" shapeId="0" xr:uid="{4E63F89B-014F-4CEB-87EA-CED6E374FFC7}">
      <text>
        <r>
          <rPr>
            <b/>
            <sz val="9"/>
            <color indexed="81"/>
            <rFont val="Segoe UI"/>
            <family val="2"/>
          </rPr>
          <t>Sandra Boldoczki:</t>
        </r>
        <r>
          <rPr>
            <sz val="9"/>
            <color indexed="81"/>
            <rFont val="Segoe UI"/>
            <family val="2"/>
          </rPr>
          <t xml:space="preserve">
For all crops, production corresponded to good agricultural practice, i.e. fertilisation according to anticipated crop needs and integrated pest management for GAP and RL. For the three scenarios, we assumed that pig manure (liquid manure for GAP, solid manure for RL, composted solid manure for OA) was used to fertilise Bretagne-grown crops used as feed ingredients. The overall amount of manure or compost used for crop-based feed ingredients was adjusted, so as to correspond to the amount of manure produced by feeding the feed of which these ingredients were part of.</t>
        </r>
      </text>
    </comment>
    <comment ref="BT49" authorId="2" shapeId="0" xr:uid="{6C29446F-4C36-456E-A039-E84584BC9B5F}">
      <text>
        <r>
          <rPr>
            <b/>
            <sz val="9"/>
            <color indexed="81"/>
            <rFont val="Segoe UI"/>
            <family val="2"/>
          </rPr>
          <t>Sandra Boldoczki:</t>
        </r>
        <r>
          <rPr>
            <sz val="9"/>
            <color indexed="81"/>
            <rFont val="Segoe UI"/>
            <family val="2"/>
          </rPr>
          <t xml:space="preserve">
For all crops, production corresponded to good agricultural practice, i.e. fertilisation according to anticipated crop needs and integrated pest management for GAP and RL. For the three scenarios, we assumed that pig manure (liquid manure for GAP, solid manure for RL, composted solid manure for OA) was used to fertilise Bretagne-grown crops used as feed ingredients. The overall amount of manure or compost used for crop-based feed ingredients was adjusted, so as to correspond to the amount of manure produced by feeding the feed of which these ingredients were part of.</t>
        </r>
      </text>
    </comment>
    <comment ref="BT50" authorId="2" shapeId="0" xr:uid="{DB602FF5-8B45-4898-ABBE-E49B2D4F329C}">
      <text>
        <r>
          <rPr>
            <b/>
            <sz val="9"/>
            <color indexed="81"/>
            <rFont val="Segoe UI"/>
            <family val="2"/>
          </rPr>
          <t>Sandra Boldoczki:</t>
        </r>
        <r>
          <rPr>
            <sz val="9"/>
            <color indexed="81"/>
            <rFont val="Segoe UI"/>
            <family val="2"/>
          </rPr>
          <t xml:space="preserve">
For all crops, production corresponded to good agricultural practice, i.e. fertilisation according to anticipated crop needs and integrated pest management for GAP and RL. For the three scenarios, we assumed that pig manure (liquid manure for GAP, solid manure for RL, composted solid manure for OA) was used to fertilise Bretagne-grown crops used as feed ingredients. The overall amount of manure or compost used for crop-based feed ingredients was adjusted, so as to correspond to the amount of manure produced by feeding the feed of which these ingredients were part of.</t>
        </r>
      </text>
    </comment>
    <comment ref="BT51" authorId="2" shapeId="0" xr:uid="{723D4981-8400-4FE5-9CFA-64B0E15425AE}">
      <text>
        <r>
          <rPr>
            <b/>
            <sz val="9"/>
            <color indexed="81"/>
            <rFont val="Segoe UI"/>
            <family val="2"/>
          </rPr>
          <t>Sandra Boldoczki:</t>
        </r>
        <r>
          <rPr>
            <sz val="9"/>
            <color indexed="81"/>
            <rFont val="Segoe UI"/>
            <family val="2"/>
          </rPr>
          <t xml:space="preserve">
For all crops, production corresponded to good agricultural practice, i.e. fertilisation according to anticipated crop needs and integrated pest management for GAP and RL. For the three scenarios, we assumed that pig manure (liquid manure for GAP, solid manure for RL, composted solid manure for OA) was used to fertilise Bretagne-grown crops used as feed ingredients. The overall amount of manure or compost used for crop-based feed ingredients was adjusted, so as to correspond to the amount of manure produced by feeding the feed of which these ingredients were part of.</t>
        </r>
      </text>
    </comment>
    <comment ref="BR52" authorId="0" shapeId="0" xr:uid="{7958E228-2AF0-45A3-9819-62718BB7503B}">
      <text>
        <r>
          <rPr>
            <b/>
            <sz val="9"/>
            <color indexed="81"/>
            <rFont val="Segoe UI"/>
            <family val="2"/>
          </rPr>
          <t>Amelie Michalke:</t>
        </r>
        <r>
          <rPr>
            <sz val="9"/>
            <color indexed="81"/>
            <rFont val="Segoe UI"/>
            <family val="2"/>
          </rPr>
          <t xml:space="preserve">
manure overall</t>
        </r>
      </text>
    </comment>
    <comment ref="O53" authorId="0" shapeId="0" xr:uid="{874B794E-3C61-48AB-9EB4-5770C47EA93C}">
      <text>
        <r>
          <rPr>
            <b/>
            <sz val="9"/>
            <color indexed="81"/>
            <rFont val="Segoe UI"/>
            <family val="2"/>
          </rPr>
          <t>Amelie Michalke:</t>
        </r>
        <r>
          <rPr>
            <sz val="9"/>
            <color indexed="81"/>
            <rFont val="Segoe UI"/>
            <family val="2"/>
          </rPr>
          <t xml:space="preserve">
Ist yield hier tatsächlich vergleichbar? Es wurde nur die Summe aller durchschnittlichen yields der Fruchtfolge gebildet. Aber einige Pflanzen sind vielleicht bezüglich ihrer Masse nicht miteinander vergleichbar</t>
        </r>
      </text>
    </comment>
    <comment ref="BW53" authorId="2" shapeId="0" xr:uid="{63383112-EAAB-4665-86CD-F6BE63D2B93E}">
      <text>
        <r>
          <rPr>
            <b/>
            <sz val="9"/>
            <color indexed="81"/>
            <rFont val="Segoe UI"/>
            <family val="2"/>
          </rPr>
          <t>Sandra Boldoczki:</t>
        </r>
        <r>
          <rPr>
            <sz val="9"/>
            <color indexed="81"/>
            <rFont val="Segoe UI"/>
            <family val="2"/>
          </rPr>
          <t xml:space="preserve">
Durchschnitt über Einzelwerte, gelöscht um Doppelzählung zu vermeiden</t>
        </r>
      </text>
    </comment>
    <comment ref="O56" authorId="0" shapeId="0" xr:uid="{861B83F7-B2CA-4EDF-B1FE-8A0A5309E3FE}">
      <text>
        <r>
          <rPr>
            <b/>
            <sz val="9"/>
            <color indexed="81"/>
            <rFont val="Segoe UI"/>
            <family val="2"/>
          </rPr>
          <t>Amelie Michalke:</t>
        </r>
        <r>
          <rPr>
            <sz val="9"/>
            <color indexed="81"/>
            <rFont val="Segoe UI"/>
            <family val="2"/>
          </rPr>
          <t xml:space="preserve">
Described as 80% of conventional </t>
        </r>
      </text>
    </comment>
    <comment ref="BU56" authorId="2" shapeId="0" xr:uid="{BCB4BC39-4750-4F26-8C31-84B48795FDDB}">
      <text>
        <r>
          <rPr>
            <b/>
            <sz val="9"/>
            <color indexed="81"/>
            <rFont val="Segoe UI"/>
            <family val="2"/>
          </rPr>
          <t>Sandra Boldoczki:</t>
        </r>
        <r>
          <rPr>
            <sz val="9"/>
            <color indexed="81"/>
            <rFont val="Segoe UI"/>
            <family val="2"/>
          </rPr>
          <t xml:space="preserve">
zeitlicher Bezug unklar, Daten conventional und organic nicht vergleichbar</t>
        </r>
      </text>
    </comment>
    <comment ref="O58" authorId="0" shapeId="0" xr:uid="{697031D1-93B0-483B-9315-88D0E41E5E76}">
      <text>
        <r>
          <rPr>
            <b/>
            <sz val="9"/>
            <color indexed="81"/>
            <rFont val="Segoe UI"/>
            <family val="2"/>
          </rPr>
          <t>Amelie Michalke:</t>
        </r>
        <r>
          <rPr>
            <sz val="9"/>
            <color indexed="81"/>
            <rFont val="Segoe UI"/>
            <family val="2"/>
          </rPr>
          <t xml:space="preserve">
described as 70% of conventional</t>
        </r>
      </text>
    </comment>
    <comment ref="O59" authorId="0" shapeId="0" xr:uid="{A33621F7-96CD-4537-A72A-409784682191}">
      <text>
        <r>
          <rPr>
            <b/>
            <sz val="9"/>
            <color indexed="81"/>
            <rFont val="Segoe UI"/>
            <family val="2"/>
          </rPr>
          <t>Amelie Michalke:</t>
        </r>
        <r>
          <rPr>
            <sz val="9"/>
            <color indexed="81"/>
            <rFont val="Segoe UI"/>
            <family val="2"/>
          </rPr>
          <t xml:space="preserve">
described as 60% of conventional yield</t>
        </r>
      </text>
    </comment>
    <comment ref="O63" authorId="0" shapeId="0" xr:uid="{DA9C9291-F928-4FA1-9ADB-AB4DE90D6326}">
      <text>
        <r>
          <rPr>
            <b/>
            <sz val="9"/>
            <color indexed="81"/>
            <rFont val="Segoe UI"/>
            <family val="2"/>
          </rPr>
          <t>Amelie Michalke:</t>
        </r>
        <r>
          <rPr>
            <sz val="9"/>
            <color indexed="81"/>
            <rFont val="Segoe UI"/>
            <family val="2"/>
          </rPr>
          <t xml:space="preserve">
from diagram</t>
        </r>
      </text>
    </comment>
    <comment ref="K70" authorId="2" shapeId="0" xr:uid="{04580093-BDC4-4547-8BAB-8ADEF4F17D30}">
      <text>
        <r>
          <rPr>
            <b/>
            <sz val="9"/>
            <color indexed="81"/>
            <rFont val="Segoe UI"/>
            <family val="2"/>
          </rPr>
          <t>Sandra Boldoczki:</t>
        </r>
        <r>
          <rPr>
            <sz val="9"/>
            <color indexed="81"/>
            <rFont val="Segoe UI"/>
            <family val="2"/>
          </rPr>
          <t xml:space="preserve">
type Angela, we omitted data from type Laura due to effects of late blight
</t>
        </r>
        <r>
          <rPr>
            <b/>
            <sz val="9"/>
            <color indexed="81"/>
            <rFont val="Segoe UI"/>
            <family val="2"/>
          </rPr>
          <t>Amelie Michalke:</t>
        </r>
        <r>
          <rPr>
            <sz val="9"/>
            <color indexed="81"/>
            <rFont val="Segoe UI"/>
            <family val="2"/>
          </rPr>
          <t xml:space="preserve">
We omitted data from practice "Organic I" due to no manure use in this scenario</t>
        </r>
      </text>
    </comment>
    <comment ref="O76" authorId="0" shapeId="0" xr:uid="{3B162B11-FB47-44EE-89B1-DCD9E7C595B6}">
      <text>
        <r>
          <rPr>
            <b/>
            <sz val="9"/>
            <color indexed="81"/>
            <rFont val="Segoe UI"/>
            <family val="2"/>
          </rPr>
          <t>Amelie Michalke:</t>
        </r>
        <r>
          <rPr>
            <sz val="9"/>
            <color indexed="81"/>
            <rFont val="Segoe UI"/>
            <family val="2"/>
          </rPr>
          <t xml:space="preserve">
In the organic system OA, oat was grown in a mixture with peas. Yields are given as the sum of the two crops, whereas nutrient concentrations are given as a weighted average (based on the DM weights of the two crops)</t>
        </r>
      </text>
    </comment>
    <comment ref="Q84" authorId="0" shapeId="0" xr:uid="{47A93A7A-FF3A-4D06-8D28-494F34299ADE}">
      <text>
        <r>
          <rPr>
            <b/>
            <sz val="9"/>
            <color indexed="81"/>
            <rFont val="Segoe UI"/>
            <family val="2"/>
          </rPr>
          <t>Amelie Michalke:</t>
        </r>
        <r>
          <rPr>
            <sz val="9"/>
            <color indexed="81"/>
            <rFont val="Segoe UI"/>
            <family val="2"/>
          </rPr>
          <t xml:space="preserve">
1 SFU corresponds to the feeding equivalent of 1kg barley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Amelie Michalke</author>
  </authors>
  <commentList>
    <comment ref="B10" authorId="0" shapeId="0" xr:uid="{FD4FE5DB-A0DC-49A1-87D2-FDA8F169A855}">
      <text>
        <r>
          <rPr>
            <b/>
            <sz val="9"/>
            <color indexed="81"/>
            <rFont val="Segoe UI"/>
            <family val="2"/>
          </rPr>
          <t>Amelie Michalke:</t>
        </r>
        <r>
          <rPr>
            <sz val="9"/>
            <color indexed="81"/>
            <rFont val="Segoe UI"/>
            <family val="2"/>
          </rPr>
          <t xml:space="preserve">
Anderer Wert als in Tabellenblat Literature</t>
        </r>
      </text>
    </comment>
    <comment ref="B33" authorId="0" shapeId="0" xr:uid="{DE68B0FA-AF37-42CE-A926-051028E225F8}">
      <text>
        <r>
          <rPr>
            <b/>
            <sz val="9"/>
            <color indexed="81"/>
            <rFont val="Segoe UI"/>
            <family val="2"/>
          </rPr>
          <t>Amelie Michalke:</t>
        </r>
        <r>
          <rPr>
            <sz val="9"/>
            <color indexed="81"/>
            <rFont val="Segoe UI"/>
            <family val="2"/>
          </rPr>
          <t xml:space="preserve">
nicht gefunden</t>
        </r>
      </text>
    </comment>
    <comment ref="E44" authorId="0" shapeId="0" xr:uid="{C01D3569-8DCD-463E-9931-5B9BFD7F7B7B}">
      <text>
        <r>
          <rPr>
            <b/>
            <sz val="9"/>
            <color indexed="81"/>
            <rFont val="Segoe UI"/>
            <family val="2"/>
          </rPr>
          <t>Amelie Michalke:</t>
        </r>
        <r>
          <rPr>
            <sz val="9"/>
            <color indexed="81"/>
            <rFont val="Segoe UI"/>
            <family val="2"/>
          </rPr>
          <t xml:space="preserve">
In the organic system OA, oat was grown in a mixture with peas. Yields are given as the sum of the two crops, whereas nutrient concentrations are given as a weighted average (based on the DM weights of the two crops)</t>
        </r>
      </text>
    </comment>
    <comment ref="B45" authorId="0" shapeId="0" xr:uid="{3016D5F7-D73D-433D-AC7B-518604FC9657}">
      <text>
        <r>
          <rPr>
            <b/>
            <sz val="9"/>
            <color indexed="81"/>
            <rFont val="Segoe UI"/>
            <family val="2"/>
          </rPr>
          <t>Amelie Michalke:</t>
        </r>
        <r>
          <rPr>
            <sz val="9"/>
            <color indexed="81"/>
            <rFont val="Segoe UI"/>
            <family val="2"/>
          </rPr>
          <t xml:space="preserve">
neu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 Boldoczki</author>
    <author>Lukas Meßmann</author>
  </authors>
  <commentList>
    <comment ref="D15" authorId="0" shapeId="0" xr:uid="{8291B549-A650-44DF-B3F2-FC3847B95D4B}">
      <text>
        <r>
          <rPr>
            <b/>
            <sz val="9"/>
            <color indexed="81"/>
            <rFont val="Segoe UI"/>
            <family val="2"/>
          </rPr>
          <t xml:space="preserve">Sandra Boldoczki
</t>
        </r>
        <r>
          <rPr>
            <sz val="9"/>
            <color indexed="81"/>
            <rFont val="Segoe UI"/>
            <family val="2"/>
          </rPr>
          <t>3 studies for "beans", but only 1 specific study</t>
        </r>
      </text>
    </comment>
    <comment ref="D16" authorId="0" shapeId="0" xr:uid="{3BDA7C4C-5EA5-4B56-921C-AFFC187B5C46}">
      <text>
        <r>
          <rPr>
            <b/>
            <sz val="9"/>
            <color indexed="81"/>
            <rFont val="Segoe UI"/>
            <family val="2"/>
          </rPr>
          <t xml:space="preserve">Sandra Boldoczki
</t>
        </r>
        <r>
          <rPr>
            <sz val="9"/>
            <color indexed="81"/>
            <rFont val="Segoe UI"/>
            <family val="2"/>
          </rPr>
          <t>3 studies for "beans", but only 1 specific study</t>
        </r>
      </text>
    </comment>
    <comment ref="D26" authorId="1" shapeId="0" xr:uid="{6595F754-3AB8-4AA0-A9C4-848F7BD07630}">
      <text>
        <r>
          <rPr>
            <b/>
            <sz val="9"/>
            <color indexed="81"/>
            <rFont val="Segoe UI"/>
            <family val="2"/>
          </rPr>
          <t>Lukas Messmann:</t>
        </r>
        <r>
          <rPr>
            <sz val="9"/>
            <color indexed="81"/>
            <rFont val="Segoe UI"/>
            <family val="2"/>
          </rPr>
          <t xml:space="preserve">
Beets in general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Lukas Meßmann</author>
  </authors>
  <commentList>
    <comment ref="CF218" authorId="0" shapeId="0" xr:uid="{E9B43FCF-90B7-4652-8990-1551A1B36C6B}">
      <text>
        <r>
          <rPr>
            <b/>
            <sz val="9"/>
            <color indexed="81"/>
            <rFont val="Segoe UI"/>
            <family val="2"/>
          </rPr>
          <t>Lukas Meßmann:</t>
        </r>
        <r>
          <rPr>
            <sz val="9"/>
            <color indexed="81"/>
            <rFont val="Segoe UI"/>
            <family val="2"/>
          </rPr>
          <t xml:space="preserve">
own calculation based on atomic mass</t>
        </r>
      </text>
    </comment>
    <comment ref="S458" authorId="0" shapeId="0" xr:uid="{069549B2-D852-4963-82D5-EE9C88D36C19}">
      <text>
        <r>
          <rPr>
            <b/>
            <sz val="9"/>
            <color indexed="81"/>
            <rFont val="Segoe UI"/>
            <family val="2"/>
          </rPr>
          <t>Lukas Meßmann:</t>
        </r>
        <r>
          <rPr>
            <sz val="9"/>
            <color indexed="81"/>
            <rFont val="Segoe UI"/>
            <family val="2"/>
          </rPr>
          <t xml:space="preserve">
%DM of grains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5" authorId="0" shapeId="0" xr:uid="{CE0CCE2A-3A22-4CC6-A870-11C874699D4B}">
      <text>
        <r>
          <rPr>
            <b/>
            <sz val="9"/>
            <color indexed="81"/>
            <rFont val="Segoe UI"/>
            <family val="2"/>
          </rPr>
          <t>Autor:</t>
        </r>
        <r>
          <rPr>
            <sz val="9"/>
            <color indexed="81"/>
            <rFont val="Segoe UI"/>
            <family val="2"/>
          </rPr>
          <t xml:space="preserve">
was =(K13/MITTELWERT(K11/Q11;K14/Q14))*(D13/K13)</t>
        </r>
      </text>
    </comment>
    <comment ref="D15" authorId="0" shapeId="0" xr:uid="{FB9F5336-9C3D-4CC0-ACEE-EA44BF731ACD}">
      <text>
        <r>
          <rPr>
            <b/>
            <sz val="9"/>
            <color indexed="81"/>
            <rFont val="Segoe UI"/>
            <family val="2"/>
          </rPr>
          <t>Autor:</t>
        </r>
        <r>
          <rPr>
            <sz val="9"/>
            <color indexed="81"/>
            <rFont val="Segoe UI"/>
            <family val="2"/>
          </rPr>
          <t xml:space="preserve">
was =K13*MITTELWERT(J11/K11;J14/K14)</t>
        </r>
      </text>
    </comment>
    <comment ref="C16" authorId="0" shapeId="0" xr:uid="{FBFDA8A3-BFB0-4204-A097-D6A1229BC2B6}">
      <text>
        <r>
          <rPr>
            <b/>
            <sz val="9"/>
            <color indexed="81"/>
            <rFont val="Segoe UI"/>
            <family val="2"/>
          </rPr>
          <t>Autor:</t>
        </r>
        <r>
          <rPr>
            <sz val="9"/>
            <color indexed="81"/>
            <rFont val="Segoe UI"/>
            <family val="2"/>
          </rPr>
          <t xml:space="preserve">
scaled by dry matter content</t>
        </r>
      </text>
    </comment>
    <comment ref="D16" authorId="0" shapeId="0" xr:uid="{0B8A9254-0112-46CC-80B7-CF430812144E}">
      <text>
        <r>
          <rPr>
            <b/>
            <sz val="9"/>
            <color indexed="81"/>
            <rFont val="Segoe UI"/>
            <family val="2"/>
          </rPr>
          <t>Autor:</t>
        </r>
        <r>
          <rPr>
            <sz val="9"/>
            <color indexed="81"/>
            <rFont val="Segoe UI"/>
            <family val="2"/>
          </rPr>
          <t xml:space="preserve">
scaled by dry matter content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<sst xmlns="http://schemas.openxmlformats.org/spreadsheetml/2006/main" count="29887" uniqueCount="2429">
  <si>
    <t>M1</t>
  </si>
  <si>
    <t>M2</t>
  </si>
  <si>
    <t>M3</t>
  </si>
  <si>
    <t>M4</t>
  </si>
  <si>
    <t>M5</t>
  </si>
  <si>
    <t>M13</t>
  </si>
  <si>
    <t>M14</t>
  </si>
  <si>
    <t>M18</t>
  </si>
  <si>
    <t>M6</t>
  </si>
  <si>
    <t>M7</t>
  </si>
  <si>
    <t>M8</t>
  </si>
  <si>
    <t>M9</t>
  </si>
  <si>
    <t>M10</t>
  </si>
  <si>
    <t>M11</t>
  </si>
  <si>
    <t>M12</t>
  </si>
  <si>
    <t>M15</t>
  </si>
  <si>
    <t>M16</t>
  </si>
  <si>
    <t>M17</t>
  </si>
  <si>
    <t>Min.</t>
  </si>
  <si>
    <t>Functional unit:</t>
  </si>
  <si>
    <t>1 kg</t>
  </si>
  <si>
    <t>Med.</t>
  </si>
  <si>
    <t>EPH</t>
  </si>
  <si>
    <t>Max.</t>
  </si>
  <si>
    <t>Characterization (Prices):</t>
  </si>
  <si>
    <t>RCP2008</t>
  </si>
  <si>
    <t>RCP2016</t>
  </si>
  <si>
    <t>Product (1 kg)</t>
  </si>
  <si>
    <t>Category</t>
  </si>
  <si>
    <t>Group</t>
  </si>
  <si>
    <t>Abbreviation</t>
  </si>
  <si>
    <t>#</t>
  </si>
  <si>
    <t>Scenario name</t>
  </si>
  <si>
    <t>Y</t>
  </si>
  <si>
    <t>M</t>
  </si>
  <si>
    <t>Energy</t>
  </si>
  <si>
    <t>Market prices</t>
  </si>
  <si>
    <t>True Costs</t>
  </si>
  <si>
    <t>Externalities</t>
  </si>
  <si>
    <t>Human health</t>
  </si>
  <si>
    <t>Ecosystem quality</t>
  </si>
  <si>
    <t>Resource availability</t>
  </si>
  <si>
    <t>Global warming</t>
  </si>
  <si>
    <t>Stratospheric ozone depletion</t>
  </si>
  <si>
    <t>Ionizing radiation</t>
  </si>
  <si>
    <t>Ozone formation, Human health</t>
  </si>
  <si>
    <t>Fine particulate matter formation</t>
  </si>
  <si>
    <t>Ozone formation, Terrestrial ecosystems</t>
  </si>
  <si>
    <t>Terrestrial acidification</t>
  </si>
  <si>
    <t>Freshwater eutrophication</t>
  </si>
  <si>
    <t>Marine eutrophication</t>
  </si>
  <si>
    <t>Terrestrial ecotoxicity</t>
  </si>
  <si>
    <t>Freshwater ecotoxicity</t>
  </si>
  <si>
    <t>Marine ecotoxicity</t>
  </si>
  <si>
    <t>Human carcinogenic toxicity</t>
  </si>
  <si>
    <t>Human non-carcinogenic toxicity</t>
  </si>
  <si>
    <t>Land use</t>
  </si>
  <si>
    <t>Mineral resource scarcity</t>
  </si>
  <si>
    <t>Fossil resource scarcity</t>
  </si>
  <si>
    <t>Water consumption</t>
  </si>
  <si>
    <t>Climate change</t>
  </si>
  <si>
    <t>Ozone depletion</t>
  </si>
  <si>
    <t>Ionising radiation</t>
  </si>
  <si>
    <t>Photochemical oxidant formation</t>
  </si>
  <si>
    <t>Particulate matter formation</t>
  </si>
  <si>
    <t>Human toxicity</t>
  </si>
  <si>
    <t>Agricultural land occupation</t>
  </si>
  <si>
    <t>Urban land occupation</t>
  </si>
  <si>
    <t>Natural land transformation</t>
  </si>
  <si>
    <t>Metal depletion</t>
  </si>
  <si>
    <t>Fossil depletion</t>
  </si>
  <si>
    <t>Water depletion</t>
  </si>
  <si>
    <t>Global warming, Human health</t>
  </si>
  <si>
    <t>Global warming, Terrestrial ecosystems</t>
  </si>
  <si>
    <t>Global warming, Freshwater ecosystems</t>
  </si>
  <si>
    <t>Water consumption, Human health</t>
  </si>
  <si>
    <t>Water consumption, Terrestrial ecosystem</t>
  </si>
  <si>
    <t>Water consumption, Aquatic ecosystems</t>
  </si>
  <si>
    <t>1 kg of:</t>
  </si>
  <si>
    <t>E1</t>
  </si>
  <si>
    <t>E2</t>
  </si>
  <si>
    <t>E3</t>
  </si>
  <si>
    <t>M15a</t>
  </si>
  <si>
    <t>M15b</t>
  </si>
  <si>
    <t>M15c</t>
  </si>
  <si>
    <t>IMPACTS</t>
  </si>
  <si>
    <t>1000 kcal</t>
  </si>
  <si>
    <t>[€]</t>
  </si>
  <si>
    <t>[DALY]</t>
  </si>
  <si>
    <t>[species.yr]</t>
  </si>
  <si>
    <t>[USD2013]</t>
  </si>
  <si>
    <t>Barley</t>
  </si>
  <si>
    <t>C</t>
  </si>
  <si>
    <t>O1</t>
  </si>
  <si>
    <t>O2</t>
  </si>
  <si>
    <t>O3</t>
  </si>
  <si>
    <t>O4</t>
  </si>
  <si>
    <t>Maize</t>
  </si>
  <si>
    <t>Oat</t>
  </si>
  <si>
    <t>Rye</t>
  </si>
  <si>
    <t>Triticale</t>
  </si>
  <si>
    <t>Wheat</t>
  </si>
  <si>
    <t>Broad beans</t>
  </si>
  <si>
    <t>Green beans</t>
  </si>
  <si>
    <t>Lupins</t>
  </si>
  <si>
    <t>Peas, green</t>
  </si>
  <si>
    <t>Soybeans</t>
  </si>
  <si>
    <t>Linseed</t>
  </si>
  <si>
    <t>Mustard seed</t>
  </si>
  <si>
    <t>Rapeseed</t>
  </si>
  <si>
    <t>Sunflower seed</t>
  </si>
  <si>
    <t>Potatoes</t>
  </si>
  <si>
    <t>Sugar beet</t>
  </si>
  <si>
    <t>Pigs</t>
  </si>
  <si>
    <t>Broilers</t>
  </si>
  <si>
    <t>Milk</t>
  </si>
  <si>
    <t>Eggs</t>
  </si>
  <si>
    <t>IMPACTS (%)</t>
  </si>
  <si>
    <t>% of product</t>
  </si>
  <si>
    <t>EXTERNALITIES</t>
  </si>
  <si>
    <t>[±%]</t>
  </si>
  <si>
    <t>Plants</t>
  </si>
  <si>
    <t>O</t>
  </si>
  <si>
    <t>Animals</t>
  </si>
  <si>
    <t>Animal-based</t>
  </si>
  <si>
    <t/>
  </si>
  <si>
    <t>Conv.</t>
  </si>
  <si>
    <t>def.</t>
  </si>
  <si>
    <t>av.</t>
  </si>
  <si>
    <t>adj.</t>
  </si>
  <si>
    <t>av.-</t>
  </si>
  <si>
    <t>av.+</t>
  </si>
  <si>
    <t>Poaceae</t>
  </si>
  <si>
    <t>Barl.</t>
  </si>
  <si>
    <t>Mai.</t>
  </si>
  <si>
    <t>Trit.</t>
  </si>
  <si>
    <t>Whe.</t>
  </si>
  <si>
    <t>Leguminosae</t>
  </si>
  <si>
    <t>Bbean</t>
  </si>
  <si>
    <t>Gbean</t>
  </si>
  <si>
    <t>Lup.</t>
  </si>
  <si>
    <t>PeaG.</t>
  </si>
  <si>
    <t>Soyb.</t>
  </si>
  <si>
    <t>Oilseeds</t>
  </si>
  <si>
    <t>Lins.</t>
  </si>
  <si>
    <t>Must.</t>
  </si>
  <si>
    <t>Raps.</t>
  </si>
  <si>
    <t>Sunf.</t>
  </si>
  <si>
    <t>Roots</t>
  </si>
  <si>
    <t>Pota.</t>
  </si>
  <si>
    <t>Sug.</t>
  </si>
  <si>
    <t>Porcine</t>
  </si>
  <si>
    <t>Poultry</t>
  </si>
  <si>
    <t>Broi.</t>
  </si>
  <si>
    <t>Bovine</t>
  </si>
  <si>
    <t>Cow</t>
  </si>
  <si>
    <t>Egg</t>
  </si>
  <si>
    <t>TPF</t>
  </si>
  <si>
    <t>EUR per ReCiPe unit:</t>
  </si>
  <si>
    <t>1 unit of:</t>
  </si>
  <si>
    <t>€ per Unit</t>
  </si>
  <si>
    <t>NAME</t>
  </si>
  <si>
    <t>in units of:</t>
  </si>
  <si>
    <t>kg CO2 eq</t>
  </si>
  <si>
    <t>kg CFC-11 eq</t>
  </si>
  <si>
    <t>kg CFC11 eq</t>
  </si>
  <si>
    <t>kBq U235 eq</t>
  </si>
  <si>
    <t>kBq Co-60 eq</t>
  </si>
  <si>
    <t>X</t>
  </si>
  <si>
    <t>kg NMVOC</t>
  </si>
  <si>
    <t>kg NOx eq</t>
  </si>
  <si>
    <t>kg PM10 eq</t>
  </si>
  <si>
    <t>kg PM2.5 eq</t>
  </si>
  <si>
    <t>kg NMVOC eq</t>
  </si>
  <si>
    <t>kg SO2 eq</t>
  </si>
  <si>
    <t>kg P eq</t>
  </si>
  <si>
    <t>kg N eq</t>
  </si>
  <si>
    <t>kg 1,4-DB eq</t>
  </si>
  <si>
    <t>kg 1,4-DCB</t>
  </si>
  <si>
    <t>DALY</t>
  </si>
  <si>
    <t>m2a crop eq</t>
  </si>
  <si>
    <t>m2a</t>
  </si>
  <si>
    <t>m2</t>
  </si>
  <si>
    <t>kg Fe eq</t>
  </si>
  <si>
    <t>kg Cu eq</t>
  </si>
  <si>
    <t>kg oil eq</t>
  </si>
  <si>
    <t>m3</t>
  </si>
  <si>
    <t>ha.yr</t>
  </si>
  <si>
    <t>ha</t>
  </si>
  <si>
    <t>Units</t>
  </si>
  <si>
    <t>EUR per 1kg unit:</t>
  </si>
  <si>
    <t>1kg ReCiPe unit in units of:</t>
  </si>
  <si>
    <t>[kg CO2 eq]</t>
  </si>
  <si>
    <t>[kg CFC11 eq]</t>
  </si>
  <si>
    <t>[kBq Co-60 eq]</t>
  </si>
  <si>
    <t>[kg NOx eq]</t>
  </si>
  <si>
    <t>[kg PM2.5 eq]</t>
  </si>
  <si>
    <t>[kg SO2 eq]</t>
  </si>
  <si>
    <t>[kg P eq]</t>
  </si>
  <si>
    <t>[kg N eq]</t>
  </si>
  <si>
    <t>[kg 1,4-DCB]</t>
  </si>
  <si>
    <t>[m2a crop eq]</t>
  </si>
  <si>
    <t>[kg Cu eq]</t>
  </si>
  <si>
    <t>[kg oil eq]</t>
  </si>
  <si>
    <t>[m3]</t>
  </si>
  <si>
    <t>[kg CFC-11 eq]</t>
  </si>
  <si>
    <t>[kBq U235 eq]</t>
  </si>
  <si>
    <t>[kg NMVOC]</t>
  </si>
  <si>
    <t>[kg PM10 eq]</t>
  </si>
  <si>
    <t>[kg 1,4-DB eq]</t>
  </si>
  <si>
    <t>[m2a]</t>
  </si>
  <si>
    <t>[m2]</t>
  </si>
  <si>
    <t>[kg Fe eq]</t>
  </si>
  <si>
    <t>Appendix A11</t>
  </si>
  <si>
    <t>Literature analysis</t>
  </si>
  <si>
    <t>Results</t>
  </si>
  <si>
    <t>Figure data</t>
  </si>
  <si>
    <t>Type</t>
  </si>
  <si>
    <t>Yield / Live weight</t>
  </si>
  <si>
    <t>Age at slaughtering</t>
  </si>
  <si>
    <t>Diesel use</t>
  </si>
  <si>
    <t>kg</t>
  </si>
  <si>
    <t>Primary energy use</t>
  </si>
  <si>
    <t>kWh</t>
  </si>
  <si>
    <t>Feed consumed</t>
  </si>
  <si>
    <t>Manure (total)</t>
  </si>
  <si>
    <t>undef.</t>
  </si>
  <si>
    <t>pig</t>
  </si>
  <si>
    <t>cattle</t>
  </si>
  <si>
    <t>sheep</t>
  </si>
  <si>
    <t>water use</t>
  </si>
  <si>
    <t>Author and year</t>
  </si>
  <si>
    <t>Title</t>
  </si>
  <si>
    <t>peer-reviewed journal paper (J), conference paper (C), master’s thesis (T), book chapter (B), or other type of report (R)</t>
  </si>
  <si>
    <t>DOI</t>
  </si>
  <si>
    <t>Country</t>
  </si>
  <si>
    <t>Allocation</t>
  </si>
  <si>
    <t>System boundary</t>
  </si>
  <si>
    <t>Foodgroup</t>
  </si>
  <si>
    <t>Name</t>
  </si>
  <si>
    <t>Specification</t>
  </si>
  <si>
    <t>UNIT</t>
  </si>
  <si>
    <t>Gap</t>
  </si>
  <si>
    <t>Org.</t>
  </si>
  <si>
    <t>Unit</t>
  </si>
  <si>
    <t>Alig et al. (2012)</t>
  </si>
  <si>
    <t>Ökobilanz von Rind-, Schweine- und Geﬂügelﬂeisch.</t>
  </si>
  <si>
    <t>R</t>
  </si>
  <si>
    <t>-</t>
  </si>
  <si>
    <t>Switzerland</t>
  </si>
  <si>
    <t>economic</t>
  </si>
  <si>
    <t>cradle-to-farmgate</t>
  </si>
  <si>
    <t>bovine</t>
  </si>
  <si>
    <t>beef</t>
  </si>
  <si>
    <t>kg/head</t>
  </si>
  <si>
    <t>months</t>
  </si>
  <si>
    <t>/</t>
  </si>
  <si>
    <t>head</t>
  </si>
  <si>
    <t>porcine</t>
  </si>
  <si>
    <t>pork</t>
  </si>
  <si>
    <t>days</t>
  </si>
  <si>
    <t>poultry</t>
  </si>
  <si>
    <t>Basset-Mens and van der Werf (2005)</t>
  </si>
  <si>
    <t>Scenario-based environmental assessment of farming systems: the case of pig production in France.</t>
  </si>
  <si>
    <t>J</t>
  </si>
  <si>
    <t>10.1016/j.agee.2004.05.007</t>
  </si>
  <si>
    <t>France</t>
  </si>
  <si>
    <t>weaning-to-slaughtering</t>
  </si>
  <si>
    <t xml:space="preserve"> </t>
  </si>
  <si>
    <t>Boggia et al. (2010)</t>
  </si>
  <si>
    <t>Environmental impact evaluation of conventional, organic and organic-plus poultry production systems using life cycle assessment.</t>
  </si>
  <si>
    <t>10.1017/S0043933910000103</t>
  </si>
  <si>
    <t>Italy</t>
  </si>
  <si>
    <t>none mentioned</t>
  </si>
  <si>
    <t xml:space="preserve">cradle-to-gate </t>
  </si>
  <si>
    <t>Buratti et al. (2016)</t>
  </si>
  <si>
    <t>Carbon footprint of conventional and organic beef production systems: An Italian case study</t>
  </si>
  <si>
    <t>10.1016/j.scitotenv.2016.10.075</t>
  </si>
  <si>
    <t xml:space="preserve">cradle-to-farmgate </t>
  </si>
  <si>
    <t>Casey and Holden (2006)</t>
  </si>
  <si>
    <t xml:space="preserve">Greenhouse gas emissions from conventional, agri- environmental scheme, and organic Irish suckler-beef units. </t>
  </si>
  <si>
    <t>10.2134/jeq2005.0121</t>
  </si>
  <si>
    <t>Ireland</t>
  </si>
  <si>
    <t>none necessary</t>
  </si>
  <si>
    <t xml:space="preserve">Dekker et al. (2011) </t>
  </si>
  <si>
    <t>Ecological and economic evaluation of Dutch egg production systems</t>
  </si>
  <si>
    <t>10.1016/j.livsci.2011.03.010</t>
  </si>
  <si>
    <t>Netherlands</t>
  </si>
  <si>
    <t>slaughter hen</t>
  </si>
  <si>
    <t>Kool et al. (2009)</t>
  </si>
  <si>
    <t>Assessment of typical production systems in the Netherlands, Denmark, England and Germany</t>
  </si>
  <si>
    <t>Denmark</t>
  </si>
  <si>
    <t>cradle-to-slaughter</t>
  </si>
  <si>
    <t>UK</t>
  </si>
  <si>
    <t>Germany</t>
  </si>
  <si>
    <t>Leinonen et al. (2012a)</t>
  </si>
  <si>
    <t>Predicting the environmental impacts of chicken systems in the United Kingdom through a life cycle assessment: broiler production systems.</t>
  </si>
  <si>
    <t>10.3382/ps.2011-01634</t>
  </si>
  <si>
    <t>GJ</t>
  </si>
  <si>
    <t>t</t>
  </si>
  <si>
    <t>l/t</t>
  </si>
  <si>
    <t>Williams et al. (2006)</t>
  </si>
  <si>
    <t>Determining the Environmental Burdens and Resource Use in the Production of Agricultural and Horticultural Commodities (Defra Project Report IS0205).</t>
  </si>
  <si>
    <t>not transferable to "per head"</t>
  </si>
  <si>
    <t>MJ</t>
  </si>
  <si>
    <t>Bos et al. (2007)</t>
  </si>
  <si>
    <t>Comparing energy use and greenhouse gas emissions in organic and conventional farming systems in the Netherlands</t>
  </si>
  <si>
    <t>milk</t>
  </si>
  <si>
    <t>no yield given</t>
  </si>
  <si>
    <t>Mg</t>
  </si>
  <si>
    <t>Bos et al. (2014)</t>
  </si>
  <si>
    <t>Energy use and greenhouse gas emissions in organic and conventional farming systems in the Netherlands</t>
  </si>
  <si>
    <t>10.1016/j.njas.2013.12.003</t>
  </si>
  <si>
    <t>Cederberg and Flysjö (2004)</t>
  </si>
  <si>
    <t>Life Cycle Inventory of 23 Dairy Farms in South-Western Sweden</t>
  </si>
  <si>
    <t>Sweden</t>
  </si>
  <si>
    <t>l diesel</t>
  </si>
  <si>
    <t>kg/ha</t>
  </si>
  <si>
    <t>Cederberg and Mattsson (2000)</t>
  </si>
  <si>
    <t>Life cycle assessment of milk production - a comparison of conventional and organic farming</t>
  </si>
  <si>
    <t>10.1016/j.agsy.2007.06.001</t>
  </si>
  <si>
    <t>feed ratio, economic, mass</t>
  </si>
  <si>
    <t xml:space="preserve">Cooper et al. (2011) </t>
  </si>
  <si>
    <t>Life cycle analysis of greenhouse gas emissions from organic and conventional food production systems, with and without bio-energy options</t>
  </si>
  <si>
    <t>10.1016/j.njas.2011.05.002</t>
  </si>
  <si>
    <t xml:space="preserve">none mentioned </t>
  </si>
  <si>
    <t>Dalgaard et al. (2006)</t>
  </si>
  <si>
    <t>Modelling representative and coherent Danish farm types based on farm accountancy data for use in environmental assessments</t>
  </si>
  <si>
    <t>10.1016/j.agee.2006.04.002</t>
  </si>
  <si>
    <t>kgN/ha</t>
  </si>
  <si>
    <t>10.1016/j.livsci.2011.03.011</t>
  </si>
  <si>
    <t>eggs</t>
  </si>
  <si>
    <t>p/head</t>
  </si>
  <si>
    <t>Einarsson et al. (2018)</t>
  </si>
  <si>
    <t>Nitrogen flows on organic and conventional dairy farms: a comparison of three indicators</t>
  </si>
  <si>
    <t>10.1007/s10705-017-9861-y</t>
  </si>
  <si>
    <t>economic, mass</t>
  </si>
  <si>
    <t>Flysjö et al. (2012)</t>
  </si>
  <si>
    <t>The interaction between milk and beef production and emissions from land use change – critical considerations in life cycle assessment and carbon footprint studies of milk</t>
  </si>
  <si>
    <t>10.1016/j.jclepro.2011.11.046</t>
  </si>
  <si>
    <t>Grönroos et al. (2006)</t>
  </si>
  <si>
    <t>Energy use in conventional and organic milk and rye bread production in Finland</t>
  </si>
  <si>
    <t>10.1016/j.agee.2006.03.022</t>
  </si>
  <si>
    <t>Finland</t>
  </si>
  <si>
    <t xml:space="preserve">area-based (energy), mass (rapeseed/oil), milk/meat ? </t>
  </si>
  <si>
    <t xml:space="preserve">cradle-to-gate (including dairy and milk package) </t>
  </si>
  <si>
    <t>1000 l milk</t>
  </si>
  <si>
    <t>Guerci et al. (2013)</t>
  </si>
  <si>
    <t>Parameters affecting the environmental impact of a range of dairy farming systems in Denmark, Germany and Italy</t>
  </si>
  <si>
    <t>10.1016/j.jclepro.2013.04.035</t>
  </si>
  <si>
    <t>biological (feed energy based)</t>
  </si>
  <si>
    <t>Haas et al. (2001)</t>
  </si>
  <si>
    <t>Comparing intensive, extensified and organic grassland farming in southern Germany by process life cycle assessment</t>
  </si>
  <si>
    <t>10.1016/S0167-8809(00)00160-2</t>
  </si>
  <si>
    <t>Hörtenhuber et al. (2010)</t>
  </si>
  <si>
    <t>Greenhouse gas emissions from selected Austrian dairy production systems - model calculations considering the effects of land use change</t>
  </si>
  <si>
    <t>10.1017/S1742170510000025</t>
  </si>
  <si>
    <t>Austria</t>
  </si>
  <si>
    <t>Knudsen et al. (2019)</t>
  </si>
  <si>
    <t>The importance of including soil carbon changes, ecotoxicity and biodiversity impacts in environmental life cycle assessments of organic and conventional milk in Western Europe</t>
  </si>
  <si>
    <t>10.1016/j.jclepro.2018.12.273</t>
  </si>
  <si>
    <t>Austria, Denmark, UK</t>
  </si>
  <si>
    <t>allocation factor is based on the ratio between fat and protein corrected milk (FPCM) and meat</t>
  </si>
  <si>
    <t>Kristensen et al. (2011)</t>
  </si>
  <si>
    <t>Effect of production system and farming strategy on greenhouse gas emissions from commercial dairy farms in a life cycle approach</t>
  </si>
  <si>
    <t>10.1016/j.livsci.2011.03.002</t>
  </si>
  <si>
    <t>mass</t>
  </si>
  <si>
    <t>Leinonen et al. (2012b)</t>
  </si>
  <si>
    <t>Predicting the environmental impacts of chicken systems in the United Kingdom through a life cycle assessment: Egg production systems</t>
  </si>
  <si>
    <t>10.3382/ps.2011-01635</t>
  </si>
  <si>
    <t>m3/t</t>
  </si>
  <si>
    <t>Refsgaard et al. (1998)</t>
  </si>
  <si>
    <t>Energy utilization in crop and dairy production in organic and conventional livestock production systems</t>
  </si>
  <si>
    <t>10.1016/S0308-521X(98)00004-3</t>
  </si>
  <si>
    <t>Thomassen et al. (2008b)</t>
  </si>
  <si>
    <t>Life cycle assessment of conventional and organic milk production in the Netherlands</t>
  </si>
  <si>
    <t>van der Werf et al. (2009)</t>
  </si>
  <si>
    <t>An operational method for the evaluation of resource use and environmental impacts of dairy farms by life cycle assessment</t>
  </si>
  <si>
    <t>10.1016/j.jenvman.2009.07.003</t>
  </si>
  <si>
    <t>economic (milk/meat)</t>
  </si>
  <si>
    <t>Abeliotis et al. (2013)</t>
  </si>
  <si>
    <t>Life cycle assessment of bean production in the Prespa National Park , Greece</t>
  </si>
  <si>
    <t>10.1016/j.jclepro.2012.09.031</t>
  </si>
  <si>
    <t>Greece</t>
  </si>
  <si>
    <t>legumes</t>
  </si>
  <si>
    <t>beans</t>
  </si>
  <si>
    <t>Average of type Plake and Gigantes (both small white beans)</t>
  </si>
  <si>
    <t>t/ha</t>
  </si>
  <si>
    <t>Aguilera et al. (2015a)</t>
  </si>
  <si>
    <t>Greenhouse gas emissions from conventional and organic cropping systems in Spain. I. Herbaceous crops</t>
  </si>
  <si>
    <t>10.1007/s13593-014-0267-9</t>
  </si>
  <si>
    <t>Spain</t>
  </si>
  <si>
    <t>cereals</t>
  </si>
  <si>
    <t>10.1007/s13593-014-0267-10</t>
  </si>
  <si>
    <t>Arncken et al. (2012)</t>
  </si>
  <si>
    <t>Sensory, yield and quality differences between organically and conventionally grown winter wheat</t>
  </si>
  <si>
    <t>10.1002/jsfa.5784</t>
  </si>
  <si>
    <t>wheat</t>
  </si>
  <si>
    <t>10.1016/j.agee.2004.05.008</t>
  </si>
  <si>
    <t>barley</t>
  </si>
  <si>
    <t xml:space="preserve">feed </t>
  </si>
  <si>
    <t>10.1016/j.agee.2004.05.010</t>
  </si>
  <si>
    <t>maize</t>
  </si>
  <si>
    <t>10.1016/j.agee.2004.05.014</t>
  </si>
  <si>
    <t>pea</t>
  </si>
  <si>
    <t>10.1016/j.agee.2004.05.012</t>
  </si>
  <si>
    <t>soybean</t>
  </si>
  <si>
    <t>Bengtsson et al. (2003)</t>
  </si>
  <si>
    <t>Field balances of some mineral nutrients and trace elements in organic and conventional dairy farming - a case study at Öjebyn, Sweden</t>
  </si>
  <si>
    <t>10.1016/s1161-0301(03)00079-0</t>
  </si>
  <si>
    <t>10.1016/s1161-0301(03)00079-2</t>
  </si>
  <si>
    <t>crop rotation</t>
  </si>
  <si>
    <t>10.1016/s1161-0301(03)00079-1</t>
  </si>
  <si>
    <t>roots</t>
  </si>
  <si>
    <t>potato</t>
  </si>
  <si>
    <t>Campanelli &amp; Canali (2011)</t>
  </si>
  <si>
    <t>Crop Production and Environmental Effects in Conventional and Organic Vegetable Farming Systems : The Case of a Long-Term Experiment in Mediterranean Conditions ( Central Italy )</t>
  </si>
  <si>
    <t>10.1080/10440046.2011.646351</t>
  </si>
  <si>
    <t>Phaseolus vulgaris L. = Green bean</t>
  </si>
  <si>
    <t>ISBN: 917290237X</t>
  </si>
  <si>
    <t>beets</t>
  </si>
  <si>
    <t>feed; sugar beet</t>
  </si>
  <si>
    <t>Organic yields based on estimation</t>
  </si>
  <si>
    <t>oilseeds</t>
  </si>
  <si>
    <t>rapeseed</t>
  </si>
  <si>
    <t>n.a</t>
  </si>
  <si>
    <t>10.1016/j.agee.2006.04.004</t>
  </si>
  <si>
    <t>10.1016/j.agee.2006.04.005</t>
  </si>
  <si>
    <t>10.1016/j.agee.2006.04.003</t>
  </si>
  <si>
    <t>Doltra et al. (2011)</t>
  </si>
  <si>
    <t>Cereal yield and quality as affected by nitrogen availability in organic and conventional arable crop rotations : A combined modeling and experimental approach</t>
  </si>
  <si>
    <t>10.1016/j.eja.2010.11.002</t>
  </si>
  <si>
    <t>Mg/ha</t>
  </si>
  <si>
    <t>Gerdgikova et al. (2012)</t>
  </si>
  <si>
    <t>Content and yield of crude protein from winter pea grain, cultivated after different predecessors in conditions of organic and conventional production</t>
  </si>
  <si>
    <t>ISSN: 1313-8820</t>
  </si>
  <si>
    <t>Bulgaria</t>
  </si>
  <si>
    <t>rye</t>
  </si>
  <si>
    <t>Ingver et al. (2007)</t>
  </si>
  <si>
    <t>EFFECT OF ORGANIC AND CONVENTIONAL PRODUCTION ON YIELD AND THE QUALITY OF SPRING CEREALS</t>
  </si>
  <si>
    <t>Estonia</t>
  </si>
  <si>
    <t>oat</t>
  </si>
  <si>
    <t>Järvan &amp; Edesi (2009)</t>
  </si>
  <si>
    <t>The effect of cultivation methods on the yield and biological quality of potato</t>
  </si>
  <si>
    <t>ISSN: 1406-894X</t>
  </si>
  <si>
    <t>Kirchmann et al. (2007)</t>
  </si>
  <si>
    <t>Comparison of Long-Term Organic and Conventional Crop–Livestock Systems on a Previously Nutrient-Depleted Soil in Sweden</t>
  </si>
  <si>
    <t>10.2134/agronj2006.0061</t>
  </si>
  <si>
    <t>10.2134/agronj2006.0062</t>
  </si>
  <si>
    <t>10.1016/j.jclepro.2018.12.274</t>
  </si>
  <si>
    <t>Korsaeth (2014)</t>
  </si>
  <si>
    <t>N , P , and K Budgets and Changes in Selected Topsoil Nutrients over 10 Years in a Long-Term Experiment with Conventional and Organic Crop Rotations N , P , and K Budgets and Changes in Selected Topsoil Nutrients over 10 Years in a Long-Term Experiment with Conventional and</t>
  </si>
  <si>
    <t>10.1155/2012/539582</t>
  </si>
  <si>
    <t>Norway</t>
  </si>
  <si>
    <t>10.1155/2012/539584</t>
  </si>
  <si>
    <t>Yields are not comparable since in the organic system, oat was grown in a mixture with peas and yields are given as the sum of the two crops.</t>
  </si>
  <si>
    <t>10.1155/2012/539583</t>
  </si>
  <si>
    <t>Mäder et al. (2002)</t>
  </si>
  <si>
    <t>Soil Fertility and Biodiversity in Organic Farming</t>
  </si>
  <si>
    <t>10.1126/science.1071148</t>
  </si>
  <si>
    <t>10.1126/science.1071149</t>
  </si>
  <si>
    <t>Maggio et al. (2008)</t>
  </si>
  <si>
    <t>Potato yield and metabolic profiling under conventional and organic farming</t>
  </si>
  <si>
    <t>10.1016/j.eja.2007.10.003</t>
  </si>
  <si>
    <t>Mazzoncini et al. (2006)</t>
  </si>
  <si>
    <t>Sunflower under conventional and organic farming systems : results from a long term experiment in Central Italy</t>
  </si>
  <si>
    <t>sunflower seed</t>
  </si>
  <si>
    <t>Mazzoncini et al. (2007)</t>
  </si>
  <si>
    <t>Organic Vs Conventional Winter Wheat Quality and Organoleptic Bread Test</t>
  </si>
  <si>
    <t>Pezzarossa et al. (1995)</t>
  </si>
  <si>
    <t>Effects of conventional and alternative management systems on soil phosphorus content , soil structure , and corn yield</t>
  </si>
  <si>
    <t>Energy Utilization in Crop and Dairy Production in Organic and Conventional Livestock Production Systems</t>
  </si>
  <si>
    <t>SFU/ha</t>
  </si>
  <si>
    <t>Skrabule (2007)</t>
  </si>
  <si>
    <t>Comparison of potato clones developed and tested in organic and conventional growing condictions</t>
  </si>
  <si>
    <t>Latvia</t>
  </si>
  <si>
    <t>Yields are not comparable since the growing period under conventional conditions was longer and the nutrition supply was better than under organic growing conditions.</t>
  </si>
  <si>
    <t>Tamm et al. (2009)</t>
  </si>
  <si>
    <t>Spring cereals performance in organic and conventional cultivation</t>
  </si>
  <si>
    <t>Thorup-Kristensen et al. (2012)</t>
  </si>
  <si>
    <t>Crop yield , root growth , and nutrient dynamics in a conventional and three organic cropping systems with different levels of external inputs and N re-cycling through fertility building crops</t>
  </si>
  <si>
    <t>10.1016/j.eja.2011.11.004</t>
  </si>
  <si>
    <t>10.1016/j.eja.2011.11.005</t>
  </si>
  <si>
    <t>Torstensson et al. 2006</t>
  </si>
  <si>
    <t>Nutrient use efficiencies and leaching of organic and conventional cropping systems in Sweden</t>
  </si>
  <si>
    <t>10.2134/agronj2005.0224</t>
  </si>
  <si>
    <t>The authors state that "a comparison of crop yields in the organic systems was not attempted due to the fact that the crop rotations were so different"</t>
  </si>
  <si>
    <t>10.2134/agronj2005.0225</t>
  </si>
  <si>
    <t>10.2134/agronj2005.0226</t>
  </si>
  <si>
    <t>feed (winter beans)</t>
  </si>
  <si>
    <t>The yield is estimated from the relative yields of organic and non-organic wheat as too little rapeseed is grown organically to give valid data</t>
  </si>
  <si>
    <t>Williams et al. (2010)</t>
  </si>
  <si>
    <t>Environmental burdens of producing bread wheat, oilseed rape and potatoes in England and Wales using simulation and system modelling</t>
  </si>
  <si>
    <t>10.1007/s11367-010-0212-4</t>
  </si>
  <si>
    <t>10.1007/s11367-010-0212-3</t>
  </si>
  <si>
    <t>Food group</t>
  </si>
  <si>
    <t>Age</t>
  </si>
  <si>
    <t>Diesel</t>
  </si>
  <si>
    <t>Feed</t>
  </si>
  <si>
    <t>Manure</t>
  </si>
  <si>
    <t>%</t>
  </si>
  <si>
    <t>plant-based</t>
  </si>
  <si>
    <t>Soybean</t>
  </si>
  <si>
    <t>Lupine</t>
  </si>
  <si>
    <t>Potato</t>
  </si>
  <si>
    <t>animal</t>
  </si>
  <si>
    <t>Pork</t>
  </si>
  <si>
    <t>Beef</t>
  </si>
  <si>
    <t>animal-based</t>
  </si>
  <si>
    <t>all</t>
  </si>
  <si>
    <t>animal*</t>
  </si>
  <si>
    <t xml:space="preserve">min. number of studies: </t>
  </si>
  <si>
    <t>Yield</t>
  </si>
  <si>
    <t xml:space="preserve">Field data (F)/ experimental (E)/ data basis (D)/ Literature (L) / expert interviews (I) </t>
  </si>
  <si>
    <t>Crop rotation (same, different, comparable, not specified (-))</t>
  </si>
  <si>
    <t>area organic [ha]</t>
  </si>
  <si>
    <t>area conv. [ha]</t>
  </si>
  <si>
    <t>time period [years]</t>
  </si>
  <si>
    <t>year</t>
  </si>
  <si>
    <t>Study</t>
  </si>
  <si>
    <t>Foodstuff</t>
  </si>
  <si>
    <t>organic</t>
  </si>
  <si>
    <t>conventional</t>
  </si>
  <si>
    <t>unit</t>
  </si>
  <si>
    <t>Relative yield [%]</t>
  </si>
  <si>
    <t>included</t>
  </si>
  <si>
    <t>excluded</t>
  </si>
  <si>
    <t>comment</t>
  </si>
  <si>
    <t>beans (gigantes)</t>
  </si>
  <si>
    <t xml:space="preserve">F </t>
  </si>
  <si>
    <t>x</t>
  </si>
  <si>
    <t>In the present studyweseek to test the followingassumptions: a)types of agricultural production developed as alternatives to the conventional one exhibit an improved environmental performance and b) cultivation of varieties requiring more intensive practices exhibit a decreased environmental performance. Keine reflexion der angegeben Yields oder erklärung zu höherem yield des organic farmings: "The product yield per ha of each bean variety and cultivation method is presented in Table 4."</t>
  </si>
  <si>
    <t>beans (plake)</t>
  </si>
  <si>
    <t>F</t>
  </si>
  <si>
    <t>comparable</t>
  </si>
  <si>
    <t>Information on management and production features was obtained from personal interviews to a representative sample composed of 38 pairs of organic and conventional farmers in Spain; The studied categories are composed by heterogeneous cases, including different crop types, study sites, and management characteristics. This is reflected in the high variability ofyields and carbon footprints that can be observed in Tables 1 and 2. Therefore, the results presented herein must be taken with care. Nonetheless, certain clear trends can be identified be- tween categories, and the pairwise selection of organic and conventional study cases reduces the influence of external factors on the estimated carbon footprints</t>
  </si>
  <si>
    <t>E</t>
  </si>
  <si>
    <t>same</t>
  </si>
  <si>
    <t>2006, 2007, 2009</t>
  </si>
  <si>
    <t>The farming systems differed mainly with respect to fertilisation and plant protection regimes, whereas the 7-year crop rotation, tillage and the cultivated varieties were identical in all systems.</t>
  </si>
  <si>
    <t>L, D, I</t>
  </si>
  <si>
    <t>For RL and GAP, yield levels were averages for 1996–2000 (AGRESTE, 2001; FAO, 2002a). The yield levels of OA crops were according to experts from the region of production.</t>
  </si>
  <si>
    <t>same/comparable</t>
  </si>
  <si>
    <t>1997, 1998</t>
  </si>
  <si>
    <t>The pattern of crop rotation and the manure, urine and lime applica- tion strategies are similar (Table 1). The main differences between the two systems are (1) no mineral fertilisers and pesticides are used in the organic system and (2) the organic leys are sown with a seed mixture having a higher percentage of clover (Table 1).</t>
  </si>
  <si>
    <t>bean</t>
  </si>
  <si>
    <t>This remarkable difference was attributable to the number of pods per plant, with all the other yield component parame- ters of the two systems not being statistically different from each other. The obtained results could be explained taking into account the fact that weed control in organic bean was not completely efficacious (data not reported) and the crop probably suffered competition for light, water, and nutritive elements against wild grasses and broadleaves, which grow abundantly at the end of summer. Besides, the difference observed in marketable yield between organic and conventional bean could be due to P suboptimal nutri- tion (Subbaiah et al. 2009). In fact, the P available value in the soil of the MOVE long-term experiment was low (Table 1) and the P fertilization for the organic bean crop was 80% lower than the conventional one (Table 2). However, further studies are needed to better understand this findings</t>
  </si>
  <si>
    <t>D</t>
  </si>
  <si>
    <t>conventional: The feed industry in Lidköping buys grain in the region of Västra Götaland, and data for cultivation in this area was according to regional economic calculations (SLU 2004). Organic: Data for cultivation of organic wheat, oats and horse beans were collected from regional economic calculations for organic farming (SLU 2004). The three crops are assumed to be cultivated in a crop rotation. The yields are estimated to be 60 % of conventional yields for grain.</t>
  </si>
  <si>
    <t>The dominant part of the rapeseed cultivation for this feed ingredient is in the region of Västra Götalands. The yield of conventional winter rapeseed is 3 200 kg/ha in this region and the yield level for organic rapeseed was calculated as 2 000 kg/ha (60 % of conventional).</t>
  </si>
  <si>
    <t>The yield was estimated at 37 tonne sugar beets/ha (80 % of conventional)</t>
  </si>
  <si>
    <t>In the organic feed some organic soybean from South America (not extracted) was included. No data were available for this crop. The following assumptions were made for the input data: The yield level was 1 800 kg/ha (70 % of conventional)</t>
  </si>
  <si>
    <t>The major drawback of the method from our point of view is that the large variation that may exist between farms within one farm type in e.g. feed or fertilizer use efﬁciency due to differences in farm management skills and strategic choices of crop rotation and feed planning is not reﬂected in differences between the farm types. This was, however, a necessary choice based on the primary purpose of establish- ing representative and coherent farm types that could be used for environmental assessment of farm types and agricultural products.</t>
  </si>
  <si>
    <t xml:space="preserve">Five treatments were considered in this paper (Table 1) and all were variations on a rotation of spring barley–grass clover or faba bean (Vicia faba L.)–potato (Solanum tuberosum L.)–winter wheat. </t>
  </si>
  <si>
    <t>Two field experiments are set out using a block method in 4 replicates with test plot size of 25 m² and reporter plot of size 12 m 2. In the first trial crops are grown using conventional agricultural methods adopted in the country and the region. In the second trial crops are grown according to the requirements of organic farming without the use of mineral fertilizers and chemicals against weeds,diseases and pests.</t>
  </si>
  <si>
    <t>ha/kg</t>
  </si>
  <si>
    <t>The farm models – two cereal farm models for rye production and two dairy farm models for milk production – represent average conventional and organic dairy and cereal farms in Finland in 2002. The models were constructed using statistics and expert opinions. Descriptions of the crop rotations in each of the four farm models are presented in Table 2. Zusätzlich grass vor rye in organic, sonst gleiche rotation.</t>
  </si>
  <si>
    <t>The most of the varieties ranked similarly by grain yield in both growing conditions. The correlations between the grain yields of oat, barley and wheat varieties in organic and conventional trials were significant</t>
  </si>
  <si>
    <t>The most of the varieties ranked similarly by grain yield in both growing conditions. The correlations between the grain yields of oat, barley and wheat varieties in organic and conventional trials were significant. Oats were less influenced by the two management systems and there was no significant difference in the average yield of the organic and conventional trials. It has also been a common experience in Norway that oats generally perform better than wheat with lower nutrient availability (Loes et al., 2007).</t>
  </si>
  <si>
    <t>2007-2008</t>
  </si>
  <si>
    <t>organic: problem of late blight; When the effect of cultivation methods on potato was compared on the background of equivalent NPK-fertilization, the differences in results were much more moderate. In a long-term trial that was conducted in similar conditions, the potato yield was on average 32.1% lower than with mineral fertilizers</t>
  </si>
  <si>
    <t>When the effect of cultivation methods on potato was compared on the background of equivalent NPK-fertilization, the differences in results were much more moderate. In a long-term trial that was conducted in similar conditions, the potato yield was on average 32.1% lower than with mineral fertilizers</t>
  </si>
  <si>
    <t>different</t>
  </si>
  <si>
    <t>One organic plot and one conventional plot, both aimed at supporting dairy production but with different crop rotations, were established (Fig. 1). [...] There were differences between the organic and conventional systems in the crops grown and how the crop residues were managed. The crops grown over a 6-yr rotation cycle are shown in Fig. 1. All crop residues produced in the organic system were incorporated into the soil so the dairy operation had to import straw for animal bedding. In the conventional system, barley and oat (Avena sativa L.) straw were removed for animalbeddingandsugarbeettopswereusedasfodderforthe dairy operation. [...] Note that the organic system included 3cover crops and an in-sown forage crop acting as a cover crop,but the conventional included only one in-sown forage crop.</t>
  </si>
  <si>
    <t>CM: Conventional mixed dairy farming, optimised similarly to CA2, but with spring ploughing, 50% of the area as grass clover ley and the use of slurry (amounts calculated from the theoretical number of cows sustained, see Section 2.3 for details); OM1. Organic mixed dairy farming with 50% of the area as grass clover ley and slurry use (amounts calculated as in CM). Same crop rotation</t>
  </si>
  <si>
    <t>In the organic system OA, oat was grown in a mixture with peas. Yields are given as the sum of the two crops, whereas nutrient concentrations are given as a weighted average (based on the DM weights of the two crops)</t>
  </si>
  <si>
    <t>Two organic farming systems (biodynamic, BIODYN; bioorganic, BIOORG) and two conventional systems (us- ing mineral fertilizer plus farmyard manure: CONFYM; using mineral fertilizer exclusive- ly: CONMIN) are emulated in a replicated field plot experiment (table S1 and fig. S1). Both conventional systems were modified to integrated farming in 1985. Crop rotation, varieties, and tillage were identical in all systems (table S2). In the third crop rotation, barley wasreplaced by a third year of grass-clover. Crop rotation was a compromise between organic and conventional rotations in practice.</t>
  </si>
  <si>
    <t>Two potato (Solanum tuberosum L.) cultivars (Agria and Merit) were compared under two farming systems: (1) conventional (CONV) and (2) organic (ORG). The two farming systems were factorially combined with four nitrogen fertilization rates: 0 (0N), 50 (50N), 150 (150N) and 200 (200N) kgNha−1 and with three irrigation lev- els: non-irrigated control (0E), irrigation with 50% (50E) and 100% (100E) of evaporation determined using a Class A pan between two irrigations. The</t>
  </si>
  <si>
    <t>sunflower</t>
  </si>
  <si>
    <t xml:space="preserve">Within MASCOT, sunﬂ ower was cultivated as a part of a ﬁ ve-year stockless arable crop rotation (sugar beet-common wheat-sunﬂ ower-pigeon bean-durum wheat) comparing a conventional and an organic management system. Systems are replicated three times according to a Randomized Complete Block design, each experimental plot having a ﬁ eld size of 0.35 to 1 ha. In the organic system, red clover (Trifolium pratense) was interseeded in common and durum wheat and used as a green manure for sunﬂ ower or sugar beet. </t>
  </si>
  <si>
    <t xml:space="preserve">comparable </t>
  </si>
  <si>
    <t>2004-2005</t>
  </si>
  <si>
    <t>the organic receives an organic fertilizer at the rate of 30 N units per ha, while the conventional is fertilized at a rate of 160 N units per ha using chemical fertilizers</t>
  </si>
  <si>
    <t>?</t>
  </si>
  <si>
    <t>Total yield was determined and expressed as tons per hectare of dry matter. All data were analysed according to Duncan's Multiple Range Test. [...] Grain yield did not differ among the cultivation systems in 1991 (Table 8), suggesting that the addition of high amounts of fertilizers and pesticides together with deep soil tillage were not economically advantageous. In 1992, however, the highest yield was obtained in the conventional system trials, a consequence of the severe delay in topdress fertilization and herbicide treatments due to the heavy rainfall that occurred at the end of the spring season.</t>
  </si>
  <si>
    <t>Raupp (1996)</t>
  </si>
  <si>
    <t>No comparison between conventional and organic: rotation 2 represented a system with animaly related to an organic system</t>
  </si>
  <si>
    <t>grain</t>
  </si>
  <si>
    <t xml:space="preserve">There are some differences between organic and conventional farms regarding soil type and partition of crops and livestock units per hectare, (Table 1). The number of livestock units per hectare is 40% greater on con- ventional farms due to difference in breeds and fattening of bull calves. The area with fodder beets and whole crop silage from small grains is higher on conventional farms, whereas the organic farms have more grass-clover in rotation, including 9% lucerne. The crops on the remaining area are different types of cereals (including about 10% winter cereals) and other cash crops such as potatoes and rape seed. The proportion of grass-clover harvested for silage is on average greater on the organic farms; but the area of permanent pasture is nearly identical for the two farming systems (1 l-12%). </t>
  </si>
  <si>
    <t>Focus: selection of genotypes suitable for organic production. The growing period in conventional growing conditions was longer and nutrition supply was better than in the organic growing conditions. This was the reason for a larger yield in the conventional field.</t>
  </si>
  <si>
    <t>Spiess et al. (1993)</t>
  </si>
  <si>
    <t>2005-2008</t>
  </si>
  <si>
    <t>The results of the trials indicated that on fertile soil and after a suitable precrop (red clover) all the spring cereals produced comparatively high yields with good quality in organic conditions. A yield gap between organic and conventional production depended on crop, precrop and growing conditions. Combining information from both organic and conventional cultivation is beneficial for low-input farmers</t>
  </si>
  <si>
    <t>2005-2009</t>
  </si>
  <si>
    <t>2005-2010</t>
  </si>
  <si>
    <t xml:space="preserve">The rotations in the four cropping systems were identical in terms of rotation of main crops of cereals and vegetables, but varied in the growing of green manure and catch crops in the autumn after main crop harvest, in management, and in the import and use of fertilizers and pest management. </t>
  </si>
  <si>
    <t xml:space="preserve">The rotations in the four cropping systems were identical in terms of rotation of main crops of cereals and vegetables, but varied in the growing of green manure and catch crops in the autumn after main crop harvest, in management, and in the import and use of fertilizers and pest management. [...] yield of winter rye was substantially higher in C than in O1, O2, and O3, and the yield reduction in the organic systems was stronger when winter rye followed carrot than when it followed onion.  </t>
  </si>
  <si>
    <t>Torstensson et al. (2006)</t>
  </si>
  <si>
    <t>1997-2002</t>
  </si>
  <si>
    <t>A comparison of crop yields in the organic systems was not attempted due to the fact that the crop rotations were so different.</t>
  </si>
  <si>
    <t>1997-2003</t>
  </si>
  <si>
    <t>1997-2004</t>
  </si>
  <si>
    <t>L, D</t>
  </si>
  <si>
    <t>In both organic and non-organic crop production, rotations, tillage and spray use were defined that would achieve technically sustainable yields. The arbitrary removal of, for example, a spray application or weed control cultivation step might incur no yield loss in one year, but would progressively lead to long-term yield loss. Model was used to calculate national wheat yields in response to changes in major factors like soil type, wheat type and N application rate.</t>
  </si>
  <si>
    <t>In both organic and non-organic crop production, rotations, tillage and spray use were defined that would achieve technically sustainable yields. The arbitrary removal of, for example, a spray application or weed control cultivation step might incur no yield loss in one year, but would progressively lead to long-term yield loss. Model was used to calculate national wheat yields in response to changes in major factors like soil type, wheat type and N application rate. [...] Crop production and yield data were obtained from the same sources as for soya.</t>
  </si>
  <si>
    <t>In both organic and non-organic crop production, rotations, tillage and spray use were defined that would achieve technically sustainable yields. The arbitrary removal of, for example, a spray application or weed control cultivation step might incur no yield loss in one year, but would progressively lead to long-term yield loss. Model was used to calculate national wheat yields in response to changes in major factors like soil type, wheat type and N application rate. [...] An error of 0.5 t/ha in yield corresponds to 161 MJ / [t bread wheat] or 6%.</t>
  </si>
  <si>
    <t>In both organic and non-organic crop production, rotations, tillage and spray use were defined that would achieve technically sustainable yields. The arbitrary removal of, for example, a spray application or weed control cultivation step might incur no yield loss in one year, but would progressively lead to long-term yield loss. Model was used to calculate national wheat yields in response to changes in major factors like soil type, wheat type and N application rate. [...]  No N fertiliser is used, beans being leguminous. The only real difference between organic and non-organic is that pesticides are not used in organic production. The yields of organic beans are normally similar to non-organic ones, but the decision was taken to increase land requirements in the same way as wheat or potatoes for the grass-clover ley.  While beans do not need the ley, they are grown with it as part of a whole system.  Land requirements of the other arable crops would have had to have been increased yet more.</t>
  </si>
  <si>
    <t xml:space="preserve">In both organic and non-organic crop production, rotations, tillage and spray use were defined that would achieve technically sustainable yields. The arbitrary removal of, for example, a spray application or weed control cultivation step might incur no yield loss in one year, but would progressively lead to long-term yield loss. Model was used to calculate national wheat yields in response to changes in major factors like soil type, wheat type and N application rate. [...] Yields and fertiliser requirements were obtained from USDA, Benton Jones (2003) and Michigan State University (Robertson et al. 2000, plus supplementary data from the university web site). </t>
  </si>
  <si>
    <t>L</t>
  </si>
  <si>
    <t>The growth of the crops was analysed in the context of representative rotations, implying that the crop receives some benefits such as reduced disease incidence and rotational plant nutrient transfers. yields change mechanistically in response to changes in N. Yields, which are an input to SUNDIAL, were taken from national averages or standard texts, scaled according soil type using relationships previ- ously developed by (Audsley 1981). Organic crop yields for these simulations were taken from (Lampkin et al. 2002) and varied according to soil typ.</t>
  </si>
  <si>
    <t>Estimated from the relative yields of organic and non-organic wheat as too little is grown organically to give valid data</t>
  </si>
  <si>
    <t>META-STUDIES</t>
  </si>
  <si>
    <t>De Ponti et al. 2012</t>
  </si>
  <si>
    <t>corn</t>
  </si>
  <si>
    <t>Seufert et al. 2012</t>
  </si>
  <si>
    <t>Ponisio et al. 2015</t>
  </si>
  <si>
    <t>other roots</t>
  </si>
  <si>
    <t>Parameters from literature analysis</t>
  </si>
  <si>
    <t>Literature analysis for yield</t>
  </si>
  <si>
    <t>Overview of analyzed studies and parameters in general literature review</t>
  </si>
  <si>
    <t>n yield</t>
  </si>
  <si>
    <t>For foodstuff with fewer than three entries, values from the superordinate food groups are used for further calculations.</t>
  </si>
  <si>
    <t>SD</t>
  </si>
  <si>
    <t>Results of midpoint and endpoint analysis as well as externalities and true costs for all foodstuff in the base case and sensitivity scenarios</t>
  </si>
  <si>
    <t>This table comprises all studies, that are subject to the following selection criteria:</t>
  </si>
  <si>
    <t>default</t>
  </si>
  <si>
    <t>average-</t>
  </si>
  <si>
    <t>average+</t>
  </si>
  <si>
    <t>average</t>
  </si>
  <si>
    <t>adjusted</t>
  </si>
  <si>
    <t>literature</t>
  </si>
  <si>
    <t>Cd</t>
  </si>
  <si>
    <t>Cr</t>
  </si>
  <si>
    <t>Cu</t>
  </si>
  <si>
    <t>Hg</t>
  </si>
  <si>
    <t>Ni</t>
  </si>
  <si>
    <t>Pb</t>
  </si>
  <si>
    <t>Zn</t>
  </si>
  <si>
    <t>Maize silage</t>
  </si>
  <si>
    <t>Peas, dry</t>
  </si>
  <si>
    <t>Grass_dairy_NL</t>
  </si>
  <si>
    <t>Grass_beef_IE</t>
  </si>
  <si>
    <t>LEACH TO SOIL</t>
  </si>
  <si>
    <t>LEACH TO WATER</t>
  </si>
  <si>
    <t>Allocation factor</t>
  </si>
  <si>
    <t>Our calculation</t>
  </si>
  <si>
    <t>LCI</t>
  </si>
  <si>
    <t>HM in biomass</t>
  </si>
  <si>
    <t>based on Delahaye et al. (2003)</t>
  </si>
  <si>
    <t>mg/kgDM</t>
  </si>
  <si>
    <t>mg/kg Fertilizer, mg/kg DM manure</t>
  </si>
  <si>
    <t>kg of fertilizer (AFP5.0 LCI in SimaPro)</t>
  </si>
  <si>
    <t>Allowed in:</t>
  </si>
  <si>
    <t>Fertilizer</t>
  </si>
  <si>
    <t>Share N</t>
  </si>
  <si>
    <t>Share P2O5</t>
  </si>
  <si>
    <t>Share K2O</t>
  </si>
  <si>
    <t>Share CaCO3</t>
  </si>
  <si>
    <t>Urea, as 100% CO(NH2)2 (NPK 46.6-0-0), at plant/RER Economic</t>
  </si>
  <si>
    <t>Liquid urea-ammonium nitrate solution (NPK 30-0-0), at plant/RER Economic</t>
  </si>
  <si>
    <t>NPK compound (NPK 15-15-15), at plant/RER Economic</t>
  </si>
  <si>
    <t>Ammonium nitrate, as 100% (NH4)(NO3) (NPK 35-0-0), at plant/RER Economic</t>
  </si>
  <si>
    <t>Calcium ammonium nitrate (CAN), (NPK 26.5-0-0), at plant/RER Economic</t>
  </si>
  <si>
    <t>Di ammonium phosphate, as 100% (NH3)2HPO4 (NPK 22-57-0), at plant/RER Economic</t>
  </si>
  <si>
    <t>Ammonium sulfate, as 100% (NH4)2SO4 (NPK 21-0-0), at plant/RER Economic</t>
  </si>
  <si>
    <t>Triple superphosphate, as 80% Ca(H2PO4)2 (NPK 0-48-0), at plant/RER Economic</t>
  </si>
  <si>
    <t>Single superphosphate, as 35% Ca(H2PO4)2 (NPK 0-21-0), at plant/RER Economic</t>
  </si>
  <si>
    <t>PK compound (NPK 0-22-22), at plant/RER Economic</t>
  </si>
  <si>
    <t>Potassium chloride (NPK 0-0-60), at plant/RER Economic</t>
  </si>
  <si>
    <t>Potassium sulfate (NPK 0-0-50) (Mannheim), at plant/RER Economic</t>
  </si>
  <si>
    <t>Animals (DE)</t>
  </si>
  <si>
    <t>Sources Eurostat:</t>
  </si>
  <si>
    <t>Lime fertilizer, at plant/RER Economic</t>
  </si>
  <si>
    <t>Total</t>
  </si>
  <si>
    <t>Organic</t>
  </si>
  <si>
    <t>Manure (pig), at farm/RER Economic</t>
  </si>
  <si>
    <t>Live swine (2019)</t>
  </si>
  <si>
    <t>Main livestock indicators by NUTS 2 regions [ef_lsk_main]</t>
  </si>
  <si>
    <t>Organic livestock (from 2012 onwards) [org_lstspec]</t>
  </si>
  <si>
    <t>avg. Between May-Jun &amp; Dec</t>
  </si>
  <si>
    <t>Manure (cow), at farm/RER Economic</t>
  </si>
  <si>
    <t>Live bovine (2019)</t>
  </si>
  <si>
    <t>Bovine population - annual data [apro_mt_lscatl]</t>
  </si>
  <si>
    <t>Manure (poultry), at farm/RER Economic</t>
  </si>
  <si>
    <t>Live poultry (2016)</t>
  </si>
  <si>
    <t>Insecticide, at plant/RER Economic</t>
  </si>
  <si>
    <t>Fungicide, at plant/RER Economic</t>
  </si>
  <si>
    <t>Organic area (DE)</t>
  </si>
  <si>
    <t>Herbicide, at plant/RER Economic</t>
  </si>
  <si>
    <t>(Seeds)</t>
  </si>
  <si>
    <t>Organic crop area by agricultural production methods and crops (from 2012 onwards) [org_cropar]</t>
  </si>
  <si>
    <t>Leach</t>
  </si>
  <si>
    <t>Deposition</t>
  </si>
  <si>
    <t>N_man</t>
  </si>
  <si>
    <t>P_man</t>
  </si>
  <si>
    <t>N_man_grass</t>
  </si>
  <si>
    <t>P_man_grass</t>
  </si>
  <si>
    <t>CO2_fert</t>
  </si>
  <si>
    <t>CO2_lime</t>
  </si>
  <si>
    <t>N2O_fert_direct</t>
  </si>
  <si>
    <t>N2O_fert_indirect</t>
  </si>
  <si>
    <t>NH3_fert</t>
  </si>
  <si>
    <t>NO_fert</t>
  </si>
  <si>
    <t>NO3-_fert</t>
  </si>
  <si>
    <t>P_fert</t>
  </si>
  <si>
    <t>ratio: CO2 emissions from lime</t>
  </si>
  <si>
    <t>ratio O/C: phosphorous emissions from fertilizer</t>
  </si>
  <si>
    <t>Manure_swine</t>
  </si>
  <si>
    <t>Manure_bovine</t>
  </si>
  <si>
    <t>Manure_poultry</t>
  </si>
  <si>
    <t>N2O_man_direct</t>
  </si>
  <si>
    <t>none</t>
  </si>
  <si>
    <t>N2O_man_indirect</t>
  </si>
  <si>
    <t>NH3_man</t>
  </si>
  <si>
    <t>NO3-_man</t>
  </si>
  <si>
    <t>ratio: CO2 emissions from fertilizer</t>
  </si>
  <si>
    <t>Heavy metal emissions</t>
  </si>
  <si>
    <t>see below</t>
  </si>
  <si>
    <t>Yields</t>
  </si>
  <si>
    <t>LCI information</t>
  </si>
  <si>
    <t>Product</t>
  </si>
  <si>
    <t>sd</t>
  </si>
  <si>
    <t>Grain / Main</t>
  </si>
  <si>
    <t>Straw / Co</t>
  </si>
  <si>
    <t>Seeds</t>
  </si>
  <si>
    <t>%DM Grain</t>
  </si>
  <si>
    <t>%DM Straw</t>
  </si>
  <si>
    <t>%DM Seeds</t>
  </si>
  <si>
    <t>d_plantbased</t>
  </si>
  <si>
    <t>d_animalbased</t>
  </si>
  <si>
    <t>e_plantbased</t>
  </si>
  <si>
    <t>e_animalbased</t>
  </si>
  <si>
    <t>tp_man</t>
  </si>
  <si>
    <t>man_poultry</t>
  </si>
  <si>
    <t>(grass only)</t>
  </si>
  <si>
    <t>man_bovine</t>
  </si>
  <si>
    <t>man_pigs</t>
  </si>
  <si>
    <t>wheat_DE</t>
  </si>
  <si>
    <t>wheatbran_DE</t>
  </si>
  <si>
    <t>triticale_DE</t>
  </si>
  <si>
    <t>sunflower_DE</t>
  </si>
  <si>
    <t>sunflowerseedmeal_DE</t>
  </si>
  <si>
    <t>sugarbeet_DE</t>
  </si>
  <si>
    <t>sugarbeetpulp_DE</t>
  </si>
  <si>
    <t>soybeanMM_DE</t>
  </si>
  <si>
    <t>soybean_DE</t>
  </si>
  <si>
    <t>rye_DE</t>
  </si>
  <si>
    <t>rapeseed_DE</t>
  </si>
  <si>
    <t>rapeseedmeal_DE</t>
  </si>
  <si>
    <t>potato_DE</t>
  </si>
  <si>
    <t>potatoOLDE_DE</t>
  </si>
  <si>
    <t>pea_DE</t>
  </si>
  <si>
    <t>oat_DE</t>
  </si>
  <si>
    <t>molasses_DE</t>
  </si>
  <si>
    <t>maize_DE</t>
  </si>
  <si>
    <t>maizeOLD_DE</t>
  </si>
  <si>
    <t>barley_DE</t>
  </si>
  <si>
    <t>tp_feed</t>
  </si>
  <si>
    <t>tp_feed_ship</t>
  </si>
  <si>
    <t>tp_feed_train</t>
  </si>
  <si>
    <t>exotic_dairy</t>
  </si>
  <si>
    <t>exotic_henY</t>
  </si>
  <si>
    <t>exotic_henO</t>
  </si>
  <si>
    <t>exotic_porkFat</t>
  </si>
  <si>
    <t>exotic_porkCom</t>
  </si>
  <si>
    <t>exotic_porkSow</t>
  </si>
  <si>
    <t>exotic_poultryCom</t>
  </si>
  <si>
    <t>exotic_poultryY</t>
  </si>
  <si>
    <t>exotic_poultryO</t>
  </si>
  <si>
    <t>C, N, P compound emissions; yields, age, manure amounts, transportation, diesel, energy</t>
  </si>
  <si>
    <t>Auxiliary data and calculations:</t>
  </si>
  <si>
    <t>--&gt; relative changes from organic to conventional are the same for every nitrogen compound (N2O, NH3, NO3-), and differ slightly for P emissions. The ratios are also the same for every organic scenario and every product (except for Maize-silage and grass). Thus, four parameters for P and N emissions from manure are required.</t>
  </si>
  <si>
    <t>mg/kg</t>
  </si>
  <si>
    <t>Input from fertilizer</t>
  </si>
  <si>
    <t>Input from manure</t>
  </si>
  <si>
    <t>Input from seeds</t>
  </si>
  <si>
    <t>Input from deposition</t>
  </si>
  <si>
    <t>Output as biomass uptake</t>
  </si>
  <si>
    <t>Output by leaching</t>
  </si>
  <si>
    <t>LCI PARAMETERS</t>
  </si>
  <si>
    <t>Correction factors*</t>
  </si>
  <si>
    <t>LCI according to AFP5.0</t>
  </si>
  <si>
    <t>Parameters for heavy metal emissions to soil</t>
  </si>
  <si>
    <t>Parameters for heavy metal emissions to water</t>
  </si>
  <si>
    <t>Parameter name as used in the LCIs:</t>
  </si>
  <si>
    <t>[HM] =</t>
  </si>
  <si>
    <t>C, N, P</t>
  </si>
  <si>
    <t>Parameters for yield differences</t>
  </si>
  <si>
    <t>age differences</t>
  </si>
  <si>
    <t>manure</t>
  </si>
  <si>
    <t>Parameters for differences in transportation</t>
  </si>
  <si>
    <t>Auxiliary data and calculations</t>
  </si>
  <si>
    <t>Miscellaneous</t>
  </si>
  <si>
    <t>Heavy metals</t>
  </si>
  <si>
    <t>--&gt; carbon, nitrogen, and phosphorous compound emissions from synthetic fertilizers are 0 for every organic scenario and every product (except for Maize-silage and grass); emissions from lime fertilizer are the same as in the conventional base case</t>
  </si>
  <si>
    <t>C, N, P emissions</t>
  </si>
  <si>
    <t>C, N, P compound emissions from fertilizers</t>
  </si>
  <si>
    <t>Direct and indirect C, N, P compound emissions from manure</t>
  </si>
  <si>
    <t>Correction factors for HM emissions*</t>
  </si>
  <si>
    <t>* Inconsistencies between our calculation and the LCI values provided in the AFP5.0 database were discussed with the authors of AFP5.0. We use the our values in accordance with the outcome of this discussion.</t>
  </si>
  <si>
    <t>[1]</t>
  </si>
  <si>
    <t>[2]</t>
  </si>
  <si>
    <t>[3]</t>
  </si>
  <si>
    <t>[4]</t>
  </si>
  <si>
    <t>[5]</t>
  </si>
  <si>
    <t>[6]</t>
  </si>
  <si>
    <t>[7]</t>
  </si>
  <si>
    <t>[8]</t>
  </si>
  <si>
    <t>(new)</t>
  </si>
  <si>
    <t>Note</t>
  </si>
  <si>
    <t>kcal/unit</t>
  </si>
  <si>
    <t>MJ/kg</t>
  </si>
  <si>
    <t>€/kg</t>
  </si>
  <si>
    <t>hulled</t>
  </si>
  <si>
    <t>corn grain, yellow</t>
  </si>
  <si>
    <t>hard, white</t>
  </si>
  <si>
    <t>mature seeds, raw</t>
  </si>
  <si>
    <t>Beans, snap, green, raw</t>
  </si>
  <si>
    <t>flaxseed</t>
  </si>
  <si>
    <t>ground</t>
  </si>
  <si>
    <t>canola oil</t>
  </si>
  <si>
    <t>sunflower seed kernels, dried</t>
  </si>
  <si>
    <t>flesh and skin, raw</t>
  </si>
  <si>
    <t>cooked, Beta vulgaris (Oberart der Zuckerrübe)</t>
  </si>
  <si>
    <t>Pork, fresh, composite of trimmed leg, loin, shoulder, and spareribs, (includes cuts to be cured), separable lean and fat, raw</t>
  </si>
  <si>
    <t>Chicken, broilers or fryers, wing, meat and skin, raw</t>
  </si>
  <si>
    <t>85% lean meat, 15% fat, raw</t>
  </si>
  <si>
    <t>3.7% fat</t>
  </si>
  <si>
    <t>whole, cooked, hard-boiled</t>
  </si>
  <si>
    <t>MJ in kcal</t>
  </si>
  <si>
    <t>calculatory</t>
  </si>
  <si>
    <t>Compartment</t>
  </si>
  <si>
    <t>Sub-compartment</t>
  </si>
  <si>
    <t>Process</t>
  </si>
  <si>
    <t>Amount</t>
  </si>
  <si>
    <t>Functional unit</t>
  </si>
  <si>
    <t>Beef cattle, at farm/IE Economic</t>
  </si>
  <si>
    <t>Resources</t>
  </si>
  <si>
    <t>Water, unspecified natural origin, IE</t>
  </si>
  <si>
    <t>water for drinking</t>
  </si>
  <si>
    <t>Materials/fuels</t>
  </si>
  <si>
    <t>Grass, at beef farm/IE Economic</t>
  </si>
  <si>
    <t>Grass silage (beef), at farm/IE Economic</t>
  </si>
  <si>
    <t>Beef cattle compound feed, at processing/IE Economic</t>
  </si>
  <si>
    <t>Energy, from diesel burned in machinery/RER Economic</t>
  </si>
  <si>
    <t>Transport, truck &gt;20t, EURO4, 80%LF, default/GLO Economic</t>
  </si>
  <si>
    <t>tkm</t>
  </si>
  <si>
    <t>Transport of feed from feed compound plant to farm</t>
  </si>
  <si>
    <t>Electricity mix, AC, consumption mix, at consumer, &lt; 1kV IE S System - Copied from ELCD</t>
  </si>
  <si>
    <t>Emissions to air</t>
  </si>
  <si>
    <t>Methane, biogenic</t>
  </si>
  <si>
    <t>CH4 emissions due to enteric fermentation</t>
  </si>
  <si>
    <t>CH4 emissions due to manure management in stable</t>
  </si>
  <si>
    <t>Dinitrogen monoxide</t>
  </si>
  <si>
    <t>direct N2O emissions from the stable</t>
  </si>
  <si>
    <t>indirect N2O emissions from the stable</t>
  </si>
  <si>
    <t>Ammonia</t>
  </si>
  <si>
    <t>NH3 emissions from the stable</t>
  </si>
  <si>
    <t>Particulates, &lt; 10 um</t>
  </si>
  <si>
    <t>g</t>
  </si>
  <si>
    <t>Water, unspecified natural origin, NL</t>
  </si>
  <si>
    <t>dm3</t>
  </si>
  <si>
    <t>One-day-chicken, at farm/NL Economic</t>
  </si>
  <si>
    <t>p</t>
  </si>
  <si>
    <t>41 days production period and 8 days for sanitization &amp; 3.2% loss of animals: 7.687347 animal places per year.</t>
  </si>
  <si>
    <t>Broiler compound feed, at processing/NL Economic</t>
  </si>
  <si>
    <t>FCR: 1.68 kg/kg</t>
  </si>
  <si>
    <t>Electricity mix, AC, consumption mix, at consumer, &lt; 1kV NL S System - Copied from ELCD</t>
  </si>
  <si>
    <t>Heat, from resid. heating systems from NG, consumption mix, at consumer, temperature of 55°C EU-27 S System - Copied from ELCD</t>
  </si>
  <si>
    <t>Broiler parents &lt;20 weeks compound feed, at processing/NL Economic</t>
  </si>
  <si>
    <t>Barley grain, market mix, at regional storage/NL Economic</t>
  </si>
  <si>
    <t>Maize, market mix, at regional storage/DE Economic</t>
  </si>
  <si>
    <t>AM: NL-process replaced with existing DE-process</t>
  </si>
  <si>
    <t>Wheat grain, market mix, at regional storage/DE Economic</t>
  </si>
  <si>
    <t>Wheat bran, consumption mix, at feed compound plant/NL Economic</t>
  </si>
  <si>
    <t>Wheat gluten meal, consumption mix, at feed compound plant/NL Economic</t>
  </si>
  <si>
    <t>Maize gluten meal, consumption mix, at feed compound plant/NL Economic</t>
  </si>
  <si>
    <t>Soybean meal (solvent), market mix, at regional storage/DE Economic</t>
  </si>
  <si>
    <t>Sunflower seed meal (solvent), market mix, at regional storage/NL Economic</t>
  </si>
  <si>
    <t>Rapeseed meal (solvent), market mix, at regional storage/NL Economic</t>
  </si>
  <si>
    <t>Oat grain, market mix, at regional storage/NL Economic</t>
  </si>
  <si>
    <t>Crude palm oil, market mix, at regional storage/NL Economic</t>
  </si>
  <si>
    <t>AM: 'exotic' plant not grown in DE/EU, hence removed from organic inventories</t>
  </si>
  <si>
    <t>Fat from animals, consumption mix, at feed compound plant/NL Economic</t>
  </si>
  <si>
    <t>Peas, dry, market mix, at regional storage/DE Economic</t>
  </si>
  <si>
    <t>Citrus pulp dried, consumption mix, at feed compound plant/NL Economic</t>
  </si>
  <si>
    <t>Vellinga, T. V., Blonk, H., Marinussen, M., Zeist, W. J. Van, Boer, I. J. M. De, &amp; Starmans, D. (2013). Methodology used in feedprint: a tool quantifying greenhouse gas emissions of feed production and utilization.</t>
  </si>
  <si>
    <t>Broiler parents &lt;20 weeks, at farm/NL Economic</t>
  </si>
  <si>
    <t>10 kg feed per hen (including roosters)</t>
  </si>
  <si>
    <t>Broiler parents &gt;20 weeks compound feed, at processing/NL Economic</t>
  </si>
  <si>
    <t>Broiler parents &gt;20 weeks, at farm/NL Economic</t>
  </si>
  <si>
    <t>Broiler fattening, at farm/NL Economic</t>
  </si>
  <si>
    <t>Consumption egg, from broiler breeding system, at farm/NL Economic</t>
  </si>
  <si>
    <t>Hatching egg, at farm/NL Economic</t>
  </si>
  <si>
    <t>Consumption egg, at farm/NL Economic</t>
  </si>
  <si>
    <t>Laying hen &lt;17 weeks, at farm/NL Economic</t>
  </si>
  <si>
    <t>Molasses, market mix, at regional storage/NL Economic</t>
  </si>
  <si>
    <t>Soybeans, market mix, at regional storage/DE Economic</t>
  </si>
  <si>
    <t>AM: IE-process replaced with existing DE-process</t>
  </si>
  <si>
    <t>Laying hen &lt;17 weeks compound feed, at processing/NL Economic</t>
  </si>
  <si>
    <t>Maize gluten feed, dried, consumption mix, at feed compound plant/NL Economic</t>
  </si>
  <si>
    <t>Cassava root, dried, market mix, at regional storage/NL Economic</t>
  </si>
  <si>
    <t>AM: exotic food, not produced in Germany/Europe, hence excluded from organic inventory</t>
  </si>
  <si>
    <t>Soybean, heat treated, consumption mix, at feed compound plant/NL Economic</t>
  </si>
  <si>
    <t>Crushed stone 16/32 mm, open pit mining, production mix, at plant, undried RER S System - Copied from ELCD</t>
  </si>
  <si>
    <t>Laying hen &gt;17 weeks, at farm/NL Economic</t>
  </si>
  <si>
    <t>20 days for breeding, 448 production days and 16 days for sanitization: 0.7541322 animal places per year.</t>
  </si>
  <si>
    <t>Laying hen &gt;17 weeks compound feed, at processing/NL Economic</t>
  </si>
  <si>
    <t>49.7 kg feed per hen (including roosters)</t>
  </si>
  <si>
    <t>Wheat gluten feed, consumption mix, at feed compound plant/NL Economic</t>
  </si>
  <si>
    <t>AM: 'exotic' plant not produced in Germany/Europe, hence removed from organic inventory</t>
  </si>
  <si>
    <t>Dairy cow compound feed, at processing/NL Economic</t>
  </si>
  <si>
    <t>AM: 'exotic' plant not grown in DE/EU, hence removed from organic production</t>
  </si>
  <si>
    <t>Palm kernel expeller, market mix, at regional storage/NL Economic</t>
  </si>
  <si>
    <t>Soybean hulls, consumption mix, at feed compound plant/NL Economic</t>
  </si>
  <si>
    <t>AM: no DE/EU-Pre-Processes, hence removed from organic inventory</t>
  </si>
  <si>
    <t>Sugar beet pulp dried, at processing/DE Economic</t>
  </si>
  <si>
    <t>Triticale grain, market mix, at regional storage/NL Economic</t>
  </si>
  <si>
    <t>Dairy cow wet by-product feed, at processing/NL Economic</t>
  </si>
  <si>
    <t>Brewer's grains, at processing/NL Economic</t>
  </si>
  <si>
    <t>Potato pulp pressed fresh+silage, consumption mix, at feed compound plant/NL Economic</t>
  </si>
  <si>
    <t>Sugar beet pulp wet, market mix, at regional storage/NL Economic</t>
  </si>
  <si>
    <t>Polyethylene low density granulate (PE-LD), production mix, at plant RER System - Copied from ELCD</t>
  </si>
  <si>
    <t>Water</t>
  </si>
  <si>
    <t>Grass silage (dairy), at farm/NL Economic</t>
  </si>
  <si>
    <t>Grass, at dairy farm/NL Economic</t>
  </si>
  <si>
    <t>Occupation, grassland/pasture/meadow</t>
  </si>
  <si>
    <t>Land Use, Other</t>
  </si>
  <si>
    <t>The amount of irrigation water is based on the ‘blue water footprint’ (Mekonnen &amp; Hoekstra, 2010)</t>
  </si>
  <si>
    <t>Expressed as energy in fuel that powers agricultural machinery. Average efficiency of engine in agricultural machinery is taken into account in the calculation of fuel inputs.</t>
  </si>
  <si>
    <t>N2O direct emissions, due to use of manure</t>
  </si>
  <si>
    <t>N2O indirect emissions (leaching and volatilization), due to use of manure</t>
  </si>
  <si>
    <t>Ammonia emissions, due to use of manure</t>
  </si>
  <si>
    <t>Ammonia emissions, due to use of fertilizer</t>
  </si>
  <si>
    <t>Ammonia from crop residues</t>
  </si>
  <si>
    <t>Carbon dioxide, fossil</t>
  </si>
  <si>
    <t>Direct CO2 emissions, due to use of fertilizer</t>
  </si>
  <si>
    <t>N2O direct emissions from crop residues</t>
  </si>
  <si>
    <t>N2O direct emissions, due to use of fertilizer</t>
  </si>
  <si>
    <t>N2O indirect emissions (leaching and volatilization) from crop residues</t>
  </si>
  <si>
    <t>N2O indirect emissions (leaching and volatilization), due to use of fertilizer</t>
  </si>
  <si>
    <t>Emissions to water</t>
  </si>
  <si>
    <t>Nitrate</t>
  </si>
  <si>
    <t>Nitrate emissions, due to use of manure</t>
  </si>
  <si>
    <t>Cadmium</t>
  </si>
  <si>
    <t>mg</t>
  </si>
  <si>
    <t>Leaching of heavy metals</t>
  </si>
  <si>
    <t>Chromium</t>
  </si>
  <si>
    <t>Copper</t>
  </si>
  <si>
    <t>Mercury</t>
  </si>
  <si>
    <t>Nickel</t>
  </si>
  <si>
    <t>Lead</t>
  </si>
  <si>
    <t>Zinc</t>
  </si>
  <si>
    <t>Nitrate emissions from crop residues</t>
  </si>
  <si>
    <t>Nitrate emissions, due to use of fertilizer</t>
  </si>
  <si>
    <t>Emissions to soil</t>
  </si>
  <si>
    <t>agricultural</t>
  </si>
  <si>
    <t>Phosphorus</t>
  </si>
  <si>
    <t>Phosphorous emissions, due to use of manure</t>
  </si>
  <si>
    <t>Soil emission from heavy metals</t>
  </si>
  <si>
    <t>Phosphorous emissions, due to use of fertilizer</t>
  </si>
  <si>
    <t>Glyphosate</t>
  </si>
  <si>
    <t>Herbicide; Reference = Wageningen UR. (2013). Kwantitatieve informatie veehouderij 2013-2014; Substance name in reference= Glyfosaat</t>
  </si>
  <si>
    <t>Fluroxypyr</t>
  </si>
  <si>
    <t>Herbicide; Reference = Wageningen UR. (2013). Kwantitatieve informatie veehouderij 2013-2014; Substance name in reference= Fluroxypyr (Starane 200)</t>
  </si>
  <si>
    <t>Milk raw, at farm/NL Economic</t>
  </si>
  <si>
    <t>Dairy cow, at farm/NL Economic</t>
  </si>
  <si>
    <t>Calf, at farm/NL Economic</t>
  </si>
  <si>
    <t>water for cleaning</t>
  </si>
  <si>
    <t>Maize silage, at dairy farm/NL Economic</t>
  </si>
  <si>
    <t>CO2 emission due to peat land</t>
  </si>
  <si>
    <t>N2O emission due to peat land</t>
  </si>
  <si>
    <t>Pig fattening compound feed, at processing/NL Economic</t>
  </si>
  <si>
    <t>Rye grain, market mix, at regional storage/DE Economic</t>
  </si>
  <si>
    <t>Wheat middlings &amp; feed, at processing/DE Economic</t>
  </si>
  <si>
    <t>Maize middlings, consumption mix, at feed compound plant/NL Economic</t>
  </si>
  <si>
    <t>Pig fattening, at farm/NL Economic</t>
  </si>
  <si>
    <t>Piglet, at farm/NL Economic</t>
  </si>
  <si>
    <t>average live weight of 25 kg</t>
  </si>
  <si>
    <t>feed conversion ratio of 2.6 kg feed/kg live weight</t>
  </si>
  <si>
    <t>Transport of feed from compound feed plant to farm</t>
  </si>
  <si>
    <t>Piglet compound feed, at processing/NL Economic</t>
  </si>
  <si>
    <t>AM: NL-process replaced with exisiting DE-process</t>
  </si>
  <si>
    <t>'exotic' plant not grown in DE/EU, hence removed from organic inventories</t>
  </si>
  <si>
    <t>Sow pig, at farm/NL Economic</t>
  </si>
  <si>
    <t>6.00 E/average present sow for water</t>
  </si>
  <si>
    <t>Sow pig compound feed, at processing/NL Economic</t>
  </si>
  <si>
    <t>Barley grain, at farm/DE Economic</t>
  </si>
  <si>
    <t>Barley straw, at farm/DE Economic</t>
  </si>
  <si>
    <t>in water</t>
  </si>
  <si>
    <t>Water, unspecified natural origin, DE</t>
  </si>
  <si>
    <t>land</t>
  </si>
  <si>
    <t>Occupation, annual crop</t>
  </si>
  <si>
    <t>Transformation, from forest, unspecified</t>
  </si>
  <si>
    <t>Transformation, from grassland</t>
  </si>
  <si>
    <t>Transformation, from permanent crop</t>
  </si>
  <si>
    <t>Transformation, from annual crop</t>
  </si>
  <si>
    <t>Transformation, to annual crop</t>
  </si>
  <si>
    <t>Basic infrastructure, at farm/GLO Economic</t>
  </si>
  <si>
    <t>Barley grain, start material, at seed production/DE Economic</t>
  </si>
  <si>
    <t>Transport, truck 10-20t, EURO4, 80%LF, empty return/GLO Economic</t>
  </si>
  <si>
    <t>Insecticide emissions, at farm/RER</t>
  </si>
  <si>
    <t>Fungicide emissions, at farm/RER</t>
  </si>
  <si>
    <t>Herbicide emissions, at farm/RER</t>
  </si>
  <si>
    <t>Electricity/heat</t>
  </si>
  <si>
    <t>Nitrogen monoxide</t>
  </si>
  <si>
    <t>Carbon dioxide, land transformation</t>
  </si>
  <si>
    <t>Irrigation water based on yield and "blue water footprint" (Mekonnen &amp; Hoekstra, 2010)</t>
  </si>
  <si>
    <t>Land use based on estimated crop cycle described in Agri-Footprint 5.0 methodology report</t>
  </si>
  <si>
    <t>Land use change impacts based on Direct Land Use Change Assessment Tool 2018, Blonk Consultants, Gouda</t>
  </si>
  <si>
    <t>Swine manure applied for soil maintenance. Based on FAO data on manure management (2012-2016) and methodology described in appendix 4 of Vellinga et al. (2013)</t>
  </si>
  <si>
    <t>Poultry manure applied for soil maintenance. Based on FAO data on manure management (2012-2016) and methodology described in appendix 4 of Vellinga et al. (2013)</t>
  </si>
  <si>
    <t>Derived from Ammonium phosphate consumed in Germany (IFASTAT, 2016-2012) and total NPK use for Barley cultivation (IFA 2011)</t>
  </si>
  <si>
    <t>Derived from Ammonium sulphate consumed in Germany (IFASTAT, 2016-2012) and total NPK use for Barley cultivation (IFA 2011)</t>
  </si>
  <si>
    <t>Derived from Calc.amm. nitrate consumed in Germany (IFASTAT, 2016-2012) and total NPK use for Barley cultivation (IFA 2011)</t>
  </si>
  <si>
    <t>Derived from N P K compound consumed in Germany (IFASTAT, 2016-2012) and total NPK use for Barley cultivation (IFA 2011)</t>
  </si>
  <si>
    <t>Derived from Nitrogen solutions consumed in Germany (IFASTAT, 2016-2012) and total NPK use for Barley cultivation (IFA 2011)</t>
  </si>
  <si>
    <t>Derived from Urea consumed in Germany (IFASTAT, 2016-2012) and total NPK use for Barley cultivation (IFA 2011)</t>
  </si>
  <si>
    <t>Derived from P K compound consumed in Germany (IFASTAT, 2016-2012) and total NPK use for Barley cultivation (IFA 2011)</t>
  </si>
  <si>
    <t>Derived from Single superphos. consumed in Germany (IFASTAT, 2016-2012) and total NPK use for Barley cultivation (IFA 2011)</t>
  </si>
  <si>
    <t>Derived from Triple superphos. consumed in Germany (IFASTAT, 2016-2012) and total NPK use for Barley cultivation (IFA 2011)</t>
  </si>
  <si>
    <t>Derived from Potassium chloride consumed in Germany (IFASTAT, 2016-2012) and total NPK use for Barley cultivation (IFA 2011)</t>
  </si>
  <si>
    <t>Derived from Potassium sulphate consumed in Germany (IFASTAT, 2016-2012) and total NPK use for Barley cultivation (IFA 2011)</t>
  </si>
  <si>
    <t>Capital good used for cultivation</t>
  </si>
  <si>
    <t>Lime use ph balancing, amount based on default values used in Feedprint (2012)</t>
  </si>
  <si>
    <t>Transport of manure (30 km)</t>
  </si>
  <si>
    <t>Transport of other materials (50 km)</t>
  </si>
  <si>
    <t>Insecticide use derived from Pesticide model</t>
  </si>
  <si>
    <t>Fungicide use derived from Pesticide model</t>
  </si>
  <si>
    <t>Herbicide use derived from Pesticide model</t>
  </si>
  <si>
    <t>Emissions of insecticide active ingredients used within a specific region</t>
  </si>
  <si>
    <t>Emissions of fungicide active ingredients used within a specific region</t>
  </si>
  <si>
    <t>Emissions of herbicide active ingredients used within a specific region</t>
  </si>
  <si>
    <t>Total fuel demand for on-field activities of arable crops (except irrigation). Derived from "Energy model for crop cultivation"</t>
  </si>
  <si>
    <t>Lime and dolomite emissions based on tier 1 calculations described in Guidelines for National Greenhouse Gas Inventories (IPCC, 2006)</t>
  </si>
  <si>
    <t>Fertilizer emissions based on tier 1 calculations described in Guidelines for National Greenhouse Gas Inventories (IPCC, 2006)</t>
  </si>
  <si>
    <t>Direct Fertilizer emissions based on tier 1 calculations described in Guidelines for National Greenhouse Gas Inventories (IPCC, 2006)</t>
  </si>
  <si>
    <t>Indirect Fertilizer emissions based on tier 1 calculations described in Guidelines for National Greenhouse Gas Inventories (IPCC, 2006)</t>
  </si>
  <si>
    <t>Fertilizer emissions based on tier 2 ammonia emissions described in Air Pollutant Emission Guidebook (EMEP/EEA, 2016)</t>
  </si>
  <si>
    <t xml:space="preserve">Fertilizer emissions based on NO emission based on global mean fertilizer-induced NO emission (EMEP/EEA, 2016) </t>
  </si>
  <si>
    <t>Direct Manure emissions based on tier 1 calculations described in Guidelines for National Greenhouse Gas Inventories (IPCC, 2006)</t>
  </si>
  <si>
    <t>Indirect Manure emissions based on tier 1 calculations described in Guidelines for National Greenhouse Gas Inventories (IPCC, 2006)</t>
  </si>
  <si>
    <t>Manure emissions based on tier 1 calculations described in Guidelines for National Greenhouse Gas Inventories (IPCC, 2006)</t>
  </si>
  <si>
    <t>Direct Crop residues emissions based on tier 1 calculations described in Guidelines for National Greenhouse Gas Inventories (IPCC, 2006)</t>
  </si>
  <si>
    <t>Indirect Crop residues emissions based on tier 1 calculations described in Guidelines for National Greenhouse Gas Inventories (IPCC, 2006)</t>
  </si>
  <si>
    <t>Fertilizer emissions based on total P and "applied (P component)" impact factor (ReCiPe, 2013)</t>
  </si>
  <si>
    <t>Heavy metals emissions based on heavy metals emissions described in Nemecek &amp; Schnetzer (2012)</t>
  </si>
  <si>
    <t>Manure emissions based on total P and "applied (P component)" impact factor (ReCiPe, 2013)</t>
  </si>
  <si>
    <t>Crop residues emissions based on tier 1 calculations described in Guidelines for National Greenhouse Gas Inventories (IPCC, 2006)</t>
  </si>
  <si>
    <t>Beans, green, at farm/DE Economic</t>
  </si>
  <si>
    <t>Derived from Ammonium phosphate consumed in Germany (IFASTAT, 2016-2012) and total NPK use for Beans, green cultivation (Leitfaden für die Düngung - Gelbes Heft (2018) / Appendix 1c (PK) (expressed as kgPK/100 kg yield)- Appendix 9c (N). Assumed optimal nutrient content/light soil: Table 29.)</t>
  </si>
  <si>
    <t>Derived from Ammonium sulphate consumed in Germany (IFASTAT, 2016-2012) and total NPK use for Beans, green cultivation (Leitfaden für die Düngung - Gelbes Heft (2018) / Appendix 1c (PK) (expressed as kgPK/100 kg yield)- Appendix 9c (N). Assumed optimal nutrient content/light soil: Table 29.)</t>
  </si>
  <si>
    <t>Derived from Calc.amm. nitrate consumed in Germany (IFASTAT, 2016-2012) and total NPK use for Beans, green cultivation (Leitfaden für die Düngung - Gelbes Heft (2018) / Appendix 1c (PK) (expressed as kgPK/100 kg yield)- Appendix 9c (N). Assumed optimal nutrient content/light soil: Table 29.)</t>
  </si>
  <si>
    <t>Derived from N P K compound consumed in Germany (IFASTAT, 2016-2012) and total NPK use for Beans, green cultivation (Leitfaden für die Düngung - Gelbes Heft (2018) / Appendix 1c (PK) (expressed as kgPK/100 kg yield)- Appendix 9c (N). Assumed optimal nutrient content/light soil: Table 29.)</t>
  </si>
  <si>
    <t>Derived from Nitrogen solutions consumed in Germany (IFASTAT, 2016-2012) and total NPK use for Beans, green cultivation (Leitfaden für die Düngung - Gelbes Heft (2018) / Appendix 1c (PK) (expressed as kgPK/100 kg yield)- Appendix 9c (N). Assumed optimal nutrient content/light soil: Table 29.)</t>
  </si>
  <si>
    <t>Derived from Urea consumed in Germany (IFASTAT, 2016-2012) and total NPK use for Beans, green cultivation (Leitfaden für die Düngung - Gelbes Heft (2018) / Appendix 1c (PK) (expressed as kgPK/100 kg yield)- Appendix 9c (N). Assumed optimal nutrient content/light soil: Table 29.)</t>
  </si>
  <si>
    <t>Derived from P K compound consumed in Germany (IFASTAT, 2016-2012) and total NPK use for Beans, green cultivation (Leitfaden für die Düngung - Gelbes Heft (2018) / Appendix 1c (PK) (expressed as kgPK/100 kg yield)- Appendix 9c (N). Assumed optimal nutrient content/light soil: Table 29.)</t>
  </si>
  <si>
    <t>Derived from Single superphos. consumed in Germany (IFASTAT, 2016-2012) and total NPK use for Beans, green cultivation (Leitfaden für die Düngung - Gelbes Heft (2018) / Appendix 1c (PK) (expressed as kgPK/100 kg yield)- Appendix 9c (N). Assumed optimal nutrient content/light soil: Table 29.)</t>
  </si>
  <si>
    <t>Derived from Triple superphos. consumed in Germany (IFASTAT, 2016-2012) and total NPK use for Beans, green cultivation (Leitfaden für die Düngung - Gelbes Heft (2018) / Appendix 1c (PK) (expressed as kgPK/100 kg yield)- Appendix 9c (N). Assumed optimal nutrient content/light soil: Table 29.)</t>
  </si>
  <si>
    <t>Derived from Potassium chloride consumed in Germany (IFASTAT, 2016-2012) and total NPK use for Beans, green cultivation (Leitfaden für die Düngung - Gelbes Heft (2018) / Appendix 1c (PK) (expressed as kgPK/100 kg yield)- Appendix 9c (N). Assumed optimal nutrient content/light soil: Table 29.)</t>
  </si>
  <si>
    <t>Derived from Potassium sulphate consumed in Germany (IFASTAT, 2016-2012) and total NPK use for Beans, green cultivation (Leitfaden für die Düngung - Gelbes Heft (2018) / Appendix 1c (PK) (expressed as kgPK/100 kg yield)- Appendix 9c (N). Assumed optimal nutrient content/light soil: Table 29.)</t>
  </si>
  <si>
    <t>Beans, green, start material, at seed production/DE Economic</t>
  </si>
  <si>
    <t>Amount of start material</t>
  </si>
  <si>
    <t>Total fuel demand for irrigating arable crops. Derived from "Energy model for crop cultivation"</t>
  </si>
  <si>
    <t>Electricity mix, AC, consumption mix, at consumer, &lt; 1kV DE S System - Copied from ELCD</t>
  </si>
  <si>
    <t>Total electricity use for irrigating arable crops. Derived from "Energy model for crop cultivation"</t>
  </si>
  <si>
    <t>Broad beans, at farm/DE Economic</t>
  </si>
  <si>
    <t>Broad beans, horse beans, dry straw, at farm/DE Economic</t>
  </si>
  <si>
    <t>Derived from Ammonium phosphate consumed in Germany (IFASTAT, 2016-2012) and total NPK use for Broad beans, horse beans, dry cultivation (Palliere (2011))</t>
  </si>
  <si>
    <t>Derived from Ammonium sulphate consumed in Germany (IFASTAT, 2016-2012) and total NPK use for Broad beans, horse beans, dry cultivation (Palliere (2011))</t>
  </si>
  <si>
    <t>Derived from Calc.amm. nitrate consumed in Germany (IFASTAT, 2016-2012) and total NPK use for Broad beans, horse beans, dry cultivation (Palliere (2011))</t>
  </si>
  <si>
    <t>Derived from N P K compound consumed in Germany (IFASTAT, 2016-2012) and total NPK use for Broad beans, horse beans, dry cultivation (Palliere (2011))</t>
  </si>
  <si>
    <t>Derived from Nitrogen solutions consumed in Germany (IFASTAT, 2016-2012) and total NPK use for Broad beans, horse beans, dry cultivation (Palliere (2011))</t>
  </si>
  <si>
    <t>Derived from Urea consumed in Germany (IFASTAT, 2016-2012) and total NPK use for Broad beans, horse beans, dry cultivation (Palliere (2011))</t>
  </si>
  <si>
    <t>Derived from P K compound consumed in Germany (IFASTAT, 2016-2012) and total NPK use for Broad beans, horse beans, dry cultivation (Palliere (2011))</t>
  </si>
  <si>
    <t>Derived from Single superphos. consumed in Germany (IFASTAT, 2016-2012) and total NPK use for Broad beans, horse beans, dry cultivation (Palliere (2011))</t>
  </si>
  <si>
    <t>Derived from Triple superphos. consumed in Germany (IFASTAT, 2016-2012) and total NPK use for Broad beans, horse beans, dry cultivation (Palliere (2011))</t>
  </si>
  <si>
    <t>Derived from Potassium chloride consumed in Germany (IFASTAT, 2016-2012) and total NPK use for Broad beans, horse beans, dry cultivation (Palliere (2011))</t>
  </si>
  <si>
    <t>Derived from Potassium sulphate consumed in Germany (IFASTAT, 2016-2012) and total NPK use for Broad beans, horse beans, dry cultivation (Palliere (2011))</t>
  </si>
  <si>
    <t>Broad beans, start material, at seed production/DE Economic</t>
  </si>
  <si>
    <t>Linseed, at farm/DE Economic</t>
  </si>
  <si>
    <t>Linseed straw, at farm/DE Economic</t>
  </si>
  <si>
    <t>Derived from Ammonium phosphate consumed in Germany (IFASTAT, 2016-2012) and total NPK use for Linseed cultivation (IFA 2011)</t>
  </si>
  <si>
    <t>Derived from Ammonium sulphate consumed in Germany (IFASTAT, 2016-2012) and total NPK use for Linseed cultivation (IFA 2011)</t>
  </si>
  <si>
    <t>Derived from Calc.amm. nitrate consumed in Germany (IFASTAT, 2016-2012) and total NPK use for Linseed cultivation (IFA 2011)</t>
  </si>
  <si>
    <t>Derived from N P K compound consumed in Germany (IFASTAT, 2016-2012) and total NPK use for Linseed cultivation (IFA 2011)</t>
  </si>
  <si>
    <t>Derived from Nitrogen solutions consumed in Germany (IFASTAT, 2016-2012) and total NPK use for Linseed cultivation (IFA 2011)</t>
  </si>
  <si>
    <t>Derived from Urea consumed in Germany (IFASTAT, 2016-2012) and total NPK use for Linseed cultivation (IFA 2011)</t>
  </si>
  <si>
    <t>Derived from P K compound consumed in Germany (IFASTAT, 2016-2012) and total NPK use for Linseed cultivation (IFA 2011)</t>
  </si>
  <si>
    <t>Derived from Single superphos. consumed in Germany (IFASTAT, 2016-2012) and total NPK use for Linseed cultivation (IFA 2011)</t>
  </si>
  <si>
    <t>Derived from Triple superphos. consumed in Germany (IFASTAT, 2016-2012) and total NPK use for Linseed cultivation (IFA 2011)</t>
  </si>
  <si>
    <t>Derived from Potassium chloride consumed in Germany (IFASTAT, 2016-2012) and total NPK use for Linseed cultivation (IFA 2011)</t>
  </si>
  <si>
    <t>Derived from Potassium sulphate consumed in Germany (IFASTAT, 2016-2012) and total NPK use for Linseed cultivation (IFA 2011)</t>
  </si>
  <si>
    <t>Linseed, start material, at seed production/DE Economic</t>
  </si>
  <si>
    <t>Lupins, at farm/DE Economic</t>
  </si>
  <si>
    <t>Lupins straw, at farm/DE Economic</t>
  </si>
  <si>
    <t>Derived from P K compound consumed in Germany (IFASTAT, 2016-2012) and total NPK use for Lupins cultivation (Based on: Gesellschaft zur Förderung der Lupine e. V. (2007): L U P I N E N - Verwertung und Anbau - 1)</t>
  </si>
  <si>
    <t>Derived from Single superphos. consumed in Germany (IFASTAT, 2016-2012) and total NPK use for Lupins cultivation (Based on: Gesellschaft zur Förderung der Lupine e. V. (2007): L U P I N E N - Verwertung und Anbau - 1)</t>
  </si>
  <si>
    <t>Derived from Triple superphos. consumed in Germany (IFASTAT, 2016-2012) and total NPK use for Lupins cultivation (Based on: Gesellschaft zur Förderung der Lupine e. V. (2007): L U P I N E N - Verwertung und Anbau - 1)</t>
  </si>
  <si>
    <t>Derived from Potassium chloride consumed in Germany (IFASTAT, 2016-2012) and total NPK use for Lupins cultivation (Based on: Gesellschaft zur Förderung der Lupine e. V. (2007): L U P I N E N - Verwertung und Anbau - 1)</t>
  </si>
  <si>
    <t>Derived from Potassium sulphate consumed in Germany (IFASTAT, 2016-2012) and total NPK use for Lupins cultivation (Based on: Gesellschaft zur Förderung der Lupine e. V. (2007): L U P I N E N - Verwertung und Anbau - 1)</t>
  </si>
  <si>
    <t>Lupins, start material, at seed production/DE Economic</t>
  </si>
  <si>
    <t>Maize, at farm/DE Economic</t>
  </si>
  <si>
    <t>Maize stover, at farm/DE Economic</t>
  </si>
  <si>
    <t>Derived from Ammonium phosphate consumed in Germany (IFASTAT, 2016-2012) and total NPK use for Maize cultivation (IFA 2011)</t>
  </si>
  <si>
    <t>Derived from Ammonium sulphate consumed in Germany (IFASTAT, 2016-2012) and total NPK use for Maize cultivation (IFA 2011)</t>
  </si>
  <si>
    <t>Derived from Calc.amm. nitrate consumed in Germany (IFASTAT, 2016-2012) and total NPK use for Maize cultivation (IFA 2011)</t>
  </si>
  <si>
    <t>Derived from N P K compound consumed in Germany (IFASTAT, 2016-2012) and total NPK use for Maize cultivation (IFA 2011)</t>
  </si>
  <si>
    <t>Derived from Nitrogen solutions consumed in Germany (IFASTAT, 2016-2012) and total NPK use for Maize cultivation (IFA 2011)</t>
  </si>
  <si>
    <t>Derived from Urea consumed in Germany (IFASTAT, 2016-2012) and total NPK use for Maize cultivation (IFA 2011)</t>
  </si>
  <si>
    <t>Derived from P K compound consumed in Germany (IFASTAT, 2016-2012) and total NPK use for Maize cultivation (IFA 2011)</t>
  </si>
  <si>
    <t>Derived from Single superphos. consumed in Germany (IFASTAT, 2016-2012) and total NPK use for Maize cultivation (IFA 2011)</t>
  </si>
  <si>
    <t>Derived from Triple superphos. consumed in Germany (IFASTAT, 2016-2012) and total NPK use for Maize cultivation (IFA 2011)</t>
  </si>
  <si>
    <t>Derived from Potassium chloride consumed in Germany (IFASTAT, 2016-2012) and total NPK use for Maize cultivation (IFA 2011)</t>
  </si>
  <si>
    <t>Derived from Potassium sulphate consumed in Germany (IFASTAT, 2016-2012) and total NPK use for Maize cultivation (IFA 2011)</t>
  </si>
  <si>
    <t>Maize, start material, at seed production/DE Economic</t>
  </si>
  <si>
    <t>Mustard seed, at farm/DE Economic</t>
  </si>
  <si>
    <t>Derived from Ammonium phosphate consumed in Germany (IFASTAT, 2016-2012) and total NPK use for Mustard seed cultivation (Anbauanleitung Gelbsenf (Weißer Senf) (nd))</t>
  </si>
  <si>
    <t>Derived from Ammonium sulphate consumed in Germany (IFASTAT, 2016-2012) and total NPK use for Mustard seed cultivation (Anbauanleitung Gelbsenf (Weißer Senf) (nd))</t>
  </si>
  <si>
    <t>Derived from Calc.amm. nitrate consumed in Germany (IFASTAT, 2016-2012) and total NPK use for Mustard seed cultivation (Anbauanleitung Gelbsenf (Weißer Senf) (nd))</t>
  </si>
  <si>
    <t>Derived from N P K compound consumed in Germany (IFASTAT, 2016-2012) and total NPK use for Mustard seed cultivation (Anbauanleitung Gelbsenf (Weißer Senf) (nd))</t>
  </si>
  <si>
    <t>Derived from Nitrogen solutions consumed in Germany (IFASTAT, 2016-2012) and total NPK use for Mustard seed cultivation (Anbauanleitung Gelbsenf (Weißer Senf) (nd))</t>
  </si>
  <si>
    <t>Derived from Urea consumed in Germany (IFASTAT, 2016-2012) and total NPK use for Mustard seed cultivation (Anbauanleitung Gelbsenf (Weißer Senf) (nd))</t>
  </si>
  <si>
    <t>Derived from P K compound consumed in Germany (IFASTAT, 2016-2012) and total NPK use for Mustard seed cultivation (Anbauanleitung Gelbsenf (Weißer Senf) (nd))</t>
  </si>
  <si>
    <t>Derived from Single superphos. consumed in Germany (IFASTAT, 2016-2012) and total NPK use for Mustard seed cultivation (Anbauanleitung Gelbsenf (Weißer Senf) (nd))</t>
  </si>
  <si>
    <t>Derived from Triple superphos. consumed in Germany (IFASTAT, 2016-2012) and total NPK use for Mustard seed cultivation (Anbauanleitung Gelbsenf (Weißer Senf) (nd))</t>
  </si>
  <si>
    <t>Derived from Potassium chloride consumed in Germany (IFASTAT, 2016-2012) and total NPK use for Mustard seed cultivation (Anbauanleitung Gelbsenf (Weißer Senf) (nd))</t>
  </si>
  <si>
    <t>Derived from Potassium sulphate consumed in Germany (IFASTAT, 2016-2012) and total NPK use for Mustard seed cultivation (Anbauanleitung Gelbsenf (Weißer Senf) (nd))</t>
  </si>
  <si>
    <t>Mustard seed, start material, at seed production/DE Economic</t>
  </si>
  <si>
    <t>Oat grain, at farm/DE Economic</t>
  </si>
  <si>
    <t>Oat straw, at farm/DE Economic</t>
  </si>
  <si>
    <t>Derived from Ammonium phosphate consumed in Germany (IFASTAT, 2016-2012) and total NPK use for Oats cultivation (IFA 2011)</t>
  </si>
  <si>
    <t>Derived from Ammonium sulphate consumed in Germany (IFASTAT, 2016-2012) and total NPK use for Oats cultivation (IFA 2011)</t>
  </si>
  <si>
    <t>Derived from Calc.amm. nitrate consumed in Germany (IFASTAT, 2016-2012) and total NPK use for Oats cultivation (IFA 2011)</t>
  </si>
  <si>
    <t>Derived from N P K compound consumed in Germany (IFASTAT, 2016-2012) and total NPK use for Oats cultivation (IFA 2011)</t>
  </si>
  <si>
    <t>Derived from Nitrogen solutions consumed in Germany (IFASTAT, 2016-2012) and total NPK use for Oats cultivation (IFA 2011)</t>
  </si>
  <si>
    <t>Derived from Urea consumed in Germany (IFASTAT, 2016-2012) and total NPK use for Oats cultivation (IFA 2011)</t>
  </si>
  <si>
    <t>Derived from P K compound consumed in Germany (IFASTAT, 2016-2012) and total NPK use for Oats cultivation (IFA 2011)</t>
  </si>
  <si>
    <t>Derived from Single superphos. consumed in Germany (IFASTAT, 2016-2012) and total NPK use for Oats cultivation (IFA 2011)</t>
  </si>
  <si>
    <t>Derived from Triple superphos. consumed in Germany (IFASTAT, 2016-2012) and total NPK use for Oats cultivation (IFA 2011)</t>
  </si>
  <si>
    <t>Derived from Potassium chloride consumed in Germany (IFASTAT, 2016-2012) and total NPK use for Oats cultivation (IFA 2011)</t>
  </si>
  <si>
    <t>Derived from Potassium sulphate consumed in Germany (IFASTAT, 2016-2012) and total NPK use for Oats cultivation (IFA 2011)</t>
  </si>
  <si>
    <t>Oat grain, start material, at seed production/DE Economic</t>
  </si>
  <si>
    <t>Peas, dry, at farm/DE Economic</t>
  </si>
  <si>
    <t>Peas, dry straw, at farm/DE Economic</t>
  </si>
  <si>
    <t>Derived from Ammonium phosphate consumed in Germany (IFASTAT, 2016-2012) and total NPK use for Peas, dry cultivation (Based on NPK values for peas, dry. Rescaled based on the N, P and K ratio between vegetables in NL and DE according to Palliere 2011.)</t>
  </si>
  <si>
    <t>Derived from Ammonium sulphate consumed in Germany (IFASTAT, 2016-2012) and total NPK use for Peas, dry cultivation (Based on NPK values for peas, dry. Rescaled based on the N, P and K ratio between vegetables in NL and DE according to Palliere 2011.)</t>
  </si>
  <si>
    <t>Derived from Calc.amm. nitrate consumed in Germany (IFASTAT, 2016-2012) and total NPK use for Peas, dry cultivation (Based on NPK values for peas, dry. Rescaled based on the N, P and K ratio between vegetables in NL and DE according to Palliere 2011.)</t>
  </si>
  <si>
    <t>Derived from N P K compound consumed in Germany (IFASTAT, 2016-2012) and total NPK use for Peas, dry cultivation (Based on NPK values for peas, dry. Rescaled based on the N, P and K ratio between vegetables in NL and DE according to Palliere 2011.)</t>
  </si>
  <si>
    <t>Derived from Nitrogen solutions consumed in Germany (IFASTAT, 2016-2012) and total NPK use for Peas, dry cultivation (Based on NPK values for peas, dry. Rescaled based on the N, P and K ratio between vegetables in NL and DE according to Palliere 2011.)</t>
  </si>
  <si>
    <t>Derived from Urea consumed in Germany (IFASTAT, 2016-2012) and total NPK use for Peas, dry cultivation (Based on NPK values for peas, dry. Rescaled based on the N, P and K ratio between vegetables in NL and DE according to Palliere 2011.)</t>
  </si>
  <si>
    <t>Derived from P K compound consumed in Germany (IFASTAT, 2016-2012) and total NPK use for Peas, dry cultivation (Based on NPK values for peas, dry. Rescaled based on the N, P and K ratio between vegetables in NL and DE according to Palliere 2011.)</t>
  </si>
  <si>
    <t>Derived from Single superphos. consumed in Germany (IFASTAT, 2016-2012) and total NPK use for Peas, dry cultivation (Based on NPK values for peas, dry. Rescaled based on the N, P and K ratio between vegetables in NL and DE according to Palliere 2011.)</t>
  </si>
  <si>
    <t>Derived from Triple superphos. consumed in Germany (IFASTAT, 2016-2012) and total NPK use for Peas, dry cultivation (Based on NPK values for peas, dry. Rescaled based on the N, P and K ratio between vegetables in NL and DE according to Palliere 2011.)</t>
  </si>
  <si>
    <t>Derived from Potassium chloride consumed in Germany (IFASTAT, 2016-2012) and total NPK use for Peas, dry cultivation (Based on NPK values for peas, dry. Rescaled based on the N, P and K ratio between vegetables in NL and DE according to Palliere 2011.)</t>
  </si>
  <si>
    <t>Derived from Potassium sulphate consumed in Germany (IFASTAT, 2016-2012) and total NPK use for Peas, dry cultivation (Based on NPK values for peas, dry. Rescaled based on the N, P and K ratio between vegetables in NL and DE according to Palliere 2011.)</t>
  </si>
  <si>
    <t>Peas, dry, start material, at seed production/DE Economic</t>
  </si>
  <si>
    <t>Peas, green, at farm/DE Economic</t>
  </si>
  <si>
    <t>Derived from Ammonium phosphate consumed in Germany (IFASTAT, 2016-2012) and total NPK use for Peas, green cultivation (IFA 2011)</t>
  </si>
  <si>
    <t>Derived from Ammonium sulphate consumed in Germany (IFASTAT, 2016-2012) and total NPK use for Peas, green cultivation (IFA 2011)</t>
  </si>
  <si>
    <t>Derived from Calc.amm. nitrate consumed in Germany (IFASTAT, 2016-2012) and total NPK use for Peas, green cultivation (IFA 2011)</t>
  </si>
  <si>
    <t>Derived from N P K compound consumed in Germany (IFASTAT, 2016-2012) and total NPK use for Peas, green cultivation (IFA 2011)</t>
  </si>
  <si>
    <t>Derived from Nitrogen solutions consumed in Germany (IFASTAT, 2016-2012) and total NPK use for Peas, green cultivation (IFA 2011)</t>
  </si>
  <si>
    <t>Derived from Urea consumed in Germany (IFASTAT, 2016-2012) and total NPK use for Peas, green cultivation (IFA 2011)</t>
  </si>
  <si>
    <t>Derived from P K compound consumed in Germany (IFASTAT, 2016-2012) and total NPK use for Peas, green cultivation (IFA 2011)</t>
  </si>
  <si>
    <t>Derived from Single superphos. consumed in Germany (IFASTAT, 2016-2012) and total NPK use for Peas, green cultivation (IFA 2011)</t>
  </si>
  <si>
    <t>Derived from Triple superphos. consumed in Germany (IFASTAT, 2016-2012) and total NPK use for Peas, green cultivation (IFA 2011)</t>
  </si>
  <si>
    <t>Derived from Potassium chloride consumed in Germany (IFASTAT, 2016-2012) and total NPK use for Peas, green cultivation (IFA 2011)</t>
  </si>
  <si>
    <t>Derived from Potassium sulphate consumed in Germany (IFASTAT, 2016-2012) and total NPK use for Peas, green cultivation (IFA 2011)</t>
  </si>
  <si>
    <t>Peas, green, start material, at seed production/DE Economic</t>
  </si>
  <si>
    <t>Potatoes, at farm/DE Economic</t>
  </si>
  <si>
    <t>Potatoes, start material, at seed production/DE Economic</t>
  </si>
  <si>
    <t>Rapeseed, at farm/DE Economic</t>
  </si>
  <si>
    <t>Rapeseed straw, at farm/DE Economic</t>
  </si>
  <si>
    <t>Derived from Ammonium phosphate consumed in Germany (IFASTAT, 2016-2012) and total NPK use for Rapeseed cultivation (IFA 2011)</t>
  </si>
  <si>
    <t>Derived from Ammonium sulphate consumed in Germany (IFASTAT, 2016-2012) and total NPK use for Rapeseed cultivation (IFA 2011)</t>
  </si>
  <si>
    <t>Derived from Calc.amm. nitrate consumed in Germany (IFASTAT, 2016-2012) and total NPK use for Rapeseed cultivation (IFA 2011)</t>
  </si>
  <si>
    <t>Derived from N P K compound consumed in Germany (IFASTAT, 2016-2012) and total NPK use for Rapeseed cultivation (IFA 2011)</t>
  </si>
  <si>
    <t>Derived from Nitrogen solutions consumed in Germany (IFASTAT, 2016-2012) and total NPK use for Rapeseed cultivation (IFA 2011)</t>
  </si>
  <si>
    <t>Derived from Urea consumed in Germany (IFASTAT, 2016-2012) and total NPK use for Rapeseed cultivation (IFA 2011)</t>
  </si>
  <si>
    <t>Derived from P K compound consumed in Germany (IFASTAT, 2016-2012) and total NPK use for Rapeseed cultivation (IFA 2011)</t>
  </si>
  <si>
    <t>Derived from Single superphos. consumed in Germany (IFASTAT, 2016-2012) and total NPK use for Rapeseed cultivation (IFA 2011)</t>
  </si>
  <si>
    <t>Derived from Triple superphos. consumed in Germany (IFASTAT, 2016-2012) and total NPK use for Rapeseed cultivation (IFA 2011)</t>
  </si>
  <si>
    <t>Derived from Potassium chloride consumed in Germany (IFASTAT, 2016-2012) and total NPK use for Rapeseed cultivation (IFA 2011)</t>
  </si>
  <si>
    <t>Derived from Potassium sulphate consumed in Germany (IFASTAT, 2016-2012) and total NPK use for Rapeseed cultivation (IFA 2011)</t>
  </si>
  <si>
    <t>Rapeseed, start material, at seed production/DE Economic</t>
  </si>
  <si>
    <t>Rye grain, at farm/DE Economic</t>
  </si>
  <si>
    <t>Rye straw, at farm/DE Economic</t>
  </si>
  <si>
    <t>Derived from Ammonium phosphate consumed in Germany (IFASTAT, 2016-2012) and total NPK use for Rye cultivation (IFA 2011)</t>
  </si>
  <si>
    <t>Derived from Ammonium sulphate consumed in Germany (IFASTAT, 2016-2012) and total NPK use for Rye cultivation (IFA 2011)</t>
  </si>
  <si>
    <t>Derived from Calc.amm. nitrate consumed in Germany (IFASTAT, 2016-2012) and total NPK use for Rye cultivation (IFA 2011)</t>
  </si>
  <si>
    <t>Derived from N P K compound consumed in Germany (IFASTAT, 2016-2012) and total NPK use for Rye cultivation (IFA 2011)</t>
  </si>
  <si>
    <t>Derived from Nitrogen solutions consumed in Germany (IFASTAT, 2016-2012) and total NPK use for Rye cultivation (IFA 2011)</t>
  </si>
  <si>
    <t>Derived from Urea consumed in Germany (IFASTAT, 2016-2012) and total NPK use for Rye cultivation (IFA 2011)</t>
  </si>
  <si>
    <t>Derived from P K compound consumed in Germany (IFASTAT, 2016-2012) and total NPK use for Rye cultivation (IFA 2011)</t>
  </si>
  <si>
    <t>Derived from Single superphos. consumed in Germany (IFASTAT, 2016-2012) and total NPK use for Rye cultivation (IFA 2011)</t>
  </si>
  <si>
    <t>Derived from Triple superphos. consumed in Germany (IFASTAT, 2016-2012) and total NPK use for Rye cultivation (IFA 2011)</t>
  </si>
  <si>
    <t>Derived from Potassium chloride consumed in Germany (IFASTAT, 2016-2012) and total NPK use for Rye cultivation (IFA 2011)</t>
  </si>
  <si>
    <t>Derived from Potassium sulphate consumed in Germany (IFASTAT, 2016-2012) and total NPK use for Rye cultivation (IFA 2011)</t>
  </si>
  <si>
    <t>Rye grain, start material, at seed production/DE Economic</t>
  </si>
  <si>
    <t>Soybeans, at farm/DE Economic</t>
  </si>
  <si>
    <t>Soybean straw, at farm/DE Economic</t>
  </si>
  <si>
    <t>Derived from Ammonium phosphate consumed in Germany (IFASTAT, 2016-2012) and total NPK use for Soybeans cultivation (IFA 2011)</t>
  </si>
  <si>
    <t>Derived from Ammonium sulphate consumed in Germany (IFASTAT, 2016-2012) and total NPK use for Soybeans cultivation (IFA 2011)</t>
  </si>
  <si>
    <t>Derived from Calc.amm. nitrate consumed in Germany (IFASTAT, 2016-2012) and total NPK use for Soybeans cultivation (IFA 2011)</t>
  </si>
  <si>
    <t>Derived from N P K compound consumed in Germany (IFASTAT, 2016-2012) and total NPK use for Soybeans cultivation (IFA 2011)</t>
  </si>
  <si>
    <t>Derived from Nitrogen solutions consumed in Germany (IFASTAT, 2016-2012) and total NPK use for Soybeans cultivation (IFA 2011)</t>
  </si>
  <si>
    <t>Derived from Urea consumed in Germany (IFASTAT, 2016-2012) and total NPK use for Soybeans cultivation (IFA 2011)</t>
  </si>
  <si>
    <t>Derived from P K compound consumed in Germany (IFASTAT, 2016-2012) and total NPK use for Soybeans cultivation (IFA 2011)</t>
  </si>
  <si>
    <t>Derived from Single superphos. consumed in Germany (IFASTAT, 2016-2012) and total NPK use for Soybeans cultivation (IFA 2011)</t>
  </si>
  <si>
    <t>Derived from Triple superphos. consumed in Germany (IFASTAT, 2016-2012) and total NPK use for Soybeans cultivation (IFA 2011)</t>
  </si>
  <si>
    <t>Derived from Potassium chloride consumed in Germany (IFASTAT, 2016-2012) and total NPK use for Soybeans cultivation (IFA 2011)</t>
  </si>
  <si>
    <t>Derived from Potassium sulphate consumed in Germany (IFASTAT, 2016-2012) and total NPK use for Soybeans cultivation (IFA 2011)</t>
  </si>
  <si>
    <t>Soybeans, start material, at seed production/DE Economic</t>
  </si>
  <si>
    <t>Sugar beet, at farm/DE Economic</t>
  </si>
  <si>
    <t>Sunflower seed, at farm/DE Economic</t>
  </si>
  <si>
    <t>Derived from Ammonium phosphate consumed in Germany (IFASTAT, 2016-2012) and total NPK use for Sunflower seed cultivation (IFA 2011)</t>
  </si>
  <si>
    <t>Derived from Ammonium sulphate consumed in Germany (IFASTAT, 2016-2012) and total NPK use for Sunflower seed cultivation (IFA 2011)</t>
  </si>
  <si>
    <t>Derived from Calc.amm. nitrate consumed in Germany (IFASTAT, 2016-2012) and total NPK use for Sunflower seed cultivation (IFA 2011)</t>
  </si>
  <si>
    <t>Derived from N P K compound consumed in Germany (IFASTAT, 2016-2012) and total NPK use for Sunflower seed cultivation (IFA 2011)</t>
  </si>
  <si>
    <t>Derived from Nitrogen solutions consumed in Germany (IFASTAT, 2016-2012) and total NPK use for Sunflower seed cultivation (IFA 2011)</t>
  </si>
  <si>
    <t>Derived from Urea consumed in Germany (IFASTAT, 2016-2012) and total NPK use for Sunflower seed cultivation (IFA 2011)</t>
  </si>
  <si>
    <t>Derived from P K compound consumed in Germany (IFASTAT, 2016-2012) and total NPK use for Sunflower seed cultivation (IFA 2011)</t>
  </si>
  <si>
    <t>Derived from Single superphos. consumed in Germany (IFASTAT, 2016-2012) and total NPK use for Sunflower seed cultivation (IFA 2011)</t>
  </si>
  <si>
    <t>Derived from Triple superphos. consumed in Germany (IFASTAT, 2016-2012) and total NPK use for Sunflower seed cultivation (IFA 2011)</t>
  </si>
  <si>
    <t>Derived from Potassium chloride consumed in Germany (IFASTAT, 2016-2012) and total NPK use for Sunflower seed cultivation (IFA 2011)</t>
  </si>
  <si>
    <t>Derived from Potassium sulphate consumed in Germany (IFASTAT, 2016-2012) and total NPK use for Sunflower seed cultivation (IFA 2011)</t>
  </si>
  <si>
    <t>Sunflower seed, start material, at seed production/DE Economic</t>
  </si>
  <si>
    <t>Triticale grain, at farm/DE Economic</t>
  </si>
  <si>
    <t>Triticale straw, at farm/DE Economic</t>
  </si>
  <si>
    <t>Derived from Ammonium phosphate consumed in Germany (IFASTAT, 2016-2012) and total NPK use for Triticale cultivation (IFA 2011)</t>
  </si>
  <si>
    <t>Derived from Ammonium sulphate consumed in Germany (IFASTAT, 2016-2012) and total NPK use for Triticale cultivation (IFA 2011)</t>
  </si>
  <si>
    <t>Derived from Calc.amm. nitrate consumed in Germany (IFASTAT, 2016-2012) and total NPK use for Triticale cultivation (IFA 2011)</t>
  </si>
  <si>
    <t>Derived from N P K compound consumed in Germany (IFASTAT, 2016-2012) and total NPK use for Triticale cultivation (IFA 2011)</t>
  </si>
  <si>
    <t>Derived from Nitrogen solutions consumed in Germany (IFASTAT, 2016-2012) and total NPK use for Triticale cultivation (IFA 2011)</t>
  </si>
  <si>
    <t>Derived from Urea consumed in Germany (IFASTAT, 2016-2012) and total NPK use for Triticale cultivation (IFA 2011)</t>
  </si>
  <si>
    <t>Derived from P K compound consumed in Germany (IFASTAT, 2016-2012) and total NPK use for Triticale cultivation (IFA 2011)</t>
  </si>
  <si>
    <t>Derived from Single superphos. consumed in Germany (IFASTAT, 2016-2012) and total NPK use for Triticale cultivation (IFA 2011)</t>
  </si>
  <si>
    <t>Derived from Triple superphos. consumed in Germany (IFASTAT, 2016-2012) and total NPK use for Triticale cultivation (IFA 2011)</t>
  </si>
  <si>
    <t>Derived from Potassium chloride consumed in Germany (IFASTAT, 2016-2012) and total NPK use for Triticale cultivation (IFA 2011)</t>
  </si>
  <si>
    <t>Derived from Potassium sulphate consumed in Germany (IFASTAT, 2016-2012) and total NPK use for Triticale cultivation (IFA 2011)</t>
  </si>
  <si>
    <t>Triticale grain, start material, at seed production/DE Economic</t>
  </si>
  <si>
    <t>Wheat grain, at farm/DE Economic</t>
  </si>
  <si>
    <t>Wheat straw, at farm/DE Economic</t>
  </si>
  <si>
    <t>Derived from Ammonium phosphate consumed in Germany (IFASTAT, 2016-2012) and total NPK use for Wheat cultivation (IFA 2011)</t>
  </si>
  <si>
    <t>Derived from Ammonium sulphate consumed in Germany (IFASTAT, 2016-2012) and total NPK use for Wheat cultivation (IFA 2011)</t>
  </si>
  <si>
    <t>Derived from Calc.amm. nitrate consumed in Germany (IFASTAT, 2016-2012) and total NPK use for Wheat cultivation (IFA 2011)</t>
  </si>
  <si>
    <t>Derived from N P K compound consumed in Germany (IFASTAT, 2016-2012) and total NPK use for Wheat cultivation (IFA 2011)</t>
  </si>
  <si>
    <t>Derived from Nitrogen solutions consumed in Germany (IFASTAT, 2016-2012) and total NPK use for Wheat cultivation (IFA 2011)</t>
  </si>
  <si>
    <t>Derived from Urea consumed in Germany (IFASTAT, 2016-2012) and total NPK use for Wheat cultivation (IFA 2011)</t>
  </si>
  <si>
    <t>Derived from P K compound consumed in Germany (IFASTAT, 2016-2012) and total NPK use for Wheat cultivation (IFA 2011)</t>
  </si>
  <si>
    <t>Derived from Single superphos. consumed in Germany (IFASTAT, 2016-2012) and total NPK use for Wheat cultivation (IFA 2011)</t>
  </si>
  <si>
    <t>Derived from Triple superphos. consumed in Germany (IFASTAT, 2016-2012) and total NPK use for Wheat cultivation (IFA 2011)</t>
  </si>
  <si>
    <t>Derived from Potassium chloride consumed in Germany (IFASTAT, 2016-2012) and total NPK use for Wheat cultivation (IFA 2011)</t>
  </si>
  <si>
    <t>Derived from Potassium sulphate consumed in Germany (IFASTAT, 2016-2012) and total NPK use for Wheat cultivation (IFA 2011)</t>
  </si>
  <si>
    <t>Wheat grain, start material, at seed production/DE Economic</t>
  </si>
  <si>
    <t>Life cycle inventories of plant-based products from Agrifootprint 5.0</t>
  </si>
  <si>
    <t>Life cycle inventories of animals from Agrifootprint 5.0</t>
  </si>
  <si>
    <t>Animal meal, at processing/NL Economic</t>
  </si>
  <si>
    <t>Dairy cow co-product, feed grade, at slaughterhouse/NL Economic</t>
  </si>
  <si>
    <t>Chicken co-product, feed grade, at slaughterhouse/NL Economic</t>
  </si>
  <si>
    <t>Pig co-product, feed grade, at slaughterhouse/NL Economic</t>
  </si>
  <si>
    <t>Process steam from natural gas, heat plant, consumption mix, at plant, MJ, NL S System - Copied from ELCD</t>
  </si>
  <si>
    <t>Barley grain, dried, at farm/AR Economic</t>
  </si>
  <si>
    <t>Barley grain, dried, at farm/BE Economic</t>
  </si>
  <si>
    <t>Barley grain, dried, at farm/DK Economic</t>
  </si>
  <si>
    <t>Barley grain, dried, at farm/EE Economic</t>
  </si>
  <si>
    <t>Barley grain, dried, at farm/FI Economic</t>
  </si>
  <si>
    <t>Barley grain, dried, at farm/FR Economic</t>
  </si>
  <si>
    <t>Barley grain, dried, at farm/DE Economic</t>
  </si>
  <si>
    <t>Barley grain, dried, at farm/NL Economic</t>
  </si>
  <si>
    <t>Barley grain, dried, at farm/PL Economic</t>
  </si>
  <si>
    <t>Barley grain, dried, at farm/SE Economic</t>
  </si>
  <si>
    <t>Barley grain, dried, at farm/GB Economic</t>
  </si>
  <si>
    <t>Transport, barge ship, bulk, 1350t, 100%LF, default/GLO Economic</t>
  </si>
  <si>
    <t>Transport, barge ship, bulk, 5500t, 80%LF, default/GLO Economic</t>
  </si>
  <si>
    <t>Transport, barge ship, bulk, 550t, 100%LF, default/GLO Economic</t>
  </si>
  <si>
    <t>Transport, freight train, diesel, bulk, 50%LF, hilly terrain, default/GLO Economic</t>
  </si>
  <si>
    <t>Transport, freight train, electricity, bulk, 50%LF, flat terrain, default/GLO Economic</t>
  </si>
  <si>
    <t>Transport, sea ship, 10000 DWT, 80%LF, short, default/GLO Economic</t>
  </si>
  <si>
    <t>Transport, sea ship, 80000 DWT, 80%LF, long, default/GLO Economic</t>
  </si>
  <si>
    <t>Transport, sea ship, 80000 DWT, 80%LF, middle, default/GLO Economic</t>
  </si>
  <si>
    <t>Transport, truck &gt;20t, EURO4, 50%LF, default/GLO Economic</t>
  </si>
  <si>
    <t>Transport, truck &gt;20t, EURO5, 50%LF, default/GLO Economic</t>
  </si>
  <si>
    <t>Crude rapeseed oil (solvent), at processing/DE Economic</t>
  </si>
  <si>
    <t>Rapeseed meal (solvent), at processing/DE Economic</t>
  </si>
  <si>
    <t>Rapeseed, market mix, at regional storage/DE Economic</t>
  </si>
  <si>
    <t>Hexane, at plant/RER Economic</t>
  </si>
  <si>
    <t>Process steam from natural gas, heat plant, consumption mix, at plant, MJ, DE S System - Copied from ELCD</t>
  </si>
  <si>
    <t>Hexane</t>
  </si>
  <si>
    <t>Hydrogen sulfide</t>
  </si>
  <si>
    <t>Waste to treatment</t>
  </si>
  <si>
    <t>Landfill of biodegradable waste EU-27 System - Copied from ELCD</t>
  </si>
  <si>
    <t>Waste water treatment, domestic waste water according to the Directive 91/271/EEC concerning urban waste water treatment, at waste water treatment plant EU-27 S System - Copied from ELCD</t>
  </si>
  <si>
    <t>Crude soybean oil (solvent), at processing/DE Economic</t>
  </si>
  <si>
    <t>Soybean meal (solvent), at processing/DE Economic</t>
  </si>
  <si>
    <t>ton</t>
  </si>
  <si>
    <t>White mineral oil, at plant/RNA System - Copied from USLCI</t>
  </si>
  <si>
    <t>Soybean loss</t>
  </si>
  <si>
    <t>Crude sunflower oil (solvent), at processing/DE Economic</t>
  </si>
  <si>
    <t>Sunflower seed meal (solvent), at processing/DE Economic</t>
  </si>
  <si>
    <t>Sunflower hull (solvent), at processing/DE Economic</t>
  </si>
  <si>
    <t>Sunflower seed, market mix, at regional storage/DE Economic</t>
  </si>
  <si>
    <t>Fat from animals, at processing/NL Economic/AFP_org</t>
  </si>
  <si>
    <t>Source 1</t>
  </si>
  <si>
    <t>Import of source 1 from NL to NL</t>
  </si>
  <si>
    <t>Sugar, from sugar beet, at processing/DE Economic</t>
  </si>
  <si>
    <t>Lime fertilizer, from sugar production, at processing/DE Economic</t>
  </si>
  <si>
    <t>Sugar beet pulp wet, at processing/DE Economic</t>
  </si>
  <si>
    <t>Sugar beet molasses, at processing/DE Economic</t>
  </si>
  <si>
    <t>Avoided products</t>
  </si>
  <si>
    <t>Process steam from natural gas, heat plant, consumption mix, at plant, MJ, EU-27 S System - Copied from ELCD</t>
  </si>
  <si>
    <t>Sugar beet, market mix, at regional storage/DE Economic</t>
  </si>
  <si>
    <t>Maize degermed, at processing/DE Economic</t>
  </si>
  <si>
    <t>Maize germ wet, at processing/DE Economic</t>
  </si>
  <si>
    <t>Maize steeped, at processing/DE Economic</t>
  </si>
  <si>
    <t>Maize fibre/bran dewatered, at processing/DE Economic</t>
  </si>
  <si>
    <t>Maize fibre/bran wet, at processing/DE Economic</t>
  </si>
  <si>
    <t>Maize flour, at processing/DE Economic</t>
  </si>
  <si>
    <t>Maize middlings, at processing/DE Economic</t>
  </si>
  <si>
    <t>Maize gluten feed dried, at processing/DE Economic</t>
  </si>
  <si>
    <t>Maize solubles, at processing/DE Economic</t>
  </si>
  <si>
    <t>Maize gluten feed dried, at processing/US Economic</t>
  </si>
  <si>
    <t>Maize gluten feed dried, at processing/NL Economic</t>
  </si>
  <si>
    <t>Source 2</t>
  </si>
  <si>
    <t>Maize gluten feed dried, at processing/FR Economic</t>
  </si>
  <si>
    <t>Source 3</t>
  </si>
  <si>
    <t>Source 4</t>
  </si>
  <si>
    <t>Import of source 1 from US to NL</t>
  </si>
  <si>
    <t>Import of source 2 from NL to NL</t>
  </si>
  <si>
    <t>Import of source 3 from DE to NL</t>
  </si>
  <si>
    <t>Import of source 4 from FR to NL</t>
  </si>
  <si>
    <t>Maize gluten meal dried, at processing/DE Economic</t>
  </si>
  <si>
    <t>Maize gluten meal wet, at processing/DE Economic</t>
  </si>
  <si>
    <t>Maize starch wet, at processing/DE Economic</t>
  </si>
  <si>
    <t>Maize starch and gluten slurry, at processing/DE Economic</t>
  </si>
  <si>
    <t>Maize loss</t>
  </si>
  <si>
    <t>Maize gluten meal dried, at processing/NL Economic</t>
  </si>
  <si>
    <t>Maize gluten meal dried, at processing/US Economic</t>
  </si>
  <si>
    <t>Maize gluten meal dried, at processing/FR Economic</t>
  </si>
  <si>
    <t>Import of source 1 from DE to NL</t>
  </si>
  <si>
    <t>Import of source 3 from US to NL</t>
  </si>
  <si>
    <t>Maize middlings, at processing/FR Economic</t>
  </si>
  <si>
    <t>Maize middlings, at processing/NL Economic</t>
  </si>
  <si>
    <t>Maize middlings, at processing/US Economic</t>
  </si>
  <si>
    <t>Import of source 1 from FR to NL</t>
  </si>
  <si>
    <t>Import of source 2 from DE to NL</t>
  </si>
  <si>
    <t>Import of source 3 from NL to NL</t>
  </si>
  <si>
    <t>Import of source 4 from US to NL</t>
  </si>
  <si>
    <t>Calculated using the Direct Land Use Change Assessment Tool V2014.1, Blonk Consultants, Gouda</t>
  </si>
  <si>
    <t>10.45g foil/ton dm (Handboek Melkveehouderij 2011, table 5.17); Proxy for agricultural foil. Only base material has been modelled and foil making is ignored, due to lack of data.</t>
  </si>
  <si>
    <t>Maize steepwater wet, at processing/DE Economic</t>
  </si>
  <si>
    <t>Sulfur dioxide, at plant/RER Economic</t>
  </si>
  <si>
    <t>Maize, at farm/BG Economic</t>
  </si>
  <si>
    <t>Maize, at farm/CZ Economic</t>
  </si>
  <si>
    <t>Maize, at farm/FR Economic</t>
  </si>
  <si>
    <t>Maize, at farm/HU Economic</t>
  </si>
  <si>
    <t>Maize, at farm/NL Economic</t>
  </si>
  <si>
    <t>Maize, at farm/PL Economic</t>
  </si>
  <si>
    <t>Maize, at farm/RU Economic</t>
  </si>
  <si>
    <t>Maize, at farm/SK Economic</t>
  </si>
  <si>
    <t>Maize, at farm/UA Economic</t>
  </si>
  <si>
    <t>Meat bone meal, consumption mix, at feed compound plant/NL Economic</t>
  </si>
  <si>
    <t>Sugar beet molasses, at processing/BE Economic</t>
  </si>
  <si>
    <t>Sugar beet molasses, at processing/FR Economic</t>
  </si>
  <si>
    <t>Sugar cane molasses, at processing/IN Economic</t>
  </si>
  <si>
    <t>Sugar cane molasses, at processing/MX Economic</t>
  </si>
  <si>
    <t>Sugar beet molasses, at processing/NL Economic</t>
  </si>
  <si>
    <t>Sugar cane molasses, at processing/PK Economic</t>
  </si>
  <si>
    <t>Sugar beet molasses, at processing/RU Economic</t>
  </si>
  <si>
    <t>Sugar cane molasses, at processing/TH Economic</t>
  </si>
  <si>
    <t>Sugar beet molasses, at processing/GB Economic</t>
  </si>
  <si>
    <t>Sugar beet molasses, at processing/US Economic</t>
  </si>
  <si>
    <t>Transport, barge ship, bulk, 12000t, 100%LF, default/GLO Economic</t>
  </si>
  <si>
    <t>Oat grain, dried, at farm/BE Economic</t>
  </si>
  <si>
    <t>Oat grain, dried, at farm/DK Economic</t>
  </si>
  <si>
    <t>Oat grain, dried, at farm/FI Economic</t>
  </si>
  <si>
    <t>Oat grain, dried, at farm/FR Economic</t>
  </si>
  <si>
    <t>Oat grain, dried, at farm/DE Economic</t>
  </si>
  <si>
    <t>Oat grain, dried, at farm/LT Economic</t>
  </si>
  <si>
    <t>Oat grain, dried, at farm/NL Economic</t>
  </si>
  <si>
    <t>Oat grain, dried, at farm/PL Economic</t>
  </si>
  <si>
    <t>Oat grain, dried, at farm/SE Economic</t>
  </si>
  <si>
    <t>Oat grain, dried, at farm/GB Economic</t>
  </si>
  <si>
    <t>Peas, dry, at farm/BE Economic</t>
  </si>
  <si>
    <t>Peas, dry, at farm/CA Economic</t>
  </si>
  <si>
    <t>Peas, dry, at farm/CZ Economic</t>
  </si>
  <si>
    <t>Peas, dry, at farm/DK Economic</t>
  </si>
  <si>
    <t>Peas, dry, at farm/EE Economic</t>
  </si>
  <si>
    <t>Peas, dry, at farm/FR Economic</t>
  </si>
  <si>
    <t>Peas, dry, at farm/LT Economic</t>
  </si>
  <si>
    <t>Peas, dry, at farm/NL Economic</t>
  </si>
  <si>
    <t>Peas, dry, at farm/PL Economic</t>
  </si>
  <si>
    <t>Peas, dry, at farm/RU Economic</t>
  </si>
  <si>
    <t>Peas, dry, at farm/UA Economic</t>
  </si>
  <si>
    <t>Peas, dry, at farm/GB Economic</t>
  </si>
  <si>
    <t>Potato protein, at processing/DE Economic</t>
  </si>
  <si>
    <t>Potato juice concentrated, at processing/DE Economic</t>
  </si>
  <si>
    <t>Potato pulp pressed fresh+silage, at processing/DE Economic</t>
  </si>
  <si>
    <t>Potato starch dried, at processing/DE Economic</t>
  </si>
  <si>
    <t>Potatoes, market mix, at regional storage/DE Economic</t>
  </si>
  <si>
    <t>Potato pulp pressed fresh+silage, at processing/NL Economic</t>
  </si>
  <si>
    <t>Potatoes, at farm/NL Economic</t>
  </si>
  <si>
    <t>Rapeseed meal (solvent), at processing/BE Economic</t>
  </si>
  <si>
    <t>Rapeseed meal (solvent), at processing/CZ Economic</t>
  </si>
  <si>
    <t>Rapeseed meal (solvent), at processing/FR Economic</t>
  </si>
  <si>
    <t>Rapeseed meal (solvent), at processing/NL Economic</t>
  </si>
  <si>
    <t>Rapeseed meal (solvent), at processing/PL Economic</t>
  </si>
  <si>
    <t>Rapeseed, dried, at farm/AU Economic</t>
  </si>
  <si>
    <t>Rapeseed, dried, at farm/AT Economic</t>
  </si>
  <si>
    <t>Rapeseed, dried, at farm/BE Economic</t>
  </si>
  <si>
    <t>Rapeseed, dried, at farm/BG Economic</t>
  </si>
  <si>
    <t>Rapeseed, dried, at farm/CA Economic</t>
  </si>
  <si>
    <t>Rapeseed, dried, at farm/CZ Economic</t>
  </si>
  <si>
    <t>Rapeseed, dried, at farm/DK Economic</t>
  </si>
  <si>
    <t>Rapeseed, dried, at farm/FR Economic</t>
  </si>
  <si>
    <t>Rapeseed, dried, at farm/DE Economic</t>
  </si>
  <si>
    <t>Rapeseed, dried, at farm/HU Economic</t>
  </si>
  <si>
    <t>Rapeseed, dried, at farm/LV Economic</t>
  </si>
  <si>
    <t>Rapeseed, dried, at farm/LT Economic</t>
  </si>
  <si>
    <t>Rapeseed, dried, at farm/NL Economic</t>
  </si>
  <si>
    <t>Rapeseed, dried, at farm/PL Economic</t>
  </si>
  <si>
    <t>Rapeseed, dried, at farm/RO Economic</t>
  </si>
  <si>
    <t>Rapeseed, dried, at farm/UA Economic</t>
  </si>
  <si>
    <t>Rapeseed, dried, at farm/GB Economic</t>
  </si>
  <si>
    <t>Rye grain, dried, at farm/DE Economic</t>
  </si>
  <si>
    <t>Rye grain, dried, at farm/LV Economic</t>
  </si>
  <si>
    <t>Rye grain, dried, at farm/PL Economic</t>
  </si>
  <si>
    <t>Soybean meal (solvent), at processing/AR Economic</t>
  </si>
  <si>
    <t>Soybean meal (solvent), at processing/BR Economic</t>
  </si>
  <si>
    <t>Soybean meal (solvent), at processing/NL Economic</t>
  </si>
  <si>
    <t>Soybean, heat treated, at processing/NL Economic</t>
  </si>
  <si>
    <t>Soybeans, at farm/AT Economic</t>
  </si>
  <si>
    <t>Soybeans, at farm/BR Economic</t>
  </si>
  <si>
    <t>Soybeans, at farm/CA Economic</t>
  </si>
  <si>
    <t>Soybeans, at farm/PY Economic</t>
  </si>
  <si>
    <t>Soybeans, at farm/RO Economic</t>
  </si>
  <si>
    <t>Soybeans, at farm/UA Economic</t>
  </si>
  <si>
    <t>Soybean, production mix, at farm/US Economic</t>
  </si>
  <si>
    <t>Sugar beet pulp wet, at processing/AT Economic</t>
  </si>
  <si>
    <t>Sugar beet pulp wet, at processing/BE Economic</t>
  </si>
  <si>
    <t>Sugar beet pulp wet, at processing/FR Economic</t>
  </si>
  <si>
    <t>Sugar beet pulp wet, at processing/NL Economic</t>
  </si>
  <si>
    <t>Sugar beet pulp wet, at processing/GB Economic</t>
  </si>
  <si>
    <t>Sugar beet, at farm/NL Economic</t>
  </si>
  <si>
    <t>Sunflower seed meal (solvent), at processing/AR Economic</t>
  </si>
  <si>
    <t>Sunflower seed meal (solvent), at processing/FR Economic</t>
  </si>
  <si>
    <t>Sunflower seed meal (solvent), at processing/HU Economic</t>
  </si>
  <si>
    <t>Sunflower seed meal (solvent), at processing/NL Economic</t>
  </si>
  <si>
    <t>Sunflower seed meal (solvent), at processing/RU Economic</t>
  </si>
  <si>
    <t>Sunflower seed meal (solvent), at processing/UA Economic</t>
  </si>
  <si>
    <t>Sunflower seed, at farm/AT Economic</t>
  </si>
  <si>
    <t>Sunflower seed, at farm/BG Economic</t>
  </si>
  <si>
    <t>Sunflower seed, at farm/CZ Economic</t>
  </si>
  <si>
    <t>Sunflower seed, at farm/FR Economic</t>
  </si>
  <si>
    <t>Sunflower seed, at farm/HU Economic</t>
  </si>
  <si>
    <t>Sunflower seed, at farm/PL Economic</t>
  </si>
  <si>
    <t>Sunflower seed, at farm/RO Economic</t>
  </si>
  <si>
    <t>Sunflower seed, at farm/SK Economic</t>
  </si>
  <si>
    <t>Sunflower seed, at farm/TR Economic</t>
  </si>
  <si>
    <t>Sunflower seed, at farm/UA Economic</t>
  </si>
  <si>
    <t>Triticale grain, dried, at farm/BE Economic</t>
  </si>
  <si>
    <t>Triticale grain, dried, at farm/FR Economic</t>
  </si>
  <si>
    <t>Triticale grain, dried, at farm/DE Economic</t>
  </si>
  <si>
    <t>Triticale grain, dried, at farm/LT Economic</t>
  </si>
  <si>
    <t>Triticale grain, dried, at farm/NL Economic</t>
  </si>
  <si>
    <t>Triticale grain, dried, at farm/PL Economic</t>
  </si>
  <si>
    <t>Wheat bran, from wet milling, at processing/NL Economic</t>
  </si>
  <si>
    <t>Wheat bran, from wet milling, at processing/BE Economic</t>
  </si>
  <si>
    <t>Wheat bran, from wet milling, at processing/DE Economic</t>
  </si>
  <si>
    <t>Import of source 3 from BE to NL</t>
  </si>
  <si>
    <t>Wheat flour, at processing/DE Economic</t>
  </si>
  <si>
    <t>Wheat germ, at processing/DE Economic</t>
  </si>
  <si>
    <t>Wheat bran, from dry milling, at processing/DE Economic</t>
  </si>
  <si>
    <t>Wheat gluten feed, at processing/DE Economic</t>
  </si>
  <si>
    <t>Wheat gluten feed, at processing/NL Economic</t>
  </si>
  <si>
    <t>Wheat gluten feed, at processing/BE Economic</t>
  </si>
  <si>
    <t>Wheat gluten meal, at processing/NL Economic</t>
  </si>
  <si>
    <t>Wheat gluten meal, at processing/DE Economic</t>
  </si>
  <si>
    <t>Wheat gluten meal, at processing/BE Economic</t>
  </si>
  <si>
    <t>Import of source 2 from BE to NL</t>
  </si>
  <si>
    <t>Wheat grain, dried, at farm/CZ Economic</t>
  </si>
  <si>
    <t>Wheat grain, dried, at farm/FR Economic</t>
  </si>
  <si>
    <t>Wheat grain, dried, at farm/DE Economic</t>
  </si>
  <si>
    <t>Wheat grain, dried, at farm/NL Economic</t>
  </si>
  <si>
    <t>Wheat grain, dried, at farm/PL Economic</t>
  </si>
  <si>
    <t>Wheat starch, at processing/DE Economic</t>
  </si>
  <si>
    <t>Wheat starch slurry, at processing/DE Economic</t>
  </si>
  <si>
    <t>Life cycle inventories</t>
  </si>
  <si>
    <r>
      <t>-</t>
    </r>
    <r>
      <rPr>
        <sz val="11"/>
        <color theme="1"/>
        <rFont val="Calibri"/>
        <family val="2"/>
        <scheme val="minor"/>
      </rPr>
      <t>          The study is conducted in Europe and therefore underlies comparable climatic conditions and legislative regulations for organic production.</t>
    </r>
  </si>
  <si>
    <r>
      <t>-</t>
    </r>
    <r>
      <rPr>
        <sz val="11"/>
        <color theme="1"/>
        <rFont val="Calibri"/>
        <family val="2"/>
        <scheme val="minor"/>
      </rPr>
      <t xml:space="preserve">          Examined crops are part of the present studies’ scope (e.g., exclusion of fruits). </t>
    </r>
  </si>
  <si>
    <r>
      <t>This table shows the average yield ratio Yield</t>
    </r>
    <r>
      <rPr>
        <vertAlign val="subscript"/>
        <sz val="11"/>
        <color theme="1"/>
        <rFont val="Calibri"/>
        <family val="2"/>
        <scheme val="minor"/>
      </rPr>
      <t>AVG</t>
    </r>
    <r>
      <rPr>
        <sz val="11"/>
        <color theme="1"/>
        <rFont val="Calibri"/>
        <family val="2"/>
        <scheme val="minor"/>
      </rPr>
      <t xml:space="preserve"> and standard deviation SD for organic to conventional production for different foodstuff as retrieved from literature. n describes the number of yield and age data entries that were found per foodstuff. </t>
    </r>
  </si>
  <si>
    <r>
      <t>Yield</t>
    </r>
    <r>
      <rPr>
        <b/>
        <i/>
        <vertAlign val="subscript"/>
        <sz val="11"/>
        <color theme="0"/>
        <rFont val="Calibri"/>
        <family val="2"/>
        <scheme val="minor"/>
      </rPr>
      <t xml:space="preserve">AVG </t>
    </r>
  </si>
  <si>
    <r>
      <t>-</t>
    </r>
    <r>
      <rPr>
        <sz val="11"/>
        <color theme="1"/>
        <rFont val="Calibri"/>
        <family val="2"/>
        <scheme val="minor"/>
      </rPr>
      <t>          For yield analysis, the selected study evaluates the yield either within a comparable crop rotation between the two systems or within a typical organic and conventional crop rotation. </t>
    </r>
  </si>
  <si>
    <t>References</t>
  </si>
  <si>
    <t>CALORIC VALUE</t>
  </si>
  <si>
    <t>Market prices &amp; caloric values</t>
  </si>
  <si>
    <t>[3],[1]</t>
  </si>
  <si>
    <t>[3],[5],[1]</t>
  </si>
  <si>
    <t>[6],[7],[2],[3],[1]</t>
  </si>
  <si>
    <t>[1],[3]</t>
  </si>
  <si>
    <t xml:space="preserve">  </t>
  </si>
  <si>
    <t>Source</t>
  </si>
  <si>
    <t>[9]</t>
  </si>
  <si>
    <t>MARKET PRICES</t>
  </si>
  <si>
    <t>Schaack, D., Rampold, C., 2020. AMI Markt Bilanz Öko-Landbau 2020. Agrarmarkt Informations-Gesellschaft mbH. ISSN: 1869-9499.</t>
  </si>
  <si>
    <t>Kemper, S., Mertens, I., Von Schenck, W., 2020. AMI Markt Bilanz Getreide · Ölsaaten · Futtermittel 2020. Agrarmarkt Informations-Gesellschaft mbH. ISSN 1869-9693.</t>
  </si>
  <si>
    <t>Hamm, L.-R., 2020. Landwirtschaftliche Erzeugerpreise in Bayern. Bayerische Landesanstalt für Landwirtschaft. Online available: https://www.lfl.bayern.de/mam/cms07/iba/dateien/internet_preiskatalog_2019.pdf</t>
  </si>
  <si>
    <t>BMEL, 2020. Statistisches Jahrbuch des Bundeslandwirtschaftsministeriums: Preise, Löhne, Wirtschaftsrechnungen. Preise für landwirtschaftliche Erzeugnisse und Verarbeitungsprodukte. Vom Erzeuger erzielte Durchschnittspreise. Online available: https://www.bmel-statistik.de/preise/allgemeine-preisstatistik/</t>
  </si>
  <si>
    <t>NO emission factor</t>
  </si>
  <si>
    <t>AgrarMarkt Austria, 2020. Daten &amp; Fakten der AgrarMarkt Austria für den Bereich Getreide und Ölsaaten. Online available: https://www.ama.at/getattachment/a2da7210-b325-4c94-a1c9-126ba4350fea/120_Erzeugerpreise-fur-Getreide-und-Olsaaten-ab_2017_Niederosterreich.pdf</t>
  </si>
  <si>
    <t>Sächsisches Landesamt für Umwelt, Landwirtschaft und Geologie, 2010. Ölfrüchte im Ökologischen Landbau - Informationen für die Praxis. Online available: https://orgprints.org/id/eprint/15102/7/Oelfruechte.pdf</t>
  </si>
  <si>
    <t>Sächsisches Landesamt für Umwelt, Landwirtschaft und Geologie, 2021. Der Hilfswert für Öllein. Online available: https://www.landwirtschaft.sachsen.de/bpsplanweb/rechengroessen/planung/konventionell/hilfswert/35. Last accessed: 12.08.2021</t>
  </si>
  <si>
    <t xml:space="preserve">USDA, 2021. FoodData Central (former Nutrient Composition Database). Last accessed: </t>
  </si>
  <si>
    <t xml:space="preserve">Blonk Consultants, 2019. Agri-footprint 5.0. Accessed via SimaPro. </t>
  </si>
  <si>
    <t>Midpoint</t>
  </si>
  <si>
    <t>Energy &amp; Transport</t>
  </si>
  <si>
    <t>Plant Protection</t>
  </si>
  <si>
    <t>Land occup./transform.</t>
  </si>
  <si>
    <t>Other</t>
  </si>
  <si>
    <t xml:space="preserve">O </t>
  </si>
  <si>
    <t>Scenario</t>
  </si>
  <si>
    <t>Grass</t>
  </si>
  <si>
    <t>Compound feed</t>
  </si>
  <si>
    <t>Life stage</t>
  </si>
  <si>
    <t>Feed laying hen</t>
  </si>
  <si>
    <t>Life stage laying hen</t>
  </si>
  <si>
    <t>Market</t>
  </si>
  <si>
    <t>Externalities base case</t>
  </si>
  <si>
    <t>Externalities O1</t>
  </si>
  <si>
    <t>Externalities O2</t>
  </si>
  <si>
    <t>Externalities O3</t>
  </si>
  <si>
    <t>Externalities O4</t>
  </si>
  <si>
    <t>Scn. Paper</t>
  </si>
  <si>
    <t>tp_feed_truck</t>
  </si>
  <si>
    <t>Correction factors for direct N2O emissions**</t>
  </si>
  <si>
    <t>** The correction factos for N emissions were implemented following the suggestion of one of the anonymous reviewers of the first submission. The AFP5.0 database is based on the 2006 Guidelines for National Greehouse Gas Inventories. However, in the 2019 refinement of the guidelines, the values of some emission factors are updated and/or disaggregated (e.g., for direct N2O emissions from 0.01 into 0.016 for synthetic (and mixed) and 0.006 for organic fertilizers). To account for this, we introduce the additional correction factors, which are multiplied into the LCIs (Appendix 10) of both the conventional and the organic systems. We thank the anonymous reviewer for the valuable suggestion.</t>
  </si>
  <si>
    <t>ratio: N compound emissions from fertilizer (N2O direct)</t>
  </si>
  <si>
    <t>ratio: N compound emissions from fertilizer (N2O indirect)</t>
  </si>
  <si>
    <t>ratio: N compound emissions from fertilizer (NH3 (Ammonia))</t>
  </si>
  <si>
    <t>ratio: N compound emissions from fertilizer (NO)</t>
  </si>
  <si>
    <t>ratio: N compound emissions from fertilizer (NO3- (Nitrate))</t>
  </si>
  <si>
    <t>Conversion factors / Emission factors</t>
  </si>
  <si>
    <t>Carbon to CO2 conversion factor</t>
  </si>
  <si>
    <t>Nitrogen to N2O conversion factor</t>
  </si>
  <si>
    <t>Nitrogen to NH3 conversion factor</t>
  </si>
  <si>
    <t>Nitrogen to NO3– conversion factor</t>
  </si>
  <si>
    <t>P2O5 to phosphorous conversion factor</t>
  </si>
  <si>
    <t>phosphorous emission factor (fertilizer)</t>
  </si>
  <si>
    <t>phosphorous emission factor (manure)</t>
  </si>
  <si>
    <t xml:space="preserve">CO2 emission factor </t>
  </si>
  <si>
    <r>
      <t>NO3– emission factor (</t>
    </r>
    <r>
      <rPr>
        <i/>
        <sz val="11"/>
        <color theme="1"/>
        <rFont val="Calibri"/>
        <family val="2"/>
        <scheme val="minor"/>
      </rPr>
      <t>Frac</t>
    </r>
    <r>
      <rPr>
        <i/>
        <vertAlign val="subscript"/>
        <sz val="11"/>
        <color theme="1"/>
        <rFont val="Calibri"/>
        <family val="2"/>
        <scheme val="minor"/>
      </rPr>
      <t>LEACH</t>
    </r>
    <r>
      <rPr>
        <sz val="11"/>
        <color theme="1"/>
        <rFont val="Calibri"/>
        <family val="2"/>
        <scheme val="minor"/>
      </rPr>
      <t>)</t>
    </r>
  </si>
  <si>
    <r>
      <t>N2O emission factor (indirect, leached) (</t>
    </r>
    <r>
      <rPr>
        <i/>
        <sz val="11"/>
        <color theme="1"/>
        <rFont val="Calibri"/>
        <family val="2"/>
        <scheme val="minor"/>
      </rPr>
      <t>EF</t>
    </r>
    <r>
      <rPr>
        <i/>
        <vertAlign val="subscript"/>
        <sz val="11"/>
        <color theme="1"/>
        <rFont val="Calibri"/>
        <family val="2"/>
        <scheme val="minor"/>
      </rPr>
      <t>5</t>
    </r>
    <r>
      <rPr>
        <sz val="11"/>
        <color theme="1"/>
        <rFont val="Calibri"/>
        <family val="2"/>
        <scheme val="minor"/>
      </rPr>
      <t>)</t>
    </r>
  </si>
  <si>
    <r>
      <t>N2O emission factor (indirect, volatized) (</t>
    </r>
    <r>
      <rPr>
        <i/>
        <sz val="11"/>
        <color theme="1"/>
        <rFont val="Calibri"/>
        <family val="2"/>
        <scheme val="minor"/>
      </rPr>
      <t>EF</t>
    </r>
    <r>
      <rPr>
        <i/>
        <vertAlign val="subscript"/>
        <sz val="11"/>
        <color theme="1"/>
        <rFont val="Calibri"/>
        <family val="2"/>
        <scheme val="minor"/>
      </rPr>
      <t>4</t>
    </r>
    <r>
      <rPr>
        <sz val="11"/>
        <color theme="1"/>
        <rFont val="Calibri"/>
        <family val="2"/>
        <scheme val="minor"/>
      </rPr>
      <t>)</t>
    </r>
  </si>
  <si>
    <r>
      <t>N2O emission factor (direct) for organic fertilizers (manure) (</t>
    </r>
    <r>
      <rPr>
        <i/>
        <sz val="11"/>
        <color theme="1"/>
        <rFont val="Calibri"/>
        <family val="2"/>
        <scheme val="minor"/>
      </rPr>
      <t>EF</t>
    </r>
    <r>
      <rPr>
        <i/>
        <vertAlign val="subscript"/>
        <sz val="11"/>
        <color theme="1"/>
        <rFont val="Calibri"/>
        <family val="2"/>
        <scheme val="minor"/>
      </rPr>
      <t>1</t>
    </r>
    <r>
      <rPr>
        <sz val="11"/>
        <color theme="1"/>
        <rFont val="Calibri"/>
        <family val="2"/>
        <scheme val="minor"/>
      </rPr>
      <t>)</t>
    </r>
  </si>
  <si>
    <r>
      <t>N2O emission factor (direct) for synthetic fertilizers (</t>
    </r>
    <r>
      <rPr>
        <i/>
        <sz val="11"/>
        <color theme="1"/>
        <rFont val="Calibri"/>
        <family val="2"/>
        <scheme val="minor"/>
      </rPr>
      <t>EF</t>
    </r>
    <r>
      <rPr>
        <i/>
        <vertAlign val="subscript"/>
        <sz val="11"/>
        <color theme="1"/>
        <rFont val="Calibri"/>
        <family val="2"/>
        <scheme val="minor"/>
      </rPr>
      <t>1</t>
    </r>
    <r>
      <rPr>
        <sz val="11"/>
        <color theme="1"/>
        <rFont val="Calibri"/>
        <family val="2"/>
        <scheme val="minor"/>
      </rPr>
      <t>)</t>
    </r>
  </si>
  <si>
    <t>Anhydrous ammonia</t>
  </si>
  <si>
    <t>Ground rock</t>
  </si>
  <si>
    <t xml:space="preserve">fraction of synthetic fertilizers that volatilizes as NOx/NH3 </t>
  </si>
  <si>
    <r>
      <t>fraction of organic fertilizers (manure) that volatilizes as NOx/NH3 (</t>
    </r>
    <r>
      <rPr>
        <i/>
        <sz val="11"/>
        <color theme="1"/>
        <rFont val="Calibri"/>
        <family val="2"/>
        <scheme val="minor"/>
      </rPr>
      <t>Frac</t>
    </r>
    <r>
      <rPr>
        <i/>
        <vertAlign val="subscript"/>
        <sz val="11"/>
        <color theme="1"/>
        <rFont val="Calibri"/>
        <family val="2"/>
        <scheme val="minor"/>
      </rPr>
      <t>GASM</t>
    </r>
    <r>
      <rPr>
        <sz val="11"/>
        <color theme="1"/>
        <rFont val="Calibri"/>
        <family val="2"/>
        <scheme val="minor"/>
      </rPr>
      <t>)</t>
    </r>
  </si>
  <si>
    <t>NH3 emission factor (Tier 2) of fertilizers</t>
  </si>
  <si>
    <t>0.15 = Urea</t>
  </si>
  <si>
    <t>0.05 = Ammonium-nitrate-based</t>
  </si>
  <si>
    <t>0.08 = Ammonium-based</t>
  </si>
  <si>
    <t>0.11 = default/aggregated</t>
  </si>
  <si>
    <t>no C, N, P emissions from synthetic fertilizers in the organic systems (except for lime -&gt; parameter does not apply to lime in the LCIs in A10)</t>
  </si>
  <si>
    <t>applies to grass and maize silage</t>
  </si>
  <si>
    <t>--&gt; used to calculate the Correction Factors (CF; see above; relative changes between the original AFP5.0 LCI values and the re-calculated values that take updated/disaggregated values from the 2019 refinement of the 2006 IPCC Guidelines for National Greenhouse Gas Inventories into account)</t>
  </si>
  <si>
    <t>N2Od_fert_CF</t>
  </si>
  <si>
    <t>N2Oi_fert_CF</t>
  </si>
  <si>
    <t>NO3-_fert_CF</t>
  </si>
  <si>
    <t>N2Od_man_CF</t>
  </si>
  <si>
    <t>N2Oi_man_CF</t>
  </si>
  <si>
    <t>NO3-_man_CF</t>
  </si>
  <si>
    <t>NH3_man_CF</t>
  </si>
  <si>
    <t>slightly different CF for all products due to disaggregated values</t>
  </si>
  <si>
    <t>apprx. the same CF for all products</t>
  </si>
  <si>
    <t>apprx. the same CF for all products, except maize silage &amp; grass</t>
  </si>
  <si>
    <t>Additional auxiliary parameters***</t>
  </si>
  <si>
    <t>Parameters for removing 'exotic' components of fodder from organic feed</t>
  </si>
  <si>
    <t>LCIA/LI</t>
  </si>
  <si>
    <t>LI</t>
  </si>
  <si>
    <t>kwh</t>
  </si>
  <si>
    <t>Germany, Netherlands</t>
  </si>
  <si>
    <t xml:space="preserve">LCIA </t>
  </si>
  <si>
    <t>LCIA</t>
  </si>
  <si>
    <t>TCA
scenario</t>
  </si>
  <si>
    <t>lit.</t>
  </si>
  <si>
    <t>base case (yield -SD)</t>
  </si>
  <si>
    <t>base case</t>
  </si>
  <si>
    <t>base case (yield +SD)</t>
  </si>
  <si>
    <t>same man.</t>
  </si>
  <si>
    <t>literature man</t>
  </si>
  <si>
    <t>EPH avg. (E)</t>
  </si>
  <si>
    <t>EPH lb. (E1)</t>
  </si>
  <si>
    <t>EPH ub. (E2)</t>
  </si>
  <si>
    <t>TPF (E3)</t>
  </si>
  <si>
    <t>Organic base case</t>
  </si>
  <si>
    <t>O1 (yield-SD)</t>
  </si>
  <si>
    <t>O2 (yield+SD)</t>
  </si>
  <si>
    <t>O3 (manure C)</t>
  </si>
  <si>
    <t>O4 (manure literature)</t>
  </si>
  <si>
    <t>Conventional base case</t>
  </si>
  <si>
    <t>Endpoint</t>
  </si>
  <si>
    <t>Externalities base case E</t>
  </si>
  <si>
    <t>Externalities Scenario E1</t>
  </si>
  <si>
    <t>Externalities Scenario E2</t>
  </si>
  <si>
    <t>Externalities Scenario E3</t>
  </si>
  <si>
    <t>COMPARISON_IPCC_EPH</t>
  </si>
  <si>
    <t>base case, E</t>
  </si>
  <si>
    <t>base case, E1</t>
  </si>
  <si>
    <t>base case, E2</t>
  </si>
  <si>
    <t>base case, E3</t>
  </si>
  <si>
    <t>O1, E</t>
  </si>
  <si>
    <t>O1, E1</t>
  </si>
  <si>
    <t>O1, E2</t>
  </si>
  <si>
    <t>O1, E3</t>
  </si>
  <si>
    <t>O2, E</t>
  </si>
  <si>
    <t>O2, E1</t>
  </si>
  <si>
    <t>O2, E2</t>
  </si>
  <si>
    <t>O2, E3</t>
  </si>
  <si>
    <t>O3, E</t>
  </si>
  <si>
    <t>O3, E1</t>
  </si>
  <si>
    <t>O3, E2</t>
  </si>
  <si>
    <t>O3, E3</t>
  </si>
  <si>
    <t>O4, E</t>
  </si>
  <si>
    <t>O4, E1</t>
  </si>
  <si>
    <t>O4, E2</t>
  </si>
  <si>
    <t>O4, E3</t>
  </si>
  <si>
    <t>Life stage dairy cow</t>
  </si>
  <si>
    <t xml:space="preserve">Remaining transported weight of barley transported for organic feed processes </t>
  </si>
  <si>
    <t xml:space="preserve">Remaining transported weight of peas transported for organic feed processes </t>
  </si>
  <si>
    <t xml:space="preserve">Remaining transported weight of oats transported for organic feed processes </t>
  </si>
  <si>
    <t xml:space="preserve">Remaining transported weight of maize transported for organic feed processes </t>
  </si>
  <si>
    <t xml:space="preserve">Remaining transported weight of molasses transported for organic feed processes </t>
  </si>
  <si>
    <t xml:space="preserve">Remaining transported weight of wheat transported for organic feed processes </t>
  </si>
  <si>
    <t xml:space="preserve">Remaining transported weight of wheatbran transported for organic feed processes </t>
  </si>
  <si>
    <t xml:space="preserve">Remaining transported weight of triticale transported for organic feed processes </t>
  </si>
  <si>
    <t xml:space="preserve">Remaining transported weight of sunflower transported for organic feed processes </t>
  </si>
  <si>
    <t xml:space="preserve">Remaining transported weight of sunflowerseed meal transported for organic feed processes </t>
  </si>
  <si>
    <t xml:space="preserve">Remaining transported weight of sugarbeets transported for organic feed processes </t>
  </si>
  <si>
    <t xml:space="preserve">Remaining transported weight of sugarbeet pulp transported for organic feed processes </t>
  </si>
  <si>
    <t xml:space="preserve">Remaining transported weight of soybeans transported for organic feed processes </t>
  </si>
  <si>
    <t xml:space="preserve">Remaining transported weight of rye transported for organic feed processes </t>
  </si>
  <si>
    <t xml:space="preserve">Remaining transported weight of rapeseed transported for organic feed processes </t>
  </si>
  <si>
    <t xml:space="preserve">Remaining transported weight of rapeseed meal transported for organic feed processes </t>
  </si>
  <si>
    <t xml:space="preserve">Remaining transported weight of potatos transported for organic feed processes </t>
  </si>
  <si>
    <t xml:space="preserve">Remaining transported weight of potato pulp (fresh and from silage) transported for organic feed processes </t>
  </si>
  <si>
    <t xml:space="preserve">Remaining transported weight of soybean market mix transported for organic feed processes </t>
  </si>
  <si>
    <t xml:space="preserve">Remaining transported weight of maize middlings and maize gluten (feed and meal) transported for organic feed processes </t>
  </si>
  <si>
    <t>Parameter to exclude transport processes for feed, which are not necessary in organic production</t>
  </si>
  <si>
    <t>Average distance travelled with barge ship (1350t, with 100% loading factor) for transport of feed</t>
  </si>
  <si>
    <t>Average distance travelled with freight train (electricity, 50% loading factor on flat terrain) for transport of feed</t>
  </si>
  <si>
    <t>Average distance travelled with truck (&gt;20t, with 50% loading factor) for transport of feed</t>
  </si>
  <si>
    <t>disaggregated according to the 2019 refinement of the 2006 IPCC Guidelines for National Greenhouse Gas Inventories (was 0.01) ([10],[11])</t>
  </si>
  <si>
    <t>updated value according to the 2019 refinement of the 2006 IPCC Guidelines for National Greenhouse Gas Inventories (was 0.01) ([10],[11])</t>
  </si>
  <si>
    <t>updated value according to the 2019 refinement of the 2006 IPCC Guidelines for National Greenhouse Gas Inventories (was 0.0075) ([10],[11])</t>
  </si>
  <si>
    <t>disaggregated value according to the 2019 refinement of the 2006 IPCC Guidelines for National Greenhouse Gas Inventories (was 0.1) ([10],[11])</t>
  </si>
  <si>
    <t>updated value according to the 2019 refinement of the 2006 IPCC Guidelines for National Greenhouse Gas Inventories (was 0.2) ([10],[11])</t>
  </si>
  <si>
    <t>updated value according to the 2019 refinement of the 2006 IPCC Guidelines for National Greenhouse Gas Inventories (was 0.3) ([10],[11])</t>
  </si>
  <si>
    <t>according to the 2019 refinement of the 2006 IPCC Guidelines for National Greenhouse Gas Inventories ([10],[11])</t>
  </si>
  <si>
    <t xml:space="preserve">[10] </t>
  </si>
  <si>
    <t xml:space="preserve">[11] </t>
  </si>
  <si>
    <t>IPCC, 2019. Chapter 11: N2O Emissions from Managed Soils, and CO2 Emissions from Lime and Urea Application. In 2019 Refinement to the 2006 IPCC Guidelines for National Greenhouse Gas Inventories.</t>
  </si>
  <si>
    <t>unspecific manure not convertible from N</t>
  </si>
  <si>
    <t>unspecific manure not convertíble from N</t>
  </si>
  <si>
    <t>LCI value</t>
  </si>
  <si>
    <t>Parameters</t>
  </si>
  <si>
    <t>Allocation (%)</t>
  </si>
  <si>
    <t>y_barley</t>
  </si>
  <si>
    <t>×</t>
  </si>
  <si>
    <t>FERT</t>
  </si>
  <si>
    <t>tp_barley</t>
  </si>
  <si>
    <t>W_Cd_barley</t>
  </si>
  <si>
    <t>W_Cd_barley_CF</t>
  </si>
  <si>
    <t>W_Cr_barley</t>
  </si>
  <si>
    <t>W_Cr_barley_CF</t>
  </si>
  <si>
    <t>W_Cu_barley</t>
  </si>
  <si>
    <t>W_Cu_barley_CF</t>
  </si>
  <si>
    <t>W_Hg_barley</t>
  </si>
  <si>
    <t>W_Hg_barley_CF</t>
  </si>
  <si>
    <t>W_Pb_barley</t>
  </si>
  <si>
    <t>W_Pb_barley_CF</t>
  </si>
  <si>
    <t>W_Zn_barley</t>
  </si>
  <si>
    <t>W_Zn_barley_CF</t>
  </si>
  <si>
    <t>S_Cd_barley</t>
  </si>
  <si>
    <t>S_Cd_barley_CF</t>
  </si>
  <si>
    <t>S_Cr_barley</t>
  </si>
  <si>
    <t>S_Cr_barley_CF</t>
  </si>
  <si>
    <t>S_Cu_barley</t>
  </si>
  <si>
    <t>S_Cu_barley_CF</t>
  </si>
  <si>
    <t>S_Hg_barley</t>
  </si>
  <si>
    <t>S_Hg_barley_CF</t>
  </si>
  <si>
    <t>S_Ni_barley</t>
  </si>
  <si>
    <t>S_Ni_barley_CF</t>
  </si>
  <si>
    <t>S_Pb_barley_CF</t>
  </si>
  <si>
    <t>S_Zn_barley</t>
  </si>
  <si>
    <t>S_Zn_barley_CF</t>
  </si>
  <si>
    <t>y_maize</t>
  </si>
  <si>
    <t>tp_maize</t>
  </si>
  <si>
    <t>N2Oi_fert_maize_CF</t>
  </si>
  <si>
    <t>NO3_fert_CF</t>
  </si>
  <si>
    <t>W_Cd_maize</t>
  </si>
  <si>
    <t>W_Cd_maize_CF</t>
  </si>
  <si>
    <t>W_Cr_maize</t>
  </si>
  <si>
    <t>W_Cr_maize_CF</t>
  </si>
  <si>
    <t>W_Cu_maize</t>
  </si>
  <si>
    <t>W_Cu_maize_CF</t>
  </si>
  <si>
    <t>W_Hg_maize</t>
  </si>
  <si>
    <t>W_Hg_maize_CF</t>
  </si>
  <si>
    <t>W_Pb_maize</t>
  </si>
  <si>
    <t>W_Pb_maize_CF</t>
  </si>
  <si>
    <t>W_Zn_maize</t>
  </si>
  <si>
    <t>W_Zn_maize_CF</t>
  </si>
  <si>
    <t>NO3_man_CF</t>
  </si>
  <si>
    <t>S_Cd_maize</t>
  </si>
  <si>
    <t>S_Cd_maize_CF</t>
  </si>
  <si>
    <t>S_Cr_maize</t>
  </si>
  <si>
    <t>S_Cr_maize_CF</t>
  </si>
  <si>
    <t>S_Cu_maize</t>
  </si>
  <si>
    <t>S_Cu_maize_CF</t>
  </si>
  <si>
    <t>S_Hg_maize</t>
  </si>
  <si>
    <t>S_Hg_maize_CF</t>
  </si>
  <si>
    <t>S_Ni_maize</t>
  </si>
  <si>
    <t>S_Ni_maize_CF</t>
  </si>
  <si>
    <t>S_Pb_maize</t>
  </si>
  <si>
    <t>S_Pb_maize_CF</t>
  </si>
  <si>
    <t>S_Zn_maize</t>
  </si>
  <si>
    <t>S_Zn_maize_CF</t>
  </si>
  <si>
    <t>y_oat</t>
  </si>
  <si>
    <t>tp_oat</t>
  </si>
  <si>
    <t>N2Oi_fert_oat_CF</t>
  </si>
  <si>
    <t>W_Cd_oat</t>
  </si>
  <si>
    <t>W_Cd_Oat_CF</t>
  </si>
  <si>
    <t>W_Cr_oat</t>
  </si>
  <si>
    <t>W_Cr_Oat_CF</t>
  </si>
  <si>
    <t>W_Cu_oat</t>
  </si>
  <si>
    <t>W_Cu_Oat_CF</t>
  </si>
  <si>
    <t>W_Hg_oat</t>
  </si>
  <si>
    <t>W_Hg_Oat_CF</t>
  </si>
  <si>
    <t>W_Pb_oat</t>
  </si>
  <si>
    <t>W_Pb_Oat_CF</t>
  </si>
  <si>
    <t>W_Zn_oat</t>
  </si>
  <si>
    <t>W_Zn_Oat_CF</t>
  </si>
  <si>
    <t>S_Cd_oat</t>
  </si>
  <si>
    <t>S_Cd_Oat_CF</t>
  </si>
  <si>
    <t>S_Cr_oat</t>
  </si>
  <si>
    <t>S_Cr_Oat_CF</t>
  </si>
  <si>
    <t>S_Cu_oat</t>
  </si>
  <si>
    <t>S_Cu_Oat_CF</t>
  </si>
  <si>
    <t>S_Hg_oat</t>
  </si>
  <si>
    <t>S_Hg_Oat_CF</t>
  </si>
  <si>
    <t>S_Ni_oat</t>
  </si>
  <si>
    <t>S_Ni_Oat_CF</t>
  </si>
  <si>
    <t>S_Pb_oat</t>
  </si>
  <si>
    <t>S_Pb_Oat_CF</t>
  </si>
  <si>
    <t>S_Zn_oat</t>
  </si>
  <si>
    <t>S_Zn_Oat_CF</t>
  </si>
  <si>
    <t>y_rye</t>
  </si>
  <si>
    <t>tp_rye</t>
  </si>
  <si>
    <t>N2Oi_fert_rye_CF</t>
  </si>
  <si>
    <t>W_Cd_rye</t>
  </si>
  <si>
    <t>W_Cd_Rye_CF</t>
  </si>
  <si>
    <t>W_Cr_rye</t>
  </si>
  <si>
    <t>W_Cr_Rye_CF</t>
  </si>
  <si>
    <t>W_Cu_rye</t>
  </si>
  <si>
    <t>W_Cu_Rye_CF</t>
  </si>
  <si>
    <t>W_Hg_rye</t>
  </si>
  <si>
    <t>W_Hg_Rye_CF</t>
  </si>
  <si>
    <t>W_Pb_rye</t>
  </si>
  <si>
    <t>W_Pb_Rye_CF</t>
  </si>
  <si>
    <t>W_Zn_rye</t>
  </si>
  <si>
    <t>W_Zn_Rye_CF</t>
  </si>
  <si>
    <t>S_Cd_rye</t>
  </si>
  <si>
    <t>S_Cd_Rye_CF</t>
  </si>
  <si>
    <t>S_Cr_rye</t>
  </si>
  <si>
    <t>S_Cr_Rye_CF</t>
  </si>
  <si>
    <t>S_Cu_rye</t>
  </si>
  <si>
    <t>S_Cu_Rye_CF</t>
  </si>
  <si>
    <t>S_Hg_rye</t>
  </si>
  <si>
    <t>S_Hg_Rye_CF</t>
  </si>
  <si>
    <t>S_Ni_rye</t>
  </si>
  <si>
    <t>S_Ni_Rye_CF</t>
  </si>
  <si>
    <t>S_Pb_rye</t>
  </si>
  <si>
    <t>S_Pb_Rye_CF</t>
  </si>
  <si>
    <t>S_Zn_rye</t>
  </si>
  <si>
    <t>S_Zn_Rye_CF</t>
  </si>
  <si>
    <t>y_triticale</t>
  </si>
  <si>
    <t>tp_triticale</t>
  </si>
  <si>
    <t>N2Oi_fert_triticale_CF</t>
  </si>
  <si>
    <t>W_Cd_triticale</t>
  </si>
  <si>
    <t>W_Cd_triticale_CF</t>
  </si>
  <si>
    <t>W_Cr_triticale</t>
  </si>
  <si>
    <t>W_Cr_triticale_CF</t>
  </si>
  <si>
    <t>W_Cu_triticale</t>
  </si>
  <si>
    <t>W_Cu_triticale_CF</t>
  </si>
  <si>
    <t>W_Hg_triticale</t>
  </si>
  <si>
    <t>W_Hg_triticale_CF</t>
  </si>
  <si>
    <t>W_Pb_triticale</t>
  </si>
  <si>
    <t>W_Pb_triticale_CF</t>
  </si>
  <si>
    <t>W_Zn_triticale</t>
  </si>
  <si>
    <t>W_Zn_triticale_CF</t>
  </si>
  <si>
    <t>S_Cd_triticale</t>
  </si>
  <si>
    <t>S_Cd_triticale_CF</t>
  </si>
  <si>
    <t>S_Cr_triticale</t>
  </si>
  <si>
    <t>S_Cr_triticale_CF</t>
  </si>
  <si>
    <t>S_Cu_triticale</t>
  </si>
  <si>
    <t>S_Cu_triticale_CF</t>
  </si>
  <si>
    <t>S_Hg_triticale</t>
  </si>
  <si>
    <t>S_Hg_triticale_CF</t>
  </si>
  <si>
    <t>S_Ni_triticale</t>
  </si>
  <si>
    <t>S_Ni_triticale_CF</t>
  </si>
  <si>
    <t>S_Pb_triticale</t>
  </si>
  <si>
    <t>S_Pb_triticale_CF</t>
  </si>
  <si>
    <t>S_Zn_triticale</t>
  </si>
  <si>
    <t>S_Zn_triticale_CF</t>
  </si>
  <si>
    <t>y_wheat</t>
  </si>
  <si>
    <t>tp_wheat</t>
  </si>
  <si>
    <t>N2Oi_fert_wheat_CF</t>
  </si>
  <si>
    <t>W_Cd_wheat</t>
  </si>
  <si>
    <t>W_Cd_wheat_CF</t>
  </si>
  <si>
    <t>W_Cr_wheat</t>
  </si>
  <si>
    <t>W_Cr_wheat_CF</t>
  </si>
  <si>
    <t>W_Cu_wheat</t>
  </si>
  <si>
    <t>W_Cu_wheat_CF</t>
  </si>
  <si>
    <t>W_Hg_wheat</t>
  </si>
  <si>
    <t>W_Hg_wheat_CF</t>
  </si>
  <si>
    <t>W_Pb_wheat</t>
  </si>
  <si>
    <t>W_Pb_wheat_CF</t>
  </si>
  <si>
    <t>W_Zn_wheat</t>
  </si>
  <si>
    <t>W_Zn_wheat_CF</t>
  </si>
  <si>
    <t>S_Cd_wheat</t>
  </si>
  <si>
    <t>S_Cd_wheat_CF</t>
  </si>
  <si>
    <t>S_Cr_wheat</t>
  </si>
  <si>
    <t>S_Cr_wheat_CF</t>
  </si>
  <si>
    <t>S_Cu_wheat</t>
  </si>
  <si>
    <t>S_Cu_wheat_CF</t>
  </si>
  <si>
    <t>S_Hg_wheat</t>
  </si>
  <si>
    <t>S_Hg_wheat_CF</t>
  </si>
  <si>
    <t>S_Ni_wheat</t>
  </si>
  <si>
    <t>S_Ni_wheat_CF</t>
  </si>
  <si>
    <t>S_Pb_wheat</t>
  </si>
  <si>
    <t>S_Pb_wheat_CF</t>
  </si>
  <si>
    <t>S_Zn_wheat</t>
  </si>
  <si>
    <t>S_Zn_wheat_CF</t>
  </si>
  <si>
    <t>y_greenbeans</t>
  </si>
  <si>
    <t>tp_greenbeans</t>
  </si>
  <si>
    <t>N2Oi_fert_greenbeans_CF</t>
  </si>
  <si>
    <t>W_Cd_greenbeans</t>
  </si>
  <si>
    <t>W_Cd_greenbeans_CF</t>
  </si>
  <si>
    <t>W_Cr_greenbeans</t>
  </si>
  <si>
    <t>W_Cr_greenbeans_CF</t>
  </si>
  <si>
    <t>W_Cu_greenbeans</t>
  </si>
  <si>
    <t>W_Cu_greenbeans_CF</t>
  </si>
  <si>
    <t>W_Hg_greenbeans</t>
  </si>
  <si>
    <t>W_Hg_greenbeans_CF</t>
  </si>
  <si>
    <t>W_Pb_greenbeans</t>
  </si>
  <si>
    <t>W_Pb_greenbeans_CF</t>
  </si>
  <si>
    <t>W_Zn_greenbeans</t>
  </si>
  <si>
    <t>W_Zn_greenbeans_CF</t>
  </si>
  <si>
    <t>S_Cd_greenbeans</t>
  </si>
  <si>
    <t>S_Cd_greenbeans_CF</t>
  </si>
  <si>
    <t>S_Cr_greenbeans</t>
  </si>
  <si>
    <t>S_Cr_greenbeans_CF</t>
  </si>
  <si>
    <t>S_Cu_greenbeans</t>
  </si>
  <si>
    <t>S_Cu_greenbeans_CF</t>
  </si>
  <si>
    <t>S_Hg_greenbeans</t>
  </si>
  <si>
    <t>S_Hg_greenbeans_CF</t>
  </si>
  <si>
    <t>S_Ni_greenbeans</t>
  </si>
  <si>
    <t>S_Ni_greenbeans_CF</t>
  </si>
  <si>
    <t>S_Pb_greenbeans</t>
  </si>
  <si>
    <t>S_Pb_greenbeans_CF</t>
  </si>
  <si>
    <t>S_Zn_greenbeans</t>
  </si>
  <si>
    <t>S_Zn_greenbeans_CF</t>
  </si>
  <si>
    <t>y_broadbean</t>
  </si>
  <si>
    <t>tp_broadbean</t>
  </si>
  <si>
    <t>N2Oi_fert_broadbeans_CF</t>
  </si>
  <si>
    <t>W_Cd_broadbean</t>
  </si>
  <si>
    <t>W_Cd_broadbeans_CF</t>
  </si>
  <si>
    <t>W_Cr_broadbean</t>
  </si>
  <si>
    <t>W_Cr_broadbeans_CF</t>
  </si>
  <si>
    <t>W_Cu_broadbean</t>
  </si>
  <si>
    <t>W_Cu_broadbeans_CF</t>
  </si>
  <si>
    <t>W_Hg_broadbean</t>
  </si>
  <si>
    <t>W_Hg_broadbeans_CF</t>
  </si>
  <si>
    <t>W_Pb_broadbean</t>
  </si>
  <si>
    <t>W_Pb_broadbeans_CF</t>
  </si>
  <si>
    <t>W_Zn_broadbean</t>
  </si>
  <si>
    <t>W_Zn_broadbeans_CF</t>
  </si>
  <si>
    <t>S_Cd_broadbean</t>
  </si>
  <si>
    <t>S_Cd_broadbeans_CF</t>
  </si>
  <si>
    <t>S_Cr_broadbean</t>
  </si>
  <si>
    <t>S_Cr_broadbeans_CF</t>
  </si>
  <si>
    <t>S_Cu_broadbean</t>
  </si>
  <si>
    <t>S_Cu_broadbeans_CF</t>
  </si>
  <si>
    <t>S_Hg_broadbean</t>
  </si>
  <si>
    <t>S_Hg_broadbeans_CF</t>
  </si>
  <si>
    <t>S_Ni_broadbean</t>
  </si>
  <si>
    <t>S_Ni_broadbeans_CF</t>
  </si>
  <si>
    <t>S_Pb_broadbean</t>
  </si>
  <si>
    <t>S_Pb_broadbeans_CF</t>
  </si>
  <si>
    <t>S_Zn_broadbean</t>
  </si>
  <si>
    <t>S_Zn_broadbeans_CF</t>
  </si>
  <si>
    <t>y_lupine</t>
  </si>
  <si>
    <t>tp_lupine</t>
  </si>
  <si>
    <t>N2Oi_fert_lupins_CF</t>
  </si>
  <si>
    <t>W_Cd_lupine</t>
  </si>
  <si>
    <t>W_Cd_lupins_CF</t>
  </si>
  <si>
    <t>W_Cr_lupine</t>
  </si>
  <si>
    <t>W_Cr_lupins_CF</t>
  </si>
  <si>
    <t>W_Cu_lupine</t>
  </si>
  <si>
    <t>W_Cu_lupins_CF</t>
  </si>
  <si>
    <t>W_Hg_lupine</t>
  </si>
  <si>
    <t>W_Hg_lupins_CF</t>
  </si>
  <si>
    <t>W_Pb_lupine</t>
  </si>
  <si>
    <t>W_Pb_lupins_CF</t>
  </si>
  <si>
    <t>W_Zn_lupine</t>
  </si>
  <si>
    <t>W_Zn_lupins_CF</t>
  </si>
  <si>
    <t>S_Cd_lupine</t>
  </si>
  <si>
    <t>S_Cd_lupins_CF</t>
  </si>
  <si>
    <t>S_Cr_lupine</t>
  </si>
  <si>
    <t>S_Cr_lupins_CF</t>
  </si>
  <si>
    <t>S_Cu_lupine</t>
  </si>
  <si>
    <t>S_Cu_lupins_CF</t>
  </si>
  <si>
    <t>S_Hg_lupine</t>
  </si>
  <si>
    <t>S_Hg_lupins_CF</t>
  </si>
  <si>
    <t>S_Ni_lupine</t>
  </si>
  <si>
    <t>S_Ni_lupins_CF</t>
  </si>
  <si>
    <t>S_Pb_lupine</t>
  </si>
  <si>
    <t>S_Pb_lupins_CF</t>
  </si>
  <si>
    <t>S_Zn_lupine</t>
  </si>
  <si>
    <t>S_Zn_lupins_CF</t>
  </si>
  <si>
    <t>y_peadry</t>
  </si>
  <si>
    <t>tp_peadry</t>
  </si>
  <si>
    <t>N2Oi_fert_peasdry_CF</t>
  </si>
  <si>
    <t>W_Cd_peadry</t>
  </si>
  <si>
    <t>W_Cd_peasdry_CF</t>
  </si>
  <si>
    <t>W_Cr_peadry</t>
  </si>
  <si>
    <t>W_Cr_peasdry_CF</t>
  </si>
  <si>
    <t>W_Cu_peadry</t>
  </si>
  <si>
    <t>W_Cu_peasdry_CF</t>
  </si>
  <si>
    <t>W_Hg_peadry</t>
  </si>
  <si>
    <t>W_Hg_peasdry_CF</t>
  </si>
  <si>
    <t>W_Pb_peadry</t>
  </si>
  <si>
    <t>W_Pb_peasdry_CF</t>
  </si>
  <si>
    <t>W_Zn_peadry</t>
  </si>
  <si>
    <t>W_Zn_peasdry_CF</t>
  </si>
  <si>
    <t>S_Cd_peadry</t>
  </si>
  <si>
    <t>S_Cd_peasdry_CF</t>
  </si>
  <si>
    <t>S_Cr_peadry</t>
  </si>
  <si>
    <t>S_Cr_peasdry_CF</t>
  </si>
  <si>
    <t>S_Cu_peadry</t>
  </si>
  <si>
    <t>S_Cu_peasdry_CF</t>
  </si>
  <si>
    <t>S_Hg_peadry</t>
  </si>
  <si>
    <t>S_Hg_peasdry_CF</t>
  </si>
  <si>
    <t>S_Ni_peadry</t>
  </si>
  <si>
    <t>S_Ni_peasdry_CF</t>
  </si>
  <si>
    <t>S_Pb_peadry</t>
  </si>
  <si>
    <t>S_Pb_peasdry_CF</t>
  </si>
  <si>
    <t>S_Zn_peadry</t>
  </si>
  <si>
    <t>S_Zn_peasdry_CF</t>
  </si>
  <si>
    <t>y_peagreen</t>
  </si>
  <si>
    <t>tp_peagreen</t>
  </si>
  <si>
    <t>N2Oi_fert_peasgreen_CF</t>
  </si>
  <si>
    <t>W_Cd_peagreen</t>
  </si>
  <si>
    <t>W_Cd_peasgreen_CF</t>
  </si>
  <si>
    <t>W_Cr_peagreen</t>
  </si>
  <si>
    <t>W_Cr_peasgreen_CF</t>
  </si>
  <si>
    <t>W_Cu_peagreen</t>
  </si>
  <si>
    <t>W_Cu_peasgreen_CF</t>
  </si>
  <si>
    <t>W_Hg_peagreen</t>
  </si>
  <si>
    <t>W_Hg_peasgreen_CF</t>
  </si>
  <si>
    <t>W_Pb_peagreen</t>
  </si>
  <si>
    <t>W_Pb_peasgreen_CF</t>
  </si>
  <si>
    <t>W_Zn_peagreen</t>
  </si>
  <si>
    <t>W_Zn_peasgreen_CF</t>
  </si>
  <si>
    <t>S_Cd_peagreen</t>
  </si>
  <si>
    <t>S_Cd_peasgreen_CF</t>
  </si>
  <si>
    <t>S_Cr_peagreen</t>
  </si>
  <si>
    <t>S_Cr_peasgreen_CF</t>
  </si>
  <si>
    <t>S_Cu_peagreen</t>
  </si>
  <si>
    <t>S_Cu_peasgreen_CF</t>
  </si>
  <si>
    <t>S_Hg_peagreen</t>
  </si>
  <si>
    <t>S_Hg_peasgreen_CF</t>
  </si>
  <si>
    <t>S_Ni_peagreen</t>
  </si>
  <si>
    <t>S_Ni_peasgreen_CF</t>
  </si>
  <si>
    <t>S_Pb_peagreen</t>
  </si>
  <si>
    <t>S_Pb_peasgreen_CF</t>
  </si>
  <si>
    <t>S_Zn_peagreen</t>
  </si>
  <si>
    <t>S_Zn_peasgreen_CF</t>
  </si>
  <si>
    <t>y_soybean</t>
  </si>
  <si>
    <t>tp_soybean</t>
  </si>
  <si>
    <t>N2Oi_fert_soybeans_CF</t>
  </si>
  <si>
    <t>W_Cd_soybean</t>
  </si>
  <si>
    <t>W_Cd_soybeans_CF</t>
  </si>
  <si>
    <t>W_Cr_soybean</t>
  </si>
  <si>
    <t>W_Cr_soybeans_CF</t>
  </si>
  <si>
    <t>W_Cu_soybean</t>
  </si>
  <si>
    <t>W_Cu_soybeans_CF</t>
  </si>
  <si>
    <t>W_Hg_soybean</t>
  </si>
  <si>
    <t>W_Hg_soybeans_CF</t>
  </si>
  <si>
    <t>W_Pb_soybean</t>
  </si>
  <si>
    <t>W_Pb_soybeans_CF</t>
  </si>
  <si>
    <t>W_Zn_soybean</t>
  </si>
  <si>
    <t>W_Zn_soybeans_CF</t>
  </si>
  <si>
    <t>S_Cd_soybean</t>
  </si>
  <si>
    <t>S_Cd_soybeans_CF</t>
  </si>
  <si>
    <t>S_Cr_soybean</t>
  </si>
  <si>
    <t>S_Cr_soybeans_CF</t>
  </si>
  <si>
    <t>S_Cu_soybean</t>
  </si>
  <si>
    <t>S_Cu_soybeans_CF</t>
  </si>
  <si>
    <t>S_Hg_soybean</t>
  </si>
  <si>
    <t>S_Hg_soybeans_CF</t>
  </si>
  <si>
    <t>S_Ni_soybean</t>
  </si>
  <si>
    <t>S_Ni_soybeans_CF</t>
  </si>
  <si>
    <t>S_Pb_soybean</t>
  </si>
  <si>
    <t>S_Pb_soybeans_CF</t>
  </si>
  <si>
    <t>S_Zn_soybean</t>
  </si>
  <si>
    <t>S_Zn_soybeans_CF</t>
  </si>
  <si>
    <t>y_linseed</t>
  </si>
  <si>
    <t>tp_linseed</t>
  </si>
  <si>
    <t>N2Oi_fert_linseed_CF</t>
  </si>
  <si>
    <t>W_Cd_linseed</t>
  </si>
  <si>
    <t>W_Cd_linseed_CF</t>
  </si>
  <si>
    <t>W_Cr_linseed</t>
  </si>
  <si>
    <t>W_Cr_linseed_CF</t>
  </si>
  <si>
    <t>W_Cu_linseed</t>
  </si>
  <si>
    <t>W_Cu_linseed_CF</t>
  </si>
  <si>
    <t>W_Hg_linseed</t>
  </si>
  <si>
    <t>W_Hg_linseed_CF</t>
  </si>
  <si>
    <t>W_Pb_linseed</t>
  </si>
  <si>
    <t>W_Pb_linseed_CF</t>
  </si>
  <si>
    <t>W_Zn_linseed</t>
  </si>
  <si>
    <t>W_Zn_linseed_CF</t>
  </si>
  <si>
    <t>S_Cd_linseed</t>
  </si>
  <si>
    <t>S_Cd_linseed_CF</t>
  </si>
  <si>
    <t>S_Cr_linseed</t>
  </si>
  <si>
    <t>S_Cr_linseed_CF</t>
  </si>
  <si>
    <t>S_Cu_linseed</t>
  </si>
  <si>
    <t>S_Cu_linseed_CF</t>
  </si>
  <si>
    <t>S_Hg_linseed</t>
  </si>
  <si>
    <t>S_Hg_linseed_CF</t>
  </si>
  <si>
    <t>S_Ni_linseed</t>
  </si>
  <si>
    <t>S_Ni_linseed_CF</t>
  </si>
  <si>
    <t>S_Pb_linseed</t>
  </si>
  <si>
    <t>S_Pb_linseed_CF</t>
  </si>
  <si>
    <t>S_Zn_linseed</t>
  </si>
  <si>
    <t>S_Zn_linseed_CF</t>
  </si>
  <si>
    <t>y_mustard</t>
  </si>
  <si>
    <t>tp_mustard</t>
  </si>
  <si>
    <t>N2Oi_fert_mustardseed_CF</t>
  </si>
  <si>
    <t>W_Cd_mustard</t>
  </si>
  <si>
    <t>W_Cd_mustardseed_CF</t>
  </si>
  <si>
    <t>W_Cr_mustard</t>
  </si>
  <si>
    <t>W_Cr_mustardseed_CF</t>
  </si>
  <si>
    <t>W_Cu_mustard</t>
  </si>
  <si>
    <t>W_Cu_mustardseed_CF</t>
  </si>
  <si>
    <t>W_Hg_mustard</t>
  </si>
  <si>
    <t>W_Hg_mustardseed_CF</t>
  </si>
  <si>
    <t>W_Pb_mustard</t>
  </si>
  <si>
    <t>W_Pb_mustardseed_CF</t>
  </si>
  <si>
    <t>W_Zn_mustard</t>
  </si>
  <si>
    <t>W_Zn_mustardseed_CF</t>
  </si>
  <si>
    <t>S_Cd_mustard</t>
  </si>
  <si>
    <t>S_Cd_mustardseed_CF</t>
  </si>
  <si>
    <t>S_Cr_mustard</t>
  </si>
  <si>
    <t>S_Cr_mustardseed_CF</t>
  </si>
  <si>
    <t>S_Cu_mustard</t>
  </si>
  <si>
    <t>S_Cu_mustardseed_CF</t>
  </si>
  <si>
    <t>S_Hg_mustard</t>
  </si>
  <si>
    <t>S_Hg_mustardseed_CF</t>
  </si>
  <si>
    <t>S_Ni_mustard</t>
  </si>
  <si>
    <t>S_Ni_mustardseed_CF</t>
  </si>
  <si>
    <t>S_Pb_mustard</t>
  </si>
  <si>
    <t>S_Pb_mustardseed_CF</t>
  </si>
  <si>
    <t>S_Zn_mustard</t>
  </si>
  <si>
    <t>S_Zn_mustardseed_CF</t>
  </si>
  <si>
    <t>y_rapeseed</t>
  </si>
  <si>
    <t>tp_rapeseed</t>
  </si>
  <si>
    <t>N2Oi_fert_rapeseed_CF</t>
  </si>
  <si>
    <t>W_Cd_rapeseed</t>
  </si>
  <si>
    <t>W_Cd_rapeseed_CF</t>
  </si>
  <si>
    <t>W_Cr_rapeseed</t>
  </si>
  <si>
    <t>W_Cr_rapeseed_CF</t>
  </si>
  <si>
    <t>W_Cu_rapeseed</t>
  </si>
  <si>
    <t>W_Cu_rapeseed_CF</t>
  </si>
  <si>
    <t>W_Hg_rapeseed</t>
  </si>
  <si>
    <t>W_Hg_rapeseed_CF</t>
  </si>
  <si>
    <t>W_Pb_rapeseed</t>
  </si>
  <si>
    <t>W_Pb_rapeseed_CF</t>
  </si>
  <si>
    <t>W_Zn_rapeseed</t>
  </si>
  <si>
    <t>W_Zn_rapeseed_CF</t>
  </si>
  <si>
    <t>S_Cd_rapeseed</t>
  </si>
  <si>
    <t>S_Cd_rapeseed_CF</t>
  </si>
  <si>
    <t>S_Cr_rapeseed</t>
  </si>
  <si>
    <t>S_Cr_rapeseed_CF</t>
  </si>
  <si>
    <t>S_Cu_rapeseed</t>
  </si>
  <si>
    <t>S_Cu_rapeseed_CF</t>
  </si>
  <si>
    <t>S_Hg_rapeseed</t>
  </si>
  <si>
    <t>S_Hg_rapeseed_CF</t>
  </si>
  <si>
    <t>S_Ni_rapeseed</t>
  </si>
  <si>
    <t>S_Ni_rapeseed_CF</t>
  </si>
  <si>
    <t>S_Pb_rapeseed</t>
  </si>
  <si>
    <t>S_Pb_rapeseed_CF</t>
  </si>
  <si>
    <t>S_Zn_rapeseed</t>
  </si>
  <si>
    <t>S_Zn_rapeseed_CF</t>
  </si>
  <si>
    <t>y_sunflower</t>
  </si>
  <si>
    <t>tp_sunflower</t>
  </si>
  <si>
    <t>N2Oi_fert_sunflowerseed_CF</t>
  </si>
  <si>
    <t>W_Cd_sunflower</t>
  </si>
  <si>
    <t>W_Cd_sunflowerseed_CF</t>
  </si>
  <si>
    <t>W_Cr_sunflower</t>
  </si>
  <si>
    <t>W_Cr_sunflowerseed_CF</t>
  </si>
  <si>
    <t>W_Cu_sunflower</t>
  </si>
  <si>
    <t>W_Cu_sunflowerseed_CF</t>
  </si>
  <si>
    <t>W_Hg_sunflower</t>
  </si>
  <si>
    <t>W_Hg_sunflowerseed_CF</t>
  </si>
  <si>
    <t>W_Pb_sunflower</t>
  </si>
  <si>
    <t>W_Pb_sunflowerseed_CF</t>
  </si>
  <si>
    <t>W_Zn_sunflower</t>
  </si>
  <si>
    <t>W_Zn_sunflowerseed_CF</t>
  </si>
  <si>
    <t>S_Cd_sunflower</t>
  </si>
  <si>
    <t>S_Cd_sunflowerseed_CF</t>
  </si>
  <si>
    <t>S_Cr_sunflower</t>
  </si>
  <si>
    <t>S_Cr_sunflowerseed_CF</t>
  </si>
  <si>
    <t>S_Cu_sunflower</t>
  </si>
  <si>
    <t>S_Cu_sunflowerseed_CF</t>
  </si>
  <si>
    <t>S_Hg_sunflower</t>
  </si>
  <si>
    <t>S_Hg_sunflowerseed_CF</t>
  </si>
  <si>
    <t>S_Ni_sunflower</t>
  </si>
  <si>
    <t>S_Ni_sunflowerseed_CF</t>
  </si>
  <si>
    <t>S_Pb_sunflower</t>
  </si>
  <si>
    <t>S_Pb_sunflowerseed_CF</t>
  </si>
  <si>
    <t>S_Zn_sunflower</t>
  </si>
  <si>
    <t>S_Zn_sunflowerseed_CF</t>
  </si>
  <si>
    <t xml:space="preserve">Fat from animals, at processing/NL Economic/AFP_org	</t>
  </si>
  <si>
    <t>(no inputs / outputs)</t>
  </si>
  <si>
    <t>Important note: The process chain has been cut-off. Only the processing of brewer's grain into feed has been taken into account, while the beer brewing process has been omitted. This is in line with PEFCR.</t>
  </si>
  <si>
    <t>N2Oi_man_grassmaizesilage_CF</t>
  </si>
  <si>
    <t>N2Oi_fert_maizesilage_CF</t>
  </si>
  <si>
    <t>W_Cd_maizesilage</t>
  </si>
  <si>
    <t>W_Cd_maizesilage_CF</t>
  </si>
  <si>
    <t>W_Cr_maizesilage</t>
  </si>
  <si>
    <t>W_Cr_maizesilage_CF</t>
  </si>
  <si>
    <t>W_Cu_maizesilage</t>
  </si>
  <si>
    <t>W_Cu_maizesilage_CF</t>
  </si>
  <si>
    <t>W_Hg_maizesilage</t>
  </si>
  <si>
    <t>W_Hg_maizesilage_CF</t>
  </si>
  <si>
    <t>W_Pb_maizesilage</t>
  </si>
  <si>
    <t>W_Pb_maizesilage_CF</t>
  </si>
  <si>
    <t>W_Zn_maizesilage</t>
  </si>
  <si>
    <t>W_Zn_maizesilage_CF</t>
  </si>
  <si>
    <t>S_Cd_maizesilage</t>
  </si>
  <si>
    <t>S_Cd_maizesilage_CF</t>
  </si>
  <si>
    <t>S_Cr_maizesilage</t>
  </si>
  <si>
    <t>S_Cr_maizesilage_CF</t>
  </si>
  <si>
    <t>S_Cu_maizesilage</t>
  </si>
  <si>
    <t>S_Cu_maizesilage_CF</t>
  </si>
  <si>
    <t>S_Hg_maizesilage</t>
  </si>
  <si>
    <t>S_Hg_maizesilage_CF</t>
  </si>
  <si>
    <t>S_Ni_maizesilage</t>
  </si>
  <si>
    <t>S_Ni_maizesilage_CF</t>
  </si>
  <si>
    <t>S_Pb_maizesilage</t>
  </si>
  <si>
    <t>S_Pb_maizesilage_CF</t>
  </si>
  <si>
    <t>S_Zn_maizesilage</t>
  </si>
  <si>
    <t>S_Zn_maizesilage_CF</t>
  </si>
  <si>
    <t>potatoOLD_DE</t>
  </si>
  <si>
    <t>y_milk</t>
  </si>
  <si>
    <t>f_compound_milk</t>
  </si>
  <si>
    <t>N2Oi_fert_grassdairy_CF</t>
  </si>
  <si>
    <t>W_Cd_grass_dairy</t>
  </si>
  <si>
    <t>W_Cd_grassdairy_CF</t>
  </si>
  <si>
    <t>W_Cr_grass_dairy</t>
  </si>
  <si>
    <t>W_Cr_grassdairy_CF</t>
  </si>
  <si>
    <t>W_Cu_grass_dairy</t>
  </si>
  <si>
    <t>W_Cu_grassdairy_CF</t>
  </si>
  <si>
    <t>W_Hg_grass_dairy</t>
  </si>
  <si>
    <t>W_Hg_grassdairy_CF</t>
  </si>
  <si>
    <t>W_Pb_grass_dairy</t>
  </si>
  <si>
    <t>W_Pb_grassdairy_CF</t>
  </si>
  <si>
    <t>W_Zn_grass_dairy</t>
  </si>
  <si>
    <t>W_Zn_grassdairy_CF</t>
  </si>
  <si>
    <t>S_Cd_grass_dairy</t>
  </si>
  <si>
    <t>S_Cd_grassdairy_CF</t>
  </si>
  <si>
    <t>S_Cr_grass_dairy</t>
  </si>
  <si>
    <t>S_Cr_grassdairy_CF</t>
  </si>
  <si>
    <t>S_Cu_grass_dairy</t>
  </si>
  <si>
    <t>S_Cu_grassdairy_CF</t>
  </si>
  <si>
    <t>S_Hg_grass_dairy</t>
  </si>
  <si>
    <t>S_Hg_grassdairy_CF</t>
  </si>
  <si>
    <t>S_Ni_grass_dairy</t>
  </si>
  <si>
    <t>S_Ni_grassdairy_CF</t>
  </si>
  <si>
    <t>S_Pb_grass_dairy</t>
  </si>
  <si>
    <t>S_Pb_grassdairy_CF</t>
  </si>
  <si>
    <t>S_Zn_grass_dairy</t>
  </si>
  <si>
    <t>S_Zn_grassdairy_CF</t>
  </si>
  <si>
    <t>7.8kg foil/ton dm (from Handbook Melkveehouderij 2011, table 5.17, Dutch literature source, which is assumed to be sufficiently representative for Ireland)Note that emissions from foil making are neglected.</t>
  </si>
  <si>
    <t>Transport, truck 10-20t, EURO4, 100%LF, default/GLO Economic</t>
  </si>
  <si>
    <t>y_eggs</t>
  </si>
  <si>
    <t>0.80 E/pig water</t>
  </si>
  <si>
    <t>618996,52/f_compound_cattle</t>
  </si>
  <si>
    <t>f_compound_cattle</t>
  </si>
  <si>
    <t>N2Oi_fert_grassbeef_CF</t>
  </si>
  <si>
    <t>W_Cd_grass_beef</t>
  </si>
  <si>
    <t>W_Cd_grassbeef_CF</t>
  </si>
  <si>
    <t>W_Cr_grass_beef</t>
  </si>
  <si>
    <t>W_Cr_grassbeef_CF</t>
  </si>
  <si>
    <t>W_Cu_grass_beef</t>
  </si>
  <si>
    <t>W_Cu_grassbeef_CF</t>
  </si>
  <si>
    <t>W_Hg_grass_beef</t>
  </si>
  <si>
    <t>W_Hg_grassbeef_CF</t>
  </si>
  <si>
    <t>W_Pb_grass_beef</t>
  </si>
  <si>
    <t>W_Pb_grassbeef_CF</t>
  </si>
  <si>
    <t>W_Zn_grass_beef</t>
  </si>
  <si>
    <t>W_Zn_grassbeef_CF</t>
  </si>
  <si>
    <t>S_Cd_grass_beef</t>
  </si>
  <si>
    <t>S_Cd_grassbeef_CF</t>
  </si>
  <si>
    <t>S_Cr_grass_beef</t>
  </si>
  <si>
    <t>S_Cr_grassbeef_CF</t>
  </si>
  <si>
    <t>S_Cu_grass_beef</t>
  </si>
  <si>
    <t>S_Cu_grassbeef_CF</t>
  </si>
  <si>
    <t>S_Hg_grass_beef</t>
  </si>
  <si>
    <t>S_Hg_grassbeef_CF</t>
  </si>
  <si>
    <t>S_Ni_grass_beef</t>
  </si>
  <si>
    <t>S_Ni_grassbeef_CF</t>
  </si>
  <si>
    <t>S_Pb_grass_beef</t>
  </si>
  <si>
    <t>S_Pb_grassbeef_CF</t>
  </si>
  <si>
    <t>S_Zn_grass_beef</t>
  </si>
  <si>
    <t>S_Zn_grassbeef_CF</t>
  </si>
  <si>
    <t>7.8kg foil/ton dm (from Handbook Melkveehouderij 2011, table 5.17, Dutch literature source, which is assumed to be sufficiently representative for Ireland)</t>
  </si>
  <si>
    <t>+</t>
  </si>
  <si>
    <t>tp_feed_ship × barley_DE / 1000</t>
  </si>
  <si>
    <t>tp_feed_train × barley_DE / 1000</t>
  </si>
  <si>
    <t>tp_feed_truck × barley_DE / 1000</t>
  </si>
  <si>
    <t>tp_feed_truck × maizeOLD_DE</t>
  </si>
  <si>
    <t>tp_feed_train × maizeOLD_DE</t>
  </si>
  <si>
    <t>tp_feed_ship × maizeOLD_DE</t>
  </si>
  <si>
    <t>tp_feed_ship × maize_DE / 1000</t>
  </si>
  <si>
    <t>tp_feed_train × maize_DE / 1000</t>
  </si>
  <si>
    <t>tp_feed_truck × maize_DE / 1000</t>
  </si>
  <si>
    <t>tp_feed_ship × molasses_DE / 1000</t>
  </si>
  <si>
    <t>tp_feed_train × molasses_DE / 1000</t>
  </si>
  <si>
    <t>tp_feed_truck × molasses_DE / 1000</t>
  </si>
  <si>
    <t>tp_feed_ship × oat_DE / 1000</t>
  </si>
  <si>
    <t>tp_feed_train × oat_DE / 1000</t>
  </si>
  <si>
    <t>tp_feed_truck × oat_DE / 1000</t>
  </si>
  <si>
    <t>tp_feed_ship × pea_DE / 1000</t>
  </si>
  <si>
    <t>tp_feed_train × pea_DE / 1000</t>
  </si>
  <si>
    <t>tp_feed_truck × pea_DE / 1000</t>
  </si>
  <si>
    <t>tp_feed_truck × potatoOLD_DE</t>
  </si>
  <si>
    <t>tp_feed_train × potatoOLD_DE</t>
  </si>
  <si>
    <t>tp_feed_ship × potatoOLD_DE</t>
  </si>
  <si>
    <t>tp_feed_ship × potato_DE / 1000</t>
  </si>
  <si>
    <t>tp_feed_train × potato_DE / 1000</t>
  </si>
  <si>
    <t>tp_feed_truck × potato_DE / 1000</t>
  </si>
  <si>
    <t>tp_feed_ship × rapeseedmeal_DE / 1000</t>
  </si>
  <si>
    <t>tp_feed_train × rapeseedmeal_DE / 1000</t>
  </si>
  <si>
    <t>tp_feed_truck × rapeseedmeal_DE / 1000</t>
  </si>
  <si>
    <t>tp_feed_ship × rapeseed_DE / 1000</t>
  </si>
  <si>
    <t>tp_feed_train × rapeseed_DE / 1000</t>
  </si>
  <si>
    <t>tp_feed_truck × rapeseed_DE / 1000</t>
  </si>
  <si>
    <t>tp_feed_ship × rye_DE / 1000</t>
  </si>
  <si>
    <t>tp_feed_train × rye_DE / 1000</t>
  </si>
  <si>
    <t>tp_feed_truck × rye_DE / 1000</t>
  </si>
  <si>
    <t>tp_feed_ship × soybean_DE / 1000</t>
  </si>
  <si>
    <t>tp_feed_train × soybean_DE / 1000</t>
  </si>
  <si>
    <t>tp_feed_truck × soybean_DE / 1000</t>
  </si>
  <si>
    <t>tp_feed_ship × soybeanMM_DE / 1000</t>
  </si>
  <si>
    <t>tp_feed_train × soybeanMM_DE / 1000</t>
  </si>
  <si>
    <t>tp_feed_truck × soybeanMM_DE / 1000</t>
  </si>
  <si>
    <t>tp_feed_ship × sugarbeetpulp_DE / 1000</t>
  </si>
  <si>
    <t>tp_feed_train × sugarbeetpulp_DE / 1000</t>
  </si>
  <si>
    <t>tp_feed_truck × sugarbeetpulp_DE / 1000</t>
  </si>
  <si>
    <t>tp_feed_ship × sugarbeet_DE / 1000</t>
  </si>
  <si>
    <t>tp_feed_train × sugarbeet_DE / 1000</t>
  </si>
  <si>
    <t>tp_feed_truck × sugarbeet_DE / 1000</t>
  </si>
  <si>
    <t>tp_feed_ship × sunflowerseedmeal_DE / 1000</t>
  </si>
  <si>
    <t>tp_feed_ship × sunflower_DE / 1000</t>
  </si>
  <si>
    <t>tp_feed_train × sunflower_DE / 1000</t>
  </si>
  <si>
    <t>tp_feed_truck × sunflower_DE / 1000</t>
  </si>
  <si>
    <t>tp_feed_ship × triticale_DE / 1000</t>
  </si>
  <si>
    <t>tp_feed_train × triticale_DE / 1000</t>
  </si>
  <si>
    <t>tp_feed_truck × triticale_DE / 1000</t>
  </si>
  <si>
    <t>tp_feed_truck × wheatbran_DE</t>
  </si>
  <si>
    <t>tp_feed_train × wheatbran_DE</t>
  </si>
  <si>
    <t>tp_feed_ship × wheatbran_DE</t>
  </si>
  <si>
    <t>wheatbran_DE × tp_feed_truck</t>
  </si>
  <si>
    <t>wheatbran_DE × tp_feed_train</t>
  </si>
  <si>
    <t>wheatbran_DE × tp_feed_ship</t>
  </si>
  <si>
    <t>tp_feed_ship × wheat_DE / 1000</t>
  </si>
  <si>
    <t>tp_feed_train × wheat_DE / 1000</t>
  </si>
  <si>
    <t>tp_feed_truck × wheat_DE / 1000</t>
  </si>
  <si>
    <t>y_beef</t>
  </si>
  <si>
    <t>age_dairycow</t>
  </si>
  <si>
    <t>age_ruminants</t>
  </si>
  <si>
    <t>y_poultry</t>
  </si>
  <si>
    <t>age_layinghen</t>
  </si>
  <si>
    <t>y_pork</t>
  </si>
  <si>
    <t>age_pigs</t>
  </si>
  <si>
    <t>age_poultry</t>
  </si>
  <si>
    <t>IPCC, 2006. Chapter 11: N2O Emissions from Managed Soils, and CO2 Emissions from Lime and Urea Application. In 2006 IPCC Guidelines for National Greenhouse Gas Inventories.</t>
  </si>
  <si>
    <t>tp_feed_train × sunflowerseedmeal_DE / 1000</t>
  </si>
  <si>
    <t>tp_feed_truck × sunflowerseedmeal_DE / 1000</t>
  </si>
  <si>
    <t>y_potato</t>
  </si>
  <si>
    <t>tp_potato</t>
  </si>
  <si>
    <t>N2Oi_fert_potatoes_CF</t>
  </si>
  <si>
    <t>W_Cd_potatoes_CF</t>
  </si>
  <si>
    <t>W_Cr_potatoes_CF</t>
  </si>
  <si>
    <t>W_Cu_potatoes_CF</t>
  </si>
  <si>
    <t>W_Hg_potatoes_CF</t>
  </si>
  <si>
    <t>W_Pb_potatoes_CF</t>
  </si>
  <si>
    <t>W_Zn_potatoes_CF</t>
  </si>
  <si>
    <t>S_Cd_potatoes_CF</t>
  </si>
  <si>
    <t>S_Cr_potatoes_CF</t>
  </si>
  <si>
    <t>S_Cu_potatoes_CF</t>
  </si>
  <si>
    <t>S_Hg_potatoes_CF</t>
  </si>
  <si>
    <t>S_Ni_potatoes_CF</t>
  </si>
  <si>
    <t>S_Pb_potatoes_CF</t>
  </si>
  <si>
    <t>S_Zn_potatoes_CF</t>
  </si>
  <si>
    <t>W_Cd_potato</t>
  </si>
  <si>
    <t>W_Cr_potato</t>
  </si>
  <si>
    <t>W_Cu_potato</t>
  </si>
  <si>
    <t>W_Hg_potato</t>
  </si>
  <si>
    <t>W_Pb_potato</t>
  </si>
  <si>
    <t>W_Zn_potato</t>
  </si>
  <si>
    <t>S_Cd_potato</t>
  </si>
  <si>
    <t>S_Cr_potato</t>
  </si>
  <si>
    <t>S_Cu_potato</t>
  </si>
  <si>
    <t>S_Hg_potato</t>
  </si>
  <si>
    <t>S_Ni_potato</t>
  </si>
  <si>
    <t>S_Pb_potato</t>
  </si>
  <si>
    <t>S_Zn_potato</t>
  </si>
  <si>
    <t>y_sugarbeet</t>
  </si>
  <si>
    <t>tp_sugarbeet</t>
  </si>
  <si>
    <t>N2Oi_fert_sugarbeet_CF</t>
  </si>
  <si>
    <t>W_Cd_sugarbeet_CF</t>
  </si>
  <si>
    <t>W_Cr_sugarbeet_CF</t>
  </si>
  <si>
    <t>W_Cu_sugarbeet_CF</t>
  </si>
  <si>
    <t>W_Hg_sugarbeet_CF</t>
  </si>
  <si>
    <t>W_Pb_sugarbeet_CF</t>
  </si>
  <si>
    <t>W_Zn_sugarbeet_CF</t>
  </si>
  <si>
    <t>S_Cd_sugarbeet_CF</t>
  </si>
  <si>
    <t>S_Cr_sugarbeet_CF</t>
  </si>
  <si>
    <t>S_Cu_sugarbeet_CF</t>
  </si>
  <si>
    <t>S_Hg_sugarbeet_CF</t>
  </si>
  <si>
    <t>S_Ni_sugarbeet_CF</t>
  </si>
  <si>
    <t>S_Pb_sugarbeet_CF</t>
  </si>
  <si>
    <t>S_Zn_sugarbeet_CF</t>
  </si>
  <si>
    <t>W_Cd_sugarbeet</t>
  </si>
  <si>
    <t>W_Cr_sugarbeet</t>
  </si>
  <si>
    <t>W_Cu_sugarbeet</t>
  </si>
  <si>
    <t>W_Hg_sugarbeet</t>
  </si>
  <si>
    <t>W_Pb_sugarbeet</t>
  </si>
  <si>
    <t>W_Zn_sugarbeet</t>
  </si>
  <si>
    <t>S_Cd_sugarbeet</t>
  </si>
  <si>
    <t>S_Cr_sugarbeet</t>
  </si>
  <si>
    <t>S_Cu_sugarbeet</t>
  </si>
  <si>
    <t>S_Hg_sugarbeet</t>
  </si>
  <si>
    <t>S_Ni_sugarbeet</t>
  </si>
  <si>
    <t>S_Pb_sugarbeet</t>
  </si>
  <si>
    <t>S_Zn_sugarbeet</t>
  </si>
  <si>
    <r>
      <t xml:space="preserve">Blue letters </t>
    </r>
    <r>
      <rPr>
        <b/>
        <sz val="11"/>
        <rFont val="Calibri"/>
        <family val="2"/>
        <scheme val="minor"/>
      </rPr>
      <t>= Main product evaluated in the study at hand</t>
    </r>
  </si>
  <si>
    <r>
      <rPr>
        <b/>
        <sz val="11"/>
        <color theme="1" tint="0.34998626667073579"/>
        <rFont val="Calibri"/>
        <family val="2"/>
        <scheme val="minor"/>
      </rPr>
      <t>Grey letters</t>
    </r>
    <r>
      <rPr>
        <b/>
        <sz val="11"/>
        <rFont val="Calibri"/>
        <family val="2"/>
        <scheme val="minor"/>
      </rPr>
      <t xml:space="preserve"> = Co-products of the main products</t>
    </r>
  </si>
  <si>
    <t>Life cycle inventories of feed (pre-products animal products) from Agrifootprint 5.0</t>
  </si>
  <si>
    <r>
      <rPr>
        <b/>
        <sz val="11"/>
        <color theme="1" tint="0.34998626667073579"/>
        <rFont val="Calibri"/>
        <family val="2"/>
        <scheme val="minor"/>
      </rPr>
      <t>Grey letters</t>
    </r>
    <r>
      <rPr>
        <b/>
        <sz val="11"/>
        <rFont val="Calibri"/>
        <family val="2"/>
        <scheme val="minor"/>
      </rPr>
      <t xml:space="preserve"> = Co- or pre-products of the main products</t>
    </r>
  </si>
  <si>
    <t>Life cycle inventories of animals and animal-based products from Agrifootprint 5.0</t>
  </si>
  <si>
    <t>Dairy cow meat, at slaughterhouse/NL Economic</t>
  </si>
  <si>
    <t>Dairy cow co-product, food grade, at slaughterhouse/NL Economic</t>
  </si>
  <si>
    <t>Dairy cow co-product, other, at slaughterhouse/NL Economic</t>
  </si>
  <si>
    <t>Pig meat, at slaughterhouse/NL Economic</t>
  </si>
  <si>
    <t>Pig co-product, food grade, at slaughterhouse/NL Economic</t>
  </si>
  <si>
    <t>Pig co-product, other, at slaughterhouse/NL Economic</t>
  </si>
  <si>
    <t>Externalities base case O</t>
  </si>
  <si>
    <t>Externalities base case O3</t>
  </si>
  <si>
    <t>Externalities base case O4</t>
  </si>
  <si>
    <t>Conventional</t>
  </si>
  <si>
    <t>Beef cattle</t>
  </si>
  <si>
    <t>Dairy cow</t>
  </si>
  <si>
    <t>German cattle mix</t>
  </si>
  <si>
    <t>Human  Health</t>
  </si>
  <si>
    <t>Resource availabilty</t>
  </si>
  <si>
    <t>Appendix A7(a-c)</t>
  </si>
  <si>
    <t>Appendix A8</t>
  </si>
  <si>
    <t>Appendix A9(a-c)</t>
  </si>
  <si>
    <t>Appendix A10</t>
  </si>
  <si>
    <t>Diesel, energy (electr./heat), feed</t>
  </si>
  <si>
    <t>Comprises all Life Cycle Inventories that were remodelled as part of this study (both the 22 focal products and all associated pre-products and co-products)</t>
  </si>
  <si>
    <t>Calculation of parameter values</t>
  </si>
  <si>
    <t>Comprises all parameter values (for the organic inventories in relation to the conventional case) and their calculations, as used in the Life Cycle Inventories (Appendix A9)</t>
  </si>
  <si>
    <t>Calculation of parameter values, as used in the Life Cycle Inventories (Appendix A9)</t>
  </si>
  <si>
    <t>- Columns S to AJ present the LCIA results from the newer ReCiPe version (ReCiPe 2016), which are used to analyze the environmental impacts for the different midpoints in sections 3.1 and 3.2.</t>
  </si>
  <si>
    <t>- Columns AK to BB present the LCIA impacts with ReCiPe 2008. These values form the bases for the TCA, as the Environmental Prices Handbook's monetization factors are calibrated for ReCiPe 2008's assumptions.</t>
  </si>
  <si>
    <t>- Lines 19 to 150 present the environmental impacts in the respective midpoint units.</t>
  </si>
  <si>
    <t>- Lines 152 to 283 present the percental impacts of the organic scenarios (for each midpoint), relative to the conventional base case (100%).</t>
  </si>
  <si>
    <t>- Lines 285 to 812 (colums AK to BB only) present the external costs, retrieved from monetizing the environmtnal impacts of each midpoint with the monetization factor of the respective scenario (E, E1, E2, E3)</t>
  </si>
  <si>
    <t>- Columns BE to BZ calculate the percental contribution of each midpoint (in endpoint units, columns CB to CW) to their respetive endpoint, for an estimation of their relative importance in this application case.</t>
  </si>
  <si>
    <r>
      <t xml:space="preserve">Michalke, A., Köhler, S., Messmann, L., Thorenz, A., Tuma, A., Gaugler, T. (2023):
</t>
    </r>
    <r>
      <rPr>
        <b/>
        <i/>
        <sz val="14"/>
        <color rgb="FF000000"/>
        <rFont val="Arial"/>
        <family val="2"/>
      </rPr>
      <t>True Cost Accounting of organic and conventional food production</t>
    </r>
    <r>
      <rPr>
        <b/>
        <sz val="14"/>
        <color rgb="FF000000"/>
        <rFont val="Arial"/>
        <family val="2"/>
      </rPr>
      <t xml:space="preserve">
Journal of Cleaner Production</t>
    </r>
  </si>
  <si>
    <t>(manure literature scenario. For other scenarios, see A8: I493)</t>
  </si>
  <si>
    <t>[12]</t>
  </si>
  <si>
    <t xml:space="preserve">Springmann, M., &amp; Freund, F., 2022. Options for reforming agricultural subsidies from health, climate, and economic perspectives. Nature Communications, 13(1). https://doi.org/10.1038/s41467-021-27645-2
 </t>
  </si>
  <si>
    <t>[13]</t>
  </si>
  <si>
    <t>OECD, 2023. Agricultural support estimates: Commodity indicators, OECD Agriculture Statistics (database), https://doi.org/10.1787/54da8ea7-en (accessed on 16 March 2023).</t>
  </si>
  <si>
    <t>This Supporting Information S2 provides background data and information on detailed calculations for the following subject matters:</t>
  </si>
  <si>
    <t>Appendix A13(a-d)</t>
  </si>
  <si>
    <t>Appendix A12</t>
  </si>
  <si>
    <t>Commodity-specific agricultural subsidies</t>
  </si>
  <si>
    <t>See A11, cells BE19 to BZ150</t>
  </si>
  <si>
    <t>True costs</t>
  </si>
  <si>
    <t>Price increase from market price to true costs</t>
  </si>
  <si>
    <r>
      <t>Subsidy payments, 2017</t>
    </r>
    <r>
      <rPr>
        <b/>
        <vertAlign val="superscript"/>
        <sz val="11"/>
        <color theme="0"/>
        <rFont val="Calibri"/>
        <family val="2"/>
        <scheme val="minor"/>
      </rPr>
      <t xml:space="preserve"> [12]</t>
    </r>
  </si>
  <si>
    <r>
      <t>Producer Price, 2017</t>
    </r>
    <r>
      <rPr>
        <b/>
        <vertAlign val="superscript"/>
        <sz val="11"/>
        <color theme="0"/>
        <rFont val="Calibri"/>
        <family val="2"/>
        <scheme val="minor"/>
      </rPr>
      <t xml:space="preserve"> [13]</t>
    </r>
  </si>
  <si>
    <r>
      <t>Level of production, 2017</t>
    </r>
    <r>
      <rPr>
        <b/>
        <vertAlign val="superscript"/>
        <sz val="11"/>
        <color theme="0"/>
        <rFont val="Calibri"/>
        <family val="2"/>
        <scheme val="minor"/>
      </rPr>
      <t>[13]</t>
    </r>
  </si>
  <si>
    <t>Subsidy payments</t>
  </si>
  <si>
    <t>Share subsidy payments of producer prices</t>
  </si>
  <si>
    <t>mio EUR</t>
  </si>
  <si>
    <t>mio EUR/ mio t</t>
  </si>
  <si>
    <t>1000 t</t>
  </si>
  <si>
    <t>EUR/kg</t>
  </si>
  <si>
    <t>Cereals</t>
  </si>
  <si>
    <t>Beef Cattle</t>
  </si>
  <si>
    <t>Meat</t>
  </si>
  <si>
    <t xml:space="preserve">Springmann, M., &amp; Freund, F. (2022). Options for reforming agricultural subsidies from health, climate, and economic perspectives. Nature Communications, 13(1). https://doi.org/10.1038/s41467-021-27645-2
 </t>
  </si>
  <si>
    <t>OECD (2023), "Agricultural support estimates: Commodity indicators", OECD Agriculture Statistics (database), https://doi.org/10.1787/54da8ea7-en (accessed on 16 March 2023).</t>
  </si>
  <si>
    <t>Figure data: Figure S1-16</t>
  </si>
  <si>
    <t>Figure data: Figure S1-14, Figure S1-15</t>
  </si>
  <si>
    <t>Figure data: Figure 7</t>
  </si>
  <si>
    <t>Figure data: Figure 5, Figure 6</t>
  </si>
  <si>
    <t>Figure 3</t>
  </si>
  <si>
    <t>Figure 4</t>
  </si>
  <si>
    <t>Figure S1-8</t>
  </si>
  <si>
    <t>Figure S1-9</t>
  </si>
  <si>
    <t>Figure S1-10</t>
  </si>
  <si>
    <t>Figure S1-11</t>
  </si>
  <si>
    <t>Figure S1-12</t>
  </si>
  <si>
    <t>Figure S1-13</t>
  </si>
  <si>
    <t>Figure data: Figure 3, Figure 4, Figure S1-8 to S1-13</t>
  </si>
  <si>
    <t>Figure data: Figure 2, Figure S1-5</t>
  </si>
  <si>
    <t>Figure data: Figure S1-6, Figure S1-7</t>
  </si>
  <si>
    <t>Figure data: Figure S1-4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</si>
</sst>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164" formatCode="0.0%"/>
    <numFmt numFmtId="165" formatCode="&quot;€&quot;0.00"/>
    <numFmt numFmtId="166" formatCode="#,##0.000"/>
    <numFmt numFmtId="167" formatCode="0.0000E+00"/>
    <numFmt numFmtId="168" formatCode="0.000%"/>
    <numFmt numFmtId="169" formatCode="0.0E+00"/>
    <numFmt numFmtId="170" formatCode="\+0%;\-0%"/>
    <numFmt numFmtId="171" formatCode="0.0000"/>
    <numFmt numFmtId="172" formatCode="0.000"/>
    <numFmt numFmtId="173" formatCode="#,##0.0000"/>
    <numFmt numFmtId="174" formatCode="#,##0.00000000"/>
    <numFmt numFmtId="175" formatCode="#,##0.00000"/>
    <numFmt numFmtId="176" formatCode="\+0.0%;\-0.0%"/>
    <numFmt numFmtId="177" formatCode="#,##0.0"/>
    <numFmt numFmtId="178" formatCode="0.0"/>
    <numFmt numFmtId="179" formatCode="&quot;€&quot;0.000"/>
    <numFmt numFmtId="180" formatCode="#,##0\ &quot;€&quot;"/>
    <numFmt numFmtId="181" formatCode="#,##0.00\ &quot;€&quot;"/>
    <numFmt numFmtId="182" formatCode="\+0%"/>
  </numFmts>
  <fonts count="7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color rgb="FF000000"/>
      <name val="Arial"/>
      <family val="2"/>
    </font>
    <font>
      <i/>
      <sz val="12"/>
      <color theme="1"/>
      <name val="Garamond"/>
      <family val="1"/>
    </font>
    <font>
      <sz val="10"/>
      <color theme="1"/>
      <name val="Calibri"/>
      <family val="2"/>
      <scheme val="minor"/>
    </font>
    <font>
      <b/>
      <sz val="10"/>
      <color theme="1"/>
      <name val="Calibri"/>
      <family val="2"/>
      <scheme val="minor"/>
    </font>
    <font>
      <sz val="10"/>
      <color theme="0"/>
      <name val="Calibri"/>
      <family val="2"/>
      <scheme val="minor"/>
    </font>
    <font>
      <sz val="10"/>
      <name val="Calibri"/>
      <family val="2"/>
      <scheme val="minor"/>
    </font>
    <font>
      <sz val="10"/>
      <color theme="0" tint="-0.499984740745262"/>
      <name val="Calibri"/>
      <family val="2"/>
      <scheme val="minor"/>
    </font>
    <font>
      <b/>
      <sz val="10"/>
      <color theme="0"/>
      <name val="Calibri"/>
      <family val="2"/>
      <scheme val="minor"/>
    </font>
    <font>
      <sz val="10"/>
      <color theme="0" tint="-0.249977111117893"/>
      <name val="Calibri"/>
      <family val="2"/>
      <scheme val="minor"/>
    </font>
    <font>
      <sz val="10"/>
      <color theme="4" tint="0.79998168889431442"/>
      <name val="Calibri"/>
      <family val="2"/>
      <scheme val="minor"/>
    </font>
    <font>
      <sz val="10"/>
      <color theme="9" tint="0.79998168889431442"/>
      <name val="Calibri"/>
      <family val="2"/>
      <scheme val="minor"/>
    </font>
    <font>
      <sz val="10"/>
      <color theme="5" tint="0.79998168889431442"/>
      <name val="Calibri"/>
      <family val="2"/>
      <scheme val="minor"/>
    </font>
    <font>
      <sz val="10"/>
      <color theme="7" tint="-0.499984740745262"/>
      <name val="Calibri"/>
      <family val="2"/>
      <scheme val="minor"/>
    </font>
    <font>
      <b/>
      <sz val="12"/>
      <color theme="0"/>
      <name val="Calibri"/>
      <family val="2"/>
      <scheme val="minor"/>
    </font>
    <font>
      <sz val="12"/>
      <color theme="1"/>
      <name val="Calibri"/>
      <family val="2"/>
      <scheme val="minor"/>
    </font>
    <font>
      <b/>
      <sz val="9"/>
      <color indexed="81"/>
      <name val="Segoe UI"/>
      <family val="2"/>
    </font>
    <font>
      <sz val="9"/>
      <color indexed="81"/>
      <name val="Segoe UI"/>
      <family val="2"/>
    </font>
    <font>
      <sz val="14"/>
      <color indexed="81"/>
      <name val="Segoe UI"/>
      <family val="2"/>
    </font>
    <font>
      <sz val="16"/>
      <color indexed="81"/>
      <name val="Segoe UI"/>
      <family val="2"/>
    </font>
    <font>
      <b/>
      <sz val="11"/>
      <color rgb="FF000000"/>
      <name val="Calibri"/>
      <family val="2"/>
      <scheme val="minor"/>
    </font>
    <font>
      <vertAlign val="subscript"/>
      <sz val="11"/>
      <color theme="1"/>
      <name val="Calibri"/>
      <family val="2"/>
      <scheme val="minor"/>
    </font>
    <font>
      <sz val="11"/>
      <name val="Calibri"/>
      <family val="2"/>
      <scheme val="minor"/>
    </font>
    <font>
      <b/>
      <sz val="11"/>
      <name val="Calibri"/>
      <family val="2"/>
      <scheme val="minor"/>
    </font>
    <font>
      <sz val="11"/>
      <color theme="0" tint="-0.249977111117893"/>
      <name val="Calibri"/>
      <family val="2"/>
      <scheme val="minor"/>
    </font>
    <font>
      <sz val="11"/>
      <color theme="0" tint="-0.14999847407452621"/>
      <name val="Calibri"/>
      <family val="2"/>
      <scheme val="minor"/>
    </font>
    <font>
      <sz val="11"/>
      <color theme="0" tint="-0.499984740745262"/>
      <name val="Calibri"/>
      <family val="2"/>
      <scheme val="minor"/>
    </font>
    <font>
      <b/>
      <sz val="11"/>
      <color theme="0" tint="-0.249977111117893"/>
      <name val="Calibri"/>
      <family val="2"/>
      <scheme val="minor"/>
    </font>
    <font>
      <sz val="11"/>
      <color theme="1"/>
      <name val="Calibri"/>
      <family val="2"/>
    </font>
    <font>
      <b/>
      <sz val="11"/>
      <color theme="1"/>
      <name val="Calibri"/>
      <family val="2"/>
    </font>
    <font>
      <sz val="11"/>
      <color rgb="FF000000"/>
      <name val="Calibri"/>
      <family val="2"/>
      <scheme val="minor"/>
    </font>
    <font>
      <b/>
      <i/>
      <sz val="11"/>
      <color theme="0"/>
      <name val="Calibri"/>
      <family val="2"/>
      <scheme val="minor"/>
    </font>
    <font>
      <b/>
      <i/>
      <vertAlign val="subscript"/>
      <sz val="11"/>
      <color theme="0"/>
      <name val="Calibri"/>
      <family val="2"/>
      <scheme val="minor"/>
    </font>
    <font>
      <sz val="12.1"/>
      <color theme="1"/>
      <name val="Wingdings"/>
      <charset val="2"/>
    </font>
    <font>
      <b/>
      <i/>
      <sz val="11"/>
      <color theme="1"/>
      <name val="Calibri"/>
      <family val="2"/>
      <scheme val="minor"/>
    </font>
    <font>
      <sz val="11"/>
      <color theme="0" tint="-0.34998626667073579"/>
      <name val="Calibri"/>
      <family val="2"/>
      <scheme val="minor"/>
    </font>
    <font>
      <sz val="11"/>
      <color rgb="FF7030A0"/>
      <name val="Calibri"/>
      <family val="2"/>
      <scheme val="minor"/>
    </font>
    <font>
      <i/>
      <sz val="11"/>
      <color theme="1"/>
      <name val="Calibri"/>
      <family val="2"/>
      <scheme val="minor"/>
    </font>
    <font>
      <i/>
      <sz val="11"/>
      <color rgb="FF7030A0"/>
      <name val="Calibri"/>
      <family val="2"/>
      <scheme val="minor"/>
    </font>
    <font>
      <i/>
      <vertAlign val="subscript"/>
      <sz val="11"/>
      <color theme="1"/>
      <name val="Calibri"/>
      <family val="2"/>
      <scheme val="minor"/>
    </font>
    <font>
      <b/>
      <sz val="11"/>
      <color rgb="FF7030A0"/>
      <name val="Calibri"/>
      <family val="2"/>
      <scheme val="minor"/>
    </font>
    <font>
      <i/>
      <sz val="11"/>
      <color theme="0" tint="-0.499984740745262"/>
      <name val="Calibri"/>
      <family val="2"/>
      <scheme val="minor"/>
    </font>
    <font>
      <sz val="10"/>
      <color rgb="FF7030A0"/>
      <name val="Calibri"/>
      <family val="2"/>
      <scheme val="minor"/>
    </font>
    <font>
      <sz val="10"/>
      <color theme="0" tint="-0.34998626667073579"/>
      <name val="Calibri"/>
      <family val="2"/>
      <scheme val="minor"/>
    </font>
    <font>
      <sz val="8"/>
      <name val="Calibri"/>
      <family val="2"/>
      <scheme val="minor"/>
    </font>
    <font>
      <b/>
      <sz val="12"/>
      <color theme="1"/>
      <name val="Calibri"/>
      <family val="2"/>
      <scheme val="minor"/>
    </font>
    <font>
      <b/>
      <sz val="11"/>
      <color theme="8" tint="-0.249977111117893"/>
      <name val="Calibri"/>
      <family val="2"/>
      <scheme val="minor"/>
    </font>
    <font>
      <b/>
      <sz val="11"/>
      <color theme="1" tint="0.34998626667073579"/>
      <name val="Calibri"/>
      <family val="2"/>
      <scheme val="minor"/>
    </font>
    <font>
      <b/>
      <sz val="14"/>
      <color rgb="FF000000"/>
      <name val="Arial"/>
      <family val="2"/>
    </font>
    <font>
      <b/>
      <i/>
      <sz val="14"/>
      <color rgb="FF000000"/>
      <name val="Arial"/>
      <family val="2"/>
    </font>
    <font>
      <sz val="8"/>
      <color theme="1"/>
      <name val="Calibri"/>
      <family val="2"/>
      <scheme val="minor"/>
    </font>
    <font>
      <sz val="8.5"/>
      <color theme="1"/>
      <name val="Calibri"/>
      <family val="2"/>
      <scheme val="minor"/>
    </font>
    <font>
      <b/>
      <vertAlign val="superscript"/>
      <sz val="11"/>
      <color theme="0"/>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5" tint="-0.499984740745262"/>
        <bgColor indexed="64"/>
      </patternFill>
    </fill>
    <fill>
      <patternFill patternType="solid">
        <fgColor theme="1" tint="0.499984740745262"/>
        <bgColor indexed="64"/>
      </patternFill>
    </fill>
    <fill>
      <patternFill patternType="solid">
        <fgColor rgb="FFFFFF00"/>
        <bgColor indexed="64"/>
      </patternFill>
    </fill>
    <fill>
      <patternFill patternType="solid">
        <fgColor theme="2" tint="-0.74999237037263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1" tint="0.249977111117893"/>
        <bgColor theme="0"/>
      </patternFill>
    </fill>
    <fill>
      <patternFill patternType="solid">
        <fgColor theme="5" tint="0.59999389629810485"/>
        <bgColor indexed="64"/>
      </patternFill>
    </fill>
    <fill>
      <patternFill patternType="solid">
        <fgColor theme="5"/>
        <bgColor indexed="64"/>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64"/>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style="dashed">
        <color indexed="64"/>
      </left>
      <right style="thin">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style="thin">
        <color indexed="64"/>
      </right>
      <top/>
      <bottom style="thin">
        <color indexed="64"/>
      </bottom>
      <diagonal/>
    </border>
    <border>
      <left/>
      <right style="hair">
        <color indexed="64"/>
      </right>
      <top/>
      <bottom/>
      <diagonal/>
    </border>
    <border>
      <left/>
      <right style="thin">
        <color indexed="64"/>
      </right>
      <top/>
      <bottom style="hair">
        <color auto="1"/>
      </bottom>
      <diagonal/>
    </border>
    <border>
      <left/>
      <right/>
      <top/>
      <bottom style="hair">
        <color auto="1"/>
      </bottom>
      <diagonal/>
    </border>
    <border>
      <left style="thin">
        <color indexed="64"/>
      </left>
      <right/>
      <top/>
      <bottom style="hair">
        <color auto="1"/>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thin">
        <color auto="1"/>
      </left>
      <right style="thin">
        <color indexed="64"/>
      </right>
      <top/>
      <bottom style="hair">
        <color auto="1"/>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right style="thin">
        <color indexed="64"/>
      </right>
      <top style="hair">
        <color auto="1"/>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dashed">
        <color indexed="64"/>
      </right>
      <top/>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style="thin">
        <color indexed="64"/>
      </left>
      <right style="dashed">
        <color indexed="64"/>
      </right>
      <top/>
      <bottom/>
      <diagonal/>
    </border>
    <border>
      <left style="thin">
        <color indexed="64"/>
      </left>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right style="thin">
        <color indexed="64"/>
      </right>
      <top/>
      <bottom style="dashed">
        <color indexed="64"/>
      </bottom>
      <diagonal/>
    </border>
    <border>
      <left style="thin">
        <color indexed="64"/>
      </left>
      <right style="dashed">
        <color indexed="64"/>
      </right>
      <top/>
      <bottom style="dashed">
        <color indexed="64"/>
      </bottom>
      <diagonal/>
    </border>
    <border>
      <left/>
      <right/>
      <top/>
      <bottom style="dashed">
        <color indexed="64"/>
      </bottom>
      <diagonal/>
    </border>
    <border>
      <left style="thin">
        <color indexed="64"/>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style="thin">
        <color indexed="64"/>
      </right>
      <top style="dashed">
        <color indexed="64"/>
      </top>
      <bottom/>
      <diagonal/>
    </border>
    <border>
      <left style="thin">
        <color indexed="64"/>
      </left>
      <right style="dashed">
        <color indexed="64"/>
      </right>
      <top style="dashed">
        <color indexed="64"/>
      </top>
      <bottom/>
      <diagonal/>
    </border>
    <border>
      <left/>
      <right/>
      <top style="dashed">
        <color indexed="64"/>
      </top>
      <bottom/>
      <diagonal/>
    </border>
    <border>
      <left style="medium">
        <color indexed="64"/>
      </left>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theme="0"/>
      </top>
      <bottom style="thin">
        <color theme="0"/>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right style="dashed">
        <color indexed="64"/>
      </right>
      <top style="thin">
        <color indexed="64"/>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6" fillId="0" borderId="0"/>
  </cellStyleXfs>
  <cellXfs count="1417">
    <xf numFmtId="0" fontId="0" fillId="0" borderId="0" xfId="0"/>
    <xf numFmtId="0" fontId="0" fillId="33" borderId="0" xfId="0" applyFill="1"/>
    <xf numFmtId="0" fontId="21" fillId="33" borderId="0" xfId="0" applyFont="1" applyFill="1"/>
    <xf numFmtId="0" fontId="22" fillId="33" borderId="0" xfId="0" applyFont="1" applyFill="1" applyAlignment="1">
      <alignment horizontal="center"/>
    </xf>
    <xf numFmtId="0" fontId="23" fillId="34" borderId="10" xfId="0" applyFont="1" applyFill="1" applyBorder="1" applyAlignment="1">
      <alignment horizontal="center"/>
    </xf>
    <xf numFmtId="0" fontId="23" fillId="34" borderId="11" xfId="0" applyFont="1" applyFill="1" applyBorder="1" applyAlignment="1">
      <alignment horizontal="center"/>
    </xf>
    <xf numFmtId="0" fontId="23" fillId="34" borderId="12" xfId="0" applyFont="1" applyFill="1" applyBorder="1" applyAlignment="1">
      <alignment horizontal="center"/>
    </xf>
    <xf numFmtId="0" fontId="23" fillId="34" borderId="0" xfId="0" applyFont="1" applyFill="1" applyAlignment="1">
      <alignment horizontal="center"/>
    </xf>
    <xf numFmtId="0" fontId="23" fillId="34" borderId="13" xfId="0" applyFont="1" applyFill="1" applyBorder="1" applyAlignment="1">
      <alignment horizontal="center"/>
    </xf>
    <xf numFmtId="0" fontId="21" fillId="33" borderId="0" xfId="0" applyFont="1" applyFill="1" applyAlignment="1">
      <alignment horizontal="right"/>
    </xf>
    <xf numFmtId="2" fontId="21" fillId="0" borderId="14" xfId="0" applyNumberFormat="1" applyFont="1" applyBorder="1" applyAlignment="1">
      <alignment horizontal="center"/>
    </xf>
    <xf numFmtId="2" fontId="21" fillId="0" borderId="15" xfId="0" applyNumberFormat="1" applyFont="1" applyBorder="1" applyAlignment="1">
      <alignment horizontal="center"/>
    </xf>
    <xf numFmtId="2" fontId="21" fillId="0" borderId="16" xfId="0" applyNumberFormat="1" applyFont="1" applyBorder="1" applyAlignment="1">
      <alignment horizontal="center"/>
    </xf>
    <xf numFmtId="0" fontId="23" fillId="34" borderId="17" xfId="0" applyFont="1" applyFill="1" applyBorder="1" applyAlignment="1">
      <alignment horizontal="right"/>
    </xf>
    <xf numFmtId="164" fontId="21" fillId="33" borderId="14" xfId="43" applyNumberFormat="1" applyFont="1" applyFill="1" applyBorder="1"/>
    <xf numFmtId="164" fontId="21" fillId="33" borderId="15" xfId="43" applyNumberFormat="1" applyFont="1" applyFill="1" applyBorder="1"/>
    <xf numFmtId="164" fontId="21" fillId="35" borderId="15" xfId="43" applyNumberFormat="1" applyFont="1" applyFill="1" applyBorder="1"/>
    <xf numFmtId="164" fontId="21" fillId="33" borderId="16" xfId="43" applyNumberFormat="1" applyFont="1" applyFill="1" applyBorder="1"/>
    <xf numFmtId="0" fontId="21" fillId="0" borderId="14" xfId="0" applyFont="1" applyBorder="1"/>
    <xf numFmtId="0" fontId="21" fillId="33" borderId="18" xfId="0" applyFont="1" applyFill="1" applyBorder="1" applyAlignment="1">
      <alignment horizontal="center"/>
    </xf>
    <xf numFmtId="165" fontId="24" fillId="0" borderId="11" xfId="0" applyNumberFormat="1" applyFont="1" applyBorder="1" applyAlignment="1">
      <alignment horizontal="center"/>
    </xf>
    <xf numFmtId="165" fontId="24" fillId="0" borderId="12" xfId="0" applyNumberFormat="1" applyFont="1" applyBorder="1" applyAlignment="1">
      <alignment horizontal="center"/>
    </xf>
    <xf numFmtId="0" fontId="23" fillId="34" borderId="19" xfId="0" applyFont="1" applyFill="1" applyBorder="1" applyAlignment="1">
      <alignment horizontal="right"/>
    </xf>
    <xf numFmtId="164" fontId="21" fillId="33" borderId="20" xfId="43" applyNumberFormat="1" applyFont="1" applyFill="1" applyBorder="1"/>
    <xf numFmtId="164" fontId="21" fillId="33" borderId="0" xfId="43" applyNumberFormat="1" applyFont="1" applyFill="1" applyBorder="1"/>
    <xf numFmtId="164" fontId="21" fillId="35" borderId="0" xfId="43" applyNumberFormat="1" applyFont="1" applyFill="1" applyBorder="1"/>
    <xf numFmtId="164" fontId="21" fillId="33" borderId="13" xfId="43" applyNumberFormat="1" applyFont="1" applyFill="1" applyBorder="1"/>
    <xf numFmtId="0" fontId="21" fillId="0" borderId="20" xfId="0" applyFont="1" applyBorder="1"/>
    <xf numFmtId="0" fontId="23" fillId="34" borderId="24" xfId="0" applyFont="1" applyFill="1" applyBorder="1" applyAlignment="1">
      <alignment horizontal="right"/>
    </xf>
    <xf numFmtId="164" fontId="21" fillId="33" borderId="10" xfId="43" applyNumberFormat="1" applyFont="1" applyFill="1" applyBorder="1"/>
    <xf numFmtId="164" fontId="21" fillId="33" borderId="11" xfId="43" applyNumberFormat="1" applyFont="1" applyFill="1" applyBorder="1"/>
    <xf numFmtId="164" fontId="21" fillId="35" borderId="11" xfId="43" applyNumberFormat="1" applyFont="1" applyFill="1" applyBorder="1"/>
    <xf numFmtId="164" fontId="21" fillId="33" borderId="12" xfId="43" applyNumberFormat="1" applyFont="1" applyFill="1" applyBorder="1"/>
    <xf numFmtId="0" fontId="24" fillId="38" borderId="18" xfId="0" applyFont="1" applyFill="1" applyBorder="1" applyAlignment="1">
      <alignment horizontal="center"/>
    </xf>
    <xf numFmtId="0" fontId="23" fillId="39" borderId="21" xfId="0" applyFont="1" applyFill="1" applyBorder="1" applyAlignment="1">
      <alignment horizontal="center"/>
    </xf>
    <xf numFmtId="0" fontId="23" fillId="39" borderId="22" xfId="0" applyFont="1" applyFill="1" applyBorder="1" applyAlignment="1">
      <alignment horizontal="center"/>
    </xf>
    <xf numFmtId="0" fontId="23" fillId="39" borderId="23" xfId="0" applyFont="1" applyFill="1" applyBorder="1" applyAlignment="1">
      <alignment horizontal="center"/>
    </xf>
    <xf numFmtId="0" fontId="24" fillId="38" borderId="21" xfId="0" applyFont="1" applyFill="1" applyBorder="1" applyAlignment="1">
      <alignment horizontal="center"/>
    </xf>
    <xf numFmtId="0" fontId="24" fillId="38" borderId="22" xfId="0" applyFont="1" applyFill="1" applyBorder="1" applyAlignment="1">
      <alignment horizontal="center"/>
    </xf>
    <xf numFmtId="0" fontId="24" fillId="38" borderId="23" xfId="0" applyFont="1" applyFill="1" applyBorder="1" applyAlignment="1">
      <alignment horizontal="center"/>
    </xf>
    <xf numFmtId="0" fontId="25" fillId="33" borderId="0" xfId="0" applyFont="1" applyFill="1"/>
    <xf numFmtId="0" fontId="26" fillId="34" borderId="19" xfId="0" applyFont="1" applyFill="1" applyBorder="1"/>
    <xf numFmtId="0" fontId="23" fillId="34" borderId="20" xfId="0" applyFont="1" applyFill="1" applyBorder="1"/>
    <xf numFmtId="0" fontId="23" fillId="34" borderId="0" xfId="0" applyFont="1" applyFill="1"/>
    <xf numFmtId="0" fontId="23" fillId="34" borderId="13" xfId="0" applyFont="1" applyFill="1" applyBorder="1"/>
    <xf numFmtId="0" fontId="26" fillId="34" borderId="19" xfId="0" applyFont="1" applyFill="1" applyBorder="1" applyAlignment="1">
      <alignment horizontal="center"/>
    </xf>
    <xf numFmtId="0" fontId="26" fillId="34" borderId="20" xfId="0" applyFont="1" applyFill="1" applyBorder="1"/>
    <xf numFmtId="0" fontId="26" fillId="34" borderId="14" xfId="0" applyFont="1" applyFill="1" applyBorder="1" applyAlignment="1">
      <alignment horizontal="center"/>
    </xf>
    <xf numFmtId="0" fontId="26" fillId="34" borderId="15" xfId="0" applyFont="1" applyFill="1" applyBorder="1" applyAlignment="1">
      <alignment horizontal="center"/>
    </xf>
    <xf numFmtId="0" fontId="23" fillId="34" borderId="17" xfId="0" applyFont="1" applyFill="1" applyBorder="1" applyAlignment="1">
      <alignment horizontal="center"/>
    </xf>
    <xf numFmtId="0" fontId="23" fillId="34" borderId="15" xfId="0" applyFont="1" applyFill="1" applyBorder="1" applyAlignment="1">
      <alignment horizontal="left"/>
    </xf>
    <xf numFmtId="0" fontId="23" fillId="37" borderId="15" xfId="0" applyFont="1" applyFill="1" applyBorder="1" applyAlignment="1">
      <alignment horizontal="left"/>
    </xf>
    <xf numFmtId="0" fontId="23" fillId="34" borderId="0" xfId="0" applyFont="1" applyFill="1" applyAlignment="1">
      <alignment horizontal="left"/>
    </xf>
    <xf numFmtId="0" fontId="23" fillId="34" borderId="13" xfId="0" applyFont="1" applyFill="1" applyBorder="1" applyAlignment="1">
      <alignment horizontal="left"/>
    </xf>
    <xf numFmtId="0" fontId="23" fillId="34" borderId="14" xfId="0" applyFont="1" applyFill="1" applyBorder="1" applyAlignment="1">
      <alignment horizontal="left"/>
    </xf>
    <xf numFmtId="0" fontId="23" fillId="34" borderId="16" xfId="0" applyFont="1" applyFill="1" applyBorder="1" applyAlignment="1">
      <alignment horizontal="left"/>
    </xf>
    <xf numFmtId="0" fontId="27" fillId="34" borderId="16" xfId="0" applyFont="1" applyFill="1" applyBorder="1" applyAlignment="1">
      <alignment horizontal="left"/>
    </xf>
    <xf numFmtId="0" fontId="23" fillId="34" borderId="19" xfId="0" applyFont="1" applyFill="1" applyBorder="1"/>
    <xf numFmtId="0" fontId="21" fillId="34" borderId="0" xfId="0" applyFont="1" applyFill="1"/>
    <xf numFmtId="0" fontId="26" fillId="34" borderId="19" xfId="0" applyFont="1" applyFill="1" applyBorder="1" applyAlignment="1">
      <alignment horizontal="left"/>
    </xf>
    <xf numFmtId="0" fontId="23" fillId="34" borderId="20" xfId="0" applyFont="1" applyFill="1" applyBorder="1" applyAlignment="1">
      <alignment horizontal="left"/>
    </xf>
    <xf numFmtId="0" fontId="23" fillId="34" borderId="19" xfId="0" applyFont="1" applyFill="1" applyBorder="1" applyAlignment="1">
      <alignment horizontal="center"/>
    </xf>
    <xf numFmtId="0" fontId="23" fillId="37" borderId="0" xfId="0" applyFont="1" applyFill="1" applyAlignment="1">
      <alignment horizontal="center"/>
    </xf>
    <xf numFmtId="0" fontId="23" fillId="42" borderId="13" xfId="0" applyFont="1" applyFill="1" applyBorder="1" applyAlignment="1">
      <alignment horizontal="center"/>
    </xf>
    <xf numFmtId="0" fontId="27" fillId="34" borderId="12" xfId="0" applyFont="1" applyFill="1" applyBorder="1" applyAlignment="1">
      <alignment horizontal="center"/>
    </xf>
    <xf numFmtId="0" fontId="28" fillId="34" borderId="10" xfId="0" applyFont="1" applyFill="1" applyBorder="1" applyAlignment="1">
      <alignment horizontal="center"/>
    </xf>
    <xf numFmtId="0" fontId="29" fillId="34" borderId="11" xfId="0" applyFont="1" applyFill="1" applyBorder="1" applyAlignment="1">
      <alignment horizontal="center"/>
    </xf>
    <xf numFmtId="0" fontId="28" fillId="34" borderId="11" xfId="0" applyFont="1" applyFill="1" applyBorder="1" applyAlignment="1">
      <alignment horizontal="center"/>
    </xf>
    <xf numFmtId="0" fontId="30" fillId="34" borderId="11" xfId="0" applyFont="1" applyFill="1" applyBorder="1" applyAlignment="1">
      <alignment horizontal="center"/>
    </xf>
    <xf numFmtId="0" fontId="29" fillId="34" borderId="12" xfId="0" applyFont="1" applyFill="1" applyBorder="1" applyAlignment="1">
      <alignment horizontal="center"/>
    </xf>
    <xf numFmtId="0" fontId="26" fillId="39" borderId="21" xfId="0" applyFont="1" applyFill="1" applyBorder="1"/>
    <xf numFmtId="0" fontId="26" fillId="39" borderId="22" xfId="0" applyFont="1" applyFill="1" applyBorder="1"/>
    <xf numFmtId="0" fontId="26" fillId="39" borderId="18" xfId="0" applyFont="1" applyFill="1" applyBorder="1" applyAlignment="1">
      <alignment horizontal="center"/>
    </xf>
    <xf numFmtId="0" fontId="26" fillId="39" borderId="21" xfId="0" applyFont="1" applyFill="1" applyBorder="1" applyAlignment="1">
      <alignment horizontal="center"/>
    </xf>
    <xf numFmtId="0" fontId="26" fillId="39" borderId="22" xfId="0" applyFont="1" applyFill="1" applyBorder="1" applyAlignment="1">
      <alignment horizontal="center"/>
    </xf>
    <xf numFmtId="0" fontId="23" fillId="39" borderId="18" xfId="0" applyFont="1" applyFill="1" applyBorder="1" applyAlignment="1">
      <alignment horizontal="center"/>
    </xf>
    <xf numFmtId="0" fontId="23" fillId="37" borderId="22" xfId="0" applyFont="1" applyFill="1" applyBorder="1" applyAlignment="1">
      <alignment horizontal="center"/>
    </xf>
    <xf numFmtId="0" fontId="23" fillId="36" borderId="23" xfId="0" applyFont="1" applyFill="1" applyBorder="1" applyAlignment="1">
      <alignment horizontal="center"/>
    </xf>
    <xf numFmtId="0" fontId="23" fillId="40" borderId="22" xfId="0" applyFont="1" applyFill="1" applyBorder="1" applyAlignment="1">
      <alignment horizontal="center"/>
    </xf>
    <xf numFmtId="0" fontId="23" fillId="41" borderId="22" xfId="0" applyFont="1" applyFill="1" applyBorder="1" applyAlignment="1">
      <alignment horizontal="center"/>
    </xf>
    <xf numFmtId="0" fontId="23" fillId="42" borderId="22" xfId="0" applyFont="1" applyFill="1" applyBorder="1" applyAlignment="1">
      <alignment horizontal="center"/>
    </xf>
    <xf numFmtId="0" fontId="23" fillId="39" borderId="10" xfId="0" applyFont="1" applyFill="1" applyBorder="1" applyAlignment="1">
      <alignment horizontal="center"/>
    </xf>
    <xf numFmtId="0" fontId="23" fillId="39" borderId="11" xfId="0" applyFont="1" applyFill="1" applyBorder="1" applyAlignment="1">
      <alignment horizontal="center"/>
    </xf>
    <xf numFmtId="0" fontId="23" fillId="39" borderId="12" xfId="0" applyFont="1" applyFill="1" applyBorder="1" applyAlignment="1">
      <alignment horizontal="center"/>
    </xf>
    <xf numFmtId="0" fontId="23" fillId="40" borderId="21" xfId="0" applyFont="1" applyFill="1" applyBorder="1" applyAlignment="1">
      <alignment horizontal="center"/>
    </xf>
    <xf numFmtId="0" fontId="23" fillId="34" borderId="22" xfId="0" applyFont="1" applyFill="1" applyBorder="1" applyAlignment="1">
      <alignment horizontal="center"/>
    </xf>
    <xf numFmtId="0" fontId="23" fillId="42" borderId="23" xfId="0" applyFont="1" applyFill="1" applyBorder="1" applyAlignment="1">
      <alignment horizontal="center"/>
    </xf>
    <xf numFmtId="0" fontId="23" fillId="41" borderId="23" xfId="0" applyFont="1" applyFill="1" applyBorder="1" applyAlignment="1">
      <alignment horizontal="center"/>
    </xf>
    <xf numFmtId="0" fontId="21" fillId="33" borderId="14" xfId="0" applyFont="1" applyFill="1" applyBorder="1"/>
    <xf numFmtId="0" fontId="21" fillId="33" borderId="15" xfId="0" applyFont="1" applyFill="1" applyBorder="1"/>
    <xf numFmtId="0" fontId="22" fillId="0" borderId="17" xfId="0" applyFont="1" applyBorder="1" applyAlignment="1">
      <alignment horizontal="center"/>
    </xf>
    <xf numFmtId="9" fontId="21" fillId="0" borderId="14" xfId="43" applyFont="1" applyFill="1" applyBorder="1" applyAlignment="1">
      <alignment horizontal="center"/>
    </xf>
    <xf numFmtId="9" fontId="21" fillId="0" borderId="15" xfId="43" applyFont="1" applyFill="1" applyBorder="1" applyAlignment="1">
      <alignment horizontal="center"/>
    </xf>
    <xf numFmtId="166" fontId="21" fillId="33" borderId="17" xfId="0" applyNumberFormat="1" applyFont="1" applyFill="1" applyBorder="1"/>
    <xf numFmtId="11" fontId="21" fillId="33" borderId="15" xfId="0" applyNumberFormat="1" applyFont="1" applyFill="1" applyBorder="1"/>
    <xf numFmtId="2" fontId="21" fillId="33" borderId="15" xfId="0" applyNumberFormat="1" applyFont="1" applyFill="1" applyBorder="1" applyAlignment="1">
      <alignment horizontal="right"/>
    </xf>
    <xf numFmtId="2" fontId="21" fillId="33" borderId="16" xfId="0" applyNumberFormat="1" applyFont="1" applyFill="1" applyBorder="1"/>
    <xf numFmtId="11" fontId="21" fillId="0" borderId="15" xfId="0" applyNumberFormat="1" applyFont="1" applyBorder="1"/>
    <xf numFmtId="11" fontId="21" fillId="0" borderId="16" xfId="0" applyNumberFormat="1" applyFont="1" applyBorder="1"/>
    <xf numFmtId="164" fontId="21" fillId="0" borderId="14" xfId="43" applyNumberFormat="1" applyFont="1" applyFill="1" applyBorder="1" applyAlignment="1">
      <alignment horizontal="right"/>
    </xf>
    <xf numFmtId="164" fontId="21" fillId="0" borderId="15" xfId="43" applyNumberFormat="1" applyFont="1" applyFill="1" applyBorder="1" applyAlignment="1">
      <alignment horizontal="right"/>
    </xf>
    <xf numFmtId="164" fontId="21" fillId="35" borderId="15" xfId="43" applyNumberFormat="1" applyFont="1" applyFill="1" applyBorder="1" applyAlignment="1">
      <alignment horizontal="right"/>
    </xf>
    <xf numFmtId="164" fontId="21" fillId="0" borderId="16" xfId="43" applyNumberFormat="1" applyFont="1" applyFill="1" applyBorder="1" applyAlignment="1">
      <alignment horizontal="right"/>
    </xf>
    <xf numFmtId="11" fontId="21" fillId="0" borderId="14" xfId="0" applyNumberFormat="1" applyFont="1" applyBorder="1"/>
    <xf numFmtId="0" fontId="21" fillId="33" borderId="20" xfId="0" applyFont="1" applyFill="1" applyBorder="1"/>
    <xf numFmtId="0" fontId="22" fillId="0" borderId="19" xfId="0" applyFont="1" applyBorder="1" applyAlignment="1">
      <alignment horizontal="center"/>
    </xf>
    <xf numFmtId="9" fontId="21" fillId="0" borderId="20" xfId="43" applyFont="1" applyFill="1" applyBorder="1" applyAlignment="1">
      <alignment horizontal="center"/>
    </xf>
    <xf numFmtId="9" fontId="21" fillId="0" borderId="0" xfId="43" applyFont="1" applyFill="1" applyBorder="1" applyAlignment="1">
      <alignment horizontal="center"/>
    </xf>
    <xf numFmtId="166" fontId="21" fillId="33" borderId="19" xfId="0" applyNumberFormat="1" applyFont="1" applyFill="1" applyBorder="1"/>
    <xf numFmtId="11" fontId="21" fillId="33" borderId="0" xfId="0" applyNumberFormat="1" applyFont="1" applyFill="1"/>
    <xf numFmtId="2" fontId="21" fillId="33" borderId="0" xfId="0" applyNumberFormat="1" applyFont="1" applyFill="1" applyAlignment="1">
      <alignment horizontal="right"/>
    </xf>
    <xf numFmtId="11" fontId="21" fillId="0" borderId="0" xfId="0" applyNumberFormat="1" applyFont="1"/>
    <xf numFmtId="11" fontId="21" fillId="0" borderId="13" xfId="0" applyNumberFormat="1" applyFont="1" applyBorder="1"/>
    <xf numFmtId="164" fontId="21" fillId="0" borderId="20" xfId="43" applyNumberFormat="1" applyFont="1" applyFill="1" applyBorder="1" applyAlignment="1">
      <alignment horizontal="right"/>
    </xf>
    <xf numFmtId="164" fontId="21" fillId="0" borderId="0" xfId="43" applyNumberFormat="1" applyFont="1" applyFill="1" applyBorder="1" applyAlignment="1">
      <alignment horizontal="right"/>
    </xf>
    <xf numFmtId="164" fontId="21" fillId="35" borderId="0" xfId="43" applyNumberFormat="1" applyFont="1" applyFill="1" applyBorder="1" applyAlignment="1">
      <alignment horizontal="right"/>
    </xf>
    <xf numFmtId="164" fontId="21" fillId="0" borderId="13" xfId="43" applyNumberFormat="1" applyFont="1" applyFill="1" applyBorder="1" applyAlignment="1">
      <alignment horizontal="right"/>
    </xf>
    <xf numFmtId="11" fontId="21" fillId="0" borderId="20" xfId="0" applyNumberFormat="1" applyFont="1" applyBorder="1"/>
    <xf numFmtId="167" fontId="21" fillId="33" borderId="0" xfId="0" applyNumberFormat="1" applyFont="1" applyFill="1"/>
    <xf numFmtId="0" fontId="21" fillId="33" borderId="13" xfId="0" applyFont="1" applyFill="1" applyBorder="1"/>
    <xf numFmtId="9" fontId="26" fillId="39" borderId="21" xfId="43" applyFont="1" applyFill="1" applyBorder="1" applyAlignment="1">
      <alignment horizontal="center"/>
    </xf>
    <xf numFmtId="9" fontId="26" fillId="39" borderId="22" xfId="43" applyFont="1" applyFill="1" applyBorder="1" applyAlignment="1">
      <alignment horizontal="center"/>
    </xf>
    <xf numFmtId="166" fontId="23" fillId="39" borderId="18" xfId="0" applyNumberFormat="1" applyFont="1" applyFill="1" applyBorder="1" applyAlignment="1">
      <alignment horizontal="center"/>
    </xf>
    <xf numFmtId="0" fontId="21" fillId="33" borderId="19" xfId="0" applyFont="1" applyFill="1" applyBorder="1" applyAlignment="1">
      <alignment horizontal="center"/>
    </xf>
    <xf numFmtId="166" fontId="21" fillId="33" borderId="17" xfId="43" applyNumberFormat="1" applyFont="1" applyFill="1" applyBorder="1"/>
    <xf numFmtId="9" fontId="21" fillId="33" borderId="15" xfId="43" applyFont="1" applyFill="1" applyBorder="1"/>
    <xf numFmtId="9" fontId="21" fillId="0" borderId="14" xfId="43" applyFont="1" applyFill="1" applyBorder="1" applyAlignment="1">
      <alignment horizontal="right"/>
    </xf>
    <xf numFmtId="9" fontId="21" fillId="0" borderId="16" xfId="43" applyFont="1" applyFill="1" applyBorder="1" applyAlignment="1">
      <alignment horizontal="right"/>
    </xf>
    <xf numFmtId="9" fontId="21" fillId="0" borderId="15" xfId="43" applyFont="1" applyFill="1" applyBorder="1" applyAlignment="1">
      <alignment horizontal="right"/>
    </xf>
    <xf numFmtId="166" fontId="21" fillId="33" borderId="19" xfId="43" applyNumberFormat="1" applyFont="1" applyFill="1" applyBorder="1"/>
    <xf numFmtId="9" fontId="21" fillId="33" borderId="0" xfId="43" applyFont="1" applyFill="1" applyBorder="1"/>
    <xf numFmtId="9" fontId="21" fillId="0" borderId="20" xfId="43" applyFont="1" applyFill="1" applyBorder="1" applyAlignment="1">
      <alignment horizontal="right"/>
    </xf>
    <xf numFmtId="9" fontId="21" fillId="0" borderId="13" xfId="43" applyFont="1" applyFill="1" applyBorder="1" applyAlignment="1">
      <alignment horizontal="right"/>
    </xf>
    <xf numFmtId="9" fontId="21" fillId="0" borderId="0" xfId="43" applyFont="1" applyFill="1" applyBorder="1" applyAlignment="1">
      <alignment horizontal="right"/>
    </xf>
    <xf numFmtId="168" fontId="21" fillId="33" borderId="0" xfId="43" applyNumberFormat="1" applyFont="1" applyFill="1"/>
    <xf numFmtId="169" fontId="21" fillId="33" borderId="0" xfId="0" applyNumberFormat="1" applyFont="1" applyFill="1"/>
    <xf numFmtId="0" fontId="23" fillId="33" borderId="0" xfId="0" applyFont="1" applyFill="1" applyAlignment="1">
      <alignment horizontal="center"/>
    </xf>
    <xf numFmtId="0" fontId="23" fillId="33" borderId="13" xfId="0" applyFont="1" applyFill="1" applyBorder="1" applyAlignment="1">
      <alignment horizontal="center"/>
    </xf>
    <xf numFmtId="9" fontId="23" fillId="39" borderId="21" xfId="43" applyFont="1" applyFill="1" applyBorder="1" applyAlignment="1">
      <alignment horizontal="center"/>
    </xf>
    <xf numFmtId="9" fontId="23" fillId="39" borderId="22" xfId="43" applyFont="1" applyFill="1" applyBorder="1" applyAlignment="1">
      <alignment horizontal="center"/>
    </xf>
    <xf numFmtId="0" fontId="23" fillId="43" borderId="23" xfId="0" applyFont="1" applyFill="1" applyBorder="1" applyAlignment="1">
      <alignment horizontal="center"/>
    </xf>
    <xf numFmtId="0" fontId="23" fillId="37" borderId="21" xfId="0" applyFont="1" applyFill="1" applyBorder="1" applyAlignment="1">
      <alignment horizontal="center"/>
    </xf>
    <xf numFmtId="166" fontId="21" fillId="0" borderId="17" xfId="0" applyNumberFormat="1" applyFont="1" applyBorder="1" applyAlignment="1">
      <alignment horizontal="right"/>
    </xf>
    <xf numFmtId="165" fontId="21" fillId="0" borderId="15" xfId="0" applyNumberFormat="1" applyFont="1" applyBorder="1" applyAlignment="1">
      <alignment horizontal="right"/>
    </xf>
    <xf numFmtId="170" fontId="21" fillId="0" borderId="15" xfId="43" applyNumberFormat="1" applyFont="1" applyFill="1" applyBorder="1" applyAlignment="1">
      <alignment horizontal="right"/>
    </xf>
    <xf numFmtId="2" fontId="21" fillId="33" borderId="15" xfId="0" applyNumberFormat="1" applyFont="1" applyFill="1" applyBorder="1"/>
    <xf numFmtId="164" fontId="21" fillId="33" borderId="0" xfId="43" applyNumberFormat="1" applyFont="1" applyFill="1"/>
    <xf numFmtId="166" fontId="21" fillId="0" borderId="19" xfId="0" applyNumberFormat="1" applyFont="1" applyBorder="1" applyAlignment="1">
      <alignment horizontal="right"/>
    </xf>
    <xf numFmtId="165" fontId="21" fillId="0" borderId="0" xfId="0" applyNumberFormat="1" applyFont="1" applyAlignment="1">
      <alignment horizontal="right"/>
    </xf>
    <xf numFmtId="170" fontId="21" fillId="0" borderId="0" xfId="0" applyNumberFormat="1" applyFont="1" applyAlignment="1">
      <alignment horizontal="right"/>
    </xf>
    <xf numFmtId="0" fontId="21" fillId="33" borderId="16" xfId="0" applyFont="1" applyFill="1" applyBorder="1"/>
    <xf numFmtId="170" fontId="21" fillId="0" borderId="15" xfId="0" applyNumberFormat="1" applyFont="1" applyBorder="1" applyAlignment="1">
      <alignment horizontal="right"/>
    </xf>
    <xf numFmtId="0" fontId="21" fillId="33" borderId="12" xfId="0" applyFont="1" applyFill="1" applyBorder="1"/>
    <xf numFmtId="0" fontId="22" fillId="33" borderId="15" xfId="0" applyFont="1" applyFill="1" applyBorder="1" applyAlignment="1">
      <alignment horizontal="center"/>
    </xf>
    <xf numFmtId="0" fontId="21" fillId="33" borderId="17" xfId="0" applyFont="1" applyFill="1" applyBorder="1"/>
    <xf numFmtId="0" fontId="21" fillId="33" borderId="24" xfId="0" applyFont="1" applyFill="1" applyBorder="1"/>
    <xf numFmtId="0" fontId="21" fillId="33" borderId="10" xfId="0" applyFont="1" applyFill="1" applyBorder="1"/>
    <xf numFmtId="0" fontId="21" fillId="33" borderId="19" xfId="0" applyFont="1" applyFill="1" applyBorder="1"/>
    <xf numFmtId="0" fontId="21" fillId="33" borderId="0" xfId="0" applyFont="1" applyFill="1" applyAlignment="1">
      <alignment horizontal="center"/>
    </xf>
    <xf numFmtId="0" fontId="23" fillId="36" borderId="0" xfId="0" applyFont="1" applyFill="1" applyAlignment="1">
      <alignment horizontal="center"/>
    </xf>
    <xf numFmtId="0" fontId="23" fillId="36" borderId="22" xfId="0" applyFont="1" applyFill="1" applyBorder="1" applyAlignment="1">
      <alignment horizontal="center"/>
    </xf>
    <xf numFmtId="2" fontId="21" fillId="33" borderId="0" xfId="0" applyNumberFormat="1" applyFont="1" applyFill="1"/>
    <xf numFmtId="165" fontId="21" fillId="0" borderId="15" xfId="42" applyNumberFormat="1" applyFont="1" applyFill="1" applyBorder="1" applyAlignment="1">
      <alignment horizontal="right"/>
    </xf>
    <xf numFmtId="165" fontId="21" fillId="0" borderId="0" xfId="42" applyNumberFormat="1" applyFont="1" applyFill="1" applyBorder="1" applyAlignment="1">
      <alignment horizontal="right"/>
    </xf>
    <xf numFmtId="0" fontId="23" fillId="40" borderId="14" xfId="0" applyFont="1" applyFill="1" applyBorder="1" applyAlignment="1">
      <alignment horizontal="left"/>
    </xf>
    <xf numFmtId="0" fontId="23" fillId="41" borderId="15" xfId="0" applyFont="1" applyFill="1" applyBorder="1" applyAlignment="1">
      <alignment horizontal="left"/>
    </xf>
    <xf numFmtId="0" fontId="23" fillId="42" borderId="16" xfId="0" applyFont="1" applyFill="1" applyBorder="1" applyAlignment="1">
      <alignment horizontal="left"/>
    </xf>
    <xf numFmtId="0" fontId="23" fillId="40" borderId="20" xfId="0" applyFont="1" applyFill="1" applyBorder="1" applyAlignment="1">
      <alignment horizontal="center"/>
    </xf>
    <xf numFmtId="0" fontId="23" fillId="41" borderId="0" xfId="0" applyFont="1" applyFill="1" applyAlignment="1">
      <alignment horizontal="center"/>
    </xf>
    <xf numFmtId="2" fontId="21" fillId="33" borderId="14" xfId="0" applyNumberFormat="1" applyFont="1" applyFill="1" applyBorder="1"/>
    <xf numFmtId="0" fontId="23" fillId="36" borderId="15" xfId="0" applyFont="1" applyFill="1" applyBorder="1" applyAlignment="1">
      <alignment horizontal="left"/>
    </xf>
    <xf numFmtId="165" fontId="24" fillId="0" borderId="13" xfId="0" applyNumberFormat="1" applyFont="1" applyBorder="1" applyAlignment="1">
      <alignment horizontal="center"/>
    </xf>
    <xf numFmtId="165" fontId="24" fillId="33" borderId="13" xfId="0" applyNumberFormat="1" applyFont="1" applyFill="1" applyBorder="1" applyAlignment="1">
      <alignment horizontal="center"/>
    </xf>
    <xf numFmtId="165" fontId="24" fillId="33" borderId="12" xfId="0" applyNumberFormat="1" applyFont="1" applyFill="1" applyBorder="1" applyAlignment="1">
      <alignment horizontal="center"/>
    </xf>
    <xf numFmtId="165" fontId="24" fillId="0" borderId="0" xfId="0" applyNumberFormat="1" applyFont="1" applyAlignment="1">
      <alignment horizontal="center"/>
    </xf>
    <xf numFmtId="165" fontId="24" fillId="0" borderId="15" xfId="0" applyNumberFormat="1" applyFont="1" applyBorder="1" applyAlignment="1">
      <alignment horizontal="center"/>
    </xf>
    <xf numFmtId="165" fontId="24" fillId="0" borderId="16" xfId="0" applyNumberFormat="1" applyFont="1" applyBorder="1" applyAlignment="1">
      <alignment horizontal="center"/>
    </xf>
    <xf numFmtId="2" fontId="21" fillId="0" borderId="10"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0" fontId="23" fillId="39" borderId="21" xfId="0" applyFont="1" applyFill="1" applyBorder="1"/>
    <xf numFmtId="0" fontId="23" fillId="39" borderId="23" xfId="0" applyFont="1" applyFill="1" applyBorder="1"/>
    <xf numFmtId="0" fontId="23" fillId="39" borderId="18" xfId="0" applyFont="1" applyFill="1" applyBorder="1"/>
    <xf numFmtId="0" fontId="23" fillId="39" borderId="22" xfId="0" applyFont="1" applyFill="1" applyBorder="1"/>
    <xf numFmtId="0" fontId="21" fillId="33" borderId="14" xfId="0" quotePrefix="1" applyFont="1" applyFill="1" applyBorder="1"/>
    <xf numFmtId="0" fontId="21" fillId="0" borderId="20" xfId="0" applyFont="1" applyBorder="1" applyAlignment="1">
      <alignment horizontal="center"/>
    </xf>
    <xf numFmtId="0" fontId="21" fillId="0" borderId="13" xfId="0" applyFont="1" applyBorder="1" applyAlignment="1">
      <alignment horizontal="center"/>
    </xf>
    <xf numFmtId="0" fontId="21" fillId="35" borderId="13" xfId="0" applyFont="1" applyFill="1" applyBorder="1" applyAlignment="1">
      <alignment horizontal="center"/>
    </xf>
    <xf numFmtId="0" fontId="21" fillId="35" borderId="20" xfId="0" applyFont="1" applyFill="1" applyBorder="1" applyAlignment="1">
      <alignment horizontal="center"/>
    </xf>
    <xf numFmtId="0" fontId="22" fillId="33" borderId="20" xfId="0" applyFont="1" applyFill="1" applyBorder="1"/>
    <xf numFmtId="0" fontId="21" fillId="35" borderId="10" xfId="0" applyFont="1" applyFill="1" applyBorder="1" applyAlignment="1">
      <alignment horizontal="center"/>
    </xf>
    <xf numFmtId="0" fontId="21" fillId="0" borderId="12" xfId="0" applyFont="1" applyBorder="1" applyAlignment="1">
      <alignment horizontal="center"/>
    </xf>
    <xf numFmtId="172" fontId="21" fillId="0" borderId="20" xfId="0" applyNumberFormat="1" applyFont="1" applyBorder="1" applyAlignment="1">
      <alignment horizontal="center"/>
    </xf>
    <xf numFmtId="11" fontId="21" fillId="0" borderId="13" xfId="0" applyNumberFormat="1" applyFont="1" applyBorder="1" applyAlignment="1">
      <alignment horizontal="center"/>
    </xf>
    <xf numFmtId="172" fontId="21" fillId="0" borderId="13" xfId="0" applyNumberFormat="1" applyFont="1" applyBorder="1" applyAlignment="1">
      <alignment horizontal="center"/>
    </xf>
    <xf numFmtId="2" fontId="21" fillId="0" borderId="0" xfId="0" applyNumberFormat="1" applyFont="1" applyAlignment="1">
      <alignment horizontal="center"/>
    </xf>
    <xf numFmtId="2" fontId="21" fillId="0" borderId="20" xfId="0" applyNumberFormat="1" applyFont="1" applyBorder="1" applyAlignment="1">
      <alignment horizontal="center"/>
    </xf>
    <xf numFmtId="2" fontId="21" fillId="0" borderId="13" xfId="0" applyNumberFormat="1" applyFont="1" applyBorder="1" applyAlignment="1">
      <alignment horizontal="center"/>
    </xf>
    <xf numFmtId="165" fontId="31" fillId="0" borderId="14" xfId="0" applyNumberFormat="1" applyFont="1" applyBorder="1" applyAlignment="1">
      <alignment horizontal="center"/>
    </xf>
    <xf numFmtId="165" fontId="31" fillId="0" borderId="15" xfId="0" applyNumberFormat="1" applyFont="1" applyBorder="1" applyAlignment="1">
      <alignment horizontal="center"/>
    </xf>
    <xf numFmtId="165" fontId="31" fillId="0" borderId="16" xfId="0" applyNumberFormat="1" applyFont="1" applyBorder="1" applyAlignment="1">
      <alignment horizontal="center"/>
    </xf>
    <xf numFmtId="165" fontId="31" fillId="0" borderId="20" xfId="0" applyNumberFormat="1" applyFont="1" applyBorder="1" applyAlignment="1">
      <alignment horizontal="center"/>
    </xf>
    <xf numFmtId="165" fontId="31" fillId="0" borderId="0" xfId="0" applyNumberFormat="1" applyFont="1" applyAlignment="1">
      <alignment horizontal="center"/>
    </xf>
    <xf numFmtId="165" fontId="31" fillId="0" borderId="13" xfId="0" applyNumberFormat="1" applyFont="1" applyBorder="1" applyAlignment="1">
      <alignment horizontal="center"/>
    </xf>
    <xf numFmtId="165" fontId="31" fillId="0" borderId="10" xfId="0" applyNumberFormat="1" applyFont="1" applyBorder="1" applyAlignment="1">
      <alignment horizontal="center"/>
    </xf>
    <xf numFmtId="165" fontId="31" fillId="0" borderId="11" xfId="0" applyNumberFormat="1" applyFont="1" applyBorder="1" applyAlignment="1">
      <alignment horizontal="center"/>
    </xf>
    <xf numFmtId="165" fontId="31" fillId="0" borderId="12" xfId="0" applyNumberFormat="1" applyFont="1" applyBorder="1" applyAlignment="1">
      <alignment horizontal="center"/>
    </xf>
    <xf numFmtId="0" fontId="0" fillId="33" borderId="15" xfId="0" applyFill="1" applyBorder="1"/>
    <xf numFmtId="0" fontId="0" fillId="33" borderId="16" xfId="0" applyFill="1" applyBorder="1"/>
    <xf numFmtId="0" fontId="0" fillId="33" borderId="13" xfId="0" applyFill="1" applyBorder="1"/>
    <xf numFmtId="0" fontId="0" fillId="33" borderId="11" xfId="0" applyFill="1" applyBorder="1"/>
    <xf numFmtId="0" fontId="0" fillId="33" borderId="12" xfId="0" applyFill="1" applyBorder="1"/>
    <xf numFmtId="0" fontId="18" fillId="33" borderId="0" xfId="0" applyFont="1" applyFill="1"/>
    <xf numFmtId="0" fontId="19" fillId="33" borderId="0" xfId="0" applyFont="1" applyFill="1" applyAlignment="1">
      <alignment vertical="center"/>
    </xf>
    <xf numFmtId="0" fontId="19" fillId="33" borderId="0" xfId="0" applyFont="1" applyFill="1" applyAlignment="1">
      <alignment vertical="center" wrapText="1"/>
    </xf>
    <xf numFmtId="0" fontId="0" fillId="33" borderId="0" xfId="0" applyFill="1" applyAlignment="1">
      <alignment horizontal="right"/>
    </xf>
    <xf numFmtId="9" fontId="0" fillId="33" borderId="0" xfId="43" applyFont="1" applyFill="1"/>
    <xf numFmtId="0" fontId="16" fillId="33" borderId="0" xfId="0" applyFont="1" applyFill="1"/>
    <xf numFmtId="0" fontId="0" fillId="33" borderId="0" xfId="0" applyFill="1" applyAlignment="1">
      <alignment horizontal="center"/>
    </xf>
    <xf numFmtId="0" fontId="0" fillId="33" borderId="0" xfId="0" applyFill="1" applyAlignment="1">
      <alignment horizontal="left" wrapText="1"/>
    </xf>
    <xf numFmtId="173" fontId="0" fillId="33" borderId="0" xfId="0" applyNumberFormat="1" applyFill="1"/>
    <xf numFmtId="173" fontId="13" fillId="40" borderId="14" xfId="0" applyNumberFormat="1" applyFont="1" applyFill="1" applyBorder="1" applyAlignment="1">
      <alignment horizontal="center"/>
    </xf>
    <xf numFmtId="173" fontId="13" fillId="41" borderId="15" xfId="0" applyNumberFormat="1" applyFont="1" applyFill="1" applyBorder="1" applyAlignment="1">
      <alignment horizontal="center"/>
    </xf>
    <xf numFmtId="173" fontId="13" fillId="41" borderId="16" xfId="0" applyNumberFormat="1" applyFont="1" applyFill="1" applyBorder="1" applyAlignment="1">
      <alignment horizontal="center"/>
    </xf>
    <xf numFmtId="166" fontId="40" fillId="0" borderId="15" xfId="0" applyNumberFormat="1" applyFont="1" applyBorder="1" applyAlignment="1">
      <alignment horizontal="center"/>
    </xf>
    <xf numFmtId="166" fontId="40" fillId="0" borderId="14" xfId="0" applyNumberFormat="1" applyFont="1" applyBorder="1" applyAlignment="1">
      <alignment horizontal="center"/>
    </xf>
    <xf numFmtId="166" fontId="40" fillId="0" borderId="16" xfId="0" applyNumberFormat="1" applyFont="1" applyBorder="1" applyAlignment="1">
      <alignment horizontal="center"/>
    </xf>
    <xf numFmtId="173" fontId="40" fillId="0" borderId="11" xfId="0" applyNumberFormat="1" applyFont="1" applyBorder="1" applyAlignment="1">
      <alignment horizontal="center"/>
    </xf>
    <xf numFmtId="173" fontId="40" fillId="0" borderId="10" xfId="0" applyNumberFormat="1" applyFont="1" applyBorder="1" applyAlignment="1">
      <alignment horizontal="center"/>
    </xf>
    <xf numFmtId="173" fontId="40" fillId="0" borderId="12" xfId="0" applyNumberFormat="1" applyFont="1" applyBorder="1" applyAlignment="1">
      <alignment horizontal="center"/>
    </xf>
    <xf numFmtId="173" fontId="41" fillId="38" borderId="22" xfId="0" applyNumberFormat="1" applyFont="1" applyFill="1" applyBorder="1" applyAlignment="1">
      <alignment horizontal="center"/>
    </xf>
    <xf numFmtId="173" fontId="41" fillId="38" borderId="21" xfId="0" applyNumberFormat="1" applyFont="1" applyFill="1" applyBorder="1" applyAlignment="1">
      <alignment horizontal="center"/>
    </xf>
    <xf numFmtId="173" fontId="41" fillId="38" borderId="23" xfId="0" applyNumberFormat="1" applyFont="1" applyFill="1" applyBorder="1" applyAlignment="1">
      <alignment horizontal="center"/>
    </xf>
    <xf numFmtId="0" fontId="41" fillId="38" borderId="14" xfId="0" applyFont="1" applyFill="1" applyBorder="1"/>
    <xf numFmtId="4" fontId="0" fillId="0" borderId="15" xfId="0" applyNumberFormat="1" applyBorder="1"/>
    <xf numFmtId="4" fontId="0" fillId="0" borderId="14" xfId="0" applyNumberFormat="1" applyBorder="1"/>
    <xf numFmtId="4" fontId="0" fillId="0" borderId="16" xfId="0" applyNumberFormat="1" applyBorder="1"/>
    <xf numFmtId="0" fontId="41" fillId="38" borderId="20" xfId="0" applyFont="1" applyFill="1" applyBorder="1"/>
    <xf numFmtId="4" fontId="0" fillId="0" borderId="0" xfId="0" applyNumberFormat="1"/>
    <xf numFmtId="4" fontId="0" fillId="0" borderId="20" xfId="0" applyNumberFormat="1" applyBorder="1"/>
    <xf numFmtId="4" fontId="0" fillId="0" borderId="13" xfId="0" applyNumberFormat="1" applyBorder="1"/>
    <xf numFmtId="0" fontId="41" fillId="38" borderId="10" xfId="0" applyFont="1" applyFill="1" applyBorder="1"/>
    <xf numFmtId="4" fontId="0" fillId="0" borderId="10" xfId="0" applyNumberFormat="1" applyBorder="1"/>
    <xf numFmtId="4" fontId="0" fillId="0" borderId="11" xfId="0" applyNumberFormat="1" applyBorder="1"/>
    <xf numFmtId="4" fontId="0" fillId="0" borderId="12" xfId="0" applyNumberFormat="1" applyBorder="1"/>
    <xf numFmtId="0" fontId="0" fillId="33" borderId="22" xfId="0" applyFill="1" applyBorder="1"/>
    <xf numFmtId="0" fontId="0" fillId="33" borderId="23" xfId="0" applyFill="1" applyBorder="1"/>
    <xf numFmtId="173" fontId="0" fillId="33" borderId="22" xfId="0" applyNumberFormat="1" applyFill="1" applyBorder="1"/>
    <xf numFmtId="173" fontId="0" fillId="33" borderId="21" xfId="0" applyNumberFormat="1" applyFill="1" applyBorder="1"/>
    <xf numFmtId="173" fontId="0" fillId="33" borderId="23" xfId="0" applyNumberFormat="1" applyFill="1" applyBorder="1"/>
    <xf numFmtId="3" fontId="0" fillId="0" borderId="15" xfId="0" applyNumberFormat="1" applyBorder="1"/>
    <xf numFmtId="3" fontId="0" fillId="0" borderId="14" xfId="0" applyNumberFormat="1" applyBorder="1"/>
    <xf numFmtId="3" fontId="0" fillId="0" borderId="16" xfId="0" applyNumberFormat="1" applyBorder="1"/>
    <xf numFmtId="3" fontId="0" fillId="0" borderId="0" xfId="0" applyNumberFormat="1"/>
    <xf numFmtId="3" fontId="0" fillId="0" borderId="20" xfId="0" applyNumberFormat="1" applyBorder="1"/>
    <xf numFmtId="3" fontId="0" fillId="0" borderId="13" xfId="0" applyNumberFormat="1" applyBorder="1"/>
    <xf numFmtId="0" fontId="0" fillId="33" borderId="42" xfId="0" applyFill="1" applyBorder="1"/>
    <xf numFmtId="3" fontId="0" fillId="0" borderId="43" xfId="0" applyNumberFormat="1" applyBorder="1"/>
    <xf numFmtId="3" fontId="0" fillId="0" borderId="44" xfId="0" applyNumberFormat="1" applyBorder="1"/>
    <xf numFmtId="3" fontId="0" fillId="0" borderId="42" xfId="0" applyNumberFormat="1" applyBorder="1"/>
    <xf numFmtId="3" fontId="0" fillId="0" borderId="11" xfId="0" applyNumberFormat="1" applyBorder="1"/>
    <xf numFmtId="3" fontId="0" fillId="0" borderId="10" xfId="0" applyNumberFormat="1" applyBorder="1"/>
    <xf numFmtId="3" fontId="0" fillId="0" borderId="12" xfId="0" applyNumberFormat="1" applyBorder="1"/>
    <xf numFmtId="0" fontId="0" fillId="33" borderId="14" xfId="0" applyFill="1" applyBorder="1"/>
    <xf numFmtId="3" fontId="40" fillId="0" borderId="15" xfId="0" applyNumberFormat="1" applyFont="1" applyBorder="1"/>
    <xf numFmtId="0" fontId="0" fillId="33" borderId="20" xfId="0" applyFill="1" applyBorder="1"/>
    <xf numFmtId="3" fontId="40" fillId="0" borderId="0" xfId="0" applyNumberFormat="1" applyFont="1"/>
    <xf numFmtId="3" fontId="40" fillId="0" borderId="43" xfId="0" applyNumberFormat="1" applyFont="1" applyBorder="1"/>
    <xf numFmtId="0" fontId="0" fillId="33" borderId="10" xfId="0" applyFill="1" applyBorder="1"/>
    <xf numFmtId="3" fontId="40" fillId="0" borderId="11" xfId="0" applyNumberFormat="1" applyFont="1" applyBorder="1"/>
    <xf numFmtId="1" fontId="0" fillId="33" borderId="20" xfId="0" applyNumberFormat="1" applyFill="1" applyBorder="1"/>
    <xf numFmtId="164" fontId="0" fillId="0" borderId="15" xfId="43" applyNumberFormat="1" applyFont="1" applyFill="1" applyBorder="1"/>
    <xf numFmtId="164" fontId="0" fillId="0" borderId="14" xfId="43" applyNumberFormat="1" applyFont="1" applyFill="1" applyBorder="1"/>
    <xf numFmtId="164" fontId="0" fillId="0" borderId="16" xfId="43" applyNumberFormat="1" applyFont="1" applyFill="1" applyBorder="1"/>
    <xf numFmtId="164" fontId="0" fillId="0" borderId="0" xfId="43" applyNumberFormat="1" applyFont="1" applyFill="1" applyBorder="1"/>
    <xf numFmtId="164" fontId="0" fillId="0" borderId="20" xfId="43" applyNumberFormat="1" applyFont="1" applyFill="1" applyBorder="1"/>
    <xf numFmtId="164" fontId="0" fillId="0" borderId="13" xfId="43" applyNumberFormat="1" applyFont="1" applyFill="1" applyBorder="1"/>
    <xf numFmtId="164" fontId="0" fillId="0" borderId="43" xfId="43" applyNumberFormat="1" applyFont="1" applyFill="1" applyBorder="1"/>
    <xf numFmtId="164" fontId="0" fillId="0" borderId="44" xfId="43" applyNumberFormat="1" applyFont="1" applyFill="1" applyBorder="1"/>
    <xf numFmtId="164" fontId="0" fillId="0" borderId="42" xfId="43" applyNumberFormat="1" applyFont="1" applyFill="1" applyBorder="1"/>
    <xf numFmtId="164" fontId="0" fillId="0" borderId="11" xfId="43" applyNumberFormat="1" applyFont="1" applyFill="1" applyBorder="1"/>
    <xf numFmtId="164" fontId="0" fillId="0" borderId="10" xfId="43" applyNumberFormat="1" applyFont="1" applyFill="1" applyBorder="1"/>
    <xf numFmtId="164" fontId="0" fillId="0" borderId="12" xfId="43" applyNumberFormat="1" applyFont="1" applyFill="1" applyBorder="1"/>
    <xf numFmtId="173" fontId="0" fillId="33" borderId="15" xfId="0" applyNumberFormat="1" applyFill="1" applyBorder="1"/>
    <xf numFmtId="0" fontId="17" fillId="34" borderId="21" xfId="0" applyFont="1" applyFill="1" applyBorder="1"/>
    <xf numFmtId="0" fontId="17" fillId="34" borderId="22" xfId="0" applyFont="1" applyFill="1" applyBorder="1"/>
    <xf numFmtId="173" fontId="17" fillId="34" borderId="22" xfId="0" applyNumberFormat="1" applyFont="1" applyFill="1" applyBorder="1"/>
    <xf numFmtId="173" fontId="17" fillId="34" borderId="23" xfId="0" applyNumberFormat="1" applyFont="1" applyFill="1" applyBorder="1"/>
    <xf numFmtId="0" fontId="13" fillId="42" borderId="22" xfId="0" applyFont="1" applyFill="1" applyBorder="1"/>
    <xf numFmtId="173" fontId="13" fillId="42" borderId="22" xfId="0" applyNumberFormat="1" applyFont="1" applyFill="1" applyBorder="1"/>
    <xf numFmtId="173" fontId="13" fillId="42" borderId="23" xfId="0" applyNumberFormat="1" applyFont="1" applyFill="1" applyBorder="1"/>
    <xf numFmtId="176" fontId="0" fillId="33" borderId="0" xfId="0" applyNumberFormat="1" applyFill="1"/>
    <xf numFmtId="0" fontId="0" fillId="33" borderId="18" xfId="0" applyFill="1" applyBorder="1"/>
    <xf numFmtId="0" fontId="0" fillId="35" borderId="18" xfId="0" applyFill="1" applyBorder="1"/>
    <xf numFmtId="173" fontId="0" fillId="35" borderId="22" xfId="0" applyNumberFormat="1" applyFill="1" applyBorder="1" applyAlignment="1">
      <alignment horizontal="center"/>
    </xf>
    <xf numFmtId="173" fontId="0" fillId="35" borderId="23" xfId="0" applyNumberFormat="1" applyFill="1" applyBorder="1" applyAlignment="1">
      <alignment horizontal="center"/>
    </xf>
    <xf numFmtId="0" fontId="0" fillId="35" borderId="17" xfId="0" applyFill="1" applyBorder="1"/>
    <xf numFmtId="0" fontId="0" fillId="35" borderId="19" xfId="0" applyFill="1" applyBorder="1"/>
    <xf numFmtId="0" fontId="0" fillId="35" borderId="24" xfId="0" applyFill="1" applyBorder="1"/>
    <xf numFmtId="173" fontId="0" fillId="35" borderId="22" xfId="0" applyNumberFormat="1" applyFill="1" applyBorder="1"/>
    <xf numFmtId="173" fontId="0" fillId="35" borderId="21" xfId="0" applyNumberFormat="1" applyFill="1" applyBorder="1"/>
    <xf numFmtId="173" fontId="0" fillId="35" borderId="23" xfId="0" applyNumberFormat="1" applyFill="1" applyBorder="1"/>
    <xf numFmtId="173" fontId="17" fillId="40" borderId="21" xfId="0" applyNumberFormat="1" applyFont="1" applyFill="1" applyBorder="1" applyAlignment="1">
      <alignment horizontal="center"/>
    </xf>
    <xf numFmtId="173" fontId="17" fillId="41" borderId="23" xfId="0" applyNumberFormat="1" applyFont="1" applyFill="1" applyBorder="1" applyAlignment="1">
      <alignment horizontal="center"/>
    </xf>
    <xf numFmtId="4" fontId="40" fillId="0" borderId="15" xfId="0" applyNumberFormat="1" applyFont="1" applyBorder="1"/>
    <xf numFmtId="4" fontId="40" fillId="0" borderId="16" xfId="0" applyNumberFormat="1" applyFont="1" applyBorder="1"/>
    <xf numFmtId="4" fontId="40" fillId="0" borderId="14" xfId="0" applyNumberFormat="1" applyFont="1" applyBorder="1"/>
    <xf numFmtId="1" fontId="40" fillId="0" borderId="14" xfId="0" applyNumberFormat="1" applyFont="1" applyBorder="1" applyAlignment="1">
      <alignment horizontal="center"/>
    </xf>
    <xf numFmtId="1" fontId="42" fillId="0" borderId="16" xfId="0" applyNumberFormat="1" applyFont="1" applyBorder="1" applyAlignment="1">
      <alignment horizontal="center"/>
    </xf>
    <xf numFmtId="0" fontId="0" fillId="0" borderId="17" xfId="0" applyBorder="1"/>
    <xf numFmtId="171" fontId="0" fillId="33" borderId="0" xfId="0" applyNumberFormat="1" applyFill="1"/>
    <xf numFmtId="4" fontId="40" fillId="0" borderId="0" xfId="0" applyNumberFormat="1" applyFont="1"/>
    <xf numFmtId="4" fontId="40" fillId="0" borderId="13" xfId="0" applyNumberFormat="1" applyFont="1" applyBorder="1"/>
    <xf numFmtId="4" fontId="40" fillId="0" borderId="20" xfId="0" applyNumberFormat="1" applyFont="1" applyBorder="1"/>
    <xf numFmtId="0" fontId="40" fillId="0" borderId="20" xfId="0" applyFont="1" applyBorder="1" applyAlignment="1">
      <alignment horizontal="center"/>
    </xf>
    <xf numFmtId="0" fontId="42" fillId="0" borderId="13" xfId="0" applyFont="1" applyBorder="1" applyAlignment="1">
      <alignment horizontal="center"/>
    </xf>
    <xf numFmtId="0" fontId="43" fillId="0" borderId="13" xfId="0" applyFont="1" applyBorder="1" applyAlignment="1">
      <alignment horizontal="center"/>
    </xf>
    <xf numFmtId="0" fontId="42" fillId="0" borderId="20" xfId="0" applyFont="1" applyBorder="1" applyAlignment="1">
      <alignment horizontal="center"/>
    </xf>
    <xf numFmtId="1" fontId="40" fillId="0" borderId="20" xfId="0" applyNumberFormat="1" applyFont="1" applyBorder="1" applyAlignment="1">
      <alignment horizontal="center"/>
    </xf>
    <xf numFmtId="1" fontId="42" fillId="0" borderId="13" xfId="0" applyNumberFormat="1" applyFont="1" applyBorder="1" applyAlignment="1">
      <alignment horizontal="center"/>
    </xf>
    <xf numFmtId="11" fontId="40" fillId="0" borderId="20" xfId="0" applyNumberFormat="1" applyFont="1" applyBorder="1"/>
    <xf numFmtId="2" fontId="40" fillId="0" borderId="13" xfId="0" applyNumberFormat="1" applyFont="1" applyBorder="1"/>
    <xf numFmtId="0" fontId="0" fillId="0" borderId="24" xfId="0" applyBorder="1"/>
    <xf numFmtId="0" fontId="40" fillId="33" borderId="0" xfId="0" applyFont="1" applyFill="1"/>
    <xf numFmtId="0" fontId="42" fillId="0" borderId="14" xfId="0" applyFont="1" applyBorder="1" applyAlignment="1">
      <alignment horizontal="center"/>
    </xf>
    <xf numFmtId="0" fontId="43" fillId="0" borderId="16" xfId="0" applyFont="1" applyBorder="1" applyAlignment="1">
      <alignment horizontal="center"/>
    </xf>
    <xf numFmtId="0" fontId="0" fillId="0" borderId="14" xfId="0" applyBorder="1"/>
    <xf numFmtId="0" fontId="0" fillId="0" borderId="16" xfId="0" applyBorder="1"/>
    <xf numFmtId="4" fontId="40" fillId="0" borderId="11" xfId="0" applyNumberFormat="1" applyFont="1" applyBorder="1"/>
    <xf numFmtId="4" fontId="40" fillId="0" borderId="12" xfId="0" applyNumberFormat="1" applyFont="1" applyBorder="1"/>
    <xf numFmtId="4" fontId="40" fillId="0" borderId="10" xfId="0" applyNumberFormat="1" applyFont="1" applyBorder="1"/>
    <xf numFmtId="1" fontId="40" fillId="0" borderId="10" xfId="0" applyNumberFormat="1" applyFont="1" applyBorder="1" applyAlignment="1">
      <alignment horizontal="center"/>
    </xf>
    <xf numFmtId="1" fontId="0" fillId="0" borderId="12" xfId="0" applyNumberFormat="1"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40" fillId="33" borderId="0" xfId="0" applyFont="1" applyFill="1" applyAlignment="1">
      <alignment horizontal="right"/>
    </xf>
    <xf numFmtId="11" fontId="0" fillId="0" borderId="14" xfId="0" applyNumberFormat="1" applyBorder="1"/>
    <xf numFmtId="11" fontId="0" fillId="0" borderId="16" xfId="0" applyNumberFormat="1" applyBorder="1"/>
    <xf numFmtId="3" fontId="40" fillId="0" borderId="20" xfId="0" applyNumberFormat="1" applyFont="1" applyBorder="1"/>
    <xf numFmtId="3" fontId="40" fillId="0" borderId="13" xfId="0" applyNumberFormat="1" applyFont="1" applyBorder="1"/>
    <xf numFmtId="11" fontId="0" fillId="33" borderId="0" xfId="0" applyNumberFormat="1" applyFill="1"/>
    <xf numFmtId="10" fontId="0" fillId="33" borderId="0" xfId="43" applyNumberFormat="1" applyFont="1" applyFill="1"/>
    <xf numFmtId="11" fontId="40" fillId="0" borderId="13" xfId="0" applyNumberFormat="1" applyFont="1" applyBorder="1"/>
    <xf numFmtId="11" fontId="0" fillId="0" borderId="10" xfId="0" applyNumberFormat="1" applyBorder="1"/>
    <xf numFmtId="11" fontId="0" fillId="0" borderId="12" xfId="0" applyNumberFormat="1" applyBorder="1"/>
    <xf numFmtId="171" fontId="0" fillId="33" borderId="14" xfId="0" applyNumberFormat="1" applyFill="1" applyBorder="1"/>
    <xf numFmtId="171" fontId="0" fillId="33" borderId="15" xfId="0" applyNumberFormat="1" applyFill="1" applyBorder="1"/>
    <xf numFmtId="172" fontId="40" fillId="0" borderId="15" xfId="0" applyNumberFormat="1" applyFont="1" applyBorder="1"/>
    <xf numFmtId="171" fontId="40" fillId="0" borderId="15" xfId="0" applyNumberFormat="1" applyFont="1" applyBorder="1"/>
    <xf numFmtId="171" fontId="40" fillId="0" borderId="16" xfId="0" applyNumberFormat="1" applyFont="1" applyBorder="1"/>
    <xf numFmtId="171" fontId="40" fillId="0" borderId="14" xfId="0" applyNumberFormat="1" applyFont="1" applyBorder="1"/>
    <xf numFmtId="1" fontId="0" fillId="0" borderId="14" xfId="0" applyNumberFormat="1" applyBorder="1" applyAlignment="1">
      <alignment horizontal="center"/>
    </xf>
    <xf numFmtId="1" fontId="0" fillId="0" borderId="16" xfId="0" applyNumberFormat="1" applyBorder="1" applyAlignment="1">
      <alignment horizontal="center"/>
    </xf>
    <xf numFmtId="171" fontId="0" fillId="33" borderId="20" xfId="0" applyNumberFormat="1" applyFill="1" applyBorder="1"/>
    <xf numFmtId="172" fontId="0" fillId="33" borderId="0" xfId="0" applyNumberFormat="1" applyFill="1"/>
    <xf numFmtId="172" fontId="40" fillId="0" borderId="0" xfId="0" applyNumberFormat="1" applyFont="1"/>
    <xf numFmtId="171" fontId="40" fillId="0" borderId="0" xfId="0" applyNumberFormat="1" applyFont="1"/>
    <xf numFmtId="171" fontId="40" fillId="0" borderId="13" xfId="0" applyNumberFormat="1" applyFont="1" applyBorder="1"/>
    <xf numFmtId="171" fontId="40" fillId="0" borderId="20" xfId="0" applyNumberFormat="1" applyFont="1" applyBorder="1"/>
    <xf numFmtId="1" fontId="0" fillId="0" borderId="20" xfId="0" applyNumberFormat="1" applyBorder="1" applyAlignment="1">
      <alignment horizontal="center"/>
    </xf>
    <xf numFmtId="1" fontId="0" fillId="0" borderId="13" xfId="0" applyNumberFormat="1" applyBorder="1" applyAlignment="1">
      <alignment horizontal="center"/>
    </xf>
    <xf numFmtId="1" fontId="0" fillId="0" borderId="20" xfId="43" applyNumberFormat="1" applyFont="1" applyFill="1" applyBorder="1" applyAlignment="1">
      <alignment horizontal="center"/>
    </xf>
    <xf numFmtId="1" fontId="0" fillId="0" borderId="13" xfId="43" applyNumberFormat="1" applyFont="1" applyFill="1" applyBorder="1" applyAlignment="1">
      <alignment horizontal="center"/>
    </xf>
    <xf numFmtId="2" fontId="0" fillId="33" borderId="0" xfId="0" applyNumberFormat="1" applyFill="1"/>
    <xf numFmtId="0" fontId="0" fillId="33" borderId="21" xfId="0" applyFill="1" applyBorder="1"/>
    <xf numFmtId="3" fontId="0" fillId="0" borderId="22" xfId="0" applyNumberFormat="1" applyBorder="1"/>
    <xf numFmtId="3" fontId="0" fillId="0" borderId="23" xfId="0" applyNumberFormat="1" applyBorder="1"/>
    <xf numFmtId="4" fontId="0" fillId="0" borderId="21" xfId="0" applyNumberFormat="1" applyBorder="1"/>
    <xf numFmtId="4" fontId="0" fillId="0" borderId="23" xfId="0" applyNumberFormat="1" applyBorder="1"/>
    <xf numFmtId="1" fontId="0" fillId="0" borderId="21" xfId="0" applyNumberFormat="1" applyBorder="1" applyAlignment="1">
      <alignment horizontal="center"/>
    </xf>
    <xf numFmtId="1" fontId="0" fillId="0" borderId="23" xfId="0" applyNumberFormat="1" applyBorder="1" applyAlignment="1">
      <alignment horizontal="center"/>
    </xf>
    <xf numFmtId="10" fontId="0" fillId="0" borderId="21" xfId="43" applyNumberFormat="1" applyFont="1" applyFill="1" applyBorder="1" applyAlignment="1">
      <alignment horizontal="center"/>
    </xf>
    <xf numFmtId="11" fontId="0" fillId="0" borderId="23" xfId="43" applyNumberFormat="1" applyFont="1" applyFill="1" applyBorder="1" applyAlignment="1">
      <alignment horizontal="center"/>
    </xf>
    <xf numFmtId="164" fontId="0" fillId="33" borderId="0" xfId="43" applyNumberFormat="1" applyFont="1" applyFill="1"/>
    <xf numFmtId="173" fontId="0" fillId="0" borderId="14" xfId="0" applyNumberFormat="1" applyBorder="1"/>
    <xf numFmtId="173" fontId="0" fillId="0" borderId="16" xfId="0" applyNumberFormat="1" applyBorder="1"/>
    <xf numFmtId="173" fontId="0" fillId="0" borderId="20" xfId="0" applyNumberFormat="1" applyBorder="1"/>
    <xf numFmtId="173" fontId="0" fillId="0" borderId="13" xfId="0" applyNumberFormat="1" applyBorder="1"/>
    <xf numFmtId="173" fontId="13" fillId="40" borderId="21" xfId="0" applyNumberFormat="1" applyFont="1" applyFill="1" applyBorder="1" applyAlignment="1">
      <alignment horizontal="center"/>
    </xf>
    <xf numFmtId="173" fontId="13" fillId="41" borderId="22" xfId="0" applyNumberFormat="1" applyFont="1" applyFill="1" applyBorder="1" applyAlignment="1">
      <alignment horizontal="center"/>
    </xf>
    <xf numFmtId="173" fontId="13" fillId="41" borderId="23" xfId="0" applyNumberFormat="1" applyFont="1" applyFill="1" applyBorder="1" applyAlignment="1">
      <alignment horizontal="center"/>
    </xf>
    <xf numFmtId="0" fontId="40" fillId="38" borderId="16" xfId="0" applyFont="1" applyFill="1" applyBorder="1"/>
    <xf numFmtId="0" fontId="40" fillId="38" borderId="12" xfId="0" applyFont="1" applyFill="1" applyBorder="1"/>
    <xf numFmtId="173" fontId="13" fillId="47" borderId="21" xfId="0" applyNumberFormat="1" applyFont="1" applyFill="1" applyBorder="1"/>
    <xf numFmtId="173" fontId="13" fillId="47" borderId="23" xfId="0" applyNumberFormat="1" applyFont="1" applyFill="1" applyBorder="1"/>
    <xf numFmtId="4" fontId="0" fillId="0" borderId="45" xfId="0" applyNumberFormat="1" applyBorder="1"/>
    <xf numFmtId="4" fontId="0" fillId="0" borderId="47" xfId="0" applyNumberFormat="1" applyBorder="1"/>
    <xf numFmtId="173" fontId="0" fillId="0" borderId="17" xfId="0" applyNumberFormat="1" applyBorder="1"/>
    <xf numFmtId="4" fontId="0" fillId="0" borderId="41" xfId="0" applyNumberFormat="1" applyBorder="1"/>
    <xf numFmtId="4" fontId="0" fillId="0" borderId="48" xfId="0" applyNumberFormat="1" applyBorder="1"/>
    <xf numFmtId="173" fontId="0" fillId="0" borderId="12" xfId="0" applyNumberFormat="1" applyBorder="1"/>
    <xf numFmtId="173" fontId="0" fillId="0" borderId="10" xfId="0" applyNumberFormat="1" applyBorder="1"/>
    <xf numFmtId="173" fontId="0" fillId="0" borderId="11" xfId="0" applyNumberFormat="1" applyBorder="1"/>
    <xf numFmtId="173" fontId="0" fillId="0" borderId="49" xfId="0" applyNumberFormat="1" applyBorder="1"/>
    <xf numFmtId="173" fontId="0" fillId="0" borderId="50" xfId="0" applyNumberFormat="1" applyBorder="1"/>
    <xf numFmtId="4" fontId="0" fillId="0" borderId="49" xfId="0" applyNumberFormat="1" applyBorder="1"/>
    <xf numFmtId="4" fontId="0" fillId="0" borderId="50" xfId="0" applyNumberFormat="1" applyBorder="1"/>
    <xf numFmtId="173" fontId="40" fillId="35" borderId="16" xfId="0" applyNumberFormat="1" applyFont="1" applyFill="1" applyBorder="1" applyAlignment="1">
      <alignment horizontal="right"/>
    </xf>
    <xf numFmtId="173" fontId="40" fillId="0" borderId="14" xfId="0" applyNumberFormat="1" applyFont="1" applyBorder="1"/>
    <xf numFmtId="173" fontId="40" fillId="0" borderId="15" xfId="0" applyNumberFormat="1" applyFont="1" applyBorder="1"/>
    <xf numFmtId="173" fontId="40" fillId="0" borderId="45" xfId="0" applyNumberFormat="1" applyFont="1" applyBorder="1"/>
    <xf numFmtId="173" fontId="40" fillId="0" borderId="47" xfId="0" applyNumberFormat="1" applyFont="1" applyBorder="1"/>
    <xf numFmtId="173" fontId="40" fillId="0" borderId="16" xfId="0" applyNumberFormat="1" applyFont="1" applyBorder="1"/>
    <xf numFmtId="173" fontId="40" fillId="35" borderId="13" xfId="0" applyNumberFormat="1" applyFont="1" applyFill="1" applyBorder="1" applyAlignment="1">
      <alignment horizontal="right"/>
    </xf>
    <xf numFmtId="173" fontId="40" fillId="0" borderId="20" xfId="0" applyNumberFormat="1" applyFont="1" applyBorder="1"/>
    <xf numFmtId="173" fontId="40" fillId="0" borderId="0" xfId="0" applyNumberFormat="1" applyFont="1"/>
    <xf numFmtId="173" fontId="40" fillId="0" borderId="41" xfId="0" applyNumberFormat="1" applyFont="1" applyBorder="1"/>
    <xf numFmtId="173" fontId="40" fillId="0" borderId="48" xfId="0" applyNumberFormat="1" applyFont="1" applyBorder="1"/>
    <xf numFmtId="173" fontId="40" fillId="0" borderId="13" xfId="0" applyNumberFormat="1" applyFont="1" applyBorder="1"/>
    <xf numFmtId="173" fontId="0" fillId="33" borderId="20" xfId="0" applyNumberFormat="1" applyFill="1" applyBorder="1"/>
    <xf numFmtId="173" fontId="0" fillId="0" borderId="24" xfId="0" applyNumberFormat="1" applyBorder="1"/>
    <xf numFmtId="173" fontId="40" fillId="35" borderId="12" xfId="0" applyNumberFormat="1" applyFont="1" applyFill="1" applyBorder="1" applyAlignment="1">
      <alignment horizontal="right"/>
    </xf>
    <xf numFmtId="173" fontId="40" fillId="0" borderId="10" xfId="0" applyNumberFormat="1" applyFont="1" applyBorder="1"/>
    <xf numFmtId="173" fontId="40" fillId="0" borderId="11" xfId="0" applyNumberFormat="1" applyFont="1" applyBorder="1"/>
    <xf numFmtId="173" fontId="40" fillId="0" borderId="49" xfId="0" applyNumberFormat="1" applyFont="1" applyBorder="1"/>
    <xf numFmtId="173" fontId="40" fillId="0" borderId="50" xfId="0" applyNumberFormat="1" applyFont="1" applyBorder="1"/>
    <xf numFmtId="173" fontId="40" fillId="0" borderId="12" xfId="0" applyNumberFormat="1" applyFont="1" applyBorder="1"/>
    <xf numFmtId="173" fontId="42" fillId="0" borderId="15" xfId="0" applyNumberFormat="1" applyFont="1" applyBorder="1"/>
    <xf numFmtId="173" fontId="42" fillId="0" borderId="45" xfId="0" applyNumberFormat="1" applyFont="1" applyBorder="1"/>
    <xf numFmtId="173" fontId="0" fillId="0" borderId="47" xfId="0" applyNumberFormat="1" applyBorder="1"/>
    <xf numFmtId="171" fontId="0" fillId="0" borderId="14" xfId="0" applyNumberFormat="1" applyBorder="1"/>
    <xf numFmtId="171" fontId="0" fillId="0" borderId="15" xfId="0" applyNumberFormat="1" applyBorder="1"/>
    <xf numFmtId="171" fontId="0" fillId="0" borderId="16" xfId="0" applyNumberFormat="1" applyBorder="1"/>
    <xf numFmtId="173" fontId="42" fillId="0" borderId="0" xfId="0" applyNumberFormat="1" applyFont="1"/>
    <xf numFmtId="173" fontId="42" fillId="0" borderId="41" xfId="0" applyNumberFormat="1" applyFont="1" applyBorder="1"/>
    <xf numFmtId="173" fontId="0" fillId="0" borderId="48" xfId="0" applyNumberFormat="1" applyBorder="1"/>
    <xf numFmtId="171" fontId="0" fillId="0" borderId="20" xfId="0" applyNumberFormat="1" applyBorder="1"/>
    <xf numFmtId="171" fontId="0" fillId="0" borderId="0" xfId="0" applyNumberFormat="1"/>
    <xf numFmtId="171" fontId="0" fillId="0" borderId="13" xfId="0" applyNumberFormat="1" applyBorder="1"/>
    <xf numFmtId="173" fontId="42" fillId="0" borderId="11" xfId="0" applyNumberFormat="1" applyFont="1" applyBorder="1"/>
    <xf numFmtId="173" fontId="42" fillId="0" borderId="49" xfId="0" applyNumberFormat="1" applyFont="1" applyBorder="1"/>
    <xf numFmtId="171" fontId="0" fillId="0" borderId="10" xfId="0" applyNumberFormat="1" applyBorder="1"/>
    <xf numFmtId="171" fontId="0" fillId="0" borderId="11" xfId="0" applyNumberFormat="1" applyBorder="1"/>
    <xf numFmtId="171" fontId="0" fillId="0" borderId="12" xfId="0" applyNumberFormat="1" applyBorder="1"/>
    <xf numFmtId="173" fontId="0" fillId="46" borderId="16" xfId="0" applyNumberFormat="1" applyFill="1" applyBorder="1"/>
    <xf numFmtId="173" fontId="0" fillId="46" borderId="13" xfId="0" applyNumberFormat="1" applyFill="1" applyBorder="1"/>
    <xf numFmtId="173" fontId="0" fillId="46" borderId="12" xfId="0" applyNumberFormat="1" applyFill="1" applyBorder="1"/>
    <xf numFmtId="173" fontId="40" fillId="35" borderId="20" xfId="0" applyNumberFormat="1" applyFont="1" applyFill="1" applyBorder="1" applyAlignment="1">
      <alignment horizontal="right"/>
    </xf>
    <xf numFmtId="173" fontId="40" fillId="35" borderId="17" xfId="0" applyNumberFormat="1" applyFont="1" applyFill="1" applyBorder="1" applyAlignment="1">
      <alignment horizontal="right"/>
    </xf>
    <xf numFmtId="173" fontId="40" fillId="35" borderId="19" xfId="0" applyNumberFormat="1" applyFont="1" applyFill="1" applyBorder="1" applyAlignment="1">
      <alignment horizontal="right"/>
    </xf>
    <xf numFmtId="173" fontId="40" fillId="35" borderId="10" xfId="0" applyNumberFormat="1" applyFont="1" applyFill="1" applyBorder="1" applyAlignment="1">
      <alignment horizontal="right"/>
    </xf>
    <xf numFmtId="173" fontId="40" fillId="35" borderId="24" xfId="0" applyNumberFormat="1" applyFont="1" applyFill="1" applyBorder="1" applyAlignment="1">
      <alignment horizontal="right"/>
    </xf>
    <xf numFmtId="173" fontId="0" fillId="33" borderId="11" xfId="0" applyNumberFormat="1" applyFill="1" applyBorder="1"/>
    <xf numFmtId="173" fontId="0" fillId="33" borderId="14" xfId="0" applyNumberFormat="1" applyFill="1" applyBorder="1"/>
    <xf numFmtId="173" fontId="0" fillId="33" borderId="16" xfId="0" applyNumberFormat="1" applyFill="1" applyBorder="1"/>
    <xf numFmtId="173" fontId="0" fillId="33" borderId="13" xfId="0" applyNumberFormat="1" applyFill="1" applyBorder="1"/>
    <xf numFmtId="173" fontId="0" fillId="33" borderId="10" xfId="0" applyNumberFormat="1" applyFill="1" applyBorder="1"/>
    <xf numFmtId="173" fontId="0" fillId="33" borderId="12" xfId="0" applyNumberFormat="1" applyFill="1" applyBorder="1"/>
    <xf numFmtId="173" fontId="41" fillId="35" borderId="14" xfId="0" applyNumberFormat="1" applyFont="1" applyFill="1" applyBorder="1" applyAlignment="1">
      <alignment horizontal="right"/>
    </xf>
    <xf numFmtId="173" fontId="41" fillId="35" borderId="20" xfId="0" applyNumberFormat="1" applyFont="1" applyFill="1" applyBorder="1" applyAlignment="1">
      <alignment horizontal="right"/>
    </xf>
    <xf numFmtId="173" fontId="41" fillId="35" borderId="10" xfId="0" applyNumberFormat="1" applyFont="1" applyFill="1" applyBorder="1" applyAlignment="1">
      <alignment horizontal="right"/>
    </xf>
    <xf numFmtId="173" fontId="0" fillId="33" borderId="0" xfId="0" applyNumberFormat="1" applyFill="1" applyAlignment="1">
      <alignment horizontal="center"/>
    </xf>
    <xf numFmtId="173" fontId="0" fillId="46" borderId="14" xfId="0" applyNumberFormat="1" applyFill="1" applyBorder="1"/>
    <xf numFmtId="173" fontId="0" fillId="46" borderId="15" xfId="0" applyNumberFormat="1" applyFill="1" applyBorder="1"/>
    <xf numFmtId="173" fontId="0" fillId="46" borderId="10" xfId="0" applyNumberFormat="1" applyFill="1" applyBorder="1"/>
    <xf numFmtId="173" fontId="0" fillId="46" borderId="11" xfId="0" applyNumberFormat="1" applyFill="1" applyBorder="1"/>
    <xf numFmtId="11" fontId="0" fillId="0" borderId="21" xfId="0" applyNumberFormat="1" applyBorder="1" applyAlignment="1">
      <alignment horizontal="left"/>
    </xf>
    <xf numFmtId="11" fontId="0" fillId="0" borderId="23" xfId="0" applyNumberFormat="1" applyBorder="1" applyAlignment="1">
      <alignment horizontal="left"/>
    </xf>
    <xf numFmtId="173" fontId="17" fillId="43" borderId="18" xfId="0" applyNumberFormat="1" applyFont="1" applyFill="1" applyBorder="1"/>
    <xf numFmtId="173" fontId="17" fillId="43" borderId="21" xfId="0" applyNumberFormat="1" applyFont="1" applyFill="1" applyBorder="1" applyAlignment="1">
      <alignment horizontal="center"/>
    </xf>
    <xf numFmtId="173" fontId="17" fillId="43" borderId="22" xfId="0" applyNumberFormat="1" applyFont="1" applyFill="1" applyBorder="1" applyAlignment="1">
      <alignment horizontal="center"/>
    </xf>
    <xf numFmtId="173" fontId="17" fillId="43" borderId="18" xfId="0" applyNumberFormat="1" applyFont="1" applyFill="1" applyBorder="1" applyAlignment="1">
      <alignment horizontal="center"/>
    </xf>
    <xf numFmtId="2" fontId="17" fillId="43" borderId="22" xfId="0" applyNumberFormat="1" applyFont="1" applyFill="1" applyBorder="1" applyAlignment="1">
      <alignment horizontal="right"/>
    </xf>
    <xf numFmtId="173" fontId="17" fillId="43" borderId="23" xfId="0" applyNumberFormat="1" applyFont="1" applyFill="1" applyBorder="1" applyAlignment="1">
      <alignment horizontal="center"/>
    </xf>
    <xf numFmtId="9" fontId="0" fillId="0" borderId="14" xfId="43" applyFont="1" applyFill="1" applyBorder="1"/>
    <xf numFmtId="10" fontId="0" fillId="0" borderId="15" xfId="43" applyNumberFormat="1" applyFont="1" applyFill="1" applyBorder="1"/>
    <xf numFmtId="3" fontId="40" fillId="0" borderId="16" xfId="0" applyNumberFormat="1" applyFont="1" applyBorder="1"/>
    <xf numFmtId="177" fontId="0" fillId="0" borderId="17" xfId="0" applyNumberFormat="1" applyBorder="1"/>
    <xf numFmtId="2" fontId="40" fillId="0" borderId="15" xfId="43" applyNumberFormat="1" applyFont="1" applyFill="1" applyBorder="1" applyAlignment="1">
      <alignment horizontal="right"/>
    </xf>
    <xf numFmtId="2" fontId="40" fillId="0" borderId="16" xfId="43" applyNumberFormat="1" applyFont="1" applyFill="1" applyBorder="1" applyAlignment="1">
      <alignment horizontal="right"/>
    </xf>
    <xf numFmtId="9" fontId="0" fillId="0" borderId="20" xfId="43" applyFont="1" applyFill="1" applyBorder="1"/>
    <xf numFmtId="10" fontId="0" fillId="0" borderId="0" xfId="43" applyNumberFormat="1" applyFont="1" applyFill="1" applyBorder="1"/>
    <xf numFmtId="177" fontId="0" fillId="0" borderId="19" xfId="0" applyNumberFormat="1" applyBorder="1"/>
    <xf numFmtId="2" fontId="40" fillId="0" borderId="0" xfId="43" applyNumberFormat="1" applyFont="1" applyFill="1" applyBorder="1" applyAlignment="1">
      <alignment horizontal="right"/>
    </xf>
    <xf numFmtId="2" fontId="40" fillId="0" borderId="13" xfId="43" applyNumberFormat="1" applyFont="1" applyFill="1" applyBorder="1" applyAlignment="1">
      <alignment horizontal="right"/>
    </xf>
    <xf numFmtId="3" fontId="42" fillId="0" borderId="13" xfId="0" applyNumberFormat="1" applyFont="1" applyBorder="1"/>
    <xf numFmtId="177" fontId="42" fillId="0" borderId="19" xfId="0" applyNumberFormat="1" applyFont="1" applyBorder="1"/>
    <xf numFmtId="2" fontId="42" fillId="0" borderId="0" xfId="43" applyNumberFormat="1" applyFont="1" applyFill="1" applyBorder="1" applyAlignment="1">
      <alignment horizontal="right"/>
    </xf>
    <xf numFmtId="9" fontId="0" fillId="0" borderId="44" xfId="43" applyFont="1" applyFill="1" applyBorder="1"/>
    <xf numFmtId="10" fontId="0" fillId="0" borderId="43" xfId="43" applyNumberFormat="1" applyFont="1" applyFill="1" applyBorder="1"/>
    <xf numFmtId="3" fontId="42" fillId="0" borderId="42" xfId="0" applyNumberFormat="1" applyFont="1" applyBorder="1"/>
    <xf numFmtId="177" fontId="0" fillId="0" borderId="51" xfId="0" applyNumberFormat="1" applyBorder="1"/>
    <xf numFmtId="2" fontId="40" fillId="0" borderId="43" xfId="43" applyNumberFormat="1" applyFont="1" applyFill="1" applyBorder="1" applyAlignment="1">
      <alignment horizontal="right"/>
    </xf>
    <xf numFmtId="2" fontId="42" fillId="0" borderId="43" xfId="43" applyNumberFormat="1" applyFont="1" applyFill="1" applyBorder="1" applyAlignment="1">
      <alignment horizontal="right"/>
    </xf>
    <xf numFmtId="2" fontId="40" fillId="0" borderId="42" xfId="43" applyNumberFormat="1" applyFont="1" applyFill="1" applyBorder="1" applyAlignment="1">
      <alignment horizontal="right"/>
    </xf>
    <xf numFmtId="3" fontId="42" fillId="0" borderId="0" xfId="0" applyNumberFormat="1" applyFont="1"/>
    <xf numFmtId="9" fontId="40" fillId="0" borderId="0" xfId="43" applyFont="1" applyFill="1" applyBorder="1"/>
    <xf numFmtId="9" fontId="40" fillId="0" borderId="13" xfId="43" applyFont="1" applyFill="1" applyBorder="1"/>
    <xf numFmtId="173" fontId="0" fillId="46" borderId="20" xfId="0" applyNumberFormat="1" applyFill="1" applyBorder="1"/>
    <xf numFmtId="4" fontId="42" fillId="0" borderId="43" xfId="0" applyNumberFormat="1" applyFont="1" applyBorder="1"/>
    <xf numFmtId="9" fontId="40" fillId="0" borderId="43" xfId="43" applyFont="1" applyFill="1" applyBorder="1"/>
    <xf numFmtId="9" fontId="40" fillId="0" borderId="42" xfId="43" applyFont="1" applyFill="1" applyBorder="1"/>
    <xf numFmtId="9" fontId="0" fillId="0" borderId="52" xfId="43" applyFont="1" applyFill="1" applyBorder="1"/>
    <xf numFmtId="10" fontId="0" fillId="0" borderId="53" xfId="43" applyNumberFormat="1" applyFont="1" applyFill="1" applyBorder="1"/>
    <xf numFmtId="3" fontId="0" fillId="0" borderId="52" xfId="0" applyNumberFormat="1" applyBorder="1"/>
    <xf numFmtId="3" fontId="42" fillId="0" borderId="53" xfId="0" applyNumberFormat="1" applyFont="1" applyBorder="1"/>
    <xf numFmtId="3" fontId="42" fillId="0" borderId="54" xfId="0" applyNumberFormat="1" applyFont="1" applyBorder="1"/>
    <xf numFmtId="2" fontId="40" fillId="0" borderId="53" xfId="43" applyNumberFormat="1" applyFont="1" applyFill="1" applyBorder="1" applyAlignment="1">
      <alignment horizontal="right"/>
    </xf>
    <xf numFmtId="2" fontId="42" fillId="0" borderId="53" xfId="43" applyNumberFormat="1" applyFont="1" applyFill="1" applyBorder="1"/>
    <xf numFmtId="2" fontId="42" fillId="0" borderId="55" xfId="43" applyNumberFormat="1" applyFont="1" applyFill="1" applyBorder="1"/>
    <xf numFmtId="9" fontId="0" fillId="0" borderId="10" xfId="43" applyFont="1" applyFill="1" applyBorder="1"/>
    <xf numFmtId="10" fontId="0" fillId="0" borderId="11" xfId="43" applyNumberFormat="1" applyFont="1" applyFill="1" applyBorder="1"/>
    <xf numFmtId="3" fontId="42" fillId="0" borderId="11" xfId="0" applyNumberFormat="1" applyFont="1" applyBorder="1"/>
    <xf numFmtId="3" fontId="42" fillId="0" borderId="24" xfId="0" applyNumberFormat="1" applyFont="1" applyBorder="1"/>
    <xf numFmtId="2" fontId="40" fillId="0" borderId="11" xfId="43" applyNumberFormat="1" applyFont="1" applyFill="1" applyBorder="1" applyAlignment="1">
      <alignment horizontal="right"/>
    </xf>
    <xf numFmtId="2" fontId="42" fillId="0" borderId="11" xfId="43" applyNumberFormat="1" applyFont="1" applyFill="1" applyBorder="1"/>
    <xf numFmtId="2" fontId="42" fillId="0" borderId="12" xfId="43" applyNumberFormat="1" applyFont="1" applyFill="1" applyBorder="1"/>
    <xf numFmtId="0" fontId="0" fillId="35" borderId="11" xfId="0" applyFill="1" applyBorder="1" applyAlignment="1">
      <alignment horizontal="center"/>
    </xf>
    <xf numFmtId="1" fontId="0" fillId="35" borderId="22" xfId="0" applyNumberFormat="1" applyFill="1" applyBorder="1" applyAlignment="1">
      <alignment horizontal="center"/>
    </xf>
    <xf numFmtId="1" fontId="0" fillId="35" borderId="23" xfId="0" applyNumberFormat="1" applyFill="1" applyBorder="1" applyAlignment="1">
      <alignment horizontal="center"/>
    </xf>
    <xf numFmtId="1" fontId="0" fillId="33" borderId="0" xfId="0" applyNumberFormat="1" applyFill="1" applyAlignment="1">
      <alignment horizontal="center"/>
    </xf>
    <xf numFmtId="10" fontId="0" fillId="0" borderId="16" xfId="43" applyNumberFormat="1" applyFont="1" applyFill="1" applyBorder="1"/>
    <xf numFmtId="2" fontId="0" fillId="33" borderId="0" xfId="0" applyNumberFormat="1" applyFill="1" applyAlignment="1">
      <alignment horizontal="right"/>
    </xf>
    <xf numFmtId="10" fontId="0" fillId="0" borderId="13" xfId="43" applyNumberFormat="1" applyFont="1" applyFill="1" applyBorder="1"/>
    <xf numFmtId="3" fontId="0" fillId="33" borderId="0" xfId="0" applyNumberFormat="1" applyFill="1"/>
    <xf numFmtId="10" fontId="0" fillId="0" borderId="12" xfId="43" applyNumberFormat="1" applyFont="1" applyFill="1" applyBorder="1"/>
    <xf numFmtId="164" fontId="0" fillId="33" borderId="0" xfId="43" applyNumberFormat="1" applyFont="1" applyFill="1" applyBorder="1" applyAlignment="1">
      <alignment horizontal="center"/>
    </xf>
    <xf numFmtId="10" fontId="1" fillId="0" borderId="14" xfId="43" applyNumberFormat="1" applyFont="1" applyFill="1" applyBorder="1" applyAlignment="1">
      <alignment horizontal="center"/>
    </xf>
    <xf numFmtId="10" fontId="1" fillId="0" borderId="15" xfId="43" applyNumberFormat="1" applyFont="1" applyFill="1" applyBorder="1" applyAlignment="1">
      <alignment horizontal="center"/>
    </xf>
    <xf numFmtId="10" fontId="0" fillId="0" borderId="15" xfId="43" applyNumberFormat="1" applyFont="1" applyFill="1" applyBorder="1" applyAlignment="1">
      <alignment horizontal="center"/>
    </xf>
    <xf numFmtId="10" fontId="0" fillId="0" borderId="16" xfId="43" applyNumberFormat="1" applyFont="1" applyFill="1" applyBorder="1" applyAlignment="1">
      <alignment horizontal="center"/>
    </xf>
    <xf numFmtId="173" fontId="0" fillId="33" borderId="0" xfId="0" quotePrefix="1" applyNumberFormat="1" applyFill="1"/>
    <xf numFmtId="173" fontId="40" fillId="0" borderId="19" xfId="0" applyNumberFormat="1" applyFont="1" applyBorder="1"/>
    <xf numFmtId="10" fontId="40" fillId="0" borderId="20" xfId="43" applyNumberFormat="1" applyFont="1" applyFill="1" applyBorder="1" applyAlignment="1">
      <alignment horizontal="center"/>
    </xf>
    <xf numFmtId="10" fontId="40" fillId="0" borderId="0" xfId="43" applyNumberFormat="1" applyFont="1" applyFill="1" applyBorder="1" applyAlignment="1">
      <alignment horizontal="center"/>
    </xf>
    <xf numFmtId="10" fontId="40" fillId="0" borderId="13" xfId="43" applyNumberFormat="1" applyFont="1" applyFill="1" applyBorder="1" applyAlignment="1">
      <alignment horizontal="center"/>
    </xf>
    <xf numFmtId="10" fontId="1" fillId="0" borderId="10" xfId="43" applyNumberFormat="1" applyFont="1" applyFill="1" applyBorder="1" applyAlignment="1">
      <alignment horizontal="center"/>
    </xf>
    <xf numFmtId="10" fontId="1" fillId="0" borderId="11" xfId="43" applyNumberFormat="1" applyFont="1" applyFill="1" applyBorder="1" applyAlignment="1">
      <alignment horizontal="center"/>
    </xf>
    <xf numFmtId="10" fontId="0" fillId="0" borderId="11" xfId="43" applyNumberFormat="1" applyFont="1" applyFill="1" applyBorder="1" applyAlignment="1">
      <alignment horizontal="center"/>
    </xf>
    <xf numFmtId="10" fontId="0" fillId="0" borderId="12" xfId="43" applyNumberFormat="1" applyFont="1" applyFill="1" applyBorder="1" applyAlignment="1">
      <alignment horizontal="center"/>
    </xf>
    <xf numFmtId="10" fontId="0" fillId="33" borderId="12" xfId="43" applyNumberFormat="1" applyFont="1" applyFill="1" applyBorder="1"/>
    <xf numFmtId="0" fontId="0" fillId="33" borderId="24" xfId="0" applyFill="1" applyBorder="1"/>
    <xf numFmtId="0" fontId="41" fillId="38" borderId="21" xfId="0" applyFont="1" applyFill="1" applyBorder="1"/>
    <xf numFmtId="173" fontId="0" fillId="33" borderId="19" xfId="0" applyNumberFormat="1" applyFill="1" applyBorder="1"/>
    <xf numFmtId="0" fontId="0" fillId="33" borderId="19" xfId="0" applyFill="1" applyBorder="1"/>
    <xf numFmtId="0" fontId="41" fillId="33" borderId="0" xfId="0" applyFont="1" applyFill="1"/>
    <xf numFmtId="174" fontId="0" fillId="33" borderId="0" xfId="0" applyNumberFormat="1" applyFill="1"/>
    <xf numFmtId="174" fontId="42" fillId="33" borderId="0" xfId="0" applyNumberFormat="1" applyFont="1" applyFill="1"/>
    <xf numFmtId="173" fontId="40" fillId="46" borderId="14" xfId="0" applyNumberFormat="1" applyFont="1" applyFill="1" applyBorder="1"/>
    <xf numFmtId="173" fontId="40" fillId="46" borderId="15" xfId="0" applyNumberFormat="1" applyFont="1" applyFill="1" applyBorder="1"/>
    <xf numFmtId="173" fontId="40" fillId="46" borderId="16" xfId="0" applyNumberFormat="1" applyFont="1" applyFill="1" applyBorder="1"/>
    <xf numFmtId="173" fontId="40" fillId="46" borderId="20" xfId="0" applyNumberFormat="1" applyFont="1" applyFill="1" applyBorder="1"/>
    <xf numFmtId="173" fontId="40" fillId="46" borderId="0" xfId="0" applyNumberFormat="1" applyFont="1" applyFill="1"/>
    <xf numFmtId="173" fontId="40" fillId="46" borderId="13" xfId="0" applyNumberFormat="1" applyFont="1" applyFill="1" applyBorder="1"/>
    <xf numFmtId="173" fontId="40" fillId="46" borderId="44" xfId="0" applyNumberFormat="1" applyFont="1" applyFill="1" applyBorder="1"/>
    <xf numFmtId="173" fontId="40" fillId="46" borderId="43" xfId="0" applyNumberFormat="1" applyFont="1" applyFill="1" applyBorder="1"/>
    <xf numFmtId="173" fontId="40" fillId="46" borderId="42" xfId="0" applyNumberFormat="1" applyFont="1" applyFill="1" applyBorder="1"/>
    <xf numFmtId="173" fontId="44" fillId="46" borderId="20" xfId="0" applyNumberFormat="1" applyFont="1" applyFill="1" applyBorder="1"/>
    <xf numFmtId="173" fontId="44" fillId="46" borderId="0" xfId="0" applyNumberFormat="1" applyFont="1" applyFill="1"/>
    <xf numFmtId="173" fontId="44" fillId="46" borderId="13" xfId="0" applyNumberFormat="1" applyFont="1" applyFill="1" applyBorder="1"/>
    <xf numFmtId="173" fontId="40" fillId="46" borderId="10" xfId="0" applyNumberFormat="1" applyFont="1" applyFill="1" applyBorder="1"/>
    <xf numFmtId="173" fontId="40" fillId="46" borderId="11" xfId="0" applyNumberFormat="1" applyFont="1" applyFill="1" applyBorder="1"/>
    <xf numFmtId="173" fontId="40" fillId="46" borderId="12" xfId="0" applyNumberFormat="1" applyFont="1" applyFill="1" applyBorder="1"/>
    <xf numFmtId="173" fontId="0" fillId="46" borderId="0" xfId="0" applyNumberFormat="1" applyFill="1"/>
    <xf numFmtId="173" fontId="0" fillId="46" borderId="21" xfId="0" applyNumberFormat="1" applyFill="1" applyBorder="1"/>
    <xf numFmtId="173" fontId="0" fillId="46" borderId="22" xfId="0" applyNumberFormat="1" applyFill="1" applyBorder="1"/>
    <xf numFmtId="173" fontId="0" fillId="46" borderId="23" xfId="0" applyNumberFormat="1" applyFill="1" applyBorder="1"/>
    <xf numFmtId="173" fontId="42" fillId="46" borderId="15" xfId="0" applyNumberFormat="1" applyFont="1" applyFill="1" applyBorder="1"/>
    <xf numFmtId="173" fontId="42" fillId="46" borderId="16" xfId="0" applyNumberFormat="1" applyFont="1" applyFill="1" applyBorder="1"/>
    <xf numFmtId="173" fontId="42" fillId="46" borderId="0" xfId="0" applyNumberFormat="1" applyFont="1" applyFill="1"/>
    <xf numFmtId="173" fontId="42" fillId="46" borderId="13" xfId="0" applyNumberFormat="1" applyFont="1" applyFill="1" applyBorder="1"/>
    <xf numFmtId="173" fontId="42" fillId="46" borderId="43" xfId="0" applyNumberFormat="1" applyFont="1" applyFill="1" applyBorder="1"/>
    <xf numFmtId="173" fontId="42" fillId="46" borderId="42" xfId="0" applyNumberFormat="1" applyFont="1" applyFill="1" applyBorder="1"/>
    <xf numFmtId="173" fontId="42" fillId="46" borderId="11" xfId="0" applyNumberFormat="1" applyFont="1" applyFill="1" applyBorder="1"/>
    <xf numFmtId="173" fontId="42" fillId="46" borderId="12" xfId="0" applyNumberFormat="1" applyFont="1" applyFill="1" applyBorder="1"/>
    <xf numFmtId="0" fontId="16" fillId="38" borderId="22" xfId="0" applyFont="1" applyFill="1" applyBorder="1"/>
    <xf numFmtId="174" fontId="16" fillId="38" borderId="22" xfId="0" applyNumberFormat="1" applyFont="1" applyFill="1" applyBorder="1"/>
    <xf numFmtId="174" fontId="45" fillId="38" borderId="22" xfId="0" applyNumberFormat="1" applyFont="1" applyFill="1" applyBorder="1"/>
    <xf numFmtId="173" fontId="16" fillId="38" borderId="22" xfId="0" applyNumberFormat="1" applyFont="1" applyFill="1" applyBorder="1"/>
    <xf numFmtId="0" fontId="16" fillId="38" borderId="23" xfId="0" applyFont="1" applyFill="1" applyBorder="1"/>
    <xf numFmtId="173" fontId="0" fillId="35" borderId="21" xfId="0" applyNumberFormat="1" applyFill="1" applyBorder="1" applyAlignment="1">
      <alignment horizontal="center"/>
    </xf>
    <xf numFmtId="171" fontId="0" fillId="33" borderId="16" xfId="0" applyNumberFormat="1" applyFill="1" applyBorder="1"/>
    <xf numFmtId="172" fontId="0" fillId="33" borderId="13" xfId="0" applyNumberFormat="1" applyFill="1" applyBorder="1"/>
    <xf numFmtId="172" fontId="0" fillId="33" borderId="10" xfId="0" applyNumberFormat="1" applyFill="1" applyBorder="1"/>
    <xf numFmtId="172" fontId="0" fillId="33" borderId="11" xfId="0" applyNumberFormat="1" applyFill="1" applyBorder="1"/>
    <xf numFmtId="172" fontId="0" fillId="33" borderId="12" xfId="0" applyNumberFormat="1" applyFill="1" applyBorder="1"/>
    <xf numFmtId="0" fontId="13" fillId="34" borderId="21" xfId="0" applyFont="1" applyFill="1" applyBorder="1" applyAlignment="1">
      <alignment horizontal="center"/>
    </xf>
    <xf numFmtId="0" fontId="13" fillId="34" borderId="22" xfId="0" applyFont="1" applyFill="1" applyBorder="1" applyAlignment="1">
      <alignment horizontal="center"/>
    </xf>
    <xf numFmtId="0" fontId="13" fillId="34" borderId="23" xfId="0" applyFont="1" applyFill="1" applyBorder="1" applyAlignment="1">
      <alignment horizontal="center"/>
    </xf>
    <xf numFmtId="173" fontId="0" fillId="33" borderId="17" xfId="0" applyNumberFormat="1" applyFill="1" applyBorder="1"/>
    <xf numFmtId="173" fontId="0" fillId="33" borderId="51" xfId="0" applyNumberFormat="1" applyFill="1" applyBorder="1"/>
    <xf numFmtId="0" fontId="40" fillId="33" borderId="19" xfId="0" applyFont="1" applyFill="1" applyBorder="1"/>
    <xf numFmtId="0" fontId="42" fillId="33" borderId="17" xfId="0" applyFont="1" applyFill="1" applyBorder="1"/>
    <xf numFmtId="0" fontId="0" fillId="35" borderId="24" xfId="0" applyFill="1" applyBorder="1" applyAlignment="1">
      <alignment horizontal="center"/>
    </xf>
    <xf numFmtId="173" fontId="0" fillId="0" borderId="15" xfId="0" applyNumberFormat="1" applyBorder="1"/>
    <xf numFmtId="166" fontId="40" fillId="0" borderId="14" xfId="0" applyNumberFormat="1" applyFont="1" applyBorder="1"/>
    <xf numFmtId="166" fontId="40" fillId="0" borderId="15" xfId="0" applyNumberFormat="1" applyFont="1" applyBorder="1"/>
    <xf numFmtId="166" fontId="40" fillId="0" borderId="16" xfId="0" applyNumberFormat="1" applyFont="1" applyBorder="1"/>
    <xf numFmtId="173" fontId="0" fillId="0" borderId="0" xfId="0" applyNumberFormat="1"/>
    <xf numFmtId="166" fontId="40" fillId="0" borderId="20" xfId="0" applyNumberFormat="1" applyFont="1" applyBorder="1"/>
    <xf numFmtId="166" fontId="40" fillId="0" borderId="0" xfId="0" applyNumberFormat="1" applyFont="1"/>
    <xf numFmtId="166" fontId="40" fillId="0" borderId="13" xfId="0" applyNumberFormat="1" applyFont="1" applyBorder="1"/>
    <xf numFmtId="173" fontId="42" fillId="0" borderId="20" xfId="0" applyNumberFormat="1" applyFont="1" applyBorder="1"/>
    <xf numFmtId="173" fontId="42" fillId="0" borderId="14" xfId="0" applyNumberFormat="1" applyFont="1" applyBorder="1"/>
    <xf numFmtId="166" fontId="40" fillId="0" borderId="10" xfId="0" applyNumberFormat="1" applyFont="1" applyBorder="1"/>
    <xf numFmtId="166" fontId="40" fillId="0" borderId="11" xfId="0" applyNumberFormat="1" applyFont="1" applyBorder="1"/>
    <xf numFmtId="166" fontId="40" fillId="0" borderId="12" xfId="0" applyNumberFormat="1" applyFont="1" applyBorder="1"/>
    <xf numFmtId="175" fontId="0" fillId="0" borderId="15" xfId="0" applyNumberFormat="1" applyBorder="1"/>
    <xf numFmtId="175" fontId="0" fillId="0" borderId="0" xfId="0" applyNumberFormat="1"/>
    <xf numFmtId="175" fontId="0" fillId="0" borderId="11" xfId="0" applyNumberFormat="1" applyBorder="1"/>
    <xf numFmtId="0" fontId="41" fillId="33" borderId="0" xfId="0" quotePrefix="1" applyFont="1" applyFill="1"/>
    <xf numFmtId="173" fontId="40" fillId="33" borderId="14" xfId="0" applyNumberFormat="1" applyFont="1" applyFill="1" applyBorder="1" applyAlignment="1">
      <alignment horizontal="center"/>
    </xf>
    <xf numFmtId="173" fontId="40" fillId="33" borderId="20" xfId="0" applyNumberFormat="1" applyFont="1" applyFill="1" applyBorder="1" applyAlignment="1">
      <alignment horizontal="center"/>
    </xf>
    <xf numFmtId="173" fontId="40" fillId="33" borderId="10" xfId="0" applyNumberFormat="1" applyFont="1" applyFill="1" applyBorder="1" applyAlignment="1">
      <alignment horizontal="center"/>
    </xf>
    <xf numFmtId="0" fontId="17" fillId="42" borderId="21" xfId="0" applyFont="1" applyFill="1" applyBorder="1"/>
    <xf numFmtId="173" fontId="41" fillId="33" borderId="19" xfId="0" applyNumberFormat="1" applyFont="1" applyFill="1" applyBorder="1" applyAlignment="1">
      <alignment horizontal="right"/>
    </xf>
    <xf numFmtId="0" fontId="40" fillId="38" borderId="17" xfId="0" applyFont="1" applyFill="1" applyBorder="1" applyAlignment="1">
      <alignment horizontal="right"/>
    </xf>
    <xf numFmtId="0" fontId="40" fillId="38" borderId="24" xfId="0" applyFont="1" applyFill="1" applyBorder="1" applyAlignment="1">
      <alignment horizontal="right"/>
    </xf>
    <xf numFmtId="173" fontId="40" fillId="38" borderId="21" xfId="0" applyNumberFormat="1" applyFont="1" applyFill="1" applyBorder="1" applyAlignment="1">
      <alignment horizontal="right"/>
    </xf>
    <xf numFmtId="0" fontId="40" fillId="38" borderId="13" xfId="0" applyFont="1" applyFill="1" applyBorder="1"/>
    <xf numFmtId="0" fontId="40" fillId="38" borderId="42" xfId="0" applyFont="1" applyFill="1" applyBorder="1"/>
    <xf numFmtId="0" fontId="0" fillId="38" borderId="16" xfId="0" applyFill="1" applyBorder="1"/>
    <xf numFmtId="0" fontId="0" fillId="38" borderId="13" xfId="0" applyFill="1" applyBorder="1"/>
    <xf numFmtId="0" fontId="0" fillId="38" borderId="42" xfId="0" applyFill="1" applyBorder="1"/>
    <xf numFmtId="0" fontId="0" fillId="38" borderId="12" xfId="0" applyFill="1" applyBorder="1"/>
    <xf numFmtId="0" fontId="16" fillId="38" borderId="14" xfId="0" applyFont="1" applyFill="1" applyBorder="1"/>
    <xf numFmtId="0" fontId="16" fillId="38" borderId="20" xfId="0" applyFont="1" applyFill="1" applyBorder="1"/>
    <xf numFmtId="0" fontId="16" fillId="38" borderId="10" xfId="0" applyFont="1" applyFill="1" applyBorder="1"/>
    <xf numFmtId="4" fontId="0" fillId="46" borderId="14" xfId="0" applyNumberFormat="1" applyFill="1" applyBorder="1"/>
    <xf numFmtId="4" fontId="0" fillId="46" borderId="15" xfId="0" applyNumberFormat="1" applyFill="1" applyBorder="1"/>
    <xf numFmtId="4" fontId="0" fillId="46" borderId="16" xfId="0" applyNumberFormat="1" applyFill="1" applyBorder="1"/>
    <xf numFmtId="3" fontId="0" fillId="46" borderId="14" xfId="0" applyNumberFormat="1" applyFill="1" applyBorder="1"/>
    <xf numFmtId="3" fontId="0" fillId="46" borderId="15" xfId="0" applyNumberFormat="1" applyFill="1" applyBorder="1"/>
    <xf numFmtId="3" fontId="0" fillId="46" borderId="16" xfId="0" applyNumberFormat="1" applyFill="1" applyBorder="1"/>
    <xf numFmtId="4" fontId="0" fillId="46" borderId="20" xfId="0" applyNumberFormat="1" applyFill="1" applyBorder="1"/>
    <xf numFmtId="4" fontId="0" fillId="46" borderId="0" xfId="0" applyNumberFormat="1" applyFill="1"/>
    <xf numFmtId="4" fontId="0" fillId="46" borderId="13" xfId="0" applyNumberFormat="1" applyFill="1" applyBorder="1"/>
    <xf numFmtId="3" fontId="0" fillId="46" borderId="20" xfId="0" applyNumberFormat="1" applyFill="1" applyBorder="1"/>
    <xf numFmtId="3" fontId="0" fillId="46" borderId="0" xfId="0" applyNumberFormat="1" applyFill="1"/>
    <xf numFmtId="3" fontId="0" fillId="46" borderId="13" xfId="0" applyNumberFormat="1" applyFill="1" applyBorder="1"/>
    <xf numFmtId="4" fontId="0" fillId="46" borderId="44" xfId="0" applyNumberFormat="1" applyFill="1" applyBorder="1"/>
    <xf numFmtId="4" fontId="0" fillId="46" borderId="43" xfId="0" applyNumberFormat="1" applyFill="1" applyBorder="1"/>
    <xf numFmtId="4" fontId="0" fillId="46" borderId="42" xfId="0" applyNumberFormat="1" applyFill="1" applyBorder="1"/>
    <xf numFmtId="3" fontId="0" fillId="46" borderId="44" xfId="0" applyNumberFormat="1" applyFill="1" applyBorder="1"/>
    <xf numFmtId="3" fontId="0" fillId="46" borderId="43" xfId="0" applyNumberFormat="1" applyFill="1" applyBorder="1"/>
    <xf numFmtId="3" fontId="0" fillId="46" borderId="42" xfId="0" applyNumberFormat="1" applyFill="1" applyBorder="1"/>
    <xf numFmtId="4" fontId="0" fillId="46" borderId="10" xfId="0" applyNumberFormat="1" applyFill="1" applyBorder="1"/>
    <xf numFmtId="4" fontId="0" fillId="46" borderId="11" xfId="0" applyNumberFormat="1" applyFill="1" applyBorder="1"/>
    <xf numFmtId="4" fontId="0" fillId="46" borderId="12" xfId="0" applyNumberFormat="1" applyFill="1" applyBorder="1"/>
    <xf numFmtId="3" fontId="0" fillId="46" borderId="10" xfId="0" applyNumberFormat="1" applyFill="1" applyBorder="1"/>
    <xf numFmtId="3" fontId="0" fillId="46" borderId="11" xfId="0" applyNumberFormat="1" applyFill="1" applyBorder="1"/>
    <xf numFmtId="3" fontId="0" fillId="46" borderId="12" xfId="0" applyNumberFormat="1" applyFill="1" applyBorder="1"/>
    <xf numFmtId="4" fontId="0" fillId="46" borderId="20" xfId="0" applyNumberFormat="1" applyFill="1" applyBorder="1" applyAlignment="1">
      <alignment horizontal="right"/>
    </xf>
    <xf numFmtId="4" fontId="0" fillId="46" borderId="0" xfId="0" applyNumberFormat="1" applyFill="1" applyAlignment="1">
      <alignment horizontal="right"/>
    </xf>
    <xf numFmtId="4" fontId="0" fillId="46" borderId="13" xfId="0" applyNumberFormat="1" applyFill="1" applyBorder="1" applyAlignment="1">
      <alignment horizontal="right"/>
    </xf>
    <xf numFmtId="3" fontId="0" fillId="46" borderId="20" xfId="0" applyNumberFormat="1" applyFill="1" applyBorder="1" applyAlignment="1">
      <alignment horizontal="right"/>
    </xf>
    <xf numFmtId="3" fontId="0" fillId="46" borderId="0" xfId="0" applyNumberFormat="1" applyFill="1" applyAlignment="1">
      <alignment horizontal="right"/>
    </xf>
    <xf numFmtId="3" fontId="0" fillId="46" borderId="13" xfId="0" applyNumberFormat="1" applyFill="1" applyBorder="1" applyAlignment="1">
      <alignment horizontal="right"/>
    </xf>
    <xf numFmtId="4" fontId="0" fillId="46" borderId="44" xfId="0" applyNumberFormat="1" applyFill="1" applyBorder="1" applyAlignment="1">
      <alignment horizontal="right"/>
    </xf>
    <xf numFmtId="4" fontId="0" fillId="46" borderId="43" xfId="0" applyNumberFormat="1" applyFill="1" applyBorder="1" applyAlignment="1">
      <alignment horizontal="right"/>
    </xf>
    <xf numFmtId="4" fontId="0" fillId="46" borderId="42" xfId="0" applyNumberFormat="1" applyFill="1" applyBorder="1" applyAlignment="1">
      <alignment horizontal="right"/>
    </xf>
    <xf numFmtId="3" fontId="0" fillId="46" borderId="44" xfId="0" applyNumberFormat="1" applyFill="1" applyBorder="1" applyAlignment="1">
      <alignment horizontal="right"/>
    </xf>
    <xf numFmtId="3" fontId="0" fillId="46" borderId="43" xfId="0" applyNumberFormat="1" applyFill="1" applyBorder="1" applyAlignment="1">
      <alignment horizontal="right"/>
    </xf>
    <xf numFmtId="3" fontId="0" fillId="46" borderId="42" xfId="0" applyNumberFormat="1" applyFill="1" applyBorder="1" applyAlignment="1">
      <alignment horizontal="right"/>
    </xf>
    <xf numFmtId="4" fontId="0" fillId="46" borderId="10" xfId="0" applyNumberFormat="1" applyFill="1" applyBorder="1" applyAlignment="1">
      <alignment horizontal="right"/>
    </xf>
    <xf numFmtId="4" fontId="0" fillId="46" borderId="11" xfId="0" applyNumberFormat="1" applyFill="1" applyBorder="1" applyAlignment="1">
      <alignment horizontal="right"/>
    </xf>
    <xf numFmtId="4" fontId="0" fillId="46" borderId="12" xfId="0" applyNumberFormat="1" applyFill="1" applyBorder="1" applyAlignment="1">
      <alignment horizontal="right"/>
    </xf>
    <xf numFmtId="3" fontId="0" fillId="46" borderId="10" xfId="0" applyNumberFormat="1" applyFill="1" applyBorder="1" applyAlignment="1">
      <alignment horizontal="right"/>
    </xf>
    <xf numFmtId="3" fontId="0" fillId="46" borderId="11" xfId="0" applyNumberFormat="1" applyFill="1" applyBorder="1" applyAlignment="1">
      <alignment horizontal="right"/>
    </xf>
    <xf numFmtId="3" fontId="0" fillId="46" borderId="12" xfId="0" applyNumberFormat="1" applyFill="1" applyBorder="1" applyAlignment="1">
      <alignment horizontal="right"/>
    </xf>
    <xf numFmtId="173" fontId="13" fillId="34" borderId="14" xfId="0" applyNumberFormat="1" applyFont="1" applyFill="1" applyBorder="1" applyAlignment="1">
      <alignment horizontal="center"/>
    </xf>
    <xf numFmtId="173" fontId="13" fillId="34" borderId="10" xfId="0" applyNumberFormat="1" applyFont="1" applyFill="1" applyBorder="1" applyAlignment="1">
      <alignment horizontal="center"/>
    </xf>
    <xf numFmtId="173" fontId="17" fillId="34" borderId="10" xfId="0" applyNumberFormat="1" applyFont="1" applyFill="1" applyBorder="1" applyAlignment="1">
      <alignment horizontal="center"/>
    </xf>
    <xf numFmtId="173" fontId="17" fillId="34" borderId="12" xfId="0" applyNumberFormat="1" applyFont="1" applyFill="1" applyBorder="1" applyAlignment="1">
      <alignment horizontal="center"/>
    </xf>
    <xf numFmtId="173" fontId="17" fillId="34" borderId="11" xfId="0" applyNumberFormat="1" applyFont="1" applyFill="1" applyBorder="1" applyAlignment="1">
      <alignment horizontal="center"/>
    </xf>
    <xf numFmtId="173" fontId="17" fillId="34" borderId="39" xfId="0" applyNumberFormat="1" applyFont="1" applyFill="1" applyBorder="1" applyAlignment="1">
      <alignment horizontal="center"/>
    </xf>
    <xf numFmtId="0" fontId="17" fillId="34" borderId="11" xfId="0" applyFont="1" applyFill="1" applyBorder="1"/>
    <xf numFmtId="0" fontId="17" fillId="34" borderId="38" xfId="0" applyFont="1" applyFill="1" applyBorder="1"/>
    <xf numFmtId="0" fontId="17" fillId="34" borderId="39" xfId="0" applyFont="1" applyFill="1" applyBorder="1"/>
    <xf numFmtId="0" fontId="17" fillId="34" borderId="12" xfId="0" applyFont="1" applyFill="1" applyBorder="1"/>
    <xf numFmtId="2" fontId="41" fillId="46" borderId="20" xfId="0" applyNumberFormat="1" applyFont="1" applyFill="1" applyBorder="1" applyAlignment="1">
      <alignment horizontal="right"/>
    </xf>
    <xf numFmtId="2" fontId="41" fillId="0" borderId="20" xfId="0" applyNumberFormat="1" applyFont="1" applyBorder="1" applyAlignment="1">
      <alignment horizontal="right"/>
    </xf>
    <xf numFmtId="0" fontId="46" fillId="33" borderId="0" xfId="44" applyFill="1"/>
    <xf numFmtId="0" fontId="47" fillId="33" borderId="0" xfId="44" applyFont="1" applyFill="1"/>
    <xf numFmtId="2" fontId="13" fillId="34" borderId="15" xfId="0" applyNumberFormat="1" applyFont="1" applyFill="1" applyBorder="1"/>
    <xf numFmtId="0" fontId="13" fillId="34" borderId="15" xfId="0" applyFont="1" applyFill="1" applyBorder="1" applyAlignment="1">
      <alignment vertical="center"/>
    </xf>
    <xf numFmtId="0" fontId="17" fillId="34" borderId="15" xfId="0" applyFont="1" applyFill="1" applyBorder="1"/>
    <xf numFmtId="9" fontId="40" fillId="33" borderId="41" xfId="0" applyNumberFormat="1" applyFont="1" applyFill="1" applyBorder="1"/>
    <xf numFmtId="1" fontId="40" fillId="33" borderId="0" xfId="0" applyNumberFormat="1" applyFont="1" applyFill="1" applyAlignment="1">
      <alignment horizontal="right"/>
    </xf>
    <xf numFmtId="9" fontId="40" fillId="33" borderId="0" xfId="43" applyFont="1" applyFill="1" applyBorder="1"/>
    <xf numFmtId="2" fontId="40" fillId="33" borderId="0" xfId="0" applyNumberFormat="1" applyFont="1" applyFill="1"/>
    <xf numFmtId="9" fontId="40" fillId="33" borderId="0" xfId="43" applyFont="1" applyFill="1"/>
    <xf numFmtId="2" fontId="48" fillId="33" borderId="0" xfId="0" applyNumberFormat="1" applyFont="1" applyFill="1"/>
    <xf numFmtId="2" fontId="48" fillId="33" borderId="0" xfId="0" applyNumberFormat="1" applyFont="1" applyFill="1" applyAlignment="1">
      <alignment horizontal="center"/>
    </xf>
    <xf numFmtId="10" fontId="38" fillId="33" borderId="0" xfId="0" applyNumberFormat="1" applyFont="1" applyFill="1"/>
    <xf numFmtId="10" fontId="48" fillId="33" borderId="0" xfId="0" applyNumberFormat="1" applyFont="1" applyFill="1"/>
    <xf numFmtId="2" fontId="38" fillId="33" borderId="0" xfId="0" applyNumberFormat="1" applyFont="1" applyFill="1"/>
    <xf numFmtId="2" fontId="48" fillId="33" borderId="0" xfId="0" applyNumberFormat="1" applyFont="1" applyFill="1" applyAlignment="1">
      <alignment horizontal="right"/>
    </xf>
    <xf numFmtId="2" fontId="48" fillId="33" borderId="0" xfId="0" applyNumberFormat="1" applyFont="1" applyFill="1" applyAlignment="1">
      <alignment horizontal="left"/>
    </xf>
    <xf numFmtId="3" fontId="48" fillId="33" borderId="0" xfId="0" applyNumberFormat="1" applyFont="1" applyFill="1"/>
    <xf numFmtId="3" fontId="48" fillId="33" borderId="0" xfId="0" applyNumberFormat="1" applyFont="1" applyFill="1" applyAlignment="1">
      <alignment horizontal="right"/>
    </xf>
    <xf numFmtId="2" fontId="13" fillId="34" borderId="25" xfId="0" applyNumberFormat="1" applyFont="1" applyFill="1" applyBorder="1"/>
    <xf numFmtId="2" fontId="13" fillId="34" borderId="26" xfId="0" applyNumberFormat="1" applyFont="1" applyFill="1" applyBorder="1"/>
    <xf numFmtId="2" fontId="13" fillId="34" borderId="27" xfId="0" applyNumberFormat="1" applyFont="1" applyFill="1" applyBorder="1"/>
    <xf numFmtId="2" fontId="13" fillId="34" borderId="15" xfId="0" applyNumberFormat="1" applyFont="1" applyFill="1" applyBorder="1" applyAlignment="1">
      <alignment horizontal="center" wrapText="1"/>
    </xf>
    <xf numFmtId="2" fontId="13" fillId="34" borderId="28" xfId="0" applyNumberFormat="1" applyFont="1" applyFill="1" applyBorder="1" applyAlignment="1">
      <alignment horizontal="center" wrapText="1"/>
    </xf>
    <xf numFmtId="2" fontId="13" fillId="34" borderId="28" xfId="0" applyNumberFormat="1" applyFont="1" applyFill="1" applyBorder="1"/>
    <xf numFmtId="2" fontId="13" fillId="34" borderId="15" xfId="0" applyNumberFormat="1" applyFont="1" applyFill="1" applyBorder="1" applyAlignment="1">
      <alignment horizontal="center"/>
    </xf>
    <xf numFmtId="2" fontId="13" fillId="39" borderId="18" xfId="0" applyNumberFormat="1" applyFont="1" applyFill="1" applyBorder="1" applyAlignment="1">
      <alignment horizontal="center" vertical="center"/>
    </xf>
    <xf numFmtId="2" fontId="13" fillId="34" borderId="15" xfId="0" applyNumberFormat="1" applyFont="1" applyFill="1" applyBorder="1" applyAlignment="1">
      <alignment horizontal="right"/>
    </xf>
    <xf numFmtId="2" fontId="13" fillId="34" borderId="15" xfId="0" applyNumberFormat="1" applyFont="1" applyFill="1" applyBorder="1" applyAlignment="1">
      <alignment horizontal="left"/>
    </xf>
    <xf numFmtId="2" fontId="13" fillId="34" borderId="28" xfId="0" applyNumberFormat="1" applyFont="1" applyFill="1" applyBorder="1" applyAlignment="1">
      <alignment horizontal="left"/>
    </xf>
    <xf numFmtId="2" fontId="17" fillId="34" borderId="15" xfId="0" applyNumberFormat="1" applyFont="1" applyFill="1" applyBorder="1"/>
    <xf numFmtId="3" fontId="17" fillId="34" borderId="15" xfId="0" applyNumberFormat="1" applyFont="1" applyFill="1" applyBorder="1" applyAlignment="1">
      <alignment wrapText="1"/>
    </xf>
    <xf numFmtId="3" fontId="17" fillId="34" borderId="15" xfId="0" applyNumberFormat="1" applyFont="1" applyFill="1" applyBorder="1"/>
    <xf numFmtId="3" fontId="17" fillId="34" borderId="15" xfId="0" applyNumberFormat="1" applyFont="1" applyFill="1" applyBorder="1" applyAlignment="1">
      <alignment horizontal="right"/>
    </xf>
    <xf numFmtId="2" fontId="17" fillId="34" borderId="28" xfId="0" applyNumberFormat="1" applyFont="1" applyFill="1" applyBorder="1"/>
    <xf numFmtId="2" fontId="13" fillId="34" borderId="16" xfId="0" applyNumberFormat="1" applyFont="1" applyFill="1" applyBorder="1"/>
    <xf numFmtId="2" fontId="13" fillId="34" borderId="29" xfId="0" applyNumberFormat="1" applyFont="1" applyFill="1" applyBorder="1" applyAlignment="1">
      <alignment horizontal="left"/>
    </xf>
    <xf numFmtId="2" fontId="13" fillId="34" borderId="30" xfId="0" applyNumberFormat="1" applyFont="1" applyFill="1" applyBorder="1" applyAlignment="1">
      <alignment horizontal="left"/>
    </xf>
    <xf numFmtId="2" fontId="13" fillId="34" borderId="31" xfId="0" applyNumberFormat="1" applyFont="1" applyFill="1" applyBorder="1" applyAlignment="1">
      <alignment horizontal="left"/>
    </xf>
    <xf numFmtId="2" fontId="17" fillId="34" borderId="0" xfId="0" applyNumberFormat="1" applyFont="1" applyFill="1" applyAlignment="1">
      <alignment horizontal="center" wrapText="1"/>
    </xf>
    <xf numFmtId="2" fontId="13" fillId="34" borderId="0" xfId="0" applyNumberFormat="1" applyFont="1" applyFill="1" applyAlignment="1">
      <alignment horizontal="left" wrapText="1"/>
    </xf>
    <xf numFmtId="2" fontId="13" fillId="34" borderId="0" xfId="0" applyNumberFormat="1" applyFont="1" applyFill="1" applyAlignment="1">
      <alignment horizontal="left"/>
    </xf>
    <xf numFmtId="2" fontId="13" fillId="34" borderId="32" xfId="0" applyNumberFormat="1" applyFont="1" applyFill="1" applyBorder="1" applyAlignment="1">
      <alignment horizontal="left" wrapText="1"/>
    </xf>
    <xf numFmtId="2" fontId="13" fillId="34" borderId="31" xfId="0" applyNumberFormat="1" applyFont="1" applyFill="1" applyBorder="1" applyAlignment="1">
      <alignment horizontal="center" wrapText="1"/>
    </xf>
    <xf numFmtId="2" fontId="13" fillId="34" borderId="32" xfId="0" applyNumberFormat="1" applyFont="1" applyFill="1" applyBorder="1" applyAlignment="1">
      <alignment horizontal="center"/>
    </xf>
    <xf numFmtId="10" fontId="13" fillId="34" borderId="31" xfId="0" applyNumberFormat="1" applyFont="1" applyFill="1" applyBorder="1"/>
    <xf numFmtId="2" fontId="17" fillId="34" borderId="0" xfId="0" applyNumberFormat="1" applyFont="1" applyFill="1"/>
    <xf numFmtId="2" fontId="17" fillId="34" borderId="32" xfId="0" applyNumberFormat="1" applyFont="1" applyFill="1" applyBorder="1"/>
    <xf numFmtId="10" fontId="17" fillId="34" borderId="31" xfId="0" applyNumberFormat="1" applyFont="1" applyFill="1" applyBorder="1"/>
    <xf numFmtId="2" fontId="13" fillId="34" borderId="0" xfId="0" applyNumberFormat="1" applyFont="1" applyFill="1"/>
    <xf numFmtId="2" fontId="17" fillId="34" borderId="0" xfId="0" applyNumberFormat="1" applyFont="1" applyFill="1" applyAlignment="1">
      <alignment horizontal="left" wrapText="1"/>
    </xf>
    <xf numFmtId="2" fontId="17" fillId="34" borderId="0" xfId="0" applyNumberFormat="1" applyFont="1" applyFill="1" applyAlignment="1">
      <alignment horizontal="left"/>
    </xf>
    <xf numFmtId="2" fontId="17" fillId="34" borderId="0" xfId="0" applyNumberFormat="1" applyFont="1" applyFill="1" applyAlignment="1">
      <alignment horizontal="right"/>
    </xf>
    <xf numFmtId="2" fontId="17" fillId="34" borderId="32" xfId="0" applyNumberFormat="1" applyFont="1" applyFill="1" applyBorder="1" applyAlignment="1">
      <alignment horizontal="left"/>
    </xf>
    <xf numFmtId="3" fontId="17" fillId="34" borderId="0" xfId="0" applyNumberFormat="1" applyFont="1" applyFill="1"/>
    <xf numFmtId="3" fontId="17" fillId="34" borderId="0" xfId="0" applyNumberFormat="1" applyFont="1" applyFill="1" applyAlignment="1">
      <alignment horizontal="left"/>
    </xf>
    <xf numFmtId="2" fontId="17" fillId="34" borderId="13" xfId="0" applyNumberFormat="1" applyFont="1" applyFill="1" applyBorder="1"/>
    <xf numFmtId="2" fontId="40" fillId="33" borderId="19" xfId="0" applyNumberFormat="1" applyFont="1" applyFill="1" applyBorder="1"/>
    <xf numFmtId="2" fontId="40" fillId="33" borderId="20" xfId="0" applyNumberFormat="1" applyFont="1" applyFill="1" applyBorder="1"/>
    <xf numFmtId="2" fontId="40" fillId="33" borderId="0" xfId="0" applyNumberFormat="1" applyFont="1" applyFill="1" applyAlignment="1">
      <alignment horizontal="center"/>
    </xf>
    <xf numFmtId="2" fontId="40" fillId="33" borderId="13" xfId="0" applyNumberFormat="1" applyFont="1" applyFill="1" applyBorder="1"/>
    <xf numFmtId="10" fontId="41" fillId="0" borderId="20" xfId="0" applyNumberFormat="1" applyFont="1" applyBorder="1"/>
    <xf numFmtId="2" fontId="40" fillId="0" borderId="0" xfId="0" applyNumberFormat="1" applyFont="1"/>
    <xf numFmtId="2" fontId="40" fillId="0" borderId="15" xfId="0" applyNumberFormat="1" applyFont="1" applyBorder="1"/>
    <xf numFmtId="2" fontId="40" fillId="0" borderId="33" xfId="0" applyNumberFormat="1" applyFont="1" applyBorder="1"/>
    <xf numFmtId="2" fontId="40" fillId="35" borderId="34" xfId="0" applyNumberFormat="1" applyFont="1" applyFill="1" applyBorder="1"/>
    <xf numFmtId="2" fontId="40" fillId="35" borderId="15" xfId="0" applyNumberFormat="1" applyFont="1" applyFill="1" applyBorder="1"/>
    <xf numFmtId="2" fontId="40" fillId="35" borderId="15" xfId="0" applyNumberFormat="1" applyFont="1" applyFill="1" applyBorder="1" applyAlignment="1">
      <alignment horizontal="right"/>
    </xf>
    <xf numFmtId="2" fontId="40" fillId="35" borderId="15" xfId="0" applyNumberFormat="1" applyFont="1" applyFill="1" applyBorder="1" applyAlignment="1">
      <alignment horizontal="center"/>
    </xf>
    <xf numFmtId="2" fontId="40" fillId="35" borderId="33" xfId="0" applyNumberFormat="1" applyFont="1" applyFill="1" applyBorder="1" applyAlignment="1">
      <alignment horizontal="left"/>
    </xf>
    <xf numFmtId="2" fontId="40" fillId="35" borderId="16" xfId="0" applyNumberFormat="1" applyFont="1" applyFill="1" applyBorder="1" applyAlignment="1">
      <alignment horizontal="left"/>
    </xf>
    <xf numFmtId="10" fontId="40" fillId="0" borderId="20" xfId="0" applyNumberFormat="1" applyFont="1" applyBorder="1"/>
    <xf numFmtId="2" fontId="40" fillId="0" borderId="35" xfId="0" applyNumberFormat="1" applyFont="1" applyBorder="1"/>
    <xf numFmtId="2" fontId="40" fillId="35" borderId="36" xfId="0" applyNumberFormat="1" applyFont="1" applyFill="1" applyBorder="1"/>
    <xf numFmtId="2" fontId="40" fillId="35" borderId="0" xfId="0" applyNumberFormat="1" applyFont="1" applyFill="1"/>
    <xf numFmtId="2" fontId="40" fillId="35" borderId="0" xfId="0" applyNumberFormat="1" applyFont="1" applyFill="1" applyAlignment="1">
      <alignment horizontal="right"/>
    </xf>
    <xf numFmtId="2" fontId="40" fillId="35" borderId="0" xfId="0" applyNumberFormat="1" applyFont="1" applyFill="1" applyAlignment="1">
      <alignment horizontal="center"/>
    </xf>
    <xf numFmtId="2" fontId="40" fillId="35" borderId="35" xfId="0" applyNumberFormat="1" applyFont="1" applyFill="1" applyBorder="1" applyAlignment="1">
      <alignment horizontal="left"/>
    </xf>
    <xf numFmtId="2" fontId="40" fillId="35" borderId="13" xfId="0" applyNumberFormat="1" applyFont="1" applyFill="1" applyBorder="1" applyAlignment="1">
      <alignment horizontal="left"/>
    </xf>
    <xf numFmtId="3" fontId="40" fillId="0" borderId="0" xfId="0" applyNumberFormat="1" applyFont="1" applyAlignment="1">
      <alignment horizontal="right"/>
    </xf>
    <xf numFmtId="2" fontId="40" fillId="35" borderId="37" xfId="0" applyNumberFormat="1" applyFont="1" applyFill="1" applyBorder="1"/>
    <xf numFmtId="10" fontId="40" fillId="0" borderId="20" xfId="43" applyNumberFormat="1" applyFont="1" applyFill="1" applyBorder="1"/>
    <xf numFmtId="10" fontId="41" fillId="0" borderId="20" xfId="43" applyNumberFormat="1" applyFont="1" applyFill="1" applyBorder="1"/>
    <xf numFmtId="3" fontId="40" fillId="35" borderId="36" xfId="0" applyNumberFormat="1" applyFont="1" applyFill="1" applyBorder="1"/>
    <xf numFmtId="3" fontId="40" fillId="35" borderId="35" xfId="0" applyNumberFormat="1" applyFont="1" applyFill="1" applyBorder="1"/>
    <xf numFmtId="3" fontId="40" fillId="35" borderId="35" xfId="0" applyNumberFormat="1" applyFont="1" applyFill="1" applyBorder="1" applyAlignment="1">
      <alignment horizontal="right"/>
    </xf>
    <xf numFmtId="0" fontId="40" fillId="33" borderId="20" xfId="0" applyFont="1" applyFill="1" applyBorder="1"/>
    <xf numFmtId="0" fontId="40" fillId="33" borderId="13" xfId="0" applyFont="1" applyFill="1" applyBorder="1"/>
    <xf numFmtId="2" fontId="40" fillId="33" borderId="13" xfId="0" applyNumberFormat="1" applyFont="1" applyFill="1" applyBorder="1" applyAlignment="1">
      <alignment horizontal="center"/>
    </xf>
    <xf numFmtId="10" fontId="41" fillId="0" borderId="20" xfId="43" applyNumberFormat="1" applyFont="1" applyFill="1" applyBorder="1" applyAlignment="1"/>
    <xf numFmtId="2" fontId="40" fillId="44" borderId="13" xfId="0" applyNumberFormat="1" applyFont="1" applyFill="1" applyBorder="1"/>
    <xf numFmtId="1" fontId="40" fillId="0" borderId="0" xfId="0" applyNumberFormat="1" applyFont="1" applyAlignment="1">
      <alignment horizontal="right"/>
    </xf>
    <xf numFmtId="0" fontId="40" fillId="0" borderId="0" xfId="0" applyFont="1"/>
    <xf numFmtId="2" fontId="40" fillId="33" borderId="24" xfId="0" applyNumberFormat="1" applyFont="1" applyFill="1" applyBorder="1"/>
    <xf numFmtId="2" fontId="40" fillId="33" borderId="10" xfId="0" applyNumberFormat="1" applyFont="1" applyFill="1" applyBorder="1"/>
    <xf numFmtId="2" fontId="40" fillId="33" borderId="11" xfId="0" applyNumberFormat="1" applyFont="1" applyFill="1" applyBorder="1" applyAlignment="1">
      <alignment horizontal="center"/>
    </xf>
    <xf numFmtId="2" fontId="40" fillId="33" borderId="11" xfId="0" applyNumberFormat="1" applyFont="1" applyFill="1" applyBorder="1"/>
    <xf numFmtId="2" fontId="40" fillId="33" borderId="12" xfId="0" applyNumberFormat="1" applyFont="1" applyFill="1" applyBorder="1"/>
    <xf numFmtId="10" fontId="41" fillId="0" borderId="10" xfId="0" applyNumberFormat="1" applyFont="1" applyBorder="1"/>
    <xf numFmtId="2" fontId="40" fillId="0" borderId="11" xfId="0" applyNumberFormat="1" applyFont="1" applyBorder="1"/>
    <xf numFmtId="2" fontId="40" fillId="0" borderId="12" xfId="0" applyNumberFormat="1" applyFont="1" applyBorder="1"/>
    <xf numFmtId="2" fontId="40" fillId="0" borderId="38" xfId="0" applyNumberFormat="1" applyFont="1" applyBorder="1"/>
    <xf numFmtId="2" fontId="40" fillId="35" borderId="39" xfId="0" applyNumberFormat="1" applyFont="1" applyFill="1" applyBorder="1"/>
    <xf numFmtId="2" fontId="40" fillId="35" borderId="11" xfId="0" applyNumberFormat="1" applyFont="1" applyFill="1" applyBorder="1"/>
    <xf numFmtId="2" fontId="40" fillId="35" borderId="11" xfId="0" applyNumberFormat="1" applyFont="1" applyFill="1" applyBorder="1" applyAlignment="1">
      <alignment horizontal="right"/>
    </xf>
    <xf numFmtId="2" fontId="40" fillId="35" borderId="11" xfId="0" applyNumberFormat="1" applyFont="1" applyFill="1" applyBorder="1" applyAlignment="1">
      <alignment horizontal="center"/>
    </xf>
    <xf numFmtId="2" fontId="40" fillId="35" borderId="38" xfId="0" applyNumberFormat="1" applyFont="1" applyFill="1" applyBorder="1" applyAlignment="1">
      <alignment horizontal="left"/>
    </xf>
    <xf numFmtId="2" fontId="40" fillId="35" borderId="12" xfId="0" applyNumberFormat="1" applyFont="1" applyFill="1" applyBorder="1" applyAlignment="1">
      <alignment horizontal="left"/>
    </xf>
    <xf numFmtId="3" fontId="40" fillId="0" borderId="11" xfId="0" applyNumberFormat="1" applyFont="1" applyBorder="1" applyAlignment="1">
      <alignment horizontal="right"/>
    </xf>
    <xf numFmtId="3" fontId="40" fillId="35" borderId="39" xfId="0" applyNumberFormat="1" applyFont="1" applyFill="1" applyBorder="1"/>
    <xf numFmtId="3" fontId="40" fillId="35" borderId="38" xfId="0" applyNumberFormat="1" applyFont="1" applyFill="1" applyBorder="1"/>
    <xf numFmtId="3" fontId="40" fillId="35" borderId="38" xfId="0" applyNumberFormat="1" applyFont="1" applyFill="1" applyBorder="1" applyAlignment="1">
      <alignment horizontal="right"/>
    </xf>
    <xf numFmtId="2" fontId="40" fillId="35" borderId="40" xfId="0" applyNumberFormat="1" applyFont="1" applyFill="1" applyBorder="1"/>
    <xf numFmtId="0" fontId="13" fillId="34" borderId="14" xfId="4" applyFont="1" applyFill="1" applyBorder="1"/>
    <xf numFmtId="0" fontId="13" fillId="34" borderId="16" xfId="4" applyFont="1" applyFill="1" applyBorder="1"/>
    <xf numFmtId="0" fontId="49" fillId="34" borderId="14" xfId="0" applyFont="1" applyFill="1" applyBorder="1" applyAlignment="1">
      <alignment horizontal="center"/>
    </xf>
    <xf numFmtId="0" fontId="49" fillId="34" borderId="15" xfId="0" applyFont="1" applyFill="1" applyBorder="1" applyAlignment="1">
      <alignment horizontal="center"/>
    </xf>
    <xf numFmtId="0" fontId="49" fillId="34" borderId="16" xfId="0" applyFont="1" applyFill="1" applyBorder="1" applyAlignment="1">
      <alignment horizontal="center"/>
    </xf>
    <xf numFmtId="0" fontId="40" fillId="34" borderId="10" xfId="5" applyFont="1" applyFill="1" applyBorder="1" applyAlignment="1">
      <alignment vertical="center"/>
    </xf>
    <xf numFmtId="0" fontId="40" fillId="34" borderId="12" xfId="0" applyFont="1" applyFill="1" applyBorder="1"/>
    <xf numFmtId="0" fontId="40" fillId="34" borderId="10" xfId="0" applyFont="1" applyFill="1" applyBorder="1"/>
    <xf numFmtId="0" fontId="17" fillId="34" borderId="12" xfId="0" applyFont="1" applyFill="1" applyBorder="1" applyAlignment="1">
      <alignment horizontal="center"/>
    </xf>
    <xf numFmtId="1" fontId="0" fillId="33" borderId="0" xfId="43" applyNumberFormat="1" applyFont="1" applyFill="1" applyBorder="1"/>
    <xf numFmtId="10" fontId="40" fillId="33" borderId="20" xfId="43" applyNumberFormat="1" applyFont="1" applyFill="1" applyBorder="1" applyAlignment="1">
      <alignment horizontal="center"/>
    </xf>
    <xf numFmtId="10" fontId="40" fillId="33" borderId="0" xfId="43" applyNumberFormat="1" applyFont="1" applyFill="1" applyBorder="1" applyAlignment="1">
      <alignment horizontal="center"/>
    </xf>
    <xf numFmtId="171" fontId="40" fillId="33" borderId="13" xfId="0" applyNumberFormat="1" applyFont="1" applyFill="1" applyBorder="1" applyAlignment="1">
      <alignment horizontal="center"/>
    </xf>
    <xf numFmtId="171" fontId="40" fillId="33" borderId="20" xfId="0" applyNumberFormat="1" applyFont="1" applyFill="1" applyBorder="1" applyAlignment="1">
      <alignment horizontal="center"/>
    </xf>
    <xf numFmtId="10" fontId="40" fillId="33" borderId="13" xfId="43" applyNumberFormat="1" applyFont="1" applyFill="1" applyBorder="1" applyAlignment="1">
      <alignment horizontal="center"/>
    </xf>
    <xf numFmtId="0" fontId="40" fillId="33" borderId="16" xfId="0" applyFont="1" applyFill="1" applyBorder="1"/>
    <xf numFmtId="0" fontId="42" fillId="33" borderId="14" xfId="0" applyFont="1" applyFill="1" applyBorder="1"/>
    <xf numFmtId="0" fontId="40" fillId="33" borderId="15" xfId="0" applyFont="1" applyFill="1" applyBorder="1"/>
    <xf numFmtId="10" fontId="40" fillId="33" borderId="14" xfId="43" applyNumberFormat="1" applyFont="1" applyFill="1" applyBorder="1" applyAlignment="1">
      <alignment horizontal="center"/>
    </xf>
    <xf numFmtId="10" fontId="40" fillId="33" borderId="15" xfId="43" applyNumberFormat="1" applyFont="1" applyFill="1" applyBorder="1" applyAlignment="1">
      <alignment horizontal="center"/>
    </xf>
    <xf numFmtId="171" fontId="40" fillId="33" borderId="15" xfId="0" applyNumberFormat="1" applyFont="1" applyFill="1" applyBorder="1" applyAlignment="1">
      <alignment horizontal="center"/>
    </xf>
    <xf numFmtId="171" fontId="40" fillId="33" borderId="16" xfId="0" applyNumberFormat="1" applyFont="1" applyFill="1" applyBorder="1" applyAlignment="1">
      <alignment horizontal="center"/>
    </xf>
    <xf numFmtId="171" fontId="40" fillId="33" borderId="14" xfId="0" applyNumberFormat="1" applyFont="1" applyFill="1" applyBorder="1" applyAlignment="1">
      <alignment horizontal="center"/>
    </xf>
    <xf numFmtId="0" fontId="42" fillId="33" borderId="20" xfId="0" applyFont="1" applyFill="1" applyBorder="1"/>
    <xf numFmtId="10" fontId="40" fillId="33" borderId="15" xfId="43" quotePrefix="1" applyNumberFormat="1" applyFont="1" applyFill="1" applyBorder="1" applyAlignment="1">
      <alignment horizontal="center"/>
    </xf>
    <xf numFmtId="0" fontId="42" fillId="33" borderId="10" xfId="0" applyFont="1" applyFill="1" applyBorder="1"/>
    <xf numFmtId="0" fontId="40" fillId="33" borderId="12" xfId="0" applyFont="1" applyFill="1" applyBorder="1"/>
    <xf numFmtId="10" fontId="40" fillId="33" borderId="11" xfId="43" quotePrefix="1" applyNumberFormat="1" applyFont="1" applyFill="1" applyBorder="1" applyAlignment="1">
      <alignment horizontal="center"/>
    </xf>
    <xf numFmtId="171" fontId="40" fillId="33" borderId="12" xfId="0" applyNumberFormat="1" applyFont="1" applyFill="1" applyBorder="1" applyAlignment="1">
      <alignment horizontal="center"/>
    </xf>
    <xf numFmtId="171" fontId="0" fillId="33" borderId="0" xfId="0" applyNumberFormat="1" applyFill="1" applyAlignment="1">
      <alignment horizontal="center"/>
    </xf>
    <xf numFmtId="0" fontId="0" fillId="33" borderId="18" xfId="0" applyFill="1" applyBorder="1" applyAlignment="1">
      <alignment horizontal="center"/>
    </xf>
    <xf numFmtId="2" fontId="13" fillId="34" borderId="11" xfId="0" applyNumberFormat="1" applyFont="1" applyFill="1" applyBorder="1" applyAlignment="1">
      <alignment horizontal="left"/>
    </xf>
    <xf numFmtId="9" fontId="13" fillId="34" borderId="11" xfId="43" applyFont="1" applyFill="1" applyBorder="1" applyAlignment="1">
      <alignment horizontal="left" wrapText="1"/>
    </xf>
    <xf numFmtId="2" fontId="13" fillId="34" borderId="11" xfId="0" applyNumberFormat="1" applyFont="1" applyFill="1" applyBorder="1" applyAlignment="1">
      <alignment horizontal="left" wrapText="1"/>
    </xf>
    <xf numFmtId="0" fontId="17" fillId="34" borderId="11" xfId="0" applyFont="1" applyFill="1" applyBorder="1" applyAlignment="1">
      <alignment horizontal="left"/>
    </xf>
    <xf numFmtId="2" fontId="40" fillId="33" borderId="0" xfId="0" applyNumberFormat="1" applyFont="1" applyFill="1" applyAlignment="1">
      <alignment horizontal="right"/>
    </xf>
    <xf numFmtId="171" fontId="40" fillId="33" borderId="0" xfId="0" applyNumberFormat="1" applyFont="1" applyFill="1"/>
    <xf numFmtId="171" fontId="40" fillId="33" borderId="0" xfId="0" applyNumberFormat="1" applyFont="1" applyFill="1" applyAlignment="1">
      <alignment horizontal="right"/>
    </xf>
    <xf numFmtId="0" fontId="40" fillId="34" borderId="20" xfId="5" applyFont="1" applyFill="1" applyBorder="1" applyAlignment="1">
      <alignment vertical="center" wrapText="1"/>
    </xf>
    <xf numFmtId="0" fontId="40" fillId="34" borderId="13" xfId="0" applyFont="1" applyFill="1" applyBorder="1"/>
    <xf numFmtId="0" fontId="40" fillId="34" borderId="20" xfId="5" applyFont="1" applyFill="1" applyBorder="1" applyAlignment="1">
      <alignment vertical="center"/>
    </xf>
    <xf numFmtId="0" fontId="40" fillId="34" borderId="14" xfId="5" applyFont="1" applyFill="1" applyBorder="1" applyAlignment="1">
      <alignment vertical="center" wrapText="1"/>
    </xf>
    <xf numFmtId="0" fontId="40" fillId="34" borderId="16" xfId="0" applyFont="1" applyFill="1" applyBorder="1"/>
    <xf numFmtId="0" fontId="42" fillId="34" borderId="16" xfId="0" applyFont="1" applyFill="1" applyBorder="1"/>
    <xf numFmtId="0" fontId="40" fillId="50" borderId="13" xfId="0" applyFont="1" applyFill="1" applyBorder="1"/>
    <xf numFmtId="0" fontId="0" fillId="0" borderId="33" xfId="0" applyBorder="1"/>
    <xf numFmtId="3" fontId="0" fillId="0" borderId="34" xfId="0" applyNumberFormat="1" applyBorder="1" applyAlignment="1">
      <alignment horizontal="right"/>
    </xf>
    <xf numFmtId="178" fontId="0" fillId="0" borderId="15" xfId="0" applyNumberFormat="1" applyBorder="1" applyAlignment="1">
      <alignment horizontal="right"/>
    </xf>
    <xf numFmtId="0" fontId="0" fillId="0" borderId="35" xfId="0" applyBorder="1"/>
    <xf numFmtId="3" fontId="0" fillId="0" borderId="36" xfId="0" applyNumberFormat="1" applyBorder="1" applyAlignment="1">
      <alignment horizontal="right"/>
    </xf>
    <xf numFmtId="0" fontId="0" fillId="0" borderId="38" xfId="0" applyBorder="1"/>
    <xf numFmtId="3" fontId="0" fillId="0" borderId="39" xfId="0" applyNumberFormat="1" applyBorder="1" applyAlignment="1">
      <alignment horizontal="right"/>
    </xf>
    <xf numFmtId="178" fontId="0" fillId="0" borderId="11" xfId="0" applyNumberFormat="1" applyBorder="1" applyAlignment="1">
      <alignment horizontal="right"/>
    </xf>
    <xf numFmtId="0" fontId="51" fillId="0" borderId="0" xfId="0" applyFont="1" applyAlignment="1">
      <alignment horizontal="left" vertical="center" indent="2" readingOrder="1"/>
    </xf>
    <xf numFmtId="0" fontId="52" fillId="33" borderId="0" xfId="0" applyFont="1" applyFill="1"/>
    <xf numFmtId="0" fontId="20" fillId="33" borderId="0" xfId="0" applyFont="1" applyFill="1" applyAlignment="1">
      <alignment vertical="center"/>
    </xf>
    <xf numFmtId="2" fontId="41" fillId="0" borderId="10" xfId="0" applyNumberFormat="1" applyFont="1" applyBorder="1" applyAlignment="1">
      <alignment horizontal="right"/>
    </xf>
    <xf numFmtId="173" fontId="17" fillId="34" borderId="14" xfId="0" applyNumberFormat="1" applyFont="1" applyFill="1" applyBorder="1"/>
    <xf numFmtId="173" fontId="17" fillId="34" borderId="20" xfId="0" applyNumberFormat="1" applyFont="1" applyFill="1" applyBorder="1"/>
    <xf numFmtId="173" fontId="17" fillId="34" borderId="10" xfId="0" applyNumberFormat="1" applyFont="1" applyFill="1" applyBorder="1"/>
    <xf numFmtId="0" fontId="0" fillId="46" borderId="18" xfId="0" applyFill="1" applyBorder="1"/>
    <xf numFmtId="178" fontId="0" fillId="0" borderId="0" xfId="0" applyNumberFormat="1" applyAlignment="1">
      <alignment horizontal="right"/>
    </xf>
    <xf numFmtId="0" fontId="0" fillId="0" borderId="13" xfId="0" applyBorder="1"/>
    <xf numFmtId="0" fontId="0" fillId="0" borderId="12" xfId="0" applyBorder="1"/>
    <xf numFmtId="173" fontId="17" fillId="34" borderId="58" xfId="0" applyNumberFormat="1" applyFont="1" applyFill="1" applyBorder="1" applyAlignment="1">
      <alignment horizontal="center"/>
    </xf>
    <xf numFmtId="2" fontId="40" fillId="0" borderId="34" xfId="0" applyNumberFormat="1" applyFont="1" applyBorder="1" applyAlignment="1">
      <alignment horizontal="center"/>
    </xf>
    <xf numFmtId="2" fontId="40" fillId="0" borderId="16" xfId="0" applyNumberFormat="1" applyFont="1" applyBorder="1" applyAlignment="1">
      <alignment horizontal="center"/>
    </xf>
    <xf numFmtId="2" fontId="40" fillId="0" borderId="36" xfId="0" applyNumberFormat="1" applyFont="1" applyBorder="1" applyAlignment="1">
      <alignment horizontal="center"/>
    </xf>
    <xf numFmtId="2" fontId="40" fillId="0" borderId="13" xfId="0" applyNumberFormat="1" applyFont="1" applyBorder="1" applyAlignment="1">
      <alignment horizontal="center"/>
    </xf>
    <xf numFmtId="2" fontId="40" fillId="0" borderId="39" xfId="0" applyNumberFormat="1" applyFont="1" applyBorder="1" applyAlignment="1">
      <alignment horizontal="center"/>
    </xf>
    <xf numFmtId="2" fontId="40" fillId="0" borderId="12" xfId="0" applyNumberFormat="1" applyFont="1" applyBorder="1" applyAlignment="1">
      <alignment horizontal="center"/>
    </xf>
    <xf numFmtId="173" fontId="13" fillId="34" borderId="33" xfId="0" applyNumberFormat="1" applyFont="1" applyFill="1" applyBorder="1" applyAlignment="1">
      <alignment horizontal="center"/>
    </xf>
    <xf numFmtId="173" fontId="17" fillId="34" borderId="56" xfId="0" applyNumberFormat="1" applyFont="1" applyFill="1" applyBorder="1" applyAlignment="1">
      <alignment horizontal="center"/>
    </xf>
    <xf numFmtId="173" fontId="13" fillId="34" borderId="38" xfId="0" applyNumberFormat="1" applyFont="1" applyFill="1" applyBorder="1" applyAlignment="1">
      <alignment horizontal="center"/>
    </xf>
    <xf numFmtId="2" fontId="41" fillId="0" borderId="35" xfId="0" applyNumberFormat="1" applyFont="1" applyBorder="1" applyAlignment="1">
      <alignment horizontal="right"/>
    </xf>
    <xf numFmtId="0" fontId="0" fillId="0" borderId="59" xfId="0" applyBorder="1" applyAlignment="1">
      <alignment horizontal="center"/>
    </xf>
    <xf numFmtId="2" fontId="41" fillId="46" borderId="35" xfId="0" applyNumberFormat="1" applyFont="1" applyFill="1" applyBorder="1" applyAlignment="1">
      <alignment horizontal="right"/>
    </xf>
    <xf numFmtId="0" fontId="0" fillId="0" borderId="56" xfId="0" applyBorder="1" applyAlignment="1">
      <alignment horizontal="center"/>
    </xf>
    <xf numFmtId="2" fontId="41" fillId="0" borderId="38" xfId="0" applyNumberFormat="1" applyFont="1" applyBorder="1" applyAlignment="1">
      <alignment horizontal="right"/>
    </xf>
    <xf numFmtId="0" fontId="0" fillId="0" borderId="58" xfId="0" applyBorder="1" applyAlignment="1">
      <alignment horizontal="center"/>
    </xf>
    <xf numFmtId="0" fontId="13" fillId="34" borderId="60" xfId="0" applyFont="1" applyFill="1" applyBorder="1"/>
    <xf numFmtId="0" fontId="13" fillId="34" borderId="61" xfId="0" applyFont="1" applyFill="1" applyBorder="1" applyAlignment="1">
      <alignment horizontal="center"/>
    </xf>
    <xf numFmtId="3" fontId="16" fillId="0" borderId="60" xfId="0" applyNumberFormat="1" applyFont="1" applyBorder="1"/>
    <xf numFmtId="3" fontId="16" fillId="0" borderId="62" xfId="0" applyNumberFormat="1" applyFont="1" applyBorder="1"/>
    <xf numFmtId="3" fontId="16" fillId="0" borderId="61" xfId="0" applyNumberFormat="1" applyFont="1" applyBorder="1"/>
    <xf numFmtId="0" fontId="17" fillId="34" borderId="56" xfId="0" applyFont="1" applyFill="1" applyBorder="1" applyAlignment="1">
      <alignment horizontal="center"/>
    </xf>
    <xf numFmtId="0" fontId="17" fillId="34" borderId="58" xfId="0" applyFont="1" applyFill="1" applyBorder="1"/>
    <xf numFmtId="0" fontId="17" fillId="34" borderId="39" xfId="0" applyFont="1" applyFill="1" applyBorder="1" applyAlignment="1">
      <alignment horizontal="center"/>
    </xf>
    <xf numFmtId="173" fontId="0" fillId="33" borderId="63" xfId="0" applyNumberFormat="1" applyFill="1" applyBorder="1"/>
    <xf numFmtId="2" fontId="41" fillId="0" borderId="63" xfId="0" applyNumberFormat="1" applyFont="1" applyBorder="1" applyAlignment="1">
      <alignment horizontal="right"/>
    </xf>
    <xf numFmtId="2" fontId="41" fillId="0" borderId="64" xfId="0" applyNumberFormat="1" applyFont="1" applyBorder="1" applyAlignment="1">
      <alignment horizontal="right"/>
    </xf>
    <xf numFmtId="0" fontId="0" fillId="0" borderId="65" xfId="0" applyBorder="1" applyAlignment="1">
      <alignment horizontal="center"/>
    </xf>
    <xf numFmtId="2" fontId="40" fillId="0" borderId="66" xfId="0" applyNumberFormat="1" applyFont="1" applyBorder="1" applyAlignment="1">
      <alignment horizontal="center"/>
    </xf>
    <xf numFmtId="2" fontId="40" fillId="0" borderId="67" xfId="0" applyNumberFormat="1" applyFont="1" applyBorder="1" applyAlignment="1">
      <alignment horizontal="center"/>
    </xf>
    <xf numFmtId="3" fontId="16" fillId="0" borderId="68" xfId="0" applyNumberFormat="1" applyFont="1" applyBorder="1"/>
    <xf numFmtId="3" fontId="0" fillId="0" borderId="66" xfId="0" applyNumberFormat="1" applyBorder="1" applyAlignment="1">
      <alignment horizontal="right"/>
    </xf>
    <xf numFmtId="0" fontId="0" fillId="0" borderId="64" xfId="0" applyBorder="1"/>
    <xf numFmtId="178" fontId="0" fillId="0" borderId="69" xfId="0" applyNumberFormat="1" applyBorder="1" applyAlignment="1">
      <alignment horizontal="right"/>
    </xf>
    <xf numFmtId="0" fontId="0" fillId="0" borderId="67" xfId="0" applyBorder="1"/>
    <xf numFmtId="173" fontId="0" fillId="33" borderId="70" xfId="0" applyNumberFormat="1" applyFill="1" applyBorder="1"/>
    <xf numFmtId="2" fontId="41" fillId="0" borderId="70" xfId="0" applyNumberFormat="1" applyFont="1" applyBorder="1" applyAlignment="1">
      <alignment horizontal="right"/>
    </xf>
    <xf numFmtId="2" fontId="41" fillId="0" borderId="71" xfId="0" applyNumberFormat="1" applyFont="1" applyBorder="1" applyAlignment="1">
      <alignment horizontal="right"/>
    </xf>
    <xf numFmtId="0" fontId="0" fillId="0" borderId="72" xfId="0" applyBorder="1" applyAlignment="1">
      <alignment horizontal="center"/>
    </xf>
    <xf numFmtId="2" fontId="40" fillId="0" borderId="73" xfId="0" applyNumberFormat="1" applyFont="1" applyBorder="1" applyAlignment="1">
      <alignment horizontal="center"/>
    </xf>
    <xf numFmtId="2" fontId="40" fillId="0" borderId="74" xfId="0" applyNumberFormat="1" applyFont="1" applyBorder="1" applyAlignment="1">
      <alignment horizontal="center"/>
    </xf>
    <xf numFmtId="3" fontId="16" fillId="0" borderId="75" xfId="0" applyNumberFormat="1" applyFont="1" applyBorder="1"/>
    <xf numFmtId="3" fontId="0" fillId="0" borderId="73" xfId="0" applyNumberFormat="1" applyBorder="1" applyAlignment="1">
      <alignment horizontal="right"/>
    </xf>
    <xf numFmtId="0" fontId="0" fillId="0" borderId="71" xfId="0" applyBorder="1"/>
    <xf numFmtId="178" fontId="0" fillId="0" borderId="76" xfId="0" applyNumberFormat="1" applyBorder="1" applyAlignment="1">
      <alignment horizontal="right"/>
    </xf>
    <xf numFmtId="0" fontId="0" fillId="0" borderId="74" xfId="0" applyBorder="1"/>
    <xf numFmtId="0" fontId="40" fillId="33" borderId="0" xfId="0" applyFont="1" applyFill="1" applyAlignment="1">
      <alignment horizontal="center"/>
    </xf>
    <xf numFmtId="173" fontId="0" fillId="33" borderId="24" xfId="0" applyNumberFormat="1" applyFill="1" applyBorder="1"/>
    <xf numFmtId="173" fontId="0" fillId="33" borderId="54" xfId="0" applyNumberFormat="1" applyFill="1" applyBorder="1"/>
    <xf numFmtId="0" fontId="0" fillId="33" borderId="17" xfId="0" applyFill="1" applyBorder="1"/>
    <xf numFmtId="0" fontId="41" fillId="38" borderId="17" xfId="0" applyFont="1" applyFill="1" applyBorder="1"/>
    <xf numFmtId="0" fontId="41" fillId="38" borderId="19" xfId="0" applyFont="1" applyFill="1" applyBorder="1"/>
    <xf numFmtId="0" fontId="41" fillId="38" borderId="24" xfId="0" applyFont="1" applyFill="1" applyBorder="1"/>
    <xf numFmtId="2" fontId="0" fillId="0" borderId="15" xfId="0" applyNumberFormat="1" applyBorder="1"/>
    <xf numFmtId="2" fontId="0" fillId="0" borderId="16" xfId="0" applyNumberFormat="1" applyBorder="1"/>
    <xf numFmtId="0" fontId="0" fillId="0" borderId="20" xfId="0" applyBorder="1"/>
    <xf numFmtId="2" fontId="0" fillId="0" borderId="0" xfId="0" applyNumberFormat="1"/>
    <xf numFmtId="2" fontId="0" fillId="0" borderId="13" xfId="0" applyNumberFormat="1" applyBorder="1"/>
    <xf numFmtId="0" fontId="40" fillId="0" borderId="20" xfId="0" applyFont="1" applyBorder="1"/>
    <xf numFmtId="0" fontId="0" fillId="0" borderId="10" xfId="0" applyBorder="1"/>
    <xf numFmtId="2" fontId="0" fillId="0" borderId="11" xfId="0" applyNumberFormat="1" applyBorder="1"/>
    <xf numFmtId="2" fontId="0" fillId="0" borderId="12" xfId="0" applyNumberFormat="1" applyBorder="1"/>
    <xf numFmtId="0" fontId="44" fillId="38" borderId="13" xfId="0" applyFont="1" applyFill="1" applyBorder="1"/>
    <xf numFmtId="0" fontId="40" fillId="38" borderId="23" xfId="0" applyFont="1" applyFill="1" applyBorder="1"/>
    <xf numFmtId="0" fontId="0" fillId="33" borderId="0" xfId="0" applyFill="1" applyAlignment="1">
      <alignment wrapText="1"/>
    </xf>
    <xf numFmtId="0" fontId="0" fillId="33" borderId="0" xfId="0" applyFill="1" applyAlignment="1">
      <alignment vertical="top" wrapText="1"/>
    </xf>
    <xf numFmtId="0" fontId="53" fillId="33" borderId="0" xfId="0" applyFont="1" applyFill="1"/>
    <xf numFmtId="0" fontId="17" fillId="34" borderId="21" xfId="0" applyFont="1" applyFill="1" applyBorder="1" applyAlignment="1">
      <alignment horizontal="center"/>
    </xf>
    <xf numFmtId="165" fontId="0" fillId="33" borderId="15" xfId="0" applyNumberFormat="1" applyFill="1" applyBorder="1" applyAlignment="1">
      <alignment horizontal="right"/>
    </xf>
    <xf numFmtId="165" fontId="0" fillId="33" borderId="14" xfId="0" applyNumberFormat="1" applyFill="1" applyBorder="1" applyAlignment="1">
      <alignment horizontal="right"/>
    </xf>
    <xf numFmtId="165" fontId="0" fillId="33" borderId="16" xfId="0" applyNumberFormat="1" applyFill="1" applyBorder="1" applyAlignment="1">
      <alignment horizontal="right"/>
    </xf>
    <xf numFmtId="165" fontId="0" fillId="33" borderId="0" xfId="0" applyNumberFormat="1" applyFill="1" applyAlignment="1">
      <alignment horizontal="right"/>
    </xf>
    <xf numFmtId="165" fontId="0" fillId="33" borderId="20" xfId="0" applyNumberFormat="1" applyFill="1" applyBorder="1" applyAlignment="1">
      <alignment horizontal="right"/>
    </xf>
    <xf numFmtId="165" fontId="0" fillId="33" borderId="13" xfId="0" applyNumberFormat="1" applyFill="1" applyBorder="1" applyAlignment="1">
      <alignment horizontal="right"/>
    </xf>
    <xf numFmtId="165" fontId="0" fillId="33" borderId="11" xfId="0" applyNumberFormat="1" applyFill="1" applyBorder="1" applyAlignment="1">
      <alignment horizontal="right"/>
    </xf>
    <xf numFmtId="165" fontId="0" fillId="33" borderId="10" xfId="0" applyNumberFormat="1" applyFill="1" applyBorder="1" applyAlignment="1">
      <alignment horizontal="right"/>
    </xf>
    <xf numFmtId="165" fontId="0" fillId="33" borderId="12" xfId="0" applyNumberFormat="1" applyFill="1" applyBorder="1" applyAlignment="1">
      <alignment horizontal="right"/>
    </xf>
    <xf numFmtId="2" fontId="0" fillId="33" borderId="15" xfId="0" applyNumberFormat="1" applyFill="1" applyBorder="1" applyAlignment="1">
      <alignment horizontal="right"/>
    </xf>
    <xf numFmtId="2" fontId="40" fillId="33" borderId="14" xfId="0" applyNumberFormat="1" applyFont="1" applyFill="1" applyBorder="1" applyAlignment="1">
      <alignment horizontal="right"/>
    </xf>
    <xf numFmtId="2" fontId="0" fillId="33" borderId="16" xfId="0" applyNumberFormat="1" applyFill="1" applyBorder="1" applyAlignment="1">
      <alignment horizontal="right"/>
    </xf>
    <xf numFmtId="2" fontId="40" fillId="33" borderId="20" xfId="0" applyNumberFormat="1" applyFont="1" applyFill="1" applyBorder="1" applyAlignment="1">
      <alignment horizontal="right"/>
    </xf>
    <xf numFmtId="2" fontId="0" fillId="33" borderId="13" xfId="0" applyNumberFormat="1" applyFill="1" applyBorder="1" applyAlignment="1">
      <alignment horizontal="right"/>
    </xf>
    <xf numFmtId="2" fontId="40" fillId="33" borderId="10" xfId="0" applyNumberFormat="1" applyFont="1" applyFill="1" applyBorder="1" applyAlignment="1">
      <alignment horizontal="right"/>
    </xf>
    <xf numFmtId="2" fontId="0" fillId="33" borderId="11" xfId="0" applyNumberFormat="1" applyFill="1" applyBorder="1"/>
    <xf numFmtId="2" fontId="0" fillId="33" borderId="11" xfId="0" applyNumberFormat="1" applyFill="1" applyBorder="1" applyAlignment="1">
      <alignment horizontal="right"/>
    </xf>
    <xf numFmtId="0" fontId="17" fillId="34" borderId="0" xfId="0" applyFont="1" applyFill="1"/>
    <xf numFmtId="0" fontId="17" fillId="34" borderId="23" xfId="0" applyFont="1" applyFill="1" applyBorder="1"/>
    <xf numFmtId="0" fontId="16" fillId="0" borderId="0" xfId="0" applyFont="1"/>
    <xf numFmtId="0" fontId="0" fillId="33" borderId="0" xfId="0" applyFill="1" applyAlignment="1">
      <alignment horizontal="center" vertical="center" textRotation="90"/>
    </xf>
    <xf numFmtId="0" fontId="54" fillId="33" borderId="0" xfId="0" applyFont="1" applyFill="1"/>
    <xf numFmtId="0" fontId="54" fillId="0" borderId="19" xfId="0" applyFont="1" applyBorder="1" applyAlignment="1">
      <alignment vertical="center"/>
    </xf>
    <xf numFmtId="173" fontId="0" fillId="0" borderId="17" xfId="0" applyNumberFormat="1" applyBorder="1" applyAlignment="1">
      <alignment vertical="center"/>
    </xf>
    <xf numFmtId="171" fontId="0" fillId="0" borderId="19" xfId="0" applyNumberFormat="1" applyBorder="1" applyAlignment="1">
      <alignment vertical="center"/>
    </xf>
    <xf numFmtId="171" fontId="0" fillId="0" borderId="24" xfId="0" applyNumberFormat="1" applyBorder="1" applyAlignment="1">
      <alignment vertical="center"/>
    </xf>
    <xf numFmtId="172" fontId="0" fillId="0" borderId="19" xfId="0" applyNumberFormat="1" applyBorder="1" applyAlignment="1">
      <alignment vertical="center"/>
    </xf>
    <xf numFmtId="0" fontId="0" fillId="0" borderId="19" xfId="0" applyBorder="1" applyAlignment="1">
      <alignment vertical="center"/>
    </xf>
    <xf numFmtId="0" fontId="0" fillId="0" borderId="24" xfId="0" applyBorder="1" applyAlignment="1">
      <alignment vertical="center"/>
    </xf>
    <xf numFmtId="0" fontId="53" fillId="0" borderId="17" xfId="0" applyFont="1" applyBorder="1" applyAlignment="1">
      <alignment horizontal="center" vertical="center"/>
    </xf>
    <xf numFmtId="0" fontId="0" fillId="33" borderId="0" xfId="0" applyFill="1" applyAlignment="1">
      <alignment vertical="center"/>
    </xf>
    <xf numFmtId="0" fontId="53" fillId="0" borderId="19" xfId="0" applyFont="1" applyBorder="1" applyAlignment="1">
      <alignment horizontal="center" vertical="center"/>
    </xf>
    <xf numFmtId="173" fontId="0" fillId="35" borderId="14" xfId="0" applyNumberFormat="1" applyFill="1" applyBorder="1"/>
    <xf numFmtId="173" fontId="0" fillId="35" borderId="15" xfId="0" applyNumberFormat="1" applyFill="1" applyBorder="1"/>
    <xf numFmtId="173" fontId="0" fillId="35" borderId="45" xfId="0" applyNumberFormat="1" applyFill="1" applyBorder="1"/>
    <xf numFmtId="173" fontId="0" fillId="35" borderId="46" xfId="0" applyNumberFormat="1" applyFill="1" applyBorder="1"/>
    <xf numFmtId="0" fontId="0" fillId="35" borderId="14" xfId="0" applyFill="1" applyBorder="1"/>
    <xf numFmtId="0" fontId="0" fillId="35" borderId="15" xfId="0" applyFill="1" applyBorder="1"/>
    <xf numFmtId="0" fontId="0" fillId="35" borderId="16" xfId="0" applyFill="1" applyBorder="1"/>
    <xf numFmtId="0" fontId="0" fillId="35" borderId="22" xfId="0" applyFill="1" applyBorder="1"/>
    <xf numFmtId="0" fontId="0" fillId="35" borderId="23" xfId="0" applyFill="1" applyBorder="1"/>
    <xf numFmtId="0" fontId="43" fillId="0" borderId="20" xfId="0" applyFont="1" applyBorder="1"/>
    <xf numFmtId="0" fontId="0" fillId="0" borderId="11" xfId="0" applyBorder="1"/>
    <xf numFmtId="0" fontId="0" fillId="33" borderId="0" xfId="0" applyFill="1" applyAlignment="1">
      <alignment horizontal="left" indent="1"/>
    </xf>
    <xf numFmtId="0" fontId="0" fillId="35" borderId="18" xfId="0" applyFill="1" applyBorder="1" applyAlignment="1">
      <alignment horizontal="left" indent="1"/>
    </xf>
    <xf numFmtId="0" fontId="0" fillId="33" borderId="17" xfId="0" applyFill="1" applyBorder="1" applyAlignment="1">
      <alignment horizontal="left" indent="1"/>
    </xf>
    <xf numFmtId="0" fontId="0" fillId="33" borderId="19" xfId="0" applyFill="1" applyBorder="1" applyAlignment="1">
      <alignment horizontal="left" indent="1"/>
    </xf>
    <xf numFmtId="0" fontId="0" fillId="33" borderId="24" xfId="0" applyFill="1" applyBorder="1" applyAlignment="1">
      <alignment horizontal="left" indent="1"/>
    </xf>
    <xf numFmtId="0" fontId="0" fillId="33" borderId="0" xfId="0" applyFill="1" applyAlignment="1">
      <alignment horizontal="left" vertical="center" indent="1"/>
    </xf>
    <xf numFmtId="0" fontId="56" fillId="33" borderId="0" xfId="0" applyFont="1" applyFill="1" applyAlignment="1">
      <alignment horizontal="left" vertical="center" indent="1"/>
    </xf>
    <xf numFmtId="0" fontId="54" fillId="0" borderId="15" xfId="0" applyFont="1" applyBorder="1"/>
    <xf numFmtId="0" fontId="54" fillId="0" borderId="0" xfId="0" applyFont="1"/>
    <xf numFmtId="173" fontId="16" fillId="35" borderId="21" xfId="0" applyNumberFormat="1" applyFont="1" applyFill="1" applyBorder="1"/>
    <xf numFmtId="173" fontId="16" fillId="35" borderId="22" xfId="0" applyNumberFormat="1" applyFont="1" applyFill="1" applyBorder="1"/>
    <xf numFmtId="173" fontId="16" fillId="35" borderId="23" xfId="0" applyNumberFormat="1" applyFont="1" applyFill="1" applyBorder="1"/>
    <xf numFmtId="0" fontId="0" fillId="33" borderId="14" xfId="0" applyFill="1" applyBorder="1" applyAlignment="1">
      <alignment horizontal="left" indent="1"/>
    </xf>
    <xf numFmtId="0" fontId="0" fillId="33" borderId="20" xfId="0" applyFill="1" applyBorder="1" applyAlignment="1">
      <alignment horizontal="left" indent="1"/>
    </xf>
    <xf numFmtId="0" fontId="0" fillId="33" borderId="10" xfId="0" applyFill="1" applyBorder="1" applyAlignment="1">
      <alignment horizontal="left" indent="1"/>
    </xf>
    <xf numFmtId="0" fontId="0" fillId="33" borderId="20" xfId="0" applyFill="1" applyBorder="1" applyAlignment="1">
      <alignment horizontal="left" vertical="center" indent="1"/>
    </xf>
    <xf numFmtId="173" fontId="17" fillId="43" borderId="14" xfId="0" applyNumberFormat="1" applyFont="1" applyFill="1" applyBorder="1" applyAlignment="1">
      <alignment horizontal="center"/>
    </xf>
    <xf numFmtId="173" fontId="17" fillId="43" borderId="16" xfId="0" applyNumberFormat="1" applyFont="1" applyFill="1" applyBorder="1" applyAlignment="1">
      <alignment horizontal="center"/>
    </xf>
    <xf numFmtId="10" fontId="0" fillId="0" borderId="14" xfId="43" applyNumberFormat="1" applyFont="1" applyFill="1" applyBorder="1"/>
    <xf numFmtId="10" fontId="0" fillId="0" borderId="10" xfId="43" applyNumberFormat="1" applyFont="1" applyFill="1" applyBorder="1"/>
    <xf numFmtId="0" fontId="42" fillId="0" borderId="20" xfId="0" applyFont="1" applyBorder="1"/>
    <xf numFmtId="0" fontId="43" fillId="0" borderId="10" xfId="0" applyFont="1" applyBorder="1"/>
    <xf numFmtId="0" fontId="43" fillId="0" borderId="14" xfId="0" applyFont="1" applyBorder="1"/>
    <xf numFmtId="0" fontId="0" fillId="0" borderId="15" xfId="0" applyBorder="1"/>
    <xf numFmtId="0" fontId="53" fillId="33" borderId="20" xfId="0" applyFont="1" applyFill="1" applyBorder="1"/>
    <xf numFmtId="0" fontId="58" fillId="33" borderId="0" xfId="0" quotePrefix="1" applyFont="1" applyFill="1"/>
    <xf numFmtId="173" fontId="0" fillId="46" borderId="20" xfId="43" applyNumberFormat="1" applyFont="1" applyFill="1" applyBorder="1"/>
    <xf numFmtId="0" fontId="59" fillId="38" borderId="12" xfId="0" applyFont="1" applyFill="1" applyBorder="1"/>
    <xf numFmtId="0" fontId="59" fillId="38" borderId="16" xfId="0" applyFont="1" applyFill="1" applyBorder="1"/>
    <xf numFmtId="0" fontId="59" fillId="38" borderId="13" xfId="0" applyFont="1" applyFill="1" applyBorder="1"/>
    <xf numFmtId="10" fontId="40" fillId="33" borderId="14" xfId="0" applyNumberFormat="1" applyFont="1" applyFill="1" applyBorder="1" applyAlignment="1">
      <alignment horizontal="center"/>
    </xf>
    <xf numFmtId="10" fontId="40" fillId="33" borderId="15" xfId="0" applyNumberFormat="1" applyFont="1" applyFill="1" applyBorder="1" applyAlignment="1">
      <alignment horizontal="center"/>
    </xf>
    <xf numFmtId="10" fontId="40" fillId="33" borderId="16" xfId="0" applyNumberFormat="1" applyFont="1" applyFill="1" applyBorder="1" applyAlignment="1">
      <alignment horizontal="center"/>
    </xf>
    <xf numFmtId="10" fontId="40" fillId="33" borderId="10" xfId="0" applyNumberFormat="1" applyFont="1" applyFill="1" applyBorder="1" applyAlignment="1">
      <alignment horizontal="center"/>
    </xf>
    <xf numFmtId="10" fontId="40" fillId="33" borderId="11" xfId="0" applyNumberFormat="1" applyFont="1" applyFill="1" applyBorder="1" applyAlignment="1">
      <alignment horizontal="center"/>
    </xf>
    <xf numFmtId="10" fontId="40" fillId="33" borderId="12" xfId="0" applyNumberFormat="1" applyFont="1" applyFill="1" applyBorder="1" applyAlignment="1">
      <alignment horizontal="center"/>
    </xf>
    <xf numFmtId="2" fontId="13" fillId="39" borderId="15" xfId="0" applyNumberFormat="1" applyFont="1" applyFill="1" applyBorder="1" applyAlignment="1">
      <alignment horizontal="center" vertical="center"/>
    </xf>
    <xf numFmtId="2" fontId="32" fillId="34" borderId="0" xfId="0" applyNumberFormat="1" applyFont="1" applyFill="1"/>
    <xf numFmtId="2" fontId="40" fillId="35" borderId="0" xfId="0" applyNumberFormat="1" applyFont="1" applyFill="1" applyAlignment="1">
      <alignment horizontal="left"/>
    </xf>
    <xf numFmtId="2" fontId="41" fillId="0" borderId="20" xfId="0" applyNumberFormat="1" applyFont="1" applyBorder="1"/>
    <xf numFmtId="10" fontId="41" fillId="0" borderId="14" xfId="0" applyNumberFormat="1" applyFont="1" applyBorder="1"/>
    <xf numFmtId="2" fontId="38" fillId="33" borderId="0" xfId="0" applyNumberFormat="1" applyFont="1" applyFill="1" applyAlignment="1">
      <alignment horizontal="right"/>
    </xf>
    <xf numFmtId="9" fontId="41" fillId="0" borderId="0" xfId="43" applyFont="1" applyFill="1" applyBorder="1" applyAlignment="1">
      <alignment horizontal="right"/>
    </xf>
    <xf numFmtId="9" fontId="41" fillId="0" borderId="0" xfId="43" applyFont="1" applyFill="1" applyBorder="1" applyAlignment="1">
      <alignment horizontal="left"/>
    </xf>
    <xf numFmtId="9" fontId="41" fillId="0" borderId="11" xfId="43" applyFont="1" applyFill="1" applyBorder="1" applyAlignment="1">
      <alignment horizontal="right"/>
    </xf>
    <xf numFmtId="0" fontId="40" fillId="51" borderId="10" xfId="5" applyFont="1" applyFill="1" applyBorder="1" applyAlignment="1">
      <alignment vertical="center" wrapText="1"/>
    </xf>
    <xf numFmtId="0" fontId="42" fillId="51" borderId="12" xfId="0" applyFont="1" applyFill="1" applyBorder="1"/>
    <xf numFmtId="173" fontId="13" fillId="48" borderId="21" xfId="0" applyNumberFormat="1" applyFont="1" applyFill="1" applyBorder="1"/>
    <xf numFmtId="173" fontId="13" fillId="48" borderId="22" xfId="0" applyNumberFormat="1" applyFont="1" applyFill="1" applyBorder="1"/>
    <xf numFmtId="173" fontId="13" fillId="48" borderId="23" xfId="0" applyNumberFormat="1" applyFont="1" applyFill="1" applyBorder="1"/>
    <xf numFmtId="0" fontId="13" fillId="34" borderId="21" xfId="0" applyFont="1" applyFill="1" applyBorder="1"/>
    <xf numFmtId="0" fontId="13" fillId="34" borderId="23" xfId="0" applyFont="1" applyFill="1" applyBorder="1"/>
    <xf numFmtId="0" fontId="13" fillId="34" borderId="22" xfId="0" applyFont="1" applyFill="1" applyBorder="1"/>
    <xf numFmtId="173" fontId="54" fillId="33" borderId="0" xfId="0" applyNumberFormat="1" applyFont="1" applyFill="1"/>
    <xf numFmtId="2" fontId="21" fillId="0" borderId="17" xfId="0" applyNumberFormat="1" applyFont="1" applyBorder="1" applyAlignment="1">
      <alignment vertical="center"/>
    </xf>
    <xf numFmtId="2" fontId="21" fillId="0" borderId="20" xfId="0" applyNumberFormat="1" applyFont="1" applyBorder="1" applyAlignment="1">
      <alignment vertical="center"/>
    </xf>
    <xf numFmtId="2" fontId="21" fillId="0" borderId="0" xfId="0" applyNumberFormat="1" applyFont="1" applyAlignment="1">
      <alignment vertical="center"/>
    </xf>
    <xf numFmtId="2" fontId="21" fillId="0" borderId="19" xfId="0" applyNumberFormat="1" applyFont="1" applyBorder="1" applyAlignment="1">
      <alignment vertical="center"/>
    </xf>
    <xf numFmtId="2" fontId="21" fillId="35" borderId="19" xfId="0" applyNumberFormat="1" applyFont="1" applyFill="1" applyBorder="1" applyAlignment="1">
      <alignment vertical="center"/>
    </xf>
    <xf numFmtId="4" fontId="21" fillId="0" borderId="19" xfId="0" applyNumberFormat="1" applyFont="1" applyBorder="1" applyAlignment="1">
      <alignment vertical="center"/>
    </xf>
    <xf numFmtId="171" fontId="21" fillId="0" borderId="20" xfId="0" applyNumberFormat="1" applyFont="1" applyBorder="1" applyAlignment="1">
      <alignment vertical="center"/>
    </xf>
    <xf numFmtId="171" fontId="21" fillId="0" borderId="0" xfId="0" applyNumberFormat="1" applyFont="1" applyAlignment="1">
      <alignment vertical="center"/>
    </xf>
    <xf numFmtId="4" fontId="24" fillId="0" borderId="19" xfId="0" applyNumberFormat="1" applyFont="1" applyBorder="1" applyAlignment="1">
      <alignment vertical="center"/>
    </xf>
    <xf numFmtId="1" fontId="24" fillId="0" borderId="19" xfId="0" applyNumberFormat="1" applyFont="1" applyBorder="1" applyAlignment="1">
      <alignment vertical="center"/>
    </xf>
    <xf numFmtId="2" fontId="21" fillId="35" borderId="20" xfId="0" applyNumberFormat="1" applyFont="1" applyFill="1" applyBorder="1" applyAlignment="1">
      <alignment vertical="center"/>
    </xf>
    <xf numFmtId="2" fontId="21" fillId="35" borderId="0" xfId="0" applyNumberFormat="1" applyFont="1" applyFill="1" applyAlignment="1">
      <alignment vertical="center"/>
    </xf>
    <xf numFmtId="172" fontId="21" fillId="0" borderId="19" xfId="0" applyNumberFormat="1" applyFont="1" applyBorder="1" applyAlignment="1">
      <alignment vertical="center"/>
    </xf>
    <xf numFmtId="2" fontId="21" fillId="35" borderId="10" xfId="0" applyNumberFormat="1" applyFont="1" applyFill="1" applyBorder="1" applyAlignment="1">
      <alignment vertical="center"/>
    </xf>
    <xf numFmtId="2" fontId="21" fillId="35" borderId="11" xfId="0" applyNumberFormat="1" applyFont="1" applyFill="1" applyBorder="1" applyAlignment="1">
      <alignment vertical="center"/>
    </xf>
    <xf numFmtId="2" fontId="21" fillId="0" borderId="24" xfId="0" applyNumberFormat="1" applyFont="1" applyBorder="1" applyAlignment="1">
      <alignment vertical="center"/>
    </xf>
    <xf numFmtId="179" fontId="24" fillId="0" borderId="14" xfId="0" applyNumberFormat="1" applyFont="1" applyBorder="1" applyAlignment="1">
      <alignment horizontal="center"/>
    </xf>
    <xf numFmtId="179" fontId="24" fillId="0" borderId="20" xfId="0" applyNumberFormat="1" applyFont="1" applyBorder="1" applyAlignment="1">
      <alignment horizontal="center"/>
    </xf>
    <xf numFmtId="11" fontId="24" fillId="0" borderId="0" xfId="0" applyNumberFormat="1" applyFont="1"/>
    <xf numFmtId="11" fontId="24" fillId="0" borderId="15" xfId="0" applyNumberFormat="1" applyFont="1" applyBorder="1"/>
    <xf numFmtId="11" fontId="24" fillId="0" borderId="16" xfId="0" applyNumberFormat="1" applyFont="1" applyBorder="1"/>
    <xf numFmtId="11" fontId="24" fillId="33" borderId="0" xfId="0" applyNumberFormat="1" applyFont="1" applyFill="1"/>
    <xf numFmtId="11" fontId="24" fillId="0" borderId="13" xfId="0" applyNumberFormat="1" applyFont="1" applyBorder="1"/>
    <xf numFmtId="0" fontId="24" fillId="39" borderId="22" xfId="0" applyFont="1" applyFill="1" applyBorder="1" applyAlignment="1">
      <alignment horizontal="left"/>
    </xf>
    <xf numFmtId="0" fontId="24" fillId="39" borderId="22" xfId="0" applyFont="1" applyFill="1" applyBorder="1" applyAlignment="1">
      <alignment horizontal="center"/>
    </xf>
    <xf numFmtId="0" fontId="24" fillId="39" borderId="23" xfId="0" applyFont="1" applyFill="1" applyBorder="1" applyAlignment="1">
      <alignment horizontal="center"/>
    </xf>
    <xf numFmtId="0" fontId="24" fillId="33" borderId="0" xfId="0" applyFont="1" applyFill="1" applyAlignment="1">
      <alignment horizontal="center"/>
    </xf>
    <xf numFmtId="9" fontId="24" fillId="0" borderId="15" xfId="43" applyFont="1" applyFill="1" applyBorder="1" applyAlignment="1">
      <alignment horizontal="right"/>
    </xf>
    <xf numFmtId="9" fontId="24" fillId="0" borderId="16" xfId="43" applyFont="1" applyFill="1" applyBorder="1" applyAlignment="1">
      <alignment horizontal="right"/>
    </xf>
    <xf numFmtId="9" fontId="24" fillId="33" borderId="0" xfId="43" applyFont="1" applyFill="1" applyBorder="1" applyAlignment="1">
      <alignment horizontal="right"/>
    </xf>
    <xf numFmtId="9" fontId="24" fillId="0" borderId="0" xfId="43" applyFont="1" applyFill="1" applyBorder="1" applyAlignment="1">
      <alignment horizontal="right"/>
    </xf>
    <xf numFmtId="9" fontId="24" fillId="0" borderId="13" xfId="43" applyFont="1" applyFill="1" applyBorder="1" applyAlignment="1">
      <alignment horizontal="right"/>
    </xf>
    <xf numFmtId="2" fontId="24" fillId="0" borderId="15" xfId="0" applyNumberFormat="1" applyFont="1" applyBorder="1"/>
    <xf numFmtId="2" fontId="24" fillId="0" borderId="16" xfId="0" applyNumberFormat="1" applyFont="1" applyBorder="1"/>
    <xf numFmtId="2" fontId="24" fillId="0" borderId="14" xfId="0" applyNumberFormat="1" applyFont="1" applyBorder="1"/>
    <xf numFmtId="2" fontId="24" fillId="35" borderId="17" xfId="0" applyNumberFormat="1" applyFont="1" applyFill="1" applyBorder="1"/>
    <xf numFmtId="2" fontId="24" fillId="0" borderId="0" xfId="0" applyNumberFormat="1" applyFont="1"/>
    <xf numFmtId="2" fontId="24" fillId="0" borderId="13" xfId="0" applyNumberFormat="1" applyFont="1" applyBorder="1"/>
    <xf numFmtId="2" fontId="24" fillId="0" borderId="20" xfId="0" applyNumberFormat="1" applyFont="1" applyBorder="1"/>
    <xf numFmtId="2" fontId="24" fillId="35" borderId="19" xfId="0" applyNumberFormat="1" applyFont="1" applyFill="1" applyBorder="1"/>
    <xf numFmtId="2" fontId="24" fillId="35" borderId="24" xfId="0" applyNumberFormat="1" applyFont="1" applyFill="1" applyBorder="1"/>
    <xf numFmtId="2" fontId="21" fillId="33" borderId="16" xfId="0" applyNumberFormat="1" applyFont="1" applyFill="1" applyBorder="1" applyAlignment="1">
      <alignment horizontal="center"/>
    </xf>
    <xf numFmtId="2" fontId="21" fillId="33" borderId="13" xfId="0" applyNumberFormat="1" applyFont="1" applyFill="1" applyBorder="1" applyAlignment="1">
      <alignment horizontal="center"/>
    </xf>
    <xf numFmtId="11" fontId="21" fillId="33" borderId="16" xfId="0" applyNumberFormat="1" applyFont="1" applyFill="1" applyBorder="1" applyAlignment="1">
      <alignment horizontal="center"/>
    </xf>
    <xf numFmtId="9" fontId="21" fillId="0" borderId="16" xfId="43" applyFont="1" applyFill="1" applyBorder="1" applyAlignment="1">
      <alignment horizontal="center"/>
    </xf>
    <xf numFmtId="9" fontId="21" fillId="0" borderId="13" xfId="43" applyFont="1" applyFill="1" applyBorder="1" applyAlignment="1">
      <alignment horizontal="center"/>
    </xf>
    <xf numFmtId="165" fontId="21" fillId="0" borderId="16" xfId="42" applyNumberFormat="1" applyFont="1" applyFill="1" applyBorder="1" applyAlignment="1">
      <alignment horizontal="center"/>
    </xf>
    <xf numFmtId="165" fontId="21" fillId="0" borderId="13" xfId="42" applyNumberFormat="1" applyFont="1" applyFill="1" applyBorder="1" applyAlignment="1">
      <alignment horizontal="center"/>
    </xf>
    <xf numFmtId="165" fontId="21" fillId="0" borderId="13" xfId="0" applyNumberFormat="1" applyFont="1" applyBorder="1" applyAlignment="1">
      <alignment horizontal="center"/>
    </xf>
    <xf numFmtId="165" fontId="21" fillId="0" borderId="16" xfId="0" applyNumberFormat="1" applyFont="1" applyBorder="1" applyAlignment="1">
      <alignment horizontal="center"/>
    </xf>
    <xf numFmtId="0" fontId="21" fillId="33" borderId="15" xfId="0" applyFont="1" applyFill="1" applyBorder="1" applyAlignment="1">
      <alignment horizontal="center"/>
    </xf>
    <xf numFmtId="0" fontId="21" fillId="33" borderId="16" xfId="0" applyFont="1" applyFill="1" applyBorder="1" applyAlignment="1">
      <alignment horizontal="center"/>
    </xf>
    <xf numFmtId="0" fontId="21" fillId="33" borderId="13" xfId="0" applyFont="1" applyFill="1" applyBorder="1" applyAlignment="1">
      <alignment horizontal="center"/>
    </xf>
    <xf numFmtId="0" fontId="21" fillId="33" borderId="12" xfId="0" applyFont="1" applyFill="1" applyBorder="1" applyAlignment="1">
      <alignment horizontal="center"/>
    </xf>
    <xf numFmtId="172" fontId="60" fillId="0" borderId="14" xfId="0" applyNumberFormat="1" applyFont="1" applyBorder="1" applyAlignment="1">
      <alignment vertical="center"/>
    </xf>
    <xf numFmtId="172" fontId="60" fillId="0" borderId="15" xfId="0" applyNumberFormat="1" applyFont="1" applyBorder="1" applyAlignment="1">
      <alignment vertical="center"/>
    </xf>
    <xf numFmtId="2" fontId="24" fillId="33" borderId="15" xfId="0" applyNumberFormat="1" applyFont="1" applyFill="1" applyBorder="1"/>
    <xf numFmtId="2" fontId="24" fillId="33" borderId="16" xfId="0" applyNumberFormat="1" applyFont="1" applyFill="1" applyBorder="1"/>
    <xf numFmtId="2" fontId="24" fillId="33" borderId="0" xfId="0" applyNumberFormat="1" applyFont="1" applyFill="1"/>
    <xf numFmtId="2" fontId="24" fillId="33" borderId="13" xfId="0" applyNumberFormat="1" applyFont="1" applyFill="1" applyBorder="1"/>
    <xf numFmtId="11" fontId="61" fillId="0" borderId="14" xfId="0" applyNumberFormat="1" applyFont="1" applyBorder="1"/>
    <xf numFmtId="11" fontId="61" fillId="0" borderId="15" xfId="0" applyNumberFormat="1" applyFont="1" applyBorder="1"/>
    <xf numFmtId="11" fontId="61" fillId="0" borderId="16" xfId="0" applyNumberFormat="1" applyFont="1" applyBorder="1"/>
    <xf numFmtId="11" fontId="61" fillId="0" borderId="20" xfId="0" applyNumberFormat="1" applyFont="1" applyBorder="1"/>
    <xf numFmtId="11" fontId="61" fillId="0" borderId="0" xfId="0" applyNumberFormat="1" applyFont="1"/>
    <xf numFmtId="11" fontId="61" fillId="0" borderId="13" xfId="0" applyNumberFormat="1" applyFont="1" applyBorder="1"/>
    <xf numFmtId="0" fontId="61" fillId="39" borderId="21" xfId="0" applyFont="1" applyFill="1" applyBorder="1" applyAlignment="1">
      <alignment horizontal="left"/>
    </xf>
    <xf numFmtId="0" fontId="61" fillId="39" borderId="22" xfId="0" applyFont="1" applyFill="1" applyBorder="1" applyAlignment="1">
      <alignment horizontal="center"/>
    </xf>
    <xf numFmtId="0" fontId="61" fillId="39" borderId="23" xfId="0" applyFont="1" applyFill="1" applyBorder="1" applyAlignment="1">
      <alignment horizontal="center"/>
    </xf>
    <xf numFmtId="9" fontId="61" fillId="0" borderId="14" xfId="43" applyFont="1" applyFill="1" applyBorder="1" applyAlignment="1">
      <alignment horizontal="right"/>
    </xf>
    <xf numFmtId="9" fontId="61" fillId="0" borderId="15" xfId="43" applyFont="1" applyFill="1" applyBorder="1" applyAlignment="1">
      <alignment horizontal="right"/>
    </xf>
    <xf numFmtId="9" fontId="61" fillId="0" borderId="16" xfId="43" applyFont="1" applyFill="1" applyBorder="1" applyAlignment="1">
      <alignment horizontal="right"/>
    </xf>
    <xf numFmtId="9" fontId="61" fillId="0" borderId="20" xfId="43" applyFont="1" applyFill="1" applyBorder="1" applyAlignment="1">
      <alignment horizontal="right"/>
    </xf>
    <xf numFmtId="9" fontId="61" fillId="0" borderId="0" xfId="43" applyFont="1" applyFill="1" applyBorder="1" applyAlignment="1">
      <alignment horizontal="right"/>
    </xf>
    <xf numFmtId="9" fontId="61" fillId="0" borderId="13" xfId="43" applyFont="1" applyFill="1" applyBorder="1" applyAlignment="1">
      <alignment horizontal="right"/>
    </xf>
    <xf numFmtId="179" fontId="24" fillId="0" borderId="10" xfId="0" applyNumberFormat="1" applyFont="1" applyBorder="1" applyAlignment="1">
      <alignment horizontal="center"/>
    </xf>
    <xf numFmtId="179" fontId="31" fillId="0" borderId="14" xfId="0" applyNumberFormat="1" applyFont="1" applyBorder="1" applyAlignment="1">
      <alignment horizontal="center"/>
    </xf>
    <xf numFmtId="179" fontId="31" fillId="0" borderId="20" xfId="0" applyNumberFormat="1" applyFont="1" applyBorder="1" applyAlignment="1">
      <alignment horizontal="center"/>
    </xf>
    <xf numFmtId="179" fontId="31" fillId="0" borderId="10" xfId="0" applyNumberFormat="1" applyFont="1" applyBorder="1" applyAlignment="1">
      <alignment horizontal="center"/>
    </xf>
    <xf numFmtId="180" fontId="24" fillId="0" borderId="11" xfId="0" applyNumberFormat="1" applyFont="1" applyBorder="1" applyAlignment="1">
      <alignment horizontal="center"/>
    </xf>
    <xf numFmtId="4" fontId="61" fillId="0" borderId="19" xfId="0" applyNumberFormat="1" applyFont="1" applyBorder="1" applyAlignment="1">
      <alignment vertical="center"/>
    </xf>
    <xf numFmtId="0" fontId="21" fillId="33" borderId="15" xfId="0" applyFont="1" applyFill="1" applyBorder="1" applyAlignment="1">
      <alignment horizontal="right"/>
    </xf>
    <xf numFmtId="0" fontId="21" fillId="33" borderId="16" xfId="0" applyFont="1" applyFill="1" applyBorder="1" applyAlignment="1">
      <alignment horizontal="right"/>
    </xf>
    <xf numFmtId="0" fontId="21" fillId="33" borderId="11" xfId="0" applyFont="1" applyFill="1" applyBorder="1"/>
    <xf numFmtId="0" fontId="21" fillId="33" borderId="11" xfId="0" applyFont="1" applyFill="1" applyBorder="1" applyAlignment="1">
      <alignment horizontal="right"/>
    </xf>
    <xf numFmtId="0" fontId="21" fillId="33" borderId="12" xfId="0" applyFont="1" applyFill="1" applyBorder="1" applyAlignment="1">
      <alignment horizontal="right"/>
    </xf>
    <xf numFmtId="0" fontId="22" fillId="33" borderId="11" xfId="0" applyFont="1" applyFill="1" applyBorder="1" applyAlignment="1">
      <alignment horizontal="right"/>
    </xf>
    <xf numFmtId="0" fontId="16" fillId="33" borderId="0" xfId="0" applyFont="1" applyFill="1" applyAlignment="1">
      <alignment vertical="center"/>
    </xf>
    <xf numFmtId="0" fontId="17" fillId="34" borderId="23" xfId="0" applyFont="1" applyFill="1" applyBorder="1" applyAlignment="1">
      <alignment horizontal="center" wrapText="1"/>
    </xf>
    <xf numFmtId="0" fontId="17" fillId="34" borderId="21" xfId="0" applyFont="1" applyFill="1" applyBorder="1" applyAlignment="1">
      <alignment horizontal="center" wrapText="1"/>
    </xf>
    <xf numFmtId="0" fontId="17" fillId="34" borderId="18" xfId="0" applyFont="1" applyFill="1" applyBorder="1" applyAlignment="1">
      <alignment horizontal="center" wrapText="1"/>
    </xf>
    <xf numFmtId="10" fontId="0" fillId="33" borderId="0" xfId="0" applyNumberFormat="1" applyFill="1"/>
    <xf numFmtId="173" fontId="56" fillId="33" borderId="0" xfId="0" quotePrefix="1" applyNumberFormat="1" applyFont="1" applyFill="1" applyAlignment="1">
      <alignment horizontal="left"/>
    </xf>
    <xf numFmtId="0" fontId="16" fillId="33" borderId="11" xfId="0" applyFont="1" applyFill="1" applyBorder="1" applyAlignment="1">
      <alignment horizontal="left"/>
    </xf>
    <xf numFmtId="0" fontId="0" fillId="35" borderId="0" xfId="0" applyFill="1"/>
    <xf numFmtId="0" fontId="0" fillId="33" borderId="0" xfId="0" applyFill="1" applyAlignment="1">
      <alignment horizontal="left"/>
    </xf>
    <xf numFmtId="0" fontId="63" fillId="33" borderId="0" xfId="0" applyFont="1" applyFill="1" applyAlignment="1">
      <alignment horizontal="left" vertical="center"/>
    </xf>
    <xf numFmtId="177" fontId="63" fillId="33" borderId="0" xfId="0" applyNumberFormat="1" applyFont="1" applyFill="1" applyAlignment="1">
      <alignment vertical="center"/>
    </xf>
    <xf numFmtId="177" fontId="63" fillId="33" borderId="0" xfId="0" applyNumberFormat="1" applyFont="1" applyFill="1" applyAlignment="1">
      <alignment horizontal="center" vertical="center"/>
    </xf>
    <xf numFmtId="0" fontId="63" fillId="33" borderId="0" xfId="0" applyFont="1" applyFill="1" applyAlignment="1">
      <alignment vertical="center"/>
    </xf>
    <xf numFmtId="0" fontId="47" fillId="33" borderId="0" xfId="44" applyFont="1" applyFill="1" applyAlignment="1">
      <alignment horizontal="left"/>
    </xf>
    <xf numFmtId="0" fontId="13" fillId="33" borderId="77" xfId="0" applyFont="1" applyFill="1" applyBorder="1" applyAlignment="1">
      <alignment textRotation="90"/>
    </xf>
    <xf numFmtId="0" fontId="13" fillId="34" borderId="78" xfId="0" applyFont="1" applyFill="1" applyBorder="1" applyAlignment="1">
      <alignment horizontal="left" vertical="center"/>
    </xf>
    <xf numFmtId="0" fontId="13" fillId="34" borderId="79" xfId="0" applyFont="1" applyFill="1" applyBorder="1" applyAlignment="1">
      <alignment horizontal="left" vertical="center"/>
    </xf>
    <xf numFmtId="0" fontId="41" fillId="33" borderId="81" xfId="0" applyFont="1" applyFill="1" applyBorder="1" applyAlignment="1">
      <alignment horizontal="center" vertical="center"/>
    </xf>
    <xf numFmtId="0" fontId="13" fillId="33" borderId="81" xfId="0" applyFont="1" applyFill="1" applyBorder="1" applyAlignment="1">
      <alignment horizontal="center" vertical="center"/>
    </xf>
    <xf numFmtId="177" fontId="0" fillId="33" borderId="24" xfId="0" applyNumberFormat="1" applyFill="1" applyBorder="1" applyAlignment="1">
      <alignment horizontal="center"/>
    </xf>
    <xf numFmtId="4" fontId="0" fillId="33" borderId="24" xfId="0" applyNumberFormat="1" applyFill="1" applyBorder="1" applyAlignment="1">
      <alignment horizontal="center"/>
    </xf>
    <xf numFmtId="0" fontId="0" fillId="33" borderId="24" xfId="0" applyFill="1" applyBorder="1" applyAlignment="1">
      <alignment horizontal="center"/>
    </xf>
    <xf numFmtId="177" fontId="0" fillId="33" borderId="15" xfId="0" applyNumberFormat="1" applyFill="1" applyBorder="1"/>
    <xf numFmtId="177" fontId="0" fillId="33" borderId="0" xfId="0" applyNumberFormat="1" applyFill="1" applyAlignment="1">
      <alignment horizontal="center" vertical="center"/>
    </xf>
    <xf numFmtId="4" fontId="0" fillId="33" borderId="0" xfId="0" applyNumberFormat="1" applyFill="1" applyAlignment="1">
      <alignment horizontal="center"/>
    </xf>
    <xf numFmtId="177" fontId="0" fillId="33" borderId="0" xfId="0" applyNumberFormat="1" applyFill="1" applyAlignment="1">
      <alignment horizontal="center"/>
    </xf>
    <xf numFmtId="0" fontId="16" fillId="33" borderId="14" xfId="0" applyFont="1" applyFill="1" applyBorder="1" applyAlignment="1">
      <alignment horizontal="left"/>
    </xf>
    <xf numFmtId="0" fontId="16" fillId="33" borderId="15" xfId="0" applyFont="1" applyFill="1" applyBorder="1" applyAlignment="1">
      <alignment horizontal="left"/>
    </xf>
    <xf numFmtId="177" fontId="0" fillId="33" borderId="15" xfId="0" applyNumberFormat="1" applyFill="1" applyBorder="1" applyAlignment="1">
      <alignment horizontal="center" vertical="center"/>
    </xf>
    <xf numFmtId="4" fontId="0" fillId="33" borderId="15" xfId="0" applyNumberFormat="1" applyFill="1" applyBorder="1"/>
    <xf numFmtId="177" fontId="0" fillId="33" borderId="15" xfId="0" applyNumberFormat="1" applyFill="1" applyBorder="1" applyAlignment="1">
      <alignment horizontal="center"/>
    </xf>
    <xf numFmtId="0" fontId="16" fillId="33" borderId="10" xfId="0" applyFont="1" applyFill="1" applyBorder="1" applyAlignment="1">
      <alignment horizontal="left"/>
    </xf>
    <xf numFmtId="177" fontId="0" fillId="33" borderId="11" xfId="0" applyNumberFormat="1" applyFill="1" applyBorder="1"/>
    <xf numFmtId="177" fontId="0" fillId="33" borderId="11" xfId="0" applyNumberFormat="1" applyFill="1" applyBorder="1" applyAlignment="1">
      <alignment horizontal="center" vertical="center"/>
    </xf>
    <xf numFmtId="4" fontId="0" fillId="33" borderId="11" xfId="0" applyNumberFormat="1" applyFill="1" applyBorder="1"/>
    <xf numFmtId="177" fontId="0" fillId="33" borderId="11" xfId="0" applyNumberFormat="1" applyFill="1" applyBorder="1" applyAlignment="1">
      <alignment horizontal="center"/>
    </xf>
    <xf numFmtId="0" fontId="0" fillId="35" borderId="14" xfId="0" applyFill="1" applyBorder="1" applyAlignment="1">
      <alignment horizontal="left"/>
    </xf>
    <xf numFmtId="0" fontId="0" fillId="35" borderId="15" xfId="0" applyFill="1" applyBorder="1" applyAlignment="1">
      <alignment horizontal="left"/>
    </xf>
    <xf numFmtId="177" fontId="0" fillId="35" borderId="15" xfId="0" applyNumberFormat="1" applyFill="1" applyBorder="1"/>
    <xf numFmtId="177" fontId="0" fillId="35" borderId="15" xfId="0" applyNumberFormat="1" applyFill="1" applyBorder="1" applyAlignment="1">
      <alignment horizontal="center" vertical="center"/>
    </xf>
    <xf numFmtId="177" fontId="0" fillId="35" borderId="15" xfId="0" applyNumberFormat="1" applyFill="1" applyBorder="1" applyAlignment="1">
      <alignment horizontal="center"/>
    </xf>
    <xf numFmtId="0" fontId="0" fillId="35" borderId="20" xfId="0" applyFill="1" applyBorder="1" applyAlignment="1">
      <alignment horizontal="left"/>
    </xf>
    <xf numFmtId="0" fontId="0" fillId="35" borderId="0" xfId="0" applyFill="1" applyAlignment="1">
      <alignment horizontal="left"/>
    </xf>
    <xf numFmtId="177" fontId="0" fillId="35" borderId="0" xfId="0" applyNumberFormat="1" applyFill="1"/>
    <xf numFmtId="177" fontId="0" fillId="35" borderId="0" xfId="0" applyNumberFormat="1" applyFill="1" applyAlignment="1">
      <alignment horizontal="center" vertical="center"/>
    </xf>
    <xf numFmtId="4" fontId="0" fillId="35" borderId="0" xfId="0" applyNumberFormat="1" applyFill="1"/>
    <xf numFmtId="177" fontId="0" fillId="35" borderId="0" xfId="0" applyNumberFormat="1" applyFill="1" applyAlignment="1">
      <alignment horizontal="center"/>
    </xf>
    <xf numFmtId="0" fontId="0" fillId="35" borderId="13" xfId="0" applyFill="1" applyBorder="1"/>
    <xf numFmtId="0" fontId="0" fillId="35" borderId="10" xfId="0" applyFill="1" applyBorder="1" applyAlignment="1">
      <alignment horizontal="left"/>
    </xf>
    <xf numFmtId="0" fontId="0" fillId="35" borderId="11" xfId="0" applyFill="1" applyBorder="1" applyAlignment="1">
      <alignment horizontal="left"/>
    </xf>
    <xf numFmtId="177" fontId="0" fillId="35" borderId="11" xfId="0" applyNumberFormat="1" applyFill="1" applyBorder="1"/>
    <xf numFmtId="177" fontId="0" fillId="35" borderId="11" xfId="0" applyNumberFormat="1" applyFill="1" applyBorder="1" applyAlignment="1">
      <alignment horizontal="center" vertical="center"/>
    </xf>
    <xf numFmtId="0" fontId="0" fillId="35" borderId="11" xfId="0" applyFill="1" applyBorder="1"/>
    <xf numFmtId="177" fontId="0" fillId="35" borderId="11" xfId="0" applyNumberFormat="1" applyFill="1" applyBorder="1" applyAlignment="1">
      <alignment horizontal="center"/>
    </xf>
    <xf numFmtId="0" fontId="0" fillId="35" borderId="12" xfId="0" applyFill="1" applyBorder="1"/>
    <xf numFmtId="177" fontId="0" fillId="33" borderId="0" xfId="0" applyNumberFormat="1" applyFill="1"/>
    <xf numFmtId="4" fontId="0" fillId="33" borderId="0" xfId="0" applyNumberFormat="1" applyFill="1"/>
    <xf numFmtId="4" fontId="0" fillId="35" borderId="11" xfId="0" applyNumberFormat="1" applyFill="1" applyBorder="1"/>
    <xf numFmtId="0" fontId="46" fillId="33" borderId="0" xfId="44" applyFill="1" applyAlignment="1">
      <alignment horizontal="left"/>
    </xf>
    <xf numFmtId="177" fontId="46" fillId="33" borderId="0" xfId="44" applyNumberFormat="1" applyFill="1"/>
    <xf numFmtId="177" fontId="46" fillId="33" borderId="0" xfId="44" applyNumberFormat="1" applyFill="1" applyAlignment="1">
      <alignment horizontal="center" vertical="center"/>
    </xf>
    <xf numFmtId="177" fontId="46" fillId="33" borderId="0" xfId="44" applyNumberFormat="1" applyFill="1" applyAlignment="1">
      <alignment horizontal="center"/>
    </xf>
    <xf numFmtId="4" fontId="0" fillId="35" borderId="15" xfId="0" applyNumberFormat="1" applyFill="1" applyBorder="1"/>
    <xf numFmtId="0" fontId="16" fillId="33" borderId="21" xfId="0" applyFont="1" applyFill="1" applyBorder="1" applyAlignment="1">
      <alignment horizontal="left"/>
    </xf>
    <xf numFmtId="0" fontId="16" fillId="33" borderId="22" xfId="0" applyFont="1" applyFill="1" applyBorder="1" applyAlignment="1">
      <alignment horizontal="left"/>
    </xf>
    <xf numFmtId="177" fontId="0" fillId="33" borderId="22" xfId="0" applyNumberFormat="1" applyFill="1" applyBorder="1"/>
    <xf numFmtId="177" fontId="0" fillId="33" borderId="22" xfId="0" applyNumberFormat="1" applyFill="1" applyBorder="1" applyAlignment="1">
      <alignment horizontal="center" vertical="center"/>
    </xf>
    <xf numFmtId="4" fontId="0" fillId="33" borderId="22" xfId="0" applyNumberFormat="1" applyFill="1" applyBorder="1"/>
    <xf numFmtId="177" fontId="0" fillId="33" borderId="22" xfId="0" applyNumberFormat="1" applyFill="1" applyBorder="1" applyAlignment="1">
      <alignment horizontal="center"/>
    </xf>
    <xf numFmtId="0" fontId="48" fillId="33" borderId="0" xfId="0" applyFont="1" applyFill="1"/>
    <xf numFmtId="0" fontId="16" fillId="33" borderId="0" xfId="0" applyFont="1" applyFill="1" applyAlignment="1">
      <alignment horizontal="left"/>
    </xf>
    <xf numFmtId="4" fontId="0" fillId="33" borderId="15" xfId="0" applyNumberFormat="1" applyFill="1" applyBorder="1" applyAlignment="1">
      <alignment horizontal="center" vertical="center"/>
    </xf>
    <xf numFmtId="4" fontId="0" fillId="33" borderId="11" xfId="0" applyNumberFormat="1" applyFill="1" applyBorder="1" applyAlignment="1">
      <alignment horizontal="center" vertical="center"/>
    </xf>
    <xf numFmtId="4" fontId="0" fillId="35" borderId="0" xfId="0" applyNumberFormat="1" applyFill="1" applyAlignment="1">
      <alignment horizontal="center" vertical="center"/>
    </xf>
    <xf numFmtId="0" fontId="0" fillId="33" borderId="20" xfId="0" applyFill="1" applyBorder="1" applyAlignment="1">
      <alignment horizontal="left"/>
    </xf>
    <xf numFmtId="4" fontId="0" fillId="35" borderId="11" xfId="0" applyNumberFormat="1" applyFill="1" applyBorder="1" applyAlignment="1">
      <alignment horizontal="center" vertical="center"/>
    </xf>
    <xf numFmtId="0" fontId="0" fillId="33" borderId="0" xfId="0" applyFill="1" applyAlignment="1">
      <alignment horizontal="center" vertical="center"/>
    </xf>
    <xf numFmtId="4" fontId="0" fillId="33" borderId="22" xfId="0" applyNumberFormat="1" applyFill="1" applyBorder="1" applyAlignment="1">
      <alignment horizontal="center" vertical="center"/>
    </xf>
    <xf numFmtId="0" fontId="0" fillId="35" borderId="21" xfId="0" applyFill="1" applyBorder="1" applyAlignment="1">
      <alignment horizontal="left"/>
    </xf>
    <xf numFmtId="0" fontId="0" fillId="35" borderId="22" xfId="0" applyFill="1" applyBorder="1" applyAlignment="1">
      <alignment horizontal="left"/>
    </xf>
    <xf numFmtId="4" fontId="0" fillId="35" borderId="22" xfId="0" applyNumberFormat="1" applyFill="1" applyBorder="1"/>
    <xf numFmtId="4" fontId="0" fillId="35" borderId="22" xfId="0" applyNumberFormat="1" applyFill="1" applyBorder="1" applyAlignment="1">
      <alignment horizontal="center" vertical="center"/>
    </xf>
    <xf numFmtId="0" fontId="16" fillId="33" borderId="20" xfId="0" applyFont="1" applyFill="1" applyBorder="1" applyAlignment="1">
      <alignment horizontal="left"/>
    </xf>
    <xf numFmtId="4" fontId="0" fillId="33" borderId="0" xfId="0" applyNumberFormat="1" applyFill="1" applyAlignment="1">
      <alignment horizontal="center" vertical="center"/>
    </xf>
    <xf numFmtId="0" fontId="0" fillId="35" borderId="15" xfId="0" applyFill="1" applyBorder="1" applyAlignment="1">
      <alignment horizontal="center" vertical="center"/>
    </xf>
    <xf numFmtId="0" fontId="0" fillId="35" borderId="20" xfId="0" applyFill="1" applyBorder="1"/>
    <xf numFmtId="0" fontId="0" fillId="35" borderId="0" xfId="0" applyFill="1" applyAlignment="1">
      <alignment horizontal="center" vertical="center"/>
    </xf>
    <xf numFmtId="0" fontId="0" fillId="35" borderId="10" xfId="0" applyFill="1" applyBorder="1"/>
    <xf numFmtId="0" fontId="0" fillId="35" borderId="11" xfId="0" applyFill="1" applyBorder="1" applyAlignment="1">
      <alignment horizontal="center" vertical="center"/>
    </xf>
    <xf numFmtId="11" fontId="0" fillId="35" borderId="0" xfId="0" applyNumberFormat="1" applyFill="1"/>
    <xf numFmtId="11" fontId="0" fillId="35" borderId="0" xfId="0" applyNumberFormat="1" applyFill="1" applyAlignment="1">
      <alignment horizontal="center" vertical="center"/>
    </xf>
    <xf numFmtId="11" fontId="0" fillId="35" borderId="11" xfId="0" applyNumberFormat="1" applyFill="1" applyBorder="1"/>
    <xf numFmtId="11" fontId="0" fillId="35" borderId="11" xfId="0" applyNumberFormat="1" applyFill="1" applyBorder="1" applyAlignment="1">
      <alignment horizontal="center" vertical="center"/>
    </xf>
    <xf numFmtId="0" fontId="16" fillId="33" borderId="0" xfId="0" applyFont="1" applyFill="1" applyAlignment="1">
      <alignment horizontal="center"/>
    </xf>
    <xf numFmtId="0" fontId="46" fillId="33" borderId="0" xfId="44" applyFill="1" applyAlignment="1">
      <alignment horizontal="center" vertical="center"/>
    </xf>
    <xf numFmtId="4" fontId="0" fillId="35" borderId="15" xfId="0" applyNumberFormat="1" applyFill="1" applyBorder="1" applyAlignment="1">
      <alignment horizontal="center" vertical="center"/>
    </xf>
    <xf numFmtId="0" fontId="0" fillId="33" borderId="14" xfId="0" applyFill="1" applyBorder="1" applyAlignment="1">
      <alignment horizontal="left"/>
    </xf>
    <xf numFmtId="4" fontId="16" fillId="33" borderId="22" xfId="0" applyNumberFormat="1" applyFont="1" applyFill="1" applyBorder="1" applyAlignment="1">
      <alignment horizontal="left"/>
    </xf>
    <xf numFmtId="0" fontId="17" fillId="33" borderId="0" xfId="0" applyFont="1" applyFill="1"/>
    <xf numFmtId="0" fontId="17" fillId="33" borderId="0" xfId="0" applyFont="1" applyFill="1" applyAlignment="1">
      <alignment horizontal="left"/>
    </xf>
    <xf numFmtId="0" fontId="21" fillId="33" borderId="14" xfId="0" applyFont="1" applyFill="1" applyBorder="1" applyAlignment="1">
      <alignment horizontal="center"/>
    </xf>
    <xf numFmtId="0" fontId="21" fillId="33" borderId="20" xfId="0" applyFont="1" applyFill="1" applyBorder="1" applyAlignment="1">
      <alignment horizontal="center"/>
    </xf>
    <xf numFmtId="0" fontId="21" fillId="33" borderId="13" xfId="0" applyFont="1" applyFill="1" applyBorder="1" applyAlignment="1">
      <alignment horizontal="right"/>
    </xf>
    <xf numFmtId="0" fontId="21" fillId="33" borderId="10" xfId="0" applyFont="1" applyFill="1" applyBorder="1" applyAlignment="1">
      <alignment horizontal="center"/>
    </xf>
    <xf numFmtId="0" fontId="22" fillId="33" borderId="0" xfId="0" applyFont="1" applyFill="1" applyAlignment="1">
      <alignment horizontal="right"/>
    </xf>
    <xf numFmtId="0" fontId="64" fillId="33" borderId="81" xfId="0" applyFont="1" applyFill="1" applyBorder="1" applyAlignment="1">
      <alignment horizontal="left" vertical="center"/>
    </xf>
    <xf numFmtId="0" fontId="64" fillId="33" borderId="15" xfId="0" applyFont="1" applyFill="1" applyBorder="1" applyAlignment="1">
      <alignment horizontal="left"/>
    </xf>
    <xf numFmtId="0" fontId="64" fillId="33" borderId="22" xfId="0" applyFont="1" applyFill="1" applyBorder="1" applyAlignment="1">
      <alignment horizontal="left"/>
    </xf>
    <xf numFmtId="0" fontId="65" fillId="33" borderId="11" xfId="0" applyFont="1" applyFill="1" applyBorder="1" applyAlignment="1">
      <alignment horizontal="left"/>
    </xf>
    <xf numFmtId="0" fontId="65" fillId="33" borderId="22" xfId="0" applyFont="1" applyFill="1" applyBorder="1" applyAlignment="1">
      <alignment horizontal="left"/>
    </xf>
    <xf numFmtId="0" fontId="65" fillId="33" borderId="15" xfId="0" applyFont="1" applyFill="1" applyBorder="1" applyAlignment="1">
      <alignment horizontal="left"/>
    </xf>
    <xf numFmtId="0" fontId="65" fillId="33" borderId="0" xfId="0" applyFont="1" applyFill="1" applyAlignment="1">
      <alignment horizontal="left"/>
    </xf>
    <xf numFmtId="0" fontId="17" fillId="34" borderId="0" xfId="0" applyFont="1" applyFill="1" applyAlignment="1">
      <alignment horizontal="center"/>
    </xf>
    <xf numFmtId="9" fontId="0" fillId="33" borderId="15" xfId="43" applyFont="1" applyFill="1" applyBorder="1"/>
    <xf numFmtId="9" fontId="0" fillId="33" borderId="16" xfId="43" applyFont="1" applyFill="1" applyBorder="1"/>
    <xf numFmtId="9" fontId="0" fillId="33" borderId="0" xfId="43" applyFont="1" applyFill="1" applyBorder="1"/>
    <xf numFmtId="9" fontId="0" fillId="33" borderId="13" xfId="43" applyFont="1" applyFill="1" applyBorder="1"/>
    <xf numFmtId="9" fontId="0" fillId="33" borderId="11" xfId="43" applyFont="1" applyFill="1" applyBorder="1"/>
    <xf numFmtId="9" fontId="0" fillId="33" borderId="12" xfId="43" applyFont="1" applyFill="1" applyBorder="1"/>
    <xf numFmtId="0" fontId="32" fillId="45" borderId="17" xfId="0" applyFont="1" applyFill="1" applyBorder="1" applyAlignment="1">
      <alignment horizontal="right" vertical="center" indent="1"/>
    </xf>
    <xf numFmtId="0" fontId="32" fillId="45" borderId="19" xfId="0" applyFont="1" applyFill="1" applyBorder="1" applyAlignment="1">
      <alignment horizontal="right" vertical="center" indent="1"/>
    </xf>
    <xf numFmtId="0" fontId="32" fillId="45" borderId="24" xfId="0" applyFont="1" applyFill="1" applyBorder="1" applyAlignment="1">
      <alignment horizontal="right" vertical="center" indent="1"/>
    </xf>
    <xf numFmtId="0" fontId="33" fillId="33" borderId="0" xfId="0" applyFont="1" applyFill="1" applyAlignment="1">
      <alignment vertical="center"/>
    </xf>
    <xf numFmtId="0" fontId="0" fillId="33" borderId="0" xfId="0" applyFill="1" applyAlignment="1">
      <alignment horizontal="left" indent="2"/>
    </xf>
    <xf numFmtId="0" fontId="33" fillId="33" borderId="0" xfId="0" applyFont="1" applyFill="1" applyAlignment="1">
      <alignment horizontal="left" vertical="center" indent="2"/>
    </xf>
    <xf numFmtId="181" fontId="40" fillId="33" borderId="0" xfId="0" applyNumberFormat="1" applyFont="1" applyFill="1"/>
    <xf numFmtId="181" fontId="0" fillId="33" borderId="0" xfId="0" applyNumberFormat="1" applyFill="1"/>
    <xf numFmtId="181" fontId="17" fillId="34" borderId="21" xfId="0" applyNumberFormat="1" applyFont="1" applyFill="1" applyBorder="1"/>
    <xf numFmtId="181" fontId="17" fillId="34" borderId="22" xfId="0" applyNumberFormat="1" applyFont="1" applyFill="1" applyBorder="1"/>
    <xf numFmtId="181" fontId="17" fillId="34" borderId="23" xfId="0" applyNumberFormat="1" applyFont="1" applyFill="1" applyBorder="1"/>
    <xf numFmtId="181" fontId="40" fillId="33" borderId="14" xfId="0" applyNumberFormat="1" applyFont="1" applyFill="1" applyBorder="1" applyAlignment="1">
      <alignment horizontal="right"/>
    </xf>
    <xf numFmtId="181" fontId="0" fillId="33" borderId="15" xfId="0" applyNumberFormat="1" applyFill="1" applyBorder="1"/>
    <xf numFmtId="181" fontId="0" fillId="33" borderId="16" xfId="0" applyNumberFormat="1" applyFill="1" applyBorder="1"/>
    <xf numFmtId="181" fontId="0" fillId="33" borderId="14" xfId="0" applyNumberFormat="1" applyFill="1" applyBorder="1"/>
    <xf numFmtId="181" fontId="40" fillId="33" borderId="20" xfId="0" applyNumberFormat="1" applyFont="1" applyFill="1" applyBorder="1" applyAlignment="1">
      <alignment horizontal="right"/>
    </xf>
    <xf numFmtId="181" fontId="40" fillId="33" borderId="0" xfId="0" applyNumberFormat="1" applyFont="1" applyFill="1" applyAlignment="1">
      <alignment horizontal="right"/>
    </xf>
    <xf numFmtId="181" fontId="40" fillId="33" borderId="13" xfId="0" applyNumberFormat="1" applyFont="1" applyFill="1" applyBorder="1" applyAlignment="1">
      <alignment horizontal="right"/>
    </xf>
    <xf numFmtId="181" fontId="40" fillId="33" borderId="20" xfId="0" applyNumberFormat="1" applyFont="1" applyFill="1" applyBorder="1"/>
    <xf numFmtId="181" fontId="0" fillId="33" borderId="13" xfId="0" applyNumberFormat="1" applyFill="1" applyBorder="1"/>
    <xf numFmtId="181" fontId="0" fillId="33" borderId="20" xfId="0" applyNumberFormat="1" applyFill="1" applyBorder="1"/>
    <xf numFmtId="181" fontId="40" fillId="33" borderId="14" xfId="0" applyNumberFormat="1" applyFont="1" applyFill="1" applyBorder="1"/>
    <xf numFmtId="181" fontId="40" fillId="33" borderId="10" xfId="0" applyNumberFormat="1" applyFont="1" applyFill="1" applyBorder="1" applyAlignment="1">
      <alignment horizontal="right"/>
    </xf>
    <xf numFmtId="181" fontId="40" fillId="33" borderId="11" xfId="0" applyNumberFormat="1" applyFont="1" applyFill="1" applyBorder="1" applyAlignment="1">
      <alignment horizontal="right"/>
    </xf>
    <xf numFmtId="181" fontId="40" fillId="33" borderId="12" xfId="0" applyNumberFormat="1" applyFont="1" applyFill="1" applyBorder="1" applyAlignment="1">
      <alignment horizontal="right"/>
    </xf>
    <xf numFmtId="0" fontId="68" fillId="33" borderId="0" xfId="0" quotePrefix="1" applyFont="1" applyFill="1"/>
    <xf numFmtId="0" fontId="69" fillId="33" borderId="0" xfId="0" quotePrefix="1" applyFont="1" applyFill="1"/>
    <xf numFmtId="10" fontId="42" fillId="0" borderId="53" xfId="43" applyNumberFormat="1" applyFont="1" applyFill="1" applyBorder="1"/>
    <xf numFmtId="10" fontId="42" fillId="0" borderId="11" xfId="43" applyNumberFormat="1" applyFont="1" applyFill="1" applyBorder="1"/>
    <xf numFmtId="10" fontId="40" fillId="35" borderId="20" xfId="43" applyNumberFormat="1" applyFont="1" applyFill="1" applyBorder="1" applyAlignment="1">
      <alignment horizontal="center"/>
    </xf>
    <xf numFmtId="10" fontId="40" fillId="35" borderId="0" xfId="43" applyNumberFormat="1" applyFont="1" applyFill="1" applyBorder="1" applyAlignment="1">
      <alignment horizontal="center"/>
    </xf>
    <xf numFmtId="171" fontId="40" fillId="33" borderId="0" xfId="0" applyNumberFormat="1" applyFont="1" applyFill="1" applyAlignment="1">
      <alignment horizontal="center"/>
    </xf>
    <xf numFmtId="10" fontId="40" fillId="33" borderId="13" xfId="0" applyNumberFormat="1" applyFont="1" applyFill="1" applyBorder="1" applyAlignment="1">
      <alignment horizontal="center"/>
    </xf>
    <xf numFmtId="171" fontId="40" fillId="33" borderId="10" xfId="0" applyNumberFormat="1" applyFont="1" applyFill="1" applyBorder="1" applyAlignment="1">
      <alignment horizontal="center"/>
    </xf>
    <xf numFmtId="173" fontId="13" fillId="34" borderId="21" xfId="0" applyNumberFormat="1" applyFont="1" applyFill="1" applyBorder="1" applyAlignment="1">
      <alignment horizontal="center"/>
    </xf>
    <xf numFmtId="173" fontId="13" fillId="34" borderId="22" xfId="0" applyNumberFormat="1" applyFont="1" applyFill="1" applyBorder="1" applyAlignment="1">
      <alignment horizontal="center"/>
    </xf>
    <xf numFmtId="173" fontId="17" fillId="34" borderId="17" xfId="0" applyNumberFormat="1" applyFont="1" applyFill="1" applyBorder="1"/>
    <xf numFmtId="173" fontId="13" fillId="34" borderId="23" xfId="0" applyNumberFormat="1" applyFont="1" applyFill="1" applyBorder="1" applyAlignment="1">
      <alignment horizontal="center"/>
    </xf>
    <xf numFmtId="173" fontId="13" fillId="52" borderId="21" xfId="0" applyNumberFormat="1" applyFont="1" applyFill="1" applyBorder="1" applyAlignment="1">
      <alignment horizontal="center" wrapText="1"/>
    </xf>
    <xf numFmtId="173" fontId="13" fillId="52" borderId="22" xfId="0" applyNumberFormat="1" applyFont="1" applyFill="1" applyBorder="1" applyAlignment="1">
      <alignment horizontal="center" wrapText="1"/>
    </xf>
    <xf numFmtId="173" fontId="13" fillId="52" borderId="18" xfId="0" applyNumberFormat="1" applyFont="1" applyFill="1" applyBorder="1" applyAlignment="1">
      <alignment horizontal="center" wrapText="1"/>
    </xf>
    <xf numFmtId="173" fontId="13" fillId="52" borderId="18" xfId="0" applyNumberFormat="1" applyFont="1" applyFill="1" applyBorder="1" applyAlignment="1">
      <alignment horizontal="center"/>
    </xf>
    <xf numFmtId="173" fontId="13" fillId="52" borderId="22" xfId="0" applyNumberFormat="1" applyFont="1" applyFill="1" applyBorder="1" applyAlignment="1">
      <alignment horizontal="center"/>
    </xf>
    <xf numFmtId="0" fontId="13" fillId="52" borderId="11" xfId="0" applyFont="1" applyFill="1" applyBorder="1" applyAlignment="1">
      <alignment horizontal="center"/>
    </xf>
    <xf numFmtId="0" fontId="13" fillId="52" borderId="24" xfId="0" applyFont="1" applyFill="1" applyBorder="1" applyAlignment="1">
      <alignment horizontal="center"/>
    </xf>
    <xf numFmtId="3" fontId="0" fillId="33" borderId="19" xfId="0" applyNumberFormat="1" applyFill="1" applyBorder="1"/>
    <xf numFmtId="3" fontId="40" fillId="33" borderId="19" xfId="0" applyNumberFormat="1" applyFont="1" applyFill="1" applyBorder="1"/>
    <xf numFmtId="2" fontId="0" fillId="33" borderId="20" xfId="0" applyNumberFormat="1" applyFill="1" applyBorder="1"/>
    <xf numFmtId="2" fontId="0" fillId="33" borderId="13" xfId="0" applyNumberFormat="1" applyFill="1" applyBorder="1"/>
    <xf numFmtId="182" fontId="0" fillId="33" borderId="20" xfId="0" applyNumberFormat="1" applyFill="1" applyBorder="1"/>
    <xf numFmtId="182" fontId="0" fillId="33" borderId="13" xfId="0" applyNumberFormat="1" applyFill="1" applyBorder="1"/>
    <xf numFmtId="9" fontId="0" fillId="33" borderId="19" xfId="0" applyNumberFormat="1" applyFill="1" applyBorder="1"/>
    <xf numFmtId="2" fontId="0" fillId="33" borderId="19" xfId="0" applyNumberFormat="1" applyFill="1" applyBorder="1"/>
    <xf numFmtId="173" fontId="16" fillId="33" borderId="20" xfId="0" applyNumberFormat="1" applyFont="1" applyFill="1" applyBorder="1"/>
    <xf numFmtId="2" fontId="16" fillId="33" borderId="20" xfId="0" applyNumberFormat="1" applyFont="1" applyFill="1" applyBorder="1"/>
    <xf numFmtId="2" fontId="16" fillId="33" borderId="13" xfId="0" applyNumberFormat="1" applyFont="1" applyFill="1" applyBorder="1"/>
    <xf numFmtId="182" fontId="16" fillId="33" borderId="20" xfId="0" applyNumberFormat="1" applyFont="1" applyFill="1" applyBorder="1"/>
    <xf numFmtId="182" fontId="16" fillId="33" borderId="13" xfId="0" applyNumberFormat="1" applyFont="1" applyFill="1" applyBorder="1"/>
    <xf numFmtId="3" fontId="16" fillId="33" borderId="19" xfId="0" applyNumberFormat="1" applyFont="1" applyFill="1" applyBorder="1"/>
    <xf numFmtId="3" fontId="16" fillId="33" borderId="0" xfId="0" applyNumberFormat="1" applyFont="1" applyFill="1"/>
    <xf numFmtId="3" fontId="41" fillId="33" borderId="19" xfId="0" applyNumberFormat="1" applyFont="1" applyFill="1" applyBorder="1"/>
    <xf numFmtId="2" fontId="16" fillId="33" borderId="0" xfId="0" applyNumberFormat="1" applyFont="1" applyFill="1"/>
    <xf numFmtId="9" fontId="16" fillId="33" borderId="19" xfId="0" applyNumberFormat="1" applyFont="1" applyFill="1" applyBorder="1"/>
    <xf numFmtId="173" fontId="0" fillId="33" borderId="82" xfId="0" applyNumberFormat="1" applyFill="1" applyBorder="1"/>
    <xf numFmtId="2" fontId="0" fillId="33" borderId="82" xfId="0" applyNumberFormat="1" applyFill="1" applyBorder="1"/>
    <xf numFmtId="0" fontId="0" fillId="33" borderId="83" xfId="0" applyFill="1" applyBorder="1" applyAlignment="1">
      <alignment horizontal="center"/>
    </xf>
    <xf numFmtId="2" fontId="0" fillId="33" borderId="84" xfId="0" applyNumberFormat="1" applyFill="1" applyBorder="1"/>
    <xf numFmtId="182" fontId="0" fillId="33" borderId="82" xfId="0" applyNumberFormat="1" applyFill="1" applyBorder="1"/>
    <xf numFmtId="182" fontId="0" fillId="33" borderId="84" xfId="0" applyNumberFormat="1" applyFill="1" applyBorder="1"/>
    <xf numFmtId="3" fontId="0" fillId="33" borderId="85" xfId="0" applyNumberFormat="1" applyFill="1" applyBorder="1"/>
    <xf numFmtId="3" fontId="0" fillId="33" borderId="83" xfId="0" applyNumberFormat="1" applyFill="1" applyBorder="1"/>
    <xf numFmtId="2" fontId="0" fillId="33" borderId="83" xfId="0" applyNumberFormat="1" applyFill="1" applyBorder="1"/>
    <xf numFmtId="2" fontId="0" fillId="33" borderId="85" xfId="0" applyNumberFormat="1" applyFill="1" applyBorder="1"/>
    <xf numFmtId="3" fontId="16" fillId="0" borderId="0" xfId="0" applyNumberFormat="1" applyFont="1"/>
    <xf numFmtId="9" fontId="16" fillId="33" borderId="19" xfId="43" applyFont="1" applyFill="1" applyBorder="1"/>
    <xf numFmtId="2" fontId="0" fillId="33" borderId="10" xfId="0" applyNumberFormat="1" applyFill="1" applyBorder="1"/>
    <xf numFmtId="0" fontId="0" fillId="33" borderId="11" xfId="0" applyFill="1" applyBorder="1" applyAlignment="1">
      <alignment horizontal="center"/>
    </xf>
    <xf numFmtId="2" fontId="0" fillId="33" borderId="12" xfId="0" applyNumberFormat="1" applyFill="1" applyBorder="1"/>
    <xf numFmtId="182" fontId="0" fillId="33" borderId="10" xfId="0" applyNumberFormat="1" applyFill="1" applyBorder="1"/>
    <xf numFmtId="182" fontId="0" fillId="33" borderId="12" xfId="0" applyNumberFormat="1" applyFill="1" applyBorder="1"/>
    <xf numFmtId="3" fontId="0" fillId="33" borderId="24" xfId="0" applyNumberFormat="1" applyFill="1" applyBorder="1"/>
    <xf numFmtId="2" fontId="0" fillId="33" borderId="24" xfId="0" applyNumberFormat="1" applyFill="1" applyBorder="1"/>
    <xf numFmtId="173" fontId="17" fillId="34" borderId="18" xfId="0" applyNumberFormat="1" applyFont="1" applyFill="1" applyBorder="1" applyAlignment="1">
      <alignment vertical="top" wrapText="1"/>
    </xf>
    <xf numFmtId="0" fontId="23" fillId="34" borderId="22" xfId="0" applyFont="1" applyFill="1" applyBorder="1" applyAlignment="1">
      <alignment horizontal="center" vertical="top" wrapText="1"/>
    </xf>
    <xf numFmtId="0" fontId="23" fillId="34" borderId="23" xfId="0" applyFont="1" applyFill="1" applyBorder="1" applyAlignment="1">
      <alignment horizontal="center" vertical="top" wrapText="1"/>
    </xf>
    <xf numFmtId="10" fontId="0" fillId="0" borderId="15" xfId="43" applyNumberFormat="1" applyFont="1" applyBorder="1"/>
    <xf numFmtId="10" fontId="0" fillId="0" borderId="16" xfId="43" applyNumberFormat="1" applyFont="1" applyBorder="1"/>
    <xf numFmtId="0" fontId="0" fillId="0" borderId="19" xfId="0" applyBorder="1" applyAlignment="1">
      <alignment horizontal="center" vertical="center" wrapText="1"/>
    </xf>
    <xf numFmtId="10" fontId="0" fillId="0" borderId="0" xfId="43" applyNumberFormat="1" applyFont="1" applyBorder="1"/>
    <xf numFmtId="10" fontId="0" fillId="0" borderId="13" xfId="43" applyNumberFormat="1" applyFont="1" applyBorder="1"/>
    <xf numFmtId="0" fontId="0" fillId="0" borderId="20" xfId="0" applyBorder="1" applyAlignment="1">
      <alignment wrapText="1"/>
    </xf>
    <xf numFmtId="0" fontId="0" fillId="0" borderId="19" xfId="0" applyBorder="1" applyAlignment="1">
      <alignment horizontal="center" vertical="center"/>
    </xf>
    <xf numFmtId="10" fontId="0" fillId="0" borderId="11" xfId="43" applyNumberFormat="1" applyFont="1" applyBorder="1"/>
    <xf numFmtId="10" fontId="0" fillId="0" borderId="12" xfId="43" applyNumberFormat="1" applyFont="1" applyBorder="1"/>
    <xf numFmtId="0" fontId="0" fillId="33" borderId="19" xfId="0" applyFill="1" applyBorder="1" applyAlignment="1">
      <alignment vertical="center" wrapText="1"/>
    </xf>
    <xf numFmtId="0" fontId="0" fillId="33" borderId="20" xfId="0" applyFill="1" applyBorder="1" applyAlignment="1">
      <alignment wrapText="1"/>
    </xf>
    <xf numFmtId="10" fontId="0" fillId="33" borderId="15" xfId="0" applyNumberFormat="1" applyFill="1" applyBorder="1"/>
    <xf numFmtId="10" fontId="0" fillId="33" borderId="16" xfId="0" applyNumberFormat="1" applyFill="1" applyBorder="1"/>
    <xf numFmtId="10" fontId="0" fillId="33" borderId="13" xfId="0" applyNumberFormat="1" applyFill="1" applyBorder="1"/>
    <xf numFmtId="10" fontId="0" fillId="33" borderId="11" xfId="0" applyNumberFormat="1" applyFill="1" applyBorder="1"/>
    <xf numFmtId="10" fontId="0" fillId="33" borderId="12" xfId="0" applyNumberFormat="1" applyFill="1" applyBorder="1"/>
    <xf numFmtId="2" fontId="17" fillId="34" borderId="14" xfId="0" applyNumberFormat="1" applyFont="1" applyFill="1" applyBorder="1"/>
    <xf numFmtId="0" fontId="17" fillId="34" borderId="10" xfId="0" applyFont="1" applyFill="1" applyBorder="1"/>
    <xf numFmtId="173" fontId="13" fillId="34" borderId="86" xfId="0" applyNumberFormat="1" applyFont="1" applyFill="1" applyBorder="1" applyAlignment="1">
      <alignment horizontal="center"/>
    </xf>
    <xf numFmtId="173" fontId="17" fillId="34" borderId="18" xfId="0" applyNumberFormat="1" applyFont="1" applyFill="1" applyBorder="1" applyAlignment="1">
      <alignment horizontal="center"/>
    </xf>
    <xf numFmtId="0" fontId="66" fillId="33" borderId="0" xfId="0" applyFont="1" applyFill="1" applyAlignment="1">
      <alignment horizontal="left" vertical="center" wrapText="1"/>
    </xf>
    <xf numFmtId="0" fontId="33" fillId="33" borderId="10" xfId="0" applyFont="1" applyFill="1" applyBorder="1" applyAlignment="1">
      <alignment horizontal="left" vertical="center" indent="1"/>
    </xf>
    <xf numFmtId="0" fontId="33" fillId="33" borderId="11" xfId="0" applyFont="1" applyFill="1" applyBorder="1" applyAlignment="1">
      <alignment horizontal="left" vertical="center" indent="1"/>
    </xf>
    <xf numFmtId="0" fontId="33" fillId="33" borderId="12" xfId="0" applyFont="1" applyFill="1" applyBorder="1" applyAlignment="1">
      <alignment horizontal="left" vertical="center" indent="1"/>
    </xf>
    <xf numFmtId="0" fontId="33" fillId="33" borderId="0" xfId="0" applyFont="1" applyFill="1" applyAlignment="1">
      <alignment horizontal="left" wrapText="1"/>
    </xf>
    <xf numFmtId="0" fontId="33" fillId="33" borderId="14" xfId="0" applyFont="1" applyFill="1" applyBorder="1" applyAlignment="1">
      <alignment horizontal="left" vertical="center" indent="1"/>
    </xf>
    <xf numFmtId="0" fontId="33" fillId="33" borderId="15" xfId="0" applyFont="1" applyFill="1" applyBorder="1" applyAlignment="1">
      <alignment horizontal="left" vertical="center" indent="1"/>
    </xf>
    <xf numFmtId="0" fontId="33" fillId="33" borderId="16" xfId="0" applyFont="1" applyFill="1" applyBorder="1" applyAlignment="1">
      <alignment horizontal="left" vertical="center" indent="1"/>
    </xf>
    <xf numFmtId="0" fontId="33" fillId="33" borderId="20" xfId="0" applyFont="1" applyFill="1" applyBorder="1" applyAlignment="1">
      <alignment horizontal="left" vertical="center" indent="1"/>
    </xf>
    <xf numFmtId="0" fontId="33" fillId="33" borderId="0" xfId="0" applyFont="1" applyFill="1" applyAlignment="1">
      <alignment horizontal="left" vertical="center" indent="1"/>
    </xf>
    <xf numFmtId="0" fontId="33" fillId="33" borderId="13" xfId="0" applyFont="1" applyFill="1" applyBorder="1" applyAlignment="1">
      <alignment horizontal="left" vertical="center" indent="1"/>
    </xf>
    <xf numFmtId="2" fontId="13" fillId="34" borderId="15" xfId="0" applyNumberFormat="1" applyFont="1" applyFill="1" applyBorder="1" applyAlignment="1">
      <alignment horizontal="center" wrapText="1"/>
    </xf>
    <xf numFmtId="2" fontId="13" fillId="34" borderId="11" xfId="0" applyNumberFormat="1" applyFont="1" applyFill="1" applyBorder="1" applyAlignment="1">
      <alignment horizontal="center" wrapText="1"/>
    </xf>
    <xf numFmtId="0" fontId="13" fillId="34" borderId="15" xfId="0" applyFont="1" applyFill="1" applyBorder="1" applyAlignment="1">
      <alignment horizontal="center" vertical="center"/>
    </xf>
    <xf numFmtId="0" fontId="49" fillId="34" borderId="14" xfId="0" applyFont="1" applyFill="1" applyBorder="1" applyAlignment="1">
      <alignment horizontal="center"/>
    </xf>
    <xf numFmtId="0" fontId="13" fillId="34" borderId="15" xfId="0" applyFont="1" applyFill="1" applyBorder="1" applyAlignment="1">
      <alignment horizontal="center"/>
    </xf>
    <xf numFmtId="0" fontId="49" fillId="34" borderId="16" xfId="0" applyFont="1" applyFill="1" applyBorder="1" applyAlignment="1">
      <alignment horizontal="center"/>
    </xf>
    <xf numFmtId="0" fontId="17" fillId="48" borderId="17" xfId="0" applyFont="1" applyFill="1" applyBorder="1" applyAlignment="1">
      <alignment horizontal="center" vertical="top" textRotation="90"/>
    </xf>
    <xf numFmtId="0" fontId="17" fillId="48" borderId="19" xfId="0" applyFont="1" applyFill="1" applyBorder="1" applyAlignment="1">
      <alignment horizontal="center" vertical="top" textRotation="90"/>
    </xf>
    <xf numFmtId="0" fontId="17" fillId="48" borderId="24" xfId="0" applyFont="1" applyFill="1" applyBorder="1" applyAlignment="1">
      <alignment horizontal="center" vertical="top" textRotation="90"/>
    </xf>
    <xf numFmtId="0" fontId="40" fillId="49" borderId="17" xfId="0" applyFont="1" applyFill="1" applyBorder="1" applyAlignment="1">
      <alignment horizontal="center" vertical="top" textRotation="90"/>
    </xf>
    <xf numFmtId="0" fontId="40" fillId="49" borderId="19" xfId="0" applyFont="1" applyFill="1" applyBorder="1" applyAlignment="1">
      <alignment horizontal="center" vertical="top" textRotation="90"/>
    </xf>
    <xf numFmtId="0" fontId="40" fillId="49" borderId="24" xfId="0" applyFont="1" applyFill="1" applyBorder="1" applyAlignment="1">
      <alignment horizontal="center" vertical="top" textRotation="90"/>
    </xf>
    <xf numFmtId="0" fontId="16" fillId="38" borderId="17" xfId="0" applyFont="1" applyFill="1" applyBorder="1" applyAlignment="1">
      <alignment horizontal="center" vertical="center" wrapText="1"/>
    </xf>
    <xf numFmtId="0" fontId="16" fillId="38" borderId="19" xfId="0" applyFont="1" applyFill="1" applyBorder="1" applyAlignment="1">
      <alignment horizontal="center" vertical="center" wrapText="1"/>
    </xf>
    <xf numFmtId="0" fontId="16" fillId="38" borderId="24" xfId="0" applyFont="1" applyFill="1" applyBorder="1" applyAlignment="1">
      <alignment horizontal="center" vertical="center" wrapText="1"/>
    </xf>
    <xf numFmtId="0" fontId="0" fillId="49" borderId="17" xfId="0" applyFill="1" applyBorder="1" applyAlignment="1">
      <alignment horizontal="center" vertical="center" textRotation="90"/>
    </xf>
    <xf numFmtId="0" fontId="0" fillId="49" borderId="19" xfId="0" applyFill="1" applyBorder="1" applyAlignment="1">
      <alignment horizontal="center" vertical="center" textRotation="90"/>
    </xf>
    <xf numFmtId="0" fontId="0" fillId="49" borderId="24" xfId="0" applyFill="1" applyBorder="1" applyAlignment="1">
      <alignment horizontal="center" vertical="center" textRotation="90"/>
    </xf>
    <xf numFmtId="0" fontId="0" fillId="49" borderId="17" xfId="0" applyFill="1" applyBorder="1" applyAlignment="1">
      <alignment horizontal="center" vertical="top" textRotation="90"/>
    </xf>
    <xf numFmtId="0" fontId="0" fillId="49" borderId="19" xfId="0" applyFill="1" applyBorder="1" applyAlignment="1">
      <alignment horizontal="center" vertical="top" textRotation="90"/>
    </xf>
    <xf numFmtId="0" fontId="0" fillId="49" borderId="24" xfId="0" applyFill="1" applyBorder="1" applyAlignment="1">
      <alignment horizontal="center" vertical="top" textRotation="90"/>
    </xf>
    <xf numFmtId="0" fontId="41" fillId="38" borderId="21" xfId="0" applyFont="1" applyFill="1" applyBorder="1" applyAlignment="1">
      <alignment horizontal="center"/>
    </xf>
    <xf numFmtId="0" fontId="41" fillId="38" borderId="22" xfId="0" applyFont="1" applyFill="1" applyBorder="1" applyAlignment="1">
      <alignment horizontal="center"/>
    </xf>
    <xf numFmtId="0" fontId="0" fillId="49" borderId="17" xfId="0" applyFill="1" applyBorder="1" applyAlignment="1">
      <alignment horizontal="center" textRotation="90"/>
    </xf>
    <xf numFmtId="0" fontId="0" fillId="49" borderId="19" xfId="0" applyFill="1" applyBorder="1" applyAlignment="1">
      <alignment horizontal="center" textRotation="90"/>
    </xf>
    <xf numFmtId="0" fontId="0" fillId="49" borderId="24" xfId="0" applyFill="1" applyBorder="1" applyAlignment="1">
      <alignment horizontal="center" textRotation="90"/>
    </xf>
    <xf numFmtId="0" fontId="13" fillId="48" borderId="17" xfId="0" applyFont="1" applyFill="1" applyBorder="1" applyAlignment="1">
      <alignment horizontal="center" vertical="top" textRotation="90"/>
    </xf>
    <xf numFmtId="0" fontId="13" fillId="48" borderId="19" xfId="0" applyFont="1" applyFill="1" applyBorder="1" applyAlignment="1">
      <alignment horizontal="center" vertical="top" textRotation="90"/>
    </xf>
    <xf numFmtId="0" fontId="13" fillId="48" borderId="24" xfId="0" applyFont="1" applyFill="1" applyBorder="1" applyAlignment="1">
      <alignment horizontal="center" vertical="top" textRotation="90"/>
    </xf>
    <xf numFmtId="0" fontId="0" fillId="33" borderId="10" xfId="0" applyFill="1" applyBorder="1" applyAlignment="1">
      <alignment horizontal="right"/>
    </xf>
    <xf numFmtId="0" fontId="0" fillId="33" borderId="12" xfId="0" applyFill="1" applyBorder="1" applyAlignment="1">
      <alignment horizontal="right"/>
    </xf>
    <xf numFmtId="0" fontId="17" fillId="34" borderId="17" xfId="0" applyFont="1" applyFill="1" applyBorder="1" applyAlignment="1">
      <alignment horizontal="center" vertical="top" textRotation="90"/>
    </xf>
    <xf numFmtId="0" fontId="17" fillId="34" borderId="19" xfId="0" applyFont="1" applyFill="1" applyBorder="1" applyAlignment="1">
      <alignment horizontal="center" vertical="top" textRotation="90"/>
    </xf>
    <xf numFmtId="0" fontId="17" fillId="34" borderId="24" xfId="0" applyFont="1" applyFill="1" applyBorder="1" applyAlignment="1">
      <alignment horizontal="center" vertical="top" textRotation="90"/>
    </xf>
    <xf numFmtId="0" fontId="0" fillId="33" borderId="20" xfId="0" applyFill="1" applyBorder="1" applyAlignment="1">
      <alignment horizontal="right"/>
    </xf>
    <xf numFmtId="0" fontId="0" fillId="33" borderId="13" xfId="0" applyFill="1" applyBorder="1" applyAlignment="1">
      <alignment horizontal="right"/>
    </xf>
    <xf numFmtId="173" fontId="13" fillId="48" borderId="21" xfId="0" applyNumberFormat="1" applyFont="1" applyFill="1" applyBorder="1" applyAlignment="1">
      <alignment horizontal="left"/>
    </xf>
    <xf numFmtId="173" fontId="13" fillId="48" borderId="22" xfId="0" applyNumberFormat="1" applyFont="1" applyFill="1" applyBorder="1" applyAlignment="1">
      <alignment horizontal="left"/>
    </xf>
    <xf numFmtId="173" fontId="13" fillId="48" borderId="23" xfId="0" applyNumberFormat="1" applyFont="1" applyFill="1" applyBorder="1" applyAlignment="1">
      <alignment horizontal="left"/>
    </xf>
    <xf numFmtId="173" fontId="0" fillId="33" borderId="14" xfId="0" applyNumberFormat="1" applyFill="1" applyBorder="1" applyAlignment="1">
      <alignment horizontal="right"/>
    </xf>
    <xf numFmtId="173" fontId="0" fillId="33" borderId="16" xfId="0" applyNumberFormat="1" applyFill="1" applyBorder="1" applyAlignment="1">
      <alignment horizontal="right"/>
    </xf>
    <xf numFmtId="0" fontId="0" fillId="33" borderId="20" xfId="0" applyFill="1" applyBorder="1" applyAlignment="1">
      <alignment horizontal="center" vertical="center" textRotation="90" wrapText="1"/>
    </xf>
    <xf numFmtId="0" fontId="13" fillId="34" borderId="80" xfId="0" applyFont="1" applyFill="1" applyBorder="1" applyAlignment="1">
      <alignment horizontal="center" vertical="center"/>
    </xf>
    <xf numFmtId="0" fontId="13" fillId="34" borderId="22" xfId="0" applyFont="1" applyFill="1" applyBorder="1" applyAlignment="1">
      <alignment horizontal="center" vertical="center"/>
    </xf>
    <xf numFmtId="0" fontId="13" fillId="34" borderId="23" xfId="0" applyFont="1" applyFill="1" applyBorder="1" applyAlignment="1">
      <alignment horizontal="center" vertical="center"/>
    </xf>
    <xf numFmtId="4" fontId="0" fillId="33" borderId="21" xfId="0" applyNumberFormat="1" applyFill="1" applyBorder="1" applyAlignment="1">
      <alignment horizontal="center"/>
    </xf>
    <xf numFmtId="4" fontId="0" fillId="33" borderId="22" xfId="0" applyNumberFormat="1" applyFill="1" applyBorder="1" applyAlignment="1">
      <alignment horizontal="center"/>
    </xf>
    <xf numFmtId="4" fontId="0" fillId="33" borderId="23" xfId="0" applyNumberFormat="1" applyFill="1" applyBorder="1" applyAlignment="1">
      <alignment horizontal="center"/>
    </xf>
    <xf numFmtId="0" fontId="17" fillId="34" borderId="56" xfId="0" applyFont="1" applyFill="1" applyBorder="1" applyAlignment="1">
      <alignment horizontal="center"/>
    </xf>
    <xf numFmtId="0" fontId="17" fillId="34" borderId="57" xfId="0" applyFont="1" applyFill="1" applyBorder="1" applyAlignment="1">
      <alignment horizontal="center"/>
    </xf>
    <xf numFmtId="173" fontId="13" fillId="34" borderId="21" xfId="0" applyNumberFormat="1" applyFont="1" applyFill="1" applyBorder="1" applyAlignment="1">
      <alignment horizontal="center"/>
    </xf>
    <xf numFmtId="173" fontId="13" fillId="34" borderId="22" xfId="0" applyNumberFormat="1" applyFont="1" applyFill="1" applyBorder="1" applyAlignment="1">
      <alignment horizontal="center"/>
    </xf>
    <xf numFmtId="0" fontId="13" fillId="34" borderId="21" xfId="0" applyFont="1" applyFill="1" applyBorder="1" applyAlignment="1">
      <alignment horizontal="center"/>
    </xf>
    <xf numFmtId="0" fontId="13" fillId="34" borderId="22" xfId="0" applyFont="1" applyFill="1" applyBorder="1" applyAlignment="1">
      <alignment horizontal="center"/>
    </xf>
    <xf numFmtId="0" fontId="13" fillId="34" borderId="23" xfId="0" applyFont="1" applyFill="1" applyBorder="1" applyAlignment="1">
      <alignment horizontal="center"/>
    </xf>
    <xf numFmtId="173" fontId="17" fillId="34" borderId="56" xfId="0" applyNumberFormat="1" applyFont="1" applyFill="1" applyBorder="1" applyAlignment="1">
      <alignment horizontal="center"/>
    </xf>
    <xf numFmtId="173" fontId="17" fillId="34" borderId="57" xfId="0" applyNumberFormat="1" applyFont="1" applyFill="1" applyBorder="1" applyAlignment="1">
      <alignment horizontal="center"/>
    </xf>
    <xf numFmtId="0" fontId="23" fillId="34" borderId="21" xfId="0" applyFont="1" applyFill="1" applyBorder="1" applyAlignment="1">
      <alignment horizontal="center"/>
    </xf>
    <xf numFmtId="0" fontId="23" fillId="34" borderId="22" xfId="0" applyFont="1" applyFill="1" applyBorder="1" applyAlignment="1">
      <alignment horizontal="center"/>
    </xf>
    <xf numFmtId="0" fontId="23" fillId="34" borderId="23" xfId="0" applyFont="1" applyFill="1" applyBorder="1" applyAlignment="1">
      <alignment horizontal="center"/>
    </xf>
    <xf numFmtId="0" fontId="23" fillId="36" borderId="16" xfId="0" applyFont="1" applyFill="1" applyBorder="1" applyAlignment="1">
      <alignment horizontal="left" wrapText="1"/>
    </xf>
    <xf numFmtId="0" fontId="23" fillId="36" borderId="12" xfId="0" applyFont="1" applyFill="1" applyBorder="1" applyAlignment="1">
      <alignment horizontal="left"/>
    </xf>
    <xf numFmtId="173" fontId="13" fillId="34" borderId="23" xfId="0" applyNumberFormat="1" applyFont="1" applyFill="1" applyBorder="1" applyAlignment="1">
      <alignment horizontal="center"/>
    </xf>
    <xf numFmtId="173" fontId="13" fillId="34" borderId="21" xfId="0" applyNumberFormat="1" applyFont="1" applyFill="1" applyBorder="1" applyAlignment="1">
      <alignment horizontal="center" wrapText="1"/>
    </xf>
    <xf numFmtId="173" fontId="13" fillId="34" borderId="23" xfId="0" applyNumberFormat="1" applyFont="1" applyFill="1" applyBorder="1" applyAlignment="1">
      <alignment horizontal="center" wrapText="1"/>
    </xf>
    <xf numFmtId="0" fontId="0" fillId="0" borderId="19" xfId="0" applyBorder="1" applyAlignment="1">
      <alignment horizontal="center" vertical="center"/>
    </xf>
    <xf numFmtId="0" fontId="0" fillId="0" borderId="24" xfId="0" applyBorder="1" applyAlignment="1">
      <alignment horizontal="center" vertical="center"/>
    </xf>
    <xf numFmtId="0" fontId="0" fillId="33" borderId="19" xfId="0" applyFill="1" applyBorder="1" applyAlignment="1">
      <alignment horizontal="center" vertical="center" wrapText="1"/>
    </xf>
    <xf numFmtId="0" fontId="0" fillId="0" borderId="19" xfId="0" applyBorder="1" applyAlignment="1">
      <alignment horizontal="center" vertical="center" wrapText="1"/>
    </xf>
    <xf numFmtId="0" fontId="0" fillId="33" borderId="24" xfId="0" applyFill="1" applyBorder="1" applyAlignment="1">
      <alignment horizontal="center" vertical="center" wrapText="1"/>
    </xf>
    <xf numFmtId="0" fontId="16" fillId="33" borderId="21" xfId="0" applyFont="1" applyFill="1" applyBorder="1" applyAlignment="1">
      <alignment horizontal="center" vertical="center"/>
    </xf>
    <xf numFmtId="0" fontId="16" fillId="33" borderId="22" xfId="0" applyFont="1" applyFill="1" applyBorder="1" applyAlignment="1">
      <alignment horizontal="center" vertical="center"/>
    </xf>
    <xf numFmtId="0" fontId="16" fillId="33" borderId="23" xfId="0" applyFont="1" applyFill="1" applyBorder="1" applyAlignment="1">
      <alignment horizontal="center" vertical="center"/>
    </xf>
    <xf numFmtId="0" fontId="0" fillId="0" borderId="17" xfId="0" applyBorder="1" applyAlignment="1">
      <alignment horizontal="center" vertical="center" wrapText="1"/>
    </xf>
    <xf numFmtId="0" fontId="0" fillId="33" borderId="17" xfId="0" applyFill="1" applyBorder="1" applyAlignment="1">
      <alignment horizontal="center" vertical="center" wrapText="1"/>
    </xf>
    <xf numFmtId="0" fontId="17" fillId="34" borderId="21" xfId="0" applyFont="1" applyFill="1" applyBorder="1" applyAlignment="1">
      <alignment horizontal="center"/>
    </xf>
    <xf numFmtId="0" fontId="17" fillId="34" borderId="22" xfId="0" applyFont="1" applyFill="1" applyBorder="1" applyAlignment="1">
      <alignment horizontal="center"/>
    </xf>
    <xf numFmtId="0" fontId="17" fillId="34" borderId="23" xfId="0" applyFont="1" applyFill="1" applyBorder="1" applyAlignment="1">
      <alignment horizontal="center"/>
    </xf>
    <xf numFmtId="181" fontId="17" fillId="34" borderId="21" xfId="0" applyNumberFormat="1" applyFont="1" applyFill="1" applyBorder="1" applyAlignment="1">
      <alignment horizontal="center"/>
    </xf>
    <xf numFmtId="181" fontId="17" fillId="34" borderId="22" xfId="0" applyNumberFormat="1" applyFont="1" applyFill="1" applyBorder="1" applyAlignment="1">
      <alignment horizontal="center"/>
    </xf>
    <xf numFmtId="181" fontId="17" fillId="34" borderId="23" xfId="0" applyNumberFormat="1" applyFont="1" applyFill="1" applyBorder="1" applyAlignment="1">
      <alignment horizontal="center"/>
    </xf>
  </cellXfs>
  <cellStyles count="45">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Eingabe" xfId="9" builtinId="20" customBuiltin="1"/>
    <cellStyle name="Ergebnis" xfId="17" builtinId="25" customBuiltin="1"/>
    <cellStyle name="Erklärender Text" xfId="16" builtinId="53" customBuiltin="1"/>
    <cellStyle name="Gut" xfId="6" builtinId="26" customBuiltin="1"/>
    <cellStyle name="Neutral" xfId="8" builtinId="28" customBuiltin="1"/>
    <cellStyle name="Notiz" xfId="15" builtinId="10" customBuiltin="1"/>
    <cellStyle name="Prozent" xfId="43" builtinId="5"/>
    <cellStyle name="Schlecht" xfId="7" builtinId="27" customBuiltin="1"/>
    <cellStyle name="Standard" xfId="0" builtinId="0"/>
    <cellStyle name="Standard 2" xfId="44" xr:uid="{E5D656B3-7F04-4BAB-A0FF-B0864BD9998E}"/>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ährung" xfId="42" builtinId="4"/>
    <cellStyle name="Warnender Text" xfId="14" builtinId="11" customBuiltin="1"/>
    <cellStyle name="Zelle überprüfen" xfId="13" builtinId="23" customBuiltin="1"/>
  </cellStyles>
  <dxfs count="99">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FFE5E5"/>
        </patternFill>
      </fill>
    </dxf>
    <dxf>
      <fill>
        <patternFill>
          <bgColor theme="9" tint="0.79998168889431442"/>
        </patternFill>
      </fill>
    </dxf>
    <dxf>
      <font>
        <color theme="0" tint="-0.24994659260841701"/>
      </font>
    </dxf>
    <dxf>
      <fill>
        <patternFill>
          <bgColor theme="9" tint="0.79998168889431442"/>
        </patternFill>
      </fill>
    </dxf>
    <dxf>
      <fill>
        <patternFill>
          <bgColor theme="4" tint="0.79998168889431442"/>
        </patternFill>
      </fill>
    </dxf>
    <dxf>
      <fill>
        <patternFill>
          <bgColor theme="9" tint="0.79998168889431442"/>
        </patternFill>
      </fill>
    </dxf>
    <dxf>
      <font>
        <color theme="0" tint="-0.24994659260841701"/>
      </font>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numFmt numFmtId="3" formatCode="#,##0"/>
    </dxf>
    <dxf>
      <numFmt numFmtId="169" formatCode="0.0E+00"/>
    </dxf>
    <dxf>
      <numFmt numFmtId="177" formatCode="#,##0.0"/>
    </dxf>
    <dxf>
      <numFmt numFmtId="3" formatCode="#,##0"/>
    </dxf>
    <dxf>
      <font>
        <color theme="0" tint="-0.24994659260841701"/>
      </font>
    </dxf>
    <dxf>
      <font>
        <color theme="0" tint="-0.24994659260841701"/>
      </font>
    </dxf>
    <dxf>
      <font>
        <color theme="0" tint="-0.24994659260841701"/>
      </font>
    </dxf>
    <dxf>
      <font>
        <color theme="0" tint="-0.24994659260841701"/>
      </font>
    </dxf>
    <dxf>
      <fill>
        <patternFill>
          <bgColor theme="0" tint="-4.9989318521683403E-2"/>
        </patternFill>
      </fill>
    </dxf>
    <dxf>
      <fill>
        <patternFill>
          <bgColor theme="6"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0" tint="-4.9989318521683403E-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5"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13</xdr:col>
      <xdr:colOff>200025</xdr:colOff>
      <xdr:row>4</xdr:row>
      <xdr:rowOff>57150</xdr:rowOff>
    </xdr:from>
    <xdr:to>
      <xdr:col>21</xdr:col>
      <xdr:colOff>171450</xdr:colOff>
      <xdr:row>24</xdr:row>
      <xdr:rowOff>28575</xdr:rowOff>
    </xdr:to>
    <xdr:pic>
      <xdr:nvPicPr>
        <xdr:cNvPr id="7" name="Grafik 6">
          <a:extLst>
            <a:ext uri="{FF2B5EF4-FFF2-40B4-BE49-F238E27FC236}">
              <a16:creationId xmlns:a16="http://schemas.microsoft.com/office/drawing/2014/main" id="{AFA0A058-CBA2-49DB-9A5E-5E3959822F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15275" y="619125"/>
          <a:ext cx="6600825"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419380</xdr:colOff>
      <xdr:row>4</xdr:row>
      <xdr:rowOff>132788</xdr:rowOff>
    </xdr:from>
    <xdr:to>
      <xdr:col>25</xdr:col>
      <xdr:colOff>164230</xdr:colOff>
      <xdr:row>24</xdr:row>
      <xdr:rowOff>121446</xdr:rowOff>
    </xdr:to>
    <xdr:pic>
      <xdr:nvPicPr>
        <xdr:cNvPr id="34" name="Grafik 33">
          <a:extLst>
            <a:ext uri="{FF2B5EF4-FFF2-40B4-BE49-F238E27FC236}">
              <a16:creationId xmlns:a16="http://schemas.microsoft.com/office/drawing/2014/main" id="{BACC8767-2EF9-4F12-8604-636019C6A5F5}"/>
            </a:ext>
          </a:extLst>
        </xdr:cNvPr>
        <xdr:cNvPicPr>
          <a:picLocks noChangeAspect="1"/>
        </xdr:cNvPicPr>
      </xdr:nvPicPr>
      <xdr:blipFill>
        <a:blip xmlns:r="http://schemas.openxmlformats.org/officeDocument/2006/relationships" r:embed="rId2"/>
        <a:stretch>
          <a:fillRect/>
        </a:stretch>
      </xdr:blipFill>
      <xdr:spPr>
        <a:xfrm>
          <a:off x="14762909" y="693082"/>
          <a:ext cx="3061792" cy="3596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82</xdr:col>
      <xdr:colOff>0</xdr:colOff>
      <xdr:row>213</xdr:row>
      <xdr:rowOff>0</xdr:rowOff>
    </xdr:from>
    <xdr:ext cx="281744" cy="175369"/>
    <mc:AlternateContent xmlns:mc="http://schemas.openxmlformats.org/markup-compatibility/2006" xmlns:a14="http://schemas.microsoft.com/office/drawing/2010/main">
      <mc:Choice Requires="a14">
        <xdr:sp macro="" textlink="">
          <xdr:nvSpPr>
            <xdr:cNvPr id="6" name="Textfeld 5">
              <a:extLst>
                <a:ext uri="{FF2B5EF4-FFF2-40B4-BE49-F238E27FC236}">
                  <a16:creationId xmlns:a16="http://schemas.microsoft.com/office/drawing/2014/main" id="{0F409DC1-C1F7-4915-862C-629D1E0AFF4F}"/>
                </a:ext>
              </a:extLst>
            </xdr:cNvPr>
            <xdr:cNvSpPr txBox="1"/>
          </xdr:nvSpPr>
          <xdr:spPr>
            <a:xfrm>
              <a:off x="73869176" y="40139471"/>
              <a:ext cx="281744"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𝑐</m:t>
                        </m:r>
                      </m:e>
                      <m:sup>
                        <m:r>
                          <a:rPr lang="de-DE" sz="1100" b="0" i="1">
                            <a:latin typeface="Cambria Math" panose="02040503050406030204" pitchFamily="18" charset="0"/>
                          </a:rPr>
                          <m:t>𝑐𝑜</m:t>
                        </m:r>
                        <m:r>
                          <a:rPr lang="de-DE" sz="1100" b="0" i="1">
                            <a:latin typeface="Cambria Math" panose="02040503050406030204" pitchFamily="18" charset="0"/>
                          </a:rPr>
                          <m:t>2</m:t>
                        </m:r>
                      </m:sup>
                    </m:sSup>
                  </m:oMath>
                </m:oMathPara>
              </a14:m>
              <a:endParaRPr lang="en-US" sz="1100"/>
            </a:p>
          </xdr:txBody>
        </xdr:sp>
      </mc:Choice>
      <mc:Fallback xmlns="">
        <xdr:sp macro="" textlink="">
          <xdr:nvSpPr>
            <xdr:cNvPr id="6" name="Textfeld 5">
              <a:extLst>
                <a:ext uri="{FF2B5EF4-FFF2-40B4-BE49-F238E27FC236}">
                  <a16:creationId xmlns:a16="http://schemas.microsoft.com/office/drawing/2014/main" id="{0F409DC1-C1F7-4915-862C-629D1E0AFF4F}"/>
                </a:ext>
              </a:extLst>
            </xdr:cNvPr>
            <xdr:cNvSpPr txBox="1"/>
          </xdr:nvSpPr>
          <xdr:spPr>
            <a:xfrm>
              <a:off x="73869176" y="40139471"/>
              <a:ext cx="281744"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𝑐</a:t>
              </a:r>
              <a:r>
                <a:rPr lang="en-US" sz="1100" b="0" i="0">
                  <a:latin typeface="Cambria Math" panose="02040503050406030204" pitchFamily="18" charset="0"/>
                </a:rPr>
                <a:t>^</a:t>
              </a:r>
              <a:r>
                <a:rPr lang="de-DE" sz="1100" b="0" i="0">
                  <a:latin typeface="Cambria Math" panose="02040503050406030204" pitchFamily="18" charset="0"/>
                </a:rPr>
                <a:t>𝑐𝑜2</a:t>
              </a:r>
              <a:endParaRPr lang="en-US" sz="1100"/>
            </a:p>
          </xdr:txBody>
        </xdr:sp>
      </mc:Fallback>
    </mc:AlternateContent>
    <xdr:clientData/>
  </xdr:oneCellAnchor>
  <xdr:oneCellAnchor>
    <xdr:from>
      <xdr:col>82</xdr:col>
      <xdr:colOff>0</xdr:colOff>
      <xdr:row>214</xdr:row>
      <xdr:rowOff>0</xdr:rowOff>
    </xdr:from>
    <xdr:ext cx="298864" cy="175369"/>
    <mc:AlternateContent xmlns:mc="http://schemas.openxmlformats.org/markup-compatibility/2006" xmlns:a14="http://schemas.microsoft.com/office/drawing/2010/main">
      <mc:Choice Requires="a14">
        <xdr:sp macro="" textlink="">
          <xdr:nvSpPr>
            <xdr:cNvPr id="7" name="Textfeld 6">
              <a:extLst>
                <a:ext uri="{FF2B5EF4-FFF2-40B4-BE49-F238E27FC236}">
                  <a16:creationId xmlns:a16="http://schemas.microsoft.com/office/drawing/2014/main" id="{B3D21BF5-D3EC-4681-A83C-2505143BF875}"/>
                </a:ext>
              </a:extLst>
            </xdr:cNvPr>
            <xdr:cNvSpPr txBox="1"/>
          </xdr:nvSpPr>
          <xdr:spPr>
            <a:xfrm>
              <a:off x="73559276" y="40346586"/>
              <a:ext cx="298864"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𝑐</m:t>
                        </m:r>
                      </m:e>
                      <m:sup>
                        <m:r>
                          <a:rPr lang="de-DE" sz="1100" b="0" i="1">
                            <a:latin typeface="Cambria Math" panose="02040503050406030204" pitchFamily="18" charset="0"/>
                          </a:rPr>
                          <m:t>𝑛</m:t>
                        </m:r>
                        <m:r>
                          <a:rPr lang="de-DE" sz="1100" b="0" i="1">
                            <a:latin typeface="Cambria Math" panose="02040503050406030204" pitchFamily="18" charset="0"/>
                          </a:rPr>
                          <m:t>2</m:t>
                        </m:r>
                        <m:r>
                          <a:rPr lang="de-DE" sz="1100" b="0" i="1">
                            <a:latin typeface="Cambria Math" panose="02040503050406030204" pitchFamily="18" charset="0"/>
                          </a:rPr>
                          <m:t>𝑜</m:t>
                        </m:r>
                      </m:sup>
                    </m:sSup>
                  </m:oMath>
                </m:oMathPara>
              </a14:m>
              <a:endParaRPr lang="en-US" sz="1100"/>
            </a:p>
          </xdr:txBody>
        </xdr:sp>
      </mc:Choice>
      <mc:Fallback xmlns="">
        <xdr:sp macro="" textlink="">
          <xdr:nvSpPr>
            <xdr:cNvPr id="7" name="Textfeld 6">
              <a:extLst>
                <a:ext uri="{FF2B5EF4-FFF2-40B4-BE49-F238E27FC236}">
                  <a16:creationId xmlns:a16="http://schemas.microsoft.com/office/drawing/2014/main" id="{B3D21BF5-D3EC-4681-A83C-2505143BF875}"/>
                </a:ext>
              </a:extLst>
            </xdr:cNvPr>
            <xdr:cNvSpPr txBox="1"/>
          </xdr:nvSpPr>
          <xdr:spPr>
            <a:xfrm>
              <a:off x="73559276" y="40346586"/>
              <a:ext cx="298864"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𝑐</a:t>
              </a:r>
              <a:r>
                <a:rPr lang="en-US" sz="1100" b="0" i="0">
                  <a:latin typeface="Cambria Math" panose="02040503050406030204" pitchFamily="18" charset="0"/>
                </a:rPr>
                <a:t>^</a:t>
              </a:r>
              <a:r>
                <a:rPr lang="de-DE" sz="1100" b="0" i="0">
                  <a:latin typeface="Cambria Math" panose="02040503050406030204" pitchFamily="18" charset="0"/>
                </a:rPr>
                <a:t>𝑛2𝑜</a:t>
              </a:r>
              <a:endParaRPr lang="en-US" sz="1100"/>
            </a:p>
          </xdr:txBody>
        </xdr:sp>
      </mc:Fallback>
    </mc:AlternateContent>
    <xdr:clientData/>
  </xdr:oneCellAnchor>
  <xdr:oneCellAnchor>
    <xdr:from>
      <xdr:col>82</xdr:col>
      <xdr:colOff>0</xdr:colOff>
      <xdr:row>215</xdr:row>
      <xdr:rowOff>0</xdr:rowOff>
    </xdr:from>
    <xdr:ext cx="299954" cy="178832"/>
    <mc:AlternateContent xmlns:mc="http://schemas.openxmlformats.org/markup-compatibility/2006" xmlns:a14="http://schemas.microsoft.com/office/drawing/2010/main">
      <mc:Choice Requires="a14">
        <xdr:sp macro="" textlink="">
          <xdr:nvSpPr>
            <xdr:cNvPr id="8" name="Textfeld 7">
              <a:extLst>
                <a:ext uri="{FF2B5EF4-FFF2-40B4-BE49-F238E27FC236}">
                  <a16:creationId xmlns:a16="http://schemas.microsoft.com/office/drawing/2014/main" id="{3A0AF9C7-E64C-483A-A584-8A094F5E7889}"/>
                </a:ext>
              </a:extLst>
            </xdr:cNvPr>
            <xdr:cNvSpPr txBox="1"/>
          </xdr:nvSpPr>
          <xdr:spPr>
            <a:xfrm>
              <a:off x="73571100" y="40519350"/>
              <a:ext cx="299954" cy="178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𝑐</m:t>
                        </m:r>
                      </m:e>
                      <m:sup>
                        <m:r>
                          <a:rPr lang="de-DE" sz="1100" b="0" i="1">
                            <a:latin typeface="Cambria Math" panose="02040503050406030204" pitchFamily="18" charset="0"/>
                          </a:rPr>
                          <m:t>𝑛h</m:t>
                        </m:r>
                        <m:r>
                          <a:rPr lang="de-DE" sz="1100" b="0" i="1">
                            <a:latin typeface="Cambria Math" panose="02040503050406030204" pitchFamily="18" charset="0"/>
                          </a:rPr>
                          <m:t>3</m:t>
                        </m:r>
                      </m:sup>
                    </m:sSup>
                  </m:oMath>
                </m:oMathPara>
              </a14:m>
              <a:endParaRPr lang="en-US" sz="1100"/>
            </a:p>
          </xdr:txBody>
        </xdr:sp>
      </mc:Choice>
      <mc:Fallback xmlns="">
        <xdr:sp macro="" textlink="">
          <xdr:nvSpPr>
            <xdr:cNvPr id="8" name="Textfeld 7">
              <a:extLst>
                <a:ext uri="{FF2B5EF4-FFF2-40B4-BE49-F238E27FC236}">
                  <a16:creationId xmlns:a16="http://schemas.microsoft.com/office/drawing/2014/main" id="{3A0AF9C7-E64C-483A-A584-8A094F5E7889}"/>
                </a:ext>
              </a:extLst>
            </xdr:cNvPr>
            <xdr:cNvSpPr txBox="1"/>
          </xdr:nvSpPr>
          <xdr:spPr>
            <a:xfrm>
              <a:off x="73571100" y="40519350"/>
              <a:ext cx="299954" cy="178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𝑐</a:t>
              </a:r>
              <a:r>
                <a:rPr lang="en-US" sz="1100" b="0" i="0">
                  <a:latin typeface="Cambria Math" panose="02040503050406030204" pitchFamily="18" charset="0"/>
                </a:rPr>
                <a:t>^</a:t>
              </a:r>
              <a:r>
                <a:rPr lang="de-DE" sz="1100" b="0" i="0">
                  <a:latin typeface="Cambria Math" panose="02040503050406030204" pitchFamily="18" charset="0"/>
                </a:rPr>
                <a:t>𝑛ℎ3</a:t>
              </a:r>
              <a:endParaRPr lang="en-US" sz="1100"/>
            </a:p>
          </xdr:txBody>
        </xdr:sp>
      </mc:Fallback>
    </mc:AlternateContent>
    <xdr:clientData/>
  </xdr:oneCellAnchor>
  <xdr:oneCellAnchor>
    <xdr:from>
      <xdr:col>82</xdr:col>
      <xdr:colOff>0</xdr:colOff>
      <xdr:row>216</xdr:row>
      <xdr:rowOff>0</xdr:rowOff>
    </xdr:from>
    <xdr:ext cx="296620" cy="175369"/>
    <mc:AlternateContent xmlns:mc="http://schemas.openxmlformats.org/markup-compatibility/2006" xmlns:a14="http://schemas.microsoft.com/office/drawing/2010/main">
      <mc:Choice Requires="a14">
        <xdr:sp macro="" textlink="">
          <xdr:nvSpPr>
            <xdr:cNvPr id="9" name="Textfeld 8">
              <a:extLst>
                <a:ext uri="{FF2B5EF4-FFF2-40B4-BE49-F238E27FC236}">
                  <a16:creationId xmlns:a16="http://schemas.microsoft.com/office/drawing/2014/main" id="{4BEFFB67-A6F5-41C8-9BC9-F84828B2E049}"/>
                </a:ext>
              </a:extLst>
            </xdr:cNvPr>
            <xdr:cNvSpPr txBox="1"/>
          </xdr:nvSpPr>
          <xdr:spPr>
            <a:xfrm>
              <a:off x="73571100" y="40900350"/>
              <a:ext cx="296620"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𝑐</m:t>
                        </m:r>
                      </m:e>
                      <m:sup>
                        <m:r>
                          <a:rPr lang="de-DE" sz="1100" b="0" i="1">
                            <a:latin typeface="Cambria Math" panose="02040503050406030204" pitchFamily="18" charset="0"/>
                          </a:rPr>
                          <m:t>𝑛𝑜</m:t>
                        </m:r>
                        <m:r>
                          <a:rPr lang="de-DE" sz="1100" b="0" i="1">
                            <a:latin typeface="Cambria Math" panose="02040503050406030204" pitchFamily="18" charset="0"/>
                          </a:rPr>
                          <m:t>3</m:t>
                        </m:r>
                      </m:sup>
                    </m:sSup>
                  </m:oMath>
                </m:oMathPara>
              </a14:m>
              <a:endParaRPr lang="en-US" sz="1100"/>
            </a:p>
          </xdr:txBody>
        </xdr:sp>
      </mc:Choice>
      <mc:Fallback xmlns="">
        <xdr:sp macro="" textlink="">
          <xdr:nvSpPr>
            <xdr:cNvPr id="9" name="Textfeld 8">
              <a:extLst>
                <a:ext uri="{FF2B5EF4-FFF2-40B4-BE49-F238E27FC236}">
                  <a16:creationId xmlns:a16="http://schemas.microsoft.com/office/drawing/2014/main" id="{4BEFFB67-A6F5-41C8-9BC9-F84828B2E049}"/>
                </a:ext>
              </a:extLst>
            </xdr:cNvPr>
            <xdr:cNvSpPr txBox="1"/>
          </xdr:nvSpPr>
          <xdr:spPr>
            <a:xfrm>
              <a:off x="73571100" y="40900350"/>
              <a:ext cx="296620"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𝑐</a:t>
              </a:r>
              <a:r>
                <a:rPr lang="en-US" sz="1100" b="0" i="0">
                  <a:latin typeface="Cambria Math" panose="02040503050406030204" pitchFamily="18" charset="0"/>
                </a:rPr>
                <a:t>^</a:t>
              </a:r>
              <a:r>
                <a:rPr lang="de-DE" sz="1100" b="0" i="0">
                  <a:latin typeface="Cambria Math" panose="02040503050406030204" pitchFamily="18" charset="0"/>
                </a:rPr>
                <a:t>𝑛𝑜3</a:t>
              </a:r>
              <a:endParaRPr lang="en-US" sz="1100"/>
            </a:p>
          </xdr:txBody>
        </xdr:sp>
      </mc:Fallback>
    </mc:AlternateContent>
    <xdr:clientData/>
  </xdr:oneCellAnchor>
  <xdr:oneCellAnchor>
    <xdr:from>
      <xdr:col>82</xdr:col>
      <xdr:colOff>0</xdr:colOff>
      <xdr:row>217</xdr:row>
      <xdr:rowOff>0</xdr:rowOff>
    </xdr:from>
    <xdr:ext cx="175626" cy="172227"/>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56018A34-8D26-4FA6-B1D8-3FED21711065}"/>
                </a:ext>
              </a:extLst>
            </xdr:cNvPr>
            <xdr:cNvSpPr txBox="1"/>
          </xdr:nvSpPr>
          <xdr:spPr>
            <a:xfrm>
              <a:off x="73571100" y="40900350"/>
              <a:ext cx="1756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𝑐</m:t>
                        </m:r>
                      </m:e>
                      <m:sup>
                        <m:r>
                          <a:rPr lang="de-DE" sz="1100" b="0" i="1">
                            <a:latin typeface="Cambria Math" panose="02040503050406030204" pitchFamily="18" charset="0"/>
                          </a:rPr>
                          <m:t>𝑝</m:t>
                        </m:r>
                      </m:sup>
                    </m:sSup>
                  </m:oMath>
                </m:oMathPara>
              </a14:m>
              <a:endParaRPr lang="en-US" sz="1100"/>
            </a:p>
          </xdr:txBody>
        </xdr:sp>
      </mc:Choice>
      <mc:Fallback xmlns="">
        <xdr:sp macro="" textlink="">
          <xdr:nvSpPr>
            <xdr:cNvPr id="10" name="Textfeld 9">
              <a:extLst>
                <a:ext uri="{FF2B5EF4-FFF2-40B4-BE49-F238E27FC236}">
                  <a16:creationId xmlns:a16="http://schemas.microsoft.com/office/drawing/2014/main" id="{56018A34-8D26-4FA6-B1D8-3FED21711065}"/>
                </a:ext>
              </a:extLst>
            </xdr:cNvPr>
            <xdr:cNvSpPr txBox="1"/>
          </xdr:nvSpPr>
          <xdr:spPr>
            <a:xfrm>
              <a:off x="73571100" y="40900350"/>
              <a:ext cx="1756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𝑐</a:t>
              </a:r>
              <a:r>
                <a:rPr lang="en-US" sz="1100" b="0" i="0">
                  <a:latin typeface="Cambria Math" panose="02040503050406030204" pitchFamily="18" charset="0"/>
                </a:rPr>
                <a:t>^</a:t>
              </a:r>
              <a:r>
                <a:rPr lang="de-DE" sz="1100" b="0" i="0">
                  <a:latin typeface="Cambria Math" panose="02040503050406030204" pitchFamily="18" charset="0"/>
                </a:rPr>
                <a:t>𝑝</a:t>
              </a:r>
              <a:endParaRPr lang="en-US" sz="1100"/>
            </a:p>
          </xdr:txBody>
        </xdr:sp>
      </mc:Fallback>
    </mc:AlternateContent>
    <xdr:clientData/>
  </xdr:oneCellAnchor>
  <xdr:oneCellAnchor>
    <xdr:from>
      <xdr:col>82</xdr:col>
      <xdr:colOff>0</xdr:colOff>
      <xdr:row>219</xdr:row>
      <xdr:rowOff>0</xdr:rowOff>
    </xdr:from>
    <xdr:ext cx="541495" cy="182871"/>
    <mc:AlternateContent xmlns:mc="http://schemas.openxmlformats.org/markup-compatibility/2006" xmlns:a14="http://schemas.microsoft.com/office/drawing/2010/main">
      <mc:Choice Requires="a14">
        <xdr:sp macro="" textlink="">
          <xdr:nvSpPr>
            <xdr:cNvPr id="11" name="Textfeld 10">
              <a:extLst>
                <a:ext uri="{FF2B5EF4-FFF2-40B4-BE49-F238E27FC236}">
                  <a16:creationId xmlns:a16="http://schemas.microsoft.com/office/drawing/2014/main" id="{F639369E-3970-46E2-AAFD-37EDDC41311D}"/>
                </a:ext>
              </a:extLst>
            </xdr:cNvPr>
            <xdr:cNvSpPr txBox="1"/>
          </xdr:nvSpPr>
          <xdr:spPr>
            <a:xfrm>
              <a:off x="73571100" y="41090850"/>
              <a:ext cx="541495"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𝑒</m:t>
                        </m:r>
                      </m:e>
                      <m:sup>
                        <m:r>
                          <a:rPr lang="de-DE" sz="1100" b="0" i="1">
                            <a:latin typeface="Cambria Math" panose="02040503050406030204" pitchFamily="18" charset="0"/>
                          </a:rPr>
                          <m:t>𝑓</m:t>
                        </m:r>
                        <m:r>
                          <a:rPr lang="de-DE" sz="1100" b="0" i="1">
                            <a:latin typeface="Cambria Math" panose="02040503050406030204" pitchFamily="18" charset="0"/>
                          </a:rPr>
                          <m:t>,</m:t>
                        </m:r>
                        <m:r>
                          <a:rPr lang="de-DE" sz="1100" b="0" i="1">
                            <a:latin typeface="Cambria Math" panose="02040503050406030204" pitchFamily="18" charset="0"/>
                          </a:rPr>
                          <m:t>𝑛</m:t>
                        </m:r>
                        <m:r>
                          <a:rPr lang="de-DE" sz="1100" b="0" i="1">
                            <a:latin typeface="Cambria Math" panose="02040503050406030204" pitchFamily="18" charset="0"/>
                          </a:rPr>
                          <m:t>20(</m:t>
                        </m:r>
                        <m:r>
                          <a:rPr lang="de-DE" sz="1100" b="0" i="1">
                            <a:latin typeface="Cambria Math" panose="02040503050406030204" pitchFamily="18" charset="0"/>
                          </a:rPr>
                          <m:t>𝑑</m:t>
                        </m:r>
                        <m:r>
                          <a:rPr lang="de-DE" sz="1100" b="0" i="1">
                            <a:latin typeface="Cambria Math" panose="02040503050406030204" pitchFamily="18" charset="0"/>
                          </a:rPr>
                          <m:t>)</m:t>
                        </m:r>
                      </m:sup>
                    </m:sSup>
                  </m:oMath>
                </m:oMathPara>
              </a14:m>
              <a:endParaRPr lang="en-US" sz="1100"/>
            </a:p>
          </xdr:txBody>
        </xdr:sp>
      </mc:Choice>
      <mc:Fallback xmlns="">
        <xdr:sp macro="" textlink="">
          <xdr:nvSpPr>
            <xdr:cNvPr id="11" name="Textfeld 10">
              <a:extLst>
                <a:ext uri="{FF2B5EF4-FFF2-40B4-BE49-F238E27FC236}">
                  <a16:creationId xmlns:a16="http://schemas.microsoft.com/office/drawing/2014/main" id="{F639369E-3970-46E2-AAFD-37EDDC41311D}"/>
                </a:ext>
              </a:extLst>
            </xdr:cNvPr>
            <xdr:cNvSpPr txBox="1"/>
          </xdr:nvSpPr>
          <xdr:spPr>
            <a:xfrm>
              <a:off x="73571100" y="41090850"/>
              <a:ext cx="541495"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a:t>
              </a:r>
              <a:r>
                <a:rPr lang="de-DE" sz="1100" b="0" i="0">
                  <a:latin typeface="Cambria Math" panose="02040503050406030204" pitchFamily="18" charset="0"/>
                </a:rPr>
                <a:t>𝑓,𝑛20(𝑑)</a:t>
              </a:r>
              <a:r>
                <a:rPr lang="en-US" sz="1100" b="0" i="0">
                  <a:latin typeface="Cambria Math" panose="02040503050406030204" pitchFamily="18" charset="0"/>
                </a:rPr>
                <a:t>)</a:t>
              </a:r>
              <a:endParaRPr lang="en-US" sz="1100"/>
            </a:p>
          </xdr:txBody>
        </xdr:sp>
      </mc:Fallback>
    </mc:AlternateContent>
    <xdr:clientData/>
  </xdr:oneCellAnchor>
  <xdr:oneCellAnchor>
    <xdr:from>
      <xdr:col>82</xdr:col>
      <xdr:colOff>0</xdr:colOff>
      <xdr:row>220</xdr:row>
      <xdr:rowOff>0</xdr:rowOff>
    </xdr:from>
    <xdr:ext cx="574966" cy="182871"/>
    <mc:AlternateContent xmlns:mc="http://schemas.openxmlformats.org/markup-compatibility/2006" xmlns:a14="http://schemas.microsoft.com/office/drawing/2010/main">
      <mc:Choice Requires="a14">
        <xdr:sp macro="" textlink="">
          <xdr:nvSpPr>
            <xdr:cNvPr id="12" name="Textfeld 11">
              <a:extLst>
                <a:ext uri="{FF2B5EF4-FFF2-40B4-BE49-F238E27FC236}">
                  <a16:creationId xmlns:a16="http://schemas.microsoft.com/office/drawing/2014/main" id="{EF568E9C-C9AE-4CBE-A564-D26CD323B630}"/>
                </a:ext>
              </a:extLst>
            </xdr:cNvPr>
            <xdr:cNvSpPr txBox="1"/>
          </xdr:nvSpPr>
          <xdr:spPr>
            <a:xfrm>
              <a:off x="73571100" y="41281350"/>
              <a:ext cx="574966"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𝑒</m:t>
                        </m:r>
                      </m:e>
                      <m:sup>
                        <m:r>
                          <a:rPr lang="de-DE" sz="1100" b="0" i="1">
                            <a:latin typeface="Cambria Math" panose="02040503050406030204" pitchFamily="18" charset="0"/>
                          </a:rPr>
                          <m:t>𝑚</m:t>
                        </m:r>
                        <m:r>
                          <a:rPr lang="de-DE" sz="1100" b="0" i="1">
                            <a:latin typeface="Cambria Math" panose="02040503050406030204" pitchFamily="18" charset="0"/>
                          </a:rPr>
                          <m:t>,</m:t>
                        </m:r>
                        <m:r>
                          <a:rPr lang="de-DE" sz="1100" b="0" i="1">
                            <a:latin typeface="Cambria Math" panose="02040503050406030204" pitchFamily="18" charset="0"/>
                          </a:rPr>
                          <m:t>𝑛</m:t>
                        </m:r>
                        <m:r>
                          <a:rPr lang="de-DE" sz="1100" b="0" i="1">
                            <a:latin typeface="Cambria Math" panose="02040503050406030204" pitchFamily="18" charset="0"/>
                          </a:rPr>
                          <m:t>20(</m:t>
                        </m:r>
                        <m:r>
                          <a:rPr lang="de-DE" sz="1100" b="0" i="1">
                            <a:latin typeface="Cambria Math" panose="02040503050406030204" pitchFamily="18" charset="0"/>
                          </a:rPr>
                          <m:t>𝑑</m:t>
                        </m:r>
                        <m:r>
                          <a:rPr lang="de-DE" sz="1100" b="0" i="1">
                            <a:latin typeface="Cambria Math" panose="02040503050406030204" pitchFamily="18" charset="0"/>
                          </a:rPr>
                          <m:t>)</m:t>
                        </m:r>
                      </m:sup>
                    </m:sSup>
                  </m:oMath>
                </m:oMathPara>
              </a14:m>
              <a:endParaRPr lang="en-US" sz="1100"/>
            </a:p>
          </xdr:txBody>
        </xdr:sp>
      </mc:Choice>
      <mc:Fallback xmlns="">
        <xdr:sp macro="" textlink="">
          <xdr:nvSpPr>
            <xdr:cNvPr id="12" name="Textfeld 11">
              <a:extLst>
                <a:ext uri="{FF2B5EF4-FFF2-40B4-BE49-F238E27FC236}">
                  <a16:creationId xmlns:a16="http://schemas.microsoft.com/office/drawing/2014/main" id="{EF568E9C-C9AE-4CBE-A564-D26CD323B630}"/>
                </a:ext>
              </a:extLst>
            </xdr:cNvPr>
            <xdr:cNvSpPr txBox="1"/>
          </xdr:nvSpPr>
          <xdr:spPr>
            <a:xfrm>
              <a:off x="73571100" y="41281350"/>
              <a:ext cx="574966"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a:t>
              </a:r>
              <a:r>
                <a:rPr lang="de-DE" sz="1100" b="0" i="0">
                  <a:latin typeface="Cambria Math" panose="02040503050406030204" pitchFamily="18" charset="0"/>
                </a:rPr>
                <a:t>𝑚,𝑛20(𝑑)</a:t>
              </a:r>
              <a:r>
                <a:rPr lang="en-US" sz="1100" b="0" i="0">
                  <a:latin typeface="Cambria Math" panose="02040503050406030204" pitchFamily="18" charset="0"/>
                </a:rPr>
                <a:t>)</a:t>
              </a:r>
              <a:endParaRPr lang="en-US" sz="1100"/>
            </a:p>
          </xdr:txBody>
        </xdr:sp>
      </mc:Fallback>
    </mc:AlternateContent>
    <xdr:clientData/>
  </xdr:oneCellAnchor>
  <xdr:oneCellAnchor>
    <xdr:from>
      <xdr:col>82</xdr:col>
      <xdr:colOff>0</xdr:colOff>
      <xdr:row>221</xdr:row>
      <xdr:rowOff>0</xdr:rowOff>
    </xdr:from>
    <xdr:ext cx="447623" cy="182871"/>
    <mc:AlternateContent xmlns:mc="http://schemas.openxmlformats.org/markup-compatibility/2006" xmlns:a14="http://schemas.microsoft.com/office/drawing/2010/main">
      <mc:Choice Requires="a14">
        <xdr:sp macro="" textlink="">
          <xdr:nvSpPr>
            <xdr:cNvPr id="13" name="Textfeld 12">
              <a:extLst>
                <a:ext uri="{FF2B5EF4-FFF2-40B4-BE49-F238E27FC236}">
                  <a16:creationId xmlns:a16="http://schemas.microsoft.com/office/drawing/2014/main" id="{0C96EF60-3590-4E3B-A57C-5EC2440C8E04}"/>
                </a:ext>
              </a:extLst>
            </xdr:cNvPr>
            <xdr:cNvSpPr txBox="1"/>
          </xdr:nvSpPr>
          <xdr:spPr>
            <a:xfrm>
              <a:off x="73571100" y="41471850"/>
              <a:ext cx="447623"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𝑒</m:t>
                        </m:r>
                      </m:e>
                      <m:sup>
                        <m:r>
                          <a:rPr lang="de-DE" sz="1100" b="0" i="1">
                            <a:latin typeface="Cambria Math" panose="02040503050406030204" pitchFamily="18" charset="0"/>
                          </a:rPr>
                          <m:t>𝑛</m:t>
                        </m:r>
                        <m:r>
                          <a:rPr lang="de-DE" sz="1100" b="0" i="1">
                            <a:latin typeface="Cambria Math" panose="02040503050406030204" pitchFamily="18" charset="0"/>
                          </a:rPr>
                          <m:t>20(</m:t>
                        </m:r>
                        <m:r>
                          <a:rPr lang="de-DE" sz="1100" b="0" i="1">
                            <a:latin typeface="Cambria Math" panose="02040503050406030204" pitchFamily="18" charset="0"/>
                          </a:rPr>
                          <m:t>𝑣</m:t>
                        </m:r>
                        <m:r>
                          <a:rPr lang="de-DE" sz="1100" b="0" i="1">
                            <a:latin typeface="Cambria Math" panose="02040503050406030204" pitchFamily="18" charset="0"/>
                          </a:rPr>
                          <m:t>)</m:t>
                        </m:r>
                      </m:sup>
                    </m:sSup>
                  </m:oMath>
                </m:oMathPara>
              </a14:m>
              <a:endParaRPr lang="en-US" sz="1100"/>
            </a:p>
          </xdr:txBody>
        </xdr:sp>
      </mc:Choice>
      <mc:Fallback xmlns="">
        <xdr:sp macro="" textlink="">
          <xdr:nvSpPr>
            <xdr:cNvPr id="13" name="Textfeld 12">
              <a:extLst>
                <a:ext uri="{FF2B5EF4-FFF2-40B4-BE49-F238E27FC236}">
                  <a16:creationId xmlns:a16="http://schemas.microsoft.com/office/drawing/2014/main" id="{0C96EF60-3590-4E3B-A57C-5EC2440C8E04}"/>
                </a:ext>
              </a:extLst>
            </xdr:cNvPr>
            <xdr:cNvSpPr txBox="1"/>
          </xdr:nvSpPr>
          <xdr:spPr>
            <a:xfrm>
              <a:off x="73571100" y="41471850"/>
              <a:ext cx="447623"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a:t>
              </a:r>
              <a:r>
                <a:rPr lang="de-DE" sz="1100" b="0" i="0">
                  <a:latin typeface="Cambria Math" panose="02040503050406030204" pitchFamily="18" charset="0"/>
                </a:rPr>
                <a:t>𝑛20(𝑣)</a:t>
              </a:r>
              <a:r>
                <a:rPr lang="en-US" sz="1100" b="0" i="0">
                  <a:latin typeface="Cambria Math" panose="02040503050406030204" pitchFamily="18" charset="0"/>
                </a:rPr>
                <a:t>)</a:t>
              </a:r>
              <a:endParaRPr lang="en-US" sz="1100"/>
            </a:p>
          </xdr:txBody>
        </xdr:sp>
      </mc:Fallback>
    </mc:AlternateContent>
    <xdr:clientData/>
  </xdr:oneCellAnchor>
  <xdr:oneCellAnchor>
    <xdr:from>
      <xdr:col>82</xdr:col>
      <xdr:colOff>0</xdr:colOff>
      <xdr:row>222</xdr:row>
      <xdr:rowOff>0</xdr:rowOff>
    </xdr:from>
    <xdr:ext cx="426592" cy="182871"/>
    <mc:AlternateContent xmlns:mc="http://schemas.openxmlformats.org/markup-compatibility/2006" xmlns:a14="http://schemas.microsoft.com/office/drawing/2010/main">
      <mc:Choice Requires="a14">
        <xdr:sp macro="" textlink="">
          <xdr:nvSpPr>
            <xdr:cNvPr id="14" name="Textfeld 13">
              <a:extLst>
                <a:ext uri="{FF2B5EF4-FFF2-40B4-BE49-F238E27FC236}">
                  <a16:creationId xmlns:a16="http://schemas.microsoft.com/office/drawing/2014/main" id="{15055E12-16B6-4C3D-BB97-C8BF2B607EC8}"/>
                </a:ext>
              </a:extLst>
            </xdr:cNvPr>
            <xdr:cNvSpPr txBox="1"/>
          </xdr:nvSpPr>
          <xdr:spPr>
            <a:xfrm>
              <a:off x="73571100" y="41662350"/>
              <a:ext cx="426592"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𝑒</m:t>
                        </m:r>
                      </m:e>
                      <m:sup>
                        <m:r>
                          <a:rPr lang="de-DE" sz="1100" b="0" i="1">
                            <a:latin typeface="Cambria Math" panose="02040503050406030204" pitchFamily="18" charset="0"/>
                          </a:rPr>
                          <m:t>𝑛</m:t>
                        </m:r>
                        <m:r>
                          <a:rPr lang="de-DE" sz="1100" b="0" i="1">
                            <a:latin typeface="Cambria Math" panose="02040503050406030204" pitchFamily="18" charset="0"/>
                          </a:rPr>
                          <m:t>20(</m:t>
                        </m:r>
                        <m:r>
                          <a:rPr lang="de-DE" sz="1100" b="0" i="1">
                            <a:latin typeface="Cambria Math" panose="02040503050406030204" pitchFamily="18" charset="0"/>
                          </a:rPr>
                          <m:t>𝑙</m:t>
                        </m:r>
                        <m:r>
                          <a:rPr lang="de-DE" sz="1100" b="0" i="1">
                            <a:latin typeface="Cambria Math" panose="02040503050406030204" pitchFamily="18" charset="0"/>
                          </a:rPr>
                          <m:t>)</m:t>
                        </m:r>
                      </m:sup>
                    </m:sSup>
                  </m:oMath>
                </m:oMathPara>
              </a14:m>
              <a:endParaRPr lang="en-US" sz="1100"/>
            </a:p>
          </xdr:txBody>
        </xdr:sp>
      </mc:Choice>
      <mc:Fallback xmlns="">
        <xdr:sp macro="" textlink="">
          <xdr:nvSpPr>
            <xdr:cNvPr id="14" name="Textfeld 13">
              <a:extLst>
                <a:ext uri="{FF2B5EF4-FFF2-40B4-BE49-F238E27FC236}">
                  <a16:creationId xmlns:a16="http://schemas.microsoft.com/office/drawing/2014/main" id="{15055E12-16B6-4C3D-BB97-C8BF2B607EC8}"/>
                </a:ext>
              </a:extLst>
            </xdr:cNvPr>
            <xdr:cNvSpPr txBox="1"/>
          </xdr:nvSpPr>
          <xdr:spPr>
            <a:xfrm>
              <a:off x="73571100" y="41662350"/>
              <a:ext cx="426592"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a:t>
              </a:r>
              <a:r>
                <a:rPr lang="de-DE" sz="1100" b="0" i="0">
                  <a:latin typeface="Cambria Math" panose="02040503050406030204" pitchFamily="18" charset="0"/>
                </a:rPr>
                <a:t>𝑛20(𝑙)</a:t>
              </a:r>
              <a:r>
                <a:rPr lang="en-US" sz="1100" b="0" i="0">
                  <a:latin typeface="Cambria Math" panose="02040503050406030204" pitchFamily="18" charset="0"/>
                </a:rPr>
                <a:t>)</a:t>
              </a:r>
              <a:endParaRPr lang="en-US" sz="1100"/>
            </a:p>
          </xdr:txBody>
        </xdr:sp>
      </mc:Fallback>
    </mc:AlternateContent>
    <xdr:clientData/>
  </xdr:oneCellAnchor>
  <xdr:oneCellAnchor>
    <xdr:from>
      <xdr:col>82</xdr:col>
      <xdr:colOff>0</xdr:colOff>
      <xdr:row>224</xdr:row>
      <xdr:rowOff>0</xdr:rowOff>
    </xdr:from>
    <xdr:ext cx="571182" cy="182871"/>
    <mc:AlternateContent xmlns:mc="http://schemas.openxmlformats.org/markup-compatibility/2006" xmlns:a14="http://schemas.microsoft.com/office/drawing/2010/main">
      <mc:Choice Requires="a14">
        <xdr:sp macro="" textlink="">
          <xdr:nvSpPr>
            <xdr:cNvPr id="16" name="Textfeld 15">
              <a:extLst>
                <a:ext uri="{FF2B5EF4-FFF2-40B4-BE49-F238E27FC236}">
                  <a16:creationId xmlns:a16="http://schemas.microsoft.com/office/drawing/2014/main" id="{43B2F44A-14B4-4D2A-9194-D7793E9A9330}"/>
                </a:ext>
              </a:extLst>
            </xdr:cNvPr>
            <xdr:cNvSpPr txBox="1"/>
          </xdr:nvSpPr>
          <xdr:spPr>
            <a:xfrm>
              <a:off x="73571100" y="42233850"/>
              <a:ext cx="571182"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𝑒</m:t>
                        </m:r>
                      </m:e>
                      <m:sup>
                        <m:r>
                          <a:rPr lang="de-DE" sz="1100" b="0" i="1">
                            <a:latin typeface="Cambria Math" panose="02040503050406030204" pitchFamily="18" charset="0"/>
                          </a:rPr>
                          <m:t>𝑚</m:t>
                        </m:r>
                        <m:r>
                          <a:rPr lang="de-DE" sz="1100" b="0" i="1">
                            <a:latin typeface="Cambria Math" panose="02040503050406030204" pitchFamily="18" charset="0"/>
                          </a:rPr>
                          <m:t>,</m:t>
                        </m:r>
                        <m:r>
                          <a:rPr lang="de-DE" sz="1100" b="0" i="1">
                            <a:latin typeface="Cambria Math" panose="02040503050406030204" pitchFamily="18" charset="0"/>
                          </a:rPr>
                          <m:t>𝑛h</m:t>
                        </m:r>
                        <m:r>
                          <a:rPr lang="de-DE" sz="1100" b="0" i="1">
                            <a:latin typeface="Cambria Math" panose="02040503050406030204" pitchFamily="18" charset="0"/>
                          </a:rPr>
                          <m:t>3(</m:t>
                        </m:r>
                        <m:r>
                          <a:rPr lang="de-DE" sz="1100" b="0" i="1">
                            <a:latin typeface="Cambria Math" panose="02040503050406030204" pitchFamily="18" charset="0"/>
                          </a:rPr>
                          <m:t>𝑣</m:t>
                        </m:r>
                        <m:r>
                          <a:rPr lang="de-DE" sz="1100" b="0" i="1">
                            <a:latin typeface="Cambria Math" panose="02040503050406030204" pitchFamily="18" charset="0"/>
                          </a:rPr>
                          <m:t>)</m:t>
                        </m:r>
                      </m:sup>
                    </m:sSup>
                  </m:oMath>
                </m:oMathPara>
              </a14:m>
              <a:endParaRPr lang="en-US" sz="1100"/>
            </a:p>
          </xdr:txBody>
        </xdr:sp>
      </mc:Choice>
      <mc:Fallback xmlns="">
        <xdr:sp macro="" textlink="">
          <xdr:nvSpPr>
            <xdr:cNvPr id="16" name="Textfeld 15">
              <a:extLst>
                <a:ext uri="{FF2B5EF4-FFF2-40B4-BE49-F238E27FC236}">
                  <a16:creationId xmlns:a16="http://schemas.microsoft.com/office/drawing/2014/main" id="{43B2F44A-14B4-4D2A-9194-D7793E9A9330}"/>
                </a:ext>
              </a:extLst>
            </xdr:cNvPr>
            <xdr:cNvSpPr txBox="1"/>
          </xdr:nvSpPr>
          <xdr:spPr>
            <a:xfrm>
              <a:off x="73571100" y="42233850"/>
              <a:ext cx="571182"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a:t>
              </a:r>
              <a:r>
                <a:rPr lang="de-DE" sz="1100" b="0" i="0">
                  <a:latin typeface="Cambria Math" panose="02040503050406030204" pitchFamily="18" charset="0"/>
                </a:rPr>
                <a:t>𝑚,𝑛ℎ3(𝑣)</a:t>
              </a:r>
              <a:r>
                <a:rPr lang="en-US" sz="1100" b="0" i="0">
                  <a:latin typeface="Cambria Math" panose="02040503050406030204" pitchFamily="18" charset="0"/>
                </a:rPr>
                <a:t>)</a:t>
              </a:r>
              <a:endParaRPr lang="en-US" sz="1100"/>
            </a:p>
          </xdr:txBody>
        </xdr:sp>
      </mc:Fallback>
    </mc:AlternateContent>
    <xdr:clientData/>
  </xdr:oneCellAnchor>
  <xdr:oneCellAnchor>
    <xdr:from>
      <xdr:col>82</xdr:col>
      <xdr:colOff>0</xdr:colOff>
      <xdr:row>227</xdr:row>
      <xdr:rowOff>0</xdr:rowOff>
    </xdr:from>
    <xdr:ext cx="302326" cy="175369"/>
    <mc:AlternateContent xmlns:mc="http://schemas.openxmlformats.org/markup-compatibility/2006" xmlns:a14="http://schemas.microsoft.com/office/drawing/2010/main">
      <mc:Choice Requires="a14">
        <xdr:sp macro="" textlink="">
          <xdr:nvSpPr>
            <xdr:cNvPr id="17" name="Textfeld 16">
              <a:extLst>
                <a:ext uri="{FF2B5EF4-FFF2-40B4-BE49-F238E27FC236}">
                  <a16:creationId xmlns:a16="http://schemas.microsoft.com/office/drawing/2014/main" id="{56C23984-B3EC-450A-A2F2-3642675B4C9C}"/>
                </a:ext>
              </a:extLst>
            </xdr:cNvPr>
            <xdr:cNvSpPr txBox="1"/>
          </xdr:nvSpPr>
          <xdr:spPr>
            <a:xfrm>
              <a:off x="73571100" y="42424350"/>
              <a:ext cx="302326"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𝑒</m:t>
                        </m:r>
                      </m:e>
                      <m:sup>
                        <m:r>
                          <a:rPr lang="de-DE" sz="1100" b="0" i="1">
                            <a:latin typeface="Cambria Math" panose="02040503050406030204" pitchFamily="18" charset="0"/>
                          </a:rPr>
                          <m:t>𝑛𝑜</m:t>
                        </m:r>
                        <m:r>
                          <a:rPr lang="de-DE" sz="1100" b="0" i="1">
                            <a:latin typeface="Cambria Math" panose="02040503050406030204" pitchFamily="18" charset="0"/>
                          </a:rPr>
                          <m:t>3</m:t>
                        </m:r>
                      </m:sup>
                    </m:sSup>
                  </m:oMath>
                </m:oMathPara>
              </a14:m>
              <a:endParaRPr lang="en-US" sz="1100"/>
            </a:p>
          </xdr:txBody>
        </xdr:sp>
      </mc:Choice>
      <mc:Fallback xmlns="">
        <xdr:sp macro="" textlink="">
          <xdr:nvSpPr>
            <xdr:cNvPr id="17" name="Textfeld 16">
              <a:extLst>
                <a:ext uri="{FF2B5EF4-FFF2-40B4-BE49-F238E27FC236}">
                  <a16:creationId xmlns:a16="http://schemas.microsoft.com/office/drawing/2014/main" id="{56C23984-B3EC-450A-A2F2-3642675B4C9C}"/>
                </a:ext>
              </a:extLst>
            </xdr:cNvPr>
            <xdr:cNvSpPr txBox="1"/>
          </xdr:nvSpPr>
          <xdr:spPr>
            <a:xfrm>
              <a:off x="73571100" y="42424350"/>
              <a:ext cx="302326"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a:t>
              </a:r>
              <a:r>
                <a:rPr lang="de-DE" sz="1100" b="0" i="0">
                  <a:latin typeface="Cambria Math" panose="02040503050406030204" pitchFamily="18" charset="0"/>
                </a:rPr>
                <a:t>𝑛𝑜3</a:t>
              </a:r>
              <a:endParaRPr lang="en-US" sz="1100"/>
            </a:p>
          </xdr:txBody>
        </xdr:sp>
      </mc:Fallback>
    </mc:AlternateContent>
    <xdr:clientData/>
  </xdr:oneCellAnchor>
  <xdr:oneCellAnchor>
    <xdr:from>
      <xdr:col>82</xdr:col>
      <xdr:colOff>0</xdr:colOff>
      <xdr:row>228</xdr:row>
      <xdr:rowOff>0</xdr:rowOff>
    </xdr:from>
    <xdr:ext cx="266996" cy="180499"/>
    <mc:AlternateContent xmlns:mc="http://schemas.openxmlformats.org/markup-compatibility/2006" xmlns:a14="http://schemas.microsoft.com/office/drawing/2010/main">
      <mc:Choice Requires="a14">
        <xdr:sp macro="" textlink="">
          <xdr:nvSpPr>
            <xdr:cNvPr id="18" name="Textfeld 17">
              <a:extLst>
                <a:ext uri="{FF2B5EF4-FFF2-40B4-BE49-F238E27FC236}">
                  <a16:creationId xmlns:a16="http://schemas.microsoft.com/office/drawing/2014/main" id="{C0F859B9-3BF6-4666-9F67-D75228FC55AF}"/>
                </a:ext>
              </a:extLst>
            </xdr:cNvPr>
            <xdr:cNvSpPr txBox="1"/>
          </xdr:nvSpPr>
          <xdr:spPr>
            <a:xfrm>
              <a:off x="73571100" y="42614850"/>
              <a:ext cx="266996" cy="180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𝑒</m:t>
                        </m:r>
                      </m:e>
                      <m:sup>
                        <m:r>
                          <a:rPr lang="de-DE" sz="1100" b="0" i="1">
                            <a:latin typeface="Cambria Math" panose="02040503050406030204" pitchFamily="18" charset="0"/>
                          </a:rPr>
                          <m:t>𝑓</m:t>
                        </m:r>
                        <m:r>
                          <a:rPr lang="de-DE" sz="1100" b="0" i="1">
                            <a:latin typeface="Cambria Math" panose="02040503050406030204" pitchFamily="18" charset="0"/>
                          </a:rPr>
                          <m:t>,</m:t>
                        </m:r>
                        <m:r>
                          <a:rPr lang="de-DE" sz="1100" b="0" i="1">
                            <a:latin typeface="Cambria Math" panose="02040503050406030204" pitchFamily="18" charset="0"/>
                          </a:rPr>
                          <m:t>𝑝</m:t>
                        </m:r>
                      </m:sup>
                    </m:sSup>
                  </m:oMath>
                </m:oMathPara>
              </a14:m>
              <a:endParaRPr lang="en-US" sz="1100"/>
            </a:p>
          </xdr:txBody>
        </xdr:sp>
      </mc:Choice>
      <mc:Fallback xmlns="">
        <xdr:sp macro="" textlink="">
          <xdr:nvSpPr>
            <xdr:cNvPr id="18" name="Textfeld 17">
              <a:extLst>
                <a:ext uri="{FF2B5EF4-FFF2-40B4-BE49-F238E27FC236}">
                  <a16:creationId xmlns:a16="http://schemas.microsoft.com/office/drawing/2014/main" id="{C0F859B9-3BF6-4666-9F67-D75228FC55AF}"/>
                </a:ext>
              </a:extLst>
            </xdr:cNvPr>
            <xdr:cNvSpPr txBox="1"/>
          </xdr:nvSpPr>
          <xdr:spPr>
            <a:xfrm>
              <a:off x="73571100" y="42614850"/>
              <a:ext cx="266996" cy="180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a:t>
              </a:r>
              <a:r>
                <a:rPr lang="de-DE" sz="1100" b="0" i="0">
                  <a:latin typeface="Cambria Math" panose="02040503050406030204" pitchFamily="18" charset="0"/>
                </a:rPr>
                <a:t>𝑓,𝑝</a:t>
              </a:r>
              <a:r>
                <a:rPr lang="en-US" sz="1100" b="0" i="0">
                  <a:latin typeface="Cambria Math" panose="02040503050406030204" pitchFamily="18" charset="0"/>
                </a:rPr>
                <a:t>)</a:t>
              </a:r>
              <a:endParaRPr lang="en-US" sz="1100"/>
            </a:p>
          </xdr:txBody>
        </xdr:sp>
      </mc:Fallback>
    </mc:AlternateContent>
    <xdr:clientData/>
  </xdr:oneCellAnchor>
  <xdr:oneCellAnchor>
    <xdr:from>
      <xdr:col>82</xdr:col>
      <xdr:colOff>0</xdr:colOff>
      <xdr:row>226</xdr:row>
      <xdr:rowOff>0</xdr:rowOff>
    </xdr:from>
    <xdr:ext cx="245003" cy="172227"/>
    <mc:AlternateContent xmlns:mc="http://schemas.openxmlformats.org/markup-compatibility/2006" xmlns:a14="http://schemas.microsoft.com/office/drawing/2010/main">
      <mc:Choice Requires="a14">
        <xdr:sp macro="" textlink="">
          <xdr:nvSpPr>
            <xdr:cNvPr id="19" name="Textfeld 18">
              <a:extLst>
                <a:ext uri="{FF2B5EF4-FFF2-40B4-BE49-F238E27FC236}">
                  <a16:creationId xmlns:a16="http://schemas.microsoft.com/office/drawing/2014/main" id="{5B1F726D-93F1-4520-9EEE-BEAB71247C80}"/>
                </a:ext>
              </a:extLst>
            </xdr:cNvPr>
            <xdr:cNvSpPr txBox="1"/>
          </xdr:nvSpPr>
          <xdr:spPr>
            <a:xfrm>
              <a:off x="73571100" y="42233850"/>
              <a:ext cx="24500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𝑒</m:t>
                        </m:r>
                      </m:e>
                      <m:sup>
                        <m:r>
                          <a:rPr lang="de-DE" sz="1100" b="0" i="1">
                            <a:latin typeface="Cambria Math" panose="02040503050406030204" pitchFamily="18" charset="0"/>
                          </a:rPr>
                          <m:t>𝑛𝑜</m:t>
                        </m:r>
                      </m:sup>
                    </m:sSup>
                  </m:oMath>
                </m:oMathPara>
              </a14:m>
              <a:endParaRPr lang="en-US" sz="1100"/>
            </a:p>
          </xdr:txBody>
        </xdr:sp>
      </mc:Choice>
      <mc:Fallback xmlns="">
        <xdr:sp macro="" textlink="">
          <xdr:nvSpPr>
            <xdr:cNvPr id="19" name="Textfeld 18">
              <a:extLst>
                <a:ext uri="{FF2B5EF4-FFF2-40B4-BE49-F238E27FC236}">
                  <a16:creationId xmlns:a16="http://schemas.microsoft.com/office/drawing/2014/main" id="{5B1F726D-93F1-4520-9EEE-BEAB71247C80}"/>
                </a:ext>
              </a:extLst>
            </xdr:cNvPr>
            <xdr:cNvSpPr txBox="1"/>
          </xdr:nvSpPr>
          <xdr:spPr>
            <a:xfrm>
              <a:off x="73571100" y="42233850"/>
              <a:ext cx="24500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a:t>
              </a:r>
              <a:r>
                <a:rPr lang="de-DE" sz="1100" b="0" i="0">
                  <a:latin typeface="Cambria Math" panose="02040503050406030204" pitchFamily="18" charset="0"/>
                </a:rPr>
                <a:t>𝑛𝑜</a:t>
              </a:r>
              <a:endParaRPr lang="en-US" sz="1100"/>
            </a:p>
          </xdr:txBody>
        </xdr:sp>
      </mc:Fallback>
    </mc:AlternateContent>
    <xdr:clientData/>
  </xdr:oneCellAnchor>
  <xdr:oneCellAnchor>
    <xdr:from>
      <xdr:col>82</xdr:col>
      <xdr:colOff>0</xdr:colOff>
      <xdr:row>229</xdr:row>
      <xdr:rowOff>0</xdr:rowOff>
    </xdr:from>
    <xdr:ext cx="300467" cy="172227"/>
    <mc:AlternateContent xmlns:mc="http://schemas.openxmlformats.org/markup-compatibility/2006" xmlns:a14="http://schemas.microsoft.com/office/drawing/2010/main">
      <mc:Choice Requires="a14">
        <xdr:sp macro="" textlink="">
          <xdr:nvSpPr>
            <xdr:cNvPr id="20" name="Textfeld 19">
              <a:extLst>
                <a:ext uri="{FF2B5EF4-FFF2-40B4-BE49-F238E27FC236}">
                  <a16:creationId xmlns:a16="http://schemas.microsoft.com/office/drawing/2014/main" id="{967CAA2B-7278-487F-A6BF-84A03EA477EB}"/>
                </a:ext>
              </a:extLst>
            </xdr:cNvPr>
            <xdr:cNvSpPr txBox="1"/>
          </xdr:nvSpPr>
          <xdr:spPr>
            <a:xfrm>
              <a:off x="73571100" y="42805350"/>
              <a:ext cx="3004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de-DE" sz="1100" b="0" i="1">
                            <a:latin typeface="Cambria Math" panose="02040503050406030204" pitchFamily="18" charset="0"/>
                          </a:rPr>
                          <m:t>𝑒</m:t>
                        </m:r>
                      </m:e>
                      <m:sup>
                        <m:r>
                          <a:rPr lang="de-DE" sz="1100" b="0" i="1">
                            <a:latin typeface="Cambria Math" panose="02040503050406030204" pitchFamily="18" charset="0"/>
                          </a:rPr>
                          <m:t>𝑚</m:t>
                        </m:r>
                        <m:r>
                          <a:rPr lang="de-DE" sz="1100" b="0" i="1">
                            <a:latin typeface="Cambria Math" panose="02040503050406030204" pitchFamily="18" charset="0"/>
                          </a:rPr>
                          <m:t>,</m:t>
                        </m:r>
                        <m:r>
                          <a:rPr lang="de-DE" sz="1100" b="0" i="1">
                            <a:latin typeface="Cambria Math" panose="02040503050406030204" pitchFamily="18" charset="0"/>
                          </a:rPr>
                          <m:t>𝑝</m:t>
                        </m:r>
                      </m:sup>
                    </m:sSup>
                  </m:oMath>
                </m:oMathPara>
              </a14:m>
              <a:endParaRPr lang="en-US" sz="1100"/>
            </a:p>
          </xdr:txBody>
        </xdr:sp>
      </mc:Choice>
      <mc:Fallback xmlns="">
        <xdr:sp macro="" textlink="">
          <xdr:nvSpPr>
            <xdr:cNvPr id="20" name="Textfeld 19">
              <a:extLst>
                <a:ext uri="{FF2B5EF4-FFF2-40B4-BE49-F238E27FC236}">
                  <a16:creationId xmlns:a16="http://schemas.microsoft.com/office/drawing/2014/main" id="{967CAA2B-7278-487F-A6BF-84A03EA477EB}"/>
                </a:ext>
              </a:extLst>
            </xdr:cNvPr>
            <xdr:cNvSpPr txBox="1"/>
          </xdr:nvSpPr>
          <xdr:spPr>
            <a:xfrm>
              <a:off x="73571100" y="42805350"/>
              <a:ext cx="3004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a:t>
              </a:r>
              <a:r>
                <a:rPr lang="de-DE" sz="1100" b="0" i="0">
                  <a:latin typeface="Cambria Math" panose="02040503050406030204" pitchFamily="18" charset="0"/>
                </a:rPr>
                <a:t>𝑚,𝑝</a:t>
              </a:r>
              <a:r>
                <a:rPr lang="en-US" sz="1100" b="0" i="0">
                  <a:latin typeface="Cambria Math" panose="02040503050406030204" pitchFamily="18" charset="0"/>
                </a:rPr>
                <a:t>)</a:t>
              </a:r>
              <a:endParaRPr lang="en-US" sz="1100"/>
            </a:p>
          </xdr:txBody>
        </xdr:sp>
      </mc:Fallback>
    </mc:AlternateContent>
    <xdr:clientData/>
  </xdr:oneCellAnchor>
  <xdr:oneCellAnchor>
    <xdr:from>
      <xdr:col>82</xdr:col>
      <xdr:colOff>0</xdr:colOff>
      <xdr:row>218</xdr:row>
      <xdr:rowOff>0</xdr:rowOff>
    </xdr:from>
    <xdr:ext cx="287451" cy="197618"/>
    <mc:AlternateContent xmlns:mc="http://schemas.openxmlformats.org/markup-compatibility/2006" xmlns:a14="http://schemas.microsoft.com/office/drawing/2010/main">
      <mc:Choice Requires="a14">
        <xdr:sp macro="" textlink="">
          <xdr:nvSpPr>
            <xdr:cNvPr id="23" name="Textfeld 22">
              <a:extLst>
                <a:ext uri="{FF2B5EF4-FFF2-40B4-BE49-F238E27FC236}">
                  <a16:creationId xmlns:a16="http://schemas.microsoft.com/office/drawing/2014/main" id="{58A79260-729F-4DB7-AFFE-08A941CDFFE7}"/>
                </a:ext>
              </a:extLst>
            </xdr:cNvPr>
            <xdr:cNvSpPr txBox="1"/>
          </xdr:nvSpPr>
          <xdr:spPr>
            <a:xfrm>
              <a:off x="73571100" y="41090850"/>
              <a:ext cx="287451" cy="1976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US" sz="1100" i="1">
                            <a:latin typeface="Cambria Math" panose="02040503050406030204" pitchFamily="18" charset="0"/>
                          </a:rPr>
                        </m:ctrlPr>
                      </m:sSubSupPr>
                      <m:e>
                        <m:r>
                          <a:rPr lang="de-DE" sz="1100" b="0" i="1">
                            <a:latin typeface="Cambria Math" panose="02040503050406030204" pitchFamily="18" charset="0"/>
                          </a:rPr>
                          <m:t>𝑒</m:t>
                        </m:r>
                      </m:e>
                      <m:sub>
                        <m:r>
                          <a:rPr lang="de-DE" sz="1100" b="0" i="1">
                            <a:latin typeface="Cambria Math" panose="02040503050406030204" pitchFamily="18" charset="0"/>
                          </a:rPr>
                          <m:t>𝑓</m:t>
                        </m:r>
                      </m:sub>
                      <m:sup>
                        <m:r>
                          <a:rPr lang="de-DE" sz="1100" b="0" i="1">
                            <a:latin typeface="Cambria Math" panose="02040503050406030204" pitchFamily="18" charset="0"/>
                          </a:rPr>
                          <m:t>𝑐𝑜</m:t>
                        </m:r>
                        <m:r>
                          <a:rPr lang="de-DE" sz="1100" b="0" i="1">
                            <a:latin typeface="Cambria Math" panose="02040503050406030204" pitchFamily="18" charset="0"/>
                          </a:rPr>
                          <m:t>2</m:t>
                        </m:r>
                      </m:sup>
                    </m:sSubSup>
                  </m:oMath>
                </m:oMathPara>
              </a14:m>
              <a:endParaRPr lang="en-US" sz="1100"/>
            </a:p>
          </xdr:txBody>
        </xdr:sp>
      </mc:Choice>
      <mc:Fallback xmlns="">
        <xdr:sp macro="" textlink="">
          <xdr:nvSpPr>
            <xdr:cNvPr id="23" name="Textfeld 22">
              <a:extLst>
                <a:ext uri="{FF2B5EF4-FFF2-40B4-BE49-F238E27FC236}">
                  <a16:creationId xmlns:a16="http://schemas.microsoft.com/office/drawing/2014/main" id="{58A79260-729F-4DB7-AFFE-08A941CDFFE7}"/>
                </a:ext>
              </a:extLst>
            </xdr:cNvPr>
            <xdr:cNvSpPr txBox="1"/>
          </xdr:nvSpPr>
          <xdr:spPr>
            <a:xfrm>
              <a:off x="73571100" y="41090850"/>
              <a:ext cx="287451" cy="1976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_</a:t>
              </a:r>
              <a:r>
                <a:rPr lang="de-DE" sz="1100" b="0" i="0">
                  <a:latin typeface="Cambria Math" panose="02040503050406030204" pitchFamily="18" charset="0"/>
                </a:rPr>
                <a:t>𝑓^𝑐𝑜2</a:t>
              </a:r>
              <a:endParaRPr lang="en-US" sz="1100"/>
            </a:p>
          </xdr:txBody>
        </xdr:sp>
      </mc:Fallback>
    </mc:AlternateContent>
    <xdr:clientData/>
  </xdr:oneCellAnchor>
  <xdr:oneCellAnchor>
    <xdr:from>
      <xdr:col>82</xdr:col>
      <xdr:colOff>0</xdr:colOff>
      <xdr:row>223</xdr:row>
      <xdr:rowOff>0</xdr:rowOff>
    </xdr:from>
    <xdr:ext cx="541751" cy="237629"/>
    <mc:AlternateContent xmlns:mc="http://schemas.openxmlformats.org/markup-compatibility/2006" xmlns:a14="http://schemas.microsoft.com/office/drawing/2010/main">
      <mc:Choice Requires="a14">
        <xdr:sp macro="" textlink="">
          <xdr:nvSpPr>
            <xdr:cNvPr id="25" name="Textfeld 24">
              <a:extLst>
                <a:ext uri="{FF2B5EF4-FFF2-40B4-BE49-F238E27FC236}">
                  <a16:creationId xmlns:a16="http://schemas.microsoft.com/office/drawing/2014/main" id="{C0CD6C7A-861E-4521-9EEB-E5252C4E6739}"/>
                </a:ext>
              </a:extLst>
            </xdr:cNvPr>
            <xdr:cNvSpPr txBox="1"/>
          </xdr:nvSpPr>
          <xdr:spPr>
            <a:xfrm>
              <a:off x="73571100" y="42043350"/>
              <a:ext cx="541751" cy="237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US" sz="1100" i="1">
                            <a:solidFill>
                              <a:schemeClr val="tx1"/>
                            </a:solidFill>
                            <a:effectLst/>
                            <a:latin typeface="Cambria Math" panose="02040503050406030204" pitchFamily="18" charset="0"/>
                            <a:ea typeface="+mn-ea"/>
                            <a:cs typeface="+mn-cs"/>
                          </a:rPr>
                        </m:ctrlPr>
                      </m:sSubSupPr>
                      <m:e>
                        <m:r>
                          <a:rPr lang="de-DE" sz="1100" b="0" i="1">
                            <a:solidFill>
                              <a:schemeClr val="tx1"/>
                            </a:solidFill>
                            <a:effectLst/>
                            <a:latin typeface="Cambria Math" panose="02040503050406030204" pitchFamily="18" charset="0"/>
                            <a:ea typeface="+mn-ea"/>
                            <a:cs typeface="+mn-cs"/>
                          </a:rPr>
                          <m:t>𝑒</m:t>
                        </m:r>
                      </m:e>
                      <m:sub>
                        <m:r>
                          <a:rPr lang="de-DE" sz="1100" b="0" i="1">
                            <a:solidFill>
                              <a:schemeClr val="tx1"/>
                            </a:solidFill>
                            <a:effectLst/>
                            <a:latin typeface="Cambria Math" panose="02040503050406030204" pitchFamily="18" charset="0"/>
                            <a:ea typeface="+mn-ea"/>
                            <a:cs typeface="+mn-cs"/>
                          </a:rPr>
                          <m:t>𝑓</m:t>
                        </m:r>
                      </m:sub>
                      <m:sup>
                        <m:r>
                          <a:rPr lang="de-DE" sz="1100" b="0" i="1">
                            <a:solidFill>
                              <a:schemeClr val="tx1"/>
                            </a:solidFill>
                            <a:effectLst/>
                            <a:latin typeface="Cambria Math" panose="02040503050406030204" pitchFamily="18" charset="0"/>
                            <a:ea typeface="+mn-ea"/>
                            <a:cs typeface="+mn-cs"/>
                          </a:rPr>
                          <m:t>𝑓</m:t>
                        </m:r>
                        <m:r>
                          <a:rPr lang="de-DE" sz="1100" b="0" i="1">
                            <a:solidFill>
                              <a:schemeClr val="tx1"/>
                            </a:solidFill>
                            <a:effectLst/>
                            <a:latin typeface="Cambria Math" panose="02040503050406030204" pitchFamily="18" charset="0"/>
                            <a:ea typeface="+mn-ea"/>
                            <a:cs typeface="+mn-cs"/>
                          </a:rPr>
                          <m:t>,</m:t>
                        </m:r>
                        <m:r>
                          <a:rPr lang="de-DE" sz="1100" b="0" i="1">
                            <a:solidFill>
                              <a:schemeClr val="tx1"/>
                            </a:solidFill>
                            <a:effectLst/>
                            <a:latin typeface="Cambria Math" panose="02040503050406030204" pitchFamily="18" charset="0"/>
                            <a:ea typeface="+mn-ea"/>
                            <a:cs typeface="+mn-cs"/>
                          </a:rPr>
                          <m:t>𝑛h</m:t>
                        </m:r>
                        <m:r>
                          <a:rPr lang="de-DE" sz="1100" b="0" i="1">
                            <a:solidFill>
                              <a:schemeClr val="tx1"/>
                            </a:solidFill>
                            <a:effectLst/>
                            <a:latin typeface="Cambria Math" panose="02040503050406030204" pitchFamily="18" charset="0"/>
                            <a:ea typeface="+mn-ea"/>
                            <a:cs typeface="+mn-cs"/>
                          </a:rPr>
                          <m:t>3(</m:t>
                        </m:r>
                        <m:r>
                          <a:rPr lang="de-DE" sz="1100" b="0" i="1">
                            <a:solidFill>
                              <a:schemeClr val="tx1"/>
                            </a:solidFill>
                            <a:effectLst/>
                            <a:latin typeface="Cambria Math" panose="02040503050406030204" pitchFamily="18" charset="0"/>
                            <a:ea typeface="+mn-ea"/>
                            <a:cs typeface="+mn-cs"/>
                          </a:rPr>
                          <m:t>𝑣</m:t>
                        </m:r>
                        <m:r>
                          <a:rPr lang="de-DE" sz="1100" b="0" i="1">
                            <a:solidFill>
                              <a:schemeClr val="tx1"/>
                            </a:solidFill>
                            <a:effectLst/>
                            <a:latin typeface="Cambria Math" panose="02040503050406030204" pitchFamily="18" charset="0"/>
                            <a:ea typeface="+mn-ea"/>
                            <a:cs typeface="+mn-cs"/>
                          </a:rPr>
                          <m:t>)</m:t>
                        </m:r>
                      </m:sup>
                    </m:sSubSup>
                  </m:oMath>
                </m:oMathPara>
              </a14:m>
              <a:endParaRPr lang="en-US" sz="1100"/>
            </a:p>
          </xdr:txBody>
        </xdr:sp>
      </mc:Choice>
      <mc:Fallback xmlns="">
        <xdr:sp macro="" textlink="">
          <xdr:nvSpPr>
            <xdr:cNvPr id="25" name="Textfeld 24">
              <a:extLst>
                <a:ext uri="{FF2B5EF4-FFF2-40B4-BE49-F238E27FC236}">
                  <a16:creationId xmlns:a16="http://schemas.microsoft.com/office/drawing/2014/main" id="{C0CD6C7A-861E-4521-9EEB-E5252C4E6739}"/>
                </a:ext>
              </a:extLst>
            </xdr:cNvPr>
            <xdr:cNvSpPr txBox="1"/>
          </xdr:nvSpPr>
          <xdr:spPr>
            <a:xfrm>
              <a:off x="73571100" y="42043350"/>
              <a:ext cx="541751" cy="237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solidFill>
                    <a:schemeClr val="tx1"/>
                  </a:solidFill>
                  <a:effectLst/>
                  <a:latin typeface="Cambria Math" panose="02040503050406030204" pitchFamily="18" charset="0"/>
                  <a:ea typeface="+mn-ea"/>
                  <a:cs typeface="+mn-cs"/>
                </a:rPr>
                <a:t>𝑒</a:t>
              </a:r>
              <a:r>
                <a:rPr lang="en-US" sz="1100" b="0" i="0">
                  <a:solidFill>
                    <a:schemeClr val="tx1"/>
                  </a:solidFill>
                  <a:effectLst/>
                  <a:latin typeface="Cambria Math" panose="02040503050406030204" pitchFamily="18" charset="0"/>
                  <a:ea typeface="+mn-ea"/>
                  <a:cs typeface="+mn-cs"/>
                </a:rPr>
                <a:t>_</a:t>
              </a:r>
              <a:r>
                <a:rPr lang="de-DE" sz="1100" b="0" i="0">
                  <a:solidFill>
                    <a:schemeClr val="tx1"/>
                  </a:solidFill>
                  <a:effectLst/>
                  <a:latin typeface="Cambria Math" panose="02040503050406030204" pitchFamily="18" charset="0"/>
                  <a:ea typeface="+mn-ea"/>
                  <a:cs typeface="+mn-cs"/>
                </a:rPr>
                <a:t>𝑓^</a:t>
              </a:r>
              <a:r>
                <a:rPr lang="en-US" sz="1100" b="0" i="0">
                  <a:solidFill>
                    <a:schemeClr val="tx1"/>
                  </a:solidFill>
                  <a:effectLst/>
                  <a:latin typeface="Cambria Math" panose="02040503050406030204" pitchFamily="18" charset="0"/>
                  <a:ea typeface="+mn-ea"/>
                  <a:cs typeface="+mn-cs"/>
                </a:rPr>
                <a:t>(</a:t>
              </a:r>
              <a:r>
                <a:rPr lang="de-DE" sz="1100" b="0" i="0">
                  <a:solidFill>
                    <a:schemeClr val="tx1"/>
                  </a:solidFill>
                  <a:effectLst/>
                  <a:latin typeface="Cambria Math" panose="02040503050406030204" pitchFamily="18" charset="0"/>
                  <a:ea typeface="+mn-ea"/>
                  <a:cs typeface="+mn-cs"/>
                </a:rPr>
                <a:t>𝑓,𝑛ℎ3(𝑣)</a:t>
              </a:r>
              <a:r>
                <a:rPr lang="en-US" sz="1100" b="0" i="0">
                  <a:solidFill>
                    <a:schemeClr val="tx1"/>
                  </a:solidFill>
                  <a:effectLst/>
                  <a:latin typeface="Cambria Math" panose="02040503050406030204" pitchFamily="18" charset="0"/>
                  <a:ea typeface="+mn-ea"/>
                  <a:cs typeface="+mn-cs"/>
                </a:rPr>
                <a:t>)</a:t>
              </a:r>
              <a:endParaRPr lang="en-US" sz="1100"/>
            </a:p>
          </xdr:txBody>
        </xdr:sp>
      </mc:Fallback>
    </mc:AlternateContent>
    <xdr:clientData/>
  </xdr:oneCellAnchor>
  <xdr:oneCellAnchor>
    <xdr:from>
      <xdr:col>82</xdr:col>
      <xdr:colOff>0</xdr:colOff>
      <xdr:row>225</xdr:row>
      <xdr:rowOff>0</xdr:rowOff>
    </xdr:from>
    <xdr:ext cx="395365" cy="231154"/>
    <mc:AlternateContent xmlns:mc="http://schemas.openxmlformats.org/markup-compatibility/2006" xmlns:a14="http://schemas.microsoft.com/office/drawing/2010/main">
      <mc:Choice Requires="a14">
        <xdr:sp macro="" textlink="">
          <xdr:nvSpPr>
            <xdr:cNvPr id="26" name="Textfeld 25">
              <a:extLst>
                <a:ext uri="{FF2B5EF4-FFF2-40B4-BE49-F238E27FC236}">
                  <a16:creationId xmlns:a16="http://schemas.microsoft.com/office/drawing/2014/main" id="{EA69D78E-A848-41D4-9DCD-CCA96B9376DF}"/>
                </a:ext>
              </a:extLst>
            </xdr:cNvPr>
            <xdr:cNvSpPr txBox="1"/>
          </xdr:nvSpPr>
          <xdr:spPr>
            <a:xfrm>
              <a:off x="73571100" y="42424350"/>
              <a:ext cx="395365" cy="2311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US" sz="1100" i="1">
                            <a:solidFill>
                              <a:schemeClr val="tx1"/>
                            </a:solidFill>
                            <a:effectLst/>
                            <a:latin typeface="Cambria Math" panose="02040503050406030204" pitchFamily="18" charset="0"/>
                            <a:ea typeface="+mn-ea"/>
                            <a:cs typeface="+mn-cs"/>
                          </a:rPr>
                        </m:ctrlPr>
                      </m:sSubSupPr>
                      <m:e>
                        <m:r>
                          <a:rPr lang="de-DE" sz="1100" b="0" i="1">
                            <a:solidFill>
                              <a:schemeClr val="tx1"/>
                            </a:solidFill>
                            <a:effectLst/>
                            <a:latin typeface="Cambria Math" panose="02040503050406030204" pitchFamily="18" charset="0"/>
                            <a:ea typeface="+mn-ea"/>
                            <a:cs typeface="+mn-cs"/>
                          </a:rPr>
                          <m:t>𝑒</m:t>
                        </m:r>
                      </m:e>
                      <m:sub>
                        <m:r>
                          <a:rPr lang="de-DE" sz="1100" b="0" i="1">
                            <a:solidFill>
                              <a:schemeClr val="tx1"/>
                            </a:solidFill>
                            <a:effectLst/>
                            <a:latin typeface="Cambria Math" panose="02040503050406030204" pitchFamily="18" charset="0"/>
                            <a:ea typeface="+mn-ea"/>
                            <a:cs typeface="+mn-cs"/>
                          </a:rPr>
                          <m:t>𝑓</m:t>
                        </m:r>
                      </m:sub>
                      <m:sup>
                        <m:r>
                          <a:rPr lang="de-DE" sz="1100" b="0" i="1">
                            <a:solidFill>
                              <a:schemeClr val="tx1"/>
                            </a:solidFill>
                            <a:effectLst/>
                            <a:latin typeface="Cambria Math" panose="02040503050406030204" pitchFamily="18" charset="0"/>
                            <a:ea typeface="+mn-ea"/>
                            <a:cs typeface="+mn-cs"/>
                          </a:rPr>
                          <m:t>𝑓</m:t>
                        </m:r>
                        <m:r>
                          <a:rPr lang="de-DE" sz="1100" b="0" i="1">
                            <a:solidFill>
                              <a:schemeClr val="tx1"/>
                            </a:solidFill>
                            <a:effectLst/>
                            <a:latin typeface="Cambria Math" panose="02040503050406030204" pitchFamily="18" charset="0"/>
                            <a:ea typeface="+mn-ea"/>
                            <a:cs typeface="+mn-cs"/>
                          </a:rPr>
                          <m:t>,</m:t>
                        </m:r>
                        <m:r>
                          <a:rPr lang="de-DE" sz="1100" b="0" i="1">
                            <a:solidFill>
                              <a:schemeClr val="tx1"/>
                            </a:solidFill>
                            <a:effectLst/>
                            <a:latin typeface="Cambria Math" panose="02040503050406030204" pitchFamily="18" charset="0"/>
                            <a:ea typeface="+mn-ea"/>
                            <a:cs typeface="+mn-cs"/>
                          </a:rPr>
                          <m:t>𝑛h</m:t>
                        </m:r>
                        <m:r>
                          <a:rPr lang="de-DE" sz="1100" b="0" i="1">
                            <a:solidFill>
                              <a:schemeClr val="tx1"/>
                            </a:solidFill>
                            <a:effectLst/>
                            <a:latin typeface="Cambria Math" panose="02040503050406030204" pitchFamily="18" charset="0"/>
                            <a:ea typeface="+mn-ea"/>
                            <a:cs typeface="+mn-cs"/>
                          </a:rPr>
                          <m:t>3</m:t>
                        </m:r>
                      </m:sup>
                    </m:sSubSup>
                  </m:oMath>
                </m:oMathPara>
              </a14:m>
              <a:endParaRPr lang="en-US" sz="1100"/>
            </a:p>
          </xdr:txBody>
        </xdr:sp>
      </mc:Choice>
      <mc:Fallback xmlns="">
        <xdr:sp macro="" textlink="">
          <xdr:nvSpPr>
            <xdr:cNvPr id="26" name="Textfeld 25">
              <a:extLst>
                <a:ext uri="{FF2B5EF4-FFF2-40B4-BE49-F238E27FC236}">
                  <a16:creationId xmlns:a16="http://schemas.microsoft.com/office/drawing/2014/main" id="{EA69D78E-A848-41D4-9DCD-CCA96B9376DF}"/>
                </a:ext>
              </a:extLst>
            </xdr:cNvPr>
            <xdr:cNvSpPr txBox="1"/>
          </xdr:nvSpPr>
          <xdr:spPr>
            <a:xfrm>
              <a:off x="73571100" y="42424350"/>
              <a:ext cx="395365" cy="2311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solidFill>
                    <a:schemeClr val="tx1"/>
                  </a:solidFill>
                  <a:effectLst/>
                  <a:latin typeface="Cambria Math" panose="02040503050406030204" pitchFamily="18" charset="0"/>
                  <a:ea typeface="+mn-ea"/>
                  <a:cs typeface="+mn-cs"/>
                </a:rPr>
                <a:t>𝑒</a:t>
              </a:r>
              <a:r>
                <a:rPr lang="en-US" sz="1100" b="0" i="0">
                  <a:solidFill>
                    <a:schemeClr val="tx1"/>
                  </a:solidFill>
                  <a:effectLst/>
                  <a:latin typeface="Cambria Math" panose="02040503050406030204" pitchFamily="18" charset="0"/>
                  <a:ea typeface="+mn-ea"/>
                  <a:cs typeface="+mn-cs"/>
                </a:rPr>
                <a:t>_</a:t>
              </a:r>
              <a:r>
                <a:rPr lang="de-DE" sz="1100" b="0" i="0">
                  <a:solidFill>
                    <a:schemeClr val="tx1"/>
                  </a:solidFill>
                  <a:effectLst/>
                  <a:latin typeface="Cambria Math" panose="02040503050406030204" pitchFamily="18" charset="0"/>
                  <a:ea typeface="+mn-ea"/>
                  <a:cs typeface="+mn-cs"/>
                </a:rPr>
                <a:t>𝑓^</a:t>
              </a:r>
              <a:r>
                <a:rPr lang="en-US" sz="1100" b="0" i="0">
                  <a:solidFill>
                    <a:schemeClr val="tx1"/>
                  </a:solidFill>
                  <a:effectLst/>
                  <a:latin typeface="Cambria Math" panose="02040503050406030204" pitchFamily="18" charset="0"/>
                  <a:ea typeface="+mn-ea"/>
                  <a:cs typeface="+mn-cs"/>
                </a:rPr>
                <a:t>(</a:t>
              </a:r>
              <a:r>
                <a:rPr lang="de-DE" sz="1100" b="0" i="0">
                  <a:solidFill>
                    <a:schemeClr val="tx1"/>
                  </a:solidFill>
                  <a:effectLst/>
                  <a:latin typeface="Cambria Math" panose="02040503050406030204" pitchFamily="18" charset="0"/>
                  <a:ea typeface="+mn-ea"/>
                  <a:cs typeface="+mn-cs"/>
                </a:rPr>
                <a:t>𝑓,𝑛ℎ3</a:t>
              </a:r>
              <a:r>
                <a:rPr lang="en-US" sz="1100" b="0" i="0">
                  <a:solidFill>
                    <a:schemeClr val="tx1"/>
                  </a:solidFill>
                  <a:effectLst/>
                  <a:latin typeface="Cambria Math" panose="02040503050406030204" pitchFamily="18" charset="0"/>
                  <a:ea typeface="+mn-ea"/>
                  <a:cs typeface="+mn-cs"/>
                </a:rPr>
                <a:t>)</a:t>
              </a:r>
              <a:endParaRPr lang="en-US" sz="1100"/>
            </a:p>
          </xdr:txBody>
        </xdr:sp>
      </mc:Fallback>
    </mc:AlternateContent>
    <xdr:clientData/>
  </xdr:oneCellAnchor>
  <xdr:oneCellAnchor>
    <xdr:from>
      <xdr:col>82</xdr:col>
      <xdr:colOff>0</xdr:colOff>
      <xdr:row>231</xdr:row>
      <xdr:rowOff>0</xdr:rowOff>
    </xdr:from>
    <xdr:ext cx="287451" cy="197618"/>
    <mc:AlternateContent xmlns:mc="http://schemas.openxmlformats.org/markup-compatibility/2006" xmlns:a14="http://schemas.microsoft.com/office/drawing/2010/main">
      <mc:Choice Requires="a14">
        <xdr:sp macro="" textlink="">
          <xdr:nvSpPr>
            <xdr:cNvPr id="27" name="Textfeld 26">
              <a:extLst>
                <a:ext uri="{FF2B5EF4-FFF2-40B4-BE49-F238E27FC236}">
                  <a16:creationId xmlns:a16="http://schemas.microsoft.com/office/drawing/2014/main" id="{F6B30C03-B1D0-4756-9913-616FC61CBBD7}"/>
                </a:ext>
              </a:extLst>
            </xdr:cNvPr>
            <xdr:cNvSpPr txBox="1"/>
          </xdr:nvSpPr>
          <xdr:spPr>
            <a:xfrm>
              <a:off x="78876525" y="43948350"/>
              <a:ext cx="287451" cy="1976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US" sz="1100" i="1">
                            <a:latin typeface="Cambria Math" panose="02040503050406030204" pitchFamily="18" charset="0"/>
                          </a:rPr>
                        </m:ctrlPr>
                      </m:sSubSupPr>
                      <m:e>
                        <m:r>
                          <a:rPr lang="de-DE" sz="1100" b="0" i="1">
                            <a:latin typeface="Cambria Math" panose="02040503050406030204" pitchFamily="18" charset="0"/>
                          </a:rPr>
                          <m:t>𝑒</m:t>
                        </m:r>
                      </m:e>
                      <m:sub>
                        <m:r>
                          <a:rPr lang="de-DE" sz="1100" b="0" i="1">
                            <a:latin typeface="Cambria Math" panose="02040503050406030204" pitchFamily="18" charset="0"/>
                          </a:rPr>
                          <m:t>𝑓</m:t>
                        </m:r>
                      </m:sub>
                      <m:sup>
                        <m:r>
                          <a:rPr lang="de-DE" sz="1100" b="0" i="1">
                            <a:latin typeface="Cambria Math" panose="02040503050406030204" pitchFamily="18" charset="0"/>
                          </a:rPr>
                          <m:t>𝑐𝑜</m:t>
                        </m:r>
                        <m:r>
                          <a:rPr lang="de-DE" sz="1100" b="0" i="1">
                            <a:latin typeface="Cambria Math" panose="02040503050406030204" pitchFamily="18" charset="0"/>
                          </a:rPr>
                          <m:t>2</m:t>
                        </m:r>
                      </m:sup>
                    </m:sSubSup>
                  </m:oMath>
                </m:oMathPara>
              </a14:m>
              <a:endParaRPr lang="en-US" sz="1100"/>
            </a:p>
          </xdr:txBody>
        </xdr:sp>
      </mc:Choice>
      <mc:Fallback xmlns="">
        <xdr:sp macro="" textlink="">
          <xdr:nvSpPr>
            <xdr:cNvPr id="27" name="Textfeld 26">
              <a:extLst>
                <a:ext uri="{FF2B5EF4-FFF2-40B4-BE49-F238E27FC236}">
                  <a16:creationId xmlns:a16="http://schemas.microsoft.com/office/drawing/2014/main" id="{F6B30C03-B1D0-4756-9913-616FC61CBBD7}"/>
                </a:ext>
              </a:extLst>
            </xdr:cNvPr>
            <xdr:cNvSpPr txBox="1"/>
          </xdr:nvSpPr>
          <xdr:spPr>
            <a:xfrm>
              <a:off x="78876525" y="43948350"/>
              <a:ext cx="287451" cy="1976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𝑒</a:t>
              </a:r>
              <a:r>
                <a:rPr lang="en-US" sz="1100" b="0" i="0">
                  <a:latin typeface="Cambria Math" panose="02040503050406030204" pitchFamily="18" charset="0"/>
                </a:rPr>
                <a:t>_</a:t>
              </a:r>
              <a:r>
                <a:rPr lang="de-DE" sz="1100" b="0" i="0">
                  <a:latin typeface="Cambria Math" panose="02040503050406030204" pitchFamily="18" charset="0"/>
                </a:rPr>
                <a:t>𝑓^𝑐𝑜2</a:t>
              </a:r>
              <a:endParaRPr lang="en-US" sz="1100"/>
            </a:p>
          </xdr:txBody>
        </xdr:sp>
      </mc:Fallback>
    </mc:AlternateContent>
    <xdr:clientData/>
  </xdr:oneCellAnchor>
  <xdr:oneCellAnchor>
    <xdr:from>
      <xdr:col>83</xdr:col>
      <xdr:colOff>0</xdr:colOff>
      <xdr:row>231</xdr:row>
      <xdr:rowOff>0</xdr:rowOff>
    </xdr:from>
    <xdr:ext cx="541751" cy="237629"/>
    <mc:AlternateContent xmlns:mc="http://schemas.openxmlformats.org/markup-compatibility/2006" xmlns:a14="http://schemas.microsoft.com/office/drawing/2010/main">
      <mc:Choice Requires="a14">
        <xdr:sp macro="" textlink="">
          <xdr:nvSpPr>
            <xdr:cNvPr id="28" name="Textfeld 27">
              <a:extLst>
                <a:ext uri="{FF2B5EF4-FFF2-40B4-BE49-F238E27FC236}">
                  <a16:creationId xmlns:a16="http://schemas.microsoft.com/office/drawing/2014/main" id="{F7CA4B51-9DAE-466A-A449-05F663853754}"/>
                </a:ext>
              </a:extLst>
            </xdr:cNvPr>
            <xdr:cNvSpPr txBox="1"/>
          </xdr:nvSpPr>
          <xdr:spPr>
            <a:xfrm>
              <a:off x="79724250" y="43948350"/>
              <a:ext cx="541751" cy="237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US" sz="1100" i="1">
                            <a:solidFill>
                              <a:schemeClr val="tx1"/>
                            </a:solidFill>
                            <a:effectLst/>
                            <a:latin typeface="Cambria Math" panose="02040503050406030204" pitchFamily="18" charset="0"/>
                            <a:ea typeface="+mn-ea"/>
                            <a:cs typeface="+mn-cs"/>
                          </a:rPr>
                        </m:ctrlPr>
                      </m:sSubSupPr>
                      <m:e>
                        <m:r>
                          <a:rPr lang="de-DE" sz="1100" b="0" i="1">
                            <a:solidFill>
                              <a:schemeClr val="tx1"/>
                            </a:solidFill>
                            <a:effectLst/>
                            <a:latin typeface="Cambria Math" panose="02040503050406030204" pitchFamily="18" charset="0"/>
                            <a:ea typeface="+mn-ea"/>
                            <a:cs typeface="+mn-cs"/>
                          </a:rPr>
                          <m:t>𝑒</m:t>
                        </m:r>
                      </m:e>
                      <m:sub>
                        <m:r>
                          <a:rPr lang="de-DE" sz="1100" b="0" i="1">
                            <a:solidFill>
                              <a:schemeClr val="tx1"/>
                            </a:solidFill>
                            <a:effectLst/>
                            <a:latin typeface="Cambria Math" panose="02040503050406030204" pitchFamily="18" charset="0"/>
                            <a:ea typeface="+mn-ea"/>
                            <a:cs typeface="+mn-cs"/>
                          </a:rPr>
                          <m:t>𝑓</m:t>
                        </m:r>
                      </m:sub>
                      <m:sup>
                        <m:r>
                          <a:rPr lang="de-DE" sz="1100" b="0" i="1">
                            <a:solidFill>
                              <a:schemeClr val="tx1"/>
                            </a:solidFill>
                            <a:effectLst/>
                            <a:latin typeface="Cambria Math" panose="02040503050406030204" pitchFamily="18" charset="0"/>
                            <a:ea typeface="+mn-ea"/>
                            <a:cs typeface="+mn-cs"/>
                          </a:rPr>
                          <m:t>𝑓</m:t>
                        </m:r>
                        <m:r>
                          <a:rPr lang="de-DE" sz="1100" b="0" i="1">
                            <a:solidFill>
                              <a:schemeClr val="tx1"/>
                            </a:solidFill>
                            <a:effectLst/>
                            <a:latin typeface="Cambria Math" panose="02040503050406030204" pitchFamily="18" charset="0"/>
                            <a:ea typeface="+mn-ea"/>
                            <a:cs typeface="+mn-cs"/>
                          </a:rPr>
                          <m:t>,</m:t>
                        </m:r>
                        <m:r>
                          <a:rPr lang="de-DE" sz="1100" b="0" i="1">
                            <a:solidFill>
                              <a:schemeClr val="tx1"/>
                            </a:solidFill>
                            <a:effectLst/>
                            <a:latin typeface="Cambria Math" panose="02040503050406030204" pitchFamily="18" charset="0"/>
                            <a:ea typeface="+mn-ea"/>
                            <a:cs typeface="+mn-cs"/>
                          </a:rPr>
                          <m:t>𝑛h</m:t>
                        </m:r>
                        <m:r>
                          <a:rPr lang="de-DE" sz="1100" b="0" i="1">
                            <a:solidFill>
                              <a:schemeClr val="tx1"/>
                            </a:solidFill>
                            <a:effectLst/>
                            <a:latin typeface="Cambria Math" panose="02040503050406030204" pitchFamily="18" charset="0"/>
                            <a:ea typeface="+mn-ea"/>
                            <a:cs typeface="+mn-cs"/>
                          </a:rPr>
                          <m:t>3(</m:t>
                        </m:r>
                        <m:r>
                          <a:rPr lang="de-DE" sz="1100" b="0" i="1">
                            <a:solidFill>
                              <a:schemeClr val="tx1"/>
                            </a:solidFill>
                            <a:effectLst/>
                            <a:latin typeface="Cambria Math" panose="02040503050406030204" pitchFamily="18" charset="0"/>
                            <a:ea typeface="+mn-ea"/>
                            <a:cs typeface="+mn-cs"/>
                          </a:rPr>
                          <m:t>𝑣</m:t>
                        </m:r>
                        <m:r>
                          <a:rPr lang="de-DE" sz="1100" b="0" i="1">
                            <a:solidFill>
                              <a:schemeClr val="tx1"/>
                            </a:solidFill>
                            <a:effectLst/>
                            <a:latin typeface="Cambria Math" panose="02040503050406030204" pitchFamily="18" charset="0"/>
                            <a:ea typeface="+mn-ea"/>
                            <a:cs typeface="+mn-cs"/>
                          </a:rPr>
                          <m:t>)</m:t>
                        </m:r>
                      </m:sup>
                    </m:sSubSup>
                  </m:oMath>
                </m:oMathPara>
              </a14:m>
              <a:endParaRPr lang="en-US" sz="1100"/>
            </a:p>
          </xdr:txBody>
        </xdr:sp>
      </mc:Choice>
      <mc:Fallback xmlns="">
        <xdr:sp macro="" textlink="">
          <xdr:nvSpPr>
            <xdr:cNvPr id="28" name="Textfeld 27">
              <a:extLst>
                <a:ext uri="{FF2B5EF4-FFF2-40B4-BE49-F238E27FC236}">
                  <a16:creationId xmlns:a16="http://schemas.microsoft.com/office/drawing/2014/main" id="{F7CA4B51-9DAE-466A-A449-05F663853754}"/>
                </a:ext>
              </a:extLst>
            </xdr:cNvPr>
            <xdr:cNvSpPr txBox="1"/>
          </xdr:nvSpPr>
          <xdr:spPr>
            <a:xfrm>
              <a:off x="79724250" y="43948350"/>
              <a:ext cx="541751" cy="237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solidFill>
                    <a:schemeClr val="tx1"/>
                  </a:solidFill>
                  <a:effectLst/>
                  <a:latin typeface="Cambria Math" panose="02040503050406030204" pitchFamily="18" charset="0"/>
                  <a:ea typeface="+mn-ea"/>
                  <a:cs typeface="+mn-cs"/>
                </a:rPr>
                <a:t>𝑒</a:t>
              </a:r>
              <a:r>
                <a:rPr lang="en-US" sz="1100" b="0" i="0">
                  <a:solidFill>
                    <a:schemeClr val="tx1"/>
                  </a:solidFill>
                  <a:effectLst/>
                  <a:latin typeface="Cambria Math" panose="02040503050406030204" pitchFamily="18" charset="0"/>
                  <a:ea typeface="+mn-ea"/>
                  <a:cs typeface="+mn-cs"/>
                </a:rPr>
                <a:t>_</a:t>
              </a:r>
              <a:r>
                <a:rPr lang="de-DE" sz="1100" b="0" i="0">
                  <a:solidFill>
                    <a:schemeClr val="tx1"/>
                  </a:solidFill>
                  <a:effectLst/>
                  <a:latin typeface="Cambria Math" panose="02040503050406030204" pitchFamily="18" charset="0"/>
                  <a:ea typeface="+mn-ea"/>
                  <a:cs typeface="+mn-cs"/>
                </a:rPr>
                <a:t>𝑓^</a:t>
              </a:r>
              <a:r>
                <a:rPr lang="en-US" sz="1100" b="0" i="0">
                  <a:solidFill>
                    <a:schemeClr val="tx1"/>
                  </a:solidFill>
                  <a:effectLst/>
                  <a:latin typeface="Cambria Math" panose="02040503050406030204" pitchFamily="18" charset="0"/>
                  <a:ea typeface="+mn-ea"/>
                  <a:cs typeface="+mn-cs"/>
                </a:rPr>
                <a:t>(</a:t>
              </a:r>
              <a:r>
                <a:rPr lang="de-DE" sz="1100" b="0" i="0">
                  <a:solidFill>
                    <a:schemeClr val="tx1"/>
                  </a:solidFill>
                  <a:effectLst/>
                  <a:latin typeface="Cambria Math" panose="02040503050406030204" pitchFamily="18" charset="0"/>
                  <a:ea typeface="+mn-ea"/>
                  <a:cs typeface="+mn-cs"/>
                </a:rPr>
                <a:t>𝑓,𝑛ℎ3(𝑣)</a:t>
              </a:r>
              <a:r>
                <a:rPr lang="en-US" sz="1100" b="0" i="0">
                  <a:solidFill>
                    <a:schemeClr val="tx1"/>
                  </a:solidFill>
                  <a:effectLst/>
                  <a:latin typeface="Cambria Math" panose="02040503050406030204" pitchFamily="18" charset="0"/>
                  <a:ea typeface="+mn-ea"/>
                  <a:cs typeface="+mn-cs"/>
                </a:rPr>
                <a:t>)</a:t>
              </a:r>
              <a:endParaRPr lang="en-US" sz="1100"/>
            </a:p>
          </xdr:txBody>
        </xdr:sp>
      </mc:Fallback>
    </mc:AlternateContent>
    <xdr:clientData/>
  </xdr:oneCellAnchor>
  <xdr:oneCellAnchor>
    <xdr:from>
      <xdr:col>84</xdr:col>
      <xdr:colOff>0</xdr:colOff>
      <xdr:row>231</xdr:row>
      <xdr:rowOff>0</xdr:rowOff>
    </xdr:from>
    <xdr:ext cx="395365" cy="231154"/>
    <mc:AlternateContent xmlns:mc="http://schemas.openxmlformats.org/markup-compatibility/2006" xmlns:a14="http://schemas.microsoft.com/office/drawing/2010/main">
      <mc:Choice Requires="a14">
        <xdr:sp macro="" textlink="">
          <xdr:nvSpPr>
            <xdr:cNvPr id="29" name="Textfeld 28">
              <a:extLst>
                <a:ext uri="{FF2B5EF4-FFF2-40B4-BE49-F238E27FC236}">
                  <a16:creationId xmlns:a16="http://schemas.microsoft.com/office/drawing/2014/main" id="{F2928F10-BB4A-44A9-9C50-938D8197F37B}"/>
                </a:ext>
              </a:extLst>
            </xdr:cNvPr>
            <xdr:cNvSpPr txBox="1"/>
          </xdr:nvSpPr>
          <xdr:spPr>
            <a:xfrm>
              <a:off x="80571975" y="43948350"/>
              <a:ext cx="395365" cy="2311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US" sz="1100" i="1">
                            <a:solidFill>
                              <a:schemeClr val="tx1"/>
                            </a:solidFill>
                            <a:effectLst/>
                            <a:latin typeface="Cambria Math" panose="02040503050406030204" pitchFamily="18" charset="0"/>
                            <a:ea typeface="+mn-ea"/>
                            <a:cs typeface="+mn-cs"/>
                          </a:rPr>
                        </m:ctrlPr>
                      </m:sSubSupPr>
                      <m:e>
                        <m:r>
                          <a:rPr lang="de-DE" sz="1100" b="0" i="1">
                            <a:solidFill>
                              <a:schemeClr val="tx1"/>
                            </a:solidFill>
                            <a:effectLst/>
                            <a:latin typeface="Cambria Math" panose="02040503050406030204" pitchFamily="18" charset="0"/>
                            <a:ea typeface="+mn-ea"/>
                            <a:cs typeface="+mn-cs"/>
                          </a:rPr>
                          <m:t>𝑒</m:t>
                        </m:r>
                      </m:e>
                      <m:sub>
                        <m:r>
                          <a:rPr lang="de-DE" sz="1100" b="0" i="1">
                            <a:solidFill>
                              <a:schemeClr val="tx1"/>
                            </a:solidFill>
                            <a:effectLst/>
                            <a:latin typeface="Cambria Math" panose="02040503050406030204" pitchFamily="18" charset="0"/>
                            <a:ea typeface="+mn-ea"/>
                            <a:cs typeface="+mn-cs"/>
                          </a:rPr>
                          <m:t>𝑓</m:t>
                        </m:r>
                      </m:sub>
                      <m:sup>
                        <m:r>
                          <a:rPr lang="de-DE" sz="1100" b="0" i="1">
                            <a:solidFill>
                              <a:schemeClr val="tx1"/>
                            </a:solidFill>
                            <a:effectLst/>
                            <a:latin typeface="Cambria Math" panose="02040503050406030204" pitchFamily="18" charset="0"/>
                            <a:ea typeface="+mn-ea"/>
                            <a:cs typeface="+mn-cs"/>
                          </a:rPr>
                          <m:t>𝑓</m:t>
                        </m:r>
                        <m:r>
                          <a:rPr lang="de-DE" sz="1100" b="0" i="1">
                            <a:solidFill>
                              <a:schemeClr val="tx1"/>
                            </a:solidFill>
                            <a:effectLst/>
                            <a:latin typeface="Cambria Math" panose="02040503050406030204" pitchFamily="18" charset="0"/>
                            <a:ea typeface="+mn-ea"/>
                            <a:cs typeface="+mn-cs"/>
                          </a:rPr>
                          <m:t>,</m:t>
                        </m:r>
                        <m:r>
                          <a:rPr lang="de-DE" sz="1100" b="0" i="1">
                            <a:solidFill>
                              <a:schemeClr val="tx1"/>
                            </a:solidFill>
                            <a:effectLst/>
                            <a:latin typeface="Cambria Math" panose="02040503050406030204" pitchFamily="18" charset="0"/>
                            <a:ea typeface="+mn-ea"/>
                            <a:cs typeface="+mn-cs"/>
                          </a:rPr>
                          <m:t>𝑛h</m:t>
                        </m:r>
                        <m:r>
                          <a:rPr lang="de-DE" sz="1100" b="0" i="1">
                            <a:solidFill>
                              <a:schemeClr val="tx1"/>
                            </a:solidFill>
                            <a:effectLst/>
                            <a:latin typeface="Cambria Math" panose="02040503050406030204" pitchFamily="18" charset="0"/>
                            <a:ea typeface="+mn-ea"/>
                            <a:cs typeface="+mn-cs"/>
                          </a:rPr>
                          <m:t>3</m:t>
                        </m:r>
                      </m:sup>
                    </m:sSubSup>
                  </m:oMath>
                </m:oMathPara>
              </a14:m>
              <a:endParaRPr lang="en-US" sz="1100"/>
            </a:p>
          </xdr:txBody>
        </xdr:sp>
      </mc:Choice>
      <mc:Fallback xmlns="">
        <xdr:sp macro="" textlink="">
          <xdr:nvSpPr>
            <xdr:cNvPr id="29" name="Textfeld 28">
              <a:extLst>
                <a:ext uri="{FF2B5EF4-FFF2-40B4-BE49-F238E27FC236}">
                  <a16:creationId xmlns:a16="http://schemas.microsoft.com/office/drawing/2014/main" id="{F2928F10-BB4A-44A9-9C50-938D8197F37B}"/>
                </a:ext>
              </a:extLst>
            </xdr:cNvPr>
            <xdr:cNvSpPr txBox="1"/>
          </xdr:nvSpPr>
          <xdr:spPr>
            <a:xfrm>
              <a:off x="80571975" y="43948350"/>
              <a:ext cx="395365" cy="2311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solidFill>
                    <a:schemeClr val="tx1"/>
                  </a:solidFill>
                  <a:effectLst/>
                  <a:latin typeface="Cambria Math" panose="02040503050406030204" pitchFamily="18" charset="0"/>
                  <a:ea typeface="+mn-ea"/>
                  <a:cs typeface="+mn-cs"/>
                </a:rPr>
                <a:t>𝑒</a:t>
              </a:r>
              <a:r>
                <a:rPr lang="en-US" sz="1100" b="0" i="0">
                  <a:solidFill>
                    <a:schemeClr val="tx1"/>
                  </a:solidFill>
                  <a:effectLst/>
                  <a:latin typeface="Cambria Math" panose="02040503050406030204" pitchFamily="18" charset="0"/>
                  <a:ea typeface="+mn-ea"/>
                  <a:cs typeface="+mn-cs"/>
                </a:rPr>
                <a:t>_</a:t>
              </a:r>
              <a:r>
                <a:rPr lang="de-DE" sz="1100" b="0" i="0">
                  <a:solidFill>
                    <a:schemeClr val="tx1"/>
                  </a:solidFill>
                  <a:effectLst/>
                  <a:latin typeface="Cambria Math" panose="02040503050406030204" pitchFamily="18" charset="0"/>
                  <a:ea typeface="+mn-ea"/>
                  <a:cs typeface="+mn-cs"/>
                </a:rPr>
                <a:t>𝑓^</a:t>
              </a:r>
              <a:r>
                <a:rPr lang="en-US" sz="1100" b="0" i="0">
                  <a:solidFill>
                    <a:schemeClr val="tx1"/>
                  </a:solidFill>
                  <a:effectLst/>
                  <a:latin typeface="Cambria Math" panose="02040503050406030204" pitchFamily="18" charset="0"/>
                  <a:ea typeface="+mn-ea"/>
                  <a:cs typeface="+mn-cs"/>
                </a:rPr>
                <a:t>(</a:t>
              </a:r>
              <a:r>
                <a:rPr lang="de-DE" sz="1100" b="0" i="0">
                  <a:solidFill>
                    <a:schemeClr val="tx1"/>
                  </a:solidFill>
                  <a:effectLst/>
                  <a:latin typeface="Cambria Math" panose="02040503050406030204" pitchFamily="18" charset="0"/>
                  <a:ea typeface="+mn-ea"/>
                  <a:cs typeface="+mn-cs"/>
                </a:rPr>
                <a:t>𝑓,𝑛ℎ3</a:t>
              </a:r>
              <a:r>
                <a:rPr lang="en-US" sz="1100" b="0" i="0">
                  <a:solidFill>
                    <a:schemeClr val="tx1"/>
                  </a:solidFill>
                  <a:effectLst/>
                  <a:latin typeface="Cambria Math" panose="02040503050406030204" pitchFamily="18" charset="0"/>
                  <a:ea typeface="+mn-ea"/>
                  <a:cs typeface="+mn-cs"/>
                </a:rPr>
                <a:t>)</a:t>
              </a:r>
              <a:endParaRPr lang="en-U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08%20-%20ResLab\04_Food\ANALYSIS.xlsx" TargetMode="External"/><Relationship Id="rId1" Type="http://schemas.openxmlformats.org/officeDocument/2006/relationships/externalLinkPath" Target="file:///N:\08%20-%20ResLab\04_Food\ANALYSI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08%20-%20ResLab\04_Food\07%20PAPER\001_JCP\Revision%202\Subsidies\Dings%20CAP%20und%20so.xlsx" TargetMode="External"/><Relationship Id="rId1" Type="http://schemas.openxmlformats.org/officeDocument/2006/relationships/externalLinkPath" Target="file:///N:\08%20-%20ResLab\04_Food\07%20PAPER\001_JCP\Revision%202\Subsidies\Dings%20CAP%20und%20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RISON_IPCC_EPH (O1-O10)"/>
      <sheetName val="COMPARISON_EPH_IPCC (O-O4)"/>
      <sheetName val="COMPARISON_IPCC_EPH_lb"/>
      <sheetName val="COMPARISON_IPCC_EPH_ub"/>
      <sheetName val="COMPARISON_TPF"/>
      <sheetName val="Cattle_IPCC_EPH"/>
      <sheetName val="Total sensitivity"/>
      <sheetName val="Beitrag GWP in €"/>
      <sheetName val="Graphs yield &amp; manure"/>
      <sheetName val="Graphs EP"/>
      <sheetName val="Graphs Prices"/>
      <sheetName val="Graphs cattle"/>
      <sheetName val="Graphs Prices_manure"/>
      <sheetName val="SCENARIOS"/>
      <sheetName val="UNITS &amp; PRICING"/>
      <sheetName val="MARKET &amp; CALORIES"/>
      <sheetName val="Overview Prices &amp; Externalities"/>
      <sheetName val="Barley"/>
      <sheetName val="Broad beans"/>
      <sheetName val="Green beans"/>
      <sheetName val="Linseed"/>
      <sheetName val="Lupins"/>
      <sheetName val="Maize"/>
      <sheetName val="Mustard seed"/>
      <sheetName val="Oat"/>
      <sheetName val="Peas, dry"/>
      <sheetName val="Peas, green"/>
      <sheetName val="Potatoes"/>
      <sheetName val="Rapeseed"/>
      <sheetName val="Rye"/>
      <sheetName val="Soybeans"/>
      <sheetName val="Sugar beet"/>
      <sheetName val="Sunflower seed"/>
      <sheetName val="Triticale"/>
      <sheetName val="Wheat"/>
      <sheetName val="Broilers"/>
      <sheetName val="Beef cattle"/>
      <sheetName val="Dairy cow"/>
      <sheetName val="German cattle mix"/>
      <sheetName val="Eggs"/>
      <sheetName val="Milk"/>
      <sheetName val="Pigs"/>
      <sheetName val="obsolet"/>
      <sheetName val="obsolet (2)"/>
      <sheetName val="obsolet (3)"/>
    </sheetNames>
    <sheetDataSet>
      <sheetData sheetId="0"/>
      <sheetData sheetId="1">
        <row r="276">
          <cell r="B276" t="str">
            <v>Barley</v>
          </cell>
          <cell r="F276" t="str">
            <v>C</v>
          </cell>
          <cell r="L276">
            <v>0.21084</v>
          </cell>
          <cell r="N276">
            <v>0.60760087202515978</v>
          </cell>
          <cell r="O276">
            <v>0.39676087202515975</v>
          </cell>
        </row>
        <row r="277">
          <cell r="B277" t="str">
            <v>Barley</v>
          </cell>
          <cell r="F277" t="str">
            <v>O</v>
          </cell>
          <cell r="L277">
            <v>0.43951000000000001</v>
          </cell>
          <cell r="N277">
            <v>0.68840806958063128</v>
          </cell>
          <cell r="O277">
            <v>0.24889806958063124</v>
          </cell>
        </row>
        <row r="278">
          <cell r="B278" t="str">
            <v>Barley</v>
          </cell>
          <cell r="F278" t="str">
            <v>O1</v>
          </cell>
          <cell r="L278">
            <v>0.43951000000000001</v>
          </cell>
          <cell r="N278">
            <v>0.72649765103250763</v>
          </cell>
          <cell r="O278">
            <v>0.28698765103250767</v>
          </cell>
        </row>
        <row r="279">
          <cell r="B279" t="str">
            <v>Barley</v>
          </cell>
          <cell r="F279" t="str">
            <v>O2</v>
          </cell>
          <cell r="L279">
            <v>0.43951000000000001</v>
          </cell>
          <cell r="N279">
            <v>0.6592149057889316</v>
          </cell>
          <cell r="O279">
            <v>0.21970490578893165</v>
          </cell>
        </row>
        <row r="280">
          <cell r="B280" t="str">
            <v>Barley</v>
          </cell>
          <cell r="F280" t="str">
            <v>O3</v>
          </cell>
          <cell r="L280">
            <v>0.43951000000000001</v>
          </cell>
          <cell r="N280">
            <v>0.73951964132901105</v>
          </cell>
          <cell r="O280">
            <v>0.30000964132901098</v>
          </cell>
        </row>
        <row r="281">
          <cell r="B281" t="str">
            <v>Barley</v>
          </cell>
          <cell r="F281" t="str">
            <v>O4</v>
          </cell>
          <cell r="L281">
            <v>0.43951000000000001</v>
          </cell>
          <cell r="N281">
            <v>0.7768779265070751</v>
          </cell>
          <cell r="O281">
            <v>0.33736792650707509</v>
          </cell>
        </row>
        <row r="282">
          <cell r="B282" t="str">
            <v>Maize</v>
          </cell>
          <cell r="F282" t="str">
            <v>C</v>
          </cell>
          <cell r="L282">
            <v>0.19115317137940699</v>
          </cell>
          <cell r="N282">
            <v>0.55028518081666633</v>
          </cell>
          <cell r="O282">
            <v>0.35913200943725937</v>
          </cell>
        </row>
        <row r="283">
          <cell r="B283" t="str">
            <v>Maize</v>
          </cell>
          <cell r="F283" t="str">
            <v>O</v>
          </cell>
          <cell r="L283">
            <v>0.46051038847432407</v>
          </cell>
          <cell r="N283">
            <v>0.62407604891486879</v>
          </cell>
          <cell r="O283">
            <v>0.16356566044054471</v>
          </cell>
        </row>
        <row r="284">
          <cell r="B284" t="str">
            <v>Maize</v>
          </cell>
          <cell r="F284" t="str">
            <v>O1</v>
          </cell>
          <cell r="L284">
            <v>0.46051038847432407</v>
          </cell>
          <cell r="N284">
            <v>0.66551855410223681</v>
          </cell>
          <cell r="O284">
            <v>0.20500816562791274</v>
          </cell>
        </row>
        <row r="285">
          <cell r="B285" t="str">
            <v>Maize</v>
          </cell>
          <cell r="F285" t="str">
            <v>O2</v>
          </cell>
          <cell r="L285">
            <v>0.46051038847432407</v>
          </cell>
          <cell r="N285">
            <v>0.59646812552982698</v>
          </cell>
          <cell r="O285">
            <v>0.13595773705550293</v>
          </cell>
        </row>
        <row r="286">
          <cell r="B286" t="str">
            <v>Maize</v>
          </cell>
          <cell r="F286" t="str">
            <v>O3</v>
          </cell>
          <cell r="L286">
            <v>0.46051038847432407</v>
          </cell>
          <cell r="N286">
            <v>0.65620909674453609</v>
          </cell>
          <cell r="O286">
            <v>0.19569870827021205</v>
          </cell>
        </row>
        <row r="287">
          <cell r="B287" t="str">
            <v>Maize</v>
          </cell>
          <cell r="F287" t="str">
            <v>O4</v>
          </cell>
          <cell r="L287">
            <v>0.46051038847432407</v>
          </cell>
          <cell r="N287">
            <v>0.67988451897077085</v>
          </cell>
          <cell r="O287">
            <v>0.2193741304964468</v>
          </cell>
        </row>
        <row r="288">
          <cell r="B288" t="str">
            <v>Oat</v>
          </cell>
          <cell r="F288" t="str">
            <v>C</v>
          </cell>
          <cell r="L288">
            <v>0.18564647389881783</v>
          </cell>
          <cell r="N288">
            <v>0.70064386913456933</v>
          </cell>
          <cell r="O288">
            <v>0.5149973952357515</v>
          </cell>
        </row>
        <row r="289">
          <cell r="B289" t="str">
            <v>Oat</v>
          </cell>
          <cell r="F289" t="str">
            <v>O</v>
          </cell>
          <cell r="L289">
            <v>0.37645999999999996</v>
          </cell>
          <cell r="N289">
            <v>0.60620325678129694</v>
          </cell>
          <cell r="O289">
            <v>0.22974325678129701</v>
          </cell>
        </row>
        <row r="290">
          <cell r="B290" t="str">
            <v>Oat</v>
          </cell>
          <cell r="F290" t="str">
            <v>O1</v>
          </cell>
          <cell r="L290">
            <v>0.37645999999999996</v>
          </cell>
          <cell r="N290">
            <v>0.62106675530904598</v>
          </cell>
          <cell r="O290">
            <v>0.24460675530904599</v>
          </cell>
        </row>
        <row r="291">
          <cell r="B291" t="str">
            <v>Oat</v>
          </cell>
          <cell r="F291" t="str">
            <v>O2</v>
          </cell>
          <cell r="L291">
            <v>0.37645999999999996</v>
          </cell>
          <cell r="N291">
            <v>0.59303408561031079</v>
          </cell>
          <cell r="O291">
            <v>0.21657408561031086</v>
          </cell>
        </row>
        <row r="292">
          <cell r="B292" t="str">
            <v>Oat</v>
          </cell>
          <cell r="F292" t="str">
            <v>O3</v>
          </cell>
          <cell r="L292">
            <v>0.37645999999999996</v>
          </cell>
          <cell r="N292">
            <v>0.65585810131647637</v>
          </cell>
          <cell r="O292">
            <v>0.27939810131647635</v>
          </cell>
        </row>
        <row r="293">
          <cell r="B293" t="str">
            <v>Oat</v>
          </cell>
          <cell r="F293" t="str">
            <v>O4</v>
          </cell>
          <cell r="L293">
            <v>0.37645999999999996</v>
          </cell>
          <cell r="N293">
            <v>0.69215453495414836</v>
          </cell>
          <cell r="O293">
            <v>0.3156945349541484</v>
          </cell>
        </row>
        <row r="294">
          <cell r="B294" t="str">
            <v>Rye</v>
          </cell>
          <cell r="F294" t="str">
            <v>C</v>
          </cell>
          <cell r="L294">
            <v>0.17004</v>
          </cell>
          <cell r="N294">
            <v>0.63068481199772464</v>
          </cell>
          <cell r="O294">
            <v>0.46064481199772461</v>
          </cell>
        </row>
        <row r="295">
          <cell r="B295" t="str">
            <v>Rye</v>
          </cell>
          <cell r="F295" t="str">
            <v>O</v>
          </cell>
          <cell r="L295">
            <v>0.37839999999999996</v>
          </cell>
          <cell r="N295">
            <v>0.64462696184844914</v>
          </cell>
          <cell r="O295">
            <v>0.26622696184844918</v>
          </cell>
        </row>
        <row r="296">
          <cell r="B296" t="str">
            <v>Rye</v>
          </cell>
          <cell r="F296" t="str">
            <v>O1</v>
          </cell>
          <cell r="L296">
            <v>0.37839999999999996</v>
          </cell>
          <cell r="N296">
            <v>0.71874655619664618</v>
          </cell>
          <cell r="O296">
            <v>0.34034655619664617</v>
          </cell>
        </row>
        <row r="297">
          <cell r="B297" t="str">
            <v>Rye</v>
          </cell>
          <cell r="F297" t="str">
            <v>O2</v>
          </cell>
          <cell r="L297">
            <v>0.37839999999999996</v>
          </cell>
          <cell r="N297">
            <v>0.5969208646126688</v>
          </cell>
          <cell r="O297">
            <v>0.21852086461266887</v>
          </cell>
        </row>
        <row r="298">
          <cell r="B298" t="str">
            <v>Rye</v>
          </cell>
          <cell r="F298" t="str">
            <v>O3</v>
          </cell>
          <cell r="L298">
            <v>0.37839999999999996</v>
          </cell>
          <cell r="N298">
            <v>0.70125749215319166</v>
          </cell>
          <cell r="O298">
            <v>0.32285749215319171</v>
          </cell>
        </row>
        <row r="299">
          <cell r="B299" t="str">
            <v>Rye</v>
          </cell>
          <cell r="F299" t="str">
            <v>O4</v>
          </cell>
          <cell r="L299">
            <v>0.37839999999999996</v>
          </cell>
          <cell r="N299">
            <v>0.7426937869789606</v>
          </cell>
          <cell r="O299">
            <v>0.36429378697896064</v>
          </cell>
        </row>
        <row r="300">
          <cell r="B300" t="str">
            <v>Triticale</v>
          </cell>
          <cell r="F300" t="str">
            <v>C</v>
          </cell>
          <cell r="L300">
            <v>0.19027961896782761</v>
          </cell>
          <cell r="N300">
            <v>0.59952816901506589</v>
          </cell>
          <cell r="O300">
            <v>0.40924855004723826</v>
          </cell>
        </row>
        <row r="301">
          <cell r="B301" t="str">
            <v>Triticale</v>
          </cell>
          <cell r="F301" t="str">
            <v>O</v>
          </cell>
          <cell r="L301">
            <v>0.4056506487491307</v>
          </cell>
          <cell r="N301">
            <v>0.64556224256727335</v>
          </cell>
          <cell r="O301">
            <v>0.23991159381814259</v>
          </cell>
        </row>
        <row r="302">
          <cell r="B302" t="str">
            <v>Triticale</v>
          </cell>
          <cell r="F302" t="str">
            <v>O1</v>
          </cell>
          <cell r="L302">
            <v>0.4056506487491307</v>
          </cell>
          <cell r="N302">
            <v>0.71089133421327821</v>
          </cell>
          <cell r="O302">
            <v>0.30524068546414751</v>
          </cell>
        </row>
        <row r="303">
          <cell r="B303" t="str">
            <v>Triticale</v>
          </cell>
          <cell r="F303" t="str">
            <v>O2</v>
          </cell>
          <cell r="L303">
            <v>0.4056506487491307</v>
          </cell>
          <cell r="N303">
            <v>0.60319127193478084</v>
          </cell>
          <cell r="O303">
            <v>0.1975406231856501</v>
          </cell>
        </row>
        <row r="304">
          <cell r="B304" t="str">
            <v>Triticale</v>
          </cell>
          <cell r="F304" t="str">
            <v>O3</v>
          </cell>
          <cell r="L304">
            <v>0.4056506487491307</v>
          </cell>
          <cell r="N304">
            <v>0.69505781520693377</v>
          </cell>
          <cell r="O304">
            <v>0.28940716645780307</v>
          </cell>
        </row>
        <row r="305">
          <cell r="B305" t="str">
            <v>Triticale</v>
          </cell>
          <cell r="F305" t="str">
            <v>O4</v>
          </cell>
          <cell r="L305">
            <v>0.4056506487491307</v>
          </cell>
          <cell r="N305">
            <v>0.73137481190680242</v>
          </cell>
          <cell r="O305">
            <v>0.32572416315767166</v>
          </cell>
        </row>
        <row r="306">
          <cell r="B306" t="str">
            <v>Wheat</v>
          </cell>
          <cell r="F306" t="str">
            <v>C</v>
          </cell>
          <cell r="L306">
            <v>0.18195499999999998</v>
          </cell>
          <cell r="N306">
            <v>0.51821511341935533</v>
          </cell>
          <cell r="O306">
            <v>0.33626011341935536</v>
          </cell>
        </row>
        <row r="307">
          <cell r="B307" t="str">
            <v>Wheat</v>
          </cell>
          <cell r="F307" t="str">
            <v>O</v>
          </cell>
          <cell r="L307">
            <v>0.41675000000000001</v>
          </cell>
          <cell r="N307">
            <v>0.63333780970658948</v>
          </cell>
          <cell r="O307">
            <v>0.21658780970658945</v>
          </cell>
        </row>
        <row r="308">
          <cell r="B308" t="str">
            <v>Wheat</v>
          </cell>
          <cell r="F308" t="str">
            <v>O1</v>
          </cell>
          <cell r="L308">
            <v>0.41675000000000001</v>
          </cell>
          <cell r="N308">
            <v>0.69008966693386076</v>
          </cell>
          <cell r="O308">
            <v>0.2733396669338608</v>
          </cell>
        </row>
        <row r="309">
          <cell r="B309" t="str">
            <v>Wheat</v>
          </cell>
          <cell r="F309" t="str">
            <v>O2</v>
          </cell>
          <cell r="L309">
            <v>0.41675000000000001</v>
          </cell>
          <cell r="N309">
            <v>0.59604873097877309</v>
          </cell>
          <cell r="O309">
            <v>0.17929873097877308</v>
          </cell>
        </row>
        <row r="310">
          <cell r="B310" t="str">
            <v>Wheat</v>
          </cell>
          <cell r="F310" t="str">
            <v>O3</v>
          </cell>
          <cell r="L310">
            <v>0.41675000000000001</v>
          </cell>
          <cell r="N310">
            <v>0.67610922789373529</v>
          </cell>
          <cell r="O310">
            <v>0.25935922789373522</v>
          </cell>
        </row>
        <row r="311">
          <cell r="B311" t="str">
            <v>Wheat</v>
          </cell>
          <cell r="F311" t="str">
            <v>O4</v>
          </cell>
          <cell r="L311">
            <v>0.41675000000000001</v>
          </cell>
          <cell r="N311">
            <v>0.70747888169706641</v>
          </cell>
          <cell r="O311">
            <v>0.2907288816970664</v>
          </cell>
        </row>
        <row r="312">
          <cell r="B312" t="str">
            <v>Broad beans</v>
          </cell>
          <cell r="F312" t="str">
            <v>C</v>
          </cell>
          <cell r="L312">
            <v>1.4249898934019873</v>
          </cell>
          <cell r="N312">
            <v>2.1632012421240017</v>
          </cell>
          <cell r="O312">
            <v>0.73821134872201433</v>
          </cell>
        </row>
        <row r="313">
          <cell r="B313" t="str">
            <v>Broad beans</v>
          </cell>
          <cell r="F313" t="str">
            <v>O</v>
          </cell>
          <cell r="L313">
            <v>3.49</v>
          </cell>
          <cell r="N313">
            <v>3.8436046543995088</v>
          </cell>
          <cell r="O313">
            <v>0.35360465439950844</v>
          </cell>
        </row>
        <row r="314">
          <cell r="B314" t="str">
            <v>Broad beans</v>
          </cell>
          <cell r="F314" t="str">
            <v>O1</v>
          </cell>
          <cell r="L314">
            <v>3.49</v>
          </cell>
          <cell r="N314">
            <v>3.9624420485506984</v>
          </cell>
          <cell r="O314">
            <v>0.47244204855069832</v>
          </cell>
        </row>
        <row r="315">
          <cell r="B315" t="str">
            <v>Broad beans</v>
          </cell>
          <cell r="F315" t="str">
            <v>O2</v>
          </cell>
          <cell r="L315">
            <v>3.49</v>
          </cell>
          <cell r="N315">
            <v>3.7724191806673972</v>
          </cell>
          <cell r="O315">
            <v>0.28241918066739718</v>
          </cell>
        </row>
        <row r="316">
          <cell r="B316" t="str">
            <v>Broad beans</v>
          </cell>
          <cell r="F316" t="str">
            <v>O3</v>
          </cell>
          <cell r="L316">
            <v>3.49</v>
          </cell>
          <cell r="N316">
            <v>3.9197088688626907</v>
          </cell>
          <cell r="O316">
            <v>0.42970886886269044</v>
          </cell>
        </row>
        <row r="317">
          <cell r="B317" t="str">
            <v>Broad beans</v>
          </cell>
          <cell r="F317" t="str">
            <v>O4</v>
          </cell>
          <cell r="L317">
            <v>3.49</v>
          </cell>
          <cell r="N317">
            <v>3.9752798192105407</v>
          </cell>
          <cell r="O317">
            <v>0.48527981921054048</v>
          </cell>
        </row>
        <row r="318">
          <cell r="B318" t="str">
            <v>Green beans</v>
          </cell>
          <cell r="F318" t="str">
            <v>C</v>
          </cell>
          <cell r="L318">
            <v>1.7680061710892687</v>
          </cell>
          <cell r="N318">
            <v>2.1104088784892032</v>
          </cell>
          <cell r="O318">
            <v>0.34240270739993439</v>
          </cell>
        </row>
        <row r="319">
          <cell r="B319" t="str">
            <v>Green beans</v>
          </cell>
          <cell r="F319" t="str">
            <v>O</v>
          </cell>
          <cell r="L319">
            <v>4.28</v>
          </cell>
          <cell r="N319">
            <v>4.3945915652206464</v>
          </cell>
          <cell r="O319">
            <v>0.11459156522064635</v>
          </cell>
        </row>
        <row r="320">
          <cell r="B320" t="str">
            <v>Green beans</v>
          </cell>
          <cell r="F320" t="str">
            <v>O1</v>
          </cell>
          <cell r="L320">
            <v>4.28</v>
          </cell>
          <cell r="N320">
            <v>4.4319454986860363</v>
          </cell>
          <cell r="O320">
            <v>0.15194549868603596</v>
          </cell>
        </row>
        <row r="321">
          <cell r="B321" t="str">
            <v>Green beans</v>
          </cell>
          <cell r="F321" t="str">
            <v>O2</v>
          </cell>
          <cell r="L321">
            <v>4.28</v>
          </cell>
          <cell r="N321">
            <v>4.371977560877025</v>
          </cell>
          <cell r="O321">
            <v>9.197756087702523E-2</v>
          </cell>
        </row>
        <row r="322">
          <cell r="B322" t="str">
            <v>Green beans</v>
          </cell>
          <cell r="F322" t="str">
            <v>O3</v>
          </cell>
          <cell r="L322">
            <v>4.28</v>
          </cell>
          <cell r="N322">
            <v>4.4211631453372098</v>
          </cell>
          <cell r="O322">
            <v>0.14116314533720981</v>
          </cell>
        </row>
        <row r="323">
          <cell r="B323" t="str">
            <v>Green beans</v>
          </cell>
          <cell r="F323" t="str">
            <v>O4</v>
          </cell>
          <cell r="L323">
            <v>4.28</v>
          </cell>
          <cell r="N323">
            <v>4.4404521153683749</v>
          </cell>
          <cell r="O323">
            <v>0.16045211536837428</v>
          </cell>
        </row>
        <row r="324">
          <cell r="B324" t="str">
            <v>Lupins</v>
          </cell>
          <cell r="F324" t="str">
            <v>C</v>
          </cell>
          <cell r="L324">
            <v>1.5016681086919641</v>
          </cell>
          <cell r="N324">
            <v>3.1315640994621008</v>
          </cell>
          <cell r="O324">
            <v>1.6298959907701365</v>
          </cell>
        </row>
        <row r="325">
          <cell r="B325" t="str">
            <v>Lupins</v>
          </cell>
          <cell r="F325" t="str">
            <v>O</v>
          </cell>
          <cell r="L325">
            <v>3.677795697780804</v>
          </cell>
          <cell r="N325">
            <v>4.4985445719648833</v>
          </cell>
          <cell r="O325">
            <v>0.82074887418407982</v>
          </cell>
        </row>
        <row r="326">
          <cell r="B326" t="str">
            <v>Lupins</v>
          </cell>
          <cell r="F326" t="str">
            <v>O1</v>
          </cell>
          <cell r="L326">
            <v>3.677795697780804</v>
          </cell>
          <cell r="N326">
            <v>4.7789926900029682</v>
          </cell>
          <cell r="O326">
            <v>1.1011969922221645</v>
          </cell>
        </row>
        <row r="327">
          <cell r="B327" t="str">
            <v>Lupins</v>
          </cell>
          <cell r="F327" t="str">
            <v>O2</v>
          </cell>
          <cell r="L327">
            <v>3.677795697780804</v>
          </cell>
          <cell r="N327">
            <v>4.3317409185476317</v>
          </cell>
          <cell r="O327">
            <v>0.65394522076682782</v>
          </cell>
        </row>
        <row r="328">
          <cell r="B328" t="str">
            <v>Lupins</v>
          </cell>
          <cell r="F328" t="str">
            <v>O3</v>
          </cell>
          <cell r="L328">
            <v>3.677795697780804</v>
          </cell>
          <cell r="N328">
            <v>4.67398869186027</v>
          </cell>
          <cell r="O328">
            <v>0.9961929940794656</v>
          </cell>
        </row>
        <row r="329">
          <cell r="B329" t="str">
            <v>Lupins</v>
          </cell>
          <cell r="F329" t="str">
            <v>O4</v>
          </cell>
          <cell r="L329">
            <v>3.677795697780804</v>
          </cell>
          <cell r="N329">
            <v>4.801674183277159</v>
          </cell>
          <cell r="O329">
            <v>1.1238784854963548</v>
          </cell>
        </row>
        <row r="330">
          <cell r="B330" t="str">
            <v>Peas, green</v>
          </cell>
          <cell r="F330" t="str">
            <v>C</v>
          </cell>
          <cell r="L330">
            <v>1.2070093457943925</v>
          </cell>
          <cell r="N330">
            <v>1.6303687521298416</v>
          </cell>
          <cell r="O330">
            <v>0.42335940633544905</v>
          </cell>
        </row>
        <row r="331">
          <cell r="B331" t="str">
            <v>Peas, green</v>
          </cell>
          <cell r="F331" t="str">
            <v>O</v>
          </cell>
          <cell r="L331">
            <v>3.15</v>
          </cell>
          <cell r="N331">
            <v>3.379630595675323</v>
          </cell>
          <cell r="O331">
            <v>0.22963059567532315</v>
          </cell>
        </row>
        <row r="332">
          <cell r="B332" t="str">
            <v>Peas, green</v>
          </cell>
          <cell r="F332" t="str">
            <v>O1</v>
          </cell>
          <cell r="L332">
            <v>3.15</v>
          </cell>
          <cell r="N332">
            <v>3.4566667032489162</v>
          </cell>
          <cell r="O332">
            <v>0.30666670324891632</v>
          </cell>
        </row>
        <row r="333">
          <cell r="B333" t="str">
            <v>Peas, green</v>
          </cell>
          <cell r="F333" t="str">
            <v>O2</v>
          </cell>
          <cell r="L333">
            <v>3.15</v>
          </cell>
          <cell r="N333">
            <v>3.3335105453895482</v>
          </cell>
          <cell r="O333">
            <v>0.18351054538954811</v>
          </cell>
        </row>
        <row r="334">
          <cell r="B334" t="str">
            <v>Peas, green</v>
          </cell>
          <cell r="F334" t="str">
            <v>O3</v>
          </cell>
          <cell r="L334">
            <v>3.15</v>
          </cell>
          <cell r="N334">
            <v>3.4313676182809814</v>
          </cell>
          <cell r="O334">
            <v>0.28136761828098128</v>
          </cell>
        </row>
        <row r="335">
          <cell r="B335" t="str">
            <v>Peas, green</v>
          </cell>
          <cell r="F335" t="str">
            <v>O4</v>
          </cell>
          <cell r="L335">
            <v>3.15</v>
          </cell>
          <cell r="N335">
            <v>3.4689257222509058</v>
          </cell>
          <cell r="O335">
            <v>0.31892572225090593</v>
          </cell>
        </row>
        <row r="336">
          <cell r="B336" t="str">
            <v>Soybeans</v>
          </cell>
          <cell r="F336" t="str">
            <v>C</v>
          </cell>
          <cell r="L336">
            <v>0.32371000000000005</v>
          </cell>
          <cell r="N336">
            <v>1.3041062697327033</v>
          </cell>
          <cell r="O336">
            <v>0.98039626973270333</v>
          </cell>
        </row>
        <row r="337">
          <cell r="B337" t="str">
            <v>Soybeans</v>
          </cell>
          <cell r="F337" t="str">
            <v>O</v>
          </cell>
          <cell r="L337">
            <v>0.70413000000000003</v>
          </cell>
          <cell r="N337">
            <v>1.3302412556503156</v>
          </cell>
          <cell r="O337">
            <v>0.62611125565031545</v>
          </cell>
        </row>
        <row r="338">
          <cell r="B338" t="str">
            <v>Soybeans</v>
          </cell>
          <cell r="F338" t="str">
            <v>O1</v>
          </cell>
          <cell r="L338">
            <v>0.70413000000000003</v>
          </cell>
          <cell r="N338">
            <v>1.549077017752666</v>
          </cell>
          <cell r="O338">
            <v>0.84494701775266601</v>
          </cell>
        </row>
        <row r="339">
          <cell r="B339" t="str">
            <v>Soybeans</v>
          </cell>
          <cell r="F339" t="str">
            <v>O2</v>
          </cell>
          <cell r="L339">
            <v>0.70413000000000003</v>
          </cell>
          <cell r="N339">
            <v>1.2011165546345279</v>
          </cell>
          <cell r="O339">
            <v>0.49698655463452801</v>
          </cell>
        </row>
        <row r="340">
          <cell r="B340" t="str">
            <v>Soybeans</v>
          </cell>
          <cell r="F340" t="str">
            <v>O3</v>
          </cell>
          <cell r="L340">
            <v>0.70413000000000003</v>
          </cell>
          <cell r="N340">
            <v>1.4617812258645233</v>
          </cell>
          <cell r="O340">
            <v>0.75765122586452316</v>
          </cell>
        </row>
        <row r="341">
          <cell r="B341" t="str">
            <v>Soybeans</v>
          </cell>
          <cell r="F341" t="str">
            <v>O4</v>
          </cell>
          <cell r="L341">
            <v>0.70413000000000003</v>
          </cell>
          <cell r="N341">
            <v>1.5579392550346371</v>
          </cell>
          <cell r="O341">
            <v>0.85380925503463712</v>
          </cell>
        </row>
        <row r="342">
          <cell r="B342" t="str">
            <v>Linseed</v>
          </cell>
          <cell r="F342" t="str">
            <v>C</v>
          </cell>
          <cell r="L342">
            <v>0.33</v>
          </cell>
          <cell r="N342">
            <v>2.2122445556642441</v>
          </cell>
          <cell r="O342">
            <v>1.882244555664244</v>
          </cell>
        </row>
        <row r="343">
          <cell r="B343" t="str">
            <v>Linseed</v>
          </cell>
          <cell r="F343" t="str">
            <v>O</v>
          </cell>
          <cell r="L343">
            <v>3</v>
          </cell>
          <cell r="N343">
            <v>4.1133260184734244</v>
          </cell>
          <cell r="O343">
            <v>1.1133260184734246</v>
          </cell>
        </row>
        <row r="344">
          <cell r="B344" t="str">
            <v>Linseed</v>
          </cell>
          <cell r="F344" t="str">
            <v>O1</v>
          </cell>
          <cell r="L344">
            <v>3</v>
          </cell>
          <cell r="N344">
            <v>4.3961634983720064</v>
          </cell>
          <cell r="O344">
            <v>1.3961634983720068</v>
          </cell>
        </row>
        <row r="345">
          <cell r="B345" t="str">
            <v>Linseed</v>
          </cell>
          <cell r="F345" t="str">
            <v>O2</v>
          </cell>
          <cell r="L345">
            <v>3</v>
          </cell>
          <cell r="N345">
            <v>3.9254595691214291</v>
          </cell>
          <cell r="O345">
            <v>0.92545956912142902</v>
          </cell>
        </row>
        <row r="346">
          <cell r="B346" t="str">
            <v>Linseed</v>
          </cell>
          <cell r="F346" t="str">
            <v>O3</v>
          </cell>
          <cell r="L346">
            <v>3</v>
          </cell>
          <cell r="N346">
            <v>4.3623804144090244</v>
          </cell>
          <cell r="O346">
            <v>1.3623804144090248</v>
          </cell>
        </row>
        <row r="347">
          <cell r="B347" t="str">
            <v>Linseed</v>
          </cell>
          <cell r="F347" t="str">
            <v>O4</v>
          </cell>
          <cell r="L347">
            <v>3</v>
          </cell>
          <cell r="N347">
            <v>4.5439220543039847</v>
          </cell>
          <cell r="O347">
            <v>1.5439220543039844</v>
          </cell>
        </row>
        <row r="348">
          <cell r="B348" t="str">
            <v>Mustard seed</v>
          </cell>
          <cell r="F348" t="str">
            <v>C</v>
          </cell>
          <cell r="L348">
            <v>0.7434325684016676</v>
          </cell>
          <cell r="N348">
            <v>3.1686568199912264</v>
          </cell>
          <cell r="O348">
            <v>2.4252242515895586</v>
          </cell>
        </row>
        <row r="349">
          <cell r="B349" t="str">
            <v>Mustard seed</v>
          </cell>
          <cell r="F349" t="str">
            <v>O</v>
          </cell>
          <cell r="L349">
            <v>3.5</v>
          </cell>
          <cell r="N349">
            <v>4.7678609299139332</v>
          </cell>
          <cell r="O349">
            <v>1.2678609299139327</v>
          </cell>
        </row>
        <row r="350">
          <cell r="B350" t="str">
            <v>Mustard seed</v>
          </cell>
          <cell r="F350" t="str">
            <v>O1</v>
          </cell>
          <cell r="L350">
            <v>3.5</v>
          </cell>
          <cell r="N350">
            <v>5.0793059793161577</v>
          </cell>
          <cell r="O350">
            <v>1.5793059793161577</v>
          </cell>
        </row>
        <row r="351">
          <cell r="B351" t="str">
            <v>Mustard seed</v>
          </cell>
          <cell r="F351" t="str">
            <v>O2</v>
          </cell>
          <cell r="L351">
            <v>3.5</v>
          </cell>
          <cell r="N351">
            <v>4.5588350549136951</v>
          </cell>
          <cell r="O351">
            <v>1.0588350549136949</v>
          </cell>
        </row>
        <row r="352">
          <cell r="B352" t="str">
            <v>Mustard seed</v>
          </cell>
          <cell r="F352" t="str">
            <v>O3</v>
          </cell>
          <cell r="L352">
            <v>3.5</v>
          </cell>
          <cell r="N352">
            <v>5.0534793230373172</v>
          </cell>
          <cell r="O352">
            <v>1.5534793230373176</v>
          </cell>
        </row>
        <row r="353">
          <cell r="B353" t="str">
            <v>Mustard seed</v>
          </cell>
          <cell r="F353" t="str">
            <v>O4</v>
          </cell>
          <cell r="L353">
            <v>3.5</v>
          </cell>
          <cell r="N353">
            <v>5.2612741765179818</v>
          </cell>
          <cell r="O353">
            <v>1.7612741765179818</v>
          </cell>
        </row>
        <row r="354">
          <cell r="B354" t="str">
            <v>Rapeseed</v>
          </cell>
          <cell r="F354" t="str">
            <v>C</v>
          </cell>
          <cell r="L354">
            <v>0.35311999999999999</v>
          </cell>
          <cell r="N354">
            <v>1.2230791870108271</v>
          </cell>
          <cell r="O354">
            <v>0.86995918701082708</v>
          </cell>
        </row>
        <row r="355">
          <cell r="B355" t="str">
            <v>Rapeseed</v>
          </cell>
          <cell r="F355" t="str">
            <v>O</v>
          </cell>
          <cell r="L355">
            <v>0.91249000000000002</v>
          </cell>
          <cell r="N355">
            <v>1.3454550332704776</v>
          </cell>
          <cell r="O355">
            <v>0.43296503327047747</v>
          </cell>
        </row>
        <row r="356">
          <cell r="B356" t="str">
            <v>Rapeseed</v>
          </cell>
          <cell r="F356" t="str">
            <v>O1</v>
          </cell>
          <cell r="L356">
            <v>0.91249000000000002</v>
          </cell>
          <cell r="N356">
            <v>1.449604470828362</v>
          </cell>
          <cell r="O356">
            <v>0.53711447082836195</v>
          </cell>
        </row>
        <row r="357">
          <cell r="B357" t="str">
            <v>Rapeseed</v>
          </cell>
          <cell r="F357" t="str">
            <v>O2</v>
          </cell>
          <cell r="L357">
            <v>0.91249000000000002</v>
          </cell>
          <cell r="N357">
            <v>1.2750605653856508</v>
          </cell>
          <cell r="O357">
            <v>0.36257056538565074</v>
          </cell>
        </row>
        <row r="358">
          <cell r="B358" t="str">
            <v>Rapeseed</v>
          </cell>
          <cell r="F358" t="str">
            <v>O3</v>
          </cell>
          <cell r="L358">
            <v>0.91249000000000002</v>
          </cell>
          <cell r="N358">
            <v>1.433912908814269</v>
          </cell>
          <cell r="O358">
            <v>0.521422908814269</v>
          </cell>
        </row>
        <row r="359">
          <cell r="B359" t="str">
            <v>Rapeseed</v>
          </cell>
          <cell r="F359" t="str">
            <v>O4</v>
          </cell>
          <cell r="L359">
            <v>0.91249000000000002</v>
          </cell>
          <cell r="N359">
            <v>1.498740310252046</v>
          </cell>
          <cell r="O359">
            <v>0.58625031025204599</v>
          </cell>
        </row>
        <row r="360">
          <cell r="B360" t="str">
            <v>Sunflower seed</v>
          </cell>
          <cell r="F360" t="str">
            <v>C</v>
          </cell>
          <cell r="L360">
            <v>0.29699999999999999</v>
          </cell>
          <cell r="N360">
            <v>1.6536495896358767</v>
          </cell>
          <cell r="O360">
            <v>1.3566495896358768</v>
          </cell>
        </row>
        <row r="361">
          <cell r="B361" t="str">
            <v>Sunflower seed</v>
          </cell>
          <cell r="F361" t="str">
            <v>O</v>
          </cell>
          <cell r="L361">
            <v>0.72726000000000002</v>
          </cell>
          <cell r="N361">
            <v>1.5267984293222234</v>
          </cell>
          <cell r="O361">
            <v>0.79953842932222341</v>
          </cell>
        </row>
        <row r="362">
          <cell r="B362" t="str">
            <v>Sunflower seed</v>
          </cell>
          <cell r="F362" t="str">
            <v>O1</v>
          </cell>
          <cell r="L362">
            <v>0.72726000000000002</v>
          </cell>
          <cell r="N362">
            <v>1.7232617819495319</v>
          </cell>
          <cell r="O362">
            <v>0.99600178194953193</v>
          </cell>
        </row>
        <row r="363">
          <cell r="B363" t="str">
            <v>Sunflower seed</v>
          </cell>
          <cell r="F363" t="str">
            <v>O2</v>
          </cell>
          <cell r="L363">
            <v>0.72726000000000002</v>
          </cell>
          <cell r="N363">
            <v>1.3949154341941239</v>
          </cell>
          <cell r="O363">
            <v>0.66765543419412376</v>
          </cell>
        </row>
        <row r="364">
          <cell r="B364" t="str">
            <v>Sunflower seed</v>
          </cell>
          <cell r="F364" t="str">
            <v>O3</v>
          </cell>
          <cell r="L364">
            <v>0.72726000000000002</v>
          </cell>
          <cell r="N364">
            <v>1.7019400933532411</v>
          </cell>
          <cell r="O364">
            <v>0.97468009335324113</v>
          </cell>
        </row>
        <row r="365">
          <cell r="B365" t="str">
            <v>Sunflower seed</v>
          </cell>
          <cell r="F365" t="str">
            <v>O4</v>
          </cell>
          <cell r="L365">
            <v>0.72726000000000002</v>
          </cell>
          <cell r="N365">
            <v>1.8295446298646409</v>
          </cell>
          <cell r="O365">
            <v>1.1022846298646409</v>
          </cell>
        </row>
        <row r="366">
          <cell r="B366" t="str">
            <v>Potatoes</v>
          </cell>
          <cell r="F366" t="str">
            <v>C</v>
          </cell>
          <cell r="L366">
            <v>0.23780000000000001</v>
          </cell>
          <cell r="N366">
            <v>0.49281105017031818</v>
          </cell>
          <cell r="O366">
            <v>0.25501105017031817</v>
          </cell>
        </row>
        <row r="367">
          <cell r="B367" t="str">
            <v>Potatoes</v>
          </cell>
          <cell r="F367" t="str">
            <v>O</v>
          </cell>
          <cell r="L367">
            <v>1.79</v>
          </cell>
          <cell r="N367">
            <v>1.8339975305164025</v>
          </cell>
          <cell r="O367">
            <v>4.3997530516402372E-2</v>
          </cell>
        </row>
        <row r="368">
          <cell r="B368" t="str">
            <v>Potatoes</v>
          </cell>
          <cell r="F368" t="str">
            <v>O1</v>
          </cell>
          <cell r="L368">
            <v>1.79</v>
          </cell>
          <cell r="N368">
            <v>1.8568627002454705</v>
          </cell>
          <cell r="O368">
            <v>6.6862700245470488E-2</v>
          </cell>
        </row>
        <row r="369">
          <cell r="B369" t="str">
            <v>Potatoes</v>
          </cell>
          <cell r="F369" t="str">
            <v>O2</v>
          </cell>
          <cell r="L369">
            <v>1.79</v>
          </cell>
          <cell r="N369">
            <v>1.8227526829312564</v>
          </cell>
          <cell r="O369">
            <v>3.2752682931256265E-2</v>
          </cell>
        </row>
        <row r="370">
          <cell r="B370" t="str">
            <v>Potatoes</v>
          </cell>
          <cell r="F370" t="str">
            <v>O3</v>
          </cell>
          <cell r="L370">
            <v>1.79</v>
          </cell>
          <cell r="N370">
            <v>1.8420030676727981</v>
          </cell>
          <cell r="O370">
            <v>5.2003067672798164E-2</v>
          </cell>
        </row>
        <row r="371">
          <cell r="B371" t="str">
            <v>Potatoes</v>
          </cell>
          <cell r="F371" t="str">
            <v>O4</v>
          </cell>
          <cell r="L371">
            <v>1.79</v>
          </cell>
          <cell r="N371">
            <v>1.8478216737621609</v>
          </cell>
          <cell r="O371">
            <v>5.7821673762160783E-2</v>
          </cell>
        </row>
        <row r="372">
          <cell r="B372" t="str">
            <v>Sugar beet</v>
          </cell>
          <cell r="F372" t="str">
            <v>C</v>
          </cell>
          <cell r="L372">
            <v>0.28999999999999998</v>
          </cell>
          <cell r="N372">
            <v>0.33775998914896554</v>
          </cell>
          <cell r="O372">
            <v>4.7759989148965565E-2</v>
          </cell>
        </row>
        <row r="373">
          <cell r="B373" t="str">
            <v>Sugar beet</v>
          </cell>
          <cell r="F373" t="str">
            <v>O</v>
          </cell>
          <cell r="L373">
            <v>1.33</v>
          </cell>
          <cell r="N373">
            <v>1.356008871129132</v>
          </cell>
          <cell r="O373">
            <v>2.6008871129131934E-2</v>
          </cell>
        </row>
        <row r="374">
          <cell r="B374" t="str">
            <v>Sugar beet</v>
          </cell>
          <cell r="F374" t="str">
            <v>O1</v>
          </cell>
          <cell r="L374">
            <v>1.33</v>
          </cell>
          <cell r="N374">
            <v>1.3669081585911493</v>
          </cell>
          <cell r="O374">
            <v>3.6908158591149334E-2</v>
          </cell>
        </row>
        <row r="375">
          <cell r="B375" t="str">
            <v>Sugar beet</v>
          </cell>
          <cell r="F375" t="str">
            <v>O2</v>
          </cell>
          <cell r="L375">
            <v>1.33</v>
          </cell>
          <cell r="N375">
            <v>1.3500679662536907</v>
          </cell>
          <cell r="O375">
            <v>2.006796625369078E-2</v>
          </cell>
        </row>
        <row r="376">
          <cell r="B376" t="str">
            <v>Sugar beet</v>
          </cell>
          <cell r="F376" t="str">
            <v>O3</v>
          </cell>
          <cell r="L376">
            <v>1.33</v>
          </cell>
          <cell r="N376">
            <v>1.3604444011439978</v>
          </cell>
          <cell r="O376">
            <v>3.0444401143997702E-2</v>
          </cell>
        </row>
        <row r="377">
          <cell r="B377" t="str">
            <v>Sugar beet</v>
          </cell>
          <cell r="F377" t="str">
            <v>O4</v>
          </cell>
          <cell r="L377">
            <v>1.33</v>
          </cell>
          <cell r="N377">
            <v>1.3636867683999589</v>
          </cell>
          <cell r="O377">
            <v>3.368676839995894E-2</v>
          </cell>
        </row>
        <row r="378">
          <cell r="B378" t="str">
            <v>Pigs</v>
          </cell>
          <cell r="F378" t="str">
            <v>C</v>
          </cell>
          <cell r="L378">
            <v>1.55</v>
          </cell>
          <cell r="N378">
            <v>3.3979385636050434</v>
          </cell>
          <cell r="O378">
            <v>1.8479385636050434</v>
          </cell>
        </row>
        <row r="379">
          <cell r="B379" t="str">
            <v>Pigs</v>
          </cell>
          <cell r="F379" t="str">
            <v>O</v>
          </cell>
          <cell r="L379">
            <v>3.53</v>
          </cell>
          <cell r="N379">
            <v>4.9353779474884512</v>
          </cell>
          <cell r="O379">
            <v>1.4053779474884509</v>
          </cell>
        </row>
        <row r="380">
          <cell r="B380" t="str">
            <v>Pigs</v>
          </cell>
          <cell r="F380" t="str">
            <v>O1</v>
          </cell>
          <cell r="L380">
            <v>3.53</v>
          </cell>
          <cell r="N380">
            <v>5.1067250564313875</v>
          </cell>
          <cell r="O380">
            <v>1.5767250564313877</v>
          </cell>
        </row>
        <row r="381">
          <cell r="B381" t="str">
            <v>Pigs</v>
          </cell>
          <cell r="F381" t="str">
            <v>O2</v>
          </cell>
          <cell r="L381">
            <v>3.53</v>
          </cell>
          <cell r="N381">
            <v>4.8202814414839112</v>
          </cell>
          <cell r="O381">
            <v>1.2902814414839114</v>
          </cell>
        </row>
        <row r="382">
          <cell r="B382" t="str">
            <v>Pigs</v>
          </cell>
          <cell r="F382" t="str">
            <v>O3</v>
          </cell>
          <cell r="L382">
            <v>3.53</v>
          </cell>
          <cell r="N382">
            <v>5.0709577957742402</v>
          </cell>
          <cell r="O382">
            <v>1.5409577957742406</v>
          </cell>
        </row>
        <row r="383">
          <cell r="B383" t="str">
            <v>Pigs</v>
          </cell>
          <cell r="F383" t="str">
            <v>O4</v>
          </cell>
          <cell r="L383">
            <v>3.53</v>
          </cell>
          <cell r="N383">
            <v>5.1704064683561679</v>
          </cell>
          <cell r="O383">
            <v>1.6404064683561683</v>
          </cell>
        </row>
        <row r="384">
          <cell r="B384" t="str">
            <v>Broilers</v>
          </cell>
          <cell r="F384" t="str">
            <v>C</v>
          </cell>
          <cell r="L384">
            <v>0.84</v>
          </cell>
          <cell r="N384">
            <v>2.6510668011527452</v>
          </cell>
          <cell r="O384">
            <v>1.8110668011527451</v>
          </cell>
        </row>
        <row r="385">
          <cell r="B385" t="str">
            <v>Broilers</v>
          </cell>
          <cell r="F385" t="str">
            <v>O</v>
          </cell>
          <cell r="L385">
            <v>1.2788316801138424</v>
          </cell>
          <cell r="N385">
            <v>2.8153972913117737</v>
          </cell>
          <cell r="O385">
            <v>1.5365656111979311</v>
          </cell>
        </row>
        <row r="386">
          <cell r="B386" t="str">
            <v>Broilers</v>
          </cell>
          <cell r="F386" t="str">
            <v>O1</v>
          </cell>
          <cell r="L386">
            <v>1.2788316801138424</v>
          </cell>
          <cell r="N386">
            <v>2.7557587902576781</v>
          </cell>
          <cell r="O386">
            <v>1.4769271101438357</v>
          </cell>
        </row>
        <row r="387">
          <cell r="B387" t="str">
            <v>Broilers</v>
          </cell>
          <cell r="F387" t="str">
            <v>O2</v>
          </cell>
          <cell r="L387">
            <v>1.2788316801138424</v>
          </cell>
          <cell r="N387">
            <v>2.8648281613125945</v>
          </cell>
          <cell r="O387">
            <v>1.5859964811987521</v>
          </cell>
        </row>
        <row r="388">
          <cell r="B388" t="str">
            <v>Broilers</v>
          </cell>
          <cell r="F388" t="str">
            <v>O3</v>
          </cell>
          <cell r="L388">
            <v>1.2788316801138424</v>
          </cell>
          <cell r="N388">
            <v>2.9648674438685805</v>
          </cell>
          <cell r="O388">
            <v>1.6860357637547381</v>
          </cell>
        </row>
        <row r="389">
          <cell r="B389" t="str">
            <v>Broilers</v>
          </cell>
          <cell r="F389" t="str">
            <v>O4</v>
          </cell>
          <cell r="L389">
            <v>1.2788316801138424</v>
          </cell>
          <cell r="N389">
            <v>3.0762736404756783</v>
          </cell>
          <cell r="O389">
            <v>1.7974419603618359</v>
          </cell>
        </row>
        <row r="390">
          <cell r="B390" t="str">
            <v>Beef cattle</v>
          </cell>
          <cell r="F390" t="str">
            <v>C</v>
          </cell>
          <cell r="L390">
            <v>3.63</v>
          </cell>
          <cell r="N390">
            <v>13.234042141544201</v>
          </cell>
          <cell r="O390">
            <v>9.6040421415442019</v>
          </cell>
        </row>
        <row r="391">
          <cell r="B391" t="str">
            <v>Beef cattle</v>
          </cell>
          <cell r="F391" t="str">
            <v>O</v>
          </cell>
          <cell r="L391">
            <v>4.5</v>
          </cell>
          <cell r="N391">
            <v>14.208976808842344</v>
          </cell>
          <cell r="O391">
            <v>9.708976808842344</v>
          </cell>
        </row>
        <row r="392">
          <cell r="B392" t="str">
            <v>Beef cattle</v>
          </cell>
          <cell r="F392" t="str">
            <v>O1</v>
          </cell>
          <cell r="L392">
            <v>4.5</v>
          </cell>
          <cell r="N392">
            <v>14.114821883662341</v>
          </cell>
          <cell r="O392">
            <v>9.6148218836623407</v>
          </cell>
        </row>
        <row r="393">
          <cell r="B393" t="str">
            <v>Beef cattle</v>
          </cell>
          <cell r="F393" t="str">
            <v>O2</v>
          </cell>
          <cell r="L393">
            <v>4.5</v>
          </cell>
          <cell r="N393">
            <v>14.321900418071055</v>
          </cell>
          <cell r="O393">
            <v>9.8219004180710545</v>
          </cell>
        </row>
        <row r="394">
          <cell r="B394" t="str">
            <v>Beef cattle</v>
          </cell>
          <cell r="F394" t="str">
            <v>O3</v>
          </cell>
          <cell r="L394">
            <v>4.5</v>
          </cell>
          <cell r="N394">
            <v>14.335596419899911</v>
          </cell>
          <cell r="O394">
            <v>9.8355964198999111</v>
          </cell>
        </row>
        <row r="395">
          <cell r="B395" t="str">
            <v>Beef cattle</v>
          </cell>
          <cell r="F395" t="str">
            <v>O4</v>
          </cell>
          <cell r="L395">
            <v>4.5</v>
          </cell>
          <cell r="N395">
            <v>15.993203178083865</v>
          </cell>
          <cell r="O395">
            <v>11.493203178083865</v>
          </cell>
        </row>
        <row r="396">
          <cell r="B396" t="str">
            <v>Milk</v>
          </cell>
          <cell r="F396" t="str">
            <v>C</v>
          </cell>
          <cell r="L396">
            <v>0.35299999999999998</v>
          </cell>
          <cell r="N396">
            <v>1.1013138665404698</v>
          </cell>
          <cell r="O396">
            <v>0.74831386654046972</v>
          </cell>
        </row>
        <row r="397">
          <cell r="B397" t="str">
            <v>Milk</v>
          </cell>
          <cell r="F397" t="str">
            <v>O</v>
          </cell>
          <cell r="L397">
            <v>0.4819</v>
          </cell>
          <cell r="N397">
            <v>1.1985055778269094</v>
          </cell>
          <cell r="O397">
            <v>0.71660557782690948</v>
          </cell>
        </row>
        <row r="398">
          <cell r="B398" t="str">
            <v>Milk</v>
          </cell>
          <cell r="F398" t="str">
            <v>O1</v>
          </cell>
          <cell r="L398">
            <v>0.4819</v>
          </cell>
          <cell r="N398">
            <v>1.3082648761850835</v>
          </cell>
          <cell r="O398">
            <v>0.82636487618508347</v>
          </cell>
        </row>
        <row r="399">
          <cell r="B399" t="str">
            <v>Milk</v>
          </cell>
          <cell r="F399" t="str">
            <v>O2</v>
          </cell>
          <cell r="L399">
            <v>0.4819</v>
          </cell>
          <cell r="N399">
            <v>1.1187976805009647</v>
          </cell>
          <cell r="O399">
            <v>0.63689768050096485</v>
          </cell>
        </row>
        <row r="400">
          <cell r="B400" t="str">
            <v>Milk</v>
          </cell>
          <cell r="F400" t="str">
            <v>O3</v>
          </cell>
          <cell r="L400">
            <v>0.4819</v>
          </cell>
          <cell r="N400">
            <v>1.2095961723702411</v>
          </cell>
          <cell r="O400">
            <v>0.72769617237024098</v>
          </cell>
        </row>
        <row r="401">
          <cell r="B401" t="str">
            <v>Milk</v>
          </cell>
          <cell r="F401" t="str">
            <v>O4</v>
          </cell>
          <cell r="L401">
            <v>0.4819</v>
          </cell>
          <cell r="N401">
            <v>1.3169033118136251</v>
          </cell>
          <cell r="O401">
            <v>0.83500331181362497</v>
          </cell>
        </row>
        <row r="402">
          <cell r="B402" t="str">
            <v>Eggs</v>
          </cell>
          <cell r="F402" t="str">
            <v>C</v>
          </cell>
          <cell r="L402">
            <v>2.118052738336714</v>
          </cell>
          <cell r="N402">
            <v>3.9554928099905289</v>
          </cell>
          <cell r="O402">
            <v>1.8374400716538148</v>
          </cell>
        </row>
        <row r="403">
          <cell r="B403" t="str">
            <v>Eggs</v>
          </cell>
          <cell r="F403" t="str">
            <v>O</v>
          </cell>
          <cell r="L403">
            <v>4.3927738336713995</v>
          </cell>
          <cell r="N403">
            <v>5.8814494712519103</v>
          </cell>
          <cell r="O403">
            <v>1.4886756375805104</v>
          </cell>
        </row>
        <row r="404">
          <cell r="B404" t="str">
            <v>Eggs</v>
          </cell>
          <cell r="F404" t="str">
            <v>O1</v>
          </cell>
          <cell r="L404">
            <v>4.3927738336713995</v>
          </cell>
          <cell r="N404">
            <v>6.077771254346926</v>
          </cell>
          <cell r="O404">
            <v>1.6849974206755265</v>
          </cell>
        </row>
        <row r="405">
          <cell r="B405" t="str">
            <v>Eggs</v>
          </cell>
          <cell r="F405" t="str">
            <v>O2</v>
          </cell>
          <cell r="L405">
            <v>4.3927738336713995</v>
          </cell>
          <cell r="N405">
            <v>5.751847693423743</v>
          </cell>
          <cell r="O405">
            <v>1.3590738597523431</v>
          </cell>
        </row>
        <row r="406">
          <cell r="B406" t="str">
            <v>Eggs</v>
          </cell>
          <cell r="F406" t="str">
            <v>O3</v>
          </cell>
          <cell r="L406">
            <v>4.3927738336713995</v>
          </cell>
          <cell r="N406">
            <v>6.0080399846721839</v>
          </cell>
          <cell r="O406">
            <v>1.615266151000784</v>
          </cell>
        </row>
        <row r="407">
          <cell r="B407" t="str">
            <v>Eggs</v>
          </cell>
          <cell r="F407" t="str">
            <v>O4</v>
          </cell>
          <cell r="L407">
            <v>4.3927738336713995</v>
          </cell>
          <cell r="N407">
            <v>6.1024652241928177</v>
          </cell>
          <cell r="O407">
            <v>1.7096913905214182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CT"/>
      <sheetName val="Subsidies_Springmann_Freund"/>
      <sheetName val="Tabelle1"/>
    </sheetNames>
    <sheetDataSet>
      <sheetData sheetId="0" refreshError="1"/>
      <sheetData sheetId="1">
        <row r="5">
          <cell r="C5" t="str">
            <v>C</v>
          </cell>
          <cell r="D5" t="str">
            <v>O</v>
          </cell>
          <cell r="F5" t="str">
            <v>C</v>
          </cell>
          <cell r="G5" t="str">
            <v>O</v>
          </cell>
          <cell r="I5" t="str">
            <v>C</v>
          </cell>
          <cell r="J5" t="str">
            <v>O</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hyperlink" Target="https://doi.org/10.1787/54da8ea7-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249977111117893"/>
  </sheetPr>
  <dimension ref="A1:Y28"/>
  <sheetViews>
    <sheetView tabSelected="1" zoomScaleNormal="100" workbookViewId="0"/>
  </sheetViews>
  <sheetFormatPr baseColWidth="10" defaultColWidth="10.7109375" defaultRowHeight="15" x14ac:dyDescent="0.25"/>
  <cols>
    <col min="1" max="1" width="4.28515625" style="1" customWidth="1"/>
    <col min="2" max="2" width="21.5703125" style="1" customWidth="1"/>
    <col min="3" max="3" width="10.7109375" style="1" customWidth="1"/>
    <col min="4" max="13" width="10.7109375" style="1"/>
    <col min="14" max="14" width="17.7109375" style="1" customWidth="1"/>
    <col min="15" max="16384" width="10.7109375" style="1"/>
  </cols>
  <sheetData>
    <row r="1" spans="1:25" ht="15" customHeight="1" x14ac:dyDescent="0.25">
      <c r="B1" s="213"/>
      <c r="C1" s="212"/>
      <c r="D1" s="212"/>
      <c r="E1" s="212"/>
      <c r="F1" s="212"/>
      <c r="G1" s="212"/>
      <c r="H1" s="212"/>
      <c r="I1" s="212"/>
      <c r="J1" s="212"/>
      <c r="K1" s="212"/>
      <c r="L1" s="212"/>
      <c r="M1" s="212"/>
      <c r="N1" s="212"/>
    </row>
    <row r="2" spans="1:25" ht="60" customHeight="1" x14ac:dyDescent="0.25">
      <c r="B2" s="1325" t="s">
        <v>2386</v>
      </c>
      <c r="C2" s="1325"/>
      <c r="D2" s="1325"/>
      <c r="E2" s="1325"/>
      <c r="F2" s="1325"/>
      <c r="G2" s="1325"/>
      <c r="H2" s="1325"/>
      <c r="I2" s="1325"/>
      <c r="J2" s="1325"/>
      <c r="K2" s="214"/>
      <c r="L2" s="214"/>
      <c r="M2" s="214"/>
      <c r="N2" s="214"/>
    </row>
    <row r="4" spans="1:25" s="219" customFormat="1" ht="15" customHeight="1" x14ac:dyDescent="0.25">
      <c r="B4" s="1329" t="s">
        <v>2392</v>
      </c>
      <c r="C4" s="1329"/>
      <c r="D4" s="1329"/>
      <c r="E4" s="1329"/>
      <c r="F4" s="1329"/>
      <c r="G4" s="1329"/>
      <c r="H4" s="1329"/>
      <c r="I4" s="1329"/>
      <c r="J4" s="1329"/>
      <c r="K4" s="1329"/>
      <c r="L4" s="1329"/>
    </row>
    <row r="5" spans="1:25" x14ac:dyDescent="0.25">
      <c r="G5" s="1224"/>
    </row>
    <row r="6" spans="1:25" ht="15.75" x14ac:dyDescent="0.25">
      <c r="B6" s="1220" t="s">
        <v>2371</v>
      </c>
      <c r="C6" s="1330" t="s">
        <v>214</v>
      </c>
      <c r="D6" s="1331"/>
      <c r="E6" s="1331"/>
      <c r="F6" s="1332"/>
      <c r="G6" s="1225"/>
      <c r="H6" s="1223"/>
      <c r="I6" s="1223"/>
      <c r="J6" s="1223"/>
      <c r="K6" s="1223"/>
      <c r="L6" s="1223"/>
      <c r="M6" s="1223"/>
      <c r="N6" s="1223"/>
      <c r="O6" s="1223"/>
      <c r="P6" s="1223"/>
      <c r="Q6" s="1223"/>
      <c r="R6" s="1223"/>
      <c r="S6" s="1223"/>
      <c r="T6" s="1223"/>
      <c r="U6" s="1223"/>
      <c r="V6" s="1223"/>
      <c r="W6" s="1223"/>
      <c r="X6" s="1223"/>
      <c r="Y6" s="1223"/>
    </row>
    <row r="7" spans="1:25" ht="15.75" x14ac:dyDescent="0.25">
      <c r="B7" s="1221" t="s">
        <v>2372</v>
      </c>
      <c r="C7" s="1333" t="s">
        <v>2377</v>
      </c>
      <c r="D7" s="1334"/>
      <c r="E7" s="1334"/>
      <c r="F7" s="1335"/>
      <c r="G7" s="1225" t="s">
        <v>2378</v>
      </c>
      <c r="H7" s="1223"/>
      <c r="I7" s="1223"/>
      <c r="J7" s="1223"/>
      <c r="K7" s="1223"/>
      <c r="M7" s="1223"/>
      <c r="N7" s="1223"/>
      <c r="O7" s="1223"/>
      <c r="P7" s="1223"/>
      <c r="Q7" s="1223"/>
      <c r="R7" s="1223"/>
      <c r="S7" s="1223"/>
      <c r="T7" s="1223"/>
      <c r="U7" s="1223"/>
      <c r="V7" s="1223"/>
      <c r="W7" s="1223"/>
      <c r="X7" s="1223"/>
      <c r="Y7" s="1223"/>
    </row>
    <row r="8" spans="1:25" ht="15.75" x14ac:dyDescent="0.25">
      <c r="B8" s="1221" t="s">
        <v>2373</v>
      </c>
      <c r="C8" s="1333" t="s">
        <v>1478</v>
      </c>
      <c r="D8" s="1334"/>
      <c r="E8" s="1334"/>
      <c r="F8" s="1335"/>
      <c r="G8" s="1225" t="s">
        <v>2376</v>
      </c>
      <c r="H8" s="1223"/>
      <c r="I8" s="1223"/>
      <c r="J8" s="1223"/>
      <c r="K8" s="1223"/>
      <c r="M8" s="1223"/>
      <c r="N8" s="1223"/>
      <c r="O8" s="1223"/>
      <c r="P8" s="1223"/>
      <c r="Q8" s="1223"/>
      <c r="R8" s="1223"/>
      <c r="S8" s="1223"/>
      <c r="T8" s="1223"/>
      <c r="U8" s="1223"/>
      <c r="V8" s="1223"/>
      <c r="W8" s="1223"/>
      <c r="X8" s="1223"/>
      <c r="Y8" s="1223"/>
    </row>
    <row r="9" spans="1:25" ht="15.75" x14ac:dyDescent="0.25">
      <c r="B9" s="1221" t="s">
        <v>2374</v>
      </c>
      <c r="C9" s="1333" t="s">
        <v>1486</v>
      </c>
      <c r="D9" s="1334"/>
      <c r="E9" s="1334"/>
      <c r="F9" s="1335"/>
      <c r="G9" s="1225"/>
      <c r="H9" s="1223"/>
      <c r="I9" s="1223"/>
      <c r="J9" s="1223"/>
      <c r="K9" s="1223"/>
      <c r="L9" s="1223"/>
      <c r="M9" s="1223"/>
      <c r="N9" s="1223"/>
      <c r="O9" s="1223"/>
      <c r="P9" s="1223"/>
      <c r="Q9" s="1223"/>
      <c r="R9" s="1223"/>
      <c r="S9" s="1223"/>
      <c r="T9" s="1223"/>
      <c r="U9" s="1223"/>
      <c r="V9" s="1223"/>
      <c r="W9" s="1223"/>
      <c r="X9" s="1223"/>
      <c r="Y9" s="1223"/>
    </row>
    <row r="10" spans="1:25" ht="15.75" x14ac:dyDescent="0.25">
      <c r="B10" s="1221" t="s">
        <v>213</v>
      </c>
      <c r="C10" s="1333" t="s">
        <v>215</v>
      </c>
      <c r="D10" s="1334"/>
      <c r="E10" s="1334"/>
      <c r="F10" s="1335"/>
      <c r="G10" s="1225"/>
      <c r="H10" s="1223"/>
      <c r="I10" s="1223"/>
      <c r="J10" s="1223"/>
      <c r="K10" s="1223"/>
      <c r="L10" s="1223"/>
      <c r="M10" s="1223"/>
      <c r="N10" s="1223"/>
      <c r="O10" s="1223"/>
      <c r="P10" s="1223"/>
      <c r="Q10" s="1223"/>
      <c r="R10" s="1223"/>
      <c r="S10" s="1223"/>
      <c r="T10" s="1223"/>
      <c r="U10" s="1223"/>
      <c r="V10" s="1223"/>
      <c r="W10" s="1223"/>
      <c r="X10" s="1223"/>
      <c r="Y10" s="1223"/>
    </row>
    <row r="11" spans="1:25" ht="15.75" x14ac:dyDescent="0.25">
      <c r="B11" s="1221" t="s">
        <v>2394</v>
      </c>
      <c r="C11" s="1333" t="s">
        <v>2395</v>
      </c>
      <c r="D11" s="1334"/>
      <c r="E11" s="1334"/>
      <c r="F11" s="1335"/>
      <c r="G11" s="1225"/>
      <c r="H11" s="1223"/>
      <c r="I11" s="1223"/>
      <c r="J11" s="1223"/>
      <c r="K11" s="1223"/>
      <c r="L11" s="1223"/>
      <c r="M11" s="1223"/>
      <c r="N11" s="1223"/>
      <c r="O11" s="1223"/>
      <c r="P11" s="1223"/>
      <c r="Q11" s="1223"/>
      <c r="R11" s="1223"/>
      <c r="S11" s="1223"/>
      <c r="T11" s="1223"/>
      <c r="U11" s="1223"/>
      <c r="V11" s="1223"/>
      <c r="W11" s="1223"/>
      <c r="X11" s="1223"/>
      <c r="Y11" s="1223"/>
    </row>
    <row r="12" spans="1:25" ht="15.75" x14ac:dyDescent="0.25">
      <c r="B12" s="1222" t="s">
        <v>2393</v>
      </c>
      <c r="C12" s="1326" t="s">
        <v>216</v>
      </c>
      <c r="D12" s="1327"/>
      <c r="E12" s="1327"/>
      <c r="F12" s="1328"/>
      <c r="G12" s="1224"/>
    </row>
    <row r="14" spans="1:25" ht="15.75" x14ac:dyDescent="0.25">
      <c r="B14" s="840"/>
    </row>
    <row r="15" spans="1:25" x14ac:dyDescent="0.25">
      <c r="B15" s="839" t="s">
        <v>1484</v>
      </c>
    </row>
    <row r="16" spans="1:25" ht="18" customHeight="1" x14ac:dyDescent="0.25">
      <c r="A16" s="1" t="s">
        <v>790</v>
      </c>
      <c r="B16" s="1" t="s">
        <v>1495</v>
      </c>
    </row>
    <row r="17" spans="1:2" ht="18" customHeight="1" x14ac:dyDescent="0.25">
      <c r="A17" s="1" t="s">
        <v>791</v>
      </c>
      <c r="B17" s="1" t="s">
        <v>1496</v>
      </c>
    </row>
    <row r="18" spans="1:2" ht="18" customHeight="1" x14ac:dyDescent="0.25">
      <c r="A18" s="1" t="s">
        <v>792</v>
      </c>
      <c r="B18" s="1" t="s">
        <v>1497</v>
      </c>
    </row>
    <row r="19" spans="1:2" ht="18" customHeight="1" x14ac:dyDescent="0.25">
      <c r="A19" s="1" t="s">
        <v>793</v>
      </c>
      <c r="B19" s="1" t="s">
        <v>1498</v>
      </c>
    </row>
    <row r="20" spans="1:2" ht="18" customHeight="1" x14ac:dyDescent="0.25">
      <c r="A20" s="1" t="s">
        <v>794</v>
      </c>
      <c r="B20" s="1" t="s">
        <v>1500</v>
      </c>
    </row>
    <row r="21" spans="1:2" ht="18" customHeight="1" x14ac:dyDescent="0.25">
      <c r="A21" s="1" t="s">
        <v>795</v>
      </c>
      <c r="B21" s="1" t="s">
        <v>1501</v>
      </c>
    </row>
    <row r="22" spans="1:2" ht="18" customHeight="1" x14ac:dyDescent="0.25">
      <c r="A22" s="1" t="s">
        <v>796</v>
      </c>
      <c r="B22" s="1" t="s">
        <v>1502</v>
      </c>
    </row>
    <row r="23" spans="1:2" ht="18" customHeight="1" x14ac:dyDescent="0.25">
      <c r="A23" s="1" t="s">
        <v>797</v>
      </c>
      <c r="B23" s="1" t="s">
        <v>1503</v>
      </c>
    </row>
    <row r="24" spans="1:2" ht="18" customHeight="1" x14ac:dyDescent="0.25">
      <c r="A24" s="1" t="s">
        <v>1493</v>
      </c>
      <c r="B24" s="1" t="s">
        <v>1504</v>
      </c>
    </row>
    <row r="25" spans="1:2" ht="18" customHeight="1" x14ac:dyDescent="0.25">
      <c r="A25" s="1" t="s">
        <v>1651</v>
      </c>
      <c r="B25" s="1" t="s">
        <v>2290</v>
      </c>
    </row>
    <row r="26" spans="1:2" ht="18" customHeight="1" x14ac:dyDescent="0.25">
      <c r="A26" s="1" t="s">
        <v>1652</v>
      </c>
      <c r="B26" s="1" t="s">
        <v>1653</v>
      </c>
    </row>
    <row r="27" spans="1:2" ht="18" customHeight="1" x14ac:dyDescent="0.25">
      <c r="A27" s="1" t="s">
        <v>2388</v>
      </c>
      <c r="B27" s="1" t="s">
        <v>2389</v>
      </c>
    </row>
    <row r="28" spans="1:2" ht="18" customHeight="1" x14ac:dyDescent="0.25">
      <c r="A28" s="1" t="s">
        <v>2390</v>
      </c>
      <c r="B28" s="1" t="s">
        <v>2391</v>
      </c>
    </row>
  </sheetData>
  <mergeCells count="9">
    <mergeCell ref="B2:J2"/>
    <mergeCell ref="C12:F12"/>
    <mergeCell ref="B4:L4"/>
    <mergeCell ref="C6:F6"/>
    <mergeCell ref="C7:F7"/>
    <mergeCell ref="C8:F8"/>
    <mergeCell ref="C9:F9"/>
    <mergeCell ref="C10:F10"/>
    <mergeCell ref="C11:F11"/>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1958F-2B03-45AD-8314-31A4D081B45E}">
  <sheetPr>
    <outlinePr summaryBelow="0" summaryRight="0"/>
  </sheetPr>
  <dimension ref="A1:DS836"/>
  <sheetViews>
    <sheetView zoomScaleNormal="100" workbookViewId="0">
      <pane xSplit="9" ySplit="18" topLeftCell="J19" activePane="bottomRight" state="frozen"/>
      <selection pane="topRight" activeCell="H1" sqref="H1"/>
      <selection pane="bottomLeft" activeCell="A9" sqref="A9"/>
      <selection pane="bottomRight"/>
    </sheetView>
  </sheetViews>
  <sheetFormatPr baseColWidth="10" defaultColWidth="11.7109375" defaultRowHeight="12" customHeight="1" outlineLevelRow="1" outlineLevelCol="2" x14ac:dyDescent="0.2"/>
  <cols>
    <col min="1" max="1" width="3.7109375" style="2" customWidth="1"/>
    <col min="2" max="3" width="14.7109375" style="2" customWidth="1"/>
    <col min="4" max="5" width="14.7109375" style="2" customWidth="1" outlineLevel="1"/>
    <col min="6" max="6" width="5.28515625" style="3" bestFit="1" customWidth="1"/>
    <col min="7" max="7" width="25.7109375" style="2" customWidth="1" outlineLevel="1"/>
    <col min="8" max="9" width="5.7109375" style="2" customWidth="1"/>
    <col min="10" max="12" width="9.7109375" style="2" customWidth="1" outlineLevel="1"/>
    <col min="13" max="14" width="9.7109375" style="2" customWidth="1"/>
    <col min="15" max="15" width="10.7109375" style="158" customWidth="1"/>
    <col min="16" max="36" width="9.7109375" style="2" customWidth="1"/>
    <col min="37" max="54" width="9.7109375" style="2" customWidth="1" outlineLevel="1"/>
    <col min="55" max="55" width="9.7109375" style="2" customWidth="1" outlineLevel="2"/>
    <col min="56" max="56" width="6.7109375" style="2" customWidth="1"/>
    <col min="57" max="64" width="7.7109375" style="2" customWidth="1"/>
    <col min="65" max="65" width="7.7109375" style="2" customWidth="1" outlineLevel="1"/>
    <col min="66" max="75" width="7.7109375" style="2" customWidth="1"/>
    <col min="76" max="76" width="7.7109375" style="2" customWidth="1" outlineLevel="1"/>
    <col min="77" max="78" width="7.7109375" style="2" customWidth="1"/>
    <col min="79" max="79" width="3.7109375" style="2" customWidth="1"/>
    <col min="80" max="101" width="9.7109375" style="2" customWidth="1" outlineLevel="1"/>
    <col min="102" max="102" width="3.7109375" style="2" customWidth="1"/>
    <col min="103" max="104" width="14.7109375" style="2" customWidth="1"/>
    <col min="105" max="105" width="11.140625" style="2" customWidth="1"/>
    <col min="106" max="16384" width="11.7109375" style="2"/>
  </cols>
  <sheetData>
    <row r="1" spans="1:103" ht="12" customHeight="1" x14ac:dyDescent="0.2">
      <c r="N1" s="2" t="s">
        <v>268</v>
      </c>
    </row>
    <row r="2" spans="1:103" ht="15" customHeight="1" x14ac:dyDescent="0.25">
      <c r="A2" s="1101"/>
      <c r="B2" s="1101" t="s">
        <v>613</v>
      </c>
      <c r="CB2" s="1"/>
      <c r="CC2" s="1"/>
      <c r="CD2" s="1"/>
      <c r="CE2" s="1"/>
      <c r="CF2" s="1"/>
      <c r="CG2" s="1"/>
      <c r="CH2" s="1"/>
      <c r="CI2" s="1"/>
      <c r="CJ2" s="1"/>
      <c r="CK2" s="1"/>
      <c r="CL2" s="1"/>
      <c r="CM2" s="1"/>
      <c r="CN2" s="1"/>
      <c r="CO2" s="1"/>
      <c r="CP2" s="1"/>
      <c r="CQ2" s="1"/>
      <c r="CR2" s="1"/>
      <c r="CS2" s="1"/>
      <c r="CT2" s="1"/>
      <c r="CU2" s="1"/>
      <c r="CV2" s="1"/>
      <c r="CW2" s="1"/>
      <c r="CX2" s="1"/>
      <c r="CY2" s="1"/>
    </row>
    <row r="3" spans="1:103" ht="12" customHeight="1" x14ac:dyDescent="0.25">
      <c r="B3" s="1246" t="s">
        <v>2380</v>
      </c>
      <c r="CB3" s="1"/>
      <c r="CC3" s="1"/>
      <c r="CD3" s="1"/>
      <c r="CE3" s="1"/>
      <c r="CF3" s="1"/>
      <c r="CG3" s="1"/>
      <c r="CH3" s="1"/>
      <c r="CI3" s="1"/>
      <c r="CJ3" s="1"/>
      <c r="CK3" s="1"/>
      <c r="CL3" s="1"/>
      <c r="CM3" s="1"/>
      <c r="CN3" s="1"/>
      <c r="CO3" s="1"/>
      <c r="CP3" s="1"/>
      <c r="CQ3" s="1"/>
      <c r="CR3" s="1"/>
      <c r="CS3" s="1"/>
      <c r="CT3" s="1"/>
      <c r="CU3" s="1"/>
      <c r="CV3" s="1"/>
      <c r="CW3" s="1"/>
      <c r="CX3" s="1"/>
      <c r="CY3" s="1"/>
    </row>
    <row r="4" spans="1:103" ht="12" customHeight="1" outlineLevel="1" x14ac:dyDescent="0.25">
      <c r="B4" s="1246" t="s">
        <v>2381</v>
      </c>
      <c r="D4" s="1"/>
      <c r="O4" s="1201"/>
      <c r="P4" s="89"/>
      <c r="Q4" s="1095" t="s">
        <v>190</v>
      </c>
      <c r="R4" s="1096" t="s">
        <v>1583</v>
      </c>
      <c r="S4" s="1030">
        <f t="shared" ref="S4:AB7" si="0">INDEX($V$816:$Y$836,MATCH(S$17,$K$816:$K$836,0),MATCH($R4,$V$815:$Y$815,0))</f>
        <v>0.19500000000000001</v>
      </c>
      <c r="T4" s="175">
        <f t="shared" si="0"/>
        <v>30.4</v>
      </c>
      <c r="U4" s="175">
        <f t="shared" si="0"/>
        <v>4.6100000000000002E-2</v>
      </c>
      <c r="V4" s="175">
        <f t="shared" si="0"/>
        <v>1.1499999999999999</v>
      </c>
      <c r="W4" s="175">
        <f t="shared" si="0"/>
        <v>39.200000000000003</v>
      </c>
      <c r="X4" s="175">
        <f t="shared" si="0"/>
        <v>1.1499999999999999</v>
      </c>
      <c r="Y4" s="175">
        <f t="shared" si="0"/>
        <v>4.97</v>
      </c>
      <c r="Z4" s="175">
        <f t="shared" si="0"/>
        <v>1.86</v>
      </c>
      <c r="AA4" s="175">
        <f t="shared" si="0"/>
        <v>3.11</v>
      </c>
      <c r="AB4" s="175">
        <f t="shared" si="0"/>
        <v>8.69</v>
      </c>
      <c r="AC4" s="175">
        <f t="shared" ref="AC4:AL7" si="1">INDEX($V$816:$Y$836,MATCH(AC$17,$K$816:$K$836,0),MATCH($R4,$V$815:$Y$815,0))</f>
        <v>3.61E-2</v>
      </c>
      <c r="AD4" s="175">
        <f t="shared" si="1"/>
        <v>7.3899999999999999E-3</v>
      </c>
      <c r="AE4" s="175">
        <f t="shared" si="1"/>
        <v>9.9099999999999994E-2</v>
      </c>
      <c r="AF4" s="175">
        <f t="shared" si="1"/>
        <v>9.9099999999999994E-2</v>
      </c>
      <c r="AG4" s="175">
        <f t="shared" si="1"/>
        <v>8.4500000000000006E-2</v>
      </c>
      <c r="AH4" s="175">
        <f t="shared" si="1"/>
        <v>0</v>
      </c>
      <c r="AI4" s="175">
        <f t="shared" si="1"/>
        <v>0</v>
      </c>
      <c r="AJ4" s="176">
        <f t="shared" si="1"/>
        <v>0</v>
      </c>
      <c r="AK4" s="175">
        <f t="shared" si="1"/>
        <v>0.19500000000000001</v>
      </c>
      <c r="AL4" s="175">
        <f t="shared" si="1"/>
        <v>30.4</v>
      </c>
      <c r="AM4" s="175">
        <f t="shared" ref="AM4:AV7" si="2">INDEX($V$816:$Y$836,MATCH(AM$17,$K$816:$K$836,0),MATCH($R4,$V$815:$Y$815,0))</f>
        <v>4.6100000000000002E-2</v>
      </c>
      <c r="AN4" s="175">
        <f t="shared" si="2"/>
        <v>1.1499999999999999</v>
      </c>
      <c r="AO4" s="175">
        <f t="shared" si="2"/>
        <v>39.200000000000003</v>
      </c>
      <c r="AP4" s="175">
        <f t="shared" si="2"/>
        <v>4.97</v>
      </c>
      <c r="AQ4" s="175">
        <f t="shared" si="2"/>
        <v>1.86</v>
      </c>
      <c r="AR4" s="175">
        <f t="shared" si="2"/>
        <v>3.11</v>
      </c>
      <c r="AS4" s="175">
        <f t="shared" si="2"/>
        <v>8.69</v>
      </c>
      <c r="AT4" s="175">
        <f t="shared" si="2"/>
        <v>3.61E-2</v>
      </c>
      <c r="AU4" s="175">
        <f t="shared" si="2"/>
        <v>7.3899999999999999E-3</v>
      </c>
      <c r="AV4" s="175">
        <f t="shared" si="2"/>
        <v>9.9099999999999994E-2</v>
      </c>
      <c r="AW4" s="175">
        <f t="shared" ref="AW4:BB7" si="3">INDEX($V$816:$Y$836,MATCH(AW$17,$K$816:$K$836,0),MATCH($R4,$V$815:$Y$815,0))</f>
        <v>8.4500000000000006E-2</v>
      </c>
      <c r="AX4" s="175">
        <f t="shared" si="3"/>
        <v>8.4500000000000006E-2</v>
      </c>
      <c r="AY4" s="175">
        <f t="shared" si="3"/>
        <v>0</v>
      </c>
      <c r="AZ4" s="175">
        <f t="shared" si="3"/>
        <v>0</v>
      </c>
      <c r="BA4" s="175">
        <f t="shared" si="3"/>
        <v>0</v>
      </c>
      <c r="BB4" s="176">
        <f t="shared" si="3"/>
        <v>0</v>
      </c>
      <c r="CB4" s="1"/>
      <c r="CC4" s="1"/>
      <c r="CD4" s="1"/>
      <c r="CE4" s="1"/>
      <c r="CF4" s="1"/>
      <c r="CG4" s="1"/>
      <c r="CH4" s="1"/>
      <c r="CI4" s="1"/>
      <c r="CJ4" s="1"/>
      <c r="CK4" s="1"/>
      <c r="CL4" s="1"/>
      <c r="CM4" s="1"/>
      <c r="CN4" s="1"/>
      <c r="CO4" s="1"/>
      <c r="CP4" s="1"/>
      <c r="CQ4" s="1"/>
      <c r="CR4" s="1"/>
      <c r="CS4" s="1"/>
      <c r="CT4" s="1"/>
      <c r="CU4" s="1"/>
      <c r="CV4" s="1"/>
      <c r="CW4" s="1"/>
      <c r="CX4" s="1"/>
      <c r="CY4" s="1"/>
    </row>
    <row r="5" spans="1:103" ht="12" customHeight="1" outlineLevel="1" x14ac:dyDescent="0.25">
      <c r="B5" s="1245" t="s">
        <v>2385</v>
      </c>
      <c r="D5" s="1"/>
      <c r="O5" s="1202"/>
      <c r="Q5" s="9" t="s">
        <v>190</v>
      </c>
      <c r="R5" s="1203" t="s">
        <v>1584</v>
      </c>
      <c r="S5" s="1031">
        <f t="shared" si="0"/>
        <v>5.9896346145608681E-2</v>
      </c>
      <c r="T5" s="174">
        <f t="shared" si="0"/>
        <v>22.1</v>
      </c>
      <c r="U5" s="174">
        <f t="shared" si="0"/>
        <v>2.9700000000000001E-2</v>
      </c>
      <c r="V5" s="174">
        <f t="shared" si="0"/>
        <v>0.84</v>
      </c>
      <c r="W5" s="174">
        <f t="shared" si="0"/>
        <v>28</v>
      </c>
      <c r="X5" s="174">
        <f t="shared" si="0"/>
        <v>0.84</v>
      </c>
      <c r="Y5" s="174">
        <f t="shared" si="0"/>
        <v>0.52600000000000002</v>
      </c>
      <c r="Z5" s="174">
        <f t="shared" si="0"/>
        <v>0.25</v>
      </c>
      <c r="AA5" s="174">
        <f t="shared" si="0"/>
        <v>3.11</v>
      </c>
      <c r="AB5" s="174">
        <f t="shared" si="0"/>
        <v>1.17</v>
      </c>
      <c r="AC5" s="174">
        <f t="shared" si="1"/>
        <v>4.8500000000000001E-3</v>
      </c>
      <c r="AD5" s="174">
        <f t="shared" si="1"/>
        <v>9.9200000000000004E-4</v>
      </c>
      <c r="AE5" s="174">
        <f t="shared" si="1"/>
        <v>7.2499999999999995E-2</v>
      </c>
      <c r="AF5" s="174">
        <f t="shared" si="1"/>
        <v>7.2499999999999995E-2</v>
      </c>
      <c r="AG5" s="174">
        <f t="shared" si="1"/>
        <v>2.5499999999999998E-2</v>
      </c>
      <c r="AH5" s="174">
        <f t="shared" si="1"/>
        <v>0</v>
      </c>
      <c r="AI5" s="174">
        <f t="shared" si="1"/>
        <v>0</v>
      </c>
      <c r="AJ5" s="171">
        <f t="shared" si="1"/>
        <v>0</v>
      </c>
      <c r="AK5" s="174">
        <f t="shared" si="1"/>
        <v>5.9896346145608681E-2</v>
      </c>
      <c r="AL5" s="174">
        <f t="shared" si="1"/>
        <v>22.1</v>
      </c>
      <c r="AM5" s="174">
        <f t="shared" si="2"/>
        <v>2.9700000000000001E-2</v>
      </c>
      <c r="AN5" s="174">
        <f t="shared" si="2"/>
        <v>0.84</v>
      </c>
      <c r="AO5" s="174">
        <f t="shared" si="2"/>
        <v>28</v>
      </c>
      <c r="AP5" s="174">
        <f t="shared" si="2"/>
        <v>0.52600000000000002</v>
      </c>
      <c r="AQ5" s="174">
        <f t="shared" si="2"/>
        <v>0.25</v>
      </c>
      <c r="AR5" s="174">
        <f t="shared" si="2"/>
        <v>3.11</v>
      </c>
      <c r="AS5" s="174">
        <f t="shared" si="2"/>
        <v>1.17</v>
      </c>
      <c r="AT5" s="174">
        <f t="shared" si="2"/>
        <v>4.8500000000000001E-3</v>
      </c>
      <c r="AU5" s="174">
        <f t="shared" si="2"/>
        <v>9.9200000000000004E-4</v>
      </c>
      <c r="AV5" s="174">
        <f t="shared" si="2"/>
        <v>7.2499999999999995E-2</v>
      </c>
      <c r="AW5" s="174">
        <f t="shared" si="3"/>
        <v>2.5499999999999998E-2</v>
      </c>
      <c r="AX5" s="174">
        <f t="shared" si="3"/>
        <v>2.5499999999999998E-2</v>
      </c>
      <c r="AY5" s="174">
        <f t="shared" si="3"/>
        <v>2.5499999999999998E-2</v>
      </c>
      <c r="AZ5" s="174">
        <f t="shared" si="3"/>
        <v>0</v>
      </c>
      <c r="BA5" s="174">
        <f t="shared" si="3"/>
        <v>0</v>
      </c>
      <c r="BB5" s="171">
        <f t="shared" si="3"/>
        <v>0</v>
      </c>
      <c r="CB5" s="1"/>
      <c r="CC5" s="1"/>
      <c r="CD5" s="1"/>
      <c r="CE5" s="1"/>
      <c r="CF5" s="1"/>
      <c r="CG5" s="1"/>
      <c r="CH5" s="1"/>
      <c r="CI5" s="1"/>
      <c r="CJ5" s="1"/>
      <c r="CK5" s="1"/>
      <c r="CL5" s="1"/>
      <c r="CM5" s="1"/>
      <c r="CN5" s="1"/>
      <c r="CO5" s="1"/>
      <c r="CP5" s="1"/>
      <c r="CQ5" s="1"/>
      <c r="CR5" s="1"/>
      <c r="CS5" s="1"/>
      <c r="CT5" s="1"/>
      <c r="CU5" s="1"/>
      <c r="CV5" s="1"/>
      <c r="CW5" s="1"/>
      <c r="CX5" s="1"/>
      <c r="CY5" s="1"/>
    </row>
    <row r="6" spans="1:103" ht="12" customHeight="1" outlineLevel="1" x14ac:dyDescent="0.25">
      <c r="B6" s="1246" t="s">
        <v>2382</v>
      </c>
      <c r="D6" s="1"/>
      <c r="O6" s="1202"/>
      <c r="Q6" s="9" t="s">
        <v>190</v>
      </c>
      <c r="R6" s="1203" t="s">
        <v>1585</v>
      </c>
      <c r="S6" s="1031">
        <f t="shared" si="0"/>
        <v>0.3656256</v>
      </c>
      <c r="T6" s="174">
        <f t="shared" si="0"/>
        <v>45.7</v>
      </c>
      <c r="U6" s="174">
        <f t="shared" si="0"/>
        <v>5.9799999999999999E-2</v>
      </c>
      <c r="V6" s="174">
        <f t="shared" si="0"/>
        <v>1.84</v>
      </c>
      <c r="W6" s="174">
        <f t="shared" si="0"/>
        <v>60.4</v>
      </c>
      <c r="X6" s="174">
        <f t="shared" si="0"/>
        <v>1.84</v>
      </c>
      <c r="Y6" s="174">
        <f t="shared" si="0"/>
        <v>5.66</v>
      </c>
      <c r="Z6" s="174">
        <f t="shared" si="0"/>
        <v>2.11</v>
      </c>
      <c r="AA6" s="174">
        <f t="shared" si="0"/>
        <v>3.11</v>
      </c>
      <c r="AB6" s="174">
        <f t="shared" si="0"/>
        <v>9.85</v>
      </c>
      <c r="AC6" s="174">
        <f t="shared" si="1"/>
        <v>4.0899999999999999E-2</v>
      </c>
      <c r="AD6" s="174">
        <f t="shared" si="1"/>
        <v>8.3700000000000007E-3</v>
      </c>
      <c r="AE6" s="174">
        <f t="shared" si="1"/>
        <v>0.153</v>
      </c>
      <c r="AF6" s="174">
        <f t="shared" si="1"/>
        <v>0.153</v>
      </c>
      <c r="AG6" s="174">
        <f t="shared" si="1"/>
        <v>0.68500000000000005</v>
      </c>
      <c r="AH6" s="174">
        <f t="shared" si="1"/>
        <v>0</v>
      </c>
      <c r="AI6" s="174">
        <f t="shared" si="1"/>
        <v>0</v>
      </c>
      <c r="AJ6" s="171">
        <f t="shared" si="1"/>
        <v>0</v>
      </c>
      <c r="AK6" s="174">
        <f t="shared" si="1"/>
        <v>0.3656256</v>
      </c>
      <c r="AL6" s="174">
        <f t="shared" si="1"/>
        <v>45.7</v>
      </c>
      <c r="AM6" s="174">
        <f t="shared" si="2"/>
        <v>5.9799999999999999E-2</v>
      </c>
      <c r="AN6" s="174">
        <f t="shared" si="2"/>
        <v>1.84</v>
      </c>
      <c r="AO6" s="174">
        <f t="shared" si="2"/>
        <v>60.4</v>
      </c>
      <c r="AP6" s="174">
        <f t="shared" si="2"/>
        <v>5.66</v>
      </c>
      <c r="AQ6" s="174">
        <f t="shared" si="2"/>
        <v>2.11</v>
      </c>
      <c r="AR6" s="174">
        <f t="shared" si="2"/>
        <v>3.11</v>
      </c>
      <c r="AS6" s="174">
        <f t="shared" si="2"/>
        <v>9.85</v>
      </c>
      <c r="AT6" s="174">
        <f t="shared" si="2"/>
        <v>4.0899999999999999E-2</v>
      </c>
      <c r="AU6" s="174">
        <f t="shared" si="2"/>
        <v>8.3700000000000007E-3</v>
      </c>
      <c r="AV6" s="174">
        <f t="shared" si="2"/>
        <v>0.153</v>
      </c>
      <c r="AW6" s="174">
        <f t="shared" si="3"/>
        <v>0.68500000000000005</v>
      </c>
      <c r="AX6" s="174">
        <f t="shared" si="3"/>
        <v>0.68500000000000005</v>
      </c>
      <c r="AY6" s="174">
        <f t="shared" si="3"/>
        <v>0.68500000000000005</v>
      </c>
      <c r="AZ6" s="174">
        <f t="shared" si="3"/>
        <v>0</v>
      </c>
      <c r="BA6" s="174">
        <f t="shared" si="3"/>
        <v>0</v>
      </c>
      <c r="BB6" s="171">
        <f t="shared" si="3"/>
        <v>0</v>
      </c>
      <c r="CB6" s="1"/>
      <c r="CC6" s="1"/>
      <c r="CD6" s="1"/>
      <c r="CE6" s="1"/>
      <c r="CF6" s="1"/>
      <c r="CG6" s="1"/>
      <c r="CH6" s="1"/>
      <c r="CI6" s="1"/>
      <c r="CJ6" s="1"/>
      <c r="CK6" s="1"/>
      <c r="CL6" s="1"/>
      <c r="CM6" s="1"/>
      <c r="CN6" s="1"/>
      <c r="CO6" s="1"/>
      <c r="CP6" s="1"/>
      <c r="CQ6" s="1"/>
      <c r="CR6" s="1"/>
      <c r="CS6" s="1"/>
      <c r="CT6" s="1"/>
      <c r="CU6" s="1"/>
      <c r="CV6" s="1"/>
      <c r="CW6" s="1"/>
      <c r="CX6" s="1"/>
      <c r="CY6" s="1"/>
    </row>
    <row r="7" spans="1:103" ht="12" customHeight="1" outlineLevel="1" x14ac:dyDescent="0.25">
      <c r="B7" s="1246" t="s">
        <v>2383</v>
      </c>
      <c r="D7" s="1"/>
      <c r="O7" s="1202"/>
      <c r="Q7" s="9" t="s">
        <v>190</v>
      </c>
      <c r="R7" s="1203" t="s">
        <v>1586</v>
      </c>
      <c r="S7" s="1089">
        <f t="shared" si="0"/>
        <v>0.152</v>
      </c>
      <c r="T7" s="20">
        <f t="shared" si="0"/>
        <v>31.8</v>
      </c>
      <c r="U7" s="20">
        <f t="shared" si="0"/>
        <v>0</v>
      </c>
      <c r="V7" s="20">
        <f t="shared" si="0"/>
        <v>2.2200000000000002</v>
      </c>
      <c r="W7" s="20">
        <f t="shared" si="0"/>
        <v>46.2</v>
      </c>
      <c r="X7" s="20">
        <f t="shared" si="0"/>
        <v>2.2200000000000002</v>
      </c>
      <c r="Y7" s="20">
        <f t="shared" si="0"/>
        <v>3.36</v>
      </c>
      <c r="Z7" s="20">
        <f t="shared" si="0"/>
        <v>304</v>
      </c>
      <c r="AA7" s="20">
        <f t="shared" si="0"/>
        <v>63.4</v>
      </c>
      <c r="AB7" s="20">
        <f t="shared" si="0"/>
        <v>7.27</v>
      </c>
      <c r="AC7" s="20">
        <f t="shared" si="1"/>
        <v>3.0200000000000001E-2</v>
      </c>
      <c r="AD7" s="20">
        <f t="shared" si="1"/>
        <v>6.1799999999999997E-3</v>
      </c>
      <c r="AE7" s="1093">
        <f t="shared" si="1"/>
        <v>54800</v>
      </c>
      <c r="AF7" s="1093">
        <f t="shared" si="1"/>
        <v>54800</v>
      </c>
      <c r="AG7" s="1093">
        <f t="shared" si="1"/>
        <v>2390</v>
      </c>
      <c r="AH7" s="20">
        <f t="shared" si="1"/>
        <v>0.223</v>
      </c>
      <c r="AI7" s="20">
        <f t="shared" si="1"/>
        <v>0.437</v>
      </c>
      <c r="AJ7" s="21">
        <f t="shared" si="1"/>
        <v>1.27</v>
      </c>
      <c r="AK7" s="20">
        <f t="shared" si="1"/>
        <v>0.152</v>
      </c>
      <c r="AL7" s="20">
        <f t="shared" si="1"/>
        <v>31.8</v>
      </c>
      <c r="AM7" s="20">
        <f t="shared" si="2"/>
        <v>0</v>
      </c>
      <c r="AN7" s="20">
        <f t="shared" si="2"/>
        <v>2.2200000000000002</v>
      </c>
      <c r="AO7" s="20">
        <f t="shared" si="2"/>
        <v>46.2</v>
      </c>
      <c r="AP7" s="20">
        <f t="shared" si="2"/>
        <v>3.36</v>
      </c>
      <c r="AQ7" s="20">
        <f t="shared" si="2"/>
        <v>304</v>
      </c>
      <c r="AR7" s="20">
        <f t="shared" si="2"/>
        <v>63.4</v>
      </c>
      <c r="AS7" s="20">
        <f t="shared" si="2"/>
        <v>7.27</v>
      </c>
      <c r="AT7" s="20">
        <f t="shared" si="2"/>
        <v>3.0200000000000001E-2</v>
      </c>
      <c r="AU7" s="20">
        <f t="shared" si="2"/>
        <v>6.1799999999999997E-3</v>
      </c>
      <c r="AV7" s="20">
        <f t="shared" si="2"/>
        <v>54800</v>
      </c>
      <c r="AW7" s="20">
        <f t="shared" si="3"/>
        <v>2390</v>
      </c>
      <c r="AX7" s="20">
        <f t="shared" si="3"/>
        <v>2390</v>
      </c>
      <c r="AY7" s="20">
        <f t="shared" si="3"/>
        <v>223</v>
      </c>
      <c r="AZ7" s="20">
        <f t="shared" si="3"/>
        <v>0.223</v>
      </c>
      <c r="BA7" s="20">
        <f t="shared" si="3"/>
        <v>0.437</v>
      </c>
      <c r="BB7" s="21">
        <f t="shared" si="3"/>
        <v>1.27</v>
      </c>
      <c r="CB7" s="1"/>
      <c r="CC7" s="1"/>
      <c r="CD7" s="1"/>
      <c r="CE7" s="1"/>
      <c r="CF7" s="1"/>
      <c r="CG7" s="1"/>
      <c r="CH7" s="1"/>
      <c r="CI7" s="1"/>
      <c r="CJ7" s="1"/>
      <c r="CK7" s="1"/>
      <c r="CL7" s="1"/>
      <c r="CM7" s="1"/>
      <c r="CN7" s="1"/>
      <c r="CO7" s="1"/>
      <c r="CP7" s="1"/>
      <c r="CQ7" s="1"/>
      <c r="CR7" s="1"/>
      <c r="CS7" s="1"/>
      <c r="CT7" s="1"/>
      <c r="CU7" s="1"/>
      <c r="CV7" s="1"/>
      <c r="CW7" s="1"/>
      <c r="CX7" s="1"/>
      <c r="CY7" s="1"/>
    </row>
    <row r="8" spans="1:103" ht="12" customHeight="1" outlineLevel="1" x14ac:dyDescent="0.25">
      <c r="B8" s="1246" t="s">
        <v>2384</v>
      </c>
      <c r="O8" s="1201"/>
      <c r="P8" s="89"/>
      <c r="Q8" s="1095" t="s">
        <v>191</v>
      </c>
      <c r="R8" s="1096" t="s">
        <v>22</v>
      </c>
      <c r="S8" s="10">
        <f t="shared" ref="S8:AB9" ca="1" si="4">INDEX(OFFSET($Q$816,0,MATCH(S$14,$Q$814:$T$814,0)-1,21,2),MATCH(S$17,$K$816:$K$836,0),MATCH($R8,$Q$815:$T$815,0))</f>
        <v>1</v>
      </c>
      <c r="T8" s="11">
        <f t="shared" ca="1" si="4"/>
        <v>1</v>
      </c>
      <c r="U8" s="11">
        <f t="shared" ca="1" si="4"/>
        <v>1.27</v>
      </c>
      <c r="V8" s="11">
        <f t="shared" ca="1" si="4"/>
        <v>5.5555555555555554</v>
      </c>
      <c r="W8" s="11">
        <f t="shared" ca="1" si="4"/>
        <v>1.46</v>
      </c>
      <c r="X8" s="11">
        <f t="shared" ca="1" si="4"/>
        <v>5.5555555555555554</v>
      </c>
      <c r="Y8" s="11">
        <f t="shared" ca="1" si="4"/>
        <v>1</v>
      </c>
      <c r="Z8" s="11">
        <f t="shared" ca="1" si="4"/>
        <v>1</v>
      </c>
      <c r="AA8" s="11">
        <f t="shared" ca="1" si="4"/>
        <v>1</v>
      </c>
      <c r="AB8" s="11">
        <f t="shared" ca="1" si="4"/>
        <v>1</v>
      </c>
      <c r="AC8" s="11">
        <f t="shared" ref="AC8:AL9" ca="1" si="5">INDEX(OFFSET($Q$816,0,MATCH(AC$14,$Q$814:$T$814,0)-1,21,2),MATCH(AC$17,$K$816:$K$836,0),MATCH($R8,$Q$815:$T$815,0))</f>
        <v>1</v>
      </c>
      <c r="AD8" s="11">
        <f t="shared" ca="1" si="5"/>
        <v>1</v>
      </c>
      <c r="AE8" s="11">
        <f t="shared" ca="1" si="5"/>
        <v>1</v>
      </c>
      <c r="AF8" s="11">
        <f t="shared" ca="1" si="5"/>
        <v>1</v>
      </c>
      <c r="AG8" s="11">
        <f t="shared" ca="1" si="5"/>
        <v>1</v>
      </c>
      <c r="AH8" s="11" t="str">
        <f t="shared" ca="1" si="5"/>
        <v>X</v>
      </c>
      <c r="AI8" s="11" t="str">
        <f t="shared" ca="1" si="5"/>
        <v>X</v>
      </c>
      <c r="AJ8" s="12" t="str">
        <f t="shared" ca="1" si="5"/>
        <v>X</v>
      </c>
      <c r="AK8" s="11">
        <f t="shared" ca="1" si="5"/>
        <v>1</v>
      </c>
      <c r="AL8" s="11">
        <f t="shared" ca="1" si="5"/>
        <v>1</v>
      </c>
      <c r="AM8" s="11">
        <f t="shared" ref="AM8:AV9" ca="1" si="6">INDEX(OFFSET($Q$816,0,MATCH(AM$14,$Q$814:$T$814,0)-1,21,2),MATCH(AM$17,$K$816:$K$836,0),MATCH($R8,$Q$815:$T$815,0))</f>
        <v>1</v>
      </c>
      <c r="AN8" s="11">
        <f t="shared" ca="1" si="6"/>
        <v>1</v>
      </c>
      <c r="AO8" s="11">
        <f t="shared" ca="1" si="6"/>
        <v>1</v>
      </c>
      <c r="AP8" s="11">
        <f t="shared" ca="1" si="6"/>
        <v>1</v>
      </c>
      <c r="AQ8" s="11">
        <f t="shared" ca="1" si="6"/>
        <v>1</v>
      </c>
      <c r="AR8" s="11">
        <f t="shared" ca="1" si="6"/>
        <v>1</v>
      </c>
      <c r="AS8" s="11">
        <f t="shared" ca="1" si="6"/>
        <v>1</v>
      </c>
      <c r="AT8" s="11">
        <f t="shared" ca="1" si="6"/>
        <v>1</v>
      </c>
      <c r="AU8" s="11">
        <f t="shared" ca="1" si="6"/>
        <v>1</v>
      </c>
      <c r="AV8" s="11">
        <f t="shared" ca="1" si="6"/>
        <v>1</v>
      </c>
      <c r="AW8" s="11">
        <f t="shared" ref="AW8:BB9" ca="1" si="7">INDEX(OFFSET($Q$816,0,MATCH(AW$14,$Q$814:$T$814,0)-1,21,2),MATCH(AW$17,$K$816:$K$836,0),MATCH($R8,$Q$815:$T$815,0))</f>
        <v>1</v>
      </c>
      <c r="AX8" s="11">
        <f t="shared" ca="1" si="7"/>
        <v>1</v>
      </c>
      <c r="AY8" s="11">
        <f t="shared" ca="1" si="7"/>
        <v>3.75</v>
      </c>
      <c r="AZ8" s="11" t="str">
        <f t="shared" ca="1" si="7"/>
        <v>X</v>
      </c>
      <c r="BA8" s="11" t="str">
        <f t="shared" ca="1" si="7"/>
        <v>X</v>
      </c>
      <c r="BB8" s="12" t="str">
        <f t="shared" ca="1" si="7"/>
        <v>X</v>
      </c>
      <c r="CB8" s="1"/>
      <c r="CC8" s="1"/>
      <c r="CD8" s="1"/>
      <c r="CE8" s="1"/>
      <c r="CF8" s="1"/>
      <c r="CG8" s="1"/>
      <c r="CH8" s="1"/>
      <c r="CI8" s="1"/>
      <c r="CJ8" s="1"/>
      <c r="CK8" s="1"/>
      <c r="CL8" s="1"/>
      <c r="CM8" s="1"/>
      <c r="CN8" s="1"/>
      <c r="CO8" s="1"/>
      <c r="CP8" s="1"/>
      <c r="CQ8" s="1"/>
      <c r="CR8" s="1"/>
      <c r="CS8" s="1"/>
      <c r="CT8" s="1"/>
      <c r="CU8" s="1"/>
      <c r="CV8" s="1"/>
      <c r="CW8" s="1"/>
      <c r="CX8" s="1"/>
      <c r="CY8" s="1"/>
    </row>
    <row r="9" spans="1:103" ht="12" customHeight="1" outlineLevel="1" x14ac:dyDescent="0.25">
      <c r="O9" s="1204"/>
      <c r="P9" s="1097"/>
      <c r="Q9" s="1098" t="s">
        <v>191</v>
      </c>
      <c r="R9" s="1099" t="s">
        <v>157</v>
      </c>
      <c r="S9" s="177">
        <f t="shared" ca="1" si="4"/>
        <v>1</v>
      </c>
      <c r="T9" s="178">
        <f t="shared" ca="1" si="4"/>
        <v>1</v>
      </c>
      <c r="U9" s="178" t="str">
        <f t="shared" ca="1" si="4"/>
        <v>X</v>
      </c>
      <c r="V9" s="178">
        <f t="shared" ca="1" si="4"/>
        <v>5.5555555555555554</v>
      </c>
      <c r="W9" s="178">
        <f t="shared" ca="1" si="4"/>
        <v>1</v>
      </c>
      <c r="X9" s="178">
        <f t="shared" ca="1" si="4"/>
        <v>5.5555555555555554</v>
      </c>
      <c r="Y9" s="178">
        <f t="shared" ca="1" si="4"/>
        <v>1</v>
      </c>
      <c r="Z9" s="178">
        <f t="shared" ca="1" si="4"/>
        <v>1</v>
      </c>
      <c r="AA9" s="178">
        <f t="shared" ca="1" si="4"/>
        <v>1</v>
      </c>
      <c r="AB9" s="178">
        <f t="shared" ca="1" si="4"/>
        <v>1</v>
      </c>
      <c r="AC9" s="178">
        <f t="shared" ca="1" si="5"/>
        <v>1</v>
      </c>
      <c r="AD9" s="178">
        <f t="shared" ca="1" si="5"/>
        <v>1</v>
      </c>
      <c r="AE9" s="178">
        <f t="shared" ca="1" si="5"/>
        <v>3.3238521083769161E-6</v>
      </c>
      <c r="AF9" s="178">
        <f t="shared" ca="1" si="5"/>
        <v>2.2811508923627111E-7</v>
      </c>
      <c r="AG9" s="178">
        <f t="shared" ca="1" si="5"/>
        <v>1.8181818181818181E-4</v>
      </c>
      <c r="AH9" s="178">
        <f t="shared" ca="1" si="5"/>
        <v>1</v>
      </c>
      <c r="AI9" s="178">
        <f t="shared" ca="1" si="5"/>
        <v>1</v>
      </c>
      <c r="AJ9" s="179">
        <f t="shared" ca="1" si="5"/>
        <v>1</v>
      </c>
      <c r="AK9" s="178">
        <f t="shared" ca="1" si="5"/>
        <v>1</v>
      </c>
      <c r="AL9" s="178">
        <f t="shared" ca="1" si="5"/>
        <v>1</v>
      </c>
      <c r="AM9" s="178" t="str">
        <f t="shared" ca="1" si="6"/>
        <v>X</v>
      </c>
      <c r="AN9" s="178">
        <f t="shared" ca="1" si="6"/>
        <v>1</v>
      </c>
      <c r="AO9" s="178">
        <f t="shared" ca="1" si="6"/>
        <v>0.68493150684931503</v>
      </c>
      <c r="AP9" s="178">
        <f t="shared" ca="1" si="6"/>
        <v>1</v>
      </c>
      <c r="AQ9" s="178">
        <f t="shared" ca="1" si="6"/>
        <v>1</v>
      </c>
      <c r="AR9" s="178">
        <f t="shared" ca="1" si="6"/>
        <v>1</v>
      </c>
      <c r="AS9" s="178">
        <f t="shared" ca="1" si="6"/>
        <v>1</v>
      </c>
      <c r="AT9" s="178">
        <f t="shared" ca="1" si="6"/>
        <v>1</v>
      </c>
      <c r="AU9" s="178">
        <f t="shared" ca="1" si="6"/>
        <v>1</v>
      </c>
      <c r="AV9" s="178">
        <f t="shared" ca="1" si="6"/>
        <v>7.00145004042157E-7</v>
      </c>
      <c r="AW9" s="178">
        <f t="shared" ca="1" si="7"/>
        <v>1E-4</v>
      </c>
      <c r="AX9" s="178">
        <f t="shared" ca="1" si="7"/>
        <v>1E-4</v>
      </c>
      <c r="AY9" s="178">
        <f t="shared" ca="1" si="7"/>
        <v>1E-4</v>
      </c>
      <c r="AZ9" s="178">
        <f t="shared" ca="1" si="7"/>
        <v>2.3419203747072598E-2</v>
      </c>
      <c r="BA9" s="178">
        <f t="shared" ca="1" si="7"/>
        <v>1</v>
      </c>
      <c r="BB9" s="179">
        <f t="shared" ca="1" si="7"/>
        <v>1</v>
      </c>
      <c r="BE9" s="4" t="s">
        <v>0</v>
      </c>
      <c r="BF9" s="5" t="s">
        <v>1</v>
      </c>
      <c r="BG9" s="5" t="s">
        <v>2</v>
      </c>
      <c r="BH9" s="5" t="s">
        <v>3</v>
      </c>
      <c r="BI9" s="5" t="s">
        <v>4</v>
      </c>
      <c r="BJ9" s="5" t="s">
        <v>5</v>
      </c>
      <c r="BK9" s="5" t="s">
        <v>6</v>
      </c>
      <c r="BL9" s="5" t="s">
        <v>7</v>
      </c>
      <c r="BM9" s="5"/>
      <c r="BN9" s="5" t="s">
        <v>0</v>
      </c>
      <c r="BO9" s="5" t="s">
        <v>8</v>
      </c>
      <c r="BP9" s="5" t="s">
        <v>9</v>
      </c>
      <c r="BQ9" s="5" t="s">
        <v>10</v>
      </c>
      <c r="BR9" s="5" t="s">
        <v>11</v>
      </c>
      <c r="BS9" s="5" t="s">
        <v>12</v>
      </c>
      <c r="BT9" s="5" t="s">
        <v>13</v>
      </c>
      <c r="BU9" s="5" t="s">
        <v>14</v>
      </c>
      <c r="BV9" s="5" t="s">
        <v>15</v>
      </c>
      <c r="BW9" s="5" t="s">
        <v>7</v>
      </c>
      <c r="BX9" s="5"/>
      <c r="BY9" s="5" t="s">
        <v>16</v>
      </c>
      <c r="BZ9" s="6" t="s">
        <v>17</v>
      </c>
      <c r="CB9" s="1"/>
      <c r="CC9" s="1"/>
      <c r="CD9" s="1"/>
      <c r="CE9" s="1"/>
      <c r="CF9" s="1"/>
      <c r="CG9" s="1"/>
      <c r="CH9" s="1"/>
      <c r="CI9" s="1"/>
      <c r="CJ9" s="1"/>
      <c r="CK9" s="1"/>
      <c r="CL9" s="1"/>
      <c r="CM9" s="1"/>
      <c r="CN9" s="1"/>
      <c r="CO9" s="1"/>
      <c r="CP9" s="1"/>
      <c r="CQ9" s="1"/>
      <c r="CR9" s="1"/>
      <c r="CS9" s="1"/>
      <c r="CT9" s="1"/>
      <c r="CU9" s="1"/>
      <c r="CV9" s="1"/>
      <c r="CW9" s="1"/>
      <c r="CX9" s="1"/>
      <c r="CY9" s="1"/>
    </row>
    <row r="10" spans="1:103" ht="12" customHeight="1" outlineLevel="1" x14ac:dyDescent="0.25">
      <c r="E10" s="1"/>
      <c r="F10" s="1"/>
      <c r="O10" s="1202"/>
      <c r="Q10" s="1205" t="s">
        <v>158</v>
      </c>
      <c r="R10" s="1203" t="s">
        <v>1583</v>
      </c>
      <c r="S10" s="1090">
        <f ca="1">IFERROR(S4*INDEX(S$8:S$9,MATCH(LEFT($R10,3),$R$8:$R$9,0)),0)</f>
        <v>0.19500000000000001</v>
      </c>
      <c r="T10" s="199">
        <f t="shared" ref="T10:BB10" ca="1" si="8">IFERROR(T4*INDEX(T$8:T$9,MATCH(LEFT($R10,3),$R$8:$R$9,0)),0)</f>
        <v>30.4</v>
      </c>
      <c r="U10" s="199">
        <f t="shared" ca="1" si="8"/>
        <v>5.8547000000000002E-2</v>
      </c>
      <c r="V10" s="199">
        <f t="shared" ca="1" si="8"/>
        <v>6.3888888888888884</v>
      </c>
      <c r="W10" s="199">
        <f t="shared" ca="1" si="8"/>
        <v>57.231999999999999</v>
      </c>
      <c r="X10" s="199">
        <f t="shared" ca="1" si="8"/>
        <v>6.3888888888888884</v>
      </c>
      <c r="Y10" s="199">
        <f t="shared" ca="1" si="8"/>
        <v>4.97</v>
      </c>
      <c r="Z10" s="199">
        <f t="shared" ca="1" si="8"/>
        <v>1.86</v>
      </c>
      <c r="AA10" s="199">
        <f t="shared" ca="1" si="8"/>
        <v>3.11</v>
      </c>
      <c r="AB10" s="199">
        <f t="shared" ca="1" si="8"/>
        <v>8.69</v>
      </c>
      <c r="AC10" s="199">
        <f t="shared" ca="1" si="8"/>
        <v>3.61E-2</v>
      </c>
      <c r="AD10" s="199">
        <f t="shared" ca="1" si="8"/>
        <v>7.3899999999999999E-3</v>
      </c>
      <c r="AE10" s="199">
        <f t="shared" ca="1" si="8"/>
        <v>9.9099999999999994E-2</v>
      </c>
      <c r="AF10" s="199">
        <f t="shared" ca="1" si="8"/>
        <v>9.9099999999999994E-2</v>
      </c>
      <c r="AG10" s="199">
        <f t="shared" ca="1" si="8"/>
        <v>8.4500000000000006E-2</v>
      </c>
      <c r="AH10" s="199">
        <f t="shared" ca="1" si="8"/>
        <v>0</v>
      </c>
      <c r="AI10" s="199">
        <f t="shared" ca="1" si="8"/>
        <v>0</v>
      </c>
      <c r="AJ10" s="200">
        <f t="shared" ca="1" si="8"/>
        <v>0</v>
      </c>
      <c r="AK10" s="198">
        <f t="shared" ca="1" si="8"/>
        <v>0.19500000000000001</v>
      </c>
      <c r="AL10" s="199">
        <f t="shared" ca="1" si="8"/>
        <v>30.4</v>
      </c>
      <c r="AM10" s="199">
        <f t="shared" ca="1" si="8"/>
        <v>4.6100000000000002E-2</v>
      </c>
      <c r="AN10" s="199">
        <f t="shared" ca="1" si="8"/>
        <v>1.1499999999999999</v>
      </c>
      <c r="AO10" s="199">
        <f t="shared" ca="1" si="8"/>
        <v>39.200000000000003</v>
      </c>
      <c r="AP10" s="199">
        <f t="shared" ca="1" si="8"/>
        <v>4.97</v>
      </c>
      <c r="AQ10" s="199">
        <f t="shared" ca="1" si="8"/>
        <v>1.86</v>
      </c>
      <c r="AR10" s="199">
        <f t="shared" ca="1" si="8"/>
        <v>3.11</v>
      </c>
      <c r="AS10" s="199">
        <f t="shared" ca="1" si="8"/>
        <v>8.69</v>
      </c>
      <c r="AT10" s="199">
        <f t="shared" ca="1" si="8"/>
        <v>3.61E-2</v>
      </c>
      <c r="AU10" s="199">
        <f t="shared" ca="1" si="8"/>
        <v>7.3899999999999999E-3</v>
      </c>
      <c r="AV10" s="199">
        <f t="shared" ca="1" si="8"/>
        <v>9.9099999999999994E-2</v>
      </c>
      <c r="AW10" s="199">
        <f t="shared" ca="1" si="8"/>
        <v>8.4500000000000006E-2</v>
      </c>
      <c r="AX10" s="199">
        <f t="shared" ca="1" si="8"/>
        <v>8.4500000000000006E-2</v>
      </c>
      <c r="AY10" s="199">
        <f t="shared" ca="1" si="8"/>
        <v>0</v>
      </c>
      <c r="AZ10" s="199">
        <f t="shared" ca="1" si="8"/>
        <v>0</v>
      </c>
      <c r="BA10" s="199">
        <f t="shared" ca="1" si="8"/>
        <v>0</v>
      </c>
      <c r="BB10" s="200">
        <f t="shared" ca="1" si="8"/>
        <v>0</v>
      </c>
      <c r="BC10" s="172"/>
      <c r="BD10" s="13" t="s">
        <v>18</v>
      </c>
      <c r="BE10" s="14">
        <f t="shared" ref="BE10:BL10" si="9">MIN(BE$19:BE$150)</f>
        <v>0.10033693597377188</v>
      </c>
      <c r="BF10" s="15">
        <f t="shared" si="9"/>
        <v>6.9462102433152603E-4</v>
      </c>
      <c r="BG10" s="15">
        <f t="shared" si="9"/>
        <v>1.6731334194680703E-6</v>
      </c>
      <c r="BH10" s="15">
        <f t="shared" si="9"/>
        <v>1.3273263238699443E-4</v>
      </c>
      <c r="BI10" s="15">
        <f t="shared" si="9"/>
        <v>0.26531610646807618</v>
      </c>
      <c r="BJ10" s="15">
        <f t="shared" si="9"/>
        <v>1.7103559685863472E-4</v>
      </c>
      <c r="BK10" s="15">
        <f t="shared" si="9"/>
        <v>-0.16442555147464244</v>
      </c>
      <c r="BL10" s="15">
        <f t="shared" si="9"/>
        <v>1.5466227803399846E-4</v>
      </c>
      <c r="BM10" s="16"/>
      <c r="BN10" s="15">
        <f t="shared" ref="BN10:BW10" si="10">MIN(BN$19:BN$150)</f>
        <v>2.1539812317192774E-2</v>
      </c>
      <c r="BO10" s="15">
        <f t="shared" si="10"/>
        <v>3.9771208223942584E-3</v>
      </c>
      <c r="BP10" s="15">
        <f t="shared" si="10"/>
        <v>1.1817323734560592E-2</v>
      </c>
      <c r="BQ10" s="15">
        <f t="shared" si="10"/>
        <v>5.6168597134094867E-4</v>
      </c>
      <c r="BR10" s="15">
        <f t="shared" si="10"/>
        <v>2.6087745069727119E-5</v>
      </c>
      <c r="BS10" s="15">
        <f t="shared" si="10"/>
        <v>9.5308260566055023E-6</v>
      </c>
      <c r="BT10" s="15">
        <f t="shared" si="10"/>
        <v>2.4112160670986453E-5</v>
      </c>
      <c r="BU10" s="15">
        <f t="shared" si="10"/>
        <v>5.4998259666268228E-6</v>
      </c>
      <c r="BV10" s="15">
        <f t="shared" si="10"/>
        <v>0.37369159644067651</v>
      </c>
      <c r="BW10" s="15">
        <f t="shared" si="10"/>
        <v>8.5529624415065932E-5</v>
      </c>
      <c r="BX10" s="16"/>
      <c r="BY10" s="15">
        <f>MIN(BY$19:BY$150)</f>
        <v>5.06918821174057E-4</v>
      </c>
      <c r="BZ10" s="17">
        <f>MIN(BZ$19:BZ$150)</f>
        <v>0.9882591996503145</v>
      </c>
      <c r="CB10" s="1"/>
      <c r="CC10" s="1"/>
      <c r="CD10" s="1"/>
      <c r="CE10" s="1"/>
      <c r="CF10" s="1"/>
      <c r="CG10" s="1"/>
      <c r="CH10" s="1"/>
      <c r="CI10" s="1"/>
      <c r="CJ10" s="1"/>
      <c r="CK10" s="1"/>
      <c r="CL10" s="1"/>
      <c r="CM10" s="1"/>
      <c r="CN10" s="1"/>
      <c r="CO10" s="1"/>
      <c r="CP10" s="1"/>
      <c r="CQ10" s="1"/>
      <c r="CR10" s="1"/>
      <c r="CS10" s="1"/>
      <c r="CT10" s="1"/>
      <c r="CU10" s="1"/>
      <c r="CV10" s="1"/>
      <c r="CW10" s="1"/>
      <c r="CX10" s="1"/>
      <c r="CY10" s="1"/>
    </row>
    <row r="11" spans="1:103" ht="12" customHeight="1" outlineLevel="1" x14ac:dyDescent="0.25">
      <c r="E11" s="1"/>
      <c r="F11" s="1"/>
      <c r="O11" s="1202"/>
      <c r="Q11" s="1205"/>
      <c r="R11" s="1203" t="s">
        <v>1584</v>
      </c>
      <c r="S11" s="1091">
        <f t="shared" ref="S11:S13" ca="1" si="11">IFERROR(S5*INDEX(S$8:S$9,MATCH(LEFT($R11,3),$R$8:$R$9,0)),0)</f>
        <v>5.9896346145608681E-2</v>
      </c>
      <c r="T11" s="202">
        <f t="shared" ref="T11:BB11" ca="1" si="12">IFERROR(T5*INDEX(T$8:T$9,MATCH(LEFT($R11,3),$R$8:$R$9,0)),0)</f>
        <v>22.1</v>
      </c>
      <c r="U11" s="202">
        <f t="shared" ca="1" si="12"/>
        <v>3.7719000000000003E-2</v>
      </c>
      <c r="V11" s="202">
        <f t="shared" ca="1" si="12"/>
        <v>4.6666666666666661</v>
      </c>
      <c r="W11" s="202">
        <f t="shared" ca="1" si="12"/>
        <v>40.879999999999995</v>
      </c>
      <c r="X11" s="202">
        <f t="shared" ca="1" si="12"/>
        <v>4.6666666666666661</v>
      </c>
      <c r="Y11" s="202">
        <f t="shared" ca="1" si="12"/>
        <v>0.52600000000000002</v>
      </c>
      <c r="Z11" s="202">
        <f t="shared" ca="1" si="12"/>
        <v>0.25</v>
      </c>
      <c r="AA11" s="202">
        <f t="shared" ca="1" si="12"/>
        <v>3.11</v>
      </c>
      <c r="AB11" s="202">
        <f t="shared" ca="1" si="12"/>
        <v>1.17</v>
      </c>
      <c r="AC11" s="202">
        <f t="shared" ca="1" si="12"/>
        <v>4.8500000000000001E-3</v>
      </c>
      <c r="AD11" s="202">
        <f t="shared" ca="1" si="12"/>
        <v>9.9200000000000004E-4</v>
      </c>
      <c r="AE11" s="202">
        <f t="shared" ca="1" si="12"/>
        <v>7.2499999999999995E-2</v>
      </c>
      <c r="AF11" s="202">
        <f t="shared" ca="1" si="12"/>
        <v>7.2499999999999995E-2</v>
      </c>
      <c r="AG11" s="202">
        <f t="shared" ca="1" si="12"/>
        <v>2.5499999999999998E-2</v>
      </c>
      <c r="AH11" s="202">
        <f t="shared" ca="1" si="12"/>
        <v>0</v>
      </c>
      <c r="AI11" s="202">
        <f t="shared" ca="1" si="12"/>
        <v>0</v>
      </c>
      <c r="AJ11" s="203">
        <f t="shared" ca="1" si="12"/>
        <v>0</v>
      </c>
      <c r="AK11" s="201">
        <f t="shared" ca="1" si="12"/>
        <v>5.9896346145608681E-2</v>
      </c>
      <c r="AL11" s="202">
        <f t="shared" ca="1" si="12"/>
        <v>22.1</v>
      </c>
      <c r="AM11" s="202">
        <f t="shared" ca="1" si="12"/>
        <v>2.9700000000000001E-2</v>
      </c>
      <c r="AN11" s="202">
        <f t="shared" ca="1" si="12"/>
        <v>0.84</v>
      </c>
      <c r="AO11" s="202">
        <f t="shared" ca="1" si="12"/>
        <v>28</v>
      </c>
      <c r="AP11" s="202">
        <f t="shared" ca="1" si="12"/>
        <v>0.52600000000000002</v>
      </c>
      <c r="AQ11" s="202">
        <f t="shared" ca="1" si="12"/>
        <v>0.25</v>
      </c>
      <c r="AR11" s="202">
        <f t="shared" ca="1" si="12"/>
        <v>3.11</v>
      </c>
      <c r="AS11" s="202">
        <f t="shared" ca="1" si="12"/>
        <v>1.17</v>
      </c>
      <c r="AT11" s="202">
        <f t="shared" ca="1" si="12"/>
        <v>4.8500000000000001E-3</v>
      </c>
      <c r="AU11" s="202">
        <f t="shared" ca="1" si="12"/>
        <v>9.9200000000000004E-4</v>
      </c>
      <c r="AV11" s="202">
        <f t="shared" ca="1" si="12"/>
        <v>7.2499999999999995E-2</v>
      </c>
      <c r="AW11" s="202">
        <f t="shared" ca="1" si="12"/>
        <v>2.5499999999999998E-2</v>
      </c>
      <c r="AX11" s="202">
        <f t="shared" ca="1" si="12"/>
        <v>2.5499999999999998E-2</v>
      </c>
      <c r="AY11" s="202">
        <f t="shared" ca="1" si="12"/>
        <v>9.5624999999999988E-2</v>
      </c>
      <c r="AZ11" s="202">
        <f t="shared" ca="1" si="12"/>
        <v>0</v>
      </c>
      <c r="BA11" s="202">
        <f t="shared" ca="1" si="12"/>
        <v>0</v>
      </c>
      <c r="BB11" s="203">
        <f t="shared" ca="1" si="12"/>
        <v>0</v>
      </c>
      <c r="BC11" s="172"/>
      <c r="BD11" s="22" t="s">
        <v>21</v>
      </c>
      <c r="BE11" s="23">
        <f t="shared" ref="BE11:BL11" si="13">MEDIAN(BE$19:BE$150)</f>
        <v>0.3245109859837218</v>
      </c>
      <c r="BF11" s="24">
        <f t="shared" si="13"/>
        <v>1.6454455568272867E-3</v>
      </c>
      <c r="BG11" s="24">
        <f t="shared" si="13"/>
        <v>1.4014092283556734E-5</v>
      </c>
      <c r="BH11" s="24">
        <f t="shared" si="13"/>
        <v>5.6288417870898515E-4</v>
      </c>
      <c r="BI11" s="24">
        <f t="shared" si="13"/>
        <v>0.34691513005491603</v>
      </c>
      <c r="BJ11" s="24">
        <f t="shared" si="13"/>
        <v>4.6806317624706036E-4</v>
      </c>
      <c r="BK11" s="24">
        <f t="shared" si="13"/>
        <v>0.23091838653376631</v>
      </c>
      <c r="BL11" s="24">
        <f t="shared" si="13"/>
        <v>5.8002393891666408E-4</v>
      </c>
      <c r="BM11" s="25"/>
      <c r="BN11" s="24">
        <f t="shared" ref="BN11:BW11" si="14">MEDIAN(BN$19:BN$150)</f>
        <v>3.8483084713414148E-2</v>
      </c>
      <c r="BO11" s="24">
        <f t="shared" si="14"/>
        <v>4.9928524728174075E-3</v>
      </c>
      <c r="BP11" s="24">
        <f t="shared" si="14"/>
        <v>4.208051569042924E-2</v>
      </c>
      <c r="BQ11" s="24">
        <f t="shared" si="14"/>
        <v>1.0284323677503158E-3</v>
      </c>
      <c r="BR11" s="24">
        <f t="shared" si="14"/>
        <v>1.1595128027988734E-4</v>
      </c>
      <c r="BS11" s="24">
        <f t="shared" si="14"/>
        <v>1.8050019321001144E-5</v>
      </c>
      <c r="BT11" s="24">
        <f t="shared" si="14"/>
        <v>4.6563962940971997E-5</v>
      </c>
      <c r="BU11" s="24">
        <f t="shared" si="14"/>
        <v>8.8654921754901121E-6</v>
      </c>
      <c r="BV11" s="24">
        <f t="shared" si="14"/>
        <v>0.90424871297498099</v>
      </c>
      <c r="BW11" s="24">
        <f t="shared" si="14"/>
        <v>3.1912154855858328E-4</v>
      </c>
      <c r="BX11" s="25"/>
      <c r="BY11" s="24">
        <f>MEDIAN(BY$19:BY$150)</f>
        <v>1.46916543390294E-3</v>
      </c>
      <c r="BZ11" s="26">
        <f>MEDIAN(BZ$19:BZ$150)</f>
        <v>0.99853083456609704</v>
      </c>
      <c r="CB11" s="1"/>
      <c r="CC11" s="1"/>
      <c r="CD11" s="1"/>
      <c r="CE11" s="1"/>
      <c r="CF11" s="1"/>
      <c r="CG11" s="1"/>
      <c r="CH11" s="1"/>
      <c r="CI11" s="1"/>
      <c r="CJ11" s="1"/>
      <c r="CK11" s="1"/>
      <c r="CL11" s="1"/>
      <c r="CM11" s="1"/>
      <c r="CN11" s="1"/>
      <c r="CO11" s="1"/>
      <c r="CP11" s="1"/>
      <c r="CQ11" s="1"/>
      <c r="CR11" s="1"/>
      <c r="CS11" s="1"/>
      <c r="CT11" s="1"/>
      <c r="CU11" s="1"/>
      <c r="CV11" s="1"/>
      <c r="CW11" s="1"/>
      <c r="CX11" s="1"/>
      <c r="CY11" s="1"/>
    </row>
    <row r="12" spans="1:103" ht="12" customHeight="1" outlineLevel="1" x14ac:dyDescent="0.25">
      <c r="C12" s="9" t="s">
        <v>19</v>
      </c>
      <c r="D12" s="19" t="s">
        <v>20</v>
      </c>
      <c r="E12" s="1"/>
      <c r="F12" s="1"/>
      <c r="O12" s="1202"/>
      <c r="Q12" s="1205"/>
      <c r="R12" s="1203" t="s">
        <v>1585</v>
      </c>
      <c r="S12" s="1091">
        <f t="shared" ca="1" si="11"/>
        <v>0.3656256</v>
      </c>
      <c r="T12" s="202">
        <f t="shared" ref="T12:BB12" ca="1" si="15">IFERROR(T6*INDEX(T$8:T$9,MATCH(LEFT($R12,3),$R$8:$R$9,0)),0)</f>
        <v>45.7</v>
      </c>
      <c r="U12" s="202">
        <f t="shared" ca="1" si="15"/>
        <v>7.5946E-2</v>
      </c>
      <c r="V12" s="202">
        <f t="shared" ca="1" si="15"/>
        <v>10.222222222222221</v>
      </c>
      <c r="W12" s="202">
        <f t="shared" ca="1" si="15"/>
        <v>88.183999999999997</v>
      </c>
      <c r="X12" s="202">
        <f t="shared" ca="1" si="15"/>
        <v>10.222222222222221</v>
      </c>
      <c r="Y12" s="202">
        <f t="shared" ca="1" si="15"/>
        <v>5.66</v>
      </c>
      <c r="Z12" s="202">
        <f t="shared" ca="1" si="15"/>
        <v>2.11</v>
      </c>
      <c r="AA12" s="202">
        <f t="shared" ca="1" si="15"/>
        <v>3.11</v>
      </c>
      <c r="AB12" s="202">
        <f t="shared" ca="1" si="15"/>
        <v>9.85</v>
      </c>
      <c r="AC12" s="202">
        <f t="shared" ca="1" si="15"/>
        <v>4.0899999999999999E-2</v>
      </c>
      <c r="AD12" s="202">
        <f t="shared" ca="1" si="15"/>
        <v>8.3700000000000007E-3</v>
      </c>
      <c r="AE12" s="202">
        <f t="shared" ca="1" si="15"/>
        <v>0.153</v>
      </c>
      <c r="AF12" s="202">
        <f t="shared" ca="1" si="15"/>
        <v>0.153</v>
      </c>
      <c r="AG12" s="202">
        <f t="shared" ca="1" si="15"/>
        <v>0.68500000000000005</v>
      </c>
      <c r="AH12" s="202">
        <f t="shared" ca="1" si="15"/>
        <v>0</v>
      </c>
      <c r="AI12" s="202">
        <f t="shared" ca="1" si="15"/>
        <v>0</v>
      </c>
      <c r="AJ12" s="203">
        <f t="shared" ca="1" si="15"/>
        <v>0</v>
      </c>
      <c r="AK12" s="201">
        <f t="shared" ca="1" si="15"/>
        <v>0.3656256</v>
      </c>
      <c r="AL12" s="202">
        <f t="shared" ca="1" si="15"/>
        <v>45.7</v>
      </c>
      <c r="AM12" s="202">
        <f t="shared" ca="1" si="15"/>
        <v>5.9799999999999999E-2</v>
      </c>
      <c r="AN12" s="202">
        <f t="shared" ca="1" si="15"/>
        <v>1.84</v>
      </c>
      <c r="AO12" s="202">
        <f t="shared" ca="1" si="15"/>
        <v>60.4</v>
      </c>
      <c r="AP12" s="202">
        <f t="shared" ca="1" si="15"/>
        <v>5.66</v>
      </c>
      <c r="AQ12" s="202">
        <f t="shared" ca="1" si="15"/>
        <v>2.11</v>
      </c>
      <c r="AR12" s="202">
        <f t="shared" ca="1" si="15"/>
        <v>3.11</v>
      </c>
      <c r="AS12" s="202">
        <f t="shared" ca="1" si="15"/>
        <v>9.85</v>
      </c>
      <c r="AT12" s="202">
        <f t="shared" ca="1" si="15"/>
        <v>4.0899999999999999E-2</v>
      </c>
      <c r="AU12" s="202">
        <f t="shared" ca="1" si="15"/>
        <v>8.3700000000000007E-3</v>
      </c>
      <c r="AV12" s="202">
        <f t="shared" ca="1" si="15"/>
        <v>0.153</v>
      </c>
      <c r="AW12" s="202">
        <f t="shared" ca="1" si="15"/>
        <v>0.68500000000000005</v>
      </c>
      <c r="AX12" s="202">
        <f t="shared" ca="1" si="15"/>
        <v>0.68500000000000005</v>
      </c>
      <c r="AY12" s="202">
        <f t="shared" ca="1" si="15"/>
        <v>2.5687500000000001</v>
      </c>
      <c r="AZ12" s="202">
        <f t="shared" ca="1" si="15"/>
        <v>0</v>
      </c>
      <c r="BA12" s="202">
        <f t="shared" ca="1" si="15"/>
        <v>0</v>
      </c>
      <c r="BB12" s="203">
        <f t="shared" ca="1" si="15"/>
        <v>0</v>
      </c>
      <c r="BC12" s="172"/>
      <c r="BD12" s="13" t="s">
        <v>18</v>
      </c>
      <c r="BE12" s="14">
        <f t="shared" ref="BE12:BL12" si="16">MIN(BE$19:BE$150)</f>
        <v>0.10033693597377188</v>
      </c>
      <c r="BF12" s="15">
        <f t="shared" si="16"/>
        <v>6.9462102433152603E-4</v>
      </c>
      <c r="BG12" s="15">
        <f t="shared" si="16"/>
        <v>1.6731334194680703E-6</v>
      </c>
      <c r="BH12" s="15">
        <f t="shared" si="16"/>
        <v>1.3273263238699443E-4</v>
      </c>
      <c r="BI12" s="15">
        <f t="shared" si="16"/>
        <v>0.26531610646807618</v>
      </c>
      <c r="BJ12" s="15">
        <f t="shared" si="16"/>
        <v>1.7103559685863472E-4</v>
      </c>
      <c r="BK12" s="15">
        <f t="shared" si="16"/>
        <v>-0.16442555147464244</v>
      </c>
      <c r="BL12" s="15">
        <f t="shared" si="16"/>
        <v>1.5466227803399846E-4</v>
      </c>
      <c r="BM12" s="16"/>
      <c r="BN12" s="15">
        <f t="shared" ref="BN12:BW12" si="17">MIN(BN$19:BN$150)</f>
        <v>2.1539812317192774E-2</v>
      </c>
      <c r="BO12" s="15">
        <f t="shared" si="17"/>
        <v>3.9771208223942584E-3</v>
      </c>
      <c r="BP12" s="15">
        <f t="shared" si="17"/>
        <v>1.1817323734560592E-2</v>
      </c>
      <c r="BQ12" s="15">
        <f t="shared" si="17"/>
        <v>5.6168597134094867E-4</v>
      </c>
      <c r="BR12" s="15">
        <f t="shared" si="17"/>
        <v>2.6087745069727119E-5</v>
      </c>
      <c r="BS12" s="15">
        <f t="shared" si="17"/>
        <v>9.5308260566055023E-6</v>
      </c>
      <c r="BT12" s="15">
        <f t="shared" si="17"/>
        <v>2.4112160670986453E-5</v>
      </c>
      <c r="BU12" s="15">
        <f t="shared" si="17"/>
        <v>5.4998259666268228E-6</v>
      </c>
      <c r="BV12" s="15">
        <f t="shared" si="17"/>
        <v>0.37369159644067651</v>
      </c>
      <c r="BW12" s="15">
        <f t="shared" si="17"/>
        <v>8.5529624415065932E-5</v>
      </c>
      <c r="BX12" s="16"/>
      <c r="BY12" s="15">
        <f>MIN(BY$19:BY$150)</f>
        <v>5.06918821174057E-4</v>
      </c>
      <c r="BZ12" s="17">
        <f>MIN(BZ$19:BZ$150)</f>
        <v>0.9882591996503145</v>
      </c>
      <c r="CB12" s="1"/>
      <c r="CC12" s="1"/>
      <c r="CD12" s="1"/>
      <c r="CE12" s="1"/>
      <c r="CF12" s="1"/>
      <c r="CG12" s="1"/>
      <c r="CH12" s="1"/>
      <c r="CI12" s="1"/>
      <c r="CJ12" s="1"/>
      <c r="CK12" s="1"/>
      <c r="CL12" s="1"/>
      <c r="CM12" s="1"/>
      <c r="CN12" s="1"/>
      <c r="CO12" s="1"/>
      <c r="CP12" s="1"/>
      <c r="CQ12" s="1"/>
      <c r="CR12" s="1"/>
      <c r="CS12" s="1"/>
      <c r="CT12" s="1"/>
      <c r="CU12" s="1"/>
      <c r="CV12" s="1"/>
      <c r="CW12" s="1"/>
      <c r="CX12" s="1"/>
      <c r="CY12" s="1"/>
    </row>
    <row r="13" spans="1:103" ht="12" customHeight="1" outlineLevel="1" x14ac:dyDescent="0.25">
      <c r="C13" s="9" t="s">
        <v>24</v>
      </c>
      <c r="D13" s="33" t="s">
        <v>25</v>
      </c>
      <c r="E13" s="1"/>
      <c r="F13" s="1"/>
      <c r="O13" s="1204"/>
      <c r="P13" s="1097"/>
      <c r="Q13" s="1100"/>
      <c r="R13" s="1099" t="s">
        <v>1586</v>
      </c>
      <c r="S13" s="1092">
        <f t="shared" ca="1" si="11"/>
        <v>0.152</v>
      </c>
      <c r="T13" s="205">
        <f t="shared" ref="T13:BB13" ca="1" si="18">IFERROR(T7*INDEX(T$8:T$9,MATCH(LEFT($R13,3),$R$8:$R$9,0)),0)</f>
        <v>31.8</v>
      </c>
      <c r="U13" s="205">
        <f t="shared" ca="1" si="18"/>
        <v>0</v>
      </c>
      <c r="V13" s="205">
        <f t="shared" ca="1" si="18"/>
        <v>12.333333333333334</v>
      </c>
      <c r="W13" s="205">
        <f t="shared" ca="1" si="18"/>
        <v>46.2</v>
      </c>
      <c r="X13" s="205">
        <f t="shared" ca="1" si="18"/>
        <v>12.333333333333334</v>
      </c>
      <c r="Y13" s="205">
        <f t="shared" ca="1" si="18"/>
        <v>3.36</v>
      </c>
      <c r="Z13" s="205">
        <f t="shared" ca="1" si="18"/>
        <v>304</v>
      </c>
      <c r="AA13" s="205">
        <f t="shared" ca="1" si="18"/>
        <v>63.4</v>
      </c>
      <c r="AB13" s="205">
        <f t="shared" ca="1" si="18"/>
        <v>7.27</v>
      </c>
      <c r="AC13" s="205">
        <f t="shared" ca="1" si="18"/>
        <v>3.0200000000000001E-2</v>
      </c>
      <c r="AD13" s="205">
        <f t="shared" ca="1" si="18"/>
        <v>6.1799999999999997E-3</v>
      </c>
      <c r="AE13" s="205">
        <f t="shared" ca="1" si="18"/>
        <v>0.182147095539055</v>
      </c>
      <c r="AF13" s="205">
        <f t="shared" ca="1" si="18"/>
        <v>1.2500706890147657E-2</v>
      </c>
      <c r="AG13" s="205">
        <f t="shared" ca="1" si="18"/>
        <v>0.43454545454545451</v>
      </c>
      <c r="AH13" s="205">
        <f t="shared" ca="1" si="18"/>
        <v>0.223</v>
      </c>
      <c r="AI13" s="205">
        <f t="shared" ca="1" si="18"/>
        <v>0.437</v>
      </c>
      <c r="AJ13" s="206">
        <f t="shared" ca="1" si="18"/>
        <v>1.27</v>
      </c>
      <c r="AK13" s="204">
        <f t="shared" ca="1" si="18"/>
        <v>0.152</v>
      </c>
      <c r="AL13" s="205">
        <f t="shared" ca="1" si="18"/>
        <v>31.8</v>
      </c>
      <c r="AM13" s="205">
        <f t="shared" ca="1" si="18"/>
        <v>0</v>
      </c>
      <c r="AN13" s="205">
        <f t="shared" ca="1" si="18"/>
        <v>2.2200000000000002</v>
      </c>
      <c r="AO13" s="205">
        <f t="shared" ca="1" si="18"/>
        <v>31.643835616438356</v>
      </c>
      <c r="AP13" s="205">
        <f t="shared" ca="1" si="18"/>
        <v>3.36</v>
      </c>
      <c r="AQ13" s="205">
        <f t="shared" ca="1" si="18"/>
        <v>304</v>
      </c>
      <c r="AR13" s="205">
        <f t="shared" ca="1" si="18"/>
        <v>63.4</v>
      </c>
      <c r="AS13" s="205">
        <f t="shared" ca="1" si="18"/>
        <v>7.27</v>
      </c>
      <c r="AT13" s="205">
        <f t="shared" ca="1" si="18"/>
        <v>3.0200000000000001E-2</v>
      </c>
      <c r="AU13" s="205">
        <f t="shared" ca="1" si="18"/>
        <v>6.1799999999999997E-3</v>
      </c>
      <c r="AV13" s="205">
        <f t="shared" ca="1" si="18"/>
        <v>3.8367946221510206E-2</v>
      </c>
      <c r="AW13" s="205">
        <f t="shared" ca="1" si="18"/>
        <v>0.23900000000000002</v>
      </c>
      <c r="AX13" s="205">
        <f t="shared" ca="1" si="18"/>
        <v>0.23900000000000002</v>
      </c>
      <c r="AY13" s="205">
        <f t="shared" ca="1" si="18"/>
        <v>2.23E-2</v>
      </c>
      <c r="AZ13" s="205">
        <f t="shared" ca="1" si="18"/>
        <v>5.222482435597189E-3</v>
      </c>
      <c r="BA13" s="205">
        <f t="shared" ca="1" si="18"/>
        <v>0.437</v>
      </c>
      <c r="BB13" s="206">
        <f t="shared" ca="1" si="18"/>
        <v>1.27</v>
      </c>
      <c r="BC13" s="173"/>
      <c r="BD13" s="22" t="s">
        <v>21</v>
      </c>
      <c r="BE13" s="23">
        <f t="shared" ref="BE13:BL13" si="19">MEDIAN(BE$19:BE$150)</f>
        <v>0.3245109859837218</v>
      </c>
      <c r="BF13" s="24">
        <f t="shared" si="19"/>
        <v>1.6454455568272867E-3</v>
      </c>
      <c r="BG13" s="24">
        <f t="shared" si="19"/>
        <v>1.4014092283556734E-5</v>
      </c>
      <c r="BH13" s="24">
        <f t="shared" si="19"/>
        <v>5.6288417870898515E-4</v>
      </c>
      <c r="BI13" s="24">
        <f t="shared" si="19"/>
        <v>0.34691513005491603</v>
      </c>
      <c r="BJ13" s="24">
        <f t="shared" si="19"/>
        <v>4.6806317624706036E-4</v>
      </c>
      <c r="BK13" s="24">
        <f t="shared" si="19"/>
        <v>0.23091838653376631</v>
      </c>
      <c r="BL13" s="24">
        <f t="shared" si="19"/>
        <v>5.8002393891666408E-4</v>
      </c>
      <c r="BM13" s="25"/>
      <c r="BN13" s="24">
        <f t="shared" ref="BN13:BW13" si="20">MEDIAN(BN$19:BN$150)</f>
        <v>3.8483084713414148E-2</v>
      </c>
      <c r="BO13" s="24">
        <f t="shared" si="20"/>
        <v>4.9928524728174075E-3</v>
      </c>
      <c r="BP13" s="24">
        <f t="shared" si="20"/>
        <v>4.208051569042924E-2</v>
      </c>
      <c r="BQ13" s="24">
        <f t="shared" si="20"/>
        <v>1.0284323677503158E-3</v>
      </c>
      <c r="BR13" s="24">
        <f t="shared" si="20"/>
        <v>1.1595128027988734E-4</v>
      </c>
      <c r="BS13" s="24">
        <f t="shared" si="20"/>
        <v>1.8050019321001144E-5</v>
      </c>
      <c r="BT13" s="24">
        <f t="shared" si="20"/>
        <v>4.6563962940971997E-5</v>
      </c>
      <c r="BU13" s="24">
        <f t="shared" si="20"/>
        <v>8.8654921754901121E-6</v>
      </c>
      <c r="BV13" s="24">
        <f t="shared" si="20"/>
        <v>0.90424871297498099</v>
      </c>
      <c r="BW13" s="24">
        <f t="shared" si="20"/>
        <v>3.1912154855858328E-4</v>
      </c>
      <c r="BX13" s="25"/>
      <c r="BY13" s="24">
        <f>MEDIAN(BY$19:BY$150)</f>
        <v>1.46916543390294E-3</v>
      </c>
      <c r="BZ13" s="26">
        <f>MEDIAN(BZ$19:BZ$150)</f>
        <v>0.99853083456609704</v>
      </c>
      <c r="CB13" s="1"/>
      <c r="CC13" s="1"/>
      <c r="CD13" s="1"/>
      <c r="CE13" s="1"/>
      <c r="CF13" s="1"/>
      <c r="CG13" s="1"/>
      <c r="CH13" s="1"/>
      <c r="CI13" s="1"/>
      <c r="CJ13" s="1"/>
      <c r="CK13" s="1"/>
      <c r="CL13" s="1"/>
      <c r="CM13" s="1"/>
      <c r="CN13" s="1"/>
      <c r="CO13" s="1"/>
      <c r="CP13" s="1"/>
      <c r="CQ13" s="1"/>
      <c r="CR13" s="1"/>
      <c r="CS13" s="1"/>
      <c r="CT13" s="1"/>
      <c r="CU13" s="1"/>
      <c r="CV13" s="1"/>
      <c r="CW13" s="1"/>
      <c r="CX13" s="1"/>
      <c r="CY13" s="1"/>
    </row>
    <row r="14" spans="1:103" ht="12" customHeight="1" outlineLevel="1" x14ac:dyDescent="0.2">
      <c r="P14" s="81" t="s">
        <v>26</v>
      </c>
      <c r="Q14" s="82" t="s">
        <v>26</v>
      </c>
      <c r="R14" s="83" t="s">
        <v>26</v>
      </c>
      <c r="S14" s="34" t="s">
        <v>26</v>
      </c>
      <c r="T14" s="35" t="s">
        <v>26</v>
      </c>
      <c r="U14" s="35" t="s">
        <v>26</v>
      </c>
      <c r="V14" s="35" t="s">
        <v>26</v>
      </c>
      <c r="W14" s="35" t="s">
        <v>26</v>
      </c>
      <c r="X14" s="35" t="s">
        <v>26</v>
      </c>
      <c r="Y14" s="35" t="s">
        <v>26</v>
      </c>
      <c r="Z14" s="35" t="s">
        <v>26</v>
      </c>
      <c r="AA14" s="35" t="s">
        <v>26</v>
      </c>
      <c r="AB14" s="35" t="s">
        <v>26</v>
      </c>
      <c r="AC14" s="35" t="s">
        <v>26</v>
      </c>
      <c r="AD14" s="35" t="s">
        <v>26</v>
      </c>
      <c r="AE14" s="35" t="s">
        <v>26</v>
      </c>
      <c r="AF14" s="35" t="s">
        <v>26</v>
      </c>
      <c r="AG14" s="35" t="s">
        <v>26</v>
      </c>
      <c r="AH14" s="35" t="s">
        <v>26</v>
      </c>
      <c r="AI14" s="35" t="s">
        <v>26</v>
      </c>
      <c r="AJ14" s="36" t="s">
        <v>26</v>
      </c>
      <c r="AK14" s="37" t="s">
        <v>25</v>
      </c>
      <c r="AL14" s="38" t="s">
        <v>25</v>
      </c>
      <c r="AM14" s="38" t="s">
        <v>25</v>
      </c>
      <c r="AN14" s="38" t="s">
        <v>25</v>
      </c>
      <c r="AO14" s="38" t="s">
        <v>25</v>
      </c>
      <c r="AP14" s="38" t="s">
        <v>25</v>
      </c>
      <c r="AQ14" s="38" t="s">
        <v>25</v>
      </c>
      <c r="AR14" s="38" t="s">
        <v>25</v>
      </c>
      <c r="AS14" s="38" t="s">
        <v>25</v>
      </c>
      <c r="AT14" s="38" t="s">
        <v>25</v>
      </c>
      <c r="AU14" s="38" t="s">
        <v>25</v>
      </c>
      <c r="AV14" s="38" t="s">
        <v>25</v>
      </c>
      <c r="AW14" s="38" t="s">
        <v>25</v>
      </c>
      <c r="AX14" s="38" t="s">
        <v>25</v>
      </c>
      <c r="AY14" s="38" t="s">
        <v>25</v>
      </c>
      <c r="AZ14" s="38" t="s">
        <v>25</v>
      </c>
      <c r="BA14" s="38" t="s">
        <v>25</v>
      </c>
      <c r="BB14" s="39" t="s">
        <v>25</v>
      </c>
      <c r="BC14" s="39" t="s">
        <v>25</v>
      </c>
      <c r="BD14" s="28" t="s">
        <v>23</v>
      </c>
      <c r="BE14" s="29">
        <f t="shared" ref="BE14:BL14" si="21">MAX(BE$19:BE$150)</f>
        <v>0.60893727562565914</v>
      </c>
      <c r="BF14" s="30">
        <f t="shared" si="21"/>
        <v>5.8297623611258762E-3</v>
      </c>
      <c r="BG14" s="30">
        <f t="shared" si="21"/>
        <v>2.7667105692427776E-5</v>
      </c>
      <c r="BH14" s="30">
        <f t="shared" si="21"/>
        <v>2.0531254440368115E-3</v>
      </c>
      <c r="BI14" s="30">
        <f t="shared" si="21"/>
        <v>0.77963766629548914</v>
      </c>
      <c r="BJ14" s="30">
        <f t="shared" si="21"/>
        <v>8.5594881514376329E-4</v>
      </c>
      <c r="BK14" s="30">
        <f t="shared" si="21"/>
        <v>0.62209924860003718</v>
      </c>
      <c r="BL14" s="30">
        <f t="shared" si="21"/>
        <v>8.3078746596753645E-3</v>
      </c>
      <c r="BM14" s="31"/>
      <c r="BN14" s="30">
        <f t="shared" ref="BN14:BW14" si="22">MAX(BN$19:BN$150)</f>
        <v>0.2704463224785017</v>
      </c>
      <c r="BO14" s="30">
        <f t="shared" si="22"/>
        <v>1.0676328721705904E-2</v>
      </c>
      <c r="BP14" s="30">
        <f t="shared" si="22"/>
        <v>0.36223482984404687</v>
      </c>
      <c r="BQ14" s="30">
        <f t="shared" si="22"/>
        <v>1.6184577633499224E-2</v>
      </c>
      <c r="BR14" s="30">
        <f t="shared" si="22"/>
        <v>4.2567657200161631E-4</v>
      </c>
      <c r="BS14" s="30">
        <f t="shared" si="22"/>
        <v>7.4466978685602068E-3</v>
      </c>
      <c r="BT14" s="30">
        <f t="shared" si="22"/>
        <v>1.8100642224951065E-2</v>
      </c>
      <c r="BU14" s="30">
        <f t="shared" si="22"/>
        <v>8.3010785133746684E-4</v>
      </c>
      <c r="BV14" s="30">
        <f t="shared" si="22"/>
        <v>0.96050923652572784</v>
      </c>
      <c r="BW14" s="30">
        <f t="shared" si="22"/>
        <v>7.0501986682546154E-3</v>
      </c>
      <c r="BX14" s="31"/>
      <c r="BY14" s="30">
        <f>MAX(BY$19:BY$150)</f>
        <v>1.174080034968549E-2</v>
      </c>
      <c r="BZ14" s="32">
        <f>MAX(BZ$19:BZ$150)</f>
        <v>0.99949308117882596</v>
      </c>
      <c r="CB14" s="34" t="s">
        <v>26</v>
      </c>
      <c r="CC14" s="35" t="s">
        <v>26</v>
      </c>
      <c r="CD14" s="35" t="s">
        <v>26</v>
      </c>
      <c r="CE14" s="35" t="s">
        <v>26</v>
      </c>
      <c r="CF14" s="35" t="s">
        <v>26</v>
      </c>
      <c r="CG14" s="35" t="s">
        <v>26</v>
      </c>
      <c r="CH14" s="35" t="s">
        <v>26</v>
      </c>
      <c r="CI14" s="35" t="s">
        <v>26</v>
      </c>
      <c r="CJ14" s="35" t="s">
        <v>26</v>
      </c>
      <c r="CK14" s="35" t="s">
        <v>26</v>
      </c>
      <c r="CL14" s="35" t="s">
        <v>26</v>
      </c>
      <c r="CM14" s="35" t="s">
        <v>26</v>
      </c>
      <c r="CN14" s="35" t="s">
        <v>26</v>
      </c>
      <c r="CO14" s="35" t="s">
        <v>26</v>
      </c>
      <c r="CP14" s="35" t="s">
        <v>26</v>
      </c>
      <c r="CQ14" s="35" t="s">
        <v>26</v>
      </c>
      <c r="CR14" s="35" t="s">
        <v>26</v>
      </c>
      <c r="CS14" s="35" t="s">
        <v>26</v>
      </c>
      <c r="CT14" s="35" t="s">
        <v>26</v>
      </c>
      <c r="CU14" s="35" t="s">
        <v>26</v>
      </c>
      <c r="CV14" s="35" t="s">
        <v>26</v>
      </c>
      <c r="CW14" s="36" t="s">
        <v>26</v>
      </c>
    </row>
    <row r="15" spans="1:103" ht="12" customHeight="1" outlineLevel="1" x14ac:dyDescent="0.2">
      <c r="BE15" s="40"/>
      <c r="BF15" s="40"/>
      <c r="BG15" s="40"/>
      <c r="BH15" s="40"/>
      <c r="BI15" s="40"/>
      <c r="BJ15" s="40"/>
      <c r="BK15" s="40"/>
      <c r="BL15" s="40"/>
      <c r="BM15" s="40"/>
      <c r="BN15" s="40"/>
      <c r="BO15" s="40"/>
      <c r="BP15" s="40"/>
      <c r="BQ15" s="40"/>
      <c r="BR15" s="40"/>
      <c r="BS15" s="40"/>
      <c r="BT15" s="40"/>
      <c r="BU15" s="40"/>
      <c r="BV15" s="40"/>
      <c r="BW15" s="40"/>
      <c r="BX15" s="40"/>
      <c r="BY15" s="40"/>
      <c r="BZ15" s="40"/>
    </row>
    <row r="16" spans="1:103" ht="12" customHeight="1" x14ac:dyDescent="0.2">
      <c r="B16" s="41" t="s">
        <v>27</v>
      </c>
      <c r="C16" s="42" t="s">
        <v>28</v>
      </c>
      <c r="D16" s="43" t="s">
        <v>29</v>
      </c>
      <c r="E16" s="44" t="s">
        <v>30</v>
      </c>
      <c r="F16" s="45" t="s">
        <v>31</v>
      </c>
      <c r="G16" s="46" t="s">
        <v>32</v>
      </c>
      <c r="H16" s="47" t="s">
        <v>33</v>
      </c>
      <c r="I16" s="48" t="s">
        <v>34</v>
      </c>
      <c r="J16" s="49" t="s">
        <v>35</v>
      </c>
      <c r="K16" s="50" t="s">
        <v>36</v>
      </c>
      <c r="L16" s="50"/>
      <c r="M16" s="51" t="s">
        <v>37</v>
      </c>
      <c r="N16" s="170" t="s">
        <v>38</v>
      </c>
      <c r="O16" s="1396" t="s">
        <v>1576</v>
      </c>
      <c r="P16" s="164" t="s">
        <v>39</v>
      </c>
      <c r="Q16" s="165" t="s">
        <v>40</v>
      </c>
      <c r="R16" s="166" t="s">
        <v>41</v>
      </c>
      <c r="S16" s="52" t="s">
        <v>42</v>
      </c>
      <c r="T16" s="52" t="s">
        <v>43</v>
      </c>
      <c r="U16" s="52" t="s">
        <v>44</v>
      </c>
      <c r="V16" s="52" t="s">
        <v>45</v>
      </c>
      <c r="W16" s="52" t="s">
        <v>46</v>
      </c>
      <c r="X16" s="52" t="s">
        <v>47</v>
      </c>
      <c r="Y16" s="52" t="s">
        <v>48</v>
      </c>
      <c r="Z16" s="52" t="s">
        <v>49</v>
      </c>
      <c r="AA16" s="52" t="s">
        <v>50</v>
      </c>
      <c r="AB16" s="52" t="s">
        <v>51</v>
      </c>
      <c r="AC16" s="52" t="s">
        <v>52</v>
      </c>
      <c r="AD16" s="52" t="s">
        <v>53</v>
      </c>
      <c r="AE16" s="52" t="s">
        <v>54</v>
      </c>
      <c r="AF16" s="52" t="s">
        <v>55</v>
      </c>
      <c r="AG16" s="52" t="s">
        <v>56</v>
      </c>
      <c r="AH16" s="52" t="s">
        <v>57</v>
      </c>
      <c r="AI16" s="52" t="s">
        <v>58</v>
      </c>
      <c r="AJ16" s="53" t="s">
        <v>59</v>
      </c>
      <c r="AK16" s="54" t="s">
        <v>60</v>
      </c>
      <c r="AL16" s="50" t="s">
        <v>61</v>
      </c>
      <c r="AM16" s="50" t="s">
        <v>62</v>
      </c>
      <c r="AN16" s="50" t="s">
        <v>63</v>
      </c>
      <c r="AO16" s="50" t="s">
        <v>64</v>
      </c>
      <c r="AP16" s="50" t="s">
        <v>48</v>
      </c>
      <c r="AQ16" s="50" t="s">
        <v>49</v>
      </c>
      <c r="AR16" s="50" t="s">
        <v>50</v>
      </c>
      <c r="AS16" s="50" t="s">
        <v>51</v>
      </c>
      <c r="AT16" s="50" t="s">
        <v>52</v>
      </c>
      <c r="AU16" s="50" t="s">
        <v>53</v>
      </c>
      <c r="AV16" s="50" t="s">
        <v>65</v>
      </c>
      <c r="AW16" s="50" t="s">
        <v>66</v>
      </c>
      <c r="AX16" s="50" t="s">
        <v>67</v>
      </c>
      <c r="AY16" s="50" t="s">
        <v>68</v>
      </c>
      <c r="AZ16" s="50" t="s">
        <v>69</v>
      </c>
      <c r="BA16" s="50" t="s">
        <v>70</v>
      </c>
      <c r="BB16" s="55" t="s">
        <v>71</v>
      </c>
      <c r="BC16" s="56"/>
      <c r="BE16" s="54" t="s">
        <v>42</v>
      </c>
      <c r="BF16" s="50" t="s">
        <v>43</v>
      </c>
      <c r="BG16" s="50" t="s">
        <v>44</v>
      </c>
      <c r="BH16" s="50" t="s">
        <v>45</v>
      </c>
      <c r="BI16" s="50" t="s">
        <v>46</v>
      </c>
      <c r="BJ16" s="50" t="s">
        <v>54</v>
      </c>
      <c r="BK16" s="50" t="s">
        <v>55</v>
      </c>
      <c r="BL16" s="50" t="s">
        <v>59</v>
      </c>
      <c r="BM16" s="50"/>
      <c r="BN16" s="50"/>
      <c r="BO16" s="50" t="s">
        <v>47</v>
      </c>
      <c r="BP16" s="50" t="s">
        <v>48</v>
      </c>
      <c r="BQ16" s="50" t="s">
        <v>49</v>
      </c>
      <c r="BR16" s="50" t="s">
        <v>50</v>
      </c>
      <c r="BS16" s="50" t="s">
        <v>51</v>
      </c>
      <c r="BT16" s="50" t="s">
        <v>52</v>
      </c>
      <c r="BU16" s="50" t="s">
        <v>53</v>
      </c>
      <c r="BV16" s="50" t="s">
        <v>56</v>
      </c>
      <c r="BW16" s="50"/>
      <c r="BX16" s="50"/>
      <c r="BY16" s="50" t="s">
        <v>57</v>
      </c>
      <c r="BZ16" s="55" t="s">
        <v>58</v>
      </c>
      <c r="CB16" s="54" t="s">
        <v>72</v>
      </c>
      <c r="CC16" s="50" t="s">
        <v>73</v>
      </c>
      <c r="CD16" s="50" t="s">
        <v>74</v>
      </c>
      <c r="CE16" s="50" t="s">
        <v>43</v>
      </c>
      <c r="CF16" s="50" t="s">
        <v>44</v>
      </c>
      <c r="CG16" s="50" t="s">
        <v>45</v>
      </c>
      <c r="CH16" s="50" t="s">
        <v>46</v>
      </c>
      <c r="CI16" s="50" t="s">
        <v>47</v>
      </c>
      <c r="CJ16" s="50" t="s">
        <v>48</v>
      </c>
      <c r="CK16" s="50" t="s">
        <v>49</v>
      </c>
      <c r="CL16" s="50" t="s">
        <v>50</v>
      </c>
      <c r="CM16" s="50" t="s">
        <v>51</v>
      </c>
      <c r="CN16" s="50" t="s">
        <v>52</v>
      </c>
      <c r="CO16" s="50" t="s">
        <v>53</v>
      </c>
      <c r="CP16" s="50" t="s">
        <v>54</v>
      </c>
      <c r="CQ16" s="50" t="s">
        <v>55</v>
      </c>
      <c r="CR16" s="50" t="s">
        <v>56</v>
      </c>
      <c r="CS16" s="50" t="s">
        <v>57</v>
      </c>
      <c r="CT16" s="50" t="s">
        <v>58</v>
      </c>
      <c r="CU16" s="50" t="s">
        <v>75</v>
      </c>
      <c r="CV16" s="50" t="s">
        <v>76</v>
      </c>
      <c r="CW16" s="55" t="s">
        <v>77</v>
      </c>
    </row>
    <row r="17" spans="2:123" ht="12" customHeight="1" x14ac:dyDescent="0.2">
      <c r="B17" s="57" t="s">
        <v>78</v>
      </c>
      <c r="C17" s="58"/>
      <c r="D17" s="58"/>
      <c r="E17" s="58"/>
      <c r="F17" s="59"/>
      <c r="G17" s="42"/>
      <c r="H17" s="60"/>
      <c r="I17" s="52"/>
      <c r="J17" s="61"/>
      <c r="K17" s="7"/>
      <c r="L17" s="7"/>
      <c r="M17" s="62"/>
      <c r="N17" s="159"/>
      <c r="O17" s="1397"/>
      <c r="P17" s="167" t="s">
        <v>79</v>
      </c>
      <c r="Q17" s="168" t="s">
        <v>80</v>
      </c>
      <c r="R17" s="63" t="s">
        <v>81</v>
      </c>
      <c r="S17" s="7" t="s">
        <v>0</v>
      </c>
      <c r="T17" s="7" t="s">
        <v>1</v>
      </c>
      <c r="U17" s="7" t="s">
        <v>2</v>
      </c>
      <c r="V17" s="7" t="s">
        <v>3</v>
      </c>
      <c r="W17" s="7" t="s">
        <v>4</v>
      </c>
      <c r="X17" s="7" t="s">
        <v>8</v>
      </c>
      <c r="Y17" s="7" t="s">
        <v>9</v>
      </c>
      <c r="Z17" s="7" t="s">
        <v>10</v>
      </c>
      <c r="AA17" s="7" t="s">
        <v>11</v>
      </c>
      <c r="AB17" s="7" t="s">
        <v>12</v>
      </c>
      <c r="AC17" s="7" t="s">
        <v>13</v>
      </c>
      <c r="AD17" s="7" t="s">
        <v>14</v>
      </c>
      <c r="AE17" s="7" t="s">
        <v>5</v>
      </c>
      <c r="AF17" s="7" t="s">
        <v>6</v>
      </c>
      <c r="AG17" s="7" t="s">
        <v>15</v>
      </c>
      <c r="AH17" s="7" t="s">
        <v>16</v>
      </c>
      <c r="AI17" s="7" t="s">
        <v>17</v>
      </c>
      <c r="AJ17" s="8" t="s">
        <v>7</v>
      </c>
      <c r="AK17" s="4" t="s">
        <v>0</v>
      </c>
      <c r="AL17" s="5" t="s">
        <v>1</v>
      </c>
      <c r="AM17" s="5" t="s">
        <v>2</v>
      </c>
      <c r="AN17" s="5" t="s">
        <v>3</v>
      </c>
      <c r="AO17" s="5" t="s">
        <v>4</v>
      </c>
      <c r="AP17" s="5" t="s">
        <v>9</v>
      </c>
      <c r="AQ17" s="5" t="s">
        <v>10</v>
      </c>
      <c r="AR17" s="5" t="s">
        <v>11</v>
      </c>
      <c r="AS17" s="5" t="s">
        <v>12</v>
      </c>
      <c r="AT17" s="5" t="s">
        <v>13</v>
      </c>
      <c r="AU17" s="5" t="s">
        <v>14</v>
      </c>
      <c r="AV17" s="5" t="s">
        <v>6</v>
      </c>
      <c r="AW17" s="5" t="s">
        <v>82</v>
      </c>
      <c r="AX17" s="5" t="s">
        <v>83</v>
      </c>
      <c r="AY17" s="5" t="s">
        <v>84</v>
      </c>
      <c r="AZ17" s="5" t="s">
        <v>16</v>
      </c>
      <c r="BA17" s="5" t="s">
        <v>17</v>
      </c>
      <c r="BB17" s="6" t="s">
        <v>7</v>
      </c>
      <c r="BC17" s="64" t="s">
        <v>15</v>
      </c>
      <c r="BE17" s="4" t="s">
        <v>0</v>
      </c>
      <c r="BF17" s="5" t="s">
        <v>1</v>
      </c>
      <c r="BG17" s="5" t="s">
        <v>2</v>
      </c>
      <c r="BH17" s="5" t="s">
        <v>3</v>
      </c>
      <c r="BI17" s="5" t="s">
        <v>4</v>
      </c>
      <c r="BJ17" s="5" t="s">
        <v>5</v>
      </c>
      <c r="BK17" s="5" t="s">
        <v>6</v>
      </c>
      <c r="BL17" s="5" t="s">
        <v>7</v>
      </c>
      <c r="BM17" s="5"/>
      <c r="BN17" s="5" t="s">
        <v>0</v>
      </c>
      <c r="BO17" s="5" t="s">
        <v>8</v>
      </c>
      <c r="BP17" s="5" t="s">
        <v>9</v>
      </c>
      <c r="BQ17" s="5" t="s">
        <v>10</v>
      </c>
      <c r="BR17" s="5" t="s">
        <v>11</v>
      </c>
      <c r="BS17" s="5" t="s">
        <v>12</v>
      </c>
      <c r="BT17" s="5" t="s">
        <v>13</v>
      </c>
      <c r="BU17" s="5" t="s">
        <v>14</v>
      </c>
      <c r="BV17" s="5" t="s">
        <v>15</v>
      </c>
      <c r="BW17" s="5" t="s">
        <v>7</v>
      </c>
      <c r="BX17" s="5"/>
      <c r="BY17" s="5" t="s">
        <v>16</v>
      </c>
      <c r="BZ17" s="6" t="s">
        <v>17</v>
      </c>
      <c r="CB17" s="65" t="s">
        <v>0</v>
      </c>
      <c r="CC17" s="66" t="s">
        <v>0</v>
      </c>
      <c r="CD17" s="66" t="s">
        <v>0</v>
      </c>
      <c r="CE17" s="67" t="s">
        <v>1</v>
      </c>
      <c r="CF17" s="67" t="s">
        <v>2</v>
      </c>
      <c r="CG17" s="67" t="s">
        <v>3</v>
      </c>
      <c r="CH17" s="67" t="s">
        <v>4</v>
      </c>
      <c r="CI17" s="66" t="s">
        <v>8</v>
      </c>
      <c r="CJ17" s="66" t="s">
        <v>9</v>
      </c>
      <c r="CK17" s="66" t="s">
        <v>10</v>
      </c>
      <c r="CL17" s="66" t="s">
        <v>11</v>
      </c>
      <c r="CM17" s="66" t="s">
        <v>12</v>
      </c>
      <c r="CN17" s="66" t="s">
        <v>13</v>
      </c>
      <c r="CO17" s="66" t="s">
        <v>14</v>
      </c>
      <c r="CP17" s="67" t="s">
        <v>5</v>
      </c>
      <c r="CQ17" s="67" t="s">
        <v>6</v>
      </c>
      <c r="CR17" s="66" t="s">
        <v>15</v>
      </c>
      <c r="CS17" s="68" t="s">
        <v>16</v>
      </c>
      <c r="CT17" s="68" t="s">
        <v>17</v>
      </c>
      <c r="CU17" s="67" t="s">
        <v>7</v>
      </c>
      <c r="CV17" s="66" t="s">
        <v>7</v>
      </c>
      <c r="CW17" s="69" t="s">
        <v>7</v>
      </c>
    </row>
    <row r="18" spans="2:123" ht="12" customHeight="1" x14ac:dyDescent="0.2">
      <c r="B18" s="70" t="s">
        <v>85</v>
      </c>
      <c r="C18" s="70"/>
      <c r="D18" s="71"/>
      <c r="E18" s="71"/>
      <c r="F18" s="72"/>
      <c r="G18" s="70"/>
      <c r="H18" s="73"/>
      <c r="I18" s="74"/>
      <c r="J18" s="75" t="s">
        <v>86</v>
      </c>
      <c r="K18" s="35" t="s">
        <v>87</v>
      </c>
      <c r="L18" s="35"/>
      <c r="M18" s="76" t="s">
        <v>87</v>
      </c>
      <c r="N18" s="160" t="s">
        <v>87</v>
      </c>
      <c r="O18" s="77"/>
      <c r="P18" s="84" t="s">
        <v>88</v>
      </c>
      <c r="Q18" s="79" t="s">
        <v>89</v>
      </c>
      <c r="R18" s="86" t="s">
        <v>90</v>
      </c>
      <c r="S18" s="35" t="s">
        <v>192</v>
      </c>
      <c r="T18" s="35" t="s">
        <v>193</v>
      </c>
      <c r="U18" s="35" t="s">
        <v>194</v>
      </c>
      <c r="V18" s="35" t="s">
        <v>195</v>
      </c>
      <c r="W18" s="35" t="s">
        <v>196</v>
      </c>
      <c r="X18" s="35" t="s">
        <v>195</v>
      </c>
      <c r="Y18" s="35" t="s">
        <v>197</v>
      </c>
      <c r="Z18" s="35" t="s">
        <v>198</v>
      </c>
      <c r="AA18" s="35" t="s">
        <v>199</v>
      </c>
      <c r="AB18" s="35" t="s">
        <v>200</v>
      </c>
      <c r="AC18" s="35" t="s">
        <v>200</v>
      </c>
      <c r="AD18" s="35" t="s">
        <v>200</v>
      </c>
      <c r="AE18" s="35" t="s">
        <v>200</v>
      </c>
      <c r="AF18" s="35" t="s">
        <v>200</v>
      </c>
      <c r="AG18" s="35" t="s">
        <v>201</v>
      </c>
      <c r="AH18" s="35" t="s">
        <v>202</v>
      </c>
      <c r="AI18" s="35" t="s">
        <v>203</v>
      </c>
      <c r="AJ18" s="36" t="s">
        <v>204</v>
      </c>
      <c r="AK18" s="81" t="s">
        <v>192</v>
      </c>
      <c r="AL18" s="82" t="s">
        <v>205</v>
      </c>
      <c r="AM18" s="82" t="s">
        <v>206</v>
      </c>
      <c r="AN18" s="82" t="s">
        <v>207</v>
      </c>
      <c r="AO18" s="82" t="s">
        <v>208</v>
      </c>
      <c r="AP18" s="82" t="s">
        <v>197</v>
      </c>
      <c r="AQ18" s="82" t="s">
        <v>198</v>
      </c>
      <c r="AR18" s="82" t="s">
        <v>199</v>
      </c>
      <c r="AS18" s="82" t="s">
        <v>209</v>
      </c>
      <c r="AT18" s="82" t="s">
        <v>209</v>
      </c>
      <c r="AU18" s="82" t="s">
        <v>209</v>
      </c>
      <c r="AV18" s="82" t="s">
        <v>209</v>
      </c>
      <c r="AW18" s="82" t="s">
        <v>210</v>
      </c>
      <c r="AX18" s="82" t="s">
        <v>210</v>
      </c>
      <c r="AY18" s="82" t="s">
        <v>211</v>
      </c>
      <c r="AZ18" s="82" t="s">
        <v>212</v>
      </c>
      <c r="BA18" s="82" t="s">
        <v>203</v>
      </c>
      <c r="BB18" s="83" t="s">
        <v>204</v>
      </c>
      <c r="BC18" s="75"/>
      <c r="BE18" s="84" t="s">
        <v>88</v>
      </c>
      <c r="BF18" s="78" t="s">
        <v>88</v>
      </c>
      <c r="BG18" s="78" t="s">
        <v>88</v>
      </c>
      <c r="BH18" s="78" t="s">
        <v>88</v>
      </c>
      <c r="BI18" s="78" t="s">
        <v>88</v>
      </c>
      <c r="BJ18" s="78" t="s">
        <v>88</v>
      </c>
      <c r="BK18" s="78" t="s">
        <v>88</v>
      </c>
      <c r="BL18" s="78" t="s">
        <v>88</v>
      </c>
      <c r="BM18" s="85"/>
      <c r="BN18" s="79" t="s">
        <v>89</v>
      </c>
      <c r="BO18" s="79" t="s">
        <v>89</v>
      </c>
      <c r="BP18" s="79" t="s">
        <v>89</v>
      </c>
      <c r="BQ18" s="79" t="s">
        <v>89</v>
      </c>
      <c r="BR18" s="79" t="s">
        <v>89</v>
      </c>
      <c r="BS18" s="79" t="s">
        <v>89</v>
      </c>
      <c r="BT18" s="79" t="s">
        <v>89</v>
      </c>
      <c r="BU18" s="79" t="s">
        <v>89</v>
      </c>
      <c r="BV18" s="79" t="s">
        <v>89</v>
      </c>
      <c r="BW18" s="79" t="s">
        <v>89</v>
      </c>
      <c r="BX18" s="85"/>
      <c r="BY18" s="80" t="s">
        <v>90</v>
      </c>
      <c r="BZ18" s="86" t="s">
        <v>90</v>
      </c>
      <c r="CB18" s="84" t="s">
        <v>88</v>
      </c>
      <c r="CC18" s="79" t="s">
        <v>89</v>
      </c>
      <c r="CD18" s="79" t="s">
        <v>89</v>
      </c>
      <c r="CE18" s="78" t="s">
        <v>88</v>
      </c>
      <c r="CF18" s="78" t="s">
        <v>88</v>
      </c>
      <c r="CG18" s="78" t="s">
        <v>88</v>
      </c>
      <c r="CH18" s="78" t="s">
        <v>88</v>
      </c>
      <c r="CI18" s="79" t="s">
        <v>89</v>
      </c>
      <c r="CJ18" s="79" t="s">
        <v>89</v>
      </c>
      <c r="CK18" s="79" t="s">
        <v>89</v>
      </c>
      <c r="CL18" s="79" t="s">
        <v>89</v>
      </c>
      <c r="CM18" s="79" t="s">
        <v>89</v>
      </c>
      <c r="CN18" s="79" t="s">
        <v>89</v>
      </c>
      <c r="CO18" s="79" t="s">
        <v>89</v>
      </c>
      <c r="CP18" s="78" t="s">
        <v>88</v>
      </c>
      <c r="CQ18" s="78" t="s">
        <v>88</v>
      </c>
      <c r="CR18" s="79" t="s">
        <v>89</v>
      </c>
      <c r="CS18" s="80" t="s">
        <v>90</v>
      </c>
      <c r="CT18" s="80" t="s">
        <v>90</v>
      </c>
      <c r="CU18" s="78" t="s">
        <v>88</v>
      </c>
      <c r="CV18" s="79" t="s">
        <v>89</v>
      </c>
      <c r="CW18" s="87" t="s">
        <v>89</v>
      </c>
    </row>
    <row r="19" spans="2:123" ht="12" customHeight="1" outlineLevel="1" x14ac:dyDescent="0.2">
      <c r="B19" s="88" t="s">
        <v>91</v>
      </c>
      <c r="C19" s="88" t="s">
        <v>121</v>
      </c>
      <c r="D19" s="89" t="s">
        <v>132</v>
      </c>
      <c r="E19" s="89" t="s">
        <v>133</v>
      </c>
      <c r="F19" s="90" t="s">
        <v>92</v>
      </c>
      <c r="G19" s="18" t="s">
        <v>126</v>
      </c>
      <c r="H19" s="91" t="s">
        <v>127</v>
      </c>
      <c r="I19" s="92" t="s">
        <v>127</v>
      </c>
      <c r="J19" s="93">
        <v>3.8217059399999997</v>
      </c>
      <c r="K19" s="94"/>
      <c r="L19" s="94"/>
      <c r="M19" s="95"/>
      <c r="N19" s="145"/>
      <c r="O19" s="1055"/>
      <c r="P19" s="103">
        <v>1.2746472573991002E-6</v>
      </c>
      <c r="Q19" s="97">
        <v>1.4488525960841008E-8</v>
      </c>
      <c r="R19" s="98">
        <v>1.7041364241000001E-2</v>
      </c>
      <c r="S19" s="1033">
        <v>0.44926084999999999</v>
      </c>
      <c r="T19" s="1033">
        <v>1.1053302E-5</v>
      </c>
      <c r="U19" s="1033">
        <v>1.1284833999999999E-3</v>
      </c>
      <c r="V19" s="1033">
        <v>7.2157981999999995E-4</v>
      </c>
      <c r="W19" s="1033">
        <v>7.8193022E-4</v>
      </c>
      <c r="X19" s="1033">
        <v>7.2763869999999998E-4</v>
      </c>
      <c r="Y19" s="1033">
        <v>5.7075358E-3</v>
      </c>
      <c r="Z19" s="1033">
        <v>1.246032E-4</v>
      </c>
      <c r="AA19" s="1033">
        <v>2.5028277999999998E-3</v>
      </c>
      <c r="AB19" s="1033">
        <v>0.98114736000000002</v>
      </c>
      <c r="AC19" s="1033">
        <v>6.2823264000000004E-2</v>
      </c>
      <c r="AD19" s="1033">
        <v>1.3454811000000001E-2</v>
      </c>
      <c r="AE19" s="1033">
        <v>1.8136886000000001E-4</v>
      </c>
      <c r="AF19" s="1033">
        <v>1.5689369</v>
      </c>
      <c r="AG19" s="1033">
        <v>1.3265610999999999</v>
      </c>
      <c r="AH19" s="1033">
        <v>2.5234857E-4</v>
      </c>
      <c r="AI19" s="1033">
        <v>4.3330015999999999E-2</v>
      </c>
      <c r="AJ19" s="1034">
        <v>1.4073511000000001E-4</v>
      </c>
      <c r="AK19" s="1074">
        <v>0.44717621000000002</v>
      </c>
      <c r="AL19" s="1075">
        <v>1.8928162000000001E-9</v>
      </c>
      <c r="AM19" s="1075">
        <v>2.3723639E-3</v>
      </c>
      <c r="AN19" s="1075">
        <v>5.7747645999999995E-4</v>
      </c>
      <c r="AO19" s="1075">
        <v>1.0421921E-3</v>
      </c>
      <c r="AP19" s="1075">
        <v>7.0726577999999998E-3</v>
      </c>
      <c r="AQ19" s="1075">
        <v>1.2909411999999999E-4</v>
      </c>
      <c r="AR19" s="1075">
        <v>8.8580484000000004E-3</v>
      </c>
      <c r="AS19" s="1075">
        <v>1.0075990999999999E-2</v>
      </c>
      <c r="AT19" s="1075">
        <v>2.7192474999999999E-3</v>
      </c>
      <c r="AU19" s="1075">
        <v>7.4551410999999996E-4</v>
      </c>
      <c r="AV19" s="1075">
        <v>5.2834108999999997E-2</v>
      </c>
      <c r="AW19" s="1075">
        <v>1.3265585</v>
      </c>
      <c r="AX19" s="1075">
        <v>2.5447293999999999E-6</v>
      </c>
      <c r="AY19" s="1075">
        <v>-1.7907045000000001E-8</v>
      </c>
      <c r="AZ19" s="1075">
        <v>5.9548871000000001E-4</v>
      </c>
      <c r="BA19" s="1075">
        <v>4.4161480000000003E-2</v>
      </c>
      <c r="BB19" s="1076">
        <v>1.4734618999999999E-4</v>
      </c>
      <c r="BC19" s="1035"/>
      <c r="BE19" s="99">
        <f t="array" ref="BE19">IFERROR(SUMIFS($CB19:$CW19,$CB$17:$CW$17,BE$17,$CB$18:$CW$18,BE$18)/SUMPRODUCT(($CB$18:$CW$18=BE$18)*ABS($CB19:$CW19)),"-")</f>
        <v>0.32745007497342038</v>
      </c>
      <c r="BF19" s="100">
        <f t="array" ref="BF19">IFERROR(SUMIFS($CB19:$CW19,$CB$17:$CW$17,BF$17,$CB$18:$CW$18,BF$18)/SUMPRODUCT(($CB$18:$CW$18=BF$18)*ABS($CB19:$CW19)),"-")</f>
        <v>4.6038605315592805E-3</v>
      </c>
      <c r="BG19" s="100">
        <f t="array" ref="BG19">IFERROR(SUMIFS($CB19:$CW19,$CB$17:$CW$17,BG$17,$CB$18:$CW$18,BG$18)/SUMPRODUCT(($CB$18:$CW$18=BG$18)*ABS($CB19:$CW19)),"-")</f>
        <v>7.5232257742955153E-6</v>
      </c>
      <c r="BH19" s="100">
        <f t="array" ref="BH19">IFERROR(SUMIFS($CB19:$CW19,$CB$17:$CW$17,BH$17,$CB$18:$CW$18,BH$18)/SUMPRODUCT(($CB$18:$CW$18=BH$18)*ABS($CB19:$CW19)),"-")</f>
        <v>5.1491661413781767E-4</v>
      </c>
      <c r="BI19" s="100">
        <f t="array" ref="BI19">IFERROR(SUMIFS($CB19:$CW19,$CB$17:$CW$17,BI$17,$CB$18:$CW$18,BI$18)/SUMPRODUCT(($CB$18:$CW$18=BI$18)*ABS($CB19:$CW19)),"-")</f>
        <v>0.38592454276624821</v>
      </c>
      <c r="BJ19" s="100">
        <f t="array" ref="BJ19">IFERROR(SUMIFS($CB19:$CW19,$CB$17:$CW$17,BJ$17,$CB$18:$CW$18,BJ$18)/SUMPRODUCT(($CB$18:$CW$18=BJ$18)*ABS($CB19:$CW19)),"-")</f>
        <v>4.7297849385418962E-4</v>
      </c>
      <c r="BK19" s="100">
        <f t="array" ref="BK19">IFERROR(SUMIFS($CB19:$CW19,$CB$17:$CW$17,BK$17,$CB$18:$CW$18,BK$18)/SUMPRODUCT(($CB$18:$CW$18=BK$18)*ABS($CB19:$CW19)),"-")</f>
        <v>0.28078099091530878</v>
      </c>
      <c r="BL19" s="100">
        <f t="array" ref="BL19">IFERROR(SUMIFS($CB19:$CW19,$CB$17:$CW$17,BL$17,$CB$18:$CW$18,BL$18)/SUMPRODUCT(($CB$18:$CW$18=BL$18)*ABS($CB19:$CW19)),"-")</f>
        <v>2.4511247969694218E-4</v>
      </c>
      <c r="BM19" s="101"/>
      <c r="BN19" s="100">
        <f t="array" ref="BN19">IFERROR(SUMIFS($CB19:$CW19,$CB$17:$CW$17,BN$17,$CB$18:$CW$18,BN$18)/SUMPRODUCT(($CB$18:$CW$18=BN$18)*ABS($CB19:$CW19)),"-")</f>
        <v>8.6797157601531671E-2</v>
      </c>
      <c r="BO19" s="100">
        <f t="array" ref="BO19">IFERROR(SUMIFS($CB19:$CW19,$CB$17:$CW$17,BO$17,$CB$18:$CW$18,BO$18)/SUMPRODUCT(($CB$18:$CW$18=BO$18)*ABS($CB19:$CW19)),"-")</f>
        <v>6.4751745107515636E-3</v>
      </c>
      <c r="BP19" s="100">
        <f t="array" ref="BP19">IFERROR(SUMIFS($CB19:$CW19,$CB$17:$CW$17,BP$17,$CB$18:$CW$18,BP$18)/SUMPRODUCT(($CB$18:$CW$18=BP$18)*ABS($CB19:$CW19)),"-")</f>
        <v>8.3603756743359459E-2</v>
      </c>
      <c r="BQ19" s="100">
        <f t="array" ref="BQ19">IFERROR(SUMIFS($CB19:$CW19,$CB$17:$CW$17,BQ$17,$CB$18:$CW$18,BQ$18)/SUMPRODUCT(($CB$18:$CW$18=BQ$18)*ABS($CB19:$CW19)),"-")</f>
        <v>5.7705689471772128E-3</v>
      </c>
      <c r="BR19" s="100">
        <f t="array" ref="BR19">IFERROR(SUMIFS($CB19:$CW19,$CB$17:$CW$17,BR$17,$CB$18:$CW$18,BR$18)/SUMPRODUCT(($CB$18:$CW$18=BR$18)*ABS($CB19:$CW19)),"-")</f>
        <v>2.9348718506580051E-4</v>
      </c>
      <c r="BS19" s="100">
        <f t="array" ref="BS19">IFERROR(SUMIFS($CB19:$CW19,$CB$17:$CW$17,BS$17,$CB$18:$CW$18,BS$18)/SUMPRODUCT(($CB$18:$CW$18=BS$18)*ABS($CB19:$CW19)),"-")</f>
        <v>7.7193111502357411E-4</v>
      </c>
      <c r="BT19" s="100">
        <f t="array" ref="BT19">IFERROR(SUMIFS($CB19:$CW19,$CB$17:$CW$17,BT$17,$CB$18:$CW$18,BT$18)/SUMPRODUCT(($CB$18:$CW$18=BT$18)*ABS($CB19:$CW19)),"-")</f>
        <v>3.0116773174810362E-3</v>
      </c>
      <c r="BU19" s="100">
        <f t="array" ref="BU19">IFERROR(SUMIFS($CB19:$CW19,$CB$17:$CW$17,BU$17,$CB$18:$CW$18,BU$18)/SUMPRODUCT(($CB$18:$CW$18=BU$18)*ABS($CB19:$CW19)),"-")</f>
        <v>9.7456629046757659E-5</v>
      </c>
      <c r="BV19" s="100">
        <f t="array" ref="BV19">IFERROR(SUMIFS($CB19:$CW19,$CB$17:$CW$17,BV$17,$CB$18:$CW$18,BV$18)/SUMPRODUCT(($CB$18:$CW$18=BV$18)*ABS($CB19:$CW19)),"-")</f>
        <v>0.81304765107493515</v>
      </c>
      <c r="BW19" s="100">
        <f t="array" ref="BW19">IFERROR(SUMIFS($CB19:$CW19,$CB$17:$CW$17,BW$17,$CB$18:$CW$18,BW$18)/SUMPRODUCT(($CB$18:$CW$18=BW$18)*ABS($CB19:$CW19)),"-")</f>
        <v>1.3113887562773925E-4</v>
      </c>
      <c r="BX19" s="101"/>
      <c r="BY19" s="100">
        <f t="array" ref="BY19">IFERROR(SUMIFS($CB19:$CW19,$CB$17:$CW$17,BY$17,$CB$18:$CW$18,BY$18)/SUMPRODUCT(($CB$18:$CW$18=BY$18)*ABS($CB19:$CW19)),"-")</f>
        <v>3.4230968938304259E-3</v>
      </c>
      <c r="BZ19" s="102">
        <f t="array" ref="BZ19">IFERROR(SUMIFS($CB19:$CW19,$CB$17:$CW$17,BZ$17,$CB$18:$CW$18,BZ$18)/SUMPRODUCT(($CB$18:$CW$18=BZ$18)*ABS($CB19:$CW19)),"-")</f>
        <v>0.99657690310616953</v>
      </c>
      <c r="CB19" s="103">
        <v>4.1738333999999999E-7</v>
      </c>
      <c r="CC19" s="97">
        <v>1.2575285E-9</v>
      </c>
      <c r="CD19" s="97">
        <v>3.4371237000000001E-14</v>
      </c>
      <c r="CE19" s="97">
        <v>5.8682981999999999E-9</v>
      </c>
      <c r="CF19" s="97">
        <v>9.5894591000000005E-12</v>
      </c>
      <c r="CG19" s="97">
        <v>6.5633705000000002E-10</v>
      </c>
      <c r="CH19" s="97">
        <v>4.9191766000000001E-7</v>
      </c>
      <c r="CI19" s="97">
        <v>9.3815733999999998E-11</v>
      </c>
      <c r="CJ19" s="97">
        <v>1.2112952000000001E-9</v>
      </c>
      <c r="CK19" s="97">
        <v>8.3607038000000005E-11</v>
      </c>
      <c r="CL19" s="97">
        <v>4.2521966999999997E-12</v>
      </c>
      <c r="CM19" s="97">
        <v>1.1184144E-11</v>
      </c>
      <c r="CN19" s="97">
        <v>4.3634765E-11</v>
      </c>
      <c r="CO19" s="97">
        <v>1.4120029000000001E-12</v>
      </c>
      <c r="CP19" s="97">
        <v>6.0288073999999998E-10</v>
      </c>
      <c r="CQ19" s="97">
        <v>3.5789672000000001E-7</v>
      </c>
      <c r="CR19" s="97">
        <v>1.1779861999999999E-8</v>
      </c>
      <c r="CS19" s="97">
        <v>5.8334241E-5</v>
      </c>
      <c r="CT19" s="97">
        <v>1.698303E-2</v>
      </c>
      <c r="CU19" s="97">
        <v>3.1243194999999998E-10</v>
      </c>
      <c r="CV19" s="97">
        <v>1.8999240000000001E-12</v>
      </c>
      <c r="CW19" s="98">
        <v>8.5004008000000004E-17</v>
      </c>
    </row>
    <row r="20" spans="2:123" ht="12" customHeight="1" outlineLevel="1" x14ac:dyDescent="0.2">
      <c r="B20" s="104" t="s">
        <v>91</v>
      </c>
      <c r="C20" s="104" t="s">
        <v>121</v>
      </c>
      <c r="D20" s="2" t="s">
        <v>132</v>
      </c>
      <c r="E20" s="2" t="s">
        <v>133</v>
      </c>
      <c r="F20" s="105" t="s">
        <v>122</v>
      </c>
      <c r="G20" s="27" t="s">
        <v>1579</v>
      </c>
      <c r="H20" s="106" t="s">
        <v>128</v>
      </c>
      <c r="I20" s="107" t="s">
        <v>129</v>
      </c>
      <c r="J20" s="108">
        <v>3.8217059399999997</v>
      </c>
      <c r="K20" s="109"/>
      <c r="L20" s="109"/>
      <c r="M20" s="110"/>
      <c r="N20" s="161"/>
      <c r="O20" s="1056"/>
      <c r="P20" s="117">
        <v>3.7565101021710001E-7</v>
      </c>
      <c r="Q20" s="111">
        <v>1.878716412237458E-8</v>
      </c>
      <c r="R20" s="112">
        <v>1.1831765386E-2</v>
      </c>
      <c r="S20" s="1032">
        <v>0.21817454999999999</v>
      </c>
      <c r="T20" s="1032">
        <v>3.1730235000000001E-6</v>
      </c>
      <c r="U20" s="1032">
        <v>8.2360873999999995E-4</v>
      </c>
      <c r="V20" s="1032">
        <v>7.0501532000000005E-4</v>
      </c>
      <c r="W20" s="1032">
        <v>2.2358451E-4</v>
      </c>
      <c r="X20" s="1032">
        <v>7.1289092E-4</v>
      </c>
      <c r="Y20" s="1032">
        <v>1.1052311E-3</v>
      </c>
      <c r="Z20" s="1032">
        <v>2.0551308999999999E-5</v>
      </c>
      <c r="AA20" s="1032">
        <v>1.3245663E-3</v>
      </c>
      <c r="AB20" s="1032">
        <v>1.8571282000000001E-2</v>
      </c>
      <c r="AC20" s="1032">
        <v>8.6648604999999999E-4</v>
      </c>
      <c r="AD20" s="1032">
        <v>1.261489E-3</v>
      </c>
      <c r="AE20" s="1032">
        <v>9.4695631999999996E-5</v>
      </c>
      <c r="AF20" s="1032">
        <v>0.12921488</v>
      </c>
      <c r="AG20" s="1032">
        <v>2.0080106</v>
      </c>
      <c r="AH20" s="1032">
        <v>7.5377476999999998E-5</v>
      </c>
      <c r="AI20" s="1032">
        <v>2.7456812000000001E-2</v>
      </c>
      <c r="AJ20" s="1036">
        <v>1.3394798E-4</v>
      </c>
      <c r="AK20" s="1077">
        <v>0.21720389000000001</v>
      </c>
      <c r="AL20" s="1078">
        <v>1.3814998E-9</v>
      </c>
      <c r="AM20" s="1078">
        <v>1.6894254E-3</v>
      </c>
      <c r="AN20" s="1078">
        <v>7.7837144999999997E-4</v>
      </c>
      <c r="AO20" s="1078">
        <v>3.4379502000000001E-4</v>
      </c>
      <c r="AP20" s="1078">
        <v>1.4392033999999999E-3</v>
      </c>
      <c r="AQ20" s="1078">
        <v>2.5219397E-5</v>
      </c>
      <c r="AR20" s="1078">
        <v>4.6039376999999996E-3</v>
      </c>
      <c r="AS20" s="1078">
        <v>1.5529597E-5</v>
      </c>
      <c r="AT20" s="1078">
        <v>1.1091904E-4</v>
      </c>
      <c r="AU20" s="1078">
        <v>1.1488523E-4</v>
      </c>
      <c r="AV20" s="1078">
        <v>7.6568964E-3</v>
      </c>
      <c r="AW20" s="1078">
        <v>2.0080100000000001</v>
      </c>
      <c r="AX20" s="1078">
        <v>5.9806880000000005E-7</v>
      </c>
      <c r="AY20" s="1078">
        <v>-4.1103408000000004E-9</v>
      </c>
      <c r="AZ20" s="1078">
        <v>8.6383971000000002E-4</v>
      </c>
      <c r="BA20" s="1078">
        <v>2.8809198000000001E-2</v>
      </c>
      <c r="BB20" s="1079">
        <v>1.3546665E-4</v>
      </c>
      <c r="BC20" s="1035"/>
      <c r="BE20" s="113">
        <f t="array" ref="BE20">IFERROR(SUMIFS($CB20:$CW20,$CB$17:$CW$17,BE$17,$CB$18:$CW$18,BE$18)/SUMPRODUCT(($CB$18:$CW$18=BE$18)*ABS($CB20:$CW20)),"-")</f>
        <v>0.53933745548270939</v>
      </c>
      <c r="BF20" s="114">
        <f t="array" ref="BF20">IFERROR(SUMIFS($CB20:$CW20,$CB$17:$CW$17,BF$17,$CB$18:$CW$18,BF$18)/SUMPRODUCT(($CB$18:$CW$18=BF$18)*ABS($CB20:$CW20)),"-")</f>
        <v>4.4844466118337508E-3</v>
      </c>
      <c r="BG20" s="114">
        <f t="array" ref="BG20">IFERROR(SUMIFS($CB20:$CW20,$CB$17:$CW$17,BG$17,$CB$18:$CW$18,BG$18)/SUMPRODUCT(($CB$18:$CW$18=BG$18)*ABS($CB20:$CW20)),"-")</f>
        <v>1.8631034949048059E-5</v>
      </c>
      <c r="BH20" s="114">
        <f t="array" ref="BH20">IFERROR(SUMIFS($CB20:$CW20,$CB$17:$CW$17,BH$17,$CB$18:$CW$18,BH$18)/SUMPRODUCT(($CB$18:$CW$18=BH$18)*ABS($CB20:$CW20)),"-")</f>
        <v>1.7079070268684049E-3</v>
      </c>
      <c r="BI20" s="114">
        <f t="array" ref="BI20">IFERROR(SUMIFS($CB20:$CW20,$CB$17:$CW$17,BI$17,$CB$18:$CW$18,BI$18)/SUMPRODUCT(($CB$18:$CW$18=BI$18)*ABS($CB20:$CW20)),"-")</f>
        <v>0.37435618745901217</v>
      </c>
      <c r="BJ20" s="114">
        <f t="array" ref="BJ20">IFERROR(SUMIFS($CB20:$CW20,$CB$17:$CW$17,BJ$17,$CB$18:$CW$18,BJ$18)/SUMPRODUCT(($CB$18:$CW$18=BJ$18)*ABS($CB20:$CW20)),"-")</f>
        <v>8.3787885947144531E-4</v>
      </c>
      <c r="BK20" s="114">
        <f t="array" ref="BK20">IFERROR(SUMIFS($CB20:$CW20,$CB$17:$CW$17,BK$17,$CB$18:$CW$18,BK$18)/SUMPRODUCT(($CB$18:$CW$18=BK$18)*ABS($CB20:$CW20)),"-")</f>
        <v>7.846589573382233E-2</v>
      </c>
      <c r="BL20" s="114">
        <f t="array" ref="BL20">IFERROR(SUMIFS($CB20:$CW20,$CB$17:$CW$17,BL$17,$CB$18:$CW$18,BL$18)/SUMPRODUCT(($CB$18:$CW$18=BL$18)*ABS($CB20:$CW20)),"-")</f>
        <v>7.9159779133335508E-4</v>
      </c>
      <c r="BM20" s="115"/>
      <c r="BN20" s="114">
        <f t="array" ref="BN20">IFERROR(SUMIFS($CB20:$CW20,$CB$17:$CW$17,BN$17,$CB$18:$CW$18,BN$18)/SUMPRODUCT(($CB$18:$CW$18=BN$18)*ABS($CB20:$CW20)),"-")</f>
        <v>3.251103291223071E-2</v>
      </c>
      <c r="BO20" s="114">
        <f t="array" ref="BO20">IFERROR(SUMIFS($CB20:$CW20,$CB$17:$CW$17,BO$17,$CB$18:$CW$18,BO$18)/SUMPRODUCT(($CB$18:$CW$18=BO$18)*ABS($CB20:$CW20)),"-")</f>
        <v>4.8949739514159577E-3</v>
      </c>
      <c r="BP20" s="114">
        <f t="array" ref="BP20">IFERROR(SUMIFS($CB20:$CW20,$CB$17:$CW$17,BP$17,$CB$18:$CW$18,BP$18)/SUMPRODUCT(($CB$18:$CW$18=BP$18)*ABS($CB20:$CW20)),"-")</f>
        <v>1.2481220075186225E-2</v>
      </c>
      <c r="BQ20" s="114">
        <f t="array" ref="BQ20">IFERROR(SUMIFS($CB20:$CW20,$CB$17:$CW$17,BQ$17,$CB$18:$CW$18,BQ$18)/SUMPRODUCT(($CB$18:$CW$18=BQ$18)*ABS($CB20:$CW20)),"-")</f>
        <v>7.3391262833431121E-4</v>
      </c>
      <c r="BR20" s="114">
        <f t="array" ref="BR20">IFERROR(SUMIFS($CB20:$CW20,$CB$17:$CW$17,BR$17,$CB$18:$CW$18,BR$18)/SUMPRODUCT(($CB$18:$CW$18=BR$18)*ABS($CB20:$CW20)),"-")</f>
        <v>1.197829105734967E-4</v>
      </c>
      <c r="BS20" s="114">
        <f t="array" ref="BS20">IFERROR(SUMIFS($CB20:$CW20,$CB$17:$CW$17,BS$17,$CB$18:$CW$18,BS$18)/SUMPRODUCT(($CB$18:$CW$18=BS$18)*ABS($CB20:$CW20)),"-")</f>
        <v>1.1265529412602432E-5</v>
      </c>
      <c r="BT20" s="114">
        <f t="array" ref="BT20">IFERROR(SUMIFS($CB20:$CW20,$CB$17:$CW$17,BT$17,$CB$18:$CW$18,BT$18)/SUMPRODUCT(($CB$18:$CW$18=BT$18)*ABS($CB20:$CW20)),"-")</f>
        <v>3.191329655155104E-5</v>
      </c>
      <c r="BU20" s="114">
        <f t="array" ref="BU20">IFERROR(SUMIFS($CB20:$CW20,$CB$17:$CW$17,BU$17,$CB$18:$CW$18,BU$18)/SUMPRODUCT(($CB$18:$CW$18=BU$18)*ABS($CB20:$CW20)),"-")</f>
        <v>7.052568931476025E-6</v>
      </c>
      <c r="BV20" s="114">
        <f t="array" ref="BV20">IFERROR(SUMIFS($CB20:$CW20,$CB$17:$CW$17,BV$17,$CB$18:$CW$18,BV$18)/SUMPRODUCT(($CB$18:$CW$18=BV$18)*ABS($CB20:$CW20)),"-")</f>
        <v>0.94911259005631421</v>
      </c>
      <c r="BW20" s="114">
        <f t="array" ref="BW20">IFERROR(SUMIFS($CB20:$CW20,$CB$17:$CW$17,BW$17,$CB$18:$CW$18,BW$18)/SUMPRODUCT(($CB$18:$CW$18=BW$18)*ABS($CB20:$CW20)),"-")</f>
        <v>9.6256071049345384E-5</v>
      </c>
      <c r="BX20" s="115"/>
      <c r="BY20" s="114">
        <f t="array" ref="BY20">IFERROR(SUMIFS($CB20:$CW20,$CB$17:$CW$17,BY$17,$CB$18:$CW$18,BY$18)/SUMPRODUCT(($CB$18:$CW$18=BY$18)*ABS($CB20:$CW20)),"-")</f>
        <v>1.4729320123792386E-3</v>
      </c>
      <c r="BZ20" s="116">
        <f t="array" ref="BZ20">IFERROR(SUMIFS($CB20:$CW20,$CB$17:$CW$17,BZ$17,$CB$18:$CW$18,BZ$18)/SUMPRODUCT(($CB$18:$CW$18=BZ$18)*ABS($CB20:$CW20)),"-")</f>
        <v>0.99852706798762081</v>
      </c>
      <c r="CB20" s="117">
        <v>2.0260265999999999E-7</v>
      </c>
      <c r="CC20" s="111">
        <v>6.1077341999999999E-10</v>
      </c>
      <c r="CD20" s="111">
        <v>1.6691110000000002E-14</v>
      </c>
      <c r="CE20" s="111">
        <v>1.6845868999999999E-9</v>
      </c>
      <c r="CF20" s="111">
        <v>6.9987671E-12</v>
      </c>
      <c r="CG20" s="111">
        <v>6.4157700000000005E-10</v>
      </c>
      <c r="CH20" s="111">
        <v>1.4062727999999999E-7</v>
      </c>
      <c r="CI20" s="111">
        <v>9.1962679E-11</v>
      </c>
      <c r="CJ20" s="111">
        <v>2.3448673E-10</v>
      </c>
      <c r="CK20" s="111">
        <v>1.3788137000000001E-11</v>
      </c>
      <c r="CL20" s="111">
        <v>2.2503811999999998E-12</v>
      </c>
      <c r="CM20" s="111">
        <v>2.1164735E-13</v>
      </c>
      <c r="CN20" s="111">
        <v>5.9956034000000004E-13</v>
      </c>
      <c r="CO20" s="111">
        <v>1.3249777E-13</v>
      </c>
      <c r="CP20" s="111">
        <v>3.1475004E-10</v>
      </c>
      <c r="CQ20" s="111">
        <v>2.9475792999999999E-8</v>
      </c>
      <c r="CR20" s="111">
        <v>1.7831133999999999E-8</v>
      </c>
      <c r="CS20" s="111">
        <v>1.7427386E-5</v>
      </c>
      <c r="CT20" s="111">
        <v>1.1814338000000001E-2</v>
      </c>
      <c r="CU20" s="111">
        <v>2.9736450999999997E-10</v>
      </c>
      <c r="CV20" s="111">
        <v>1.8082977E-12</v>
      </c>
      <c r="CW20" s="112">
        <v>8.0904579E-17</v>
      </c>
    </row>
    <row r="21" spans="2:123" ht="12" customHeight="1" outlineLevel="1" x14ac:dyDescent="0.2">
      <c r="B21" s="104" t="s">
        <v>91</v>
      </c>
      <c r="C21" s="104" t="s">
        <v>121</v>
      </c>
      <c r="D21" s="2" t="s">
        <v>132</v>
      </c>
      <c r="E21" s="2" t="s">
        <v>133</v>
      </c>
      <c r="F21" s="105" t="s">
        <v>93</v>
      </c>
      <c r="G21" s="27" t="s">
        <v>1578</v>
      </c>
      <c r="H21" s="106" t="s">
        <v>130</v>
      </c>
      <c r="I21" s="107" t="s">
        <v>129</v>
      </c>
      <c r="J21" s="108">
        <v>3.8217059399999997</v>
      </c>
      <c r="K21" s="109"/>
      <c r="L21" s="109"/>
      <c r="M21" s="110"/>
      <c r="N21" s="161"/>
      <c r="O21" s="1056"/>
      <c r="P21" s="117">
        <v>4.4696186727370003E-7</v>
      </c>
      <c r="Q21" s="111">
        <v>2.1652304520719925E-8</v>
      </c>
      <c r="R21" s="112">
        <v>1.3636168148E-2</v>
      </c>
      <c r="S21" s="1032">
        <v>0.25144724000000002</v>
      </c>
      <c r="T21" s="1032">
        <v>3.6569253E-6</v>
      </c>
      <c r="U21" s="1032">
        <v>9.4921315000000002E-4</v>
      </c>
      <c r="V21" s="1032">
        <v>8.1253363999999998E-4</v>
      </c>
      <c r="W21" s="1032">
        <v>2.5768224999999999E-4</v>
      </c>
      <c r="X21" s="1032">
        <v>8.2161029999999996E-4</v>
      </c>
      <c r="Y21" s="1032">
        <v>1.2737842999999999E-3</v>
      </c>
      <c r="Z21" s="1032">
        <v>2.3685486000000001E-5</v>
      </c>
      <c r="AA21" s="1032">
        <v>1.5265692E-3</v>
      </c>
      <c r="AB21" s="1032">
        <v>2.1403493999999999E-2</v>
      </c>
      <c r="AC21" s="1032">
        <v>1.0051456E-3</v>
      </c>
      <c r="AD21" s="1032">
        <v>1.4591374E-3</v>
      </c>
      <c r="AE21" s="1032">
        <v>1.1045539E-4</v>
      </c>
      <c r="AF21" s="1032">
        <v>0.21037143999999999</v>
      </c>
      <c r="AG21" s="1032">
        <v>2.3142421</v>
      </c>
      <c r="AH21" s="1032">
        <v>8.6872914999999994E-5</v>
      </c>
      <c r="AI21" s="1032">
        <v>3.1644111000000003E-2</v>
      </c>
      <c r="AJ21" s="1036">
        <v>1.5437571000000001E-4</v>
      </c>
      <c r="AK21" s="1077">
        <v>0.25032854999999998</v>
      </c>
      <c r="AL21" s="1078">
        <v>1.5921854E-9</v>
      </c>
      <c r="AM21" s="1078">
        <v>1.9470710999999999E-3</v>
      </c>
      <c r="AN21" s="1078">
        <v>8.9707694000000005E-4</v>
      </c>
      <c r="AO21" s="1078">
        <v>3.9622546E-4</v>
      </c>
      <c r="AP21" s="1078">
        <v>1.6586890000000001E-3</v>
      </c>
      <c r="AQ21" s="1078">
        <v>2.906548E-5</v>
      </c>
      <c r="AR21" s="1078">
        <v>5.3060609000000003E-3</v>
      </c>
      <c r="AS21" s="1078">
        <v>2.32675E-5</v>
      </c>
      <c r="AT21" s="1078">
        <v>1.2828899999999999E-4</v>
      </c>
      <c r="AU21" s="1078">
        <v>1.3264101000000001E-4</v>
      </c>
      <c r="AV21" s="1078">
        <v>9.6795236999999996E-3</v>
      </c>
      <c r="AW21" s="1078">
        <v>2.3142413999999998</v>
      </c>
      <c r="AX21" s="1078">
        <v>6.8927724999999997E-7</v>
      </c>
      <c r="AY21" s="1078">
        <v>-4.737188E-9</v>
      </c>
      <c r="AZ21" s="1078">
        <v>9.9557952999999996E-4</v>
      </c>
      <c r="BA21" s="1078">
        <v>3.3202742E-2</v>
      </c>
      <c r="BB21" s="1079">
        <v>1.5612598999999999E-4</v>
      </c>
      <c r="BC21" s="1035"/>
      <c r="BE21" s="113">
        <f t="array" ref="BE21">IFERROR(SUMIFS($CB21:$CW21,$CB$17:$CW$17,BE$17,$CB$18:$CW$18,BE$18)/SUMPRODUCT(($CB$18:$CW$18=BE$18)*ABS($CB21:$CW21)),"-")</f>
        <v>0.52241718387357283</v>
      </c>
      <c r="BF21" s="114">
        <f t="array" ref="BF21">IFERROR(SUMIFS($CB21:$CW21,$CB$17:$CW$17,BF$17,$CB$18:$CW$18,BF$18)/SUMPRODUCT(($CB$18:$CW$18=BF$18)*ABS($CB21:$CW21)),"-")</f>
        <v>4.3437591484982606E-3</v>
      </c>
      <c r="BG21" s="114">
        <f t="array" ref="BG21">IFERROR(SUMIFS($CB21:$CW21,$CB$17:$CW$17,BG$17,$CB$18:$CW$18,BG$18)/SUMPRODUCT(($CB$18:$CW$18=BG$18)*ABS($CB21:$CW21)),"-")</f>
        <v>1.8046536607698265E-5</v>
      </c>
      <c r="BH21" s="114">
        <f t="array" ref="BH21">IFERROR(SUMIFS($CB21:$CW21,$CB$17:$CW$17,BH$17,$CB$18:$CW$18,BH$18)/SUMPRODUCT(($CB$18:$CW$18=BH$18)*ABS($CB21:$CW21)),"-")</f>
        <v>1.6543260491329809E-3</v>
      </c>
      <c r="BI21" s="114">
        <f t="array" ref="BI21">IFERROR(SUMIFS($CB21:$CW21,$CB$17:$CW$17,BI$17,$CB$18:$CW$18,BI$18)/SUMPRODUCT(($CB$18:$CW$18=BI$18)*ABS($CB21:$CW21)),"-")</f>
        <v>0.36261178383871645</v>
      </c>
      <c r="BJ21" s="114">
        <f t="array" ref="BJ21">IFERROR(SUMIFS($CB21:$CW21,$CB$17:$CW$17,BJ$17,$CB$18:$CW$18,BJ$18)/SUMPRODUCT(($CB$18:$CW$18=BJ$18)*ABS($CB21:$CW21)),"-")</f>
        <v>8.2140056430179227E-4</v>
      </c>
      <c r="BK21" s="114">
        <f t="array" ref="BK21">IFERROR(SUMIFS($CB21:$CW21,$CB$17:$CW$17,BK$17,$CB$18:$CW$18,BK$18)/SUMPRODUCT(($CB$18:$CW$18=BK$18)*ABS($CB21:$CW21)),"-")</f>
        <v>0.10736673643484158</v>
      </c>
      <c r="BL21" s="114">
        <f t="array" ref="BL21">IFERROR(SUMIFS($CB21:$CW21,$CB$17:$CW$17,BL$17,$CB$18:$CW$18,BL$18)/SUMPRODUCT(($CB$18:$CW$18=BL$18)*ABS($CB21:$CW21)),"-")</f>
        <v>7.6676355432830868E-4</v>
      </c>
      <c r="BM21" s="115"/>
      <c r="BN21" s="114">
        <f t="array" ref="BN21">IFERROR(SUMIFS($CB21:$CW21,$CB$17:$CW$17,BN$17,$CB$18:$CW$18,BN$18)/SUMPRODUCT(($CB$18:$CW$18=BN$18)*ABS($CB21:$CW21)),"-")</f>
        <v>3.2511025138842568E-2</v>
      </c>
      <c r="BO21" s="114">
        <f t="array" ref="BO21">IFERROR(SUMIFS($CB21:$CW21,$CB$17:$CW$17,BO$17,$CB$18:$CW$18,BO$18)/SUMPRODUCT(($CB$18:$CW$18=BO$18)*ABS($CB21:$CW21)),"-")</f>
        <v>4.8949727221218658E-3</v>
      </c>
      <c r="BP21" s="114">
        <f t="array" ref="BP21">IFERROR(SUMIFS($CB21:$CW21,$CB$17:$CW$17,BP$17,$CB$18:$CW$18,BP$18)/SUMPRODUCT(($CB$18:$CW$18=BP$18)*ABS($CB21:$CW21)),"-")</f>
        <v>1.2481217403043178E-2</v>
      </c>
      <c r="BQ21" s="114">
        <f t="array" ref="BQ21">IFERROR(SUMIFS($CB21:$CW21,$CB$17:$CW$17,BQ$17,$CB$18:$CW$18,BQ$18)/SUMPRODUCT(($CB$18:$CW$18=BQ$18)*ABS($CB21:$CW21)),"-")</f>
        <v>7.3391245651442726E-4</v>
      </c>
      <c r="BR21" s="114">
        <f t="array" ref="BR21">IFERROR(SUMIFS($CB21:$CW21,$CB$17:$CW$17,BR$17,$CB$18:$CW$18,BR$18)/SUMPRODUCT(($CB$18:$CW$18=BR$18)*ABS($CB21:$CW21)),"-")</f>
        <v>1.197828802711558E-4</v>
      </c>
      <c r="BS21" s="114">
        <f t="array" ref="BS21">IFERROR(SUMIFS($CB21:$CW21,$CB$17:$CW$17,BS$17,$CB$18:$CW$18,BS$18)/SUMPRODUCT(($CB$18:$CW$18=BS$18)*ABS($CB21:$CW21)),"-")</f>
        <v>1.1265526945022369E-5</v>
      </c>
      <c r="BT21" s="114">
        <f t="array" ref="BT21">IFERROR(SUMIFS($CB21:$CW21,$CB$17:$CW$17,BT$17,$CB$18:$CW$18,BT$18)/SUMPRODUCT(($CB$18:$CW$18=BT$18)*ABS($CB21:$CW21)),"-")</f>
        <v>3.2122468503730164E-5</v>
      </c>
      <c r="BU21" s="114">
        <f t="array" ref="BU21">IFERROR(SUMIFS($CB21:$CW21,$CB$17:$CW$17,BU$17,$CB$18:$CW$18,BU$18)/SUMPRODUCT(($CB$18:$CW$18=BU$18)*ABS($CB21:$CW21)),"-")</f>
        <v>7.0781103163103078E-6</v>
      </c>
      <c r="BV21" s="114">
        <f t="array" ref="BV21">IFERROR(SUMIFS($CB21:$CW21,$CB$17:$CW$17,BV$17,$CB$18:$CW$18,BV$18)/SUMPRODUCT(($CB$18:$CW$18=BV$18)*ABS($CB21:$CW21)),"-")</f>
        <v>0.94911236724638071</v>
      </c>
      <c r="BW21" s="114">
        <f t="array" ref="BW21">IFERROR(SUMIFS($CB21:$CW21,$CB$17:$CW$17,BW$17,$CB$18:$CW$18,BW$18)/SUMPRODUCT(($CB$18:$CW$18=BW$18)*ABS($CB21:$CW21)),"-")</f>
        <v>9.6256047061068348E-5</v>
      </c>
      <c r="BX21" s="115"/>
      <c r="BY21" s="114">
        <f t="array" ref="BY21">IFERROR(SUMIFS($CB21:$CW21,$CB$17:$CW$17,BY$17,$CB$18:$CW$18,BY$18)/SUMPRODUCT(($CB$18:$CW$18=BY$18)*ABS($CB21:$CW21)),"-")</f>
        <v>1.4729319690110938E-3</v>
      </c>
      <c r="BZ21" s="116">
        <f t="array" ref="BZ21">IFERROR(SUMIFS($CB21:$CW21,$CB$17:$CW$17,BZ$17,$CB$18:$CW$18,BZ$18)/SUMPRODUCT(($CB$18:$CW$18=BZ$18)*ABS($CB21:$CW21)),"-")</f>
        <v>0.9985270680309889</v>
      </c>
      <c r="CB21" s="117">
        <v>2.3350056000000001E-7</v>
      </c>
      <c r="CC21" s="111">
        <v>7.0391938000000001E-10</v>
      </c>
      <c r="CD21" s="111">
        <v>1.9236587000000001E-14</v>
      </c>
      <c r="CE21" s="111">
        <v>1.9414946999999999E-9</v>
      </c>
      <c r="CF21" s="111">
        <v>8.0661137E-12</v>
      </c>
      <c r="CG21" s="111">
        <v>7.3942065999999996E-10</v>
      </c>
      <c r="CH21" s="111">
        <v>1.6207363999999999E-7</v>
      </c>
      <c r="CI21" s="111">
        <v>1.0598744E-10</v>
      </c>
      <c r="CJ21" s="111">
        <v>2.7024712000000002E-10</v>
      </c>
      <c r="CK21" s="111">
        <v>1.5890896E-11</v>
      </c>
      <c r="CL21" s="111">
        <v>2.5935754000000001E-12</v>
      </c>
      <c r="CM21" s="111">
        <v>2.4392461999999999E-13</v>
      </c>
      <c r="CN21" s="111">
        <v>6.9552547000000004E-13</v>
      </c>
      <c r="CO21" s="111">
        <v>1.5325740000000001E-13</v>
      </c>
      <c r="CP21" s="111">
        <v>3.6713472999999998E-10</v>
      </c>
      <c r="CQ21" s="111">
        <v>4.7988836999999998E-8</v>
      </c>
      <c r="CR21" s="111">
        <v>2.055047E-8</v>
      </c>
      <c r="CS21" s="111">
        <v>2.0085148E-5</v>
      </c>
      <c r="CT21" s="111">
        <v>1.3616082999999999E-2</v>
      </c>
      <c r="CU21" s="111">
        <v>3.4271406999999998E-10</v>
      </c>
      <c r="CV21" s="111">
        <v>2.084072E-12</v>
      </c>
      <c r="CW21" s="112">
        <v>9.3242927000000005E-17</v>
      </c>
    </row>
    <row r="22" spans="2:123" ht="12" customHeight="1" outlineLevel="1" x14ac:dyDescent="0.2">
      <c r="B22" s="104" t="s">
        <v>91</v>
      </c>
      <c r="C22" s="104" t="s">
        <v>121</v>
      </c>
      <c r="D22" s="2" t="s">
        <v>132</v>
      </c>
      <c r="E22" s="2" t="s">
        <v>133</v>
      </c>
      <c r="F22" s="105" t="s">
        <v>94</v>
      </c>
      <c r="G22" s="27" t="s">
        <v>1580</v>
      </c>
      <c r="H22" s="106" t="s">
        <v>131</v>
      </c>
      <c r="I22" s="107" t="s">
        <v>129</v>
      </c>
      <c r="J22" s="108">
        <v>3.8217059399999997</v>
      </c>
      <c r="K22" s="109"/>
      <c r="L22" s="109"/>
      <c r="M22" s="110"/>
      <c r="N22" s="161"/>
      <c r="O22" s="1056"/>
      <c r="P22" s="117">
        <v>3.2121592452209999E-7</v>
      </c>
      <c r="Q22" s="111">
        <v>1.6591023645040187E-8</v>
      </c>
      <c r="R22" s="112">
        <v>1.0448684200999999E-2</v>
      </c>
      <c r="S22" s="1032">
        <v>0.19267090000000001</v>
      </c>
      <c r="T22" s="1032">
        <v>2.8021110999999999E-6</v>
      </c>
      <c r="U22" s="1032">
        <v>7.2733252E-4</v>
      </c>
      <c r="V22" s="1032">
        <v>6.2260213999999997E-4</v>
      </c>
      <c r="W22" s="1032">
        <v>1.9744846E-4</v>
      </c>
      <c r="X22" s="1032">
        <v>6.2955712000000005E-4</v>
      </c>
      <c r="Y22" s="1032">
        <v>9.7603450000000003E-4</v>
      </c>
      <c r="Z22" s="1032">
        <v>1.8148952000000001E-5</v>
      </c>
      <c r="AA22" s="1032">
        <v>1.1697303E-3</v>
      </c>
      <c r="AB22" s="1032">
        <v>1.6400380999999999E-2</v>
      </c>
      <c r="AC22" s="1032">
        <v>7.6035679999999996E-4</v>
      </c>
      <c r="AD22" s="1032">
        <v>1.1101098E-3</v>
      </c>
      <c r="AE22" s="1032">
        <v>8.2720162999999993E-5</v>
      </c>
      <c r="AF22" s="1032">
        <v>6.7992677000000001E-2</v>
      </c>
      <c r="AG22" s="1032">
        <v>1.7732829999999999</v>
      </c>
      <c r="AH22" s="1032">
        <v>6.6566183E-5</v>
      </c>
      <c r="AI22" s="1032">
        <v>2.4247232000000001E-2</v>
      </c>
      <c r="AJ22" s="1036">
        <v>1.1829005E-4</v>
      </c>
      <c r="AK22" s="1077">
        <v>0.19181371</v>
      </c>
      <c r="AL22" s="1078">
        <v>1.2200086E-9</v>
      </c>
      <c r="AM22" s="1078">
        <v>1.4919390000000001E-3</v>
      </c>
      <c r="AN22" s="1078">
        <v>6.8738326000000001E-4</v>
      </c>
      <c r="AO22" s="1078">
        <v>3.0360689999999997E-4</v>
      </c>
      <c r="AP22" s="1078">
        <v>1.2709669E-3</v>
      </c>
      <c r="AQ22" s="1078">
        <v>2.2271361000000002E-5</v>
      </c>
      <c r="AR22" s="1078">
        <v>4.0657577000000004E-3</v>
      </c>
      <c r="AS22" s="1078">
        <v>9.7718552000000005E-6</v>
      </c>
      <c r="AT22" s="1078">
        <v>9.7622533000000006E-5</v>
      </c>
      <c r="AU22" s="1078">
        <v>1.0128425000000001E-4</v>
      </c>
      <c r="AV22" s="1078">
        <v>6.1179918999999996E-3</v>
      </c>
      <c r="AW22" s="1078">
        <v>1.7732825000000001</v>
      </c>
      <c r="AX22" s="1078">
        <v>5.2815720000000005E-7</v>
      </c>
      <c r="AY22" s="1078">
        <v>-3.6298601000000002E-9</v>
      </c>
      <c r="AZ22" s="1078">
        <v>7.6286066000000004E-4</v>
      </c>
      <c r="BA22" s="1078">
        <v>2.5441529000000001E-2</v>
      </c>
      <c r="BB22" s="1079">
        <v>1.1963119999999999E-4</v>
      </c>
      <c r="BC22" s="1035"/>
      <c r="BE22" s="113">
        <f t="array" ref="BE22">IFERROR(SUMIFS($CB22:$CW22,$CB$17:$CW$17,BE$17,$CB$18:$CW$18,BE$18)/SUMPRODUCT(($CB$18:$CW$18=BE$18)*ABS($CB22:$CW22)),"-")</f>
        <v>0.55700631986472438</v>
      </c>
      <c r="BF22" s="114">
        <f t="array" ref="BF22">IFERROR(SUMIFS($CB22:$CW22,$CB$17:$CW$17,BF$17,$CB$18:$CW$18,BF$18)/SUMPRODUCT(($CB$18:$CW$18=BF$18)*ABS($CB22:$CW22)),"-")</f>
        <v>4.631358492619338E-3</v>
      </c>
      <c r="BG22" s="114">
        <f t="array" ref="BG22">IFERROR(SUMIFS($CB22:$CW22,$CB$17:$CW$17,BG$17,$CB$18:$CW$18,BG$18)/SUMPRODUCT(($CB$18:$CW$18=BG$18)*ABS($CB22:$CW22)),"-")</f>
        <v>1.9241393804480468E-5</v>
      </c>
      <c r="BH22" s="114">
        <f t="array" ref="BH22">IFERROR(SUMIFS($CB22:$CW22,$CB$17:$CW$17,BH$17,$CB$18:$CW$18,BH$18)/SUMPRODUCT(($CB$18:$CW$18=BH$18)*ABS($CB22:$CW22)),"-")</f>
        <v>1.7638586282512239E-3</v>
      </c>
      <c r="BI22" s="114">
        <f t="array" ref="BI22">IFERROR(SUMIFS($CB22:$CW22,$CB$17:$CW$17,BI$17,$CB$18:$CW$18,BI$18)/SUMPRODUCT(($CB$18:$CW$18=BI$18)*ABS($CB22:$CW22)),"-")</f>
        <v>0.38662021562214205</v>
      </c>
      <c r="BJ22" s="114">
        <f t="array" ref="BJ22">IFERROR(SUMIFS($CB22:$CW22,$CB$17:$CW$17,BJ$17,$CB$18:$CW$18,BJ$18)/SUMPRODUCT(($CB$18:$CW$18=BJ$18)*ABS($CB22:$CW22)),"-")</f>
        <v>8.5594881514376329E-4</v>
      </c>
      <c r="BK22" s="114">
        <f t="array" ref="BK22">IFERROR(SUMIFS($CB22:$CW22,$CB$17:$CW$17,BK$17,$CB$18:$CW$18,BK$18)/SUMPRODUCT(($CB$18:$CW$18=BK$18)*ABS($CB22:$CW22)),"-")</f>
        <v>4.8285526388754399E-2</v>
      </c>
      <c r="BL22" s="114">
        <f t="array" ref="BL22">IFERROR(SUMIFS($CB22:$CW22,$CB$17:$CW$17,BL$17,$CB$18:$CW$18,BL$18)/SUMPRODUCT(($CB$18:$CW$18=BL$18)*ABS($CB22:$CW22)),"-")</f>
        <v>8.175307945603817E-4</v>
      </c>
      <c r="BM22" s="115"/>
      <c r="BN22" s="114">
        <f t="array" ref="BN22">IFERROR(SUMIFS($CB22:$CW22,$CB$17:$CW$17,BN$17,$CB$18:$CW$18,BN$18)/SUMPRODUCT(($CB$18:$CW$18=BN$18)*ABS($CB22:$CW22)),"-")</f>
        <v>3.2511040399502339E-2</v>
      </c>
      <c r="BO22" s="114">
        <f t="array" ref="BO22">IFERROR(SUMIFS($CB22:$CW22,$CB$17:$CW$17,BO$17,$CB$18:$CW$18,BO$18)/SUMPRODUCT(($CB$18:$CW$18=BO$18)*ABS($CB22:$CW22)),"-")</f>
        <v>4.8949750622697815E-3</v>
      </c>
      <c r="BP22" s="114">
        <f t="array" ref="BP22">IFERROR(SUMIFS($CB22:$CW22,$CB$17:$CW$17,BP$17,$CB$18:$CW$18,BP$18)/SUMPRODUCT(($CB$18:$CW$18=BP$18)*ABS($CB22:$CW22)),"-")</f>
        <v>1.2481223246397128E-2</v>
      </c>
      <c r="BQ22" s="114">
        <f t="array" ref="BQ22">IFERROR(SUMIFS($CB22:$CW22,$CB$17:$CW$17,BQ$17,$CB$18:$CW$18,BQ$18)/SUMPRODUCT(($CB$18:$CW$18=BQ$18)*ABS($CB22:$CW22)),"-")</f>
        <v>7.3391282301258558E-4</v>
      </c>
      <c r="BR22" s="114">
        <f t="array" ref="BR22">IFERROR(SUMIFS($CB22:$CW22,$CB$17:$CW$17,BR$17,$CB$18:$CW$18,BR$18)/SUMPRODUCT(($CB$18:$CW$18=BR$18)*ABS($CB22:$CW22)),"-")</f>
        <v>1.1978294061404108E-4</v>
      </c>
      <c r="BS22" s="114">
        <f t="array" ref="BS22">IFERROR(SUMIFS($CB22:$CW22,$CB$17:$CW$17,BS$17,$CB$18:$CW$18,BS$18)/SUMPRODUCT(($CB$18:$CW$18=BS$18)*ABS($CB22:$CW22)),"-")</f>
        <v>1.1265532133448254E-5</v>
      </c>
      <c r="BT22" s="114">
        <f t="array" ref="BT22">IFERROR(SUMIFS($CB22:$CW22,$CB$17:$CW$17,BT$17,$CB$18:$CW$18,BT$18)/SUMPRODUCT(($CB$18:$CW$18=BT$18)*ABS($CB22:$CW22)),"-")</f>
        <v>3.1710499078052858E-5</v>
      </c>
      <c r="BU22" s="114">
        <f t="array" ref="BU22">IFERROR(SUMIFS($CB22:$CW22,$CB$17:$CW$17,BU$17,$CB$18:$CW$18,BU$18)/SUMPRODUCT(($CB$18:$CW$18=BU$18)*ABS($CB22:$CW22)),"-")</f>
        <v>7.0277731196445161E-6</v>
      </c>
      <c r="BV22" s="114">
        <f t="array" ref="BV22">IFERROR(SUMIFS($CB22:$CW22,$CB$17:$CW$17,BV$17,$CB$18:$CW$18,BV$18)/SUMPRODUCT(($CB$18:$CW$18=BV$18)*ABS($CB22:$CW22)),"-")</f>
        <v>0.94911280562892941</v>
      </c>
      <c r="BW22" s="114">
        <f t="array" ref="BW22">IFERROR(SUMIFS($CB22:$CW22,$CB$17:$CW$17,BW$17,$CB$18:$CW$18,BW$18)/SUMPRODUCT(($CB$18:$CW$18=BW$18)*ABS($CB22:$CW22)),"-")</f>
        <v>9.6256094943750637E-5</v>
      </c>
      <c r="BX22" s="115"/>
      <c r="BY22" s="114">
        <f t="array" ref="BY22">IFERROR(SUMIFS($CB22:$CW22,$CB$17:$CW$17,BY$17,$CB$18:$CW$18,BY$18)/SUMPRODUCT(($CB$18:$CW$18=BY$18)*ABS($CB22:$CW22)),"-")</f>
        <v>1.4729319696088689E-3</v>
      </c>
      <c r="BZ22" s="116">
        <f t="array" ref="BZ22">IFERROR(SUMIFS($CB22:$CW22,$CB$17:$CW$17,BZ$17,$CB$18:$CW$18,BZ$18)/SUMPRODUCT(($CB$18:$CW$18=BZ$18)*ABS($CB22:$CW22)),"-")</f>
        <v>0.99852706803039115</v>
      </c>
      <c r="CB22" s="117">
        <v>1.7891929999999999E-7</v>
      </c>
      <c r="CC22" s="111">
        <v>5.3937670000000004E-10</v>
      </c>
      <c r="CD22" s="111">
        <v>1.4739993E-14</v>
      </c>
      <c r="CE22" s="111">
        <v>1.4876661000000001E-9</v>
      </c>
      <c r="CF22" s="111">
        <v>6.1806420999999998E-12</v>
      </c>
      <c r="CG22" s="111">
        <v>5.6657947999999998E-10</v>
      </c>
      <c r="CH22" s="111">
        <v>1.2418857E-7</v>
      </c>
      <c r="CI22" s="111">
        <v>8.1212647000000006E-11</v>
      </c>
      <c r="CJ22" s="111">
        <v>2.0707627E-10</v>
      </c>
      <c r="CK22" s="111">
        <v>1.2176365E-11</v>
      </c>
      <c r="CL22" s="111">
        <v>1.9873216000000002E-12</v>
      </c>
      <c r="CM22" s="111">
        <v>1.8690671000000001E-13</v>
      </c>
      <c r="CN22" s="111">
        <v>5.2610963999999998E-13</v>
      </c>
      <c r="CO22" s="111">
        <v>1.1659795000000001E-13</v>
      </c>
      <c r="CP22" s="111">
        <v>2.7494439E-10</v>
      </c>
      <c r="CQ22" s="111">
        <v>1.551008E-8</v>
      </c>
      <c r="CR22" s="111">
        <v>1.5746752999999999E-8</v>
      </c>
      <c r="CS22" s="111">
        <v>1.5390201E-5</v>
      </c>
      <c r="CT22" s="111">
        <v>1.0433293999999999E-2</v>
      </c>
      <c r="CU22" s="111">
        <v>2.6260391E-10</v>
      </c>
      <c r="CV22" s="111">
        <v>1.5969157E-12</v>
      </c>
      <c r="CW22" s="112">
        <v>7.1447191000000003E-17</v>
      </c>
    </row>
    <row r="23" spans="2:123" ht="12" customHeight="1" outlineLevel="1" x14ac:dyDescent="0.2">
      <c r="B23" s="104" t="s">
        <v>91</v>
      </c>
      <c r="C23" s="104" t="s">
        <v>121</v>
      </c>
      <c r="D23" s="2" t="s">
        <v>132</v>
      </c>
      <c r="E23" s="2" t="s">
        <v>133</v>
      </c>
      <c r="F23" s="105" t="s">
        <v>95</v>
      </c>
      <c r="G23" s="27" t="s">
        <v>1581</v>
      </c>
      <c r="H23" s="106" t="s">
        <v>128</v>
      </c>
      <c r="I23" s="107" t="s">
        <v>127</v>
      </c>
      <c r="J23" s="108">
        <v>3.8217059399999997</v>
      </c>
      <c r="K23" s="109"/>
      <c r="L23" s="109"/>
      <c r="M23" s="110"/>
      <c r="N23" s="161"/>
      <c r="O23" s="1056"/>
      <c r="P23" s="117">
        <v>1.1114677317043001E-6</v>
      </c>
      <c r="Q23" s="111">
        <v>1.9515712149845973E-8</v>
      </c>
      <c r="R23" s="112">
        <v>1.2547908905E-2</v>
      </c>
      <c r="S23" s="1032">
        <v>0.24966123000000001</v>
      </c>
      <c r="T23" s="1032">
        <v>4.1454116999999998E-6</v>
      </c>
      <c r="U23" s="1032">
        <v>8.2990775999999995E-4</v>
      </c>
      <c r="V23" s="1032">
        <v>7.5618156999999997E-4</v>
      </c>
      <c r="W23" s="1032">
        <v>5.6337108000000002E-4</v>
      </c>
      <c r="X23" s="1032">
        <v>7.6431174000000002E-4</v>
      </c>
      <c r="Y23" s="1032">
        <v>3.8491911000000001E-3</v>
      </c>
      <c r="Z23" s="1032">
        <v>9.5106645000000005E-5</v>
      </c>
      <c r="AA23" s="1032">
        <v>1.7131555E-3</v>
      </c>
      <c r="AB23" s="1032">
        <v>3.0714394999999999E-2</v>
      </c>
      <c r="AC23" s="1032">
        <v>1.5597374E-3</v>
      </c>
      <c r="AD23" s="1032">
        <v>2.0948496E-3</v>
      </c>
      <c r="AE23" s="1032">
        <v>1.730945E-4</v>
      </c>
      <c r="AF23" s="1032">
        <v>2.2857964000000002</v>
      </c>
      <c r="AG23" s="1032">
        <v>2.0080106</v>
      </c>
      <c r="AH23" s="1032">
        <v>7.5544181000000002E-5</v>
      </c>
      <c r="AI23" s="1032">
        <v>2.9044421000000001E-2</v>
      </c>
      <c r="AJ23" s="1036">
        <v>1.3441220999999999E-4</v>
      </c>
      <c r="AK23" s="1077">
        <v>0.24864608999999999</v>
      </c>
      <c r="AL23" s="1078">
        <v>1.3920076999999999E-9</v>
      </c>
      <c r="AM23" s="1078">
        <v>1.7022126E-3</v>
      </c>
      <c r="AN23" s="1078">
        <v>8.3254342999999995E-4</v>
      </c>
      <c r="AO23" s="1078">
        <v>8.0127290999999995E-4</v>
      </c>
      <c r="AP23" s="1078">
        <v>4.8740983E-3</v>
      </c>
      <c r="AQ23" s="1078">
        <v>9.9788528000000005E-5</v>
      </c>
      <c r="AR23" s="1078">
        <v>6.0657119000000004E-3</v>
      </c>
      <c r="AS23" s="1078">
        <v>2.4887864E-4</v>
      </c>
      <c r="AT23" s="1078">
        <v>1.5327550999999999E-4</v>
      </c>
      <c r="AU23" s="1078">
        <v>1.4671057000000001E-4</v>
      </c>
      <c r="AV23" s="1078">
        <v>3.9932480999999999E-2</v>
      </c>
      <c r="AW23" s="1078">
        <v>2.0080100000000001</v>
      </c>
      <c r="AX23" s="1078">
        <v>5.9806880000000005E-7</v>
      </c>
      <c r="AY23" s="1078">
        <v>-4.1103408000000004E-9</v>
      </c>
      <c r="AZ23" s="1078">
        <v>8.6505728999999995E-4</v>
      </c>
      <c r="BA23" s="1078">
        <v>3.0458793000000001E-2</v>
      </c>
      <c r="BB23" s="1079">
        <v>1.3593087999999999E-4</v>
      </c>
      <c r="BC23" s="1035"/>
      <c r="BE23" s="113">
        <f t="array" ref="BE23">IFERROR(SUMIFS($CB23:$CW23,$CB$17:$CW$17,BE$17,$CB$18:$CW$18,BE$18)/SUMPRODUCT(($CB$18:$CW$18=BE$18)*ABS($CB23:$CW23)),"-")</f>
        <v>0.20860960096832198</v>
      </c>
      <c r="BF23" s="114">
        <f t="array" ref="BF23">IFERROR(SUMIFS($CB23:$CW23,$CB$17:$CW$17,BF$17,$CB$18:$CW$18,BF$18)/SUMPRODUCT(($CB$18:$CW$18=BF$18)*ABS($CB23:$CW23)),"-")</f>
        <v>1.9801174044209867E-3</v>
      </c>
      <c r="BG23" s="114">
        <f t="array" ref="BG23">IFERROR(SUMIFS($CB23:$CW23,$CB$17:$CW$17,BG$17,$CB$18:$CW$18,BG$18)/SUMPRODUCT(($CB$18:$CW$18=BG$18)*ABS($CB23:$CW23)),"-")</f>
        <v>6.3450283789941139E-6</v>
      </c>
      <c r="BH23" s="114">
        <f t="array" ref="BH23">IFERROR(SUMIFS($CB23:$CW23,$CB$17:$CW$17,BH$17,$CB$18:$CW$18,BH$18)/SUMPRODUCT(($CB$18:$CW$18=BH$18)*ABS($CB23:$CW23)),"-")</f>
        <v>6.1912579229342433E-4</v>
      </c>
      <c r="BI23" s="114">
        <f t="array" ref="BI23">IFERROR(SUMIFS($CB23:$CW23,$CB$17:$CW$17,BI$17,$CB$18:$CW$18,BI$18)/SUMPRODUCT(($CB$18:$CW$18=BI$18)*ABS($CB23:$CW23)),"-")</f>
        <v>0.31886492957969947</v>
      </c>
      <c r="BJ23" s="114">
        <f t="array" ref="BJ23">IFERROR(SUMIFS($CB23:$CW23,$CB$17:$CW$17,BJ$17,$CB$18:$CW$18,BJ$18)/SUMPRODUCT(($CB$18:$CW$18=BJ$18)*ABS($CB23:$CW23)),"-")</f>
        <v>5.1767528070088549E-4</v>
      </c>
      <c r="BK23" s="114">
        <f t="array" ref="BK23">IFERROR(SUMIFS($CB23:$CW23,$CB$17:$CW$17,BK$17,$CB$18:$CW$18,BK$18)/SUMPRODUCT(($CB$18:$CW$18=BK$18)*ABS($CB23:$CW23)),"-")</f>
        <v>0.46913373652373641</v>
      </c>
      <c r="BL23" s="114">
        <f t="array" ref="BL23">IFERROR(SUMIFS($CB23:$CW23,$CB$17:$CW$17,BL$17,$CB$18:$CW$18,BL$18)/SUMPRODUCT(($CB$18:$CW$18=BL$18)*ABS($CB23:$CW23)),"-")</f>
        <v>2.6846942244778223E-4</v>
      </c>
      <c r="BM23" s="115"/>
      <c r="BN23" s="114">
        <f t="array" ref="BN23">IFERROR(SUMIFS($CB23:$CW23,$CB$17:$CW$17,BN$17,$CB$18:$CW$18,BN$18)/SUMPRODUCT(($CB$18:$CW$18=BN$18)*ABS($CB23:$CW23)),"-")</f>
        <v>3.5813188098622169E-2</v>
      </c>
      <c r="BO23" s="114">
        <f t="array" ref="BO23">IFERROR(SUMIFS($CB23:$CW23,$CB$17:$CW$17,BO$17,$CB$18:$CW$18,BO$18)/SUMPRODUCT(($CB$18:$CW$18=BO$18)*ABS($CB23:$CW23)),"-")</f>
        <v>5.0521330834846405E-3</v>
      </c>
      <c r="BP23" s="114">
        <f t="array" ref="BP23">IFERROR(SUMIFS($CB23:$CW23,$CB$17:$CW$17,BP$17,$CB$18:$CW$18,BP$18)/SUMPRODUCT(($CB$18:$CW$18=BP$18)*ABS($CB23:$CW23)),"-")</f>
        <v>4.1857152007975643E-2</v>
      </c>
      <c r="BQ23" s="114">
        <f t="array" ref="BQ23">IFERROR(SUMIFS($CB23:$CW23,$CB$17:$CW$17,BQ$17,$CB$18:$CW$18,BQ$18)/SUMPRODUCT(($CB$18:$CW$18=BQ$18)*ABS($CB23:$CW23)),"-")</f>
        <v>3.2699172087606167E-3</v>
      </c>
      <c r="BR23" s="114">
        <f t="array" ref="BR23">IFERROR(SUMIFS($CB23:$CW23,$CB$17:$CW$17,BR$17,$CB$18:$CW$18,BR$18)/SUMPRODUCT(($CB$18:$CW$18=BR$18)*ABS($CB23:$CW23)),"-")</f>
        <v>1.4914021982144124E-4</v>
      </c>
      <c r="BS23" s="114">
        <f t="array" ref="BS23">IFERROR(SUMIFS($CB23:$CW23,$CB$17:$CW$17,BS$17,$CB$18:$CW$18,BS$18)/SUMPRODUCT(($CB$18:$CW$18=BS$18)*ABS($CB23:$CW23)),"-")</f>
        <v>1.7940711428394549E-5</v>
      </c>
      <c r="BT23" s="114">
        <f t="array" ref="BT23">IFERROR(SUMIFS($CB23:$CW23,$CB$17:$CW$17,BT$17,$CB$18:$CW$18,BT$18)/SUMPRODUCT(($CB$18:$CW$18=BT$18)*ABS($CB23:$CW23)),"-")</f>
        <v>5.5341992734224874E-5</v>
      </c>
      <c r="BU23" s="114">
        <f t="array" ref="BU23">IFERROR(SUMIFS($CB23:$CW23,$CB$17:$CW$17,BU$17,$CB$18:$CW$18,BU$18)/SUMPRODUCT(($CB$18:$CW$18=BU$18)*ABS($CB23:$CW23)),"-")</f>
        <v>1.1274197851997756E-5</v>
      </c>
      <c r="BV23" s="114">
        <f t="array" ref="BV23">IFERROR(SUMIFS($CB23:$CW23,$CB$17:$CW$17,BV$17,$CB$18:$CW$18,BV$18)/SUMPRODUCT(($CB$18:$CW$18=BV$18)*ABS($CB23:$CW23)),"-")</f>
        <v>0.91368092863271355</v>
      </c>
      <c r="BW23" s="114">
        <f t="array" ref="BW23">IFERROR(SUMIFS($CB23:$CW23,$CB$17:$CW$17,BW$17,$CB$18:$CW$18,BW$18)/SUMPRODUCT(($CB$18:$CW$18=BW$18)*ABS($CB23:$CW23)),"-")</f>
        <v>9.2983846607274439E-5</v>
      </c>
      <c r="BX23" s="115"/>
      <c r="BY23" s="114">
        <f t="array" ref="BY23">IFERROR(SUMIFS($CB23:$CW23,$CB$17:$CW$17,BY$17,$CB$18:$CW$18,BY$18)/SUMPRODUCT(($CB$18:$CW$18=BY$18)*ABS($CB23:$CW23)),"-")</f>
        <v>1.3919375038688965E-3</v>
      </c>
      <c r="BZ23" s="116">
        <f t="array" ref="BZ23">IFERROR(SUMIFS($CB23:$CW23,$CB$17:$CW$17,BZ$17,$CB$18:$CW$18,BZ$18)/SUMPRODUCT(($CB$18:$CW$18=BZ$18)*ABS($CB23:$CW23)),"-")</f>
        <v>0.9986080624961311</v>
      </c>
      <c r="CB23" s="117">
        <v>2.3186283999999999E-7</v>
      </c>
      <c r="CC23" s="111">
        <v>6.9890076999999995E-10</v>
      </c>
      <c r="CD23" s="111">
        <v>1.9100101E-14</v>
      </c>
      <c r="CE23" s="111">
        <v>2.2008366000000002E-9</v>
      </c>
      <c r="CF23" s="111">
        <v>7.0522942999999997E-12</v>
      </c>
      <c r="CG23" s="111">
        <v>6.8813834000000001E-10</v>
      </c>
      <c r="CH23" s="111">
        <v>3.5440807999999998E-7</v>
      </c>
      <c r="CI23" s="111">
        <v>9.8595974999999997E-11</v>
      </c>
      <c r="CJ23" s="111">
        <v>8.1687212999999997E-10</v>
      </c>
      <c r="CK23" s="111">
        <v>6.3814763E-11</v>
      </c>
      <c r="CL23" s="111">
        <v>2.9105776000000001E-12</v>
      </c>
      <c r="CM23" s="111">
        <v>3.5012576E-13</v>
      </c>
      <c r="CN23" s="111">
        <v>1.0800384E-12</v>
      </c>
      <c r="CO23" s="111">
        <v>2.2002399999999999E-13</v>
      </c>
      <c r="CP23" s="111">
        <v>5.7537937000000002E-10</v>
      </c>
      <c r="CQ23" s="111">
        <v>5.2142701000000004E-7</v>
      </c>
      <c r="CR23" s="111">
        <v>1.7831133999999999E-8</v>
      </c>
      <c r="CS23" s="111">
        <v>1.7465904999999999E-5</v>
      </c>
      <c r="CT23" s="111">
        <v>1.2530443E-2</v>
      </c>
      <c r="CU23" s="111">
        <v>2.9839510000000001E-10</v>
      </c>
      <c r="CV23" s="111">
        <v>1.8145648E-12</v>
      </c>
      <c r="CW23" s="112">
        <v>8.1184972999999997E-17</v>
      </c>
    </row>
    <row r="24" spans="2:123" ht="12" customHeight="1" outlineLevel="1" x14ac:dyDescent="0.2">
      <c r="B24" s="104" t="s">
        <v>91</v>
      </c>
      <c r="C24" s="104" t="s">
        <v>121</v>
      </c>
      <c r="D24" s="2" t="s">
        <v>132</v>
      </c>
      <c r="E24" s="2" t="s">
        <v>133</v>
      </c>
      <c r="F24" s="105" t="s">
        <v>96</v>
      </c>
      <c r="G24" s="27" t="s">
        <v>1582</v>
      </c>
      <c r="H24" s="106" t="s">
        <v>128</v>
      </c>
      <c r="I24" s="107" t="s">
        <v>1577</v>
      </c>
      <c r="J24" s="108">
        <v>3.8217059399999997</v>
      </c>
      <c r="K24" s="109"/>
      <c r="L24" s="109"/>
      <c r="M24" s="110"/>
      <c r="N24" s="161"/>
      <c r="O24" s="1056"/>
      <c r="P24" s="117">
        <v>1.6763183603569001E-6</v>
      </c>
      <c r="Q24" s="111">
        <v>2.0043936029938965E-8</v>
      </c>
      <c r="R24" s="112">
        <v>1.3015276043999999E-2</v>
      </c>
      <c r="S24" s="1032">
        <v>0.27222436999999999</v>
      </c>
      <c r="T24" s="1032">
        <v>4.8543658000000001E-6</v>
      </c>
      <c r="U24" s="1032">
        <v>8.3401858999999998E-4</v>
      </c>
      <c r="V24" s="1032">
        <v>7.8957346999999998E-4</v>
      </c>
      <c r="W24" s="1032">
        <v>8.1065035000000001E-4</v>
      </c>
      <c r="X24" s="1032">
        <v>7.9786978000000001E-4</v>
      </c>
      <c r="Y24" s="1032">
        <v>5.8484310999999999E-3</v>
      </c>
      <c r="Z24" s="1032">
        <v>1.4820423000000001E-4</v>
      </c>
      <c r="AA24" s="1032">
        <v>1.9965062E-3</v>
      </c>
      <c r="AB24" s="1032">
        <v>3.8639183000000001E-2</v>
      </c>
      <c r="AC24" s="1032">
        <v>1.8265412E-3</v>
      </c>
      <c r="AD24" s="1032">
        <v>2.3628017000000001E-3</v>
      </c>
      <c r="AE24" s="1032">
        <v>2.3490876000000001E-4</v>
      </c>
      <c r="AF24" s="1032">
        <v>3.9853304000000001</v>
      </c>
      <c r="AG24" s="1032">
        <v>2.0080106</v>
      </c>
      <c r="AH24" s="1032">
        <v>7.5652974999999994E-5</v>
      </c>
      <c r="AI24" s="1032">
        <v>3.0080519999999999E-2</v>
      </c>
      <c r="AJ24" s="1036">
        <v>1.3471517000000001E-4</v>
      </c>
      <c r="AK24" s="1077">
        <v>0.27118020999999998</v>
      </c>
      <c r="AL24" s="1078">
        <v>1.3988652000000001E-9</v>
      </c>
      <c r="AM24" s="1078">
        <v>1.7105578E-3</v>
      </c>
      <c r="AN24" s="1078">
        <v>8.6789693000000002E-4</v>
      </c>
      <c r="AO24" s="1078">
        <v>1.1338691000000001E-3</v>
      </c>
      <c r="AP24" s="1078">
        <v>7.3763752999999998E-3</v>
      </c>
      <c r="AQ24" s="1078">
        <v>1.5289511999999999E-4</v>
      </c>
      <c r="AR24" s="1078">
        <v>7.1314537000000001E-3</v>
      </c>
      <c r="AS24" s="1078">
        <v>4.1380117999999998E-4</v>
      </c>
      <c r="AT24" s="1078">
        <v>1.7129204999999999E-4</v>
      </c>
      <c r="AU24" s="1078">
        <v>1.5938296E-4</v>
      </c>
      <c r="AV24" s="1078">
        <v>6.6187241999999993E-2</v>
      </c>
      <c r="AW24" s="1078">
        <v>2.0080100000000001</v>
      </c>
      <c r="AX24" s="1078">
        <v>5.9806880000000005E-7</v>
      </c>
      <c r="AY24" s="1078">
        <v>-4.1103408000000004E-9</v>
      </c>
      <c r="AZ24" s="1078">
        <v>8.6585191E-4</v>
      </c>
      <c r="BA24" s="1078">
        <v>3.1535344999999999E-2</v>
      </c>
      <c r="BB24" s="1079">
        <v>1.3623384000000001E-4</v>
      </c>
      <c r="BC24" s="1035"/>
      <c r="BE24" s="113">
        <f t="array" ref="BE24">IFERROR(SUMIFS($CB24:$CW24,$CB$17:$CW$17,BE$17,$CB$18:$CW$18,BE$18)/SUMPRODUCT(($CB$18:$CW$18=BE$18)*ABS($CB24:$CW24)),"-")</f>
        <v>0.15082515706990793</v>
      </c>
      <c r="BF24" s="114">
        <f t="array" ref="BF24">IFERROR(SUMIFS($CB24:$CW24,$CB$17:$CW$17,BF$17,$CB$18:$CW$18,BF$18)/SUMPRODUCT(($CB$18:$CW$18=BF$18)*ABS($CB24:$CW24)),"-")</f>
        <v>1.5374327818322589E-3</v>
      </c>
      <c r="BG24" s="114">
        <f t="array" ref="BG24">IFERROR(SUMIFS($CB24:$CW24,$CB$17:$CW$17,BG$17,$CB$18:$CW$18,BG$18)/SUMPRODUCT(($CB$18:$CW$18=BG$18)*ABS($CB24:$CW24)),"-")</f>
        <v>4.2278525771745879E-6</v>
      </c>
      <c r="BH24" s="114">
        <f t="array" ref="BH24">IFERROR(SUMIFS($CB24:$CW24,$CB$17:$CW$17,BH$17,$CB$18:$CW$18,BH$18)/SUMPRODUCT(($CB$18:$CW$18=BH$18)*ABS($CB24:$CW24)),"-")</f>
        <v>4.2863279254843988E-4</v>
      </c>
      <c r="BI24" s="114">
        <f t="array" ref="BI24">IFERROR(SUMIFS($CB24:$CW24,$CB$17:$CW$17,BI$17,$CB$18:$CW$18,BI$18)/SUMPRODUCT(($CB$18:$CW$18=BI$18)*ABS($CB24:$CW24)),"-")</f>
        <v>0.30423034314998504</v>
      </c>
      <c r="BJ24" s="114">
        <f t="array" ref="BJ24">IFERROR(SUMIFS($CB24:$CW24,$CB$17:$CW$17,BJ$17,$CB$18:$CW$18,BJ$18)/SUMPRODUCT(($CB$18:$CW$18=BJ$18)*ABS($CB24:$CW24)),"-")</f>
        <v>4.6583850566054896E-4</v>
      </c>
      <c r="BK24" s="114">
        <f t="array" ref="BK24">IFERROR(SUMIFS($CB24:$CW24,$CB$17:$CW$17,BK$17,$CB$18:$CW$18,BK$18)/SUMPRODUCT(($CB$18:$CW$18=BK$18)*ABS($CB24:$CW24)),"-")</f>
        <v>0.54232996040587567</v>
      </c>
      <c r="BL24" s="114">
        <f t="array" ref="BL24">IFERROR(SUMIFS($CB24:$CW24,$CB$17:$CW$17,BL$17,$CB$18:$CW$18,BL$18)/SUMPRODUCT(($CB$18:$CW$18=BL$18)*ABS($CB24:$CW24)),"-")</f>
        <v>1.7840744161289645E-4</v>
      </c>
      <c r="BM24" s="115"/>
      <c r="BN24" s="114">
        <f t="array" ref="BN24">IFERROR(SUMIFS($CB24:$CW24,$CB$17:$CW$17,BN$17,$CB$18:$CW$18,BN$18)/SUMPRODUCT(($CB$18:$CW$18=BN$18)*ABS($CB24:$CW24)),"-")</f>
        <v>3.8020107190160524E-2</v>
      </c>
      <c r="BO24" s="114">
        <f t="array" ref="BO24">IFERROR(SUMIFS($CB24:$CW24,$CB$17:$CW$17,BO$17,$CB$18:$CW$18,BO$18)/SUMPRODUCT(($CB$18:$CW$18=BO$18)*ABS($CB24:$CW24)),"-")</f>
        <v>5.1349679946226315E-3</v>
      </c>
      <c r="BP24" s="114">
        <f t="array" ref="BP24">IFERROR(SUMIFS($CB24:$CW24,$CB$17:$CW$17,BP$17,$CB$18:$CW$18,BP$18)/SUMPRODUCT(($CB$18:$CW$18=BP$18)*ABS($CB24:$CW24)),"-")</f>
        <v>6.1923795712881223E-2</v>
      </c>
      <c r="BQ24" s="114">
        <f t="array" ref="BQ24">IFERROR(SUMIFS($CB24:$CW24,$CB$17:$CW$17,BQ$17,$CB$18:$CW$18,BQ$18)/SUMPRODUCT(($CB$18:$CW$18=BQ$18)*ABS($CB24:$CW24)),"-")</f>
        <v>4.961263089817535E-3</v>
      </c>
      <c r="BR24" s="114">
        <f t="array" ref="BR24">IFERROR(SUMIFS($CB24:$CW24,$CB$17:$CW$17,BR$17,$CB$18:$CW$18,BR$18)/SUMPRODUCT(($CB$18:$CW$18=BR$18)*ABS($CB24:$CW24)),"-")</f>
        <v>1.6922714655113219E-4</v>
      </c>
      <c r="BS24" s="114">
        <f t="array" ref="BS24">IFERROR(SUMIFS($CB24:$CW24,$CB$17:$CW$17,BS$17,$CB$18:$CW$18,BS$18)/SUMPRODUCT(($CB$18:$CW$18=BS$18)*ABS($CB24:$CW24)),"-")</f>
        <v>2.197667011818643E-5</v>
      </c>
      <c r="BT24" s="114">
        <f t="array" ref="BT24">IFERROR(SUMIFS($CB24:$CW24,$CB$17:$CW$17,BT$17,$CB$18:$CW$18,BT$18)/SUMPRODUCT(($CB$18:$CW$18=BT$18)*ABS($CB24:$CW24)),"-")</f>
        <v>6.3123430353706459E-5</v>
      </c>
      <c r="BU24" s="114">
        <f t="array" ref="BU24">IFERROR(SUMIFS($CB24:$CW24,$CB$17:$CW$17,BU$17,$CB$18:$CW$18,BU$18)/SUMPRODUCT(($CB$18:$CW$18=BU$18)*ABS($CB24:$CW24)),"-")</f>
        <v>1.2381217423031042E-5</v>
      </c>
      <c r="BV24" s="114">
        <f t="array" ref="BV24">IFERROR(SUMIFS($CB24:$CW24,$CB$17:$CW$17,BV$17,$CB$18:$CW$18,BV$18)/SUMPRODUCT(($CB$18:$CW$18=BV$18)*ABS($CB24:$CW24)),"-")</f>
        <v>0.88960242007189716</v>
      </c>
      <c r="BW24" s="114">
        <f t="array" ref="BW24">IFERROR(SUMIFS($CB24:$CW24,$CB$17:$CW$17,BW$17,$CB$18:$CW$18,BW$18)/SUMPRODUCT(($CB$18:$CW$18=BW$18)*ABS($CB24:$CW24)),"-")</f>
        <v>9.0737476174610303E-5</v>
      </c>
      <c r="BX24" s="115"/>
      <c r="BY24" s="114">
        <f t="array" ref="BY24">IFERROR(SUMIFS($CB24:$CW24,$CB$17:$CW$17,BY$17,$CB$18:$CW$18,BY$18)/SUMPRODUCT(($CB$18:$CW$18=BY$18)*ABS($CB24:$CW24)),"-")</f>
        <v>1.3438857493970184E-3</v>
      </c>
      <c r="BZ24" s="116">
        <f t="array" ref="BZ24">IFERROR(SUMIFS($CB24:$CW24,$CB$17:$CW$17,BZ$17,$CB$18:$CW$18,BZ$18)/SUMPRODUCT(($CB$18:$CW$18=BZ$18)*ABS($CB24:$CW24)),"-")</f>
        <v>0.99865611425060297</v>
      </c>
      <c r="CB24" s="117">
        <v>2.5283097999999998E-7</v>
      </c>
      <c r="CC24" s="111">
        <v>7.6205177E-10</v>
      </c>
      <c r="CD24" s="111">
        <v>2.0826371000000001E-14</v>
      </c>
      <c r="CE24" s="111">
        <v>2.5772268E-9</v>
      </c>
      <c r="CF24" s="111">
        <v>7.0872269000000001E-12</v>
      </c>
      <c r="CG24" s="111">
        <v>7.1852502000000005E-10</v>
      </c>
      <c r="CH24" s="111">
        <v>5.0998691000000004E-7</v>
      </c>
      <c r="CI24" s="111">
        <v>1.0292497E-10</v>
      </c>
      <c r="CJ24" s="111">
        <v>1.2411966E-9</v>
      </c>
      <c r="CK24" s="111">
        <v>9.9443240000000004E-11</v>
      </c>
      <c r="CL24" s="111">
        <v>3.3919781E-12</v>
      </c>
      <c r="CM24" s="111">
        <v>4.4049897000000001E-13</v>
      </c>
      <c r="CN24" s="111">
        <v>1.2652419999999999E-12</v>
      </c>
      <c r="CO24" s="111">
        <v>2.4816832999999998E-13</v>
      </c>
      <c r="CP24" s="111">
        <v>7.8089363999999996E-10</v>
      </c>
      <c r="CQ24" s="111">
        <v>9.0911767000000005E-7</v>
      </c>
      <c r="CR24" s="111">
        <v>1.7831133999999999E-8</v>
      </c>
      <c r="CS24" s="111">
        <v>1.7491043999999999E-5</v>
      </c>
      <c r="CT24" s="111">
        <v>1.2997785E-2</v>
      </c>
      <c r="CU24" s="111">
        <v>2.9906766999999999E-10</v>
      </c>
      <c r="CV24" s="111">
        <v>1.8186548000000001E-12</v>
      </c>
      <c r="CW24" s="112">
        <v>8.1367962000000003E-17</v>
      </c>
    </row>
    <row r="25" spans="2:123" ht="12" customHeight="1" outlineLevel="1" x14ac:dyDescent="0.2">
      <c r="B25" s="88" t="s">
        <v>97</v>
      </c>
      <c r="C25" s="88" t="s">
        <v>121</v>
      </c>
      <c r="D25" s="89" t="s">
        <v>132</v>
      </c>
      <c r="E25" s="89" t="s">
        <v>134</v>
      </c>
      <c r="F25" s="90" t="s">
        <v>92</v>
      </c>
      <c r="G25" s="18" t="s">
        <v>126</v>
      </c>
      <c r="H25" s="91" t="s">
        <v>127</v>
      </c>
      <c r="I25" s="92" t="s">
        <v>127</v>
      </c>
      <c r="J25" s="93">
        <v>4.0702721800000008</v>
      </c>
      <c r="K25" s="94"/>
      <c r="L25" s="94"/>
      <c r="M25" s="95"/>
      <c r="N25" s="145"/>
      <c r="O25" s="1055"/>
      <c r="P25" s="103">
        <v>9.3426870043369999E-7</v>
      </c>
      <c r="Q25" s="97">
        <v>1.0807900656554282E-8</v>
      </c>
      <c r="R25" s="98">
        <v>1.3563960335E-2</v>
      </c>
      <c r="S25" s="1033">
        <v>0.33952290000000002</v>
      </c>
      <c r="T25" s="1033">
        <v>7.8712483999999995E-6</v>
      </c>
      <c r="U25" s="1033">
        <v>1.0508494000000001E-3</v>
      </c>
      <c r="V25" s="1033">
        <v>5.4937279999999996E-4</v>
      </c>
      <c r="W25" s="1033">
        <v>5.6038012000000003E-4</v>
      </c>
      <c r="X25" s="1033">
        <v>5.5420401000000005E-4</v>
      </c>
      <c r="Y25" s="1033">
        <v>4.0394803000000003E-3</v>
      </c>
      <c r="Z25" s="1033">
        <v>1.4987409999999999E-4</v>
      </c>
      <c r="AA25" s="1033">
        <v>1.843983E-3</v>
      </c>
      <c r="AB25" s="1033">
        <v>1.6275685</v>
      </c>
      <c r="AC25" s="1033">
        <v>7.0288530000000002E-2</v>
      </c>
      <c r="AD25" s="1033">
        <v>1.7971852E-2</v>
      </c>
      <c r="AE25" s="1033">
        <v>9.1358231999999996E-5</v>
      </c>
      <c r="AF25" s="1033">
        <v>1.1438812</v>
      </c>
      <c r="AG25" s="1033">
        <v>0.98541951000000005</v>
      </c>
      <c r="AH25" s="1033">
        <v>3.7416682000000003E-4</v>
      </c>
      <c r="AI25" s="1033">
        <v>3.4253077999999999E-2</v>
      </c>
      <c r="AJ25" s="1034">
        <v>2.0768840999999998E-3</v>
      </c>
      <c r="AK25" s="1074">
        <v>0.33788116000000001</v>
      </c>
      <c r="AL25" s="1075">
        <v>1.7629476000000001E-9</v>
      </c>
      <c r="AM25" s="1075">
        <v>2.2083611999999999E-3</v>
      </c>
      <c r="AN25" s="1075">
        <v>4.5685716999999999E-4</v>
      </c>
      <c r="AO25" s="1075">
        <v>7.5113635999999998E-4</v>
      </c>
      <c r="AP25" s="1075">
        <v>5.0073688000000002E-3</v>
      </c>
      <c r="AQ25" s="1075">
        <v>1.5435340999999999E-4</v>
      </c>
      <c r="AR25" s="1075">
        <v>6.5181817000000003E-3</v>
      </c>
      <c r="AS25" s="1075">
        <v>1.5299521999999999E-2</v>
      </c>
      <c r="AT25" s="1075">
        <v>4.0879085000000001E-3</v>
      </c>
      <c r="AU25" s="1075">
        <v>1.1317721999999999E-3</v>
      </c>
      <c r="AV25" s="1075">
        <v>1.3636690999999999E-2</v>
      </c>
      <c r="AW25" s="1075">
        <v>0.98541729</v>
      </c>
      <c r="AX25" s="1075">
        <v>2.2155352E-6</v>
      </c>
      <c r="AY25" s="1075">
        <v>-1.6019407E-8</v>
      </c>
      <c r="AZ25" s="1075">
        <v>4.6564715000000002E-4</v>
      </c>
      <c r="BA25" s="1075">
        <v>3.5029666000000001E-2</v>
      </c>
      <c r="BB25" s="1076">
        <v>2.0826789E-3</v>
      </c>
      <c r="BC25" s="1035"/>
      <c r="BE25" s="99">
        <f t="array" ref="BE25">IFERROR(SUMIFS($CB25:$CW25,$CB$17:$CW$17,BE$17,$CB$18:$CW$18,BE$18)/SUMPRODUCT(($CB$18:$CW$18=BE$18)*ABS($CB25:$CW25)),"-")</f>
        <v>0.33760335742124448</v>
      </c>
      <c r="BF25" s="100">
        <f t="array" ref="BF25">IFERROR(SUMIFS($CB25:$CW25,$CB$17:$CW$17,BF$17,$CB$18:$CW$18,BF$18)/SUMPRODUCT(($CB$18:$CW$18=BF$18)*ABS($CB25:$CW25)),"-")</f>
        <v>4.4729286104309082E-3</v>
      </c>
      <c r="BG25" s="100">
        <f t="array" ref="BG25">IFERROR(SUMIFS($CB25:$CW25,$CB$17:$CW$17,BG$17,$CB$18:$CW$18,BG$18)/SUMPRODUCT(($CB$18:$CW$18=BG$18)*ABS($CB25:$CW25)),"-")</f>
        <v>9.5580144083331579E-6</v>
      </c>
      <c r="BH25" s="100">
        <f t="array" ref="BH25">IFERROR(SUMIFS($CB25:$CW25,$CB$17:$CW$17,BH$17,$CB$18:$CW$18,BH$18)/SUMPRODUCT(($CB$18:$CW$18=BH$18)*ABS($CB25:$CW25)),"-")</f>
        <v>5.3488075728965584E-4</v>
      </c>
      <c r="BI25" s="100">
        <f t="array" ref="BI25">IFERROR(SUMIFS($CB25:$CW25,$CB$17:$CW$17,BI$17,$CB$18:$CW$18,BI$18)/SUMPRODUCT(($CB$18:$CW$18=BI$18)*ABS($CB25:$CW25)),"-")</f>
        <v>0.37733342649320323</v>
      </c>
      <c r="BJ25" s="100">
        <f t="array" ref="BJ25">IFERROR(SUMIFS($CB25:$CW25,$CB$17:$CW$17,BJ$17,$CB$18:$CW$18,BJ$18)/SUMPRODUCT(($CB$18:$CW$18=BJ$18)*ABS($CB25:$CW25)),"-")</f>
        <v>3.2485896173029092E-4</v>
      </c>
      <c r="BK25" s="100">
        <f t="array" ref="BK25">IFERROR(SUMIFS($CB25:$CW25,$CB$17:$CW$17,BK$17,$CB$18:$CW$18,BK$18)/SUMPRODUCT(($CB$18:$CW$18=BK$18)*ABS($CB25:$CW25)),"-")</f>
        <v>0.27929743325326933</v>
      </c>
      <c r="BL25" s="100">
        <f t="array" ref="BL25">IFERROR(SUMIFS($CB25:$CW25,$CB$17:$CW$17,BL$17,$CB$18:$CW$18,BL$18)/SUMPRODUCT(($CB$18:$CW$18=BL$18)*ABS($CB25:$CW25)),"-")</f>
        <v>4.2355648842383735E-4</v>
      </c>
      <c r="BM25" s="101"/>
      <c r="BN25" s="100">
        <f t="array" ref="BN25">IFERROR(SUMIFS($CB25:$CW25,$CB$17:$CW$17,BN$17,$CB$18:$CW$18,BN$18)/SUMPRODUCT(($CB$18:$CW$18=BN$18)*ABS($CB25:$CW25)),"-")</f>
        <v>8.7936032691847743E-2</v>
      </c>
      <c r="BO25" s="100">
        <f t="array" ref="BO25">IFERROR(SUMIFS($CB25:$CW25,$CB$17:$CW$17,BO$17,$CB$18:$CW$18,BO$18)/SUMPRODUCT(($CB$18:$CW$18=BO$18)*ABS($CB25:$CW25)),"-")</f>
        <v>6.6116443211999198E-3</v>
      </c>
      <c r="BP25" s="100">
        <f t="array" ref="BP25">IFERROR(SUMIFS($CB25:$CW25,$CB$17:$CW$17,BP$17,$CB$18:$CW$18,BP$18)/SUMPRODUCT(($CB$18:$CW$18=BP$18)*ABS($CB25:$CW25)),"-")</f>
        <v>7.9319742773552984E-2</v>
      </c>
      <c r="BQ25" s="100">
        <f t="array" ref="BQ25">IFERROR(SUMIFS($CB25:$CW25,$CB$17:$CW$17,BQ$17,$CB$18:$CW$18,BQ$18)/SUMPRODUCT(($CB$18:$CW$18=BQ$18)*ABS($CB25:$CW25)),"-")</f>
        <v>9.3046571388509802E-3</v>
      </c>
      <c r="BR25" s="100">
        <f t="array" ref="BR25">IFERROR(SUMIFS($CB25:$CW25,$CB$17:$CW$17,BR$17,$CB$18:$CW$18,BR$18)/SUMPRODUCT(($CB$18:$CW$18=BR$18)*ABS($CB25:$CW25)),"-")</f>
        <v>2.8986645043782241E-4</v>
      </c>
      <c r="BS25" s="100">
        <f t="array" ref="BS25">IFERROR(SUMIFS($CB25:$CW25,$CB$17:$CW$17,BS$17,$CB$18:$CW$18,BS$18)/SUMPRODUCT(($CB$18:$CW$18=BS$18)*ABS($CB25:$CW25)),"-")</f>
        <v>1.716498105369759E-3</v>
      </c>
      <c r="BT25" s="100">
        <f t="array" ref="BT25">IFERROR(SUMIFS($CB25:$CW25,$CB$17:$CW$17,BT$17,$CB$18:$CW$18,BT$18)/SUMPRODUCT(($CB$18:$CW$18=BT$18)*ABS($CB25:$CW25)),"-")</f>
        <v>4.5189180167363712E-3</v>
      </c>
      <c r="BU25" s="100">
        <f t="array" ref="BU25">IFERROR(SUMIFS($CB25:$CW25,$CB$17:$CW$17,BU$17,$CB$18:$CW$18,BU$18)/SUMPRODUCT(($CB$18:$CW$18=BU$18)*ABS($CB25:$CW25)),"-")</f>
        <v>1.7450837678233309E-4</v>
      </c>
      <c r="BV25" s="100">
        <f t="array" ref="BV25">IFERROR(SUMIFS($CB25:$CW25,$CB$17:$CW$17,BV$17,$CB$18:$CW$18,BV$18)/SUMPRODUCT(($CB$18:$CW$18=BV$18)*ABS($CB25:$CW25)),"-")</f>
        <v>0.8096415278108039</v>
      </c>
      <c r="BW25" s="100">
        <f t="array" ref="BW25">IFERROR(SUMIFS($CB25:$CW25,$CB$17:$CW$17,BW$17,$CB$18:$CW$18,BW$18)/SUMPRODUCT(($CB$18:$CW$18=BW$18)*ABS($CB25:$CW25)),"-")</f>
        <v>4.8660431441814356E-4</v>
      </c>
      <c r="BX25" s="101"/>
      <c r="BY25" s="100">
        <f t="array" ref="BY25">IFERROR(SUMIFS($CB25:$CW25,$CB$17:$CW$17,BY$17,$CB$18:$CW$18,BY$18)/SUMPRODUCT(($CB$18:$CW$18=BY$18)*ABS($CB25:$CW25)),"-")</f>
        <v>6.3766284229553527E-3</v>
      </c>
      <c r="BZ25" s="102">
        <f t="array" ref="BZ25">IFERROR(SUMIFS($CB25:$CW25,$CB$17:$CW$17,BZ$17,$CB$18:$CW$18,BZ$18)/SUMPRODUCT(($CB$18:$CW$18=BZ$18)*ABS($CB25:$CW25)),"-")</f>
        <v>0.99362337157704461</v>
      </c>
      <c r="CB25" s="103">
        <v>3.1541225E-7</v>
      </c>
      <c r="CC25" s="97">
        <v>9.5037793000000006E-10</v>
      </c>
      <c r="CD25" s="97">
        <v>2.5975464999999999E-14</v>
      </c>
      <c r="CE25" s="97">
        <v>4.1789171999999998E-9</v>
      </c>
      <c r="CF25" s="97">
        <v>8.9297537000000001E-12</v>
      </c>
      <c r="CG25" s="97">
        <v>4.9972235000000003E-10</v>
      </c>
      <c r="CH25" s="97">
        <v>3.5253081000000002E-7</v>
      </c>
      <c r="CI25" s="97">
        <v>7.1457995000000004E-11</v>
      </c>
      <c r="CJ25" s="97">
        <v>8.5727990000000003E-10</v>
      </c>
      <c r="CK25" s="97">
        <v>1.0056381E-10</v>
      </c>
      <c r="CL25" s="97">
        <v>3.1328477999999999E-12</v>
      </c>
      <c r="CM25" s="97">
        <v>1.8551741E-11</v>
      </c>
      <c r="CN25" s="97">
        <v>4.8840017E-11</v>
      </c>
      <c r="CO25" s="97">
        <v>1.8860691999999998E-12</v>
      </c>
      <c r="CP25" s="97">
        <v>3.0350555999999999E-10</v>
      </c>
      <c r="CQ25" s="97">
        <v>2.6093885000000002E-7</v>
      </c>
      <c r="CR25" s="97">
        <v>8.7505251999999993E-9</v>
      </c>
      <c r="CS25" s="97">
        <v>8.6492335000000001E-5</v>
      </c>
      <c r="CT25" s="97">
        <v>1.3477467999999999E-2</v>
      </c>
      <c r="CU25" s="97">
        <v>3.9571557000000002E-10</v>
      </c>
      <c r="CV25" s="97">
        <v>5.2591016999999998E-12</v>
      </c>
      <c r="CW25" s="98">
        <v>6.9389282000000001E-17</v>
      </c>
    </row>
    <row r="26" spans="2:123" ht="12" customHeight="1" outlineLevel="1" x14ac:dyDescent="0.2">
      <c r="B26" s="104" t="s">
        <v>97</v>
      </c>
      <c r="C26" s="104" t="s">
        <v>121</v>
      </c>
      <c r="D26" s="2" t="s">
        <v>132</v>
      </c>
      <c r="E26" s="2" t="s">
        <v>134</v>
      </c>
      <c r="F26" s="105" t="s">
        <v>122</v>
      </c>
      <c r="G26" s="27" t="s">
        <v>1579</v>
      </c>
      <c r="H26" s="106" t="s">
        <v>128</v>
      </c>
      <c r="I26" s="107" t="s">
        <v>129</v>
      </c>
      <c r="J26" s="108">
        <v>4.0702721800000008</v>
      </c>
      <c r="K26" s="109"/>
      <c r="L26" s="109"/>
      <c r="M26" s="110"/>
      <c r="N26" s="161"/>
      <c r="O26" s="1056"/>
      <c r="P26" s="117">
        <v>2.3687331751269998E-7</v>
      </c>
      <c r="Q26" s="111">
        <v>1.2173706430502284E-8</v>
      </c>
      <c r="R26" s="112">
        <v>7.8308638980000012E-3</v>
      </c>
      <c r="S26" s="1032">
        <v>0.15972758000000001</v>
      </c>
      <c r="T26" s="1032">
        <v>2.2169147999999998E-6</v>
      </c>
      <c r="U26" s="1032">
        <v>5.6712831999999999E-4</v>
      </c>
      <c r="V26" s="1032">
        <v>4.6595253E-4</v>
      </c>
      <c r="W26" s="1032">
        <v>1.4639836999999999E-4</v>
      </c>
      <c r="X26" s="1032">
        <v>4.7117577000000001E-4</v>
      </c>
      <c r="Y26" s="1032">
        <v>7.1799346999999996E-4</v>
      </c>
      <c r="Z26" s="1032">
        <v>1.3251155E-5</v>
      </c>
      <c r="AA26" s="1032">
        <v>9.2592176000000001E-4</v>
      </c>
      <c r="AB26" s="1032">
        <v>1.1702361999999999E-2</v>
      </c>
      <c r="AC26" s="1032">
        <v>5.4661512000000003E-4</v>
      </c>
      <c r="AD26" s="1032">
        <v>7.9974061999999997E-4</v>
      </c>
      <c r="AE26" s="1032">
        <v>2.5679094E-5</v>
      </c>
      <c r="AF26" s="1032">
        <v>-2.4552845E-2</v>
      </c>
      <c r="AG26" s="1032">
        <v>1.2946295000000001</v>
      </c>
      <c r="AH26" s="1032">
        <v>4.9384485E-5</v>
      </c>
      <c r="AI26" s="1032">
        <v>1.8186207999999999E-2</v>
      </c>
      <c r="AJ26" s="1036">
        <v>2.6665905000000001E-3</v>
      </c>
      <c r="AK26" s="1077">
        <v>0.15908264999999999</v>
      </c>
      <c r="AL26" s="1078">
        <v>9.5126973E-10</v>
      </c>
      <c r="AM26" s="1078">
        <v>1.1629163000000001E-3</v>
      </c>
      <c r="AN26" s="1078">
        <v>5.1455912E-4</v>
      </c>
      <c r="AO26" s="1078">
        <v>2.2504445E-4</v>
      </c>
      <c r="AP26" s="1078">
        <v>9.3555264000000002E-4</v>
      </c>
      <c r="AQ26" s="1078">
        <v>1.6264376000000001E-5</v>
      </c>
      <c r="AR26" s="1078">
        <v>3.2153029000000001E-3</v>
      </c>
      <c r="AS26" s="1078">
        <v>9.5795657999999993E-6</v>
      </c>
      <c r="AT26" s="1078">
        <v>7.1305435000000006E-5</v>
      </c>
      <c r="AU26" s="1078">
        <v>7.4060866000000001E-5</v>
      </c>
      <c r="AV26" s="1078">
        <v>-1.0945326999999999E-2</v>
      </c>
      <c r="AW26" s="1078">
        <v>1.2946291000000001</v>
      </c>
      <c r="AX26" s="1078">
        <v>3.9782543999999999E-7</v>
      </c>
      <c r="AY26" s="1078">
        <v>-2.7341305000000001E-9</v>
      </c>
      <c r="AZ26" s="1078">
        <v>5.6792693000000003E-4</v>
      </c>
      <c r="BA26" s="1078">
        <v>1.9099219000000001E-2</v>
      </c>
      <c r="BB26" s="1079">
        <v>2.6676006999999998E-3</v>
      </c>
      <c r="BC26" s="1035"/>
      <c r="BE26" s="113">
        <f t="array" ref="BE26">IFERROR(SUMIFS($CB26:$CW26,$CB$17:$CW$17,BE$17,$CB$18:$CW$18,BE$18)/SUMPRODUCT(($CB$18:$CW$18=BE$18)*ABS($CB26:$CW26)),"-")</f>
        <v>0.59790164603825391</v>
      </c>
      <c r="BF26" s="114">
        <f t="array" ref="BF26">IFERROR(SUMIFS($CB26:$CW26,$CB$17:$CW$17,BF$17,$CB$18:$CW$18,BF$18)/SUMPRODUCT(($CB$18:$CW$18=BF$18)*ABS($CB26:$CW26)),"-")</f>
        <v>4.7445147681512995E-3</v>
      </c>
      <c r="BG26" s="114">
        <f t="array" ref="BG26">IFERROR(SUMIFS($CB26:$CW26,$CB$17:$CW$17,BG$17,$CB$18:$CW$18,BG$18)/SUMPRODUCT(($CB$18:$CW$18=BG$18)*ABS($CB26:$CW26)),"-")</f>
        <v>1.942695056566566E-5</v>
      </c>
      <c r="BH26" s="114">
        <f t="array" ref="BH26">IFERROR(SUMIFS($CB26:$CW26,$CB$17:$CW$17,BH$17,$CB$18:$CW$18,BH$18)/SUMPRODUCT(($CB$18:$CW$18=BH$18)*ABS($CB26:$CW26)),"-")</f>
        <v>1.7092856131827917E-3</v>
      </c>
      <c r="BI26" s="114">
        <f t="array" ref="BI26">IFERROR(SUMIFS($CB26:$CW26,$CB$17:$CW$17,BI$17,$CB$18:$CW$18,BI$18)/SUMPRODUCT(($CB$18:$CW$18=BI$18)*ABS($CB26:$CW26)),"-")</f>
        <v>0.37118036837198343</v>
      </c>
      <c r="BJ26" s="114">
        <f t="array" ref="BJ26">IFERROR(SUMIFS($CB26:$CW26,$CB$17:$CW$17,BJ$17,$CB$18:$CW$18,BJ$18)/SUMPRODUCT(($CB$18:$CW$18=BJ$18)*ABS($CB26:$CW26)),"-")</f>
        <v>3.4365647702882455E-4</v>
      </c>
      <c r="BK26" s="114">
        <f t="array" ref="BK26">IFERROR(SUMIFS($CB26:$CW26,$CB$17:$CW$17,BK$17,$CB$18:$CW$18,BK$18)/SUMPRODUCT(($CB$18:$CW$18=BK$18)*ABS($CB26:$CW26)),"-")</f>
        <v>-2.257096227880279E-2</v>
      </c>
      <c r="BL26" s="114">
        <f t="array" ref="BL26">IFERROR(SUMIFS($CB26:$CW26,$CB$17:$CW$17,BL$17,$CB$18:$CW$18,BL$18)/SUMPRODUCT(($CB$18:$CW$18=BL$18)*ABS($CB26:$CW26)),"-")</f>
        <v>1.5301395020312599E-3</v>
      </c>
      <c r="BM26" s="115"/>
      <c r="BN26" s="114">
        <f t="array" ref="BN26">IFERROR(SUMIFS($CB26:$CW26,$CB$17:$CW$17,BN$17,$CB$18:$CW$18,BN$18)/SUMPRODUCT(($CB$18:$CW$18=BN$18)*ABS($CB26:$CW26)),"-")</f>
        <v>3.6732352816770682E-2</v>
      </c>
      <c r="BO26" s="114">
        <f t="array" ref="BO26">IFERROR(SUMIFS($CB26:$CW26,$CB$17:$CW$17,BO$17,$CB$18:$CW$18,BO$18)/SUMPRODUCT(($CB$18:$CW$18=BO$18)*ABS($CB26:$CW26)),"-")</f>
        <v>4.9928514661489306E-3</v>
      </c>
      <c r="BP26" s="114">
        <f t="array" ref="BP26">IFERROR(SUMIFS($CB26:$CW26,$CB$17:$CW$17,BP$17,$CB$18:$CW$18,BP$18)/SUMPRODUCT(($CB$18:$CW$18=BP$18)*ABS($CB26:$CW26)),"-")</f>
        <v>1.2512950009893983E-2</v>
      </c>
      <c r="BQ26" s="114">
        <f t="array" ref="BQ26">IFERROR(SUMIFS($CB26:$CW26,$CB$17:$CW$17,BQ$17,$CB$18:$CW$18,BQ$18)/SUMPRODUCT(($CB$18:$CW$18=BQ$18)*ABS($CB26:$CW26)),"-")</f>
        <v>7.3029269686711068E-4</v>
      </c>
      <c r="BR26" s="114">
        <f t="array" ref="BR26">IFERROR(SUMIFS($CB26:$CW26,$CB$17:$CW$17,BR$17,$CB$18:$CW$18,BR$18)/SUMPRODUCT(($CB$18:$CW$18=BR$18)*ABS($CB26:$CW26)),"-")</f>
        <v>1.292212284714257E-4</v>
      </c>
      <c r="BS26" s="114">
        <f t="array" ref="BS26">IFERROR(SUMIFS($CB26:$CW26,$CB$17:$CW$17,BS$17,$CB$18:$CW$18,BS$18)/SUMPRODUCT(($CB$18:$CW$18=BS$18)*ABS($CB26:$CW26)),"-")</f>
        <v>1.0954856744849033E-5</v>
      </c>
      <c r="BT26" s="114">
        <f t="array" ref="BT26">IFERROR(SUMIFS($CB26:$CW26,$CB$17:$CW$17,BT$17,$CB$18:$CW$18,BT$18)/SUMPRODUCT(($CB$18:$CW$18=BT$18)*ABS($CB26:$CW26)),"-")</f>
        <v>3.106796867159175E-5</v>
      </c>
      <c r="BU26" s="114">
        <f t="array" ref="BU26">IFERROR(SUMIFS($CB26:$CW26,$CB$17:$CW$17,BU$17,$CB$18:$CW$18,BU$18)/SUMPRODUCT(($CB$18:$CW$18=BU$18)*ABS($CB26:$CW26)),"-")</f>
        <v>6.9001091392783143E-6</v>
      </c>
      <c r="BV26" s="114">
        <f t="array" ref="BV26">IFERROR(SUMIFS($CB26:$CW26,$CB$17:$CW$17,BV$17,$CB$18:$CW$18,BV$18)/SUMPRODUCT(($CB$18:$CW$18=BV$18)*ABS($CB26:$CW26)),"-")</f>
        <v>0.94435577739865584</v>
      </c>
      <c r="BW26" s="114">
        <f t="array" ref="BW26">IFERROR(SUMIFS($CB26:$CW26,$CB$17:$CW$17,BW$17,$CB$18:$CW$18,BW$18)/SUMPRODUCT(($CB$18:$CW$18=BW$18)*ABS($CB26:$CW26)),"-")</f>
        <v>4.9763144863639096E-4</v>
      </c>
      <c r="BX26" s="115"/>
      <c r="BY26" s="114">
        <f t="array" ref="BY26">IFERROR(SUMIFS($CB26:$CW26,$CB$17:$CW$17,BY$17,$CB$18:$CW$18,BY$18)/SUMPRODUCT(($CB$18:$CW$18=BY$18)*ABS($CB26:$CW26)),"-")</f>
        <v>1.458012570352043E-3</v>
      </c>
      <c r="BZ26" s="116">
        <f t="array" ref="BZ26">IFERROR(SUMIFS($CB26:$CW26,$CB$17:$CW$17,BZ$17,$CB$18:$CW$18,BZ$18)/SUMPRODUCT(($CB$18:$CW$18=BZ$18)*ABS($CB26:$CW26)),"-")</f>
        <v>0.99854198742964795</v>
      </c>
      <c r="CB26" s="117">
        <v>1.4832250999999999E-7</v>
      </c>
      <c r="CC26" s="111">
        <v>4.4715665999999999E-10</v>
      </c>
      <c r="CD26" s="111">
        <v>1.2219693000000001E-14</v>
      </c>
      <c r="CE26" s="111">
        <v>1.1769801E-9</v>
      </c>
      <c r="CF26" s="111">
        <v>4.8192776999999999E-12</v>
      </c>
      <c r="CG26" s="111">
        <v>4.2402548000000001E-10</v>
      </c>
      <c r="CH26" s="111">
        <v>9.2079365000000001E-8</v>
      </c>
      <c r="CI26" s="111">
        <v>6.0781508E-11</v>
      </c>
      <c r="CJ26" s="111">
        <v>1.5232898000000001E-10</v>
      </c>
      <c r="CK26" s="111">
        <v>8.8903689000000008E-12</v>
      </c>
      <c r="CL26" s="111">
        <v>1.5731013E-12</v>
      </c>
      <c r="CM26" s="111">
        <v>1.3336121E-13</v>
      </c>
      <c r="CN26" s="111">
        <v>3.7821232999999998E-13</v>
      </c>
      <c r="CO26" s="111">
        <v>8.3999902999999994E-14</v>
      </c>
      <c r="CP26" s="111">
        <v>8.5251465000000002E-11</v>
      </c>
      <c r="CQ26" s="111">
        <v>-5.5992182000000003E-9</v>
      </c>
      <c r="CR26" s="111">
        <v>1.149631E-8</v>
      </c>
      <c r="CS26" s="111">
        <v>1.1417498E-5</v>
      </c>
      <c r="CT26" s="111">
        <v>7.8194464000000009E-3</v>
      </c>
      <c r="CU26" s="111">
        <v>3.7958439000000001E-10</v>
      </c>
      <c r="CV26" s="111">
        <v>6.0579662000000001E-12</v>
      </c>
      <c r="CW26" s="112">
        <v>5.2966284999999998E-17</v>
      </c>
    </row>
    <row r="27" spans="2:123" ht="12" customHeight="1" outlineLevel="1" x14ac:dyDescent="0.2">
      <c r="B27" s="104" t="s">
        <v>97</v>
      </c>
      <c r="C27" s="104" t="s">
        <v>121</v>
      </c>
      <c r="D27" s="2" t="s">
        <v>132</v>
      </c>
      <c r="E27" s="2" t="s">
        <v>134</v>
      </c>
      <c r="F27" s="105" t="s">
        <v>93</v>
      </c>
      <c r="G27" s="27" t="s">
        <v>1578</v>
      </c>
      <c r="H27" s="106" t="s">
        <v>130</v>
      </c>
      <c r="I27" s="107" t="s">
        <v>129</v>
      </c>
      <c r="J27" s="108">
        <v>4.0702721800000008</v>
      </c>
      <c r="K27" s="109"/>
      <c r="L27" s="109"/>
      <c r="M27" s="110"/>
      <c r="N27" s="161"/>
      <c r="O27" s="1056"/>
      <c r="P27" s="117">
        <v>3.165268807191E-7</v>
      </c>
      <c r="Q27" s="111">
        <v>1.5224595375961297E-8</v>
      </c>
      <c r="R27" s="112">
        <v>9.7933764660000002E-3</v>
      </c>
      <c r="S27" s="1032">
        <v>0.19975730999999999</v>
      </c>
      <c r="T27" s="1032">
        <v>2.7725014000000001E-6</v>
      </c>
      <c r="U27" s="1032">
        <v>7.0925779000000002E-4</v>
      </c>
      <c r="V27" s="1032">
        <v>5.8272608E-4</v>
      </c>
      <c r="W27" s="1032">
        <v>1.8308762999999999E-4</v>
      </c>
      <c r="X27" s="1032">
        <v>5.8925831999999997E-4</v>
      </c>
      <c r="Y27" s="1032">
        <v>8.9793163000000001E-4</v>
      </c>
      <c r="Z27" s="1032">
        <v>1.6572060000000001E-5</v>
      </c>
      <c r="AA27" s="1032">
        <v>1.1579693999999999E-3</v>
      </c>
      <c r="AB27" s="1032">
        <v>1.4635120999999999E-2</v>
      </c>
      <c r="AC27" s="1032">
        <v>6.9115188000000004E-4</v>
      </c>
      <c r="AD27" s="1032">
        <v>1.0064417000000001E-3</v>
      </c>
      <c r="AE27" s="1032">
        <v>3.9669078999999999E-5</v>
      </c>
      <c r="AF27" s="1032">
        <v>5.8131809999999999E-2</v>
      </c>
      <c r="AG27" s="1032">
        <v>1.6190799</v>
      </c>
      <c r="AH27" s="1032">
        <v>6.1760855000000004E-5</v>
      </c>
      <c r="AI27" s="1032">
        <v>2.2743900000000001E-2</v>
      </c>
      <c r="AJ27" s="1036">
        <v>3.3348714999999998E-3</v>
      </c>
      <c r="AK27" s="1077">
        <v>0.19895076</v>
      </c>
      <c r="AL27" s="1078">
        <v>1.1896698E-9</v>
      </c>
      <c r="AM27" s="1078">
        <v>1.4543576000000001E-3</v>
      </c>
      <c r="AN27" s="1078">
        <v>6.4351407999999998E-4</v>
      </c>
      <c r="AO27" s="1078">
        <v>2.8144341000000002E-4</v>
      </c>
      <c r="AP27" s="1078">
        <v>1.1700139E-3</v>
      </c>
      <c r="AQ27" s="1078">
        <v>2.0340432E-5</v>
      </c>
      <c r="AR27" s="1078">
        <v>4.0210981000000003E-3</v>
      </c>
      <c r="AS27" s="1078">
        <v>1.6878464999999999E-5</v>
      </c>
      <c r="AT27" s="1078">
        <v>8.9545491999999997E-5</v>
      </c>
      <c r="AU27" s="1078">
        <v>9.2827009000000002E-5</v>
      </c>
      <c r="AV27" s="1078">
        <v>-9.5680994000000002E-3</v>
      </c>
      <c r="AW27" s="1078">
        <v>1.6190793999999999</v>
      </c>
      <c r="AX27" s="1078">
        <v>4.9752548E-7</v>
      </c>
      <c r="AY27" s="1078">
        <v>-3.4193378E-9</v>
      </c>
      <c r="AZ27" s="1078">
        <v>7.1025654000000005E-4</v>
      </c>
      <c r="BA27" s="1078">
        <v>2.3885723000000001E-2</v>
      </c>
      <c r="BB27" s="1079">
        <v>3.3361348E-3</v>
      </c>
      <c r="BC27" s="1035"/>
      <c r="BE27" s="113">
        <f t="array" ref="BE27">IFERROR(SUMIFS($CB27:$CW27,$CB$17:$CW$17,BE$17,$CB$18:$CW$18,BE$18)/SUMPRODUCT(($CB$18:$CW$18=BE$18)*ABS($CB27:$CW27)),"-")</f>
        <v>0.58602918519459202</v>
      </c>
      <c r="BF27" s="114">
        <f t="array" ref="BF27">IFERROR(SUMIFS($CB27:$CW27,$CB$17:$CW$17,BF$17,$CB$18:$CW$18,BF$18)/SUMPRODUCT(($CB$18:$CW$18=BF$18)*ABS($CB27:$CW27)),"-")</f>
        <v>4.6503036224157853E-3</v>
      </c>
      <c r="BG27" s="114">
        <f t="array" ref="BG27">IFERROR(SUMIFS($CB27:$CW27,$CB$17:$CW$17,BG$17,$CB$18:$CW$18,BG$18)/SUMPRODUCT(($CB$18:$CW$18=BG$18)*ABS($CB27:$CW27)),"-")</f>
        <v>1.9041191971776548E-5</v>
      </c>
      <c r="BH27" s="114">
        <f t="array" ref="BH27">IFERROR(SUMIFS($CB27:$CW27,$CB$17:$CW$17,BH$17,$CB$18:$CW$18,BH$18)/SUMPRODUCT(($CB$18:$CW$18=BH$18)*ABS($CB27:$CW27)),"-")</f>
        <v>1.6753445356528956E-3</v>
      </c>
      <c r="BI27" s="114">
        <f t="array" ref="BI27">IFERROR(SUMIFS($CB27:$CW27,$CB$17:$CW$17,BI$17,$CB$18:$CW$18,BI$18)/SUMPRODUCT(($CB$18:$CW$18=BI$18)*ABS($CB27:$CW27)),"-")</f>
        <v>0.36380989108534578</v>
      </c>
      <c r="BJ27" s="114">
        <f t="array" ref="BJ27">IFERROR(SUMIFS($CB27:$CW27,$CB$17:$CW$17,BJ$17,$CB$18:$CW$18,BJ$18)/SUMPRODUCT(($CB$18:$CW$18=BJ$18)*ABS($CB27:$CW27)),"-")</f>
        <v>4.1623005193331119E-4</v>
      </c>
      <c r="BK27" s="114">
        <f t="array" ref="BK27">IFERROR(SUMIFS($CB27:$CW27,$CB$17:$CW$17,BK$17,$CB$18:$CW$18,BK$18)/SUMPRODUCT(($CB$18:$CW$18=BK$18)*ABS($CB27:$CW27)),"-")</f>
        <v>4.1900248629340837E-2</v>
      </c>
      <c r="BL27" s="114">
        <f t="array" ref="BL27">IFERROR(SUMIFS($CB27:$CW27,$CB$17:$CW$17,BL$17,$CB$18:$CW$18,BL$18)/SUMPRODUCT(($CB$18:$CW$18=BL$18)*ABS($CB27:$CW27)),"-")</f>
        <v>1.4997556887475897E-3</v>
      </c>
      <c r="BM27" s="115"/>
      <c r="BN27" s="114">
        <f t="array" ref="BN27">IFERROR(SUMIFS($CB27:$CW27,$CB$17:$CW$17,BN$17,$CB$18:$CW$18,BN$18)/SUMPRODUCT(($CB$18:$CW$18=BN$18)*ABS($CB27:$CW27)),"-")</f>
        <v>3.6732339237336827E-2</v>
      </c>
      <c r="BO27" s="114">
        <f t="array" ref="BO27">IFERROR(SUMIFS($CB27:$CW27,$CB$17:$CW$17,BO$17,$CB$18:$CW$18,BO$18)/SUMPRODUCT(($CB$18:$CW$18=BO$18)*ABS($CB27:$CW27)),"-")</f>
        <v>4.9928496043987894E-3</v>
      </c>
      <c r="BP27" s="114">
        <f t="array" ref="BP27">IFERROR(SUMIFS($CB27:$CW27,$CB$17:$CW$17,BP$17,$CB$18:$CW$18,BP$18)/SUMPRODUCT(($CB$18:$CW$18=BP$18)*ABS($CB27:$CW27)),"-")</f>
        <v>1.2512946012397479E-2</v>
      </c>
      <c r="BQ27" s="114">
        <f t="array" ref="BQ27">IFERROR(SUMIFS($CB27:$CW27,$CB$17:$CW$17,BQ$17,$CB$18:$CW$18,BQ$18)/SUMPRODUCT(($CB$18:$CW$18=BQ$18)*ABS($CB27:$CW27)),"-")</f>
        <v>7.3029244623179176E-4</v>
      </c>
      <c r="BR27" s="114">
        <f t="array" ref="BR27">IFERROR(SUMIFS($CB27:$CW27,$CB$17:$CW$17,BR$17,$CB$18:$CW$18,BR$18)/SUMPRODUCT(($CB$18:$CW$18=BR$18)*ABS($CB27:$CW27)),"-")</f>
        <v>1.2922118134622545E-4</v>
      </c>
      <c r="BS27" s="114">
        <f t="array" ref="BS27">IFERROR(SUMIFS($CB27:$CW27,$CB$17:$CW$17,BS$17,$CB$18:$CW$18,BS$18)/SUMPRODUCT(($CB$18:$CW$18=BS$18)*ABS($CB27:$CW27)),"-")</f>
        <v>1.0954852058882328E-5</v>
      </c>
      <c r="BT27" s="114">
        <f t="array" ref="BT27">IFERROR(SUMIFS($CB27:$CW27,$CB$17:$CW$17,BT$17,$CB$18:$CW$18,BT$18)/SUMPRODUCT(($CB$18:$CW$18=BT$18)*ABS($CB27:$CW27)),"-")</f>
        <v>3.1412550428441402E-5</v>
      </c>
      <c r="BU27" s="114">
        <f t="array" ref="BU27">IFERROR(SUMIFS($CB27:$CW27,$CB$17:$CW$17,BU$17,$CB$18:$CW$18,BU$18)/SUMPRODUCT(($CB$18:$CW$18=BU$18)*ABS($CB27:$CW27)),"-")</f>
        <v>6.943393725058216E-6</v>
      </c>
      <c r="BV27" s="114">
        <f t="array" ref="BV27">IFERROR(SUMIFS($CB27:$CW27,$CB$17:$CW$17,BV$17,$CB$18:$CW$18,BV$18)/SUMPRODUCT(($CB$18:$CW$18=BV$18)*ABS($CB27:$CW27)),"-")</f>
        <v>0.94435540945154306</v>
      </c>
      <c r="BW27" s="114">
        <f t="array" ref="BW27">IFERROR(SUMIFS($CB27:$CW27,$CB$17:$CW$17,BW$17,$CB$18:$CW$18,BW$18)/SUMPRODUCT(($CB$18:$CW$18=BW$18)*ABS($CB27:$CW27)),"-")</f>
        <v>4.9763127053362676E-4</v>
      </c>
      <c r="BX27" s="115"/>
      <c r="BY27" s="114">
        <f t="array" ref="BY27">IFERROR(SUMIFS($CB27:$CW27,$CB$17:$CW$17,BY$17,$CB$18:$CW$18,BY$18)/SUMPRODUCT(($CB$18:$CW$18=BY$18)*ABS($CB27:$CW27)),"-")</f>
        <v>1.4580125710037214E-3</v>
      </c>
      <c r="BZ27" s="116">
        <f t="array" ref="BZ27">IFERROR(SUMIFS($CB27:$CW27,$CB$17:$CW$17,BZ$17,$CB$18:$CW$18,BZ$18)/SUMPRODUCT(($CB$18:$CW$18=BZ$18)*ABS($CB27:$CW27)),"-")</f>
        <v>0.99854198742899625</v>
      </c>
      <c r="CB27" s="117">
        <v>1.8549399E-7</v>
      </c>
      <c r="CC27" s="111">
        <v>5.5921971999999995E-10</v>
      </c>
      <c r="CD27" s="111">
        <v>1.5282100999999999E-14</v>
      </c>
      <c r="CE27" s="111">
        <v>1.4719461000000001E-9</v>
      </c>
      <c r="CF27" s="111">
        <v>6.0270491000000001E-12</v>
      </c>
      <c r="CG27" s="111">
        <v>5.3029158000000004E-10</v>
      </c>
      <c r="CH27" s="111">
        <v>1.1515561E-7</v>
      </c>
      <c r="CI27" s="111">
        <v>7.6014114999999995E-11</v>
      </c>
      <c r="CJ27" s="111">
        <v>1.9050454E-10</v>
      </c>
      <c r="CK27" s="111">
        <v>1.1118407000000001E-11</v>
      </c>
      <c r="CL27" s="111">
        <v>1.9673402000000001E-12</v>
      </c>
      <c r="CM27" s="111">
        <v>1.6678318999999999E-13</v>
      </c>
      <c r="CN27" s="111">
        <v>4.7824336999999998E-13</v>
      </c>
      <c r="CO27" s="111">
        <v>1.0571036E-13</v>
      </c>
      <c r="CP27" s="111">
        <v>1.3174799999999999E-10</v>
      </c>
      <c r="CQ27" s="111">
        <v>1.3262555E-8</v>
      </c>
      <c r="CR27" s="111">
        <v>1.4377429E-8</v>
      </c>
      <c r="CS27" s="111">
        <v>1.4278866E-5</v>
      </c>
      <c r="CT27" s="111">
        <v>9.7790975999999998E-3</v>
      </c>
      <c r="CU27" s="111">
        <v>4.7471298999999999E-10</v>
      </c>
      <c r="CV27" s="111">
        <v>7.5761684999999996E-12</v>
      </c>
      <c r="CW27" s="112">
        <v>6.62403E-17</v>
      </c>
    </row>
    <row r="28" spans="2:123" ht="12" customHeight="1" outlineLevel="1" x14ac:dyDescent="0.2">
      <c r="B28" s="104" t="s">
        <v>97</v>
      </c>
      <c r="C28" s="104" t="s">
        <v>121</v>
      </c>
      <c r="D28" s="2" t="s">
        <v>132</v>
      </c>
      <c r="E28" s="2" t="s">
        <v>134</v>
      </c>
      <c r="F28" s="105" t="s">
        <v>94</v>
      </c>
      <c r="G28" s="27" t="s">
        <v>1580</v>
      </c>
      <c r="H28" s="106" t="s">
        <v>131</v>
      </c>
      <c r="I28" s="107" t="s">
        <v>129</v>
      </c>
      <c r="J28" s="108">
        <v>4.0702721800000008</v>
      </c>
      <c r="K28" s="109"/>
      <c r="L28" s="109"/>
      <c r="M28" s="110"/>
      <c r="N28" s="161"/>
      <c r="O28" s="1056"/>
      <c r="P28" s="117">
        <v>1.8381139694590002E-7</v>
      </c>
      <c r="Q28" s="111">
        <v>1.0141280774218473E-8</v>
      </c>
      <c r="R28" s="112">
        <v>6.5234874263000002E-3</v>
      </c>
      <c r="S28" s="1032">
        <v>0.13306077999999999</v>
      </c>
      <c r="T28" s="1032">
        <v>1.846797E-6</v>
      </c>
      <c r="U28" s="1032">
        <v>4.7244525999999998E-4</v>
      </c>
      <c r="V28" s="1032">
        <v>3.8816094000000001E-4</v>
      </c>
      <c r="W28" s="1032">
        <v>1.219569E-4</v>
      </c>
      <c r="X28" s="1032">
        <v>3.9251215000000002E-4</v>
      </c>
      <c r="Y28" s="1032">
        <v>5.9812319999999995E-4</v>
      </c>
      <c r="Z28" s="1032">
        <v>1.1038851E-5</v>
      </c>
      <c r="AA28" s="1032">
        <v>7.7133750000000004E-4</v>
      </c>
      <c r="AB28" s="1032">
        <v>9.7486324000000003E-3</v>
      </c>
      <c r="AC28" s="1032">
        <v>4.5032884000000001E-4</v>
      </c>
      <c r="AD28" s="1032">
        <v>6.6204193999999997E-4</v>
      </c>
      <c r="AE28" s="1032">
        <v>1.6359791000000001E-5</v>
      </c>
      <c r="AF28" s="1032">
        <v>-7.9629717000000003E-2</v>
      </c>
      <c r="AG28" s="1032">
        <v>1.0784887999999999</v>
      </c>
      <c r="AH28" s="1032">
        <v>4.1139659000000003E-5</v>
      </c>
      <c r="AI28" s="1032">
        <v>1.5149989000000001E-2</v>
      </c>
      <c r="AJ28" s="1036">
        <v>2.2213985E-3</v>
      </c>
      <c r="AK28" s="1077">
        <v>0.13252352000000001</v>
      </c>
      <c r="AL28" s="1078">
        <v>7.9245358000000001E-10</v>
      </c>
      <c r="AM28" s="1078">
        <v>9.6876535000000002E-4</v>
      </c>
      <c r="AN28" s="1078">
        <v>4.2865257000000001E-4</v>
      </c>
      <c r="AO28" s="1078">
        <v>1.8747288E-4</v>
      </c>
      <c r="AP28" s="1078">
        <v>7.7936048999999999E-4</v>
      </c>
      <c r="AQ28" s="1078">
        <v>1.3549009999999999E-5</v>
      </c>
      <c r="AR28" s="1078">
        <v>2.6785023999999998E-3</v>
      </c>
      <c r="AS28" s="1078">
        <v>4.7175295999999999E-6</v>
      </c>
      <c r="AT28" s="1078">
        <v>5.9154390999999999E-5</v>
      </c>
      <c r="AU28" s="1078">
        <v>6.1559348000000003E-5</v>
      </c>
      <c r="AV28" s="1078">
        <v>-1.1862543999999999E-2</v>
      </c>
      <c r="AW28" s="1078">
        <v>1.0784885</v>
      </c>
      <c r="AX28" s="1078">
        <v>3.3140779E-7</v>
      </c>
      <c r="AY28" s="1078">
        <v>-2.2776626000000002E-9</v>
      </c>
      <c r="AZ28" s="1078">
        <v>4.7311054000000001E-4</v>
      </c>
      <c r="BA28" s="1078">
        <v>1.5910570999999998E-2</v>
      </c>
      <c r="BB28" s="1079">
        <v>2.2222400999999999E-3</v>
      </c>
      <c r="BC28" s="1035"/>
      <c r="BE28" s="113">
        <f t="array" ref="BE28">IFERROR(SUMIFS($CB28:$CW28,$CB$17:$CW$17,BE$17,$CB$18:$CW$18,BE$18)/SUMPRODUCT(($CB$18:$CW$18=BE$18)*ABS($CB28:$CW28)),"-")</f>
        <v>0.56128400623428432</v>
      </c>
      <c r="BF28" s="114">
        <f t="array" ref="BF28">IFERROR(SUMIFS($CB28:$CW28,$CB$17:$CW$17,BF$17,$CB$18:$CW$18,BF$18)/SUMPRODUCT(($CB$18:$CW$18=BF$18)*ABS($CB28:$CW28)),"-")</f>
        <v>4.4539437089192585E-3</v>
      </c>
      <c r="BG28" s="114">
        <f t="array" ref="BG28">IFERROR(SUMIFS($CB28:$CW28,$CB$17:$CW$17,BG$17,$CB$18:$CW$18,BG$18)/SUMPRODUCT(($CB$18:$CW$18=BG$18)*ABS($CB28:$CW28)),"-")</f>
        <v>1.8237174305660754E-5</v>
      </c>
      <c r="BH28" s="114">
        <f t="array" ref="BH28">IFERROR(SUMIFS($CB28:$CW28,$CB$17:$CW$17,BH$17,$CB$18:$CW$18,BH$18)/SUMPRODUCT(($CB$18:$CW$18=BH$18)*ABS($CB28:$CW28)),"-")</f>
        <v>1.6046028288657877E-3</v>
      </c>
      <c r="BI28" s="114">
        <f t="array" ref="BI28">IFERROR(SUMIFS($CB28:$CW28,$CB$17:$CW$17,BI$17,$CB$18:$CW$18,BI$18)/SUMPRODUCT(($CB$18:$CW$18=BI$18)*ABS($CB28:$CW28)),"-")</f>
        <v>0.34844794544072599</v>
      </c>
      <c r="BJ28" s="114">
        <f t="array" ref="BJ28">IFERROR(SUMIFS($CB28:$CW28,$CB$17:$CW$17,BJ$17,$CB$18:$CW$18,BJ$18)/SUMPRODUCT(($CB$18:$CW$18=BJ$18)*ABS($CB28:$CW28)),"-")</f>
        <v>2.4656475245831008E-4</v>
      </c>
      <c r="BK28" s="114">
        <f t="array" ref="BK28">IFERROR(SUMIFS($CB28:$CW28,$CB$17:$CW$17,BK$17,$CB$18:$CW$18,BK$18)/SUMPRODUCT(($CB$18:$CW$18=BK$18)*ABS($CB28:$CW28)),"-")</f>
        <v>-8.2508271624426033E-2</v>
      </c>
      <c r="BL28" s="114">
        <f t="array" ref="BL28">IFERROR(SUMIFS($CB28:$CW28,$CB$17:$CW$17,BL$17,$CB$18:$CW$18,BL$18)/SUMPRODUCT(($CB$18:$CW$18=BL$18)*ABS($CB28:$CW28)),"-")</f>
        <v>1.4364282360145762E-3</v>
      </c>
      <c r="BM28" s="115"/>
      <c r="BN28" s="114">
        <f t="array" ref="BN28">IFERROR(SUMIFS($CB28:$CW28,$CB$17:$CW$17,BN$17,$CB$18:$CW$18,BN$18)/SUMPRODUCT(($CB$18:$CW$18=BN$18)*ABS($CB28:$CW28)),"-")</f>
        <v>3.67323672311703E-2</v>
      </c>
      <c r="BO28" s="114">
        <f t="array" ref="BO28">IFERROR(SUMIFS($CB28:$CW28,$CB$17:$CW$17,BO$17,$CB$18:$CW$18,BO$18)/SUMPRODUCT(($CB$18:$CW$18=BO$18)*ABS($CB28:$CW28)),"-")</f>
        <v>4.9928534794858835E-3</v>
      </c>
      <c r="BP28" s="114">
        <f t="array" ref="BP28">IFERROR(SUMIFS($CB28:$CW28,$CB$17:$CW$17,BP$17,$CB$18:$CW$18,BP$18)/SUMPRODUCT(($CB$18:$CW$18=BP$18)*ABS($CB28:$CW28)),"-")</f>
        <v>1.251295500294234E-2</v>
      </c>
      <c r="BQ28" s="114">
        <f t="array" ref="BQ28">IFERROR(SUMIFS($CB28:$CW28,$CB$17:$CW$17,BQ$17,$CB$18:$CW$18,BQ$18)/SUMPRODUCT(($CB$18:$CW$18=BQ$18)*ABS($CB28:$CW28)),"-")</f>
        <v>7.3029298417888878E-4</v>
      </c>
      <c r="BR28" s="114">
        <f t="array" ref="BR28">IFERROR(SUMIFS($CB28:$CW28,$CB$17:$CW$17,BR$17,$CB$18:$CW$18,BR$18)/SUMPRODUCT(($CB$18:$CW$18=BR$18)*ABS($CB28:$CW28)),"-")</f>
        <v>1.2922128172720767E-4</v>
      </c>
      <c r="BS28" s="114">
        <f t="array" ref="BS28">IFERROR(SUMIFS($CB28:$CW28,$CB$17:$CW$17,BS$17,$CB$18:$CW$18,BS$18)/SUMPRODUCT(($CB$18:$CW$18=BS$18)*ABS($CB28:$CW28)),"-")</f>
        <v>1.0954860877378826E-5</v>
      </c>
      <c r="BT28" s="114">
        <f t="array" ref="BT28">IFERROR(SUMIFS($CB28:$CW28,$CB$17:$CW$17,BT$17,$CB$18:$CW$18,BT$18)/SUMPRODUCT(($CB$18:$CW$18=BT$18)*ABS($CB28:$CW28)),"-")</f>
        <v>3.0723387601307309E-5</v>
      </c>
      <c r="BU28" s="114">
        <f t="array" ref="BU28">IFERROR(SUMIFS($CB28:$CW28,$CB$17:$CW$17,BU$17,$CB$18:$CW$18,BU$18)/SUMPRODUCT(($CB$18:$CW$18=BU$18)*ABS($CB28:$CW28)),"-")</f>
        <v>6.856824453256378E-6</v>
      </c>
      <c r="BV28" s="114">
        <f t="array" ref="BV28">IFERROR(SUMIFS($CB28:$CW28,$CB$17:$CW$17,BV$17,$CB$18:$CW$18,BV$18)/SUMPRODUCT(($CB$18:$CW$18=BV$18)*ABS($CB28:$CW28)),"-")</f>
        <v>0.94435614329374895</v>
      </c>
      <c r="BW28" s="114">
        <f t="array" ref="BW28">IFERROR(SUMIFS($CB28:$CW28,$CB$17:$CW$17,BW$17,$CB$18:$CW$18,BW$18)/SUMPRODUCT(($CB$18:$CW$18=BW$18)*ABS($CB28:$CW28)),"-")</f>
        <v>4.9763165381444758E-4</v>
      </c>
      <c r="BX28" s="115"/>
      <c r="BY28" s="114">
        <f t="array" ref="BY28">IFERROR(SUMIFS($CB28:$CW28,$CB$17:$CW$17,BY$17,$CB$18:$CW$18,BY$18)/SUMPRODUCT(($CB$18:$CW$18=BY$18)*ABS($CB28:$CW28)),"-")</f>
        <v>1.4580125136218198E-3</v>
      </c>
      <c r="BZ28" s="116">
        <f t="array" ref="BZ28">IFERROR(SUMIFS($CB28:$CW28,$CB$17:$CW$17,BZ$17,$CB$18:$CW$18,BZ$18)/SUMPRODUCT(($CB$18:$CW$18=BZ$18)*ABS($CB28:$CW28)),"-")</f>
        <v>0.99854198748637812</v>
      </c>
      <c r="CB28" s="117">
        <v>1.2355981E-7</v>
      </c>
      <c r="CC28" s="111">
        <v>3.7250306999999998E-10</v>
      </c>
      <c r="CD28" s="111">
        <v>1.0179593E-14</v>
      </c>
      <c r="CE28" s="111">
        <v>9.8048124000000005E-10</v>
      </c>
      <c r="CF28" s="111">
        <v>4.0146909000000002E-12</v>
      </c>
      <c r="CG28" s="111">
        <v>3.5323368999999998E-10</v>
      </c>
      <c r="CH28" s="111">
        <v>7.6706553999999997E-8</v>
      </c>
      <c r="CI28" s="111">
        <v>5.0633928999999997E-11</v>
      </c>
      <c r="CJ28" s="111">
        <v>1.2689739E-10</v>
      </c>
      <c r="CK28" s="111">
        <v>7.4061061999999997E-12</v>
      </c>
      <c r="CL28" s="111">
        <v>1.3104693E-12</v>
      </c>
      <c r="CM28" s="111">
        <v>1.1109631999999999E-13</v>
      </c>
      <c r="CN28" s="111">
        <v>3.1157449999999998E-13</v>
      </c>
      <c r="CO28" s="111">
        <v>6.9536982E-14</v>
      </c>
      <c r="CP28" s="111">
        <v>5.4278215000000002E-11</v>
      </c>
      <c r="CQ28" s="111">
        <v>-1.8163186999999999E-8</v>
      </c>
      <c r="CR28" s="111">
        <v>9.5769808000000008E-9</v>
      </c>
      <c r="CS28" s="111">
        <v>9.5113262999999992E-6</v>
      </c>
      <c r="CT28" s="111">
        <v>6.5139760999999999E-3</v>
      </c>
      <c r="CU28" s="111">
        <v>3.1621210999999998E-10</v>
      </c>
      <c r="CV28" s="111">
        <v>5.0465782000000003E-12</v>
      </c>
      <c r="CW28" s="112">
        <v>4.4123471000000001E-17</v>
      </c>
    </row>
    <row r="29" spans="2:123" ht="12" customHeight="1" outlineLevel="1" x14ac:dyDescent="0.2">
      <c r="B29" s="104" t="s">
        <v>97</v>
      </c>
      <c r="C29" s="104" t="s">
        <v>121</v>
      </c>
      <c r="D29" s="2" t="s">
        <v>132</v>
      </c>
      <c r="E29" s="2" t="s">
        <v>134</v>
      </c>
      <c r="F29" s="105" t="s">
        <v>95</v>
      </c>
      <c r="G29" s="27" t="s">
        <v>1581</v>
      </c>
      <c r="H29" s="106" t="s">
        <v>128</v>
      </c>
      <c r="I29" s="107" t="s">
        <v>127</v>
      </c>
      <c r="J29" s="108">
        <v>4.0702721800000008</v>
      </c>
      <c r="K29" s="109"/>
      <c r="L29" s="109"/>
      <c r="M29" s="110"/>
      <c r="N29" s="161"/>
      <c r="O29" s="1056"/>
      <c r="P29" s="117">
        <v>7.0804597362840003E-7</v>
      </c>
      <c r="Q29" s="111">
        <v>1.2643431278964065E-8</v>
      </c>
      <c r="R29" s="112">
        <v>8.2925849320000002E-3</v>
      </c>
      <c r="S29" s="1032">
        <v>0.18002805999999999</v>
      </c>
      <c r="T29" s="1032">
        <v>2.8438449E-6</v>
      </c>
      <c r="U29" s="1032">
        <v>5.711895E-4</v>
      </c>
      <c r="V29" s="1032">
        <v>4.9894106999999997E-4</v>
      </c>
      <c r="W29" s="1032">
        <v>3.6546977000000001E-4</v>
      </c>
      <c r="X29" s="1032">
        <v>5.0432844000000004E-4</v>
      </c>
      <c r="Y29" s="1032">
        <v>2.4871133000000001E-3</v>
      </c>
      <c r="Z29" s="1032">
        <v>6.1319393000000002E-5</v>
      </c>
      <c r="AA29" s="1032">
        <v>1.1764577999999999E-3</v>
      </c>
      <c r="AB29" s="1032">
        <v>1.9531420000000001E-2</v>
      </c>
      <c r="AC29" s="1032">
        <v>1.0013025999999999E-3</v>
      </c>
      <c r="AD29" s="1032">
        <v>1.3465943000000001E-3</v>
      </c>
      <c r="AE29" s="1032">
        <v>6.0670749000000002E-5</v>
      </c>
      <c r="AF29" s="1032">
        <v>1.3519171999999999</v>
      </c>
      <c r="AG29" s="1032">
        <v>1.2946295000000001</v>
      </c>
      <c r="AH29" s="1032">
        <v>4.9491964000000001E-5</v>
      </c>
      <c r="AI29" s="1032">
        <v>1.9209791E-2</v>
      </c>
      <c r="AJ29" s="1036">
        <v>2.6668897999999998E-3</v>
      </c>
      <c r="AK29" s="1077">
        <v>0.17935445999999999</v>
      </c>
      <c r="AL29" s="1078">
        <v>9.5804446999999999E-10</v>
      </c>
      <c r="AM29" s="1078">
        <v>1.1711606000000001E-3</v>
      </c>
      <c r="AN29" s="1078">
        <v>5.4948555000000003E-4</v>
      </c>
      <c r="AO29" s="1078">
        <v>5.1999524999999996E-4</v>
      </c>
      <c r="AP29" s="1078">
        <v>3.1501404999999998E-3</v>
      </c>
      <c r="AQ29" s="1078">
        <v>6.4341508000000002E-5</v>
      </c>
      <c r="AR29" s="1078">
        <v>4.1577560000000003E-3</v>
      </c>
      <c r="AS29" s="1078">
        <v>1.633584E-4</v>
      </c>
      <c r="AT29" s="1078">
        <v>9.9238261999999998E-5</v>
      </c>
      <c r="AU29" s="1078">
        <v>9.4956615999999995E-5</v>
      </c>
      <c r="AV29" s="1078">
        <v>1.2945592000000001E-3</v>
      </c>
      <c r="AW29" s="1078">
        <v>1.2946291000000001</v>
      </c>
      <c r="AX29" s="1078">
        <v>3.9782543999999999E-7</v>
      </c>
      <c r="AY29" s="1078">
        <v>-2.7341305000000001E-9</v>
      </c>
      <c r="AZ29" s="1078">
        <v>5.6871194999999995E-4</v>
      </c>
      <c r="BA29" s="1078">
        <v>2.0162765999999999E-2</v>
      </c>
      <c r="BB29" s="1079">
        <v>2.6679E-3</v>
      </c>
      <c r="BC29" s="1035"/>
      <c r="BE29" s="113">
        <f t="array" ref="BE29">IFERROR(SUMIFS($CB29:$CW29,$CB$17:$CW$17,BE$17,$CB$18:$CW$18,BE$18)/SUMPRODUCT(($CB$18:$CW$18=BE$18)*ABS($CB29:$CW29)),"-")</f>
        <v>0.23612520405030099</v>
      </c>
      <c r="BF29" s="114">
        <f t="array" ref="BF29">IFERROR(SUMIFS($CB29:$CW29,$CB$17:$CW$17,BF$17,$CB$18:$CW$18,BF$18)/SUMPRODUCT(($CB$18:$CW$18=BF$18)*ABS($CB29:$CW29)),"-")</f>
        <v>2.1323798965522996E-3</v>
      </c>
      <c r="BG29" s="114">
        <f t="array" ref="BG29">IFERROR(SUMIFS($CB29:$CW29,$CB$17:$CW$17,BG$17,$CB$18:$CW$18,BG$18)/SUMPRODUCT(($CB$18:$CW$18=BG$18)*ABS($CB29:$CW29)),"-")</f>
        <v>6.8551881950922407E-6</v>
      </c>
      <c r="BH29" s="114">
        <f t="array" ref="BH29">IFERROR(SUMIFS($CB29:$CW29,$CB$17:$CW$17,BH$17,$CB$18:$CW$18,BH$18)/SUMPRODUCT(($CB$18:$CW$18=BH$18)*ABS($CB29:$CW29)),"-")</f>
        <v>6.4126498407050337E-4</v>
      </c>
      <c r="BI29" s="114">
        <f t="array" ref="BI29">IFERROR(SUMIFS($CB29:$CW29,$CB$17:$CW$17,BI$17,$CB$18:$CW$18,BI$18)/SUMPRODUCT(($CB$18:$CW$18=BI$18)*ABS($CB29:$CW29)),"-")</f>
        <v>0.32471162687617067</v>
      </c>
      <c r="BJ29" s="114">
        <f t="array" ref="BJ29">IFERROR(SUMIFS($CB29:$CW29,$CB$17:$CW$17,BJ$17,$CB$18:$CW$18,BJ$18)/SUMPRODUCT(($CB$18:$CW$18=BJ$18)*ABS($CB29:$CW29)),"-")</f>
        <v>2.8464664373019187E-4</v>
      </c>
      <c r="BK29" s="114">
        <f t="array" ref="BK29">IFERROR(SUMIFS($CB29:$CW29,$CB$17:$CW$17,BK$17,$CB$18:$CW$18,BK$18)/SUMPRODUCT(($CB$18:$CW$18=BK$18)*ABS($CB29:$CW29)),"-")</f>
        <v>0.43556098260062198</v>
      </c>
      <c r="BL29" s="114">
        <f t="array" ref="BL29">IFERROR(SUMIFS($CB29:$CW29,$CB$17:$CW$17,BL$17,$CB$18:$CW$18,BL$18)/SUMPRODUCT(($CB$18:$CW$18=BL$18)*ABS($CB29:$CW29)),"-")</f>
        <v>5.3703976035822214E-4</v>
      </c>
      <c r="BM29" s="115"/>
      <c r="BN29" s="114">
        <f t="array" ref="BN29">IFERROR(SUMIFS($CB29:$CW29,$CB$17:$CW$17,BN$17,$CB$18:$CW$18,BN$18)/SUMPRODUCT(($CB$18:$CW$18=BN$18)*ABS($CB29:$CW29)),"-")</f>
        <v>3.9861725169932992E-2</v>
      </c>
      <c r="BO29" s="114">
        <f t="array" ref="BO29">IFERROR(SUMIFS($CB29:$CW29,$CB$17:$CW$17,BO$17,$CB$18:$CW$18,BO$18)/SUMPRODUCT(($CB$18:$CW$18=BO$18)*ABS($CB29:$CW29)),"-")</f>
        <v>5.1456133674916858E-3</v>
      </c>
      <c r="BP29" s="114">
        <f t="array" ref="BP29">IFERROR(SUMIFS($CB29:$CW29,$CB$17:$CW$17,BP$17,$CB$18:$CW$18,BP$18)/SUMPRODUCT(($CB$18:$CW$18=BP$18)*ABS($CB29:$CW29)),"-")</f>
        <v>4.1745922317635756E-2</v>
      </c>
      <c r="BQ29" s="114">
        <f t="array" ref="BQ29">IFERROR(SUMIFS($CB29:$CW29,$CB$17:$CW$17,BQ$17,$CB$18:$CW$18,BQ$18)/SUMPRODUCT(($CB$18:$CW$18=BQ$18)*ABS($CB29:$CW29)),"-")</f>
        <v>3.2541920853759827E-3</v>
      </c>
      <c r="BR29" s="114">
        <f t="array" ref="BR29">IFERROR(SUMIFS($CB29:$CW29,$CB$17:$CW$17,BR$17,$CB$18:$CW$18,BR$18)/SUMPRODUCT(($CB$18:$CW$18=BR$18)*ABS($CB29:$CW29)),"-")</f>
        <v>1.580861362631432E-4</v>
      </c>
      <c r="BS29" s="114">
        <f t="array" ref="BS29">IFERROR(SUMIFS($CB29:$CW29,$CB$17:$CW$17,BS$17,$CB$18:$CW$18,BS$18)/SUMPRODUCT(($CB$18:$CW$18=BS$18)*ABS($CB29:$CW29)),"-")</f>
        <v>1.7609358969699096E-5</v>
      </c>
      <c r="BT29" s="114">
        <f t="array" ref="BT29">IFERROR(SUMIFS($CB29:$CW29,$CB$17:$CW$17,BT$17,$CB$18:$CW$18,BT$18)/SUMPRODUCT(($CB$18:$CW$18=BT$18)*ABS($CB29:$CW29)),"-")</f>
        <v>5.4838285169752503E-5</v>
      </c>
      <c r="BU29" s="114">
        <f t="array" ref="BU29">IFERROR(SUMIFS($CB29:$CW29,$CB$17:$CW$17,BU$17,$CB$18:$CW$18,BU$18)/SUMPRODUCT(($CB$18:$CW$18=BU$18)*ABS($CB29:$CW29)),"-")</f>
        <v>1.1186453809838592E-5</v>
      </c>
      <c r="BV29" s="114">
        <f t="array" ref="BV29">IFERROR(SUMIFS($CB29:$CW29,$CB$17:$CW$17,BV$17,$CB$18:$CW$18,BV$18)/SUMPRODUCT(($CB$18:$CW$18=BV$18)*ABS($CB29:$CW29)),"-")</f>
        <v>0.90927136363111916</v>
      </c>
      <c r="BW29" s="114">
        <f t="array" ref="BW29">IFERROR(SUMIFS($CB29:$CW29,$CB$17:$CW$17,BW$17,$CB$18:$CW$18,BW$18)/SUMPRODUCT(($CB$18:$CW$18=BW$18)*ABS($CB29:$CW29)),"-")</f>
        <v>4.7946319423192944E-4</v>
      </c>
      <c r="BX29" s="115"/>
      <c r="BY29" s="114">
        <f t="array" ref="BY29">IFERROR(SUMIFS($CB29:$CW29,$CB$17:$CW$17,BY$17,$CB$18:$CW$18,BY$18)/SUMPRODUCT(($CB$18:$CW$18=BY$18)*ABS($CB29:$CW29)),"-")</f>
        <v>1.3798269289766979E-3</v>
      </c>
      <c r="BZ29" s="116">
        <f t="array" ref="BZ29">IFERROR(SUMIFS($CB29:$CW29,$CB$17:$CW$17,BZ$17,$CB$18:$CW$18,BZ$18)/SUMPRODUCT(($CB$18:$CW$18=BZ$18)*ABS($CB29:$CW29)),"-")</f>
        <v>0.99862017307102324</v>
      </c>
      <c r="CB29" s="117">
        <v>1.6718749999999999E-7</v>
      </c>
      <c r="CC29" s="111">
        <v>5.0397521000000001E-10</v>
      </c>
      <c r="CD29" s="111">
        <v>1.3772847E-14</v>
      </c>
      <c r="CE29" s="111">
        <v>1.509823E-9</v>
      </c>
      <c r="CF29" s="111">
        <v>4.8537883999999999E-12</v>
      </c>
      <c r="CG29" s="111">
        <v>4.5404508999999999E-10</v>
      </c>
      <c r="CH29" s="111">
        <v>2.2991076E-7</v>
      </c>
      <c r="CI29" s="111">
        <v>6.5058209E-11</v>
      </c>
      <c r="CJ29" s="111">
        <v>5.2781169999999998E-10</v>
      </c>
      <c r="CK29" s="111">
        <v>4.1144154E-11</v>
      </c>
      <c r="CL29" s="111">
        <v>1.9987512E-12</v>
      </c>
      <c r="CM29" s="111">
        <v>2.2264271999999999E-13</v>
      </c>
      <c r="CN29" s="111">
        <v>6.9334409000000001E-13</v>
      </c>
      <c r="CO29" s="111">
        <v>1.4143515999999999E-13</v>
      </c>
      <c r="CP29" s="111">
        <v>2.0154291E-10</v>
      </c>
      <c r="CQ29" s="111">
        <v>3.0839719999999999E-7</v>
      </c>
      <c r="CR29" s="111">
        <v>1.149631E-8</v>
      </c>
      <c r="CS29" s="111">
        <v>1.1442332E-5</v>
      </c>
      <c r="CT29" s="111">
        <v>8.2811425999999994E-3</v>
      </c>
      <c r="CU29" s="111">
        <v>3.8024884000000001E-10</v>
      </c>
      <c r="CV29" s="111">
        <v>6.0620067999999997E-12</v>
      </c>
      <c r="CW29" s="112">
        <v>5.3147064000000002E-17</v>
      </c>
    </row>
    <row r="30" spans="2:123" ht="12" customHeight="1" outlineLevel="1" x14ac:dyDescent="0.2">
      <c r="B30" s="104" t="s">
        <v>97</v>
      </c>
      <c r="C30" s="104" t="s">
        <v>121</v>
      </c>
      <c r="D30" s="2" t="s">
        <v>132</v>
      </c>
      <c r="E30" s="2" t="s">
        <v>134</v>
      </c>
      <c r="F30" s="105" t="s">
        <v>96</v>
      </c>
      <c r="G30" s="27" t="s">
        <v>1582</v>
      </c>
      <c r="H30" s="106" t="s">
        <v>128</v>
      </c>
      <c r="I30" s="107" t="s">
        <v>1577</v>
      </c>
      <c r="J30" s="108">
        <v>4.0702721800000008</v>
      </c>
      <c r="K30" s="109"/>
      <c r="L30" s="109"/>
      <c r="M30" s="110"/>
      <c r="N30" s="161"/>
      <c r="O30" s="1056"/>
      <c r="P30" s="117">
        <v>1.0783136452006E-6</v>
      </c>
      <c r="Q30" s="111">
        <v>1.2983997693435043E-8</v>
      </c>
      <c r="R30" s="112">
        <v>8.5939113399999996E-3</v>
      </c>
      <c r="S30" s="1032">
        <v>0.19457525000000001</v>
      </c>
      <c r="T30" s="1032">
        <v>3.3009306000000001E-6</v>
      </c>
      <c r="U30" s="1032">
        <v>5.7383988999999995E-4</v>
      </c>
      <c r="V30" s="1032">
        <v>5.2046991000000002E-4</v>
      </c>
      <c r="W30" s="1032">
        <v>5.2489872000000004E-4</v>
      </c>
      <c r="X30" s="1032">
        <v>5.2596439000000004E-4</v>
      </c>
      <c r="Y30" s="1032">
        <v>3.7760879999999999E-3</v>
      </c>
      <c r="Z30" s="1032">
        <v>9.5553124000000004E-5</v>
      </c>
      <c r="AA30" s="1032">
        <v>1.3591432E-3</v>
      </c>
      <c r="AB30" s="1032">
        <v>2.4640788E-2</v>
      </c>
      <c r="AC30" s="1032">
        <v>1.1775937E-3</v>
      </c>
      <c r="AD30" s="1032">
        <v>1.5230309E-3</v>
      </c>
      <c r="AE30" s="1032">
        <v>9.3472407999999998E-5</v>
      </c>
      <c r="AF30" s="1032">
        <v>2.4744584999999999</v>
      </c>
      <c r="AG30" s="1032">
        <v>1.2946295000000001</v>
      </c>
      <c r="AH30" s="1032">
        <v>4.9562106999999997E-5</v>
      </c>
      <c r="AI30" s="1032">
        <v>1.9877796999999999E-2</v>
      </c>
      <c r="AJ30" s="1036">
        <v>2.6670851000000001E-3</v>
      </c>
      <c r="AK30" s="1077">
        <v>0.19388293000000001</v>
      </c>
      <c r="AL30" s="1078">
        <v>9.624657799999999E-10</v>
      </c>
      <c r="AM30" s="1078">
        <v>1.1765409999999999E-3</v>
      </c>
      <c r="AN30" s="1078">
        <v>5.7227909000000005E-4</v>
      </c>
      <c r="AO30" s="1078">
        <v>7.3443079999999995E-4</v>
      </c>
      <c r="AP30" s="1078">
        <v>4.7634395999999997E-3</v>
      </c>
      <c r="AQ30" s="1078">
        <v>9.8581043999999997E-5</v>
      </c>
      <c r="AR30" s="1078">
        <v>4.8448743000000004E-3</v>
      </c>
      <c r="AS30" s="1078">
        <v>2.7301292E-4</v>
      </c>
      <c r="AT30" s="1078">
        <v>1.1117019999999999E-4</v>
      </c>
      <c r="AU30" s="1078">
        <v>1.0328066000000001E-4</v>
      </c>
      <c r="AV30" s="1078">
        <v>1.3786247E-2</v>
      </c>
      <c r="AW30" s="1078">
        <v>1.2946291000000001</v>
      </c>
      <c r="AX30" s="1078">
        <v>3.9782543999999999E-7</v>
      </c>
      <c r="AY30" s="1078">
        <v>-2.7341305000000001E-9</v>
      </c>
      <c r="AZ30" s="1078">
        <v>5.6922425999999995E-4</v>
      </c>
      <c r="BA30" s="1078">
        <v>2.0856854000000001E-2</v>
      </c>
      <c r="BB30" s="1079">
        <v>2.6680953000000002E-3</v>
      </c>
      <c r="BC30" s="1035"/>
      <c r="BE30" s="113">
        <f t="array" ref="BE30">IFERROR(SUMIFS($CB30:$CW30,$CB$17:$CW$17,BE$17,$CB$18:$CW$18,BE$18)/SUMPRODUCT(($CB$18:$CW$18=BE$18)*ABS($CB30:$CW30)),"-")</f>
        <v>0.16758235491528345</v>
      </c>
      <c r="BF30" s="114">
        <f t="array" ref="BF30">IFERROR(SUMIFS($CB30:$CW30,$CB$17:$CW$17,BF$17,$CB$18:$CW$18,BF$18)/SUMPRODUCT(($CB$18:$CW$18=BF$18)*ABS($CB30:$CW30)),"-")</f>
        <v>1.6252173083407299E-3</v>
      </c>
      <c r="BG30" s="114">
        <f t="array" ref="BG30">IFERROR(SUMIFS($CB30:$CW30,$CB$17:$CW$17,BG$17,$CB$18:$CW$18,BG$18)/SUMPRODUCT(($CB$18:$CW$18=BG$18)*ABS($CB30:$CW30)),"-")</f>
        <v>4.5221634926940518E-6</v>
      </c>
      <c r="BH30" s="114">
        <f t="array" ref="BH30">IFERROR(SUMIFS($CB30:$CW30,$CB$17:$CW$17,BH$17,$CB$18:$CW$18,BH$18)/SUMPRODUCT(($CB$18:$CW$18=BH$18)*ABS($CB30:$CW30)),"-")</f>
        <v>4.3923802885002805E-4</v>
      </c>
      <c r="BI30" s="114">
        <f t="array" ref="BI30">IFERROR(SUMIFS($CB30:$CW30,$CB$17:$CW$17,BI$17,$CB$18:$CW$18,BI$18)/SUMPRODUCT(($CB$18:$CW$18=BI$18)*ABS($CB30:$CW30)),"-")</f>
        <v>0.3062350842630478</v>
      </c>
      <c r="BJ30" s="114">
        <f t="array" ref="BJ30">IFERROR(SUMIFS($CB30:$CW30,$CB$17:$CW$17,BJ$17,$CB$18:$CW$18,BJ$18)/SUMPRODUCT(($CB$18:$CW$18=BJ$18)*ABS($CB30:$CW30)),"-")</f>
        <v>2.8802942574488268E-4</v>
      </c>
      <c r="BK30" s="114">
        <f t="array" ref="BK30">IFERROR(SUMIFS($CB30:$CW30,$CB$17:$CW$17,BK$17,$CB$18:$CW$18,BK$18)/SUMPRODUCT(($CB$18:$CW$18=BK$18)*ABS($CB30:$CW30)),"-")</f>
        <v>0.52347251888386459</v>
      </c>
      <c r="BL30" s="114">
        <f t="array" ref="BL30">IFERROR(SUMIFS($CB30:$CW30,$CB$17:$CW$17,BL$17,$CB$18:$CW$18,BL$18)/SUMPRODUCT(($CB$18:$CW$18=BL$18)*ABS($CB30:$CW30)),"-")</f>
        <v>3.5303501137573122E-4</v>
      </c>
      <c r="BM30" s="115"/>
      <c r="BN30" s="114">
        <f t="array" ref="BN30">IFERROR(SUMIFS($CB30:$CW30,$CB$17:$CW$17,BN$17,$CB$18:$CW$18,BN$18)/SUMPRODUCT(($CB$18:$CW$18=BN$18)*ABS($CB30:$CW30)),"-")</f>
        <v>4.1952071210349454E-2</v>
      </c>
      <c r="BO30" s="114">
        <f t="array" ref="BO30">IFERROR(SUMIFS($CB30:$CW30,$CB$17:$CW$17,BO$17,$CB$18:$CW$18,BO$18)/SUMPRODUCT(($CB$18:$CW$18=BO$18)*ABS($CB30:$CW30)),"-")</f>
        <v>5.2256056726123629E-3</v>
      </c>
      <c r="BP30" s="114">
        <f t="array" ref="BP30">IFERROR(SUMIFS($CB30:$CW30,$CB$17:$CW$17,BP$17,$CB$18:$CW$18,BP$18)/SUMPRODUCT(($CB$18:$CW$18=BP$18)*ABS($CB30:$CW30)),"-")</f>
        <v>6.1721163151869381E-2</v>
      </c>
      <c r="BQ30" s="114">
        <f t="array" ref="BQ30">IFERROR(SUMIFS($CB30:$CW30,$CB$17:$CW$17,BQ$17,$CB$18:$CW$18,BQ$18)/SUMPRODUCT(($CB$18:$CW$18=BQ$18)*ABS($CB30:$CW30)),"-")</f>
        <v>4.938000415112347E-3</v>
      </c>
      <c r="BR30" s="114">
        <f t="array" ref="BR30">IFERROR(SUMIFS($CB30:$CW30,$CB$17:$CW$17,BR$17,$CB$18:$CW$18,BR$18)/SUMPRODUCT(($CB$18:$CW$18=BR$18)*ABS($CB30:$CW30)),"-")</f>
        <v>1.7784397028717419E-4</v>
      </c>
      <c r="BS30" s="114">
        <f t="array" ref="BS30">IFERROR(SUMIFS($CB30:$CW30,$CB$17:$CW$17,BS$17,$CB$18:$CW$18,BS$18)/SUMPRODUCT(($CB$18:$CW$18=BS$18)*ABS($CB30:$CW30)),"-")</f>
        <v>2.1635035420718925E-5</v>
      </c>
      <c r="BT30" s="114">
        <f t="array" ref="BT30">IFERROR(SUMIFS($CB30:$CW30,$CB$17:$CW$17,BT$17,$CB$18:$CW$18,BT$18)/SUMPRODUCT(($CB$18:$CW$18=BT$18)*ABS($CB30:$CW30)),"-")</f>
        <v>6.2825051980134263E-5</v>
      </c>
      <c r="BU30" s="114">
        <f t="array" ref="BU30">IFERROR(SUMIFS($CB30:$CW30,$CB$17:$CW$17,BU$17,$CB$18:$CW$18,BU$18)/SUMPRODUCT(($CB$18:$CW$18=BU$18)*ABS($CB30:$CW30)),"-")</f>
        <v>1.2320339526930329E-5</v>
      </c>
      <c r="BV30" s="114">
        <f t="array" ref="BV30">IFERROR(SUMIFS($CB30:$CW30,$CB$17:$CW$17,BV$17,$CB$18:$CW$18,BV$18)/SUMPRODUCT(($CB$18:$CW$18=BV$18)*ABS($CB30:$CW30)),"-")</f>
        <v>0.8854214450309672</v>
      </c>
      <c r="BW30" s="114">
        <f t="array" ref="BW30">IFERROR(SUMIFS($CB30:$CW30,$CB$17:$CW$17,BW$17,$CB$18:$CW$18,BW$18)/SUMPRODUCT(($CB$18:$CW$18=BW$18)*ABS($CB30:$CW30)),"-")</f>
        <v>4.6709012187436127E-4</v>
      </c>
      <c r="BX30" s="115"/>
      <c r="BY30" s="114">
        <f t="array" ref="BY30">IFERROR(SUMIFS($CB30:$CW30,$CB$17:$CW$17,BY$17,$CB$18:$CW$18,BY$18)/SUMPRODUCT(($CB$18:$CW$18=BY$18)*ABS($CB30:$CW30)),"-")</f>
        <v>1.3333323496911944E-3</v>
      </c>
      <c r="BZ30" s="116">
        <f t="array" ref="BZ30">IFERROR(SUMIFS($CB30:$CW30,$CB$17:$CW$17,BZ$17,$CB$18:$CW$18,BZ$18)/SUMPRODUCT(($CB$18:$CW$18=BZ$18)*ABS($CB30:$CW30)),"-")</f>
        <v>0.99866666765030876</v>
      </c>
      <c r="CB30" s="117">
        <v>1.8070633999999999E-7</v>
      </c>
      <c r="CC30" s="111">
        <v>5.4469070999999997E-10</v>
      </c>
      <c r="CD30" s="111">
        <v>1.488583E-14</v>
      </c>
      <c r="CE30" s="111">
        <v>1.752494E-9</v>
      </c>
      <c r="CF30" s="111">
        <v>4.8763105999999998E-12</v>
      </c>
      <c r="CG30" s="111">
        <v>4.7363636000000005E-10</v>
      </c>
      <c r="CH30" s="111">
        <v>3.3021746999999998E-7</v>
      </c>
      <c r="CI30" s="111">
        <v>6.7849251999999998E-11</v>
      </c>
      <c r="CJ30" s="111">
        <v>8.0138744000000003E-10</v>
      </c>
      <c r="CK30" s="111">
        <v>6.4114985999999995E-11</v>
      </c>
      <c r="CL30" s="111">
        <v>2.3091256999999998E-12</v>
      </c>
      <c r="CM30" s="111">
        <v>2.8090924999999998E-13</v>
      </c>
      <c r="CN30" s="111">
        <v>8.1572033000000001E-13</v>
      </c>
      <c r="CO30" s="111">
        <v>1.5996725999999999E-13</v>
      </c>
      <c r="CP30" s="111">
        <v>3.1058605999999998E-10</v>
      </c>
      <c r="CQ30" s="111">
        <v>5.6446756000000001E-7</v>
      </c>
      <c r="CR30" s="111">
        <v>1.149631E-8</v>
      </c>
      <c r="CS30" s="111">
        <v>1.145854E-5</v>
      </c>
      <c r="CT30" s="111">
        <v>8.5824527999999994E-3</v>
      </c>
      <c r="CU30" s="111">
        <v>3.8068247000000001E-10</v>
      </c>
      <c r="CV30" s="111">
        <v>6.0646438000000001E-12</v>
      </c>
      <c r="CW30" s="112">
        <v>5.3265042999999997E-17</v>
      </c>
      <c r="CY30" s="118"/>
      <c r="CZ30" s="118"/>
      <c r="DA30" s="118"/>
      <c r="DB30" s="118"/>
      <c r="DC30" s="118"/>
      <c r="DD30" s="118"/>
      <c r="DE30" s="118"/>
      <c r="DF30" s="118"/>
      <c r="DG30" s="118"/>
      <c r="DH30" s="118"/>
      <c r="DI30" s="118"/>
      <c r="DJ30" s="118"/>
      <c r="DK30" s="118"/>
      <c r="DL30" s="118"/>
      <c r="DM30" s="118"/>
      <c r="DN30" s="118"/>
      <c r="DO30" s="118"/>
      <c r="DP30" s="118"/>
      <c r="DQ30" s="118"/>
      <c r="DR30" s="118"/>
      <c r="DS30" s="118"/>
    </row>
    <row r="31" spans="2:123" ht="12" customHeight="1" outlineLevel="1" x14ac:dyDescent="0.2">
      <c r="B31" s="88" t="s">
        <v>98</v>
      </c>
      <c r="C31" s="88" t="s">
        <v>121</v>
      </c>
      <c r="D31" s="89" t="s">
        <v>132</v>
      </c>
      <c r="E31" s="89" t="s">
        <v>98</v>
      </c>
      <c r="F31" s="90" t="s">
        <v>92</v>
      </c>
      <c r="G31" s="18" t="s">
        <v>126</v>
      </c>
      <c r="H31" s="91" t="s">
        <v>127</v>
      </c>
      <c r="I31" s="92" t="s">
        <v>127</v>
      </c>
      <c r="J31" s="93">
        <v>3.8217059399999997</v>
      </c>
      <c r="K31" s="94"/>
      <c r="L31" s="94"/>
      <c r="M31" s="95"/>
      <c r="N31" s="145"/>
      <c r="O31" s="1055"/>
      <c r="P31" s="103">
        <v>1.6154796764729997E-6</v>
      </c>
      <c r="Q31" s="97">
        <v>2.004039947685811E-8</v>
      </c>
      <c r="R31" s="98">
        <v>2.0510940928000002E-2</v>
      </c>
      <c r="S31" s="1033">
        <v>0.48698037</v>
      </c>
      <c r="T31" s="1033">
        <v>1.1029965E-5</v>
      </c>
      <c r="U31" s="1033">
        <v>1.4925136E-3</v>
      </c>
      <c r="V31" s="1033">
        <v>9.1828007999999995E-4</v>
      </c>
      <c r="W31" s="1033">
        <v>9.3659343000000001E-4</v>
      </c>
      <c r="X31" s="1033">
        <v>9.2645065999999996E-4</v>
      </c>
      <c r="Y31" s="1033">
        <v>6.7673131000000001E-3</v>
      </c>
      <c r="Z31" s="1033">
        <v>1.7009250999999999E-4</v>
      </c>
      <c r="AA31" s="1033">
        <v>2.5138808999999999E-3</v>
      </c>
      <c r="AB31" s="1033">
        <v>1.5258602000000001</v>
      </c>
      <c r="AC31" s="1033">
        <v>8.0795827000000001E-2</v>
      </c>
      <c r="AD31" s="1033">
        <v>1.9264274000000001E-2</v>
      </c>
      <c r="AE31" s="1033">
        <v>2.1659391E-4</v>
      </c>
      <c r="AF31" s="1033">
        <v>2.4806585999999999</v>
      </c>
      <c r="AG31" s="1033">
        <v>1.9054587999999999</v>
      </c>
      <c r="AH31" s="1033">
        <v>3.3132666000000002E-4</v>
      </c>
      <c r="AI31" s="1033">
        <v>5.1401613999999998E-2</v>
      </c>
      <c r="AJ31" s="1034">
        <v>2.6568118000000001E-3</v>
      </c>
      <c r="AK31" s="1074">
        <v>0.48459808999999998</v>
      </c>
      <c r="AL31" s="1075">
        <v>2.5034389999999999E-9</v>
      </c>
      <c r="AM31" s="1075">
        <v>3.1198883E-3</v>
      </c>
      <c r="AN31" s="1075">
        <v>7.9660875999999997E-4</v>
      </c>
      <c r="AO31" s="1075">
        <v>1.2624279000000001E-3</v>
      </c>
      <c r="AP31" s="1075">
        <v>8.4130712000000003E-3</v>
      </c>
      <c r="AQ31" s="1075">
        <v>1.7629588000000001E-4</v>
      </c>
      <c r="AR31" s="1075">
        <v>8.9486991000000005E-3</v>
      </c>
      <c r="AS31" s="1075">
        <v>1.5143498E-2</v>
      </c>
      <c r="AT31" s="1075">
        <v>4.0811383000000003E-3</v>
      </c>
      <c r="AU31" s="1075">
        <v>1.1429963E-3</v>
      </c>
      <c r="AV31" s="1075">
        <v>7.2837769999999996E-2</v>
      </c>
      <c r="AW31" s="1075">
        <v>1.905456</v>
      </c>
      <c r="AX31" s="1075">
        <v>2.770562E-6</v>
      </c>
      <c r="AY31" s="1075">
        <v>-1.9580084000000001E-8</v>
      </c>
      <c r="AZ31" s="1075">
        <v>8.275442E-4</v>
      </c>
      <c r="BA31" s="1075">
        <v>5.2689689999999997E-2</v>
      </c>
      <c r="BB31" s="1076">
        <v>2.6640327E-3</v>
      </c>
      <c r="BC31" s="1035"/>
      <c r="BE31" s="99">
        <f t="array" ref="BE31">IFERROR(SUMIFS($CB31:$CW31,$CB$17:$CW$17,BE$17,$CB$18:$CW$18,BE$18)/SUMPRODUCT(($CB$18:$CW$18=BE$18)*ABS($CB31:$CW31)),"-")</f>
        <v>0.28003302461079338</v>
      </c>
      <c r="BF31" s="100">
        <f t="array" ref="BF31">IFERROR(SUMIFS($CB31:$CW31,$CB$17:$CW$17,BF$17,$CB$18:$CW$18,BF$18)/SUMPRODUCT(($CB$18:$CW$18=BF$18)*ABS($CB31:$CW31)),"-")</f>
        <v>3.6248730239583876E-3</v>
      </c>
      <c r="BG31" s="100">
        <f t="array" ref="BG31">IFERROR(SUMIFS($CB31:$CW31,$CB$17:$CW$17,BG$17,$CB$18:$CW$18,BG$18)/SUMPRODUCT(($CB$18:$CW$18=BG$18)*ABS($CB31:$CW31)),"-")</f>
        <v>7.8508403322596517E-6</v>
      </c>
      <c r="BH31" s="100">
        <f t="array" ref="BH31">IFERROR(SUMIFS($CB31:$CW31,$CB$17:$CW$17,BH$17,$CB$18:$CW$18,BH$18)/SUMPRODUCT(($CB$18:$CW$18=BH$18)*ABS($CB31:$CW31)),"-")</f>
        <v>5.1708513710538252E-4</v>
      </c>
      <c r="BI31" s="100">
        <f t="array" ref="BI31">IFERROR(SUMIFS($CB31:$CW31,$CB$17:$CW$17,BI$17,$CB$18:$CW$18,BI$18)/SUMPRODUCT(($CB$18:$CW$18=BI$18)*ABS($CB31:$CW31)),"-")</f>
        <v>0.36472848812706665</v>
      </c>
      <c r="BJ31" s="100">
        <f t="array" ref="BJ31">IFERROR(SUMIFS($CB31:$CW31,$CB$17:$CW$17,BJ$17,$CB$18:$CW$18,BJ$18)/SUMPRODUCT(($CB$18:$CW$18=BJ$18)*ABS($CB31:$CW31)),"-")</f>
        <v>4.4563713829675797E-4</v>
      </c>
      <c r="BK31" s="100">
        <f t="array" ref="BK31">IFERROR(SUMIFS($CB31:$CW31,$CB$17:$CW$17,BK$17,$CB$18:$CW$18,BK$18)/SUMPRODUCT(($CB$18:$CW$18=BK$18)*ABS($CB31:$CW31)),"-")</f>
        <v>0.3502826796530471</v>
      </c>
      <c r="BL31" s="100">
        <f t="array" ref="BL31">IFERROR(SUMIFS($CB31:$CW31,$CB$17:$CW$17,BL$17,$CB$18:$CW$18,BL$18)/SUMPRODUCT(($CB$18:$CW$18=BL$18)*ABS($CB31:$CW31)),"-")</f>
        <v>3.6036146940021863E-4</v>
      </c>
      <c r="BM31" s="101"/>
      <c r="BN31" s="100">
        <f t="array" ref="BN31">IFERROR(SUMIFS($CB31:$CW31,$CB$17:$CW$17,BN$17,$CB$18:$CW$18,BN$18)/SUMPRODUCT(($CB$18:$CW$18=BN$18)*ABS($CB31:$CW31)),"-")</f>
        <v>6.8021660861359065E-2</v>
      </c>
      <c r="BO31" s="100">
        <f t="array" ref="BO31">IFERROR(SUMIFS($CB31:$CW31,$CB$17:$CW$17,BO$17,$CB$18:$CW$18,BO$18)/SUMPRODUCT(($CB$18:$CW$18=BO$18)*ABS($CB31:$CW31)),"-")</f>
        <v>5.9611032274057806E-3</v>
      </c>
      <c r="BP31" s="100">
        <f t="array" ref="BP31">IFERROR(SUMIFS($CB31:$CW31,$CB$17:$CW$17,BP$17,$CB$18:$CW$18,BP$18)/SUMPRODUCT(($CB$18:$CW$18=BP$18)*ABS($CB31:$CW31)),"-")</f>
        <v>7.1665243083525815E-2</v>
      </c>
      <c r="BQ31" s="100">
        <f t="array" ref="BQ31">IFERROR(SUMIFS($CB31:$CW31,$CB$17:$CW$17,BQ$17,$CB$18:$CW$18,BQ$18)/SUMPRODUCT(($CB$18:$CW$18=BQ$18)*ABS($CB31:$CW31)),"-")</f>
        <v>5.6949817857569474E-3</v>
      </c>
      <c r="BR31" s="100">
        <f t="array" ref="BR31">IFERROR(SUMIFS($CB31:$CW31,$CB$17:$CW$17,BR$17,$CB$18:$CW$18,BR$18)/SUMPRODUCT(($CB$18:$CW$18=BR$18)*ABS($CB31:$CW31)),"-")</f>
        <v>2.1311828663555138E-4</v>
      </c>
      <c r="BS31" s="100">
        <f t="array" ref="BS31">IFERROR(SUMIFS($CB31:$CW31,$CB$17:$CW$17,BS$17,$CB$18:$CW$18,BS$18)/SUMPRODUCT(($CB$18:$CW$18=BS$18)*ABS($CB31:$CW31)),"-")</f>
        <v>8.6789053382317182E-4</v>
      </c>
      <c r="BT31" s="100">
        <f t="array" ref="BT31">IFERROR(SUMIFS($CB31:$CW31,$CB$17:$CW$17,BT$17,$CB$18:$CW$18,BT$18)/SUMPRODUCT(($CB$18:$CW$18=BT$18)*ABS($CB31:$CW31)),"-")</f>
        <v>2.8007321443274738E-3</v>
      </c>
      <c r="BU31" s="100">
        <f t="array" ref="BU31">IFERROR(SUMIFS($CB31:$CW31,$CB$17:$CW$17,BU$17,$CB$18:$CW$18,BU$18)/SUMPRODUCT(($CB$18:$CW$18=BU$18)*ABS($CB31:$CW31)),"-")</f>
        <v>1.0088327342649181E-4</v>
      </c>
      <c r="BV31" s="100">
        <f t="array" ref="BV31">IFERROR(SUMIFS($CB31:$CW31,$CB$17:$CW$17,BV$17,$CB$18:$CW$18,BV$18)/SUMPRODUCT(($CB$18:$CW$18=BV$18)*ABS($CB31:$CW31)),"-")</f>
        <v>0.84431819932228003</v>
      </c>
      <c r="BW31" s="100">
        <f t="array" ref="BW31">IFERROR(SUMIFS($CB31:$CW31,$CB$17:$CW$17,BW$17,$CB$18:$CW$18,BW$18)/SUMPRODUCT(($CB$18:$CW$18=BW$18)*ABS($CB31:$CW31)),"-")</f>
        <v>3.5618748145978084E-4</v>
      </c>
      <c r="BX31" s="101"/>
      <c r="BY31" s="100">
        <f t="array" ref="BY31">IFERROR(SUMIFS($CB31:$CW31,$CB$17:$CW$17,BY$17,$CB$18:$CW$18,BY$18)/SUMPRODUCT(($CB$18:$CW$18=BY$18)*ABS($CB31:$CW31)),"-")</f>
        <v>3.734198653726433E-3</v>
      </c>
      <c r="BZ31" s="102">
        <f t="array" ref="BZ31">IFERROR(SUMIFS($CB31:$CW31,$CB$17:$CW$17,BZ$17,$CB$18:$CW$18,BZ$18)/SUMPRODUCT(($CB$18:$CW$18=BZ$18)*ABS($CB31:$CW31)),"-")</f>
        <v>0.99626580134627352</v>
      </c>
      <c r="CB31" s="103">
        <v>4.5238766000000002E-7</v>
      </c>
      <c r="CC31" s="97">
        <v>1.3631439999999999E-9</v>
      </c>
      <c r="CD31" s="97">
        <v>3.7256740999999997E-14</v>
      </c>
      <c r="CE31" s="97">
        <v>5.8559087000000003E-9</v>
      </c>
      <c r="CF31" s="97">
        <v>1.2682872999999999E-11</v>
      </c>
      <c r="CG31" s="97">
        <v>8.3534053000000002E-10</v>
      </c>
      <c r="CH31" s="97">
        <v>5.8921145999999997E-7</v>
      </c>
      <c r="CI31" s="97">
        <v>1.1946288999999999E-10</v>
      </c>
      <c r="CJ31" s="97">
        <v>1.4362001000000001E-9</v>
      </c>
      <c r="CK31" s="97">
        <v>1.1412971E-10</v>
      </c>
      <c r="CL31" s="97">
        <v>4.2709756000000003E-12</v>
      </c>
      <c r="CM31" s="97">
        <v>1.7392872999999998E-11</v>
      </c>
      <c r="CN31" s="97">
        <v>5.6127791000000002E-11</v>
      </c>
      <c r="CO31" s="97">
        <v>2.0217411000000001E-12</v>
      </c>
      <c r="CP31" s="97">
        <v>7.1991773999999999E-10</v>
      </c>
      <c r="CQ31" s="97">
        <v>5.6587454999999996E-7</v>
      </c>
      <c r="CR31" s="97">
        <v>1.6920474000000001E-8</v>
      </c>
      <c r="CS31" s="97">
        <v>7.6591928000000004E-5</v>
      </c>
      <c r="CT31" s="97">
        <v>2.0434349000000001E-2</v>
      </c>
      <c r="CU31" s="97">
        <v>5.8215662999999996E-10</v>
      </c>
      <c r="CV31" s="97">
        <v>7.1380292999999996E-12</v>
      </c>
      <c r="CW31" s="98">
        <v>1.1011711000000001E-16</v>
      </c>
    </row>
    <row r="32" spans="2:123" ht="12" customHeight="1" outlineLevel="1" x14ac:dyDescent="0.2">
      <c r="B32" s="104" t="s">
        <v>98</v>
      </c>
      <c r="C32" s="104" t="s">
        <v>121</v>
      </c>
      <c r="D32" s="2" t="s">
        <v>132</v>
      </c>
      <c r="E32" s="2" t="s">
        <v>98</v>
      </c>
      <c r="F32" s="105" t="s">
        <v>122</v>
      </c>
      <c r="G32" s="27" t="s">
        <v>1579</v>
      </c>
      <c r="H32" s="106" t="s">
        <v>128</v>
      </c>
      <c r="I32" s="107" t="s">
        <v>129</v>
      </c>
      <c r="J32" s="108">
        <v>3.8217059399999997</v>
      </c>
      <c r="K32" s="109"/>
      <c r="L32" s="109"/>
      <c r="M32" s="110"/>
      <c r="N32" s="161"/>
      <c r="O32" s="1056"/>
      <c r="P32" s="117">
        <v>3.2769247650549997E-7</v>
      </c>
      <c r="Q32" s="111">
        <v>1.8124206050444253E-8</v>
      </c>
      <c r="R32" s="112">
        <v>1.132094545E-2</v>
      </c>
      <c r="S32" s="1032">
        <v>0.17957324</v>
      </c>
      <c r="T32" s="1032">
        <v>1.9324229E-6</v>
      </c>
      <c r="U32" s="1032">
        <v>8.1323980000000005E-4</v>
      </c>
      <c r="V32" s="1032">
        <v>6.7506244999999997E-4</v>
      </c>
      <c r="W32" s="1032">
        <v>2.1515691999999999E-4</v>
      </c>
      <c r="X32" s="1032">
        <v>6.8258257000000004E-4</v>
      </c>
      <c r="Y32" s="1032">
        <v>1.0677614999999999E-3</v>
      </c>
      <c r="Z32" s="1032">
        <v>1.9920708999999998E-5</v>
      </c>
      <c r="AA32" s="1032">
        <v>8.0294321E-4</v>
      </c>
      <c r="AB32" s="1032">
        <v>1.8397902000000001E-2</v>
      </c>
      <c r="AC32" s="1032">
        <v>8.4407302000000001E-4</v>
      </c>
      <c r="AD32" s="1032">
        <v>1.2302691E-3</v>
      </c>
      <c r="AE32" s="1032">
        <v>7.2492117000000003E-5</v>
      </c>
      <c r="AF32" s="1032">
        <v>0.10205143999999999</v>
      </c>
      <c r="AG32" s="1032">
        <v>1.9464735</v>
      </c>
      <c r="AH32" s="1032">
        <v>7.2439984999999997E-5</v>
      </c>
      <c r="AI32" s="1032">
        <v>2.6288552999999999E-2</v>
      </c>
      <c r="AJ32" s="1036">
        <v>2.6582140999999999E-3</v>
      </c>
      <c r="AK32" s="1077">
        <v>0.17864123000000001</v>
      </c>
      <c r="AL32" s="1078">
        <v>1.3640761999999999E-9</v>
      </c>
      <c r="AM32" s="1078">
        <v>1.6675561E-3</v>
      </c>
      <c r="AN32" s="1078">
        <v>7.4519316999999998E-4</v>
      </c>
      <c r="AO32" s="1078">
        <v>3.3085869999999998E-4</v>
      </c>
      <c r="AP32" s="1078">
        <v>1.389866E-3</v>
      </c>
      <c r="AQ32" s="1078">
        <v>2.4443182000000001E-5</v>
      </c>
      <c r="AR32" s="1078">
        <v>2.8136897000000001E-3</v>
      </c>
      <c r="AS32" s="1078">
        <v>1.1649156E-5</v>
      </c>
      <c r="AT32" s="1078">
        <v>1.073083E-4</v>
      </c>
      <c r="AU32" s="1078">
        <v>1.1117326000000001E-4</v>
      </c>
      <c r="AV32" s="1078">
        <v>7.2458109999999996E-3</v>
      </c>
      <c r="AW32" s="1078">
        <v>1.9464729000000001</v>
      </c>
      <c r="AX32" s="1078">
        <v>5.6982709000000005E-7</v>
      </c>
      <c r="AY32" s="1078">
        <v>-3.9162442000000002E-9</v>
      </c>
      <c r="AZ32" s="1078">
        <v>8.2859104E-4</v>
      </c>
      <c r="BA32" s="1078">
        <v>2.7606706000000002E-2</v>
      </c>
      <c r="BB32" s="1079">
        <v>2.6596609999999998E-3</v>
      </c>
      <c r="BC32" s="1035"/>
      <c r="BE32" s="113">
        <f t="array" ref="BE32">IFERROR(SUMIFS($CB32:$CW32,$CB$17:$CW$17,BE$17,$CB$18:$CW$18,BE$18)/SUMPRODUCT(($CB$18:$CW$18=BE$18)*ABS($CB32:$CW32)),"-")</f>
        <v>0.50879718624605541</v>
      </c>
      <c r="BF32" s="114">
        <f t="array" ref="BF32">IFERROR(SUMIFS($CB32:$CW32,$CB$17:$CW$17,BF$17,$CB$18:$CW$18,BF$18)/SUMPRODUCT(($CB$18:$CW$18=BF$18)*ABS($CB32:$CW32)),"-")</f>
        <v>3.1308036453585792E-3</v>
      </c>
      <c r="BG32" s="114">
        <f t="array" ref="BG32">IFERROR(SUMIFS($CB32:$CW32,$CB$17:$CW$17,BG$17,$CB$18:$CW$18,BG$18)/SUMPRODUCT(($CB$18:$CW$18=BG$18)*ABS($CB32:$CW32)),"-")</f>
        <v>2.1088843948127723E-5</v>
      </c>
      <c r="BH32" s="114">
        <f t="array" ref="BH32">IFERROR(SUMIFS($CB32:$CW32,$CB$17:$CW$17,BH$17,$CB$18:$CW$18,BH$18)/SUMPRODUCT(($CB$18:$CW$18=BH$18)*ABS($CB32:$CW32)),"-")</f>
        <v>1.8746822525529947E-3</v>
      </c>
      <c r="BI32" s="114">
        <f t="array" ref="BI32">IFERROR(SUMIFS($CB32:$CW32,$CB$17:$CW$17,BI$17,$CB$18:$CW$18,BI$18)/SUMPRODUCT(($CB$18:$CW$18=BI$18)*ABS($CB32:$CW32)),"-")</f>
        <v>0.41296871213864644</v>
      </c>
      <c r="BJ32" s="114">
        <f t="array" ref="BJ32">IFERROR(SUMIFS($CB32:$CW32,$CB$17:$CW$17,BJ$17,$CB$18:$CW$18,BJ$18)/SUMPRODUCT(($CB$18:$CW$18=BJ$18)*ABS($CB32:$CW32)),"-")</f>
        <v>7.351299687100287E-4</v>
      </c>
      <c r="BK32" s="114">
        <f t="array" ref="BK32">IFERROR(SUMIFS($CB32:$CW32,$CB$17:$CW$17,BK$17,$CB$18:$CW$18,BK$18)/SUMPRODUCT(($CB$18:$CW$18=BK$18)*ABS($CB32:$CW32)),"-")</f>
        <v>7.1040160116734571E-2</v>
      </c>
      <c r="BL32" s="114">
        <f t="array" ref="BL32">IFERROR(SUMIFS($CB32:$CW32,$CB$17:$CW$17,BL$17,$CB$18:$CW$18,BL$18)/SUMPRODUCT(($CB$18:$CW$18=BL$18)*ABS($CB32:$CW32)),"-")</f>
        <v>1.4322367879938884E-3</v>
      </c>
      <c r="BM32" s="115"/>
      <c r="BN32" s="114">
        <f t="array" ref="BN32">IFERROR(SUMIFS($CB32:$CW32,$CB$17:$CW$17,BN$17,$CB$18:$CW$18,BN$18)/SUMPRODUCT(($CB$18:$CW$18=BN$18)*ABS($CB32:$CW32)),"-")</f>
        <v>2.7739069307462259E-2</v>
      </c>
      <c r="BO32" s="114">
        <f t="array" ref="BO32">IFERROR(SUMIFS($CB32:$CW32,$CB$17:$CW$17,BO$17,$CB$18:$CW$18,BO$18)/SUMPRODUCT(($CB$18:$CW$18=BO$18)*ABS($CB32:$CW32)),"-")</f>
        <v>4.8583046757980156E-3</v>
      </c>
      <c r="BP32" s="114">
        <f t="array" ref="BP32">IFERROR(SUMIFS($CB32:$CW32,$CB$17:$CW$17,BP$17,$CB$18:$CW$18,BP$18)/SUMPRODUCT(($CB$18:$CW$18=BP$18)*ABS($CB32:$CW32)),"-")</f>
        <v>1.2499189171072527E-2</v>
      </c>
      <c r="BQ32" s="114">
        <f t="array" ref="BQ32">IFERROR(SUMIFS($CB32:$CW32,$CB$17:$CW$17,BQ$17,$CB$18:$CW$18,BQ$18)/SUMPRODUCT(($CB$18:$CW$18=BQ$18)*ABS($CB32:$CW32)),"-")</f>
        <v>7.3741492249655813E-4</v>
      </c>
      <c r="BR32" s="114">
        <f t="array" ref="BR32">IFERROR(SUMIFS($CB32:$CW32,$CB$17:$CW$17,BR$17,$CB$18:$CW$18,BR$18)/SUMPRODUCT(($CB$18:$CW$18=BR$18)*ABS($CB32:$CW32)),"-")</f>
        <v>7.5267639101165608E-5</v>
      </c>
      <c r="BS32" s="114">
        <f t="array" ref="BS32">IFERROR(SUMIFS($CB32:$CW32,$CB$17:$CW$17,BS$17,$CB$18:$CW$18,BS$18)/SUMPRODUCT(($CB$18:$CW$18=BS$18)*ABS($CB32:$CW32)),"-")</f>
        <v>1.1568835590172541E-5</v>
      </c>
      <c r="BT32" s="114">
        <f t="array" ref="BT32">IFERROR(SUMIFS($CB32:$CW32,$CB$17:$CW$17,BT$17,$CB$18:$CW$18,BT$18)/SUMPRODUCT(($CB$18:$CW$18=BT$18)*ABS($CB32:$CW32)),"-")</f>
        <v>3.2224362180305503E-5</v>
      </c>
      <c r="BU32" s="114">
        <f t="array" ref="BU32">IFERROR(SUMIFS($CB32:$CW32,$CB$17:$CW$17,BU$17,$CB$18:$CW$18,BU$18)/SUMPRODUCT(($CB$18:$CW$18=BU$18)*ABS($CB32:$CW32)),"-")</f>
        <v>7.1296066509259668E-6</v>
      </c>
      <c r="BV32" s="114">
        <f t="array" ref="BV32">IFERROR(SUMIFS($CB32:$CW32,$CB$17:$CW$17,BV$17,$CB$18:$CW$18,BV$18)/SUMPRODUCT(($CB$18:$CW$18=BV$18)*ABS($CB32:$CW32)),"-")</f>
        <v>0.95367951301658949</v>
      </c>
      <c r="BW32" s="114">
        <f t="array" ref="BW32">IFERROR(SUMIFS($CB32:$CW32,$CB$17:$CW$17,BW$17,$CB$18:$CW$18,BW$18)/SUMPRODUCT(($CB$18:$CW$18=BW$18)*ABS($CB32:$CW32)),"-")</f>
        <v>3.6031846305857509E-4</v>
      </c>
      <c r="BX32" s="115"/>
      <c r="BY32" s="114">
        <f t="array" ref="BY32">IFERROR(SUMIFS($CB32:$CW32,$CB$17:$CW$17,BY$17,$CB$18:$CW$18,BY$18)/SUMPRODUCT(($CB$18:$CW$18=BY$18)*ABS($CB32:$CW32)),"-")</f>
        <v>1.4794214912500971E-3</v>
      </c>
      <c r="BZ32" s="116">
        <f t="array" ref="BZ32">IFERROR(SUMIFS($CB32:$CW32,$CB$17:$CW$17,BZ$17,$CB$18:$CW$18,BZ$18)/SUMPRODUCT(($CB$18:$CW$18=BZ$18)*ABS($CB32:$CW32)),"-")</f>
        <v>0.99852057850874998</v>
      </c>
      <c r="CB32" s="117">
        <v>1.6672900999999999E-7</v>
      </c>
      <c r="CC32" s="111">
        <v>5.0273486999999996E-10</v>
      </c>
      <c r="CD32" s="111">
        <v>1.3737776E-14</v>
      </c>
      <c r="CE32" s="111">
        <v>1.0259407999999999E-9</v>
      </c>
      <c r="CF32" s="111">
        <v>6.9106554999999998E-12</v>
      </c>
      <c r="CG32" s="111">
        <v>6.1431926999999996E-10</v>
      </c>
      <c r="CH32" s="111">
        <v>1.3532673999999999E-7</v>
      </c>
      <c r="CI32" s="111">
        <v>8.8052915000000005E-11</v>
      </c>
      <c r="CJ32" s="111">
        <v>2.2653787999999999E-10</v>
      </c>
      <c r="CK32" s="111">
        <v>1.336506E-11</v>
      </c>
      <c r="CL32" s="111">
        <v>1.3641662000000001E-12</v>
      </c>
      <c r="CM32" s="111">
        <v>2.0967595999999999E-13</v>
      </c>
      <c r="CN32" s="111">
        <v>5.8404098E-13</v>
      </c>
      <c r="CO32" s="111">
        <v>1.2921846E-13</v>
      </c>
      <c r="CP32" s="111">
        <v>2.4089655999999999E-10</v>
      </c>
      <c r="CQ32" s="111">
        <v>2.3279326000000001E-8</v>
      </c>
      <c r="CR32" s="111">
        <v>1.7284684000000001E-8</v>
      </c>
      <c r="CS32" s="111">
        <v>1.6748450000000001E-5</v>
      </c>
      <c r="CT32" s="111">
        <v>1.1304197E-2</v>
      </c>
      <c r="CU32" s="111">
        <v>4.6933322000000005E-10</v>
      </c>
      <c r="CV32" s="111">
        <v>6.5304077000000001E-12</v>
      </c>
      <c r="CW32" s="112">
        <v>7.8368252999999996E-17</v>
      </c>
    </row>
    <row r="33" spans="2:101" ht="12" customHeight="1" outlineLevel="1" x14ac:dyDescent="0.2">
      <c r="B33" s="104" t="s">
        <v>98</v>
      </c>
      <c r="C33" s="104" t="s">
        <v>121</v>
      </c>
      <c r="D33" s="2" t="s">
        <v>132</v>
      </c>
      <c r="E33" s="2" t="s">
        <v>98</v>
      </c>
      <c r="F33" s="105" t="s">
        <v>93</v>
      </c>
      <c r="G33" s="27" t="s">
        <v>1578</v>
      </c>
      <c r="H33" s="106" t="s">
        <v>130</v>
      </c>
      <c r="I33" s="107" t="s">
        <v>129</v>
      </c>
      <c r="J33" s="108">
        <v>3.8217059399999997</v>
      </c>
      <c r="K33" s="109"/>
      <c r="L33" s="109"/>
      <c r="M33" s="110"/>
      <c r="N33" s="161"/>
      <c r="O33" s="1056"/>
      <c r="P33" s="117">
        <v>3.544348816982E-7</v>
      </c>
      <c r="Q33" s="111">
        <v>1.9293102702716502E-8</v>
      </c>
      <c r="R33" s="112">
        <v>1.2051073617E-2</v>
      </c>
      <c r="S33" s="1032">
        <v>0.19115455000000001</v>
      </c>
      <c r="T33" s="1032">
        <v>2.0570516999999999E-6</v>
      </c>
      <c r="U33" s="1032">
        <v>8.6568851E-4</v>
      </c>
      <c r="V33" s="1032">
        <v>7.1859961000000005E-4</v>
      </c>
      <c r="W33" s="1032">
        <v>2.2903315000000001E-4</v>
      </c>
      <c r="X33" s="1032">
        <v>7.2660474000000002E-4</v>
      </c>
      <c r="Y33" s="1032">
        <v>1.1366251999999999E-3</v>
      </c>
      <c r="Z33" s="1032">
        <v>2.1205465999999999E-5</v>
      </c>
      <c r="AA33" s="1032">
        <v>8.5472786000000004E-4</v>
      </c>
      <c r="AB33" s="1032">
        <v>1.9584448000000001E-2</v>
      </c>
      <c r="AC33" s="1032">
        <v>9.0094993999999999E-4</v>
      </c>
      <c r="AD33" s="1032">
        <v>1.3116046000000001E-3</v>
      </c>
      <c r="AE33" s="1032">
        <v>7.8173661E-5</v>
      </c>
      <c r="AF33" s="1032">
        <v>0.13320393</v>
      </c>
      <c r="AG33" s="1032">
        <v>2.0720084000000001</v>
      </c>
      <c r="AH33" s="1032">
        <v>7.7111895999999998E-5</v>
      </c>
      <c r="AI33" s="1032">
        <v>2.7983995000000001E-2</v>
      </c>
      <c r="AJ33" s="1036">
        <v>2.8296517000000001E-3</v>
      </c>
      <c r="AK33" s="1077">
        <v>0.19016243999999999</v>
      </c>
      <c r="AL33" s="1078">
        <v>1.4520503000000001E-9</v>
      </c>
      <c r="AM33" s="1078">
        <v>1.7751027E-3</v>
      </c>
      <c r="AN33" s="1078">
        <v>7.9325331000000001E-4</v>
      </c>
      <c r="AO33" s="1078">
        <v>3.5219694999999999E-4</v>
      </c>
      <c r="AP33" s="1078">
        <v>1.4795034E-3</v>
      </c>
      <c r="AQ33" s="1078">
        <v>2.6019608999999999E-5</v>
      </c>
      <c r="AR33" s="1078">
        <v>2.9951545E-3</v>
      </c>
      <c r="AS33" s="1078">
        <v>1.4226723999999999E-5</v>
      </c>
      <c r="AT33" s="1078">
        <v>1.143825E-4</v>
      </c>
      <c r="AU33" s="1078">
        <v>1.1842428E-4</v>
      </c>
      <c r="AV33" s="1078">
        <v>8.0225789000000006E-3</v>
      </c>
      <c r="AW33" s="1078">
        <v>2.0720078000000002</v>
      </c>
      <c r="AX33" s="1078">
        <v>6.0657725E-7</v>
      </c>
      <c r="AY33" s="1078">
        <v>-4.1688167000000003E-9</v>
      </c>
      <c r="AZ33" s="1078">
        <v>8.8202981000000001E-4</v>
      </c>
      <c r="BA33" s="1078">
        <v>2.9387159999999999E-2</v>
      </c>
      <c r="BB33" s="1079">
        <v>2.8311920000000002E-3</v>
      </c>
      <c r="BC33" s="1035"/>
      <c r="BE33" s="113">
        <f t="array" ref="BE33">IFERROR(SUMIFS($CB33:$CW33,$CB$17:$CW$17,BE$17,$CB$18:$CW$18,BE$18)/SUMPRODUCT(($CB$18:$CW$18=BE$18)*ABS($CB33:$CW33)),"-")</f>
        <v>0.5007462841965008</v>
      </c>
      <c r="BF33" s="114">
        <f t="array" ref="BF33">IFERROR(SUMIFS($CB33:$CW33,$CB$17:$CW$17,BF$17,$CB$18:$CW$18,BF$18)/SUMPRODUCT(($CB$18:$CW$18=BF$18)*ABS($CB33:$CW33)),"-")</f>
        <v>3.081263601278176E-3</v>
      </c>
      <c r="BG33" s="114">
        <f t="array" ref="BG33">IFERROR(SUMIFS($CB33:$CW33,$CB$17:$CW$17,BG$17,$CB$18:$CW$18,BG$18)/SUMPRODUCT(($CB$18:$CW$18=BG$18)*ABS($CB33:$CW33)),"-")</f>
        <v>2.0755147362340887E-5</v>
      </c>
      <c r="BH33" s="114">
        <f t="array" ref="BH33">IFERROR(SUMIFS($CB33:$CW33,$CB$17:$CW$17,BH$17,$CB$18:$CW$18,BH$18)/SUMPRODUCT(($CB$18:$CW$18=BH$18)*ABS($CB33:$CW33)),"-")</f>
        <v>1.8450184329115401E-3</v>
      </c>
      <c r="BI33" s="114">
        <f t="array" ref="BI33">IFERROR(SUMIFS($CB33:$CW33,$CB$17:$CW$17,BI$17,$CB$18:$CW$18,BI$18)/SUMPRODUCT(($CB$18:$CW$18=BI$18)*ABS($CB33:$CW33)),"-")</f>
        <v>0.40643415035730551</v>
      </c>
      <c r="BJ33" s="114">
        <f t="array" ref="BJ33">IFERROR(SUMIFS($CB33:$CW33,$CB$17:$CW$17,BJ$17,$CB$18:$CW$18,BJ$18)/SUMPRODUCT(($CB$18:$CW$18=BJ$18)*ABS($CB33:$CW33)),"-")</f>
        <v>7.3294134808436187E-4</v>
      </c>
      <c r="BK33" s="114">
        <f t="array" ref="BK33">IFERROR(SUMIFS($CB33:$CW33,$CB$17:$CW$17,BK$17,$CB$18:$CW$18,BK$18)/SUMPRODUCT(($CB$18:$CW$18=BK$18)*ABS($CB33:$CW33)),"-")</f>
        <v>8.5730012955873E-2</v>
      </c>
      <c r="BL33" s="114">
        <f t="array" ref="BL33">IFERROR(SUMIFS($CB33:$CW33,$CB$17:$CW$17,BL$17,$CB$18:$CW$18,BL$18)/SUMPRODUCT(($CB$18:$CW$18=BL$18)*ABS($CB33:$CW33)),"-")</f>
        <v>1.4095739606842914E-3</v>
      </c>
      <c r="BM33" s="115"/>
      <c r="BN33" s="114">
        <f t="array" ref="BN33">IFERROR(SUMIFS($CB33:$CW33,$CB$17:$CW$17,BN$17,$CB$18:$CW$18,BN$18)/SUMPRODUCT(($CB$18:$CW$18=BN$18)*ABS($CB33:$CW33)),"-")</f>
        <v>2.7739065717959754E-2</v>
      </c>
      <c r="BO33" s="114">
        <f t="array" ref="BO33">IFERROR(SUMIFS($CB33:$CW33,$CB$17:$CW$17,BO$17,$CB$18:$CW$18,BO$18)/SUMPRODUCT(($CB$18:$CW$18=BO$18)*ABS($CB33:$CW33)),"-")</f>
        <v>4.8583040501205856E-3</v>
      </c>
      <c r="BP33" s="114">
        <f t="array" ref="BP33">IFERROR(SUMIFS($CB33:$CW33,$CB$17:$CW$17,BP$17,$CB$18:$CW$18,BP$18)/SUMPRODUCT(($CB$18:$CW$18=BP$18)*ABS($CB33:$CW33)),"-")</f>
        <v>1.249918759651064E-2</v>
      </c>
      <c r="BQ33" s="114">
        <f t="array" ref="BQ33">IFERROR(SUMIFS($CB33:$CW33,$CB$17:$CW$17,BQ$17,$CB$18:$CW$18,BQ$18)/SUMPRODUCT(($CB$18:$CW$18=BQ$18)*ABS($CB33:$CW33)),"-")</f>
        <v>7.374148274241453E-4</v>
      </c>
      <c r="BR33" s="114">
        <f t="array" ref="BR33">IFERROR(SUMIFS($CB33:$CW33,$CB$17:$CW$17,BR$17,$CB$18:$CW$18,BR$18)/SUMPRODUCT(($CB$18:$CW$18=BR$18)*ABS($CB33:$CW33)),"-")</f>
        <v>7.526762918208772E-5</v>
      </c>
      <c r="BS33" s="114">
        <f t="array" ref="BS33">IFERROR(SUMIFS($CB33:$CW33,$CB$17:$CW$17,BS$17,$CB$18:$CW$18,BS$18)/SUMPRODUCT(($CB$18:$CW$18=BS$18)*ABS($CB33:$CW33)),"-")</f>
        <v>1.1568833869762858E-5</v>
      </c>
      <c r="BT33" s="114">
        <f t="array" ref="BT33">IFERROR(SUMIFS($CB33:$CW33,$CB$17:$CW$17,BT$17,$CB$18:$CW$18,BT$18)/SUMPRODUCT(($CB$18:$CW$18=BT$18)*ABS($CB33:$CW33)),"-")</f>
        <v>3.2312251668686953E-5</v>
      </c>
      <c r="BU33" s="114">
        <f t="array" ref="BU33">IFERROR(SUMIFS($CB33:$CW33,$CB$17:$CW$17,BU$17,$CB$18:$CW$18,BU$18)/SUMPRODUCT(($CB$18:$CW$18=BU$18)*ABS($CB33:$CW33)),"-")</f>
        <v>7.1404445476052425E-6</v>
      </c>
      <c r="BV33" s="114">
        <f t="array" ref="BV33">IFERROR(SUMIFS($CB33:$CW33,$CB$17:$CW$17,BV$17,$CB$18:$CW$18,BV$18)/SUMPRODUCT(($CB$18:$CW$18=BV$18)*ABS($CB33:$CW33)),"-")</f>
        <v>0.95367942023183905</v>
      </c>
      <c r="BW33" s="114">
        <f t="array" ref="BW33">IFERROR(SUMIFS($CB33:$CW33,$CB$17:$CW$17,BW$17,$CB$18:$CW$18,BW$18)/SUMPRODUCT(($CB$18:$CW$18=BW$18)*ABS($CB33:$CW33)),"-")</f>
        <v>3.6031841687756083E-4</v>
      </c>
      <c r="BX33" s="115"/>
      <c r="BY33" s="114">
        <f t="array" ref="BY33">IFERROR(SUMIFS($CB33:$CW33,$CB$17:$CW$17,BY$17,$CB$18:$CW$18,BY$18)/SUMPRODUCT(($CB$18:$CW$18=BY$18)*ABS($CB33:$CW33)),"-")</f>
        <v>1.479421466221054E-3</v>
      </c>
      <c r="BZ33" s="116">
        <f t="array" ref="BZ33">IFERROR(SUMIFS($CB33:$CW33,$CB$17:$CW$17,BZ$17,$CB$18:$CW$18,BZ$18)/SUMPRODUCT(($CB$18:$CW$18=BZ$18)*ABS($CB33:$CW33)),"-")</f>
        <v>0.99852057853377885</v>
      </c>
      <c r="CB33" s="117">
        <v>1.7748195E-7</v>
      </c>
      <c r="CC33" s="111">
        <v>5.3515802000000001E-10</v>
      </c>
      <c r="CD33" s="111">
        <v>1.4623774000000001E-14</v>
      </c>
      <c r="CE33" s="111">
        <v>1.0921073E-9</v>
      </c>
      <c r="CF33" s="111">
        <v>7.3563481999999996E-12</v>
      </c>
      <c r="CG33" s="111">
        <v>6.5393889000000004E-10</v>
      </c>
      <c r="CH33" s="111">
        <v>1.4405444000000001E-7</v>
      </c>
      <c r="CI33" s="111">
        <v>9.3731758999999997E-11</v>
      </c>
      <c r="CJ33" s="111">
        <v>2.4114811E-10</v>
      </c>
      <c r="CK33" s="111">
        <v>1.4227019999999999E-11</v>
      </c>
      <c r="CL33" s="111">
        <v>1.4521461E-12</v>
      </c>
      <c r="CM33" s="111">
        <v>2.231987E-13</v>
      </c>
      <c r="CN33" s="111">
        <v>6.2340359000000002E-13</v>
      </c>
      <c r="CO33" s="111">
        <v>1.3776133000000001E-13</v>
      </c>
      <c r="CP33" s="111">
        <v>2.5977998000000002E-10</v>
      </c>
      <c r="CQ33" s="111">
        <v>3.0385707000000001E-8</v>
      </c>
      <c r="CR33" s="111">
        <v>1.8399435000000001E-8</v>
      </c>
      <c r="CS33" s="111">
        <v>1.7828617000000001E-5</v>
      </c>
      <c r="CT33" s="111">
        <v>1.2033245E-2</v>
      </c>
      <c r="CU33" s="111">
        <v>4.9960218E-10</v>
      </c>
      <c r="CV33" s="111">
        <v>6.9515767999999999E-12</v>
      </c>
      <c r="CW33" s="112">
        <v>8.3422498999999994E-17</v>
      </c>
    </row>
    <row r="34" spans="2:101" ht="12" customHeight="1" outlineLevel="1" x14ac:dyDescent="0.2">
      <c r="B34" s="104" t="s">
        <v>98</v>
      </c>
      <c r="C34" s="104" t="s">
        <v>121</v>
      </c>
      <c r="D34" s="2" t="s">
        <v>132</v>
      </c>
      <c r="E34" s="2" t="s">
        <v>98</v>
      </c>
      <c r="F34" s="105" t="s">
        <v>94</v>
      </c>
      <c r="G34" s="27" t="s">
        <v>1580</v>
      </c>
      <c r="H34" s="106" t="s">
        <v>131</v>
      </c>
      <c r="I34" s="107" t="s">
        <v>129</v>
      </c>
      <c r="J34" s="108">
        <v>3.8217059399999997</v>
      </c>
      <c r="K34" s="109"/>
      <c r="L34" s="109"/>
      <c r="M34" s="110"/>
      <c r="N34" s="161"/>
      <c r="O34" s="1056"/>
      <c r="P34" s="117">
        <v>3.0400002066819998E-7</v>
      </c>
      <c r="Q34" s="111">
        <v>1.7088554559385149E-8</v>
      </c>
      <c r="R34" s="112">
        <v>1.0674046413E-2</v>
      </c>
      <c r="S34" s="1032">
        <v>0.16931209999999999</v>
      </c>
      <c r="T34" s="1032">
        <v>1.8220008E-6</v>
      </c>
      <c r="U34" s="1032">
        <v>7.6676982000000002E-4</v>
      </c>
      <c r="V34" s="1032">
        <v>6.3648815999999995E-4</v>
      </c>
      <c r="W34" s="1032">
        <v>2.0286246E-4</v>
      </c>
      <c r="X34" s="1032">
        <v>6.4357857999999997E-4</v>
      </c>
      <c r="Y34" s="1032">
        <v>1.0067476999999999E-3</v>
      </c>
      <c r="Z34" s="1032">
        <v>1.8782403999999999E-5</v>
      </c>
      <c r="AA34" s="1032">
        <v>7.5706158999999998E-4</v>
      </c>
      <c r="AB34" s="1032">
        <v>1.7346613E-2</v>
      </c>
      <c r="AC34" s="1032">
        <v>7.9368028000000002E-4</v>
      </c>
      <c r="AD34" s="1032">
        <v>1.1582058000000001E-3</v>
      </c>
      <c r="AE34" s="1032">
        <v>6.7458498000000006E-5</v>
      </c>
      <c r="AF34" s="1032">
        <v>7.4456813999999996E-2</v>
      </c>
      <c r="AG34" s="1032">
        <v>1.8352485000000001</v>
      </c>
      <c r="AH34" s="1032">
        <v>6.8300633999999994E-5</v>
      </c>
      <c r="AI34" s="1032">
        <v>2.4786378000000001E-2</v>
      </c>
      <c r="AJ34" s="1036">
        <v>2.5063188999999999E-3</v>
      </c>
      <c r="AK34" s="1077">
        <v>0.16843335000000001</v>
      </c>
      <c r="AL34" s="1078">
        <v>1.2861303999999999E-9</v>
      </c>
      <c r="AM34" s="1078">
        <v>1.5722689E-3</v>
      </c>
      <c r="AN34" s="1078">
        <v>7.0261149000000001E-4</v>
      </c>
      <c r="AO34" s="1078">
        <v>3.1195284E-4</v>
      </c>
      <c r="AP34" s="1078">
        <v>1.3104466E-3</v>
      </c>
      <c r="AQ34" s="1078">
        <v>2.3046454000000001E-5</v>
      </c>
      <c r="AR34" s="1078">
        <v>2.6529104000000002E-3</v>
      </c>
      <c r="AS34" s="1078">
        <v>9.3659094000000006E-6</v>
      </c>
      <c r="AT34" s="1078">
        <v>1.0104055999999999E-4</v>
      </c>
      <c r="AU34" s="1078">
        <v>1.0474881E-4</v>
      </c>
      <c r="AV34" s="1078">
        <v>6.5576732E-3</v>
      </c>
      <c r="AW34" s="1078">
        <v>1.8352478999999999</v>
      </c>
      <c r="AX34" s="1078">
        <v>5.3726614000000002E-7</v>
      </c>
      <c r="AY34" s="1078">
        <v>-3.692463E-9</v>
      </c>
      <c r="AZ34" s="1078">
        <v>7.8124385999999997E-4</v>
      </c>
      <c r="BA34" s="1078">
        <v>2.6029209000000001E-2</v>
      </c>
      <c r="BB34" s="1079">
        <v>2.5076832000000002E-3</v>
      </c>
      <c r="BC34" s="1035"/>
      <c r="BE34" s="113">
        <f t="array" ref="BE34">IFERROR(SUMIFS($CB34:$CW34,$CB$17:$CW$17,BE$17,$CB$18:$CW$18,BE$18)/SUMPRODUCT(($CB$18:$CW$18=BE$18)*ABS($CB34:$CW34)),"-")</f>
        <v>0.51711118194816674</v>
      </c>
      <c r="BF34" s="114">
        <f t="array" ref="BF34">IFERROR(SUMIFS($CB34:$CW34,$CB$17:$CW$17,BF$17,$CB$18:$CW$18,BF$18)/SUMPRODUCT(($CB$18:$CW$18=BF$18)*ABS($CB34:$CW34)),"-")</f>
        <v>3.1819624481400129E-3</v>
      </c>
      <c r="BG34" s="114">
        <f t="array" ref="BG34">IFERROR(SUMIFS($CB34:$CW34,$CB$17:$CW$17,BG$17,$CB$18:$CW$18,BG$18)/SUMPRODUCT(($CB$18:$CW$18=BG$18)*ABS($CB34:$CW34)),"-")</f>
        <v>2.1433446569109345E-5</v>
      </c>
      <c r="BH34" s="114">
        <f t="array" ref="BH34">IFERROR(SUMIFS($CB34:$CW34,$CB$17:$CW$17,BH$17,$CB$18:$CW$18,BH$18)/SUMPRODUCT(($CB$18:$CW$18=BH$18)*ABS($CB34:$CW34)),"-")</f>
        <v>1.9053155283570975E-3</v>
      </c>
      <c r="BI34" s="114">
        <f t="array" ref="BI34">IFERROR(SUMIFS($CB34:$CW34,$CB$17:$CW$17,BI$17,$CB$18:$CW$18,BI$18)/SUMPRODUCT(($CB$18:$CW$18=BI$18)*ABS($CB34:$CW34)),"-")</f>
        <v>0.41971684646450097</v>
      </c>
      <c r="BJ34" s="114">
        <f t="array" ref="BJ34">IFERROR(SUMIFS($CB34:$CW34,$CB$17:$CW$17,BJ$17,$CB$18:$CW$18,BJ$18)/SUMPRODUCT(($CB$18:$CW$18=BJ$18)*ABS($CB34:$CW34)),"-")</f>
        <v>7.3739014723510842E-4</v>
      </c>
      <c r="BK34" s="114">
        <f t="array" ref="BK34">IFERROR(SUMIFS($CB34:$CW34,$CB$17:$CW$17,BK$17,$CB$18:$CW$18,BK$18)/SUMPRODUCT(($CB$18:$CW$18=BK$18)*ABS($CB34:$CW34)),"-")</f>
        <v>5.587022975415433E-2</v>
      </c>
      <c r="BL34" s="114">
        <f t="array" ref="BL34">IFERROR(SUMIFS($CB34:$CW34,$CB$17:$CW$17,BL$17,$CB$18:$CW$18,BL$18)/SUMPRODUCT(($CB$18:$CW$18=BL$18)*ABS($CB34:$CW34)),"-")</f>
        <v>1.4556402628767631E-3</v>
      </c>
      <c r="BM34" s="115"/>
      <c r="BN34" s="114">
        <f t="array" ref="BN34">IFERROR(SUMIFS($CB34:$CW34,$CB$17:$CW$17,BN$17,$CB$18:$CW$18,BN$18)/SUMPRODUCT(($CB$18:$CW$18=BN$18)*ABS($CB34:$CW34)),"-")</f>
        <v>2.7739071852315601E-2</v>
      </c>
      <c r="BO34" s="114">
        <f t="array" ref="BO34">IFERROR(SUMIFS($CB34:$CW34,$CB$17:$CW$17,BO$17,$CB$18:$CW$18,BO$18)/SUMPRODUCT(($CB$18:$CW$18=BO$18)*ABS($CB34:$CW34)),"-")</f>
        <v>4.8583051721249344E-3</v>
      </c>
      <c r="BP34" s="114">
        <f t="array" ref="BP34">IFERROR(SUMIFS($CB34:$CW34,$CB$17:$CW$17,BP$17,$CB$18:$CW$18,BP$18)/SUMPRODUCT(($CB$18:$CW$18=BP$18)*ABS($CB34:$CW34)),"-")</f>
        <v>1.2499190569789487E-2</v>
      </c>
      <c r="BQ34" s="114">
        <f t="array" ref="BQ34">IFERROR(SUMIFS($CB34:$CW34,$CB$17:$CW$17,BQ$17,$CB$18:$CW$18,BQ$18)/SUMPRODUCT(($CB$18:$CW$18=BQ$18)*ABS($CB34:$CW34)),"-")</f>
        <v>7.3741497305746374E-4</v>
      </c>
      <c r="BR34" s="114">
        <f t="array" ref="BR34">IFERROR(SUMIFS($CB34:$CW34,$CB$17:$CW$17,BR$17,$CB$18:$CW$18,BR$18)/SUMPRODUCT(($CB$18:$CW$18=BR$18)*ABS($CB34:$CW34)),"-")</f>
        <v>7.5267641597785218E-5</v>
      </c>
      <c r="BS34" s="114">
        <f t="array" ref="BS34">IFERROR(SUMIFS($CB34:$CW34,$CB$17:$CW$17,BS$17,$CB$18:$CW$18,BS$18)/SUMPRODUCT(($CB$18:$CW$18=BS$18)*ABS($CB34:$CW34)),"-")</f>
        <v>1.1568836867564362E-5</v>
      </c>
      <c r="BT34" s="114">
        <f t="array" ref="BT34">IFERROR(SUMIFS($CB34:$CW34,$CB$17:$CW$17,BT$17,$CB$18:$CW$18,BT$18)/SUMPRODUCT(($CB$18:$CW$18=BT$18)*ABS($CB34:$CW34)),"-")</f>
        <v>3.2136472285679327E-5</v>
      </c>
      <c r="BU34" s="114">
        <f t="array" ref="BU34">IFERROR(SUMIFS($CB34:$CW34,$CB$17:$CW$17,BU$17,$CB$18:$CW$18,BU$18)/SUMPRODUCT(($CB$18:$CW$18=BU$18)*ABS($CB34:$CW34)),"-")</f>
        <v>7.118768271315802E-6</v>
      </c>
      <c r="BV34" s="114">
        <f t="array" ref="BV34">IFERROR(SUMIFS($CB34:$CW34,$CB$17:$CW$17,BV$17,$CB$18:$CW$18,BV$18)/SUMPRODUCT(($CB$18:$CW$18=BV$18)*ABS($CB34:$CW34)),"-")</f>
        <v>0.95367960721110689</v>
      </c>
      <c r="BW34" s="114">
        <f t="array" ref="BW34">IFERROR(SUMIFS($CB34:$CW34,$CB$17:$CW$17,BW$17,$CB$18:$CW$18,BW$18)/SUMPRODUCT(($CB$18:$CW$18=BW$18)*ABS($CB34:$CW34)),"-")</f>
        <v>3.6031850258326015E-4</v>
      </c>
      <c r="BX34" s="115"/>
      <c r="BY34" s="114">
        <f t="array" ref="BY34">IFERROR(SUMIFS($CB34:$CW34,$CB$17:$CW$17,BY$17,$CB$18:$CW$18,BY$18)/SUMPRODUCT(($CB$18:$CW$18=BY$18)*ABS($CB34:$CW34)),"-")</f>
        <v>1.4794214292311418E-3</v>
      </c>
      <c r="BZ34" s="116">
        <f t="array" ref="BZ34">IFERROR(SUMIFS($CB34:$CW34,$CB$17:$CW$17,BZ$17,$CB$18:$CW$18,BZ$18)/SUMPRODUCT(($CB$18:$CW$18=BZ$18)*ABS($CB34:$CW34)),"-")</f>
        <v>0.99852057857076881</v>
      </c>
      <c r="CB34" s="117">
        <v>1.5720181000000001E-7</v>
      </c>
      <c r="CC34" s="111">
        <v>4.7400769000000005E-10</v>
      </c>
      <c r="CD34" s="111">
        <v>1.2952775E-14</v>
      </c>
      <c r="CE34" s="111">
        <v>9.673166500000001E-10</v>
      </c>
      <c r="CF34" s="111">
        <v>6.5157682000000004E-12</v>
      </c>
      <c r="CG34" s="111">
        <v>5.7921595999999999E-10</v>
      </c>
      <c r="CH34" s="111">
        <v>1.2759393000000001E-7</v>
      </c>
      <c r="CI34" s="111">
        <v>8.3021412999999996E-11</v>
      </c>
      <c r="CJ34" s="111">
        <v>2.1359309999999999E-10</v>
      </c>
      <c r="CK34" s="111">
        <v>1.2601356E-11</v>
      </c>
      <c r="CL34" s="111">
        <v>1.2862152E-12</v>
      </c>
      <c r="CM34" s="111">
        <v>1.976947E-13</v>
      </c>
      <c r="CN34" s="111">
        <v>5.4916585999999998E-13</v>
      </c>
      <c r="CO34" s="111">
        <v>1.2164945999999999E-13</v>
      </c>
      <c r="CP34" s="111">
        <v>2.2416662E-10</v>
      </c>
      <c r="CQ34" s="111">
        <v>1.6984550999999999E-8</v>
      </c>
      <c r="CR34" s="111">
        <v>1.6297005999999999E-8</v>
      </c>
      <c r="CS34" s="111">
        <v>1.5791413000000002E-5</v>
      </c>
      <c r="CT34" s="111">
        <v>1.0658255E-2</v>
      </c>
      <c r="CU34" s="111">
        <v>4.4251467000000003E-10</v>
      </c>
      <c r="CV34" s="111">
        <v>6.1572485000000002E-12</v>
      </c>
      <c r="CW34" s="112">
        <v>7.3890150000000001E-17</v>
      </c>
    </row>
    <row r="35" spans="2:101" ht="12" customHeight="1" outlineLevel="1" x14ac:dyDescent="0.2">
      <c r="B35" s="104" t="s">
        <v>98</v>
      </c>
      <c r="C35" s="104" t="s">
        <v>121</v>
      </c>
      <c r="D35" s="2" t="s">
        <v>132</v>
      </c>
      <c r="E35" s="2" t="s">
        <v>98</v>
      </c>
      <c r="F35" s="105" t="s">
        <v>95</v>
      </c>
      <c r="G35" s="27" t="s">
        <v>1581</v>
      </c>
      <c r="H35" s="106" t="s">
        <v>128</v>
      </c>
      <c r="I35" s="107" t="s">
        <v>127</v>
      </c>
      <c r="J35" s="108">
        <v>3.8217059399999997</v>
      </c>
      <c r="K35" s="109"/>
      <c r="L35" s="109"/>
      <c r="M35" s="110"/>
      <c r="N35" s="161"/>
      <c r="O35" s="1056"/>
      <c r="P35" s="117">
        <v>1.0552058862723E-6</v>
      </c>
      <c r="Q35" s="111">
        <v>1.8830427758242054E-8</v>
      </c>
      <c r="R35" s="112">
        <v>1.2015142789E-2</v>
      </c>
      <c r="S35" s="1032">
        <v>0.21009499000000001</v>
      </c>
      <c r="T35" s="1032">
        <v>2.8750113999999999E-6</v>
      </c>
      <c r="U35" s="1032">
        <v>8.1934578E-4</v>
      </c>
      <c r="V35" s="1032">
        <v>7.2466065999999998E-4</v>
      </c>
      <c r="W35" s="1032">
        <v>5.4453046E-4</v>
      </c>
      <c r="X35" s="1032">
        <v>7.3242756000000005E-4</v>
      </c>
      <c r="Y35" s="1032">
        <v>3.7276306999999998E-3</v>
      </c>
      <c r="Z35" s="1032">
        <v>9.2191236000000004E-5</v>
      </c>
      <c r="AA35" s="1032">
        <v>1.1796237999999999E-3</v>
      </c>
      <c r="AB35" s="1032">
        <v>3.0168879999999999E-2</v>
      </c>
      <c r="AC35" s="1032">
        <v>1.5173884000000001E-3</v>
      </c>
      <c r="AD35" s="1032">
        <v>2.0351068999999999E-3</v>
      </c>
      <c r="AE35" s="1032">
        <v>1.4314488999999999E-4</v>
      </c>
      <c r="AF35" s="1032">
        <v>2.2550716999999998</v>
      </c>
      <c r="AG35" s="1032">
        <v>1.9464735</v>
      </c>
      <c r="AH35" s="1032">
        <v>7.2601580000000005E-5</v>
      </c>
      <c r="AI35" s="1032">
        <v>2.7827508000000001E-2</v>
      </c>
      <c r="AJ35" s="1036">
        <v>2.6586640999999999E-3</v>
      </c>
      <c r="AK35" s="1077">
        <v>0.20911987000000001</v>
      </c>
      <c r="AL35" s="1078">
        <v>1.374262E-9</v>
      </c>
      <c r="AM35" s="1078">
        <v>1.6799515E-3</v>
      </c>
      <c r="AN35" s="1078">
        <v>7.9770500999999997E-4</v>
      </c>
      <c r="AO35" s="1078">
        <v>7.7431682000000002E-4</v>
      </c>
      <c r="AP35" s="1078">
        <v>4.7194958E-3</v>
      </c>
      <c r="AQ35" s="1078">
        <v>9.6727081999999995E-5</v>
      </c>
      <c r="AR35" s="1078">
        <v>4.2306666999999999E-3</v>
      </c>
      <c r="AS35" s="1078">
        <v>2.4551128999999999E-4</v>
      </c>
      <c r="AT35" s="1078">
        <v>1.4871637E-4</v>
      </c>
      <c r="AU35" s="1078">
        <v>1.4210686E-4</v>
      </c>
      <c r="AV35" s="1078">
        <v>3.8966286000000003E-2</v>
      </c>
      <c r="AW35" s="1078">
        <v>1.9464729000000001</v>
      </c>
      <c r="AX35" s="1078">
        <v>5.6982709000000005E-7</v>
      </c>
      <c r="AY35" s="1078">
        <v>-3.9162442000000002E-9</v>
      </c>
      <c r="AZ35" s="1078">
        <v>8.2977131000000004E-4</v>
      </c>
      <c r="BA35" s="1078">
        <v>2.9205748E-2</v>
      </c>
      <c r="BB35" s="1079">
        <v>2.6601110000000002E-3</v>
      </c>
      <c r="BC35" s="1035"/>
      <c r="BE35" s="113">
        <f t="array" ref="BE35">IFERROR(SUMIFS($CB35:$CW35,$CB$17:$CW$17,BE$17,$CB$18:$CW$18,BE$18)/SUMPRODUCT(($CB$18:$CW$18=BE$18)*ABS($CB35:$CW35)),"-")</f>
        <v>0.1848857104931422</v>
      </c>
      <c r="BF35" s="114">
        <f t="array" ref="BF35">IFERROR(SUMIFS($CB35:$CW35,$CB$17:$CW$17,BF$17,$CB$18:$CW$18,BF$18)/SUMPRODUCT(($CB$18:$CW$18=BF$18)*ABS($CB35:$CW35)),"-")</f>
        <v>1.4465135381230374E-3</v>
      </c>
      <c r="BG35" s="114">
        <f t="array" ref="BG35">IFERROR(SUMIFS($CB35:$CW35,$CB$17:$CW$17,BG$17,$CB$18:$CW$18,BG$18)/SUMPRODUCT(($CB$18:$CW$18=BG$18)*ABS($CB35:$CW35)),"-")</f>
        <v>6.5982784881881234E-6</v>
      </c>
      <c r="BH35" s="114">
        <f t="array" ref="BH35">IFERROR(SUMIFS($CB35:$CW35,$CB$17:$CW$17,BH$17,$CB$18:$CW$18,BH$18)/SUMPRODUCT(($CB$18:$CW$18=BH$18)*ABS($CB35:$CW35)),"-")</f>
        <v>6.2495264533600741E-4</v>
      </c>
      <c r="BI35" s="114">
        <f t="array" ref="BI35">IFERROR(SUMIFS($CB35:$CW35,$CB$17:$CW$17,BI$17,$CB$18:$CW$18,BI$18)/SUMPRODUCT(($CB$18:$CW$18=BI$18)*ABS($CB35:$CW35)),"-")</f>
        <v>0.3246343244067178</v>
      </c>
      <c r="BJ35" s="114">
        <f t="array" ref="BJ35">IFERROR(SUMIFS($CB35:$CW35,$CB$17:$CW$17,BJ$17,$CB$18:$CW$18,BJ$18)/SUMPRODUCT(($CB$18:$CW$18=BJ$18)*ABS($CB35:$CW35)),"-")</f>
        <v>4.5087712852013624E-4</v>
      </c>
      <c r="BK35" s="114">
        <f t="array" ref="BK35">IFERROR(SUMIFS($CB35:$CW35,$CB$17:$CW$17,BK$17,$CB$18:$CW$18,BK$18)/SUMPRODUCT(($CB$18:$CW$18=BK$18)*ABS($CB35:$CW35)),"-")</f>
        <v>0.48750529796348424</v>
      </c>
      <c r="BL35" s="114">
        <f t="array" ref="BL35">IFERROR(SUMIFS($CB35:$CW35,$CB$17:$CW$17,BL$17,$CB$18:$CW$18,BL$18)/SUMPRODUCT(($CB$18:$CW$18=BL$18)*ABS($CB35:$CW35)),"-")</f>
        <v>4.4572554618846106E-4</v>
      </c>
      <c r="BM35" s="115"/>
      <c r="BN35" s="114">
        <f t="array" ref="BN35">IFERROR(SUMIFS($CB35:$CW35,$CB$17:$CW$17,BN$17,$CB$18:$CW$18,BN$18)/SUMPRODUCT(($CB$18:$CW$18=BN$18)*ABS($CB35:$CW35)),"-")</f>
        <v>3.1235485486226167E-2</v>
      </c>
      <c r="BO35" s="114">
        <f t="array" ref="BO35">IFERROR(SUMIFS($CB35:$CW35,$CB$17:$CW$17,BO$17,$CB$18:$CW$18,BO$18)/SUMPRODUCT(($CB$18:$CW$18=BO$18)*ABS($CB35:$CW35)),"-")</f>
        <v>5.0175667920578674E-3</v>
      </c>
      <c r="BP35" s="114">
        <f t="array" ref="BP35">IFERROR(SUMIFS($CB35:$CW35,$CB$17:$CW$17,BP$17,$CB$18:$CW$18,BP$18)/SUMPRODUCT(($CB$18:$CW$18=BP$18)*ABS($CB35:$CW35)),"-")</f>
        <v>4.2010496530210106E-2</v>
      </c>
      <c r="BQ35" s="114">
        <f t="array" ref="BQ35">IFERROR(SUMIFS($CB35:$CW35,$CB$17:$CW$17,BQ$17,$CB$18:$CW$18,BQ$18)/SUMPRODUCT(($CB$18:$CW$18=BQ$18)*ABS($CB35:$CW35)),"-")</f>
        <v>3.2850331810930092E-3</v>
      </c>
      <c r="BR35" s="114">
        <f t="array" ref="BR35">IFERROR(SUMIFS($CB35:$CW35,$CB$17:$CW$17,BR$17,$CB$18:$CW$18,BR$18)/SUMPRODUCT(($CB$18:$CW$18=BR$18)*ABS($CB35:$CW35)),"-")</f>
        <v>1.0643041813656064E-4</v>
      </c>
      <c r="BS35" s="114">
        <f t="array" ref="BS35">IFERROR(SUMIFS($CB35:$CW35,$CB$17:$CW$17,BS$17,$CB$18:$CW$18,BS$18)/SUMPRODUCT(($CB$18:$CW$18=BS$18)*ABS($CB35:$CW35)),"-")</f>
        <v>1.826355696298353E-5</v>
      </c>
      <c r="BT35" s="114">
        <f t="array" ref="BT35">IFERROR(SUMIFS($CB35:$CW35,$CB$17:$CW$17,BT$17,$CB$18:$CW$18,BT$18)/SUMPRODUCT(($CB$18:$CW$18=BT$18)*ABS($CB35:$CW35)),"-")</f>
        <v>5.5799295347398528E-5</v>
      </c>
      <c r="BU35" s="114">
        <f t="array" ref="BU35">IFERROR(SUMIFS($CB35:$CW35,$CB$17:$CW$17,BU$17,$CB$18:$CW$18,BU$18)/SUMPRODUCT(($CB$18:$CW$18=BU$18)*ABS($CB35:$CW35)),"-")</f>
        <v>1.1351275326522637E-5</v>
      </c>
      <c r="BV35" s="114">
        <f t="array" ref="BV35">IFERROR(SUMIFS($CB35:$CW35,$CB$17:$CW$17,BV$17,$CB$18:$CW$18,BV$18)/SUMPRODUCT(($CB$18:$CW$18=BV$18)*ABS($CB35:$CW35)),"-")</f>
        <v>0.91791244585160936</v>
      </c>
      <c r="BW35" s="114">
        <f t="array" ref="BW35">IFERROR(SUMIFS($CB35:$CW35,$CB$17:$CW$17,BW$17,$CB$18:$CW$18,BW$18)/SUMPRODUCT(($CB$18:$CW$18=BW$18)*ABS($CB35:$CW35)),"-")</f>
        <v>3.4712761303008397E-4</v>
      </c>
      <c r="BX35" s="115"/>
      <c r="BY35" s="114">
        <f t="array" ref="BY35">IFERROR(SUMIFS($CB35:$CW35,$CB$17:$CW$17,BY$17,$CB$18:$CW$18,BY$18)/SUMPRODUCT(($CB$18:$CW$18=BY$18)*ABS($CB35:$CW35)),"-")</f>
        <v>1.3970528103392646E-3</v>
      </c>
      <c r="BZ35" s="116">
        <f t="array" ref="BZ35">IFERROR(SUMIFS($CB35:$CW35,$CB$17:$CW$17,BZ$17,$CB$18:$CW$18,BZ$18)/SUMPRODUCT(($CB$18:$CW$18=BZ$18)*ABS($CB35:$CW35)),"-")</f>
        <v>0.99860294718966069</v>
      </c>
      <c r="CB35" s="117">
        <v>1.9509248999999999E-7</v>
      </c>
      <c r="CC35" s="111">
        <v>5.8816148000000004E-10</v>
      </c>
      <c r="CD35" s="111">
        <v>1.6072941999999998E-14</v>
      </c>
      <c r="CE35" s="111">
        <v>1.5263696000000001E-9</v>
      </c>
      <c r="CF35" s="111">
        <v>6.9625423000000001E-12</v>
      </c>
      <c r="CG35" s="111">
        <v>6.5945371000000002E-10</v>
      </c>
      <c r="CH35" s="111">
        <v>3.4255604999999998E-7</v>
      </c>
      <c r="CI35" s="111">
        <v>9.4482928999999997E-11</v>
      </c>
      <c r="CJ35" s="111">
        <v>7.9107561999999995E-10</v>
      </c>
      <c r="CK35" s="111">
        <v>6.1858580000000001E-11</v>
      </c>
      <c r="CL35" s="111">
        <v>2.0041303E-12</v>
      </c>
      <c r="CM35" s="111">
        <v>3.4391059E-13</v>
      </c>
      <c r="CN35" s="111">
        <v>1.0507246E-12</v>
      </c>
      <c r="CO35" s="111">
        <v>2.1374937E-13</v>
      </c>
      <c r="CP35" s="111">
        <v>4.7576820000000005E-10</v>
      </c>
      <c r="CQ35" s="111">
        <v>5.1441846000000005E-7</v>
      </c>
      <c r="CR35" s="111">
        <v>1.7284684000000001E-8</v>
      </c>
      <c r="CS35" s="111">
        <v>1.6785789000000001E-5</v>
      </c>
      <c r="CT35" s="111">
        <v>1.1998356999999999E-2</v>
      </c>
      <c r="CU35" s="111">
        <v>4.7033222000000003E-10</v>
      </c>
      <c r="CV35" s="111">
        <v>6.5364827999999996E-12</v>
      </c>
      <c r="CW35" s="112">
        <v>7.8640054000000002E-17</v>
      </c>
    </row>
    <row r="36" spans="2:101" ht="12" customHeight="1" outlineLevel="1" x14ac:dyDescent="0.2">
      <c r="B36" s="104" t="s">
        <v>98</v>
      </c>
      <c r="C36" s="104" t="s">
        <v>121</v>
      </c>
      <c r="D36" s="2" t="s">
        <v>132</v>
      </c>
      <c r="E36" s="2" t="s">
        <v>98</v>
      </c>
      <c r="F36" s="105" t="s">
        <v>96</v>
      </c>
      <c r="G36" s="27" t="s">
        <v>1582</v>
      </c>
      <c r="H36" s="106" t="s">
        <v>128</v>
      </c>
      <c r="I36" s="107" t="s">
        <v>1577</v>
      </c>
      <c r="J36" s="108">
        <v>3.8217059399999997</v>
      </c>
      <c r="K36" s="109"/>
      <c r="L36" s="109"/>
      <c r="M36" s="110"/>
      <c r="N36" s="161"/>
      <c r="O36" s="1056"/>
      <c r="P36" s="117">
        <v>1.6160310189544E-6</v>
      </c>
      <c r="Q36" s="111">
        <v>1.9342468491426436E-8</v>
      </c>
      <c r="R36" s="112">
        <v>1.2468186157000001E-2</v>
      </c>
      <c r="S36" s="1032">
        <v>0.23196665999999999</v>
      </c>
      <c r="T36" s="1032">
        <v>3.5622390999999999E-6</v>
      </c>
      <c r="U36" s="1032">
        <v>8.2333063000000002E-4</v>
      </c>
      <c r="V36" s="1032">
        <v>7.5702924000000001E-4</v>
      </c>
      <c r="W36" s="1032">
        <v>7.8423166E-4</v>
      </c>
      <c r="X36" s="1032">
        <v>7.6495719000000003E-4</v>
      </c>
      <c r="Y36" s="1032">
        <v>5.6656023000000002E-3</v>
      </c>
      <c r="Z36" s="1032">
        <v>1.4366159999999999E-4</v>
      </c>
      <c r="AA36" s="1032">
        <v>1.4542909999999999E-3</v>
      </c>
      <c r="AB36" s="1032">
        <v>3.7850807E-2</v>
      </c>
      <c r="AC36" s="1032">
        <v>1.7820996000000001E-3</v>
      </c>
      <c r="AD36" s="1032">
        <v>2.2994243000000001E-3</v>
      </c>
      <c r="AE36" s="1032">
        <v>2.0168059999999999E-4</v>
      </c>
      <c r="AF36" s="1032">
        <v>3.9607776000000001</v>
      </c>
      <c r="AG36" s="1032">
        <v>1.9464735</v>
      </c>
      <c r="AH36" s="1032">
        <v>7.2707039E-5</v>
      </c>
      <c r="AI36" s="1032">
        <v>2.8831855E-2</v>
      </c>
      <c r="AJ36" s="1036">
        <v>2.6589577999999998E-3</v>
      </c>
      <c r="AK36" s="1077">
        <v>0.23096341000000001</v>
      </c>
      <c r="AL36" s="1078">
        <v>1.3809094E-9</v>
      </c>
      <c r="AM36" s="1078">
        <v>1.6880408999999999E-3</v>
      </c>
      <c r="AN36" s="1078">
        <v>8.3197507000000003E-4</v>
      </c>
      <c r="AO36" s="1078">
        <v>1.0967203999999999E-3</v>
      </c>
      <c r="AP36" s="1078">
        <v>7.1450886000000002E-3</v>
      </c>
      <c r="AQ36" s="1078">
        <v>1.4820618E-4</v>
      </c>
      <c r="AR36" s="1078">
        <v>5.2637480000000004E-3</v>
      </c>
      <c r="AS36" s="1078">
        <v>4.1121133999999997E-4</v>
      </c>
      <c r="AT36" s="1078">
        <v>1.6665326E-4</v>
      </c>
      <c r="AU36" s="1078">
        <v>1.5462125E-4</v>
      </c>
      <c r="AV36" s="1078">
        <v>6.4742629999999995E-2</v>
      </c>
      <c r="AW36" s="1078">
        <v>1.9464729000000001</v>
      </c>
      <c r="AX36" s="1078">
        <v>5.6982709000000005E-7</v>
      </c>
      <c r="AY36" s="1078">
        <v>-3.9162442000000002E-9</v>
      </c>
      <c r="AZ36" s="1078">
        <v>8.3054156999999996E-4</v>
      </c>
      <c r="BA36" s="1078">
        <v>3.0249307999999999E-2</v>
      </c>
      <c r="BB36" s="1079">
        <v>2.6604047000000001E-3</v>
      </c>
      <c r="BC36" s="1035"/>
      <c r="BE36" s="113">
        <f t="array" ref="BE36">IFERROR(SUMIFS($CB36:$CW36,$CB$17:$CW$17,BE$17,$CB$18:$CW$18,BE$18)/SUMPRODUCT(($CB$18:$CW$18=BE$18)*ABS($CB36:$CW36)),"-")</f>
        <v>0.13330069006929038</v>
      </c>
      <c r="BF36" s="114">
        <f t="array" ref="BF36">IFERROR(SUMIFS($CB36:$CW36,$CB$17:$CW$17,BF$17,$CB$18:$CW$18,BF$18)/SUMPRODUCT(($CB$18:$CW$18=BF$18)*ABS($CB36:$CW36)),"-")</f>
        <v>1.1702900364026769E-3</v>
      </c>
      <c r="BG36" s="114">
        <f t="array" ref="BG36">IFERROR(SUMIFS($CB36:$CW36,$CB$17:$CW$17,BG$17,$CB$18:$CW$18,BG$18)/SUMPRODUCT(($CB$18:$CW$18=BG$18)*ABS($CB36:$CW36)),"-")</f>
        <v>4.3293750664060858E-6</v>
      </c>
      <c r="BH36" s="114">
        <f t="array" ref="BH36">IFERROR(SUMIFS($CB36:$CW36,$CB$17:$CW$17,BH$17,$CB$18:$CW$18,BH$18)/SUMPRODUCT(($CB$18:$CW$18=BH$18)*ABS($CB36:$CW36)),"-")</f>
        <v>4.2629699054027822E-4</v>
      </c>
      <c r="BI36" s="114">
        <f t="array" ref="BI36">IFERROR(SUMIFS($CB36:$CW36,$CB$17:$CW$17,BI$17,$CB$18:$CW$18,BI$18)/SUMPRODUCT(($CB$18:$CW$18=BI$18)*ABS($CB36:$CW36)),"-")</f>
        <v>0.30529553221027717</v>
      </c>
      <c r="BJ36" s="114">
        <f t="array" ref="BJ36">IFERROR(SUMIFS($CB36:$CW36,$CB$17:$CW$17,BJ$17,$CB$18:$CW$18,BJ$18)/SUMPRODUCT(($CB$18:$CW$18=BJ$18)*ABS($CB36:$CW36)),"-")</f>
        <v>4.1483375141756259E-4</v>
      </c>
      <c r="BK36" s="114">
        <f t="array" ref="BK36">IFERROR(SUMIFS($CB36:$CW36,$CB$17:$CW$17,BK$17,$CB$18:$CW$18,BK$18)/SUMPRODUCT(($CB$18:$CW$18=BK$18)*ABS($CB36:$CW36)),"-")</f>
        <v>0.55909658255482708</v>
      </c>
      <c r="BL36" s="114">
        <f t="array" ref="BL36">IFERROR(SUMIFS($CB36:$CW36,$CB$17:$CW$17,BL$17,$CB$18:$CW$18,BL$18)/SUMPRODUCT(($CB$18:$CW$18=BL$18)*ABS($CB36:$CW36)),"-")</f>
        <v>2.9144501217850065E-4</v>
      </c>
      <c r="BM36" s="115"/>
      <c r="BN36" s="114">
        <f t="array" ref="BN36">IFERROR(SUMIFS($CB36:$CW36,$CB$17:$CW$17,BN$17,$CB$18:$CW$18,BN$18)/SUMPRODUCT(($CB$18:$CW$18=BN$18)*ABS($CB36:$CW36)),"-")</f>
        <v>3.3573528973142433E-2</v>
      </c>
      <c r="BO36" s="114">
        <f t="array" ref="BO36">IFERROR(SUMIFS($CB36:$CW36,$CB$17:$CW$17,BO$17,$CB$18:$CW$18,BO$18)/SUMPRODUCT(($CB$18:$CW$18=BO$18)*ABS($CB36:$CW36)),"-")</f>
        <v>5.1016889619719249E-3</v>
      </c>
      <c r="BP36" s="114">
        <f t="array" ref="BP36">IFERROR(SUMIFS($CB36:$CW36,$CB$17:$CW$17,BP$17,$CB$18:$CW$18,BP$18)/SUMPRODUCT(($CB$18:$CW$18=BP$18)*ABS($CB36:$CW36)),"-")</f>
        <v>6.2163539288326256E-2</v>
      </c>
      <c r="BQ36" s="114">
        <f t="array" ref="BQ36">IFERROR(SUMIFS($CB36:$CW36,$CB$17:$CW$17,BQ$17,$CB$18:$CW$18,BQ$18)/SUMPRODUCT(($CB$18:$CW$18=BQ$18)*ABS($CB36:$CW36)),"-")</f>
        <v>4.9836035169310081E-3</v>
      </c>
      <c r="BR36" s="114">
        <f t="array" ref="BR36">IFERROR(SUMIFS($CB36:$CW36,$CB$17:$CW$17,BR$17,$CB$18:$CW$18,BR$18)/SUMPRODUCT(($CB$18:$CW$18=BR$18)*ABS($CB36:$CW36)),"-")</f>
        <v>1.27738499411033E-4</v>
      </c>
      <c r="BS36" s="114">
        <f t="array" ref="BS36">IFERROR(SUMIFS($CB36:$CW36,$CB$17:$CW$17,BS$17,$CB$18:$CW$18,BS$18)/SUMPRODUCT(($CB$18:$CW$18=BS$18)*ABS($CB36:$CW36)),"-")</f>
        <v>2.2309160291059491E-5</v>
      </c>
      <c r="BT36" s="114">
        <f t="array" ref="BT36">IFERROR(SUMIFS($CB36:$CW36,$CB$17:$CW$17,BT$17,$CB$18:$CW$18,BT$18)/SUMPRODUCT(($CB$18:$CW$18=BT$18)*ABS($CB36:$CW36)),"-")</f>
        <v>6.3822396843876743E-5</v>
      </c>
      <c r="BU36" s="114">
        <f t="array" ref="BU36">IFERROR(SUMIFS($CB36:$CW36,$CB$17:$CW$17,BU$17,$CB$18:$CW$18,BU$18)/SUMPRODUCT(($CB$18:$CW$18=BU$18)*ABS($CB36:$CW36)),"-")</f>
        <v>1.2486103834526105E-5</v>
      </c>
      <c r="BV36" s="114">
        <f t="array" ref="BV36">IFERROR(SUMIFS($CB36:$CW36,$CB$17:$CW$17,BV$17,$CB$18:$CW$18,BV$18)/SUMPRODUCT(($CB$18:$CW$18=BV$18)*ABS($CB36:$CW36)),"-")</f>
        <v>0.89361313979451229</v>
      </c>
      <c r="BW36" s="114">
        <f t="array" ref="BW36">IFERROR(SUMIFS($CB36:$CW36,$CB$17:$CW$17,BW$17,$CB$18:$CW$18,BW$18)/SUMPRODUCT(($CB$18:$CW$18=BW$18)*ABS($CB36:$CW36)),"-")</f>
        <v>3.3814330473559218E-4</v>
      </c>
      <c r="BX36" s="115"/>
      <c r="BY36" s="114">
        <f t="array" ref="BY36">IFERROR(SUMIFS($CB36:$CW36,$CB$17:$CW$17,BY$17,$CB$18:$CW$18,BY$18)/SUMPRODUCT(($CB$18:$CW$18=BY$18)*ABS($CB36:$CW36)),"-")</f>
        <v>1.3482439857991928E-3</v>
      </c>
      <c r="BZ36" s="116">
        <f t="array" ref="BZ36">IFERROR(SUMIFS($CB36:$CW36,$CB$17:$CW$17,BZ$17,$CB$18:$CW$18,BZ$18)/SUMPRODUCT(($CB$18:$CW$18=BZ$18)*ABS($CB36:$CW36)),"-")</f>
        <v>0.99865175601420075</v>
      </c>
      <c r="CB36" s="117">
        <v>2.1541805E-7</v>
      </c>
      <c r="CC36" s="111">
        <v>6.4937718000000004E-10</v>
      </c>
      <c r="CD36" s="111">
        <v>1.7746308999999999E-14</v>
      </c>
      <c r="CE36" s="111">
        <v>1.8912249999999999E-9</v>
      </c>
      <c r="CF36" s="111">
        <v>6.9964043999999997E-12</v>
      </c>
      <c r="CG36" s="111">
        <v>6.8890916000000003E-10</v>
      </c>
      <c r="CH36" s="111">
        <v>4.9336705000000002E-7</v>
      </c>
      <c r="CI36" s="111">
        <v>9.8679258E-11</v>
      </c>
      <c r="CJ36" s="111">
        <v>1.2023963E-9</v>
      </c>
      <c r="CK36" s="111">
        <v>9.6395194000000002E-11</v>
      </c>
      <c r="CL36" s="111">
        <v>2.4707779000000001E-12</v>
      </c>
      <c r="CM36" s="111">
        <v>4.3151423E-13</v>
      </c>
      <c r="CN36" s="111">
        <v>1.2344826999999999E-12</v>
      </c>
      <c r="CO36" s="111">
        <v>2.4151206999999999E-13</v>
      </c>
      <c r="CP36" s="111">
        <v>6.7038420999999995E-10</v>
      </c>
      <c r="CQ36" s="111">
        <v>9.0351741999999999E-7</v>
      </c>
      <c r="CR36" s="111">
        <v>1.7284684000000001E-8</v>
      </c>
      <c r="CS36" s="111">
        <v>1.6810156999999999E-5</v>
      </c>
      <c r="CT36" s="111">
        <v>1.2451376E-2</v>
      </c>
      <c r="CU36" s="111">
        <v>4.7098417999999997E-10</v>
      </c>
      <c r="CV36" s="111">
        <v>6.5404473999999998E-12</v>
      </c>
      <c r="CW36" s="112">
        <v>7.8817434999999998E-17</v>
      </c>
    </row>
    <row r="37" spans="2:101" ht="12" customHeight="1" outlineLevel="1" x14ac:dyDescent="0.2">
      <c r="B37" s="88" t="s">
        <v>99</v>
      </c>
      <c r="C37" s="88" t="s">
        <v>121</v>
      </c>
      <c r="D37" s="89" t="s">
        <v>132</v>
      </c>
      <c r="E37" s="89" t="s">
        <v>99</v>
      </c>
      <c r="F37" s="90" t="s">
        <v>92</v>
      </c>
      <c r="G37" s="18" t="s">
        <v>126</v>
      </c>
      <c r="H37" s="91" t="s">
        <v>127</v>
      </c>
      <c r="I37" s="92" t="s">
        <v>127</v>
      </c>
      <c r="J37" s="93">
        <v>3.72132342</v>
      </c>
      <c r="K37" s="94"/>
      <c r="L37" s="94"/>
      <c r="M37" s="95"/>
      <c r="N37" s="145"/>
      <c r="O37" s="1055"/>
      <c r="P37" s="103">
        <v>1.2575973518700001E-6</v>
      </c>
      <c r="Q37" s="97">
        <v>1.6369989890523864E-8</v>
      </c>
      <c r="R37" s="98">
        <v>1.6825008624E-2</v>
      </c>
      <c r="S37" s="1033">
        <v>0.40537140999999999</v>
      </c>
      <c r="T37" s="1033">
        <v>9.2664571000000008E-6</v>
      </c>
      <c r="U37" s="1033">
        <v>1.2663109E-3</v>
      </c>
      <c r="V37" s="1033">
        <v>7.5218672999999997E-4</v>
      </c>
      <c r="W37" s="1033">
        <v>7.6490615000000004E-4</v>
      </c>
      <c r="X37" s="1033">
        <v>7.5888968999999996E-4</v>
      </c>
      <c r="Y37" s="1033">
        <v>5.5204698999999999E-3</v>
      </c>
      <c r="Z37" s="1033">
        <v>1.3865671999999999E-4</v>
      </c>
      <c r="AA37" s="1033">
        <v>2.1650489E-3</v>
      </c>
      <c r="AB37" s="1033">
        <v>1.5709393</v>
      </c>
      <c r="AC37" s="1033">
        <v>7.7974478E-2</v>
      </c>
      <c r="AD37" s="1033">
        <v>1.9743045000000001E-2</v>
      </c>
      <c r="AE37" s="1033">
        <v>1.7135617999999999E-4</v>
      </c>
      <c r="AF37" s="1033">
        <v>1.7241344999999999</v>
      </c>
      <c r="AG37" s="1033">
        <v>1.5532566000000001</v>
      </c>
      <c r="AH37" s="1033">
        <v>2.7033082000000003E-4</v>
      </c>
      <c r="AI37" s="1033">
        <v>4.217249E-2</v>
      </c>
      <c r="AJ37" s="1034">
        <v>1.4983752E-4</v>
      </c>
      <c r="AK37" s="1074">
        <v>0.40341357</v>
      </c>
      <c r="AL37" s="1075">
        <v>2.1240473999999999E-9</v>
      </c>
      <c r="AM37" s="1075">
        <v>2.6453525999999999E-3</v>
      </c>
      <c r="AN37" s="1075">
        <v>6.5361591999999998E-4</v>
      </c>
      <c r="AO37" s="1075">
        <v>1.0306878E-3</v>
      </c>
      <c r="AP37" s="1075">
        <v>6.8627069000000004E-3</v>
      </c>
      <c r="AQ37" s="1075">
        <v>1.4372104E-4</v>
      </c>
      <c r="AR37" s="1075">
        <v>7.6917994000000002E-3</v>
      </c>
      <c r="AS37" s="1075">
        <v>1.6717936999999999E-2</v>
      </c>
      <c r="AT37" s="1075">
        <v>4.4813887999999996E-3</v>
      </c>
      <c r="AU37" s="1075">
        <v>1.2137006000000001E-3</v>
      </c>
      <c r="AV37" s="1075">
        <v>5.7580808999999997E-2</v>
      </c>
      <c r="AW37" s="1075">
        <v>1.5532543000000001</v>
      </c>
      <c r="AX37" s="1075">
        <v>2.2894368000000001E-6</v>
      </c>
      <c r="AY37" s="1075">
        <v>-1.614309E-8</v>
      </c>
      <c r="AZ37" s="1075">
        <v>6.7750744999999998E-4</v>
      </c>
      <c r="BA37" s="1075">
        <v>4.3236264000000003E-2</v>
      </c>
      <c r="BB37" s="1076">
        <v>1.5581954E-4</v>
      </c>
      <c r="BC37" s="1035"/>
      <c r="BE37" s="99">
        <f t="array" ref="BE37">IFERROR(SUMIFS($CB37:$CW37,$CB$17:$CW$17,BE$17,$CB$18:$CW$18,BE$18)/SUMPRODUCT(($CB$18:$CW$18=BE$18)*ABS($CB37:$CW37)),"-")</f>
        <v>0.29944337067825472</v>
      </c>
      <c r="BF37" s="100">
        <f t="array" ref="BF37">IFERROR(SUMIFS($CB37:$CW37,$CB$17:$CW$17,BF$17,$CB$18:$CW$18,BF$18)/SUMPRODUCT(($CB$18:$CW$18=BF$18)*ABS($CB37:$CW37)),"-")</f>
        <v>3.9119405688034176E-3</v>
      </c>
      <c r="BG37" s="100">
        <f t="array" ref="BG37">IFERROR(SUMIFS($CB37:$CW37,$CB$17:$CW$17,BG$17,$CB$18:$CW$18,BG$18)/SUMPRODUCT(($CB$18:$CW$18=BG$18)*ABS($CB37:$CW37)),"-")</f>
        <v>8.556538373748381E-6</v>
      </c>
      <c r="BH37" s="100">
        <f t="array" ref="BH37">IFERROR(SUMIFS($CB37:$CW37,$CB$17:$CW$17,BH$17,$CB$18:$CW$18,BH$18)/SUMPRODUCT(($CB$18:$CW$18=BH$18)*ABS($CB37:$CW37)),"-")</f>
        <v>5.440931224787853E-4</v>
      </c>
      <c r="BI37" s="100">
        <f t="array" ref="BI37">IFERROR(SUMIFS($CB37:$CW37,$CB$17:$CW$17,BI$17,$CB$18:$CW$18,BI$18)/SUMPRODUCT(($CB$18:$CW$18=BI$18)*ABS($CB37:$CW37)),"-")</f>
        <v>0.38263566576732316</v>
      </c>
      <c r="BJ37" s="100">
        <f t="array" ref="BJ37">IFERROR(SUMIFS($CB37:$CW37,$CB$17:$CW$17,BJ$17,$CB$18:$CW$18,BJ$18)/SUMPRODUCT(($CB$18:$CW$18=BJ$18)*ABS($CB37:$CW37)),"-")</f>
        <v>4.5287605699321939E-4</v>
      </c>
      <c r="BK37" s="100">
        <f t="array" ref="BK37">IFERROR(SUMIFS($CB37:$CW37,$CB$17:$CW$17,BK$17,$CB$18:$CW$18,BK$18)/SUMPRODUCT(($CB$18:$CW$18=BK$18)*ABS($CB37:$CW37)),"-")</f>
        <v>0.31273899345858042</v>
      </c>
      <c r="BL37" s="100">
        <f t="array" ref="BL37">IFERROR(SUMIFS($CB37:$CW37,$CB$17:$CW$17,BL$17,$CB$18:$CW$18,BL$18)/SUMPRODUCT(($CB$18:$CW$18=BL$18)*ABS($CB37:$CW37)),"-")</f>
        <v>2.6450380919248746E-4</v>
      </c>
      <c r="BM37" s="101"/>
      <c r="BN37" s="100">
        <f t="array" ref="BN37">IFERROR(SUMIFS($CB37:$CW37,$CB$17:$CW$17,BN$17,$CB$18:$CW$18,BN$18)/SUMPRODUCT(($CB$18:$CW$18=BN$18)*ABS($CB37:$CW37)),"-")</f>
        <v>6.9317948319495684E-2</v>
      </c>
      <c r="BO37" s="100">
        <f t="array" ref="BO37">IFERROR(SUMIFS($CB37:$CW37,$CB$17:$CW$17,BO$17,$CB$18:$CW$18,BO$18)/SUMPRODUCT(($CB$18:$CW$18=BO$18)*ABS($CB37:$CW37)),"-")</f>
        <v>5.9778063795046391E-3</v>
      </c>
      <c r="BP37" s="100">
        <f t="array" ref="BP37">IFERROR(SUMIFS($CB37:$CW37,$CB$17:$CW$17,BP$17,$CB$18:$CW$18,BP$18)/SUMPRODUCT(($CB$18:$CW$18=BP$18)*ABS($CB37:$CW37)),"-")</f>
        <v>7.1569164540425223E-2</v>
      </c>
      <c r="BQ37" s="100">
        <f t="array" ref="BQ37">IFERROR(SUMIFS($CB37:$CW37,$CB$17:$CW$17,BQ$17,$CB$18:$CW$18,BQ$18)/SUMPRODUCT(($CB$18:$CW$18=BQ$18)*ABS($CB37:$CW37)),"-")</f>
        <v>5.6833708891815748E-3</v>
      </c>
      <c r="BR37" s="100">
        <f t="array" ref="BR37">IFERROR(SUMIFS($CB37:$CW37,$CB$17:$CW$17,BR$17,$CB$18:$CW$18,BR$18)/SUMPRODUCT(($CB$18:$CW$18=BR$18)*ABS($CB37:$CW37)),"-")</f>
        <v>2.2469928965131988E-4</v>
      </c>
      <c r="BS37" s="100">
        <f t="array" ref="BS37">IFERROR(SUMIFS($CB37:$CW37,$CB$17:$CW$17,BS$17,$CB$18:$CW$18,BS$18)/SUMPRODUCT(($CB$18:$CW$18=BS$18)*ABS($CB37:$CW37)),"-")</f>
        <v>1.093866588785472E-3</v>
      </c>
      <c r="BT37" s="100">
        <f t="array" ref="BT37">IFERROR(SUMIFS($CB37:$CW37,$CB$17:$CW$17,BT$17,$CB$18:$CW$18,BT$18)/SUMPRODUCT(($CB$18:$CW$18=BT$18)*ABS($CB37:$CW37)),"-")</f>
        <v>3.3095345423127965E-3</v>
      </c>
      <c r="BU37" s="100">
        <f t="array" ref="BU37">IFERROR(SUMIFS($CB37:$CW37,$CB$17:$CW$17,BU$17,$CB$18:$CW$18,BU$18)/SUMPRODUCT(($CB$18:$CW$18=BU$18)*ABS($CB37:$CW37)),"-")</f>
        <v>1.2657730480331351E-4</v>
      </c>
      <c r="BV37" s="100">
        <f t="array" ref="BV37">IFERROR(SUMIFS($CB37:$CW37,$CB$17:$CW$17,BV$17,$CB$18:$CW$18,BV$18)/SUMPRODUCT(($CB$18:$CW$18=BV$18)*ABS($CB37:$CW37)),"-")</f>
        <v>0.84257345864241129</v>
      </c>
      <c r="BW37" s="100">
        <f t="array" ref="BW37">IFERROR(SUMIFS($CB37:$CW37,$CB$17:$CW$17,BW$17,$CB$18:$CW$18,BW$18)/SUMPRODUCT(($CB$18:$CW$18=BW$18)*ABS($CB37:$CW37)),"-")</f>
        <v>1.2357350342842908E-4</v>
      </c>
      <c r="BX37" s="101"/>
      <c r="BY37" s="100">
        <f t="array" ref="BY37">IFERROR(SUMIFS($CB37:$CW37,$CB$17:$CW$17,BY$17,$CB$18:$CW$18,BY$18)/SUMPRODUCT(($CB$18:$CW$18=BY$18)*ABS($CB37:$CW37)),"-")</f>
        <v>3.7142105181960467E-3</v>
      </c>
      <c r="BZ37" s="102">
        <f t="array" ref="BZ37">IFERROR(SUMIFS($CB37:$CW37,$CB$17:$CW$17,BZ$17,$CB$18:$CW$18,BZ$18)/SUMPRODUCT(($CB$18:$CW$18=BZ$18)*ABS($CB37:$CW37)),"-")</f>
        <v>0.99628578948180402</v>
      </c>
      <c r="CB37" s="103">
        <v>3.7657918999999997E-7</v>
      </c>
      <c r="CC37" s="97">
        <v>1.1347031E-9</v>
      </c>
      <c r="CD37" s="97">
        <v>3.1013221999999999E-14</v>
      </c>
      <c r="CE37" s="97">
        <v>4.9196461000000001E-9</v>
      </c>
      <c r="CF37" s="97">
        <v>1.076068E-11</v>
      </c>
      <c r="CG37" s="97">
        <v>6.8425006999999999E-10</v>
      </c>
      <c r="CH37" s="97">
        <v>4.8120160000000003E-7</v>
      </c>
      <c r="CI37" s="97">
        <v>9.7856630000000005E-11</v>
      </c>
      <c r="CJ37" s="97">
        <v>1.1715865E-9</v>
      </c>
      <c r="CK37" s="97">
        <v>9.3036724000000005E-11</v>
      </c>
      <c r="CL37" s="97">
        <v>3.6783250999999997E-12</v>
      </c>
      <c r="CM37" s="97">
        <v>1.7906584999999999E-11</v>
      </c>
      <c r="CN37" s="97">
        <v>5.4177047000000002E-11</v>
      </c>
      <c r="CO37" s="97">
        <v>2.0720692E-12</v>
      </c>
      <c r="CP37" s="97">
        <v>5.6953572999999998E-10</v>
      </c>
      <c r="CQ37" s="97">
        <v>3.9329972999999998E-7</v>
      </c>
      <c r="CR37" s="97">
        <v>1.3792919E-8</v>
      </c>
      <c r="CS37" s="97">
        <v>6.2491623999999995E-5</v>
      </c>
      <c r="CT37" s="97">
        <v>1.6762517000000001E-2</v>
      </c>
      <c r="CU37" s="97">
        <v>3.3263928999999999E-10</v>
      </c>
      <c r="CV37" s="97">
        <v>2.0228064999999999E-12</v>
      </c>
      <c r="CW37" s="98">
        <v>9.0501860000000002E-17</v>
      </c>
    </row>
    <row r="38" spans="2:101" ht="12" customHeight="1" outlineLevel="1" x14ac:dyDescent="0.2">
      <c r="B38" s="104" t="s">
        <v>99</v>
      </c>
      <c r="C38" s="104" t="s">
        <v>121</v>
      </c>
      <c r="D38" s="2" t="s">
        <v>132</v>
      </c>
      <c r="E38" s="2" t="s">
        <v>99</v>
      </c>
      <c r="F38" s="105" t="s">
        <v>122</v>
      </c>
      <c r="G38" s="27" t="s">
        <v>1579</v>
      </c>
      <c r="H38" s="106" t="s">
        <v>128</v>
      </c>
      <c r="I38" s="107" t="s">
        <v>129</v>
      </c>
      <c r="J38" s="108">
        <v>3.72132342</v>
      </c>
      <c r="K38" s="109"/>
      <c r="L38" s="109"/>
      <c r="M38" s="110"/>
      <c r="N38" s="161"/>
      <c r="O38" s="1056"/>
      <c r="P38" s="117">
        <v>3.6353418785569992E-7</v>
      </c>
      <c r="Q38" s="111">
        <v>2.0724199618285504E-8</v>
      </c>
      <c r="R38" s="112">
        <v>1.2996171757E-2</v>
      </c>
      <c r="S38" s="1032">
        <v>0.21604408</v>
      </c>
      <c r="T38" s="1032">
        <v>2.6009164000000001E-6</v>
      </c>
      <c r="U38" s="1032">
        <v>9.0543792000000005E-4</v>
      </c>
      <c r="V38" s="1032">
        <v>7.7481393000000003E-4</v>
      </c>
      <c r="W38" s="1032">
        <v>2.4639045999999998E-4</v>
      </c>
      <c r="X38" s="1032">
        <v>7.8345485000000002E-4</v>
      </c>
      <c r="Y38" s="1032">
        <v>1.2209025E-3</v>
      </c>
      <c r="Z38" s="1032">
        <v>2.2749811E-5</v>
      </c>
      <c r="AA38" s="1032">
        <v>1.0828209000000001E-3</v>
      </c>
      <c r="AB38" s="1032">
        <v>2.0855868E-2</v>
      </c>
      <c r="AC38" s="1032">
        <v>9.5940860999999998E-4</v>
      </c>
      <c r="AD38" s="1032">
        <v>1.4011465E-3</v>
      </c>
      <c r="AE38" s="1032">
        <v>8.3002503999999994E-5</v>
      </c>
      <c r="AF38" s="1032">
        <v>2.3070706999999999E-2</v>
      </c>
      <c r="AG38" s="1032">
        <v>2.2228731000000002</v>
      </c>
      <c r="AH38" s="1032">
        <v>8.3012473000000005E-5</v>
      </c>
      <c r="AI38" s="1032">
        <v>3.0159452E-2</v>
      </c>
      <c r="AJ38" s="1036">
        <v>1.4785182999999999E-4</v>
      </c>
      <c r="AK38" s="1077">
        <v>0.21497775</v>
      </c>
      <c r="AL38" s="1078">
        <v>1.5187529E-9</v>
      </c>
      <c r="AM38" s="1078">
        <v>1.8572134000000001E-3</v>
      </c>
      <c r="AN38" s="1078">
        <v>8.5534339000000001E-4</v>
      </c>
      <c r="AO38" s="1078">
        <v>3.7891328E-4</v>
      </c>
      <c r="AP38" s="1078">
        <v>1.589507E-3</v>
      </c>
      <c r="AQ38" s="1078">
        <v>2.7915635999999999E-5</v>
      </c>
      <c r="AR38" s="1078">
        <v>3.7819029000000001E-3</v>
      </c>
      <c r="AS38" s="1078">
        <v>1.4138991E-5</v>
      </c>
      <c r="AT38" s="1078">
        <v>1.2272959E-4</v>
      </c>
      <c r="AU38" s="1078">
        <v>1.2713724999999999E-4</v>
      </c>
      <c r="AV38" s="1078">
        <v>7.1552919999999997E-3</v>
      </c>
      <c r="AW38" s="1078">
        <v>2.2228724</v>
      </c>
      <c r="AX38" s="1078">
        <v>6.5529815999999999E-7</v>
      </c>
      <c r="AY38" s="1078">
        <v>-4.5036603000000002E-9</v>
      </c>
      <c r="AZ38" s="1078">
        <v>9.5024642000000002E-4</v>
      </c>
      <c r="BA38" s="1078">
        <v>3.1646806E-2</v>
      </c>
      <c r="BB38" s="1079">
        <v>1.4951583000000001E-4</v>
      </c>
      <c r="BC38" s="1035"/>
      <c r="BE38" s="113">
        <f t="array" ref="BE38">IFERROR(SUMIFS($CB38:$CW38,$CB$17:$CW$17,BE$17,$CB$18:$CW$18,BE$18)/SUMPRODUCT(($CB$18:$CW$18=BE$18)*ABS($CB38:$CW38)),"-")</f>
        <v>0.55181159489634146</v>
      </c>
      <c r="BF38" s="114">
        <f t="array" ref="BF38">IFERROR(SUMIFS($CB38:$CW38,$CB$17:$CW$17,BF$17,$CB$18:$CW$18,BF$18)/SUMPRODUCT(($CB$18:$CW$18=BF$18)*ABS($CB38:$CW38)),"-")</f>
        <v>3.7984047886800406E-3</v>
      </c>
      <c r="BG38" s="114">
        <f t="array" ref="BG38">IFERROR(SUMIFS($CB38:$CW38,$CB$17:$CW$17,BG$17,$CB$18:$CW$18,BG$18)/SUMPRODUCT(($CB$18:$CW$18=BG$18)*ABS($CB38:$CW38)),"-")</f>
        <v>2.116479263032637E-5</v>
      </c>
      <c r="BH38" s="114">
        <f t="array" ref="BH38">IFERROR(SUMIFS($CB38:$CW38,$CB$17:$CW$17,BH$17,$CB$18:$CW$18,BH$18)/SUMPRODUCT(($CB$18:$CW$18=BH$18)*ABS($CB38:$CW38)),"-")</f>
        <v>1.9395561780832513E-3</v>
      </c>
      <c r="BI38" s="114">
        <f t="array" ref="BI38">IFERROR(SUMIFS($CB38:$CW38,$CB$17:$CW$17,BI$17,$CB$18:$CW$18,BI$18)/SUMPRODUCT(($CB$18:$CW$18=BI$18)*ABS($CB38:$CW38)),"-")</f>
        <v>0.4262917634077209</v>
      </c>
      <c r="BJ38" s="114">
        <f t="array" ref="BJ38">IFERROR(SUMIFS($CB38:$CW38,$CB$17:$CW$17,BJ$17,$CB$18:$CW$18,BJ$18)/SUMPRODUCT(($CB$18:$CW$18=BJ$18)*ABS($CB38:$CW38)),"-")</f>
        <v>7.587346643432762E-4</v>
      </c>
      <c r="BK38" s="114">
        <f t="array" ref="BK38">IFERROR(SUMIFS($CB38:$CW38,$CB$17:$CW$17,BK$17,$CB$18:$CW$18,BK$18)/SUMPRODUCT(($CB$18:$CW$18=BK$18)*ABS($CB38:$CW38)),"-")</f>
        <v>1.4475892160351292E-2</v>
      </c>
      <c r="BL38" s="114">
        <f t="array" ref="BL38">IFERROR(SUMIFS($CB38:$CW38,$CB$17:$CW$17,BL$17,$CB$18:$CW$18,BL$18)/SUMPRODUCT(($CB$18:$CW$18=BL$18)*ABS($CB38:$CW38)),"-")</f>
        <v>9.0288911184960394E-4</v>
      </c>
      <c r="BM38" s="115"/>
      <c r="BN38" s="114">
        <f t="array" ref="BN38">IFERROR(SUMIFS($CB38:$CW38,$CB$17:$CW$17,BN$17,$CB$18:$CW$18,BN$18)/SUMPRODUCT(($CB$18:$CW$18=BN$18)*ABS($CB38:$CW38)),"-")</f>
        <v>2.9185467670815573E-2</v>
      </c>
      <c r="BO38" s="114">
        <f t="array" ref="BO38">IFERROR(SUMIFS($CB38:$CW38,$CB$17:$CW$17,BO$17,$CB$18:$CW$18,BO$18)/SUMPRODUCT(($CB$18:$CW$18=BO$18)*ABS($CB38:$CW38)),"-")</f>
        <v>4.8766853177204172E-3</v>
      </c>
      <c r="BP38" s="114">
        <f t="array" ref="BP38">IFERROR(SUMIFS($CB38:$CW38,$CB$17:$CW$17,BP$17,$CB$18:$CW$18,BP$18)/SUMPRODUCT(($CB$18:$CW$18=BP$18)*ABS($CB38:$CW38)),"-")</f>
        <v>1.2498826722912505E-2</v>
      </c>
      <c r="BQ38" s="114">
        <f t="array" ref="BQ38">IFERROR(SUMIFS($CB38:$CW38,$CB$17:$CW$17,BQ$17,$CB$18:$CW$18,BQ$18)/SUMPRODUCT(($CB$18:$CW$18=BQ$18)*ABS($CB38:$CW38)),"-")</f>
        <v>7.3648875619461472E-4</v>
      </c>
      <c r="BR38" s="114">
        <f t="array" ref="BR38">IFERROR(SUMIFS($CB38:$CW38,$CB$17:$CW$17,BR$17,$CB$18:$CW$18,BR$18)/SUMPRODUCT(($CB$18:$CW$18=BR$18)*ABS($CB38:$CW38)),"-")</f>
        <v>8.8768996336862827E-5</v>
      </c>
      <c r="BS38" s="114">
        <f t="array" ref="BS38">IFERROR(SUMIFS($CB38:$CW38,$CB$17:$CW$17,BS$17,$CB$18:$CW$18,BS$18)/SUMPRODUCT(($CB$18:$CW$18=BS$18)*ABS($CB38:$CW38)),"-")</f>
        <v>1.1469060054328103E-5</v>
      </c>
      <c r="BT38" s="114">
        <f t="array" ref="BT38">IFERROR(SUMIFS($CB38:$CW38,$CB$17:$CW$17,BT$17,$CB$18:$CW$18,BT$18)/SUMPRODUCT(($CB$18:$CW$18=BT$18)*ABS($CB38:$CW38)),"-")</f>
        <v>3.2031685287101973E-5</v>
      </c>
      <c r="BU38" s="114">
        <f t="array" ref="BU38">IFERROR(SUMIFS($CB38:$CW38,$CB$17:$CW$17,BU$17,$CB$18:$CW$18,BU$18)/SUMPRODUCT(($CB$18:$CW$18=BU$18)*ABS($CB38:$CW38)),"-")</f>
        <v>7.101205002394924E-6</v>
      </c>
      <c r="BV38" s="114">
        <f t="array" ref="BV38">IFERROR(SUMIFS($CB38:$CW38,$CB$17:$CW$17,BV$17,$CB$18:$CW$18,BV$18)/SUMPRODUCT(($CB$18:$CW$18=BV$18)*ABS($CB38:$CW38)),"-")</f>
        <v>0.95246684376576174</v>
      </c>
      <c r="BW38" s="114">
        <f t="array" ref="BW38">IFERROR(SUMIFS($CB38:$CW38,$CB$17:$CW$17,BW$17,$CB$18:$CW$18,BW$18)/SUMPRODUCT(($CB$18:$CW$18=BW$18)*ABS($CB38:$CW38)),"-")</f>
        <v>9.6316819914473234E-5</v>
      </c>
      <c r="BX38" s="115"/>
      <c r="BY38" s="114">
        <f t="array" ref="BY38">IFERROR(SUMIFS($CB38:$CW38,$CB$17:$CW$17,BY$17,$CB$18:$CW$18,BY$18)/SUMPRODUCT(($CB$18:$CW$18=BY$18)*ABS($CB38:$CW38)),"-")</f>
        <v>1.4768008117207587E-3</v>
      </c>
      <c r="BZ38" s="116">
        <f t="array" ref="BZ38">IFERROR(SUMIFS($CB38:$CW38,$CB$17:$CW$17,BZ$17,$CB$18:$CW$18,BZ$18)/SUMPRODUCT(($CB$18:$CW$18=BZ$18)*ABS($CB38:$CW38)),"-")</f>
        <v>0.99852319918827925</v>
      </c>
      <c r="CB38" s="117">
        <v>2.0060237999999999E-7</v>
      </c>
      <c r="CC38" s="111">
        <v>6.0482892999999996E-10</v>
      </c>
      <c r="CD38" s="111">
        <v>1.6527963000000001E-14</v>
      </c>
      <c r="CE38" s="111">
        <v>1.38085E-9</v>
      </c>
      <c r="CF38" s="111">
        <v>7.6941257E-12</v>
      </c>
      <c r="CG38" s="111">
        <v>7.0509498000000005E-10</v>
      </c>
      <c r="CH38" s="111">
        <v>1.5497163E-7</v>
      </c>
      <c r="CI38" s="111">
        <v>1.010654E-10</v>
      </c>
      <c r="CJ38" s="111">
        <v>2.5902817999999999E-10</v>
      </c>
      <c r="CK38" s="111">
        <v>1.5263140000000001E-11</v>
      </c>
      <c r="CL38" s="111">
        <v>1.8396663999999999E-12</v>
      </c>
      <c r="CM38" s="111">
        <v>2.3768708999999998E-13</v>
      </c>
      <c r="CN38" s="111">
        <v>6.6383104000000002E-13</v>
      </c>
      <c r="CO38" s="111">
        <v>1.4716679E-13</v>
      </c>
      <c r="CP38" s="111">
        <v>2.7582598999999999E-10</v>
      </c>
      <c r="CQ38" s="111">
        <v>5.2624816999999999E-9</v>
      </c>
      <c r="CR38" s="111">
        <v>1.9739112999999999E-8</v>
      </c>
      <c r="CS38" s="111">
        <v>1.9192756999999999E-5</v>
      </c>
      <c r="CT38" s="111">
        <v>1.2976979E-2</v>
      </c>
      <c r="CU38" s="111">
        <v>3.2823105999999998E-10</v>
      </c>
      <c r="CV38" s="111">
        <v>1.9959996999999998E-12</v>
      </c>
      <c r="CW38" s="112">
        <v>8.9302506000000004E-17</v>
      </c>
    </row>
    <row r="39" spans="2:101" ht="12" customHeight="1" outlineLevel="1" x14ac:dyDescent="0.2">
      <c r="B39" s="104" t="s">
        <v>99</v>
      </c>
      <c r="C39" s="104" t="s">
        <v>121</v>
      </c>
      <c r="D39" s="2" t="s">
        <v>132</v>
      </c>
      <c r="E39" s="2" t="s">
        <v>99</v>
      </c>
      <c r="F39" s="105" t="s">
        <v>93</v>
      </c>
      <c r="G39" s="27" t="s">
        <v>1578</v>
      </c>
      <c r="H39" s="106" t="s">
        <v>130</v>
      </c>
      <c r="I39" s="107" t="s">
        <v>129</v>
      </c>
      <c r="J39" s="108">
        <v>3.72132342</v>
      </c>
      <c r="K39" s="109"/>
      <c r="L39" s="109"/>
      <c r="M39" s="110"/>
      <c r="N39" s="161"/>
      <c r="O39" s="1056"/>
      <c r="P39" s="117">
        <v>4.9184898056429992E-7</v>
      </c>
      <c r="Q39" s="111">
        <v>2.6477271550947991E-8</v>
      </c>
      <c r="R39" s="112">
        <v>1.6603924688999998E-2</v>
      </c>
      <c r="S39" s="1032">
        <v>0.27601818</v>
      </c>
      <c r="T39" s="1032">
        <v>3.3229339000000001E-6</v>
      </c>
      <c r="U39" s="1032">
        <v>1.1567885999999999E-3</v>
      </c>
      <c r="V39" s="1032">
        <v>9.8990320999999991E-4</v>
      </c>
      <c r="W39" s="1032">
        <v>3.1478874000000001E-4</v>
      </c>
      <c r="X39" s="1032">
        <v>1.0009429E-3</v>
      </c>
      <c r="Y39" s="1032">
        <v>1.5598265E-3</v>
      </c>
      <c r="Z39" s="1032">
        <v>2.9065185999999999E-5</v>
      </c>
      <c r="AA39" s="1032">
        <v>1.3834133000000001E-3</v>
      </c>
      <c r="AB39" s="1032">
        <v>2.6645482000000002E-2</v>
      </c>
      <c r="AC39" s="1032">
        <v>1.2368599E-3</v>
      </c>
      <c r="AD39" s="1032">
        <v>1.799277E-3</v>
      </c>
      <c r="AE39" s="1032">
        <v>1.1025713999999999E-4</v>
      </c>
      <c r="AF39" s="1032">
        <v>0.14951577999999999</v>
      </c>
      <c r="AG39" s="1032">
        <v>2.8399454</v>
      </c>
      <c r="AH39" s="1032">
        <v>1.0605683999999999E-4</v>
      </c>
      <c r="AI39" s="1032">
        <v>3.8531753000000002E-2</v>
      </c>
      <c r="AJ39" s="1036">
        <v>1.8889568000000001E-4</v>
      </c>
      <c r="AK39" s="1077">
        <v>0.27465583999999998</v>
      </c>
      <c r="AL39" s="1078">
        <v>1.9403605999999999E-9</v>
      </c>
      <c r="AM39" s="1078">
        <v>2.3727780999999999E-3</v>
      </c>
      <c r="AN39" s="1078">
        <v>1.0927877E-3</v>
      </c>
      <c r="AO39" s="1078">
        <v>4.8410006999999999E-4</v>
      </c>
      <c r="AP39" s="1078">
        <v>2.0307560999999999E-3</v>
      </c>
      <c r="AQ39" s="1078">
        <v>3.5665050999999998E-5</v>
      </c>
      <c r="AR39" s="1078">
        <v>4.8317637E-3</v>
      </c>
      <c r="AS39" s="1078">
        <v>2.5643873E-5</v>
      </c>
      <c r="AT39" s="1078">
        <v>1.5740407E-4</v>
      </c>
      <c r="AU39" s="1078">
        <v>1.6275004E-4</v>
      </c>
      <c r="AV39" s="1078">
        <v>1.0642821E-2</v>
      </c>
      <c r="AW39" s="1078">
        <v>2.8399445000000001</v>
      </c>
      <c r="AX39" s="1078">
        <v>8.3720972000000001E-7</v>
      </c>
      <c r="AY39" s="1078">
        <v>-5.7538819000000002E-9</v>
      </c>
      <c r="AZ39" s="1078">
        <v>1.2140359999999999E-3</v>
      </c>
      <c r="BA39" s="1078">
        <v>4.0431997999999997E-2</v>
      </c>
      <c r="BB39" s="1079">
        <v>1.910216E-4</v>
      </c>
      <c r="BC39" s="1035"/>
      <c r="BE39" s="113">
        <f t="array" ref="BE39">IFERROR(SUMIFS($CB39:$CW39,$CB$17:$CW$17,BE$17,$CB$18:$CW$18,BE$18)/SUMPRODUCT(($CB$18:$CW$18=BE$18)*ABS($CB39:$CW39)),"-")</f>
        <v>0.52107425272277241</v>
      </c>
      <c r="BF39" s="114">
        <f t="array" ref="BF39">IFERROR(SUMIFS($CB39:$CW39,$CB$17:$CW$17,BF$17,$CB$18:$CW$18,BF$18)/SUMPRODUCT(($CB$18:$CW$18=BF$18)*ABS($CB39:$CW39)),"-")</f>
        <v>3.5868237400349099E-3</v>
      </c>
      <c r="BG39" s="114">
        <f t="array" ref="BG39">IFERROR(SUMIFS($CB39:$CW39,$CB$17:$CW$17,BG$17,$CB$18:$CW$18,BG$18)/SUMPRODUCT(($CB$18:$CW$18=BG$18)*ABS($CB39:$CW39)),"-")</f>
        <v>1.9985858847815402E-5</v>
      </c>
      <c r="BH39" s="114">
        <f t="array" ref="BH39">IFERROR(SUMIFS($CB39:$CW39,$CB$17:$CW$17,BH$17,$CB$18:$CW$18,BH$18)/SUMPRODUCT(($CB$18:$CW$18=BH$18)*ABS($CB39:$CW39)),"-")</f>
        <v>1.8315178756017237E-3</v>
      </c>
      <c r="BI39" s="114">
        <f t="array" ref="BI39">IFERROR(SUMIFS($CB39:$CW39,$CB$17:$CW$17,BI$17,$CB$18:$CW$18,BI$18)/SUMPRODUCT(($CB$18:$CW$18=BI$18)*ABS($CB39:$CW39)),"-")</f>
        <v>0.40254620386290774</v>
      </c>
      <c r="BJ39" s="114">
        <f t="array" ref="BJ39">IFERROR(SUMIFS($CB39:$CW39,$CB$17:$CW$17,BJ$17,$CB$18:$CW$18,BJ$18)/SUMPRODUCT(($CB$18:$CW$18=BJ$18)*ABS($CB39:$CW39)),"-")</f>
        <v>7.4496307703965836E-4</v>
      </c>
      <c r="BK39" s="114">
        <f t="array" ref="BK39">IFERROR(SUMIFS($CB39:$CW39,$CB$17:$CW$17,BK$17,$CB$18:$CW$18,BK$18)/SUMPRODUCT(($CB$18:$CW$18=BK$18)*ABS($CB39:$CW39)),"-")</f>
        <v>6.9343656991764785E-2</v>
      </c>
      <c r="BL39" s="114">
        <f t="array" ref="BL39">IFERROR(SUMIFS($CB39:$CW39,$CB$17:$CW$17,BL$17,$CB$18:$CW$18,BL$18)/SUMPRODUCT(($CB$18:$CW$18=BL$18)*ABS($CB39:$CW39)),"-")</f>
        <v>8.5259587103114504E-4</v>
      </c>
      <c r="BM39" s="115"/>
      <c r="BN39" s="114">
        <f t="array" ref="BN39">IFERROR(SUMIFS($CB39:$CW39,$CB$17:$CW$17,BN$17,$CB$18:$CW$18,BN$18)/SUMPRODUCT(($CB$18:$CW$18=BN$18)*ABS($CB39:$CW39)),"-")</f>
        <v>2.918545759739857E-2</v>
      </c>
      <c r="BO39" s="114">
        <f t="array" ref="BO39">IFERROR(SUMIFS($CB39:$CW39,$CB$17:$CW$17,BO$17,$CB$18:$CW$18,BO$18)/SUMPRODUCT(($CB$18:$CW$18=BO$18)*ABS($CB39:$CW39)),"-")</f>
        <v>4.8766837531406043E-3</v>
      </c>
      <c r="BP39" s="114">
        <f t="array" ref="BP39">IFERROR(SUMIFS($CB39:$CW39,$CB$17:$CW$17,BP$17,$CB$18:$CW$18,BP$18)/SUMPRODUCT(($CB$18:$CW$18=BP$18)*ABS($CB39:$CW39)),"-")</f>
        <v>1.2498822598212587E-2</v>
      </c>
      <c r="BQ39" s="114">
        <f t="array" ref="BQ39">IFERROR(SUMIFS($CB39:$CW39,$CB$17:$CW$17,BQ$17,$CB$18:$CW$18,BQ$18)/SUMPRODUCT(($CB$18:$CW$18=BQ$18)*ABS($CB39:$CW39)),"-")</f>
        <v>7.3648853744153321E-4</v>
      </c>
      <c r="BR39" s="114">
        <f t="array" ref="BR39">IFERROR(SUMIFS($CB39:$CW39,$CB$17:$CW$17,BR$17,$CB$18:$CW$18,BR$18)/SUMPRODUCT(($CB$18:$CW$18=BR$18)*ABS($CB39:$CW39)),"-")</f>
        <v>8.8768965317192881E-5</v>
      </c>
      <c r="BS39" s="114">
        <f t="array" ref="BS39">IFERROR(SUMIFS($CB39:$CW39,$CB$17:$CW$17,BS$17,$CB$18:$CW$18,BS$18)/SUMPRODUCT(($CB$18:$CW$18=BS$18)*ABS($CB39:$CW39)),"-")</f>
        <v>1.1469055994522495E-5</v>
      </c>
      <c r="BT39" s="114">
        <f t="array" ref="BT39">IFERROR(SUMIFS($CB39:$CW39,$CB$17:$CW$17,BT$17,$CB$18:$CW$18,BT$18)/SUMPRODUCT(($CB$18:$CW$18=BT$18)*ABS($CB39:$CW39)),"-")</f>
        <v>3.2323540526189815E-5</v>
      </c>
      <c r="BU39" s="114">
        <f t="array" ref="BU39">IFERROR(SUMIFS($CB39:$CW39,$CB$17:$CW$17,BU$17,$CB$18:$CW$18,BU$18)/SUMPRODUCT(($CB$18:$CW$18=BU$18)*ABS($CB39:$CW39)),"-")</f>
        <v>7.1375760767628507E-6</v>
      </c>
      <c r="BV39" s="114">
        <f t="array" ref="BV39">IFERROR(SUMIFS($CB39:$CW39,$CB$17:$CW$17,BV$17,$CB$18:$CW$18,BV$18)/SUMPRODUCT(($CB$18:$CW$18=BV$18)*ABS($CB39:$CW39)),"-")</f>
        <v>0.95246653158629824</v>
      </c>
      <c r="BW39" s="114">
        <f t="array" ref="BW39">IFERROR(SUMIFS($CB39:$CW39,$CB$17:$CW$17,BW$17,$CB$18:$CW$18,BW$18)/SUMPRODUCT(($CB$18:$CW$18=BW$18)*ABS($CB39:$CW39)),"-")</f>
        <v>9.6316789593778684E-5</v>
      </c>
      <c r="BX39" s="115"/>
      <c r="BY39" s="114">
        <f t="array" ref="BY39">IFERROR(SUMIFS($CB39:$CW39,$CB$17:$CW$17,BY$17,$CB$18:$CW$18,BY$18)/SUMPRODUCT(($CB$18:$CW$18=BY$18)*ABS($CB39:$CW39)),"-")</f>
        <v>1.4768007841088806E-3</v>
      </c>
      <c r="BZ39" s="116">
        <f t="array" ref="BZ39">IFERROR(SUMIFS($CB39:$CW39,$CB$17:$CW$17,BZ$17,$CB$18:$CW$18,BZ$18)/SUMPRODUCT(($CB$18:$CW$18=BZ$18)*ABS($CB39:$CW39)),"-")</f>
        <v>0.99852319921589117</v>
      </c>
      <c r="CB39" s="117">
        <v>2.5628983999999998E-7</v>
      </c>
      <c r="CC39" s="111">
        <v>7.7273017000000001E-10</v>
      </c>
      <c r="CD39" s="111">
        <v>2.1116144999999999E-14</v>
      </c>
      <c r="CE39" s="111">
        <v>1.7641756E-9</v>
      </c>
      <c r="CF39" s="111">
        <v>9.8300242999999994E-12</v>
      </c>
      <c r="CG39" s="111">
        <v>9.0083020000000004E-10</v>
      </c>
      <c r="CH39" s="111">
        <v>1.9799194000000001E-7</v>
      </c>
      <c r="CI39" s="111">
        <v>1.2912128E-10</v>
      </c>
      <c r="CJ39" s="111">
        <v>3.3093472E-10</v>
      </c>
      <c r="CK39" s="111">
        <v>1.9500207E-11</v>
      </c>
      <c r="CL39" s="111">
        <v>2.3503600000000001E-12</v>
      </c>
      <c r="CM39" s="111">
        <v>3.0366930999999999E-13</v>
      </c>
      <c r="CN39" s="111">
        <v>8.5583916000000002E-13</v>
      </c>
      <c r="CO39" s="111">
        <v>1.8898354000000001E-13</v>
      </c>
      <c r="CP39" s="111">
        <v>3.6640932999999999E-10</v>
      </c>
      <c r="CQ39" s="111">
        <v>3.4106606999999999E-8</v>
      </c>
      <c r="CR39" s="111">
        <v>2.5218715000000001E-8</v>
      </c>
      <c r="CS39" s="111">
        <v>2.4520689E-5</v>
      </c>
      <c r="CT39" s="111">
        <v>1.6579403999999999E-2</v>
      </c>
      <c r="CU39" s="111">
        <v>4.1934841E-10</v>
      </c>
      <c r="CV39" s="111">
        <v>2.5500916999999999E-12</v>
      </c>
      <c r="CW39" s="112">
        <v>1.1409299E-16</v>
      </c>
    </row>
    <row r="40" spans="2:101" ht="12" customHeight="1" outlineLevel="1" x14ac:dyDescent="0.2">
      <c r="B40" s="104" t="s">
        <v>99</v>
      </c>
      <c r="C40" s="104" t="s">
        <v>121</v>
      </c>
      <c r="D40" s="2" t="s">
        <v>132</v>
      </c>
      <c r="E40" s="2" t="s">
        <v>99</v>
      </c>
      <c r="F40" s="105" t="s">
        <v>94</v>
      </c>
      <c r="G40" s="27" t="s">
        <v>1580</v>
      </c>
      <c r="H40" s="106" t="s">
        <v>131</v>
      </c>
      <c r="I40" s="107" t="s">
        <v>129</v>
      </c>
      <c r="J40" s="108">
        <v>3.72132342</v>
      </c>
      <c r="K40" s="109"/>
      <c r="L40" s="109"/>
      <c r="M40" s="110"/>
      <c r="N40" s="161"/>
      <c r="O40" s="1056"/>
      <c r="P40" s="117">
        <v>2.8096697034779996E-7</v>
      </c>
      <c r="Q40" s="111">
        <v>1.7021297682755377E-8</v>
      </c>
      <c r="R40" s="112">
        <v>1.0674080491E-2</v>
      </c>
      <c r="S40" s="1032">
        <v>0.17744240999999999</v>
      </c>
      <c r="T40" s="1032">
        <v>2.1361977000000001E-6</v>
      </c>
      <c r="U40" s="1032">
        <v>7.4365881000000003E-4</v>
      </c>
      <c r="V40" s="1032">
        <v>6.3637405000000001E-4</v>
      </c>
      <c r="W40" s="1032">
        <v>2.0236664000000001E-4</v>
      </c>
      <c r="X40" s="1032">
        <v>6.4347106000000004E-4</v>
      </c>
      <c r="Y40" s="1032">
        <v>1.0027577E-3</v>
      </c>
      <c r="Z40" s="1032">
        <v>1.8684989000000001E-5</v>
      </c>
      <c r="AA40" s="1032">
        <v>8.8934791999999998E-4</v>
      </c>
      <c r="AB40" s="1032">
        <v>1.7129446E-2</v>
      </c>
      <c r="AC40" s="1032">
        <v>7.8083874000000003E-4</v>
      </c>
      <c r="AD40" s="1032">
        <v>1.1449012000000001E-3</v>
      </c>
      <c r="AE40" s="1032">
        <v>6.5463615000000002E-5</v>
      </c>
      <c r="AF40" s="1032">
        <v>-5.8221355000000002E-2</v>
      </c>
      <c r="AG40" s="1032">
        <v>1.8257013</v>
      </c>
      <c r="AH40" s="1032">
        <v>6.8180220000000003E-5</v>
      </c>
      <c r="AI40" s="1032">
        <v>2.4770713E-2</v>
      </c>
      <c r="AJ40" s="1036">
        <v>1.2143441E-4</v>
      </c>
      <c r="AK40" s="1077">
        <v>0.17656661000000001</v>
      </c>
      <c r="AL40" s="1078">
        <v>1.2473897000000001E-9</v>
      </c>
      <c r="AM40" s="1078">
        <v>1.5253758000000001E-3</v>
      </c>
      <c r="AN40" s="1078">
        <v>7.0251491000000005E-4</v>
      </c>
      <c r="AO40" s="1078">
        <v>3.1121095999999998E-4</v>
      </c>
      <c r="AP40" s="1078">
        <v>1.3055019E-3</v>
      </c>
      <c r="AQ40" s="1078">
        <v>2.2927810000000002E-5</v>
      </c>
      <c r="AR40" s="1078">
        <v>3.1061714000000002E-3</v>
      </c>
      <c r="AS40" s="1078">
        <v>6.7398655000000003E-6</v>
      </c>
      <c r="AT40" s="1078">
        <v>1.0041221E-4</v>
      </c>
      <c r="AU40" s="1078">
        <v>1.0421571E-4</v>
      </c>
      <c r="AV40" s="1078">
        <v>4.9117439000000004E-3</v>
      </c>
      <c r="AW40" s="1078">
        <v>1.8257007000000001</v>
      </c>
      <c r="AX40" s="1078">
        <v>5.3821277000000004E-7</v>
      </c>
      <c r="AY40" s="1078">
        <v>-3.6989689000000002E-9</v>
      </c>
      <c r="AZ40" s="1078">
        <v>7.8046115000000003E-4</v>
      </c>
      <c r="BA40" s="1078">
        <v>2.5992313E-2</v>
      </c>
      <c r="BB40" s="1079">
        <v>1.2280109000000001E-4</v>
      </c>
      <c r="BC40" s="1035"/>
      <c r="BE40" s="113">
        <f t="array" ref="BE40">IFERROR(SUMIFS($CB40:$CW40,$CB$17:$CW$17,BE$17,$CB$18:$CW$18,BE$18)/SUMPRODUCT(($CB$18:$CW$18=BE$18)*ABS($CB40:$CW40)),"-")</f>
        <v>0.53575175764031768</v>
      </c>
      <c r="BF40" s="114">
        <f t="array" ref="BF40">IFERROR(SUMIFS($CB40:$CW40,$CB$17:$CW$17,BF$17,$CB$18:$CW$18,BF$18)/SUMPRODUCT(($CB$18:$CW$18=BF$18)*ABS($CB40:$CW40)),"-")</f>
        <v>3.687856526467402E-3</v>
      </c>
      <c r="BG40" s="114">
        <f t="array" ref="BG40">IFERROR(SUMIFS($CB40:$CW40,$CB$17:$CW$17,BG$17,$CB$18:$CW$18,BG$18)/SUMPRODUCT(($CB$18:$CW$18=BG$18)*ABS($CB40:$CW40)),"-")</f>
        <v>2.0548815857897354E-5</v>
      </c>
      <c r="BH40" s="114">
        <f t="array" ref="BH40">IFERROR(SUMIFS($CB40:$CW40,$CB$17:$CW$17,BH$17,$CB$18:$CW$18,BH$18)/SUMPRODUCT(($CB$18:$CW$18=BH$18)*ABS($CB40:$CW40)),"-")</f>
        <v>1.883107657518573E-3</v>
      </c>
      <c r="BI40" s="114">
        <f t="array" ref="BI40">IFERROR(SUMIFS($CB40:$CW40,$CB$17:$CW$17,BI$17,$CB$18:$CW$18,BI$18)/SUMPRODUCT(($CB$18:$CW$18=BI$18)*ABS($CB40:$CW40)),"-")</f>
        <v>0.41388502178837944</v>
      </c>
      <c r="BJ40" s="114">
        <f t="array" ref="BJ40">IFERROR(SUMIFS($CB40:$CW40,$CB$17:$CW$17,BJ$17,$CB$18:$CW$18,BJ$18)/SUMPRODUCT(($CB$18:$CW$18=BJ$18)*ABS($CB40:$CW40)),"-")</f>
        <v>7.0735809251813763E-4</v>
      </c>
      <c r="BK40" s="114">
        <f t="array" ref="BK40">IFERROR(SUMIFS($CB40:$CW40,$CB$17:$CW$17,BK$17,$CB$18:$CW$18,BK$18)/SUMPRODUCT(($CB$18:$CW$18=BK$18)*ABS($CB40:$CW40)),"-")</f>
        <v>-4.3187737894999099E-2</v>
      </c>
      <c r="BL40" s="114">
        <f t="array" ref="BL40">IFERROR(SUMIFS($CB40:$CW40,$CB$17:$CW$17,BL$17,$CB$18:$CW$18,BL$18)/SUMPRODUCT(($CB$18:$CW$18=BL$18)*ABS($CB40:$CW40)),"-")</f>
        <v>8.7661158394192326E-4</v>
      </c>
      <c r="BM40" s="115"/>
      <c r="BN40" s="114">
        <f t="array" ref="BN40">IFERROR(SUMIFS($CB40:$CW40,$CB$17:$CW$17,BN$17,$CB$18:$CW$18,BN$18)/SUMPRODUCT(($CB$18:$CW$18=BN$18)*ABS($CB40:$CW40)),"-")</f>
        <v>2.9185477164428691E-2</v>
      </c>
      <c r="BO40" s="114">
        <f t="array" ref="BO40">IFERROR(SUMIFS($CB40:$CW40,$CB$17:$CW$17,BO$17,$CB$18:$CW$18,BO$18)/SUMPRODUCT(($CB$18:$CW$18=BO$18)*ABS($CB40:$CW40)),"-")</f>
        <v>4.876687109708247E-3</v>
      </c>
      <c r="BP40" s="114">
        <f t="array" ref="BP40">IFERROR(SUMIFS($CB40:$CW40,$CB$17:$CW$17,BP$17,$CB$18:$CW$18,BP$18)/SUMPRODUCT(($CB$18:$CW$18=BP$18)*ABS($CB40:$CW40)),"-")</f>
        <v>1.249883081567498E-2</v>
      </c>
      <c r="BQ40" s="114">
        <f t="array" ref="BQ40">IFERROR(SUMIFS($CB40:$CW40,$CB$17:$CW$17,BQ$17,$CB$18:$CW$18,BQ$18)/SUMPRODUCT(($CB$18:$CW$18=BQ$18)*ABS($CB40:$CW40)),"-")</f>
        <v>7.3648902884181837E-4</v>
      </c>
      <c r="BR40" s="114">
        <f t="array" ref="BR40">IFERROR(SUMIFS($CB40:$CW40,$CB$17:$CW$17,BR$17,$CB$18:$CW$18,BR$18)/SUMPRODUCT(($CB$18:$CW$18=BR$18)*ABS($CB40:$CW40)),"-")</f>
        <v>8.8769025027438906E-5</v>
      </c>
      <c r="BS40" s="114">
        <f t="array" ref="BS40">IFERROR(SUMIFS($CB40:$CW40,$CB$17:$CW$17,BS$17,$CB$18:$CW$18,BS$18)/SUMPRODUCT(($CB$18:$CW$18=BS$18)*ABS($CB40:$CW40)),"-")</f>
        <v>1.1469063853914011E-5</v>
      </c>
      <c r="BT40" s="114">
        <f t="array" ref="BT40">IFERROR(SUMIFS($CB40:$CW40,$CB$17:$CW$17,BT$17,$CB$18:$CW$18,BT$18)/SUMPRODUCT(($CB$18:$CW$18=BT$18)*ABS($CB40:$CW40)),"-")</f>
        <v>3.1739829716234943E-5</v>
      </c>
      <c r="BU40" s="114">
        <f t="array" ref="BU40">IFERROR(SUMIFS($CB40:$CW40,$CB$17:$CW$17,BU$17,$CB$18:$CW$18,BU$18)/SUMPRODUCT(($CB$18:$CW$18=BU$18)*ABS($CB40:$CW40)),"-")</f>
        <v>7.0648338476466692E-6</v>
      </c>
      <c r="BV40" s="114">
        <f t="array" ref="BV40">IFERROR(SUMIFS($CB40:$CW40,$CB$17:$CW$17,BV$17,$CB$18:$CW$18,BV$18)/SUMPRODUCT(($CB$18:$CW$18=BV$18)*ABS($CB40:$CW40)),"-")</f>
        <v>0.95246715627474965</v>
      </c>
      <c r="BW40" s="114">
        <f t="array" ref="BW40">IFERROR(SUMIFS($CB40:$CW40,$CB$17:$CW$17,BW$17,$CB$18:$CW$18,BW$18)/SUMPRODUCT(($CB$18:$CW$18=BW$18)*ABS($CB40:$CW40)),"-")</f>
        <v>9.6316854151604891E-5</v>
      </c>
      <c r="BX40" s="115"/>
      <c r="BY40" s="114">
        <f t="array" ref="BY40">IFERROR(SUMIFS($CB40:$CW40,$CB$17:$CW$17,BY$17,$CB$18:$CW$18,BY$18)/SUMPRODUCT(($CB$18:$CW$18=BY$18)*ABS($CB40:$CW40)),"-")</f>
        <v>1.4768008366895123E-3</v>
      </c>
      <c r="BZ40" s="116">
        <f t="array" ref="BZ40">IFERROR(SUMIFS($CB40:$CW40,$CB$17:$CW$17,BZ$17,$CB$18:$CW$18,BZ$18)/SUMPRODUCT(($CB$18:$CW$18=BZ$18)*ABS($CB40:$CW40)),"-")</f>
        <v>0.99852319916331056</v>
      </c>
      <c r="CB40" s="117">
        <v>1.6475974999999999E-7</v>
      </c>
      <c r="CC40" s="111">
        <v>4.9676111999999997E-10</v>
      </c>
      <c r="CD40" s="111">
        <v>1.3574829000000001E-14</v>
      </c>
      <c r="CE40" s="111">
        <v>1.1341266E-9</v>
      </c>
      <c r="CF40" s="111">
        <v>6.3193778E-12</v>
      </c>
      <c r="CG40" s="111">
        <v>5.7911214E-10</v>
      </c>
      <c r="CH40" s="111">
        <v>1.2728207E-7</v>
      </c>
      <c r="CI40" s="111">
        <v>8.3007543000000003E-11</v>
      </c>
      <c r="CJ40" s="111">
        <v>2.1274632000000001E-10</v>
      </c>
      <c r="CK40" s="111">
        <v>1.2535999E-11</v>
      </c>
      <c r="CL40" s="111">
        <v>1.5109639999999999E-12</v>
      </c>
      <c r="CM40" s="111">
        <v>1.9521835000000001E-13</v>
      </c>
      <c r="CN40" s="111">
        <v>5.4025309000000003E-13</v>
      </c>
      <c r="CO40" s="111">
        <v>1.2025264E-13</v>
      </c>
      <c r="CP40" s="111">
        <v>2.1753385000000001E-10</v>
      </c>
      <c r="CQ40" s="111">
        <v>-1.3281526000000001E-8</v>
      </c>
      <c r="CR40" s="111">
        <v>1.6212226999999999E-8</v>
      </c>
      <c r="CS40" s="111">
        <v>1.5763491000000001E-5</v>
      </c>
      <c r="CT40" s="111">
        <v>1.0658317E-2</v>
      </c>
      <c r="CU40" s="111">
        <v>2.6958437999999998E-10</v>
      </c>
      <c r="CV40" s="111">
        <v>1.6393645E-12</v>
      </c>
      <c r="CW40" s="112">
        <v>7.3346381000000004E-17</v>
      </c>
    </row>
    <row r="41" spans="2:101" ht="12" customHeight="1" outlineLevel="1" x14ac:dyDescent="0.2">
      <c r="B41" s="104" t="s">
        <v>99</v>
      </c>
      <c r="C41" s="104" t="s">
        <v>121</v>
      </c>
      <c r="D41" s="2" t="s">
        <v>132</v>
      </c>
      <c r="E41" s="2" t="s">
        <v>99</v>
      </c>
      <c r="F41" s="105" t="s">
        <v>95</v>
      </c>
      <c r="G41" s="27" t="s">
        <v>1581</v>
      </c>
      <c r="H41" s="106" t="s">
        <v>128</v>
      </c>
      <c r="I41" s="107" t="s">
        <v>127</v>
      </c>
      <c r="J41" s="108">
        <v>3.72132342</v>
      </c>
      <c r="K41" s="109"/>
      <c r="L41" s="109"/>
      <c r="M41" s="110"/>
      <c r="N41" s="161"/>
      <c r="O41" s="1056"/>
      <c r="P41" s="117">
        <v>1.1822681387003998E-6</v>
      </c>
      <c r="Q41" s="111">
        <v>2.1530701848194901E-8</v>
      </c>
      <c r="R41" s="112">
        <v>1.3788944398E-2</v>
      </c>
      <c r="S41" s="1032">
        <v>0.25089992</v>
      </c>
      <c r="T41" s="1032">
        <v>3.6773527000000001E-6</v>
      </c>
      <c r="U41" s="1032">
        <v>9.1241095E-4</v>
      </c>
      <c r="V41" s="1032">
        <v>8.3145509999999997E-4</v>
      </c>
      <c r="W41" s="1032">
        <v>6.2253511000000001E-4</v>
      </c>
      <c r="X41" s="1032">
        <v>8.4037784000000001E-4</v>
      </c>
      <c r="Y41" s="1032">
        <v>4.2584735999999998E-3</v>
      </c>
      <c r="Z41" s="1032">
        <v>1.0528277E-4</v>
      </c>
      <c r="AA41" s="1032">
        <v>1.5129903E-3</v>
      </c>
      <c r="AB41" s="1032">
        <v>3.4298327000000003E-2</v>
      </c>
      <c r="AC41" s="1032">
        <v>1.7244007000000001E-3</v>
      </c>
      <c r="AD41" s="1032">
        <v>2.3167114000000001E-3</v>
      </c>
      <c r="AE41" s="1032">
        <v>1.6376474E-4</v>
      </c>
      <c r="AF41" s="1032">
        <v>2.4288352</v>
      </c>
      <c r="AG41" s="1032">
        <v>2.2228731000000002</v>
      </c>
      <c r="AH41" s="1032">
        <v>8.3197015000000004E-5</v>
      </c>
      <c r="AI41" s="1032">
        <v>3.1916939999999998E-2</v>
      </c>
      <c r="AJ41" s="1036">
        <v>1.4836573E-4</v>
      </c>
      <c r="AK41" s="1077">
        <v>0.24978436000000001</v>
      </c>
      <c r="AL41" s="1078">
        <v>1.5303851E-9</v>
      </c>
      <c r="AM41" s="1078">
        <v>1.8713689000000001E-3</v>
      </c>
      <c r="AN41" s="1078">
        <v>9.1531192000000004E-4</v>
      </c>
      <c r="AO41" s="1078">
        <v>8.8534254000000002E-4</v>
      </c>
      <c r="AP41" s="1078">
        <v>5.3919449E-3</v>
      </c>
      <c r="AQ41" s="1078">
        <v>1.1046386E-4</v>
      </c>
      <c r="AR41" s="1078">
        <v>5.4000908999999996E-3</v>
      </c>
      <c r="AS41" s="1078">
        <v>2.7988545E-4</v>
      </c>
      <c r="AT41" s="1078">
        <v>1.7001101000000001E-4</v>
      </c>
      <c r="AU41" s="1078">
        <v>1.6247669E-4</v>
      </c>
      <c r="AV41" s="1078">
        <v>4.2736242000000001E-2</v>
      </c>
      <c r="AW41" s="1078">
        <v>2.2228724</v>
      </c>
      <c r="AX41" s="1078">
        <v>6.5529815999999999E-7</v>
      </c>
      <c r="AY41" s="1078">
        <v>-4.5036603000000002E-9</v>
      </c>
      <c r="AZ41" s="1078">
        <v>9.5159428999999998E-4</v>
      </c>
      <c r="BA41" s="1078">
        <v>3.3472913E-2</v>
      </c>
      <c r="BB41" s="1079">
        <v>1.5002972999999999E-4</v>
      </c>
      <c r="BC41" s="1035"/>
      <c r="BE41" s="113">
        <f t="array" ref="BE41">IFERROR(SUMIFS($CB41:$CW41,$CB$17:$CW$17,BE$17,$CB$18:$CW$18,BE$18)/SUMPRODUCT(($CB$18:$CW$18=BE$18)*ABS($CB41:$CW41)),"-")</f>
        <v>0.19707329697315237</v>
      </c>
      <c r="BF41" s="114">
        <f t="array" ref="BF41">IFERROR(SUMIFS($CB41:$CW41,$CB$17:$CW$17,BF$17,$CB$18:$CW$18,BF$18)/SUMPRODUCT(($CB$18:$CW$18=BF$18)*ABS($CB41:$CW41)),"-")</f>
        <v>1.6513511073267153E-3</v>
      </c>
      <c r="BG41" s="114">
        <f t="array" ref="BG41">IFERROR(SUMIFS($CB41:$CW41,$CB$17:$CW$17,BG$17,$CB$18:$CW$18,BG$18)/SUMPRODUCT(($CB$18:$CW$18=BG$18)*ABS($CB41:$CW41)),"-")</f>
        <v>6.5580557795652443E-6</v>
      </c>
      <c r="BH41" s="114">
        <f t="array" ref="BH41">IFERROR(SUMIFS($CB41:$CW41,$CB$17:$CW$17,BH$17,$CB$18:$CW$18,BH$18)/SUMPRODUCT(($CB$18:$CW$18=BH$18)*ABS($CB41:$CW41)),"-")</f>
        <v>6.399889291034517E-4</v>
      </c>
      <c r="BI41" s="114">
        <f t="array" ref="BI41">IFERROR(SUMIFS($CB41:$CW41,$CB$17:$CW$17,BI$17,$CB$18:$CW$18,BI$18)/SUMPRODUCT(($CB$18:$CW$18=BI$18)*ABS($CB41:$CW41)),"-")</f>
        <v>0.33125103111591409</v>
      </c>
      <c r="BJ41" s="114">
        <f t="array" ref="BJ41">IFERROR(SUMIFS($CB41:$CW41,$CB$17:$CW$17,BJ$17,$CB$18:$CW$18,BJ$18)/SUMPRODUCT(($CB$18:$CW$18=BJ$18)*ABS($CB41:$CW41)),"-")</f>
        <v>4.6039055116407312E-4</v>
      </c>
      <c r="BK41" s="114">
        <f t="array" ref="BK41">IFERROR(SUMIFS($CB41:$CW41,$CB$17:$CW$17,BK$17,$CB$18:$CW$18,BK$18)/SUMPRODUCT(($CB$18:$CW$18=BK$18)*ABS($CB41:$CW41)),"-")</f>
        <v>0.46863879002020897</v>
      </c>
      <c r="BL41" s="114">
        <f t="array" ref="BL41">IFERROR(SUMIFS($CB41:$CW41,$CB$17:$CW$17,BL$17,$CB$18:$CW$18,BL$18)/SUMPRODUCT(($CB$18:$CW$18=BL$18)*ABS($CB41:$CW41)),"-")</f>
        <v>2.7859324735085886E-4</v>
      </c>
      <c r="BM41" s="115"/>
      <c r="BN41" s="114">
        <f t="array" ref="BN41">IFERROR(SUMIFS($CB41:$CW41,$CB$17:$CW$17,BN$17,$CB$18:$CW$18,BN$18)/SUMPRODUCT(($CB$18:$CW$18=BN$18)*ABS($CB41:$CW41)),"-")</f>
        <v>3.2623429541424283E-2</v>
      </c>
      <c r="BO41" s="114">
        <f t="array" ref="BO41">IFERROR(SUMIFS($CB41:$CW41,$CB$17:$CW$17,BO$17,$CB$18:$CW$18,BO$18)/SUMPRODUCT(($CB$18:$CW$18=BO$18)*ABS($CB41:$CW41)),"-")</f>
        <v>5.0350648466709778E-3</v>
      </c>
      <c r="BP41" s="114">
        <f t="array" ref="BP41">IFERROR(SUMIFS($CB41:$CW41,$CB$17:$CW$17,BP$17,$CB$18:$CW$18,BP$18)/SUMPRODUCT(($CB$18:$CW$18=BP$18)*ABS($CB41:$CW41)),"-")</f>
        <v>4.1974033005141784E-2</v>
      </c>
      <c r="BQ41" s="114">
        <f t="array" ref="BQ41">IFERROR(SUMIFS($CB41:$CW41,$CB$17:$CW$17,BQ$17,$CB$18:$CW$18,BQ$18)/SUMPRODUCT(($CB$18:$CW$18=BQ$18)*ABS($CB41:$CW41)),"-")</f>
        <v>3.2810240231868045E-3</v>
      </c>
      <c r="BR41" s="114">
        <f t="array" ref="BR41">IFERROR(SUMIFS($CB41:$CW41,$CB$17:$CW$17,BR$17,$CB$18:$CW$18,BR$18)/SUMPRODUCT(($CB$18:$CW$18=BR$18)*ABS($CB41:$CW41)),"-")</f>
        <v>1.1938791025595419E-4</v>
      </c>
      <c r="BS41" s="114">
        <f t="array" ref="BS41">IFERROR(SUMIFS($CB41:$CW41,$CB$17:$CW$17,BS$17,$CB$18:$CW$18,BS$18)/SUMPRODUCT(($CB$18:$CW$18=BS$18)*ABS($CB41:$CW41)),"-")</f>
        <v>1.8159327213607735E-5</v>
      </c>
      <c r="BT41" s="114">
        <f t="array" ref="BT41">IFERROR(SUMIFS($CB41:$CW41,$CB$17:$CW$17,BT$17,$CB$18:$CW$18,BT$18)/SUMPRODUCT(($CB$18:$CW$18=BT$18)*ABS($CB41:$CW41)),"-")</f>
        <v>5.5458038870205587E-5</v>
      </c>
      <c r="BU41" s="114">
        <f t="array" ref="BU41">IFERROR(SUMIFS($CB41:$CW41,$CB$17:$CW$17,BU$17,$CB$18:$CW$18,BU$18)/SUMPRODUCT(($CB$18:$CW$18=BU$18)*ABS($CB41:$CW41)),"-")</f>
        <v>1.1301415147337623E-5</v>
      </c>
      <c r="BV41" s="114">
        <f t="array" ref="BV41">IFERROR(SUMIFS($CB41:$CW41,$CB$17:$CW$17,BV$17,$CB$18:$CW$18,BV$18)/SUMPRODUCT(($CB$18:$CW$18=BV$18)*ABS($CB41:$CW41)),"-")</f>
        <v>0.91678911069287294</v>
      </c>
      <c r="BW41" s="114">
        <f t="array" ref="BW41">IFERROR(SUMIFS($CB41:$CW41,$CB$17:$CW$17,BW$17,$CB$18:$CW$18,BW$18)/SUMPRODUCT(($CB$18:$CW$18=BW$18)*ABS($CB41:$CW41)),"-")</f>
        <v>9.3031199216105944E-5</v>
      </c>
      <c r="BX41" s="115"/>
      <c r="BY41" s="114">
        <f t="array" ref="BY41">IFERROR(SUMIFS($CB41:$CW41,$CB$17:$CW$17,BY$17,$CB$18:$CW$18,BY$18)/SUMPRODUCT(($CB$18:$CW$18=BY$18)*ABS($CB41:$CW41)),"-")</f>
        <v>1.3949869870234573E-3</v>
      </c>
      <c r="BZ41" s="116">
        <f t="array" ref="BZ41">IFERROR(SUMIFS($CB41:$CW41,$CB$17:$CW$17,BZ$17,$CB$18:$CW$18,BZ$18)/SUMPRODUCT(($CB$18:$CW$18=BZ$18)*ABS($CB41:$CW41)),"-")</f>
        <v>0.99860501301297655</v>
      </c>
      <c r="CB41" s="117">
        <v>2.3299347999999999E-7</v>
      </c>
      <c r="CC41" s="111">
        <v>7.0238613999999996E-10</v>
      </c>
      <c r="CD41" s="111">
        <v>1.9194722E-14</v>
      </c>
      <c r="CE41" s="111">
        <v>1.9523397999999998E-9</v>
      </c>
      <c r="CF41" s="111">
        <v>7.7533804000000005E-12</v>
      </c>
      <c r="CG41" s="111">
        <v>7.5663852000000001E-10</v>
      </c>
      <c r="CH41" s="111">
        <v>3.9162753999999999E-7</v>
      </c>
      <c r="CI41" s="111">
        <v>1.0840848E-10</v>
      </c>
      <c r="CJ41" s="111">
        <v>9.0373039000000002E-10</v>
      </c>
      <c r="CK41" s="111">
        <v>7.0642749999999999E-11</v>
      </c>
      <c r="CL41" s="111">
        <v>2.5705054999999999E-12</v>
      </c>
      <c r="CM41" s="111">
        <v>3.9098306E-13</v>
      </c>
      <c r="CN41" s="111">
        <v>1.1940505E-12</v>
      </c>
      <c r="CO41" s="111">
        <v>2.433274E-13</v>
      </c>
      <c r="CP41" s="111">
        <v>5.4430507999999996E-10</v>
      </c>
      <c r="CQ41" s="111">
        <v>5.5405671E-7</v>
      </c>
      <c r="CR41" s="111">
        <v>1.9739112999999999E-8</v>
      </c>
      <c r="CS41" s="111">
        <v>1.9235398E-5</v>
      </c>
      <c r="CT41" s="111">
        <v>1.3769709E-2</v>
      </c>
      <c r="CU41" s="111">
        <v>3.2937191999999999E-10</v>
      </c>
      <c r="CV41" s="111">
        <v>2.0029374000000001E-12</v>
      </c>
      <c r="CW41" s="112">
        <v>8.9612902000000001E-17</v>
      </c>
    </row>
    <row r="42" spans="2:101" ht="12" customHeight="1" outlineLevel="1" x14ac:dyDescent="0.2">
      <c r="B42" s="104" t="s">
        <v>99</v>
      </c>
      <c r="C42" s="104" t="s">
        <v>121</v>
      </c>
      <c r="D42" s="2" t="s">
        <v>132</v>
      </c>
      <c r="E42" s="2" t="s">
        <v>99</v>
      </c>
      <c r="F42" s="105" t="s">
        <v>96</v>
      </c>
      <c r="G42" s="27" t="s">
        <v>1582</v>
      </c>
      <c r="H42" s="106" t="s">
        <v>128</v>
      </c>
      <c r="I42" s="107" t="s">
        <v>1577</v>
      </c>
      <c r="J42" s="108">
        <v>3.72132342</v>
      </c>
      <c r="K42" s="109"/>
      <c r="L42" s="109"/>
      <c r="M42" s="110"/>
      <c r="N42" s="161"/>
      <c r="O42" s="1056"/>
      <c r="P42" s="117">
        <v>1.8206168589308999E-6</v>
      </c>
      <c r="Q42" s="111">
        <v>2.2115451961383468E-8</v>
      </c>
      <c r="R42" s="112">
        <v>1.4306320226000001E-2</v>
      </c>
      <c r="S42" s="1032">
        <v>0.27587738000000001</v>
      </c>
      <c r="T42" s="1032">
        <v>4.4621668000000001E-6</v>
      </c>
      <c r="U42" s="1032">
        <v>9.1696165E-4</v>
      </c>
      <c r="V42" s="1032">
        <v>8.6842001999999998E-4</v>
      </c>
      <c r="W42" s="1032">
        <v>8.9627393000000003E-4</v>
      </c>
      <c r="X42" s="1032">
        <v>8.7752667999999999E-4</v>
      </c>
      <c r="Y42" s="1032">
        <v>6.4716375999999999E-3</v>
      </c>
      <c r="Z42" s="1032">
        <v>1.6406194E-4</v>
      </c>
      <c r="AA42" s="1032">
        <v>1.8266602E-3</v>
      </c>
      <c r="AB42" s="1032">
        <v>4.3071089E-2</v>
      </c>
      <c r="AC42" s="1032">
        <v>2.0260565000000002E-3</v>
      </c>
      <c r="AD42" s="1032">
        <v>2.6179934E-3</v>
      </c>
      <c r="AE42" s="1032">
        <v>2.3063724E-4</v>
      </c>
      <c r="AF42" s="1032">
        <v>4.3674853999999996</v>
      </c>
      <c r="AG42" s="1032">
        <v>2.2228731000000002</v>
      </c>
      <c r="AH42" s="1032">
        <v>8.3317450000000006E-5</v>
      </c>
      <c r="AI42" s="1032">
        <v>3.3063903999999998E-2</v>
      </c>
      <c r="AJ42" s="1036">
        <v>1.4870110999999999E-4</v>
      </c>
      <c r="AK42" s="1077">
        <v>0.27472969000000003</v>
      </c>
      <c r="AL42" s="1078">
        <v>1.5379765E-9</v>
      </c>
      <c r="AM42" s="1078">
        <v>1.8806071000000001E-3</v>
      </c>
      <c r="AN42" s="1078">
        <v>9.5444832999999998E-4</v>
      </c>
      <c r="AO42" s="1078">
        <v>1.2535274000000001E-3</v>
      </c>
      <c r="AP42" s="1078">
        <v>8.1619723000000005E-3</v>
      </c>
      <c r="AQ42" s="1078">
        <v>1.6925299999999999E-4</v>
      </c>
      <c r="AR42" s="1078">
        <v>6.5798699999999998E-3</v>
      </c>
      <c r="AS42" s="1078">
        <v>4.6886771999999998E-4</v>
      </c>
      <c r="AT42" s="1078">
        <v>1.9048584999999999E-4</v>
      </c>
      <c r="AU42" s="1078">
        <v>1.7676445000000001E-4</v>
      </c>
      <c r="AV42" s="1078">
        <v>7.2050856999999996E-2</v>
      </c>
      <c r="AW42" s="1078">
        <v>2.2228724</v>
      </c>
      <c r="AX42" s="1078">
        <v>6.5529815999999999E-7</v>
      </c>
      <c r="AY42" s="1078">
        <v>-4.5036603000000002E-9</v>
      </c>
      <c r="AZ42" s="1078">
        <v>9.5247392999999998E-4</v>
      </c>
      <c r="BA42" s="1078">
        <v>3.4664659E-2</v>
      </c>
      <c r="BB42" s="1079">
        <v>1.5036511000000001E-4</v>
      </c>
      <c r="BC42" s="1035"/>
      <c r="BE42" s="113">
        <f t="array" ref="BE42">IFERROR(SUMIFS($CB42:$CW42,$CB$17:$CW$17,BE$17,$CB$18:$CW$18,BE$18)/SUMPRODUCT(($CB$18:$CW$18=BE$18)*ABS($CB42:$CW42)),"-")</f>
        <v>0.1407244246603585</v>
      </c>
      <c r="BF42" s="114">
        <f t="array" ref="BF42">IFERROR(SUMIFS($CB42:$CW42,$CB$17:$CW$17,BF$17,$CB$18:$CW$18,BF$18)/SUMPRODUCT(($CB$18:$CW$18=BF$18)*ABS($CB42:$CW42)),"-")</f>
        <v>1.3012099653911386E-3</v>
      </c>
      <c r="BG42" s="114">
        <f t="array" ref="BG42">IFERROR(SUMIFS($CB42:$CW42,$CB$17:$CW$17,BG$17,$CB$18:$CW$18,BG$18)/SUMPRODUCT(($CB$18:$CW$18=BG$18)*ABS($CB42:$CW42)),"-")</f>
        <v>4.2798960482963103E-6</v>
      </c>
      <c r="BH42" s="114">
        <f t="array" ref="BH42">IFERROR(SUMIFS($CB42:$CW42,$CB$17:$CW$17,BH$17,$CB$18:$CW$18,BH$18)/SUMPRODUCT(($CB$18:$CW$18=BH$18)*ABS($CB42:$CW42)),"-")</f>
        <v>4.3407081293538339E-4</v>
      </c>
      <c r="BI42" s="114">
        <f t="array" ref="BI42">IFERROR(SUMIFS($CB42:$CW42,$CB$17:$CW$17,BI$17,$CB$18:$CW$18,BI$18)/SUMPRODUCT(($CB$18:$CW$18=BI$18)*ABS($CB42:$CW42)),"-")</f>
        <v>0.30970477244240469</v>
      </c>
      <c r="BJ42" s="114">
        <f t="array" ref="BJ42">IFERROR(SUMIFS($CB42:$CW42,$CB$17:$CW$17,BJ$17,$CB$18:$CW$18,BJ$18)/SUMPRODUCT(($CB$18:$CW$18=BJ$18)*ABS($CB42:$CW42)),"-")</f>
        <v>4.2108748265144849E-4</v>
      </c>
      <c r="BK42" s="114">
        <f t="array" ref="BK42">IFERROR(SUMIFS($CB42:$CW42,$CB$17:$CW$17,BK$17,$CB$18:$CW$18,BK$18)/SUMPRODUCT(($CB$18:$CW$18=BK$18)*ABS($CB42:$CW42)),"-")</f>
        <v>0.54722883352021823</v>
      </c>
      <c r="BL42" s="114">
        <f t="array" ref="BL42">IFERROR(SUMIFS($CB42:$CW42,$CB$17:$CW$17,BL$17,$CB$18:$CW$18,BL$18)/SUMPRODUCT(($CB$18:$CW$18=BL$18)*ABS($CB42:$CW42)),"-")</f>
        <v>1.8132121999235495E-4</v>
      </c>
      <c r="BM42" s="115"/>
      <c r="BN42" s="114">
        <f t="array" ref="BN42">IFERROR(SUMIFS($CB42:$CW42,$CB$17:$CW$17,BN$17,$CB$18:$CW$18,BN$18)/SUMPRODUCT(($CB$18:$CW$18=BN$18)*ABS($CB42:$CW42)),"-")</f>
        <v>3.4921989252427045E-2</v>
      </c>
      <c r="BO42" s="114">
        <f t="array" ref="BO42">IFERROR(SUMIFS($CB42:$CW42,$CB$17:$CW$17,BO$17,$CB$18:$CW$18,BO$18)/SUMPRODUCT(($CB$18:$CW$18=BO$18)*ABS($CB42:$CW42)),"-")</f>
        <v>5.1186243083642842E-3</v>
      </c>
      <c r="BP42" s="114">
        <f t="array" ref="BP42">IFERROR(SUMIFS($CB42:$CW42,$CB$17:$CW$17,BP$17,$CB$18:$CW$18,BP$18)/SUMPRODUCT(($CB$18:$CW$18=BP$18)*ABS($CB42:$CW42)),"-")</f>
        <v>6.2104030358422796E-2</v>
      </c>
      <c r="BQ42" s="114">
        <f t="array" ref="BQ42">IFERROR(SUMIFS($CB42:$CW42,$CB$17:$CW$17,BQ$17,$CB$18:$CW$18,BQ$18)/SUMPRODUCT(($CB$18:$CW$18=BQ$18)*ABS($CB42:$CW42)),"-")</f>
        <v>4.9776767027967872E-3</v>
      </c>
      <c r="BR42" s="114">
        <f t="array" ref="BR42">IFERROR(SUMIFS($CB42:$CW42,$CB$17:$CW$17,BR$17,$CB$18:$CW$18,BR$18)/SUMPRODUCT(($CB$18:$CW$18=BR$18)*ABS($CB42:$CW42)),"-")</f>
        <v>1.40328002584753E-4</v>
      </c>
      <c r="BS42" s="114">
        <f t="array" ref="BS42">IFERROR(SUMIFS($CB42:$CW42,$CB$17:$CW$17,BS$17,$CB$18:$CW$18,BS$18)/SUMPRODUCT(($CB$18:$CW$18=BS$18)*ABS($CB42:$CW42)),"-")</f>
        <v>2.2202867065859549E-5</v>
      </c>
      <c r="BT42" s="114">
        <f t="array" ref="BT42">IFERROR(SUMIFS($CB42:$CW42,$CB$17:$CW$17,BT$17,$CB$18:$CW$18,BT$18)/SUMPRODUCT(($CB$18:$CW$18=BT$18)*ABS($CB42:$CW42)),"-")</f>
        <v>6.346035805420657E-5</v>
      </c>
      <c r="BU42" s="114">
        <f t="array" ref="BU42">IFERROR(SUMIFS($CB42:$CW42,$CB$17:$CW$17,BU$17,$CB$18:$CW$18,BU$18)/SUMPRODUCT(($CB$18:$CW$18=BU$18)*ABS($CB42:$CW42)),"-")</f>
        <v>1.243351121560342E-5</v>
      </c>
      <c r="BV42" s="114">
        <f t="array" ref="BV42">IFERROR(SUMIFS($CB42:$CW42,$CB$17:$CW$17,BV$17,$CB$18:$CW$18,BV$18)/SUMPRODUCT(($CB$18:$CW$18=BV$18)*ABS($CB42:$CW42)),"-")</f>
        <v>0.892548478523845</v>
      </c>
      <c r="BW42" s="114">
        <f t="array" ref="BW42">IFERROR(SUMIFS($CB42:$CW42,$CB$17:$CW$17,BW$17,$CB$18:$CW$18,BW$18)/SUMPRODUCT(($CB$18:$CW$18=BW$18)*ABS($CB42:$CW42)),"-")</f>
        <v>9.077611522371139E-5</v>
      </c>
      <c r="BX42" s="115"/>
      <c r="BY42" s="114">
        <f t="array" ref="BY42">IFERROR(SUMIFS($CB42:$CW42,$CB$17:$CW$17,BY$17,$CB$18:$CW$18,BY$18)/SUMPRODUCT(($CB$18:$CW$18=BY$18)*ABS($CB42:$CW42)),"-")</f>
        <v>1.3464836307096931E-3</v>
      </c>
      <c r="BZ42" s="116">
        <f t="array" ref="BZ42">IFERROR(SUMIFS($CB42:$CW42,$CB$17:$CW$17,BZ$17,$CB$18:$CW$18,BZ$18)/SUMPRODUCT(($CB$18:$CW$18=BZ$18)*ABS($CB42:$CW42)),"-")</f>
        <v>0.99865351636929034</v>
      </c>
      <c r="CB42" s="117">
        <v>2.5620526E-7</v>
      </c>
      <c r="CC42" s="111">
        <v>7.7229446999999999E-10</v>
      </c>
      <c r="CD42" s="111">
        <v>2.1105708000000001E-14</v>
      </c>
      <c r="CE42" s="111">
        <v>2.3690047999999999E-9</v>
      </c>
      <c r="CF42" s="111">
        <v>7.7920508999999994E-12</v>
      </c>
      <c r="CG42" s="111">
        <v>7.9027664000000001E-10</v>
      </c>
      <c r="CH42" s="111">
        <v>5.6385372999999999E-7</v>
      </c>
      <c r="CI42" s="111">
        <v>1.1320069E-10</v>
      </c>
      <c r="CJ42" s="111">
        <v>1.3734586999999999E-9</v>
      </c>
      <c r="CK42" s="111">
        <v>1.1008357E-10</v>
      </c>
      <c r="CL42" s="111">
        <v>3.1034172000000001E-12</v>
      </c>
      <c r="CM42" s="111">
        <v>4.9102643999999996E-13</v>
      </c>
      <c r="CN42" s="111">
        <v>1.4034545E-12</v>
      </c>
      <c r="CO42" s="111">
        <v>2.7497272E-13</v>
      </c>
      <c r="CP42" s="111">
        <v>7.6663897000000001E-10</v>
      </c>
      <c r="CQ42" s="111">
        <v>9.9629404000000008E-7</v>
      </c>
      <c r="CR42" s="111">
        <v>1.9739112999999999E-8</v>
      </c>
      <c r="CS42" s="111">
        <v>1.9263226E-5</v>
      </c>
      <c r="CT42" s="111">
        <v>1.4287057000000001E-2</v>
      </c>
      <c r="CU42" s="111">
        <v>3.3011646999999998E-10</v>
      </c>
      <c r="CV42" s="111">
        <v>2.0074650000000001E-12</v>
      </c>
      <c r="CW42" s="112">
        <v>8.9815470999999995E-17</v>
      </c>
    </row>
    <row r="43" spans="2:101" ht="12" customHeight="1" outlineLevel="1" x14ac:dyDescent="0.2">
      <c r="B43" s="88" t="s">
        <v>100</v>
      </c>
      <c r="C43" s="88" t="s">
        <v>121</v>
      </c>
      <c r="D43" s="89" t="s">
        <v>132</v>
      </c>
      <c r="E43" s="89" t="s">
        <v>135</v>
      </c>
      <c r="F43" s="90" t="s">
        <v>92</v>
      </c>
      <c r="G43" s="18" t="s">
        <v>126</v>
      </c>
      <c r="H43" s="91" t="s">
        <v>127</v>
      </c>
      <c r="I43" s="92" t="s">
        <v>127</v>
      </c>
      <c r="J43" s="93">
        <v>3.7523941999999999</v>
      </c>
      <c r="K43" s="94"/>
      <c r="L43" s="94"/>
      <c r="M43" s="95"/>
      <c r="N43" s="145"/>
      <c r="O43" s="1055"/>
      <c r="P43" s="103">
        <v>1.0630083182711998E-6</v>
      </c>
      <c r="Q43" s="97">
        <v>1.4504751564781123E-8</v>
      </c>
      <c r="R43" s="98">
        <v>1.4892996584E-2</v>
      </c>
      <c r="S43" s="1033">
        <v>0.37879629999999997</v>
      </c>
      <c r="T43" s="1033">
        <v>8.3075652000000007E-6</v>
      </c>
      <c r="U43" s="1033">
        <v>1.1367564E-3</v>
      </c>
      <c r="V43" s="1033">
        <v>6.6615070000000003E-4</v>
      </c>
      <c r="W43" s="1033">
        <v>6.7540837999999995E-4</v>
      </c>
      <c r="X43" s="1033">
        <v>6.7210068000000001E-4</v>
      </c>
      <c r="Y43" s="1033">
        <v>4.8717194000000002E-3</v>
      </c>
      <c r="Z43" s="1033">
        <v>1.2232755999999999E-4</v>
      </c>
      <c r="AA43" s="1033">
        <v>1.9657778E-3</v>
      </c>
      <c r="AB43" s="1033">
        <v>1.3540836000000001</v>
      </c>
      <c r="AC43" s="1033">
        <v>6.9049989000000006E-2</v>
      </c>
      <c r="AD43" s="1033">
        <v>1.7262287000000001E-2</v>
      </c>
      <c r="AE43" s="1033">
        <v>1.4718399999999999E-4</v>
      </c>
      <c r="AF43" s="1033">
        <v>1.2288397</v>
      </c>
      <c r="AG43" s="1033">
        <v>1.3703314</v>
      </c>
      <c r="AH43" s="1033">
        <v>2.3870447999999999E-4</v>
      </c>
      <c r="AI43" s="1033">
        <v>3.7331830000000003E-2</v>
      </c>
      <c r="AJ43" s="1034">
        <v>1.6396391000000001E-3</v>
      </c>
      <c r="AK43" s="1074">
        <v>0.37706290999999997</v>
      </c>
      <c r="AL43" s="1075">
        <v>1.9067265999999998E-9</v>
      </c>
      <c r="AM43" s="1075">
        <v>2.3736776E-3</v>
      </c>
      <c r="AN43" s="1075">
        <v>5.7952214000000005E-4</v>
      </c>
      <c r="AO43" s="1075">
        <v>9.1012261000000003E-4</v>
      </c>
      <c r="AP43" s="1075">
        <v>6.0563813000000001E-3</v>
      </c>
      <c r="AQ43" s="1075">
        <v>1.2679628999999999E-4</v>
      </c>
      <c r="AR43" s="1075">
        <v>6.9769805000000004E-3</v>
      </c>
      <c r="AS43" s="1075">
        <v>1.4570035E-2</v>
      </c>
      <c r="AT43" s="1075">
        <v>3.9097491999999998E-3</v>
      </c>
      <c r="AU43" s="1075">
        <v>1.0539882999999999E-3</v>
      </c>
      <c r="AV43" s="1075">
        <v>4.7210245999999997E-2</v>
      </c>
      <c r="AW43" s="1075">
        <v>1.3703293999999999</v>
      </c>
      <c r="AX43" s="1075">
        <v>2.0243637000000001E-6</v>
      </c>
      <c r="AY43" s="1075">
        <v>-1.4271409999999999E-8</v>
      </c>
      <c r="AZ43" s="1075">
        <v>6.0067221000000004E-4</v>
      </c>
      <c r="BA43" s="1075">
        <v>3.8288887000000001E-2</v>
      </c>
      <c r="BB43" s="1076">
        <v>1.6449291999999999E-3</v>
      </c>
      <c r="BC43" s="1035"/>
      <c r="BE43" s="99">
        <f t="array" ref="BE43">IFERROR(SUMIFS($CB43:$CW43,$CB$17:$CW$17,BE$17,$CB$18:$CW$18,BE$18)/SUMPRODUCT(($CB$18:$CW$18=BE$18)*ABS($CB43:$CW43)),"-")</f>
        <v>0.33101955455274956</v>
      </c>
      <c r="BF43" s="100">
        <f t="array" ref="BF43">IFERROR(SUMIFS($CB43:$CW43,$CB$17:$CW$17,BF$17,$CB$18:$CW$18,BF$18)/SUMPRODUCT(($CB$18:$CW$18=BF$18)*ABS($CB43:$CW43)),"-")</f>
        <v>4.1491318780769466E-3</v>
      </c>
      <c r="BG43" s="100">
        <f t="array" ref="BG43">IFERROR(SUMIFS($CB43:$CW43,$CB$17:$CW$17,BG$17,$CB$18:$CW$18,BG$18)/SUMPRODUCT(($CB$18:$CW$18=BG$18)*ABS($CB43:$CW43)),"-")</f>
        <v>9.0872018910538317E-6</v>
      </c>
      <c r="BH43" s="100">
        <f t="array" ref="BH43">IFERROR(SUMIFS($CB43:$CW43,$CB$17:$CW$17,BH$17,$CB$18:$CW$18,BH$18)/SUMPRODUCT(($CB$18:$CW$18=BH$18)*ABS($CB43:$CW43)),"-")</f>
        <v>5.7006665854273969E-4</v>
      </c>
      <c r="BI43" s="100">
        <f t="array" ref="BI43">IFERROR(SUMIFS($CB43:$CW43,$CB$17:$CW$17,BI$17,$CB$18:$CW$18,BI$18)/SUMPRODUCT(($CB$18:$CW$18=BI$18)*ABS($CB43:$CW43)),"-")</f>
        <v>0.39971316564203768</v>
      </c>
      <c r="BJ43" s="100">
        <f t="array" ref="BJ43">IFERROR(SUMIFS($CB43:$CW43,$CB$17:$CW$17,BJ$17,$CB$18:$CW$18,BJ$18)/SUMPRODUCT(($CB$18:$CW$18=BJ$18)*ABS($CB43:$CW43)),"-")</f>
        <v>4.6019042522223841E-4</v>
      </c>
      <c r="BK43" s="100">
        <f t="array" ref="BK43">IFERROR(SUMIFS($CB43:$CW43,$CB$17:$CW$17,BK$17,$CB$18:$CW$18,BK$18)/SUMPRODUCT(($CB$18:$CW$18=BK$18)*ABS($CB43:$CW43)),"-")</f>
        <v>0.26369989320110349</v>
      </c>
      <c r="BL43" s="100">
        <f t="array" ref="BL43">IFERROR(SUMIFS($CB43:$CW43,$CB$17:$CW$17,BL$17,$CB$18:$CW$18,BL$18)/SUMPRODUCT(($CB$18:$CW$18=BL$18)*ABS($CB43:$CW43)),"-")</f>
        <v>3.7891044037647838E-4</v>
      </c>
      <c r="BM43" s="101"/>
      <c r="BN43" s="100">
        <f t="array" ref="BN43">IFERROR(SUMIFS($CB43:$CW43,$CB$17:$CW$17,BN$17,$CB$18:$CW$18,BN$18)/SUMPRODUCT(($CB$18:$CW$18=BN$18)*ABS($CB43:$CW43)),"-")</f>
        <v>7.3104084220555962E-2</v>
      </c>
      <c r="BO43" s="100">
        <f t="array" ref="BO43">IFERROR(SUMIFS($CB43:$CW43,$CB$17:$CW$17,BO$17,$CB$18:$CW$18,BO$18)/SUMPRODUCT(($CB$18:$CW$18=BO$18)*ABS($CB43:$CW43)),"-")</f>
        <v>5.9749781726997674E-3</v>
      </c>
      <c r="BP43" s="100">
        <f t="array" ref="BP43">IFERROR(SUMIFS($CB43:$CW43,$CB$17:$CW$17,BP$17,$CB$18:$CW$18,BP$18)/SUMPRODUCT(($CB$18:$CW$18=BP$18)*ABS($CB43:$CW43)),"-")</f>
        <v>7.1280400452387996E-2</v>
      </c>
      <c r="BQ43" s="100">
        <f t="array" ref="BQ43">IFERROR(SUMIFS($CB43:$CW43,$CB$17:$CW$17,BQ$17,$CB$18:$CW$18,BQ$18)/SUMPRODUCT(($CB$18:$CW$18=BQ$18)*ABS($CB43:$CW43)),"-")</f>
        <v>5.6588410103691833E-3</v>
      </c>
      <c r="BR43" s="100">
        <f t="array" ref="BR43">IFERROR(SUMIFS($CB43:$CW43,$CB$17:$CW$17,BR$17,$CB$18:$CW$18,BR$18)/SUMPRODUCT(($CB$18:$CW$18=BR$18)*ABS($CB43:$CW43)),"-")</f>
        <v>2.302536437858939E-4</v>
      </c>
      <c r="BS43" s="100">
        <f t="array" ref="BS43">IFERROR(SUMIFS($CB43:$CW43,$CB$17:$CW$17,BS$17,$CB$18:$CW$18,BS$18)/SUMPRODUCT(($CB$18:$CW$18=BS$18)*ABS($CB43:$CW43)),"-")</f>
        <v>1.0641185359890658E-3</v>
      </c>
      <c r="BT43" s="100">
        <f t="array" ref="BT43">IFERROR(SUMIFS($CB43:$CW43,$CB$17:$CW$17,BT$17,$CB$18:$CW$18,BT$18)/SUMPRODUCT(($CB$18:$CW$18=BT$18)*ABS($CB43:$CW43)),"-")</f>
        <v>3.3075473775426877E-3</v>
      </c>
      <c r="BU43" s="100">
        <f t="array" ref="BU43">IFERROR(SUMIFS($CB43:$CW43,$CB$17:$CW$17,BU$17,$CB$18:$CW$18,BU$18)/SUMPRODUCT(($CB$18:$CW$18=BU$18)*ABS($CB43:$CW43)),"-")</f>
        <v>1.2490442817366095E-4</v>
      </c>
      <c r="BV43" s="100">
        <f t="array" ref="BV43">IFERROR(SUMIFS($CB43:$CW43,$CB$17:$CW$17,BV$17,$CB$18:$CW$18,BV$18)/SUMPRODUCT(($CB$18:$CW$18=BV$18)*ABS($CB43:$CW43)),"-")</f>
        <v>0.83893494801705848</v>
      </c>
      <c r="BW43" s="100">
        <f t="array" ref="BW43">IFERROR(SUMIFS($CB43:$CW43,$CB$17:$CW$17,BW$17,$CB$18:$CW$18,BW$18)/SUMPRODUCT(($CB$18:$CW$18=BW$18)*ABS($CB43:$CW43)),"-")</f>
        <v>3.1992414143723559E-4</v>
      </c>
      <c r="BX43" s="101"/>
      <c r="BY43" s="100">
        <f t="array" ref="BY43">IFERROR(SUMIFS($CB43:$CW43,$CB$17:$CW$17,BY$17,$CB$18:$CW$18,BY$18)/SUMPRODUCT(($CB$18:$CW$18=BY$18)*ABS($CB43:$CW43)),"-")</f>
        <v>3.7051364168902172E-3</v>
      </c>
      <c r="BZ43" s="102">
        <f t="array" ref="BZ43">IFERROR(SUMIFS($CB43:$CW43,$CB$17:$CW$17,BZ$17,$CB$18:$CW$18,BZ$18)/SUMPRODUCT(($CB$18:$CW$18=BZ$18)*ABS($CB43:$CW43)),"-")</f>
        <v>0.99629486358310981</v>
      </c>
      <c r="CB43" s="103">
        <v>3.5187653999999999E-7</v>
      </c>
      <c r="CC43" s="97">
        <v>1.0603276000000001E-9</v>
      </c>
      <c r="CD43" s="97">
        <v>2.8979990000000002E-14</v>
      </c>
      <c r="CE43" s="97">
        <v>4.4105616999999998E-9</v>
      </c>
      <c r="CF43" s="97">
        <v>9.6597711999999992E-12</v>
      </c>
      <c r="CG43" s="97">
        <v>6.0598560000000004E-10</v>
      </c>
      <c r="CH43" s="97">
        <v>4.2489841999999999E-7</v>
      </c>
      <c r="CI43" s="97">
        <v>8.6665574000000001E-11</v>
      </c>
      <c r="CJ43" s="97">
        <v>1.0339044999999999E-9</v>
      </c>
      <c r="CK43" s="97">
        <v>8.2080083000000005E-11</v>
      </c>
      <c r="CL43" s="97">
        <v>3.3397718999999999E-12</v>
      </c>
      <c r="CM43" s="97">
        <v>1.5434774999999999E-11</v>
      </c>
      <c r="CN43" s="97">
        <v>4.7975152999999999E-11</v>
      </c>
      <c r="CO43" s="97">
        <v>1.8117077E-12</v>
      </c>
      <c r="CP43" s="97">
        <v>4.8918624999999999E-10</v>
      </c>
      <c r="CQ43" s="97">
        <v>2.8031518E-7</v>
      </c>
      <c r="CR43" s="97">
        <v>1.2168543E-8</v>
      </c>
      <c r="CS43" s="97">
        <v>5.5180584000000001E-5</v>
      </c>
      <c r="CT43" s="97">
        <v>1.4837816E-2</v>
      </c>
      <c r="CU43" s="97">
        <v>4.0278495000000001E-10</v>
      </c>
      <c r="CV43" s="97">
        <v>4.6403400000000004E-12</v>
      </c>
      <c r="CW43" s="98">
        <v>8.0191122999999995E-17</v>
      </c>
    </row>
    <row r="44" spans="2:101" ht="12" customHeight="1" outlineLevel="1" x14ac:dyDescent="0.2">
      <c r="B44" s="104" t="s">
        <v>100</v>
      </c>
      <c r="C44" s="104" t="s">
        <v>121</v>
      </c>
      <c r="D44" s="2" t="s">
        <v>132</v>
      </c>
      <c r="E44" s="2" t="s">
        <v>135</v>
      </c>
      <c r="F44" s="105" t="s">
        <v>122</v>
      </c>
      <c r="G44" s="27" t="s">
        <v>1579</v>
      </c>
      <c r="H44" s="106" t="s">
        <v>128</v>
      </c>
      <c r="I44" s="107" t="s">
        <v>129</v>
      </c>
      <c r="J44" s="108">
        <v>3.7523941999999999</v>
      </c>
      <c r="K44" s="109"/>
      <c r="L44" s="109"/>
      <c r="M44" s="110"/>
      <c r="N44" s="161"/>
      <c r="O44" s="1056"/>
      <c r="P44" s="117">
        <v>3.004149357363E-7</v>
      </c>
      <c r="Q44" s="111">
        <v>1.8268887054985233E-8</v>
      </c>
      <c r="R44" s="112">
        <v>1.1476521052000001E-2</v>
      </c>
      <c r="S44" s="1032">
        <v>0.2196668</v>
      </c>
      <c r="T44" s="1032">
        <v>2.4699946999999999E-6</v>
      </c>
      <c r="U44" s="1032">
        <v>8.1946277000000004E-4</v>
      </c>
      <c r="V44" s="1032">
        <v>6.8377301E-4</v>
      </c>
      <c r="W44" s="1032">
        <v>2.1702342E-4</v>
      </c>
      <c r="X44" s="1032">
        <v>6.9141047999999997E-4</v>
      </c>
      <c r="Y44" s="1032">
        <v>1.0730701E-3</v>
      </c>
      <c r="Z44" s="1032">
        <v>1.9956592999999999E-5</v>
      </c>
      <c r="AA44" s="1032">
        <v>1.0291425E-3</v>
      </c>
      <c r="AB44" s="1032">
        <v>1.8008667999999999E-2</v>
      </c>
      <c r="AC44" s="1032">
        <v>8.1512505999999996E-4</v>
      </c>
      <c r="AD44" s="1032">
        <v>1.2060657999999999E-3</v>
      </c>
      <c r="AE44" s="1032">
        <v>6.9848827999999998E-5</v>
      </c>
      <c r="AF44" s="1032">
        <v>-0.1870077</v>
      </c>
      <c r="AG44" s="1032">
        <v>1.9499086999999999</v>
      </c>
      <c r="AH44" s="1032">
        <v>7.3148467999999998E-5</v>
      </c>
      <c r="AI44" s="1032">
        <v>2.6646552E-2</v>
      </c>
      <c r="AJ44" s="1036">
        <v>2.2753703000000002E-3</v>
      </c>
      <c r="AK44" s="1077">
        <v>0.21872264999999999</v>
      </c>
      <c r="AL44" s="1078">
        <v>1.3745249E-9</v>
      </c>
      <c r="AM44" s="1078">
        <v>1.6804843E-3</v>
      </c>
      <c r="AN44" s="1078">
        <v>7.5493190999999997E-4</v>
      </c>
      <c r="AO44" s="1078">
        <v>3.3366157000000002E-4</v>
      </c>
      <c r="AP44" s="1078">
        <v>1.3972141E-3</v>
      </c>
      <c r="AQ44" s="1078">
        <v>2.4489392000000001E-5</v>
      </c>
      <c r="AR44" s="1078">
        <v>3.5894325000000002E-3</v>
      </c>
      <c r="AS44" s="1078">
        <v>-7.3608238999999998E-6</v>
      </c>
      <c r="AT44" s="1078">
        <v>1.0589898E-4</v>
      </c>
      <c r="AU44" s="1078">
        <v>1.1065123E-4</v>
      </c>
      <c r="AV44" s="1078">
        <v>3.7806430999999998E-3</v>
      </c>
      <c r="AW44" s="1078">
        <v>1.9499081</v>
      </c>
      <c r="AX44" s="1078">
        <v>5.7996981000000002E-7</v>
      </c>
      <c r="AY44" s="1078">
        <v>-3.9859519999999997E-9</v>
      </c>
      <c r="AZ44" s="1078">
        <v>8.3818116000000003E-4</v>
      </c>
      <c r="BA44" s="1078">
        <v>2.7976748999999999E-2</v>
      </c>
      <c r="BB44" s="1079">
        <v>2.2768430000000002E-3</v>
      </c>
      <c r="BC44" s="1035"/>
      <c r="BE44" s="113">
        <f t="array" ref="BE44">IFERROR(SUMIFS($CB44:$CW44,$CB$17:$CW$17,BE$17,$CB$18:$CW$18,BE$18)/SUMPRODUCT(($CB$18:$CW$18=BE$18)*ABS($CB44:$CW44)),"-")</f>
        <v>0.5287525246872069</v>
      </c>
      <c r="BF44" s="114">
        <f t="array" ref="BF44">IFERROR(SUMIFS($CB44:$CW44,$CB$17:$CW$17,BF$17,$CB$18:$CW$18,BF$18)/SUMPRODUCT(($CB$18:$CW$18=BF$18)*ABS($CB44:$CW44)),"-")</f>
        <v>3.3995970331205305E-3</v>
      </c>
      <c r="BG44" s="114">
        <f t="array" ref="BG44">IFERROR(SUMIFS($CB44:$CW44,$CB$17:$CW$17,BG$17,$CB$18:$CW$18,BG$18)/SUMPRODUCT(($CB$18:$CW$18=BG$18)*ABS($CB44:$CW44)),"-")</f>
        <v>1.8052657749983029E-5</v>
      </c>
      <c r="BH44" s="114">
        <f t="array" ref="BH44">IFERROR(SUMIFS($CB44:$CW44,$CB$17:$CW$17,BH$17,$CB$18:$CW$18,BH$18)/SUMPRODUCT(($CB$18:$CW$18=BH$18)*ABS($CB44:$CW44)),"-")</f>
        <v>1.613145303710374E-3</v>
      </c>
      <c r="BI44" s="114">
        <f t="array" ref="BI44">IFERROR(SUMIFS($CB44:$CW44,$CB$17:$CW$17,BI$17,$CB$18:$CW$18,BI$18)/SUMPRODUCT(($CB$18:$CW$18=BI$18)*ABS($CB44:$CW44)),"-")</f>
        <v>0.35387151931048499</v>
      </c>
      <c r="BJ44" s="114">
        <f t="array" ref="BJ44">IFERROR(SUMIFS($CB44:$CW44,$CB$17:$CW$17,BJ$17,$CB$18:$CW$18,BJ$18)/SUMPRODUCT(($CB$18:$CW$18=BJ$18)*ABS($CB44:$CW44)),"-")</f>
        <v>6.0173089789289683E-4</v>
      </c>
      <c r="BK44" s="114">
        <f t="array" ref="BK44">IFERROR(SUMIFS($CB44:$CW44,$CB$17:$CW$17,BK$17,$CB$18:$CW$18,BK$18)/SUMPRODUCT(($CB$18:$CW$18=BK$18)*ABS($CB44:$CW44)),"-")</f>
        <v>-0.11059382875403621</v>
      </c>
      <c r="BL44" s="114">
        <f t="array" ref="BL44">IFERROR(SUMIFS($CB44:$CW44,$CB$17:$CW$17,BL$17,$CB$18:$CW$18,BL$18)/SUMPRODUCT(($CB$18:$CW$18=BL$18)*ABS($CB44:$CW44)),"-")</f>
        <v>1.1496013557980812E-3</v>
      </c>
      <c r="BM44" s="115"/>
      <c r="BN44" s="114">
        <f t="array" ref="BN44">IFERROR(SUMIFS($CB44:$CW44,$CB$17:$CW$17,BN$17,$CB$18:$CW$18,BN$18)/SUMPRODUCT(($CB$18:$CW$18=BN$18)*ABS($CB44:$CW44)),"-")</f>
        <v>3.3663468564231983E-2</v>
      </c>
      <c r="BO44" s="114">
        <f t="array" ref="BO44">IFERROR(SUMIFS($CB44:$CW44,$CB$17:$CW$17,BO$17,$CB$18:$CW$18,BO$18)/SUMPRODUCT(($CB$18:$CW$18=BO$18)*ABS($CB44:$CW44)),"-")</f>
        <v>4.8821643448532497E-3</v>
      </c>
      <c r="BP44" s="114">
        <f t="array" ref="BP44">IFERROR(SUMIFS($CB44:$CW44,$CB$17:$CW$17,BP$17,$CB$18:$CW$18,BP$18)/SUMPRODUCT(($CB$18:$CW$18=BP$18)*ABS($CB44:$CW44)),"-")</f>
        <v>1.2461813865003613E-2</v>
      </c>
      <c r="BQ44" s="114">
        <f t="array" ref="BQ44">IFERROR(SUMIFS($CB44:$CW44,$CB$17:$CW$17,BQ$17,$CB$18:$CW$18,BQ$18)/SUMPRODUCT(($CB$18:$CW$18=BQ$18)*ABS($CB44:$CW44)),"-")</f>
        <v>7.3289270220466764E-4</v>
      </c>
      <c r="BR44" s="114">
        <f t="array" ref="BR44">IFERROR(SUMIFS($CB44:$CW44,$CB$17:$CW$17,BR$17,$CB$18:$CW$18,BR$18)/SUMPRODUCT(($CB$18:$CW$18=BR$18)*ABS($CB44:$CW44)),"-")</f>
        <v>9.5707466729500422E-5</v>
      </c>
      <c r="BS44" s="114">
        <f t="array" ref="BS44">IFERROR(SUMIFS($CB44:$CW44,$CB$17:$CW$17,BS$17,$CB$18:$CW$18,BS$18)/SUMPRODUCT(($CB$18:$CW$18=BS$18)*ABS($CB44:$CW44)),"-")</f>
        <v>1.1234141378305538E-5</v>
      </c>
      <c r="BT44" s="114">
        <f t="array" ref="BT44">IFERROR(SUMIFS($CB44:$CW44,$CB$17:$CW$17,BT$17,$CB$18:$CW$18,BT$18)/SUMPRODUCT(($CB$18:$CW$18=BT$18)*ABS($CB44:$CW44)),"-")</f>
        <v>3.0868083441684826E-5</v>
      </c>
      <c r="BU44" s="114">
        <f t="array" ref="BU44">IFERROR(SUMIFS($CB44:$CW44,$CB$17:$CW$17,BU$17,$CB$18:$CW$18,BU$18)/SUMPRODUCT(($CB$18:$CW$18=BU$18)*ABS($CB44:$CW44)),"-")</f>
        <v>6.934008055265323E-6</v>
      </c>
      <c r="BV44" s="114">
        <f t="array" ref="BV44">IFERROR(SUMIFS($CB44:$CW44,$CB$17:$CW$17,BV$17,$CB$18:$CW$18,BV$18)/SUMPRODUCT(($CB$18:$CW$18=BV$18)*ABS($CB44:$CW44)),"-")</f>
        <v>0.94779659800212146</v>
      </c>
      <c r="BW44" s="114">
        <f t="array" ref="BW44">IFERROR(SUMIFS($CB44:$CW44,$CB$17:$CW$17,BW$17,$CB$18:$CW$18,BW$18)/SUMPRODUCT(($CB$18:$CW$18=BW$18)*ABS($CB44:$CW44)),"-")</f>
        <v>3.1831882198029719E-4</v>
      </c>
      <c r="BX44" s="115"/>
      <c r="BY44" s="114">
        <f t="array" ref="BY44">IFERROR(SUMIFS($CB44:$CW44,$CB$17:$CW$17,BY$17,$CB$18:$CW$18,BY$18)/SUMPRODUCT(($CB$18:$CW$18=BY$18)*ABS($CB44:$CW44)),"-")</f>
        <v>1.4736218339487777E-3</v>
      </c>
      <c r="BZ44" s="116">
        <f t="array" ref="BZ44">IFERROR(SUMIFS($CB44:$CW44,$CB$17:$CW$17,BZ$17,$CB$18:$CW$18,BZ$18)/SUMPRODUCT(($CB$18:$CW$18=BZ$18)*ABS($CB44:$CW44)),"-")</f>
        <v>0.99852637816605117</v>
      </c>
      <c r="CB44" s="117">
        <v>2.0395819000000001E-7</v>
      </c>
      <c r="CC44" s="111">
        <v>6.1497730000000005E-10</v>
      </c>
      <c r="CD44" s="111">
        <v>1.6805078999999999E-14</v>
      </c>
      <c r="CE44" s="111">
        <v>1.3113424999999999E-9</v>
      </c>
      <c r="CF44" s="111">
        <v>6.9635363000000003E-12</v>
      </c>
      <c r="CG44" s="111">
        <v>6.2224609999999999E-10</v>
      </c>
      <c r="CH44" s="111">
        <v>1.3650051999999999E-7</v>
      </c>
      <c r="CI44" s="111">
        <v>8.9191709000000002E-11</v>
      </c>
      <c r="CJ44" s="111">
        <v>2.2766346999999999E-10</v>
      </c>
      <c r="CK44" s="111">
        <v>1.3389133999999999E-11</v>
      </c>
      <c r="CL44" s="111">
        <v>1.7484689000000001E-12</v>
      </c>
      <c r="CM44" s="111">
        <v>2.0523526000000001E-13</v>
      </c>
      <c r="CN44" s="111">
        <v>5.6392552999999999E-13</v>
      </c>
      <c r="CO44" s="111">
        <v>1.2667660999999999E-13</v>
      </c>
      <c r="CP44" s="111">
        <v>2.3210847999999999E-10</v>
      </c>
      <c r="CQ44" s="111">
        <v>-4.2659876E-8</v>
      </c>
      <c r="CR44" s="111">
        <v>1.7315189000000001E-8</v>
      </c>
      <c r="CS44" s="111">
        <v>1.6912051999999999E-5</v>
      </c>
      <c r="CT44" s="111">
        <v>1.1459609000000001E-2</v>
      </c>
      <c r="CU44" s="111">
        <v>4.4344112E-10</v>
      </c>
      <c r="CV44" s="111">
        <v>5.8152517999999997E-12</v>
      </c>
      <c r="CW44" s="112">
        <v>7.8806233999999998E-17</v>
      </c>
    </row>
    <row r="45" spans="2:101" ht="12" customHeight="1" outlineLevel="1" x14ac:dyDescent="0.2">
      <c r="B45" s="104" t="s">
        <v>100</v>
      </c>
      <c r="C45" s="104" t="s">
        <v>121</v>
      </c>
      <c r="D45" s="2" t="s">
        <v>132</v>
      </c>
      <c r="E45" s="2" t="s">
        <v>135</v>
      </c>
      <c r="F45" s="105" t="s">
        <v>93</v>
      </c>
      <c r="G45" s="27" t="s">
        <v>1578</v>
      </c>
      <c r="H45" s="106" t="s">
        <v>130</v>
      </c>
      <c r="I45" s="107" t="s">
        <v>129</v>
      </c>
      <c r="J45" s="108">
        <v>3.7523941999999999</v>
      </c>
      <c r="K45" s="109"/>
      <c r="L45" s="109"/>
      <c r="M45" s="110"/>
      <c r="N45" s="161"/>
      <c r="O45" s="1056"/>
      <c r="P45" s="117">
        <v>4.1350143510609999E-7</v>
      </c>
      <c r="Q45" s="111">
        <v>2.3224125323896532E-8</v>
      </c>
      <c r="R45" s="112">
        <v>1.4589397253999999E-2</v>
      </c>
      <c r="S45" s="1032">
        <v>0.27924892000000001</v>
      </c>
      <c r="T45" s="1032">
        <v>3.1399526E-6</v>
      </c>
      <c r="U45" s="1032">
        <v>1.0417327000000001E-3</v>
      </c>
      <c r="V45" s="1032">
        <v>8.6923863999999998E-4</v>
      </c>
      <c r="W45" s="1032">
        <v>2.7588854999999998E-4</v>
      </c>
      <c r="X45" s="1032">
        <v>8.7894768000000003E-4</v>
      </c>
      <c r="Y45" s="1032">
        <v>1.3641281000000001E-3</v>
      </c>
      <c r="Z45" s="1032">
        <v>2.5369591000000001E-5</v>
      </c>
      <c r="AA45" s="1032">
        <v>1.3082855999999999E-3</v>
      </c>
      <c r="AB45" s="1032">
        <v>2.2893314000000001E-2</v>
      </c>
      <c r="AC45" s="1032">
        <v>1.0497264000000001E-3</v>
      </c>
      <c r="AD45" s="1032">
        <v>1.5442494000000001E-3</v>
      </c>
      <c r="AE45" s="1032">
        <v>9.2902898000000002E-5</v>
      </c>
      <c r="AF45" s="1032">
        <v>-9.9255248000000004E-2</v>
      </c>
      <c r="AG45" s="1032">
        <v>2.4787992000000001</v>
      </c>
      <c r="AH45" s="1032">
        <v>9.2989155000000004E-5</v>
      </c>
      <c r="AI45" s="1032">
        <v>3.3874124999999998E-2</v>
      </c>
      <c r="AJ45" s="1036">
        <v>2.8925384999999998E-3</v>
      </c>
      <c r="AK45" s="1077">
        <v>0.27804867999999999</v>
      </c>
      <c r="AL45" s="1078">
        <v>1.7473491000000001E-9</v>
      </c>
      <c r="AM45" s="1078">
        <v>2.1362964999999999E-3</v>
      </c>
      <c r="AN45" s="1078">
        <v>9.5969858E-4</v>
      </c>
      <c r="AO45" s="1078">
        <v>4.2416345999999998E-4</v>
      </c>
      <c r="AP45" s="1078">
        <v>1.7761925E-3</v>
      </c>
      <c r="AQ45" s="1078">
        <v>3.1131860000000003E-5</v>
      </c>
      <c r="AR45" s="1078">
        <v>4.5630252000000001E-3</v>
      </c>
      <c r="AS45" s="1078">
        <v>5.2572665000000001E-7</v>
      </c>
      <c r="AT45" s="1078">
        <v>1.35434E-4</v>
      </c>
      <c r="AU45" s="1078">
        <v>1.4108476000000001E-4</v>
      </c>
      <c r="AV45" s="1078">
        <v>6.5203756000000003E-3</v>
      </c>
      <c r="AW45" s="1078">
        <v>2.4787984999999999</v>
      </c>
      <c r="AX45" s="1078">
        <v>7.3728E-7</v>
      </c>
      <c r="AY45" s="1078">
        <v>-5.067096E-9</v>
      </c>
      <c r="AZ45" s="1078">
        <v>1.0655281999999999E-3</v>
      </c>
      <c r="BA45" s="1078">
        <v>3.5565121999999998E-2</v>
      </c>
      <c r="BB45" s="1079">
        <v>2.8944106999999998E-3</v>
      </c>
      <c r="BC45" s="1035"/>
      <c r="BE45" s="113">
        <f t="array" ref="BE45">IFERROR(SUMIFS($CB45:$CW45,$CB$17:$CW$17,BE$17,$CB$18:$CW$18,BE$18)/SUMPRODUCT(($CB$18:$CW$18=BE$18)*ABS($CB45:$CW45)),"-")</f>
        <v>0.56514289254072525</v>
      </c>
      <c r="BF45" s="114">
        <f t="array" ref="BF45">IFERROR(SUMIFS($CB45:$CW45,$CB$17:$CW$17,BF$17,$CB$18:$CW$18,BF$18)/SUMPRODUCT(($CB$18:$CW$18=BF$18)*ABS($CB45:$CW45)),"-")</f>
        <v>3.6335677574451356E-3</v>
      </c>
      <c r="BG45" s="114">
        <f t="array" ref="BG45">IFERROR(SUMIFS($CB45:$CW45,$CB$17:$CW$17,BG$17,$CB$18:$CW$18,BG$18)/SUMPRODUCT(($CB$18:$CW$18=BG$18)*ABS($CB45:$CW45)),"-")</f>
        <v>1.9295097146272225E-5</v>
      </c>
      <c r="BH45" s="114">
        <f t="array" ref="BH45">IFERROR(SUMIFS($CB45:$CW45,$CB$17:$CW$17,BH$17,$CB$18:$CW$18,BH$18)/SUMPRODUCT(($CB$18:$CW$18=BH$18)*ABS($CB45:$CW45)),"-")</f>
        <v>1.7241669269651308E-3</v>
      </c>
      <c r="BI45" s="114">
        <f t="array" ref="BI45">IFERROR(SUMIFS($CB45:$CW45,$CB$17:$CW$17,BI$17,$CB$18:$CW$18,BI$18)/SUMPRODUCT(($CB$18:$CW$18=BI$18)*ABS($CB45:$CW45)),"-")</f>
        <v>0.37822604669874565</v>
      </c>
      <c r="BJ45" s="114">
        <f t="array" ref="BJ45">IFERROR(SUMIFS($CB45:$CW45,$CB$17:$CW$17,BJ$17,$CB$18:$CW$18,BJ$18)/SUMPRODUCT(($CB$18:$CW$18=BJ$18)*ABS($CB45:$CW45)),"-")</f>
        <v>6.7293032337064533E-4</v>
      </c>
      <c r="BK45" s="114">
        <f t="array" ref="BK45">IFERROR(SUMIFS($CB45:$CW45,$CB$17:$CW$17,BK$17,$CB$18:$CW$18,BK$18)/SUMPRODUCT(($CB$18:$CW$18=BK$18)*ABS($CB45:$CW45)),"-")</f>
        <v>-4.9352380192615418E-2</v>
      </c>
      <c r="BL45" s="114">
        <f t="array" ref="BL45">IFERROR(SUMIFS($CB45:$CW45,$CB$17:$CW$17,BL$17,$CB$18:$CW$18,BL$18)/SUMPRODUCT(($CB$18:$CW$18=BL$18)*ABS($CB45:$CW45)),"-")</f>
        <v>1.2287204629865276E-3</v>
      </c>
      <c r="BM45" s="115"/>
      <c r="BN45" s="114">
        <f t="array" ref="BN45">IFERROR(SUMIFS($CB45:$CW45,$CB$17:$CW$17,BN$17,$CB$18:$CW$18,BN$18)/SUMPRODUCT(($CB$18:$CW$18=BN$18)*ABS($CB45:$CW45)),"-")</f>
        <v>3.3663452653717819E-2</v>
      </c>
      <c r="BO45" s="114">
        <f t="array" ref="BO45">IFERROR(SUMIFS($CB45:$CW45,$CB$17:$CW$17,BO$17,$CB$18:$CW$18,BO$18)/SUMPRODUCT(($CB$18:$CW$18=BO$18)*ABS($CB45:$CW45)),"-")</f>
        <v>4.8821619078731572E-3</v>
      </c>
      <c r="BP45" s="114">
        <f t="array" ref="BP45">IFERROR(SUMIFS($CB45:$CW45,$CB$17:$CW$17,BP$17,$CB$18:$CW$18,BP$18)/SUMPRODUCT(($CB$18:$CW$18=BP$18)*ABS($CB45:$CW45)),"-")</f>
        <v>1.2461807967519277E-2</v>
      </c>
      <c r="BQ45" s="114">
        <f t="array" ref="BQ45">IFERROR(SUMIFS($CB45:$CW45,$CB$17:$CW$17,BQ$17,$CB$18:$CW$18,BQ$18)/SUMPRODUCT(($CB$18:$CW$18=BQ$18)*ABS($CB45:$CW45)),"-")</f>
        <v>7.3289235924361876E-4</v>
      </c>
      <c r="BR45" s="114">
        <f t="array" ref="BR45">IFERROR(SUMIFS($CB45:$CW45,$CB$17:$CW$17,BR$17,$CB$18:$CW$18,BR$18)/SUMPRODUCT(($CB$18:$CW$18=BR$18)*ABS($CB45:$CW45)),"-")</f>
        <v>9.5707423595106268E-5</v>
      </c>
      <c r="BS45" s="114">
        <f t="array" ref="BS45">IFERROR(SUMIFS($CB45:$CW45,$CB$17:$CW$17,BS$17,$CB$18:$CW$18,BS$18)/SUMPRODUCT(($CB$18:$CW$18=BS$18)*ABS($CB45:$CW45)),"-")</f>
        <v>1.1234136328550687E-5</v>
      </c>
      <c r="BT45" s="114">
        <f t="array" ref="BT45">IFERROR(SUMIFS($CB45:$CW45,$CB$17:$CW$17,BT$17,$CB$18:$CW$18,BT$18)/SUMPRODUCT(($CB$18:$CW$18=BT$18)*ABS($CB45:$CW45)),"-")</f>
        <v>3.1272342440070259E-5</v>
      </c>
      <c r="BU45" s="114">
        <f t="array" ref="BU45">IFERROR(SUMIFS($CB45:$CW45,$CB$17:$CW$17,BU$17,$CB$18:$CW$18,BU$18)/SUMPRODUCT(($CB$18:$CW$18=BU$18)*ABS($CB45:$CW45)),"-")</f>
        <v>6.9839857362941012E-6</v>
      </c>
      <c r="BV45" s="114">
        <f t="array" ref="BV45">IFERROR(SUMIFS($CB45:$CW45,$CB$17:$CW$17,BV$17,$CB$18:$CW$18,BV$18)/SUMPRODUCT(($CB$18:$CW$18=BV$18)*ABS($CB45:$CW45)),"-")</f>
        <v>0.94779616855369619</v>
      </c>
      <c r="BW45" s="114">
        <f t="array" ref="BW45">IFERROR(SUMIFS($CB45:$CW45,$CB$17:$CW$17,BW$17,$CB$18:$CW$18,BW$18)/SUMPRODUCT(($CB$18:$CW$18=BW$18)*ABS($CB45:$CW45)),"-")</f>
        <v>3.1831866984989473E-4</v>
      </c>
      <c r="BX45" s="115"/>
      <c r="BY45" s="114">
        <f t="array" ref="BY45">IFERROR(SUMIFS($CB45:$CW45,$CB$17:$CW$17,BY$17,$CB$18:$CW$18,BY$18)/SUMPRODUCT(($CB$18:$CW$18=BY$18)*ABS($CB45:$CW45)),"-")</f>
        <v>1.4736218108054816E-3</v>
      </c>
      <c r="BZ45" s="116">
        <f t="array" ref="BZ45">IFERROR(SUMIFS($CB45:$CW45,$CB$17:$CW$17,BZ$17,$CB$18:$CW$18,BZ$18)/SUMPRODUCT(($CB$18:$CW$18=BZ$18)*ABS($CB45:$CW45)),"-")</f>
        <v>0.99852637818919454</v>
      </c>
      <c r="CB45" s="117">
        <v>2.5927951999999998E-7</v>
      </c>
      <c r="CC45" s="111">
        <v>7.8178287999999997E-10</v>
      </c>
      <c r="CD45" s="111">
        <v>2.1363264999999999E-14</v>
      </c>
      <c r="CE45" s="111">
        <v>1.6670291999999999E-9</v>
      </c>
      <c r="CF45" s="111">
        <v>8.8523160999999998E-12</v>
      </c>
      <c r="CG45" s="111">
        <v>7.9102325999999997E-10</v>
      </c>
      <c r="CH45" s="111">
        <v>1.7352472999999999E-7</v>
      </c>
      <c r="CI45" s="111">
        <v>1.1338394E-10</v>
      </c>
      <c r="CJ45" s="111">
        <v>2.8941459000000001E-10</v>
      </c>
      <c r="CK45" s="111">
        <v>1.7020784E-11</v>
      </c>
      <c r="CL45" s="111">
        <v>2.2227211999999999E-12</v>
      </c>
      <c r="CM45" s="111">
        <v>2.6090299000000001E-13</v>
      </c>
      <c r="CN45" s="111">
        <v>7.2627279999999999E-13</v>
      </c>
      <c r="CO45" s="111">
        <v>1.6219696E-13</v>
      </c>
      <c r="CP45" s="111">
        <v>3.0873085999999998E-10</v>
      </c>
      <c r="CQ45" s="111">
        <v>-2.264217E-8</v>
      </c>
      <c r="CR45" s="111">
        <v>2.2011737000000001E-8</v>
      </c>
      <c r="CS45" s="111">
        <v>2.1499254E-5</v>
      </c>
      <c r="CT45" s="111">
        <v>1.4567897999999999E-2</v>
      </c>
      <c r="CU45" s="111">
        <v>5.6371947000000001E-10</v>
      </c>
      <c r="CV45" s="111">
        <v>7.3925725000000001E-12</v>
      </c>
      <c r="CW45" s="112">
        <v>1.0018153E-16</v>
      </c>
    </row>
    <row r="46" spans="2:101" ht="12" customHeight="1" outlineLevel="1" x14ac:dyDescent="0.2">
      <c r="B46" s="104" t="s">
        <v>100</v>
      </c>
      <c r="C46" s="104" t="s">
        <v>121</v>
      </c>
      <c r="D46" s="2" t="s">
        <v>132</v>
      </c>
      <c r="E46" s="2" t="s">
        <v>135</v>
      </c>
      <c r="F46" s="105" t="s">
        <v>94</v>
      </c>
      <c r="G46" s="27" t="s">
        <v>1580</v>
      </c>
      <c r="H46" s="106" t="s">
        <v>131</v>
      </c>
      <c r="I46" s="107" t="s">
        <v>129</v>
      </c>
      <c r="J46" s="108">
        <v>3.7523941999999999</v>
      </c>
      <c r="K46" s="109"/>
      <c r="L46" s="109"/>
      <c r="M46" s="110"/>
      <c r="N46" s="161"/>
      <c r="O46" s="1056"/>
      <c r="P46" s="117">
        <v>2.2707981147370002E-7</v>
      </c>
      <c r="Q46" s="111">
        <v>1.5055025021788671E-8</v>
      </c>
      <c r="R46" s="112">
        <v>9.4575760909999997E-3</v>
      </c>
      <c r="S46" s="1032">
        <v>0.18102309999999999</v>
      </c>
      <c r="T46" s="1032">
        <v>2.0354741999999998E-6</v>
      </c>
      <c r="U46" s="1032">
        <v>6.753032E-4</v>
      </c>
      <c r="V46" s="1032">
        <v>5.6348393000000001E-4</v>
      </c>
      <c r="W46" s="1032">
        <v>1.7884475000000001E-4</v>
      </c>
      <c r="X46" s="1032">
        <v>5.6977780999999995E-4</v>
      </c>
      <c r="Y46" s="1032">
        <v>8.8429603000000001E-4</v>
      </c>
      <c r="Z46" s="1032">
        <v>1.6445836999999999E-5</v>
      </c>
      <c r="AA46" s="1032">
        <v>8.4809613000000003E-4</v>
      </c>
      <c r="AB46" s="1032">
        <v>1.4840590000000001E-2</v>
      </c>
      <c r="AC46" s="1032">
        <v>6.6297204000000001E-4</v>
      </c>
      <c r="AD46" s="1032">
        <v>9.8673067000000004E-4</v>
      </c>
      <c r="AE46" s="1032">
        <v>5.4897795999999997E-5</v>
      </c>
      <c r="AF46" s="1032">
        <v>-0.24387654</v>
      </c>
      <c r="AG46" s="1032">
        <v>1.6068815000000001</v>
      </c>
      <c r="AH46" s="1032">
        <v>6.0280218000000002E-5</v>
      </c>
      <c r="AI46" s="1032">
        <v>2.1958900999999999E-2</v>
      </c>
      <c r="AJ46" s="1036">
        <v>1.875088E-3</v>
      </c>
      <c r="AK46" s="1077">
        <v>0.18024504999999999</v>
      </c>
      <c r="AL46" s="1078">
        <v>1.1327190000000001E-9</v>
      </c>
      <c r="AM46" s="1078">
        <v>1.3848541000000001E-3</v>
      </c>
      <c r="AN46" s="1078">
        <v>6.2212458000000001E-4</v>
      </c>
      <c r="AO46" s="1078">
        <v>2.7496394999999997E-4</v>
      </c>
      <c r="AP46" s="1078">
        <v>1.1514167E-3</v>
      </c>
      <c r="AQ46" s="1078">
        <v>2.0181227E-5</v>
      </c>
      <c r="AR46" s="1078">
        <v>2.9579810000000002E-3</v>
      </c>
      <c r="AS46" s="1078">
        <v>-1.2472622E-5</v>
      </c>
      <c r="AT46" s="1078">
        <v>8.6743466000000001E-5</v>
      </c>
      <c r="AU46" s="1078">
        <v>9.0912814999999996E-5</v>
      </c>
      <c r="AV46" s="1078">
        <v>2.0042744E-3</v>
      </c>
      <c r="AW46" s="1078">
        <v>1.6068811000000001</v>
      </c>
      <c r="AX46" s="1078">
        <v>4.7794174000000002E-7</v>
      </c>
      <c r="AY46" s="1078">
        <v>-3.2847448999999999E-9</v>
      </c>
      <c r="AZ46" s="1078">
        <v>6.9072865000000005E-4</v>
      </c>
      <c r="BA46" s="1078">
        <v>2.305509E-2</v>
      </c>
      <c r="BB46" s="1079">
        <v>1.8763016999999999E-3</v>
      </c>
      <c r="BC46" s="1035"/>
      <c r="BE46" s="113">
        <f t="array" ref="BE46">IFERROR(SUMIFS($CB46:$CW46,$CB$17:$CW$17,BE$17,$CB$18:$CW$18,BE$18)/SUMPRODUCT(($CB$18:$CW$18=BE$18)*ABS($CB46:$CW46)),"-")</f>
        <v>0.49676509469280217</v>
      </c>
      <c r="BF46" s="114">
        <f t="array" ref="BF46">IFERROR(SUMIFS($CB46:$CW46,$CB$17:$CW$17,BF$17,$CB$18:$CW$18,BF$18)/SUMPRODUCT(($CB$18:$CW$18=BF$18)*ABS($CB46:$CW46)),"-")</f>
        <v>3.1939351712689814E-3</v>
      </c>
      <c r="BG46" s="114">
        <f t="array" ref="BG46">IFERROR(SUMIFS($CB46:$CW46,$CB$17:$CW$17,BG$17,$CB$18:$CW$18,BG$18)/SUMPRODUCT(($CB$18:$CW$18=BG$18)*ABS($CB46:$CW46)),"-")</f>
        <v>1.696054402842183E-5</v>
      </c>
      <c r="BH46" s="114">
        <f t="array" ref="BH46">IFERROR(SUMIFS($CB46:$CW46,$CB$17:$CW$17,BH$17,$CB$18:$CW$18,BH$18)/SUMPRODUCT(($CB$18:$CW$18=BH$18)*ABS($CB46:$CW46)),"-")</f>
        <v>1.515556459320609E-3</v>
      </c>
      <c r="BI46" s="114">
        <f t="array" ref="BI46">IFERROR(SUMIFS($CB46:$CW46,$CB$17:$CW$17,BI$17,$CB$18:$CW$18,BI$18)/SUMPRODUCT(($CB$18:$CW$18=BI$18)*ABS($CB46:$CW46)),"-")</f>
        <v>0.33246370054718138</v>
      </c>
      <c r="BJ46" s="114">
        <f t="array" ref="BJ46">IFERROR(SUMIFS($CB46:$CW46,$CB$17:$CW$17,BJ$17,$CB$18:$CW$18,BJ$18)/SUMPRODUCT(($CB$18:$CW$18=BJ$18)*ABS($CB46:$CW46)),"-")</f>
        <v>5.3914604881168343E-4</v>
      </c>
      <c r="BK46" s="114">
        <f t="array" ref="BK46">IFERROR(SUMIFS($CB46:$CW46,$CB$17:$CW$17,BK$17,$CB$18:$CW$18,BK$18)/SUMPRODUCT(($CB$18:$CW$18=BK$18)*ABS($CB46:$CW46)),"-")</f>
        <v>-0.16442555147464244</v>
      </c>
      <c r="BL46" s="114">
        <f t="array" ref="BL46">IFERROR(SUMIFS($CB46:$CW46,$CB$17:$CW$17,BL$17,$CB$18:$CW$18,BL$18)/SUMPRODUCT(($CB$18:$CW$18=BL$18)*ABS($CB46:$CW46)),"-")</f>
        <v>1.0800550619441654E-3</v>
      </c>
      <c r="BM46" s="115"/>
      <c r="BN46" s="114">
        <f t="array" ref="BN46">IFERROR(SUMIFS($CB46:$CW46,$CB$17:$CW$17,BN$17,$CB$18:$CW$18,BN$18)/SUMPRODUCT(($CB$18:$CW$18=BN$18)*ABS($CB46:$CW46)),"-")</f>
        <v>3.3663482990065934E-2</v>
      </c>
      <c r="BO46" s="114">
        <f t="array" ref="BO46">IFERROR(SUMIFS($CB46:$CW46,$CB$17:$CW$17,BO$17,$CB$18:$CW$18,BO$18)/SUMPRODUCT(($CB$18:$CW$18=BO$18)*ABS($CB46:$CW46)),"-")</f>
        <v>4.8821664456634301E-3</v>
      </c>
      <c r="BP46" s="114">
        <f t="array" ref="BP46">IFERROR(SUMIFS($CB46:$CW46,$CB$17:$CW$17,BP$17,$CB$18:$CW$18,BP$18)/SUMPRODUCT(($CB$18:$CW$18=BP$18)*ABS($CB46:$CW46)),"-")</f>
        <v>1.2461819208435292E-2</v>
      </c>
      <c r="BQ46" s="114">
        <f t="array" ref="BQ46">IFERROR(SUMIFS($CB46:$CW46,$CB$17:$CW$17,BQ$17,$CB$18:$CW$18,BQ$18)/SUMPRODUCT(($CB$18:$CW$18=BQ$18)*ABS($CB46:$CW46)),"-")</f>
        <v>7.3289303631387094E-4</v>
      </c>
      <c r="BR46" s="114">
        <f t="array" ref="BR46">IFERROR(SUMIFS($CB46:$CW46,$CB$17:$CW$17,BR$17,$CB$18:$CW$18,BR$18)/SUMPRODUCT(($CB$18:$CW$18=BR$18)*ABS($CB46:$CW46)),"-")</f>
        <v>9.5707512801517135E-5</v>
      </c>
      <c r="BS46" s="114">
        <f t="array" ref="BS46">IFERROR(SUMIFS($CB46:$CW46,$CB$17:$CW$17,BS$17,$CB$18:$CW$18,BS$18)/SUMPRODUCT(($CB$18:$CW$18=BS$18)*ABS($CB46:$CW46)),"-")</f>
        <v>1.123414605789249E-5</v>
      </c>
      <c r="BT46" s="114">
        <f t="array" ref="BT46">IFERROR(SUMIFS($CB46:$CW46,$CB$17:$CW$17,BT$17,$CB$18:$CW$18,BT$18)/SUMPRODUCT(($CB$18:$CW$18=BT$18)*ABS($CB46:$CW46)),"-")</f>
        <v>3.0463822500210646E-5</v>
      </c>
      <c r="BU46" s="114">
        <f t="array" ref="BU46">IFERROR(SUMIFS($CB46:$CW46,$CB$17:$CW$17,BU$17,$CB$18:$CW$18,BU$18)/SUMPRODUCT(($CB$18:$CW$18=BU$18)*ABS($CB46:$CW46)),"-")</f>
        <v>6.8840304051309197E-6</v>
      </c>
      <c r="BV46" s="114">
        <f t="array" ref="BV46">IFERROR(SUMIFS($CB46:$CW46,$CB$17:$CW$17,BV$17,$CB$18:$CW$18,BV$18)/SUMPRODUCT(($CB$18:$CW$18=BV$18)*ABS($CB46:$CW46)),"-")</f>
        <v>0.94779702985207681</v>
      </c>
      <c r="BW46" s="114">
        <f t="array" ref="BW46">IFERROR(SUMIFS($CB46:$CW46,$CB$17:$CW$17,BW$17,$CB$18:$CW$18,BW$18)/SUMPRODUCT(($CB$18:$CW$18=BW$18)*ABS($CB46:$CW46)),"-")</f>
        <v>3.1831895567993097E-4</v>
      </c>
      <c r="BX46" s="115"/>
      <c r="BY46" s="114">
        <f t="array" ref="BY46">IFERROR(SUMIFS($CB46:$CW46,$CB$17:$CW$17,BY$17,$CB$18:$CW$18,BY$18)/SUMPRODUCT(($CB$18:$CW$18=BY$18)*ABS($CB46:$CW46)),"-")</f>
        <v>1.4736218737127157E-3</v>
      </c>
      <c r="BZ46" s="116">
        <f t="array" ref="BZ46">IFERROR(SUMIFS($CB46:$CW46,$CB$17:$CW$17,BZ$17,$CB$18:$CW$18,BZ$18)/SUMPRODUCT(($CB$18:$CW$18=BZ$18)*ABS($CB46:$CW46)),"-")</f>
        <v>0.9985263781262872</v>
      </c>
      <c r="CB46" s="117">
        <v>1.6807794E-7</v>
      </c>
      <c r="CC46" s="111">
        <v>5.0679073000000001E-10</v>
      </c>
      <c r="CD46" s="111">
        <v>1.3848735999999999E-14</v>
      </c>
      <c r="CE46" s="111">
        <v>1.0806516999999999E-9</v>
      </c>
      <c r="CF46" s="111">
        <v>5.7385137000000001E-12</v>
      </c>
      <c r="CG46" s="111">
        <v>5.1278080999999995E-10</v>
      </c>
      <c r="CH46" s="111">
        <v>1.124874E-7</v>
      </c>
      <c r="CI46" s="111">
        <v>7.3501138000000002E-11</v>
      </c>
      <c r="CJ46" s="111">
        <v>1.8761300000000001E-10</v>
      </c>
      <c r="CK46" s="111">
        <v>1.1033723E-11</v>
      </c>
      <c r="CL46" s="111">
        <v>1.440879E-12</v>
      </c>
      <c r="CM46" s="111">
        <v>1.6913035000000001E-13</v>
      </c>
      <c r="CN46" s="111">
        <v>4.5863360999999998E-13</v>
      </c>
      <c r="CO46" s="111">
        <v>1.0363925E-13</v>
      </c>
      <c r="CP46" s="111">
        <v>1.8241732000000001E-10</v>
      </c>
      <c r="CQ46" s="111">
        <v>-5.5632548000000001E-8</v>
      </c>
      <c r="CR46" s="111">
        <v>1.4269108E-8</v>
      </c>
      <c r="CS46" s="111">
        <v>1.3936891000000001E-5</v>
      </c>
      <c r="CT46" s="111">
        <v>9.4436391999999994E-3</v>
      </c>
      <c r="CU46" s="111">
        <v>3.6543113000000002E-10</v>
      </c>
      <c r="CV46" s="111">
        <v>4.7922348999999997E-12</v>
      </c>
      <c r="CW46" s="112">
        <v>6.4942670999999996E-17</v>
      </c>
    </row>
    <row r="47" spans="2:101" ht="12" customHeight="1" outlineLevel="1" x14ac:dyDescent="0.2">
      <c r="B47" s="104" t="s">
        <v>100</v>
      </c>
      <c r="C47" s="104" t="s">
        <v>121</v>
      </c>
      <c r="D47" s="2" t="s">
        <v>132</v>
      </c>
      <c r="E47" s="2" t="s">
        <v>135</v>
      </c>
      <c r="F47" s="105" t="s">
        <v>95</v>
      </c>
      <c r="G47" s="27" t="s">
        <v>1581</v>
      </c>
      <c r="H47" s="106" t="s">
        <v>128</v>
      </c>
      <c r="I47" s="107" t="s">
        <v>127</v>
      </c>
      <c r="J47" s="108">
        <v>3.7523941999999999</v>
      </c>
      <c r="K47" s="109"/>
      <c r="L47" s="109"/>
      <c r="M47" s="110"/>
      <c r="N47" s="161"/>
      <c r="O47" s="1056"/>
      <c r="P47" s="117">
        <v>9.9135604034460004E-7</v>
      </c>
      <c r="Q47" s="111">
        <v>1.8976347216124512E-8</v>
      </c>
      <c r="R47" s="112">
        <v>1.2171943458E-2</v>
      </c>
      <c r="S47" s="1032">
        <v>0.25024242000000002</v>
      </c>
      <c r="T47" s="1032">
        <v>3.4142467999999998E-6</v>
      </c>
      <c r="U47" s="1032">
        <v>8.2557952999999995E-4</v>
      </c>
      <c r="V47" s="1032">
        <v>7.3345875999999998E-4</v>
      </c>
      <c r="W47" s="1032">
        <v>5.4697825999999998E-4</v>
      </c>
      <c r="X47" s="1032">
        <v>7.4134343000000001E-4</v>
      </c>
      <c r="Y47" s="1032">
        <v>3.7376334999999999E-3</v>
      </c>
      <c r="Z47" s="1032">
        <v>9.2354666999999995E-5</v>
      </c>
      <c r="AA47" s="1032">
        <v>1.4064879E-3</v>
      </c>
      <c r="AB47" s="1032">
        <v>2.9800420000000001E-2</v>
      </c>
      <c r="AC47" s="1032">
        <v>1.4793437E-3</v>
      </c>
      <c r="AD47" s="1032">
        <v>2.0050246E-3</v>
      </c>
      <c r="AE47" s="1032">
        <v>1.3950297000000001E-4</v>
      </c>
      <c r="AF47" s="1032">
        <v>1.8038774</v>
      </c>
      <c r="AG47" s="1032">
        <v>1.9499086999999999</v>
      </c>
      <c r="AH47" s="1032">
        <v>7.3310348000000007E-5</v>
      </c>
      <c r="AI47" s="1032">
        <v>2.8188222999999998E-2</v>
      </c>
      <c r="AJ47" s="1036">
        <v>2.2758211E-3</v>
      </c>
      <c r="AK47" s="1077">
        <v>0.24925507999999999</v>
      </c>
      <c r="AL47" s="1078">
        <v>1.3847287E-9</v>
      </c>
      <c r="AM47" s="1078">
        <v>1.6929015999999999E-3</v>
      </c>
      <c r="AN47" s="1078">
        <v>8.0753642999999999E-4</v>
      </c>
      <c r="AO47" s="1078">
        <v>7.7790232000000004E-4</v>
      </c>
      <c r="AP47" s="1078">
        <v>4.7327202000000002E-3</v>
      </c>
      <c r="AQ47" s="1078">
        <v>9.6900861999999995E-5</v>
      </c>
      <c r="AR47" s="1078">
        <v>5.0089102999999998E-3</v>
      </c>
      <c r="AS47" s="1078">
        <v>2.2109595000000001E-4</v>
      </c>
      <c r="AT47" s="1078">
        <v>1.4719224999999999E-4</v>
      </c>
      <c r="AU47" s="1078">
        <v>1.4158593999999999E-4</v>
      </c>
      <c r="AV47" s="1078">
        <v>3.3575882000000001E-2</v>
      </c>
      <c r="AW47" s="1078">
        <v>1.9499081</v>
      </c>
      <c r="AX47" s="1078">
        <v>5.7996981000000002E-7</v>
      </c>
      <c r="AY47" s="1078">
        <v>-3.9859519999999997E-9</v>
      </c>
      <c r="AZ47" s="1078">
        <v>8.3936351E-4</v>
      </c>
      <c r="BA47" s="1078">
        <v>2.9578613E-2</v>
      </c>
      <c r="BB47" s="1079">
        <v>2.2772938E-3</v>
      </c>
      <c r="BC47" s="1035"/>
      <c r="BE47" s="113">
        <f t="array" ref="BE47">IFERROR(SUMIFS($CB47:$CW47,$CB$17:$CW$17,BE$17,$CB$18:$CW$18,BE$18)/SUMPRODUCT(($CB$18:$CW$18=BE$18)*ABS($CB47:$CW47)),"-")</f>
        <v>0.23439785560718074</v>
      </c>
      <c r="BF47" s="114">
        <f t="array" ref="BF47">IFERROR(SUMIFS($CB47:$CW47,$CB$17:$CW$17,BF$17,$CB$18:$CW$18,BF$18)/SUMPRODUCT(($CB$18:$CW$18=BF$18)*ABS($CB47:$CW47)),"-")</f>
        <v>1.8284596312843494E-3</v>
      </c>
      <c r="BG47" s="114">
        <f t="array" ref="BG47">IFERROR(SUMIFS($CB47:$CW47,$CB$17:$CW$17,BG$17,$CB$18:$CW$18,BG$18)/SUMPRODUCT(($CB$18:$CW$18=BG$18)*ABS($CB47:$CW47)),"-")</f>
        <v>7.0766851812002622E-6</v>
      </c>
      <c r="BH47" s="114">
        <f t="array" ref="BH47">IFERROR(SUMIFS($CB47:$CW47,$CB$17:$CW$17,BH$17,$CB$18:$CW$18,BH$18)/SUMPRODUCT(($CB$18:$CW$18=BH$18)*ABS($CB47:$CW47)),"-")</f>
        <v>6.7327999511455818E-4</v>
      </c>
      <c r="BI47" s="114">
        <f t="array" ref="BI47">IFERROR(SUMIFS($CB47:$CW47,$CB$17:$CW$17,BI$17,$CB$18:$CW$18,BI$18)/SUMPRODUCT(($CB$18:$CW$18=BI$18)*ABS($CB47:$CW47)),"-")</f>
        <v>0.34709584245877068</v>
      </c>
      <c r="BJ47" s="114">
        <f t="array" ref="BJ47">IFERROR(SUMIFS($CB47:$CW47,$CB$17:$CW$17,BJ$17,$CB$18:$CW$18,BJ$18)/SUMPRODUCT(($CB$18:$CW$18=BJ$18)*ABS($CB47:$CW47)),"-")</f>
        <v>4.6770103891113652E-4</v>
      </c>
      <c r="BK47" s="114">
        <f t="array" ref="BK47">IFERROR(SUMIFS($CB47:$CW47,$CB$17:$CW$17,BK$17,$CB$18:$CW$18,BK$18)/SUMPRODUCT(($CB$18:$CW$18=BK$18)*ABS($CB47:$CW47)),"-")</f>
        <v>0.41508146745841473</v>
      </c>
      <c r="BL47" s="114">
        <f t="array" ref="BL47">IFERROR(SUMIFS($CB47:$CW47,$CB$17:$CW$17,BL$17,$CB$18:$CW$18,BL$18)/SUMPRODUCT(($CB$18:$CW$18=BL$18)*ABS($CB47:$CW47)),"-")</f>
        <v>4.4831712514255718E-4</v>
      </c>
      <c r="BM47" s="115"/>
      <c r="BN47" s="114">
        <f t="array" ref="BN47">IFERROR(SUMIFS($CB47:$CW47,$CB$17:$CW$17,BN$17,$CB$18:$CW$18,BN$18)/SUMPRODUCT(($CB$18:$CW$18=BN$18)*ABS($CB47:$CW47)),"-")</f>
        <v>3.6918265480024047E-2</v>
      </c>
      <c r="BO47" s="114">
        <f t="array" ref="BO47">IFERROR(SUMIFS($CB47:$CW47,$CB$17:$CW$17,BO$17,$CB$18:$CW$18,BO$18)/SUMPRODUCT(($CB$18:$CW$18=BO$18)*ABS($CB47:$CW47)),"-")</f>
        <v>5.0395932320809892E-3</v>
      </c>
      <c r="BP47" s="114">
        <f t="array" ref="BP47">IFERROR(SUMIFS($CB47:$CW47,$CB$17:$CW$17,BP$17,$CB$18:$CW$18,BP$18)/SUMPRODUCT(($CB$18:$CW$18=BP$18)*ABS($CB47:$CW47)),"-")</f>
        <v>4.1799273641346904E-2</v>
      </c>
      <c r="BQ47" s="114">
        <f t="array" ref="BQ47">IFERROR(SUMIFS($CB47:$CW47,$CB$17:$CW$17,BQ$17,$CB$18:$CW$18,BQ$18)/SUMPRODUCT(($CB$18:$CW$18=BQ$18)*ABS($CB47:$CW47)),"-")</f>
        <v>3.2655514411827676E-3</v>
      </c>
      <c r="BR47" s="114">
        <f t="array" ref="BR47">IFERROR(SUMIFS($CB47:$CW47,$CB$17:$CW$17,BR$17,$CB$18:$CW$18,BR$18)/SUMPRODUCT(($CB$18:$CW$18=BR$18)*ABS($CB47:$CW47)),"-")</f>
        <v>1.2592320707378022E-4</v>
      </c>
      <c r="BS47" s="114">
        <f t="array" ref="BS47">IFERROR(SUMIFS($CB47:$CW47,$CB$17:$CW$17,BS$17,$CB$18:$CW$18,BS$18)/SUMPRODUCT(($CB$18:$CW$18=BS$18)*ABS($CB47:$CW47)),"-")</f>
        <v>1.7901590128544108E-5</v>
      </c>
      <c r="BT47" s="114">
        <f t="array" ref="BT47">IFERROR(SUMIFS($CB47:$CW47,$CB$17:$CW$17,BT$17,$CB$18:$CW$18,BT$18)/SUMPRODUCT(($CB$18:$CW$18=BT$18)*ABS($CB47:$CW47)),"-")</f>
        <v>5.3976478630705897E-5</v>
      </c>
      <c r="BU47" s="114">
        <f t="array" ref="BU47">IFERROR(SUMIFS($CB47:$CW47,$CB$17:$CW$17,BU$17,$CB$18:$CW$18,BU$18)/SUMPRODUCT(($CB$18:$CW$18=BU$18)*ABS($CB47:$CW47)),"-")</f>
        <v>1.1097525124385257E-5</v>
      </c>
      <c r="BV47" s="114">
        <f t="array" ref="BV47">IFERROR(SUMIFS($CB47:$CW47,$CB$17:$CW$17,BV$17,$CB$18:$CW$18,BV$18)/SUMPRODUCT(($CB$18:$CW$18=BV$18)*ABS($CB47:$CW47)),"-")</f>
        <v>0.9124616451625106</v>
      </c>
      <c r="BW47" s="114">
        <f t="array" ref="BW47">IFERROR(SUMIFS($CB47:$CW47,$CB$17:$CW$17,BW$17,$CB$18:$CW$18,BW$18)/SUMPRODUCT(($CB$18:$CW$18=BW$18)*ABS($CB47:$CW47)),"-")</f>
        <v>3.0677224189739992E-4</v>
      </c>
      <c r="BX47" s="115"/>
      <c r="BY47" s="114">
        <f t="array" ref="BY47">IFERROR(SUMIFS($CB47:$CW47,$CB$17:$CW$17,BY$17,$CB$18:$CW$18,BY$18)/SUMPRODUCT(($CB$18:$CW$18=BY$18)*ABS($CB47:$CW47)),"-")</f>
        <v>1.3925021964228713E-3</v>
      </c>
      <c r="BZ47" s="116">
        <f t="array" ref="BZ47">IFERROR(SUMIFS($CB47:$CW47,$CB$17:$CW$17,BZ$17,$CB$18:$CW$18,BZ$18)/SUMPRODUCT(($CB$18:$CW$18=BZ$18)*ABS($CB47:$CW47)),"-")</f>
        <v>0.99860749780357716</v>
      </c>
      <c r="CB47" s="117">
        <v>2.3237173000000001E-7</v>
      </c>
      <c r="CC47" s="111">
        <v>7.0055467999999999E-10</v>
      </c>
      <c r="CD47" s="111">
        <v>1.9144366000000001E-14</v>
      </c>
      <c r="CE47" s="111">
        <v>1.8126544999999999E-9</v>
      </c>
      <c r="CF47" s="111">
        <v>7.0155146000000001E-12</v>
      </c>
      <c r="CG47" s="111">
        <v>6.6746019000000001E-10</v>
      </c>
      <c r="CH47" s="111">
        <v>3.4409556E-7</v>
      </c>
      <c r="CI47" s="111">
        <v>9.5633071000000006E-11</v>
      </c>
      <c r="CJ47" s="111">
        <v>7.9319752999999997E-10</v>
      </c>
      <c r="CK47" s="111">
        <v>6.1968237999999998E-11</v>
      </c>
      <c r="CL47" s="111">
        <v>2.3895625E-12</v>
      </c>
      <c r="CM47" s="111">
        <v>3.3970679000000001E-13</v>
      </c>
      <c r="CN47" s="111">
        <v>1.0242764000000001E-12</v>
      </c>
      <c r="CO47" s="111">
        <v>2.1059048999999999E-13</v>
      </c>
      <c r="CP47" s="111">
        <v>4.6365824999999999E-10</v>
      </c>
      <c r="CQ47" s="111">
        <v>4.1149352E-7</v>
      </c>
      <c r="CR47" s="111">
        <v>1.7315189000000001E-8</v>
      </c>
      <c r="CS47" s="111">
        <v>1.6949457999999999E-5</v>
      </c>
      <c r="CT47" s="111">
        <v>1.2154994000000001E-2</v>
      </c>
      <c r="CU47" s="111">
        <v>4.4444189000000001E-10</v>
      </c>
      <c r="CV47" s="111">
        <v>5.8213374999999997E-12</v>
      </c>
      <c r="CW47" s="112">
        <v>7.9078513999999997E-17</v>
      </c>
    </row>
    <row r="48" spans="2:101" ht="12" customHeight="1" outlineLevel="1" x14ac:dyDescent="0.2">
      <c r="B48" s="104" t="s">
        <v>100</v>
      </c>
      <c r="C48" s="104" t="s">
        <v>121</v>
      </c>
      <c r="D48" s="2" t="s">
        <v>132</v>
      </c>
      <c r="E48" s="2" t="s">
        <v>135</v>
      </c>
      <c r="F48" s="105" t="s">
        <v>96</v>
      </c>
      <c r="G48" s="27" t="s">
        <v>1582</v>
      </c>
      <c r="H48" s="106" t="s">
        <v>128</v>
      </c>
      <c r="I48" s="107" t="s">
        <v>1577</v>
      </c>
      <c r="J48" s="108">
        <v>3.7523941999999999</v>
      </c>
      <c r="K48" s="109"/>
      <c r="L48" s="109"/>
      <c r="M48" s="110"/>
      <c r="N48" s="161"/>
      <c r="O48" s="1056"/>
      <c r="P48" s="117">
        <v>1.5466555799565002E-6</v>
      </c>
      <c r="Q48" s="111">
        <v>1.948929014764221E-8</v>
      </c>
      <c r="R48" s="112">
        <v>1.2625786869E-2</v>
      </c>
      <c r="S48" s="1032">
        <v>0.27215268999999997</v>
      </c>
      <c r="T48" s="1032">
        <v>4.1026872999999998E-6</v>
      </c>
      <c r="U48" s="1032">
        <v>8.2957140999999996E-4</v>
      </c>
      <c r="V48" s="1032">
        <v>7.6588446999999995E-4</v>
      </c>
      <c r="W48" s="1032">
        <v>7.8710249999999998E-4</v>
      </c>
      <c r="X48" s="1032">
        <v>7.7393047E-4</v>
      </c>
      <c r="Y48" s="1032">
        <v>5.6790254E-3</v>
      </c>
      <c r="Z48" s="1032">
        <v>1.4391586999999999E-4</v>
      </c>
      <c r="AA48" s="1032">
        <v>1.6816398E-3</v>
      </c>
      <c r="AB48" s="1032">
        <v>3.7495903999999997E-2</v>
      </c>
      <c r="AC48" s="1032">
        <v>1.7425429E-3</v>
      </c>
      <c r="AD48" s="1032">
        <v>2.2682364E-3</v>
      </c>
      <c r="AE48" s="1032">
        <v>1.97741E-4</v>
      </c>
      <c r="AF48" s="1032">
        <v>3.4840379000000001</v>
      </c>
      <c r="AG48" s="1032">
        <v>1.9499086999999999</v>
      </c>
      <c r="AH48" s="1032">
        <v>7.3415994E-5</v>
      </c>
      <c r="AI48" s="1032">
        <v>2.9194342000000002E-2</v>
      </c>
      <c r="AJ48" s="1036">
        <v>2.2761153000000001E-3</v>
      </c>
      <c r="AK48" s="1077">
        <v>0.27113716999999998</v>
      </c>
      <c r="AL48" s="1078">
        <v>1.3913879E-9</v>
      </c>
      <c r="AM48" s="1078">
        <v>1.7010052999999999E-3</v>
      </c>
      <c r="AN48" s="1078">
        <v>8.4186696999999995E-4</v>
      </c>
      <c r="AO48" s="1078">
        <v>1.1008748E-3</v>
      </c>
      <c r="AP48" s="1078">
        <v>7.1625938000000004E-3</v>
      </c>
      <c r="AQ48" s="1078">
        <v>1.4847081000000001E-4</v>
      </c>
      <c r="AR48" s="1078">
        <v>6.0438148000000001E-3</v>
      </c>
      <c r="AS48" s="1078">
        <v>3.8613029999999998E-4</v>
      </c>
      <c r="AT48" s="1078">
        <v>1.6511894E-4</v>
      </c>
      <c r="AU48" s="1078">
        <v>1.5410234999999999E-4</v>
      </c>
      <c r="AV48" s="1078">
        <v>5.9042894999999998E-2</v>
      </c>
      <c r="AW48" s="1078">
        <v>1.9499081</v>
      </c>
      <c r="AX48" s="1078">
        <v>5.7996981000000002E-7</v>
      </c>
      <c r="AY48" s="1078">
        <v>-3.9859519999999997E-9</v>
      </c>
      <c r="AZ48" s="1078">
        <v>8.4013513000000001E-4</v>
      </c>
      <c r="BA48" s="1078">
        <v>3.0624015000000001E-2</v>
      </c>
      <c r="BB48" s="1079">
        <v>2.2775880000000001E-3</v>
      </c>
      <c r="BC48" s="1035"/>
      <c r="BE48" s="113">
        <f t="array" ref="BE48">IFERROR(SUMIFS($CB48:$CW48,$CB$17:$CW$17,BE$17,$CB$18:$CW$18,BE$18)/SUMPRODUCT(($CB$18:$CW$18=BE$18)*ABS($CB48:$CW48)),"-")</f>
        <v>0.16340622519663242</v>
      </c>
      <c r="BF48" s="114">
        <f t="array" ref="BF48">IFERROR(SUMIFS($CB48:$CW48,$CB$17:$CW$17,BF$17,$CB$18:$CW$18,BF$18)/SUMPRODUCT(($CB$18:$CW$18=BF$18)*ABS($CB48:$CW48)),"-")</f>
        <v>1.4082992543571083E-3</v>
      </c>
      <c r="BG48" s="114">
        <f t="array" ref="BG48">IFERROR(SUMIFS($CB48:$CW48,$CB$17:$CW$17,BG$17,$CB$18:$CW$18,BG$18)/SUMPRODUCT(($CB$18:$CW$18=BG$18)*ABS($CB48:$CW48)),"-")</f>
        <v>4.5578579946016593E-6</v>
      </c>
      <c r="BH48" s="114">
        <f t="array" ref="BH48">IFERROR(SUMIFS($CB48:$CW48,$CB$17:$CW$17,BH$17,$CB$18:$CW$18,BH$18)/SUMPRODUCT(($CB$18:$CW$18=BH$18)*ABS($CB48:$CW48)),"-")</f>
        <v>4.5062885301173667E-4</v>
      </c>
      <c r="BI48" s="114">
        <f t="array" ref="BI48">IFERROR(SUMIFS($CB48:$CW48,$CB$17:$CW$17,BI$17,$CB$18:$CW$18,BI$18)/SUMPRODUCT(($CB$18:$CW$18=BI$18)*ABS($CB48:$CW48)),"-")</f>
        <v>0.32015706432451291</v>
      </c>
      <c r="BJ48" s="114">
        <f t="array" ref="BJ48">IFERROR(SUMIFS($CB48:$CW48,$CB$17:$CW$17,BJ$17,$CB$18:$CW$18,BJ$18)/SUMPRODUCT(($CB$18:$CW$18=BJ$18)*ABS($CB48:$CW48)),"-")</f>
        <v>4.249711432318281E-4</v>
      </c>
      <c r="BK48" s="114">
        <f t="array" ref="BK48">IFERROR(SUMIFS($CB48:$CW48,$CB$17:$CW$17,BK$17,$CB$18:$CW$18,BK$18)/SUMPRODUCT(($CB$18:$CW$18=BK$18)*ABS($CB48:$CW48)),"-")</f>
        <v>0.51386047436776638</v>
      </c>
      <c r="BL48" s="114">
        <f t="array" ref="BL48">IFERROR(SUMIFS($CB48:$CW48,$CB$17:$CW$17,BL$17,$CB$18:$CW$18,BL$18)/SUMPRODUCT(($CB$18:$CW$18=BL$18)*ABS($CB48:$CW48)),"-")</f>
        <v>2.8777900249292627E-4</v>
      </c>
      <c r="BM48" s="115"/>
      <c r="BN48" s="114">
        <f t="array" ref="BN48">IFERROR(SUMIFS($CB48:$CW48,$CB$17:$CW$17,BN$17,$CB$18:$CW$18,BN$18)/SUMPRODUCT(($CB$18:$CW$18=BN$18)*ABS($CB48:$CW48)),"-")</f>
        <v>3.9093226326571653E-2</v>
      </c>
      <c r="BO48" s="114">
        <f t="array" ref="BO48">IFERROR(SUMIFS($CB48:$CW48,$CB$17:$CW$17,BO$17,$CB$18:$CW$18,BO$18)/SUMPRODUCT(($CB$18:$CW$18=BO$18)*ABS($CB48:$CW48)),"-")</f>
        <v>5.1226496831685859E-3</v>
      </c>
      <c r="BP48" s="114">
        <f t="array" ref="BP48">IFERROR(SUMIFS($CB48:$CW48,$CB$17:$CW$17,BP$17,$CB$18:$CW$18,BP$18)/SUMPRODUCT(($CB$18:$CW$18=BP$18)*ABS($CB48:$CW48)),"-")</f>
        <v>6.1841359581062467E-2</v>
      </c>
      <c r="BQ48" s="114">
        <f t="array" ref="BQ48">IFERROR(SUMIFS($CB48:$CW48,$CB$17:$CW$17,BQ$17,$CB$18:$CW$18,BQ$18)/SUMPRODUCT(($CB$18:$CW$18=BQ$18)*ABS($CB48:$CW48)),"-")</f>
        <v>4.9548138115067478E-3</v>
      </c>
      <c r="BR48" s="114">
        <f t="array" ref="BR48">IFERROR(SUMIFS($CB48:$CW48,$CB$17:$CW$17,BR$17,$CB$18:$CW$18,BR$18)/SUMPRODUCT(($CB$18:$CW$18=BR$18)*ABS($CB48:$CW48)),"-")</f>
        <v>1.4659506212675685E-4</v>
      </c>
      <c r="BS48" s="114">
        <f t="array" ref="BS48">IFERROR(SUMIFS($CB48:$CW48,$CB$17:$CW$17,BS$17,$CB$18:$CW$18,BS$18)/SUMPRODUCT(($CB$18:$CW$18=BS$18)*ABS($CB48:$CW48)),"-")</f>
        <v>2.1933330909525928E-5</v>
      </c>
      <c r="BT48" s="114">
        <f t="array" ref="BT48">IFERROR(SUMIFS($CB48:$CW48,$CB$17:$CW$17,BT$17,$CB$18:$CW$18,BT$18)/SUMPRODUCT(($CB$18:$CW$18=BT$18)*ABS($CB48:$CW48)),"-")</f>
        <v>6.1930557288461294E-5</v>
      </c>
      <c r="BU48" s="114">
        <f t="array" ref="BU48">IFERROR(SUMIFS($CB48:$CW48,$CB$17:$CW$17,BU$17,$CB$18:$CW$18,BU$18)/SUMPRODUCT(($CB$18:$CW$18=BU$18)*ABS($CB48:$CW48)),"-")</f>
        <v>1.2224003449854824E-5</v>
      </c>
      <c r="BV48" s="114">
        <f t="array" ref="BV48">IFERROR(SUMIFS($CB48:$CW48,$CB$17:$CW$17,BV$17,$CB$18:$CW$18,BV$18)/SUMPRODUCT(($CB$18:$CW$18=BV$18)*ABS($CB48:$CW48)),"-")</f>
        <v>0.88844636561043611</v>
      </c>
      <c r="BW48" s="114">
        <f t="array" ref="BW48">IFERROR(SUMIFS($CB48:$CW48,$CB$17:$CW$17,BW$17,$CB$18:$CW$18,BW$18)/SUMPRODUCT(($CB$18:$CW$18=BW$18)*ABS($CB48:$CW48)),"-")</f>
        <v>2.9890203347979547E-4</v>
      </c>
      <c r="BX48" s="115"/>
      <c r="BY48" s="114">
        <f t="array" ref="BY48">IFERROR(SUMIFS($CB48:$CW48,$CB$17:$CW$17,BY$17,$CB$18:$CW$18,BY$18)/SUMPRODUCT(($CB$18:$CW$18=BY$18)*ABS($CB48:$CW48)),"-")</f>
        <v>1.3443810810457931E-3</v>
      </c>
      <c r="BZ48" s="116">
        <f t="array" ref="BZ48">IFERROR(SUMIFS($CB48:$CW48,$CB$17:$CW$17,BZ$17,$CB$18:$CW$18,BZ$18)/SUMPRODUCT(($CB$18:$CW$18=BZ$18)*ABS($CB48:$CW48)),"-")</f>
        <v>0.99865561891895416</v>
      </c>
      <c r="CB48" s="117">
        <v>2.5273315000000001E-7</v>
      </c>
      <c r="CC48" s="111">
        <v>7.6187841000000001E-10</v>
      </c>
      <c r="CD48" s="111">
        <v>2.0820685999999999E-14</v>
      </c>
      <c r="CE48" s="111">
        <v>2.1781539E-9</v>
      </c>
      <c r="CF48" s="111">
        <v>7.0494365000000003E-12</v>
      </c>
      <c r="CG48" s="111">
        <v>6.9696763000000001E-10</v>
      </c>
      <c r="CH48" s="111">
        <v>4.9517271000000004E-7</v>
      </c>
      <c r="CI48" s="111">
        <v>9.9836806000000006E-11</v>
      </c>
      <c r="CJ48" s="111">
        <v>1.2052442E-9</v>
      </c>
      <c r="CK48" s="111">
        <v>9.6565804000000003E-11</v>
      </c>
      <c r="CL48" s="111">
        <v>2.8570337000000001E-12</v>
      </c>
      <c r="CM48" s="111">
        <v>4.2746505000000002E-13</v>
      </c>
      <c r="CN48" s="111">
        <v>1.2069826000000001E-12</v>
      </c>
      <c r="CO48" s="111">
        <v>2.3823715000000002E-13</v>
      </c>
      <c r="CP48" s="111">
        <v>6.5728399000000002E-10</v>
      </c>
      <c r="CQ48" s="111">
        <v>7.9476516999999996E-7</v>
      </c>
      <c r="CR48" s="111">
        <v>1.7315189000000001E-8</v>
      </c>
      <c r="CS48" s="111">
        <v>1.6973868999999999E-5</v>
      </c>
      <c r="CT48" s="111">
        <v>1.2608813E-2</v>
      </c>
      <c r="CU48" s="111">
        <v>4.45095E-10</v>
      </c>
      <c r="CV48" s="111">
        <v>5.8253091999999999E-12</v>
      </c>
      <c r="CW48" s="112">
        <v>7.9256207999999995E-17</v>
      </c>
    </row>
    <row r="49" spans="2:101" ht="12" customHeight="1" outlineLevel="1" x14ac:dyDescent="0.2">
      <c r="B49" s="88" t="s">
        <v>101</v>
      </c>
      <c r="C49" s="88" t="s">
        <v>121</v>
      </c>
      <c r="D49" s="89" t="s">
        <v>132</v>
      </c>
      <c r="E49" s="89" t="s">
        <v>136</v>
      </c>
      <c r="F49" s="90" t="s">
        <v>92</v>
      </c>
      <c r="G49" s="18" t="s">
        <v>126</v>
      </c>
      <c r="H49" s="91" t="s">
        <v>127</v>
      </c>
      <c r="I49" s="92" t="s">
        <v>127</v>
      </c>
      <c r="J49" s="93">
        <v>3.7906351599999999</v>
      </c>
      <c r="K49" s="94"/>
      <c r="L49" s="94"/>
      <c r="M49" s="95"/>
      <c r="N49" s="145"/>
      <c r="O49" s="1055"/>
      <c r="P49" s="103">
        <v>1.0135082401326E-6</v>
      </c>
      <c r="Q49" s="97">
        <v>1.1845721596235261E-8</v>
      </c>
      <c r="R49" s="98">
        <v>1.4049090508E-2</v>
      </c>
      <c r="S49" s="1033">
        <v>0.39074424000000002</v>
      </c>
      <c r="T49" s="1033">
        <v>9.5391533999999996E-6</v>
      </c>
      <c r="U49" s="1033">
        <v>7.9796144999999996E-4</v>
      </c>
      <c r="V49" s="1033">
        <v>5.9437140999999999E-4</v>
      </c>
      <c r="W49" s="1033">
        <v>6.4496634000000001E-4</v>
      </c>
      <c r="X49" s="1033">
        <v>5.9934980000000005E-4</v>
      </c>
      <c r="Y49" s="1033">
        <v>4.7170709999999998E-3</v>
      </c>
      <c r="Z49" s="1033">
        <v>1.0368292E-4</v>
      </c>
      <c r="AA49" s="1033">
        <v>2.2099212000000002E-3</v>
      </c>
      <c r="AB49" s="1033">
        <v>0.52781940999999999</v>
      </c>
      <c r="AC49" s="1033">
        <v>3.6941824999999998E-2</v>
      </c>
      <c r="AD49" s="1033">
        <v>9.8298442999999996E-3</v>
      </c>
      <c r="AE49" s="1033">
        <v>1.1876979E-4</v>
      </c>
      <c r="AF49" s="1033">
        <v>1.045444</v>
      </c>
      <c r="AG49" s="1033">
        <v>1.0772541</v>
      </c>
      <c r="AH49" s="1033">
        <v>2.1330483999999999E-4</v>
      </c>
      <c r="AI49" s="1033">
        <v>3.5702696999999999E-2</v>
      </c>
      <c r="AJ49" s="1034">
        <v>1.1322977E-4</v>
      </c>
      <c r="AK49" s="1074">
        <v>0.38903310000000002</v>
      </c>
      <c r="AL49" s="1075">
        <v>1.3384445E-9</v>
      </c>
      <c r="AM49" s="1075">
        <v>1.6862589E-3</v>
      </c>
      <c r="AN49" s="1075">
        <v>4.7173442000000002E-4</v>
      </c>
      <c r="AO49" s="1075">
        <v>8.5977516999999999E-4</v>
      </c>
      <c r="AP49" s="1075">
        <v>5.8448490999999997E-3</v>
      </c>
      <c r="AQ49" s="1075">
        <v>1.0736975999999999E-4</v>
      </c>
      <c r="AR49" s="1075">
        <v>7.8058314999999998E-3</v>
      </c>
      <c r="AS49" s="1075">
        <v>8.9029702000000006E-3</v>
      </c>
      <c r="AT49" s="1075">
        <v>2.3924280999999999E-3</v>
      </c>
      <c r="AU49" s="1075">
        <v>5.9656707000000004E-4</v>
      </c>
      <c r="AV49" s="1075">
        <v>4.1018081999999997E-2</v>
      </c>
      <c r="AW49" s="1075">
        <v>1.0772520999999999</v>
      </c>
      <c r="AX49" s="1075">
        <v>2.0828816000000002E-6</v>
      </c>
      <c r="AY49" s="1075">
        <v>-1.4751437E-8</v>
      </c>
      <c r="AZ49" s="1075">
        <v>4.8757154999999998E-4</v>
      </c>
      <c r="BA49" s="1075">
        <v>3.6324375999999998E-2</v>
      </c>
      <c r="BB49" s="1076">
        <v>1.1860065E-4</v>
      </c>
      <c r="BC49" s="1035"/>
      <c r="BE49" s="99">
        <f t="array" ref="BE49">IFERROR(SUMIFS($CB49:$CW49,$CB$17:$CW$17,BE$17,$CB$18:$CW$18,BE$18)/SUMPRODUCT(($CB$18:$CW$18=BE$18)*ABS($CB49:$CW49)),"-")</f>
        <v>0.35817684121887927</v>
      </c>
      <c r="BF49" s="100">
        <f t="array" ref="BF49">IFERROR(SUMIFS($CB49:$CW49,$CB$17:$CW$17,BF$17,$CB$18:$CW$18,BF$18)/SUMPRODUCT(($CB$18:$CW$18=BF$18)*ABS($CB49:$CW49)),"-")</f>
        <v>4.9969234580050457E-3</v>
      </c>
      <c r="BG49" s="100">
        <f t="array" ref="BG49">IFERROR(SUMIFS($CB49:$CW49,$CB$17:$CW$17,BG$17,$CB$18:$CW$18,BG$18)/SUMPRODUCT(($CB$18:$CW$18=BG$18)*ABS($CB49:$CW49)),"-")</f>
        <v>6.6904168427015959E-6</v>
      </c>
      <c r="BH49" s="100">
        <f t="array" ref="BH49">IFERROR(SUMIFS($CB49:$CW49,$CB$17:$CW$17,BH$17,$CB$18:$CW$18,BH$18)/SUMPRODUCT(($CB$18:$CW$18=BH$18)*ABS($CB49:$CW49)),"-")</f>
        <v>5.3341970848630558E-4</v>
      </c>
      <c r="BI49" s="100">
        <f t="array" ref="BI49">IFERROR(SUMIFS($CB49:$CW49,$CB$17:$CW$17,BI$17,$CB$18:$CW$18,BI$18)/SUMPRODUCT(($CB$18:$CW$18=BI$18)*ABS($CB49:$CW49)),"-")</f>
        <v>0.40034731236809079</v>
      </c>
      <c r="BJ49" s="100">
        <f t="array" ref="BJ49">IFERROR(SUMIFS($CB49:$CW49,$CB$17:$CW$17,BJ$17,$CB$18:$CW$18,BJ$18)/SUMPRODUCT(($CB$18:$CW$18=BJ$18)*ABS($CB49:$CW49)),"-")</f>
        <v>3.8948152009928873E-4</v>
      </c>
      <c r="BK49" s="100">
        <f t="array" ref="BK49">IFERROR(SUMIFS($CB49:$CW49,$CB$17:$CW$17,BK$17,$CB$18:$CW$18,BK$18)/SUMPRODUCT(($CB$18:$CW$18=BK$18)*ABS($CB49:$CW49)),"-")</f>
        <v>0.23530131335567536</v>
      </c>
      <c r="BL49" s="100">
        <f t="array" ref="BL49">IFERROR(SUMIFS($CB49:$CW49,$CB$17:$CW$17,BL$17,$CB$18:$CW$18,BL$18)/SUMPRODUCT(($CB$18:$CW$18=BL$18)*ABS($CB49:$CW49)),"-")</f>
        <v>2.4801795392123585E-4</v>
      </c>
      <c r="BM49" s="101"/>
      <c r="BN49" s="100">
        <f t="array" ref="BN49">IFERROR(SUMIFS($CB49:$CW49,$CB$17:$CW$17,BN$17,$CB$18:$CW$18,BN$18)/SUMPRODUCT(($CB$18:$CW$18=BN$18)*ABS($CB49:$CW49)),"-")</f>
        <v>9.2334340754101032E-2</v>
      </c>
      <c r="BO49" s="100">
        <f t="array" ref="BO49">IFERROR(SUMIFS($CB49:$CW49,$CB$17:$CW$17,BO$17,$CB$18:$CW$18,BO$18)/SUMPRODUCT(($CB$18:$CW$18=BO$18)*ABS($CB49:$CW49)),"-")</f>
        <v>6.5234018351873905E-3</v>
      </c>
      <c r="BP49" s="100">
        <f t="array" ref="BP49">IFERROR(SUMIFS($CB49:$CW49,$CB$17:$CW$17,BP$17,$CB$18:$CW$18,BP$18)/SUMPRODUCT(($CB$18:$CW$18=BP$18)*ABS($CB49:$CW49)),"-")</f>
        <v>8.4510942779388101E-2</v>
      </c>
      <c r="BQ49" s="100">
        <f t="array" ref="BQ49">IFERROR(SUMIFS($CB49:$CW49,$CB$17:$CW$17,BQ$17,$CB$18:$CW$18,BQ$18)/SUMPRODUCT(($CB$18:$CW$18=BQ$18)*ABS($CB49:$CW49)),"-")</f>
        <v>5.8729927455082424E-3</v>
      </c>
      <c r="BR49" s="100">
        <f t="array" ref="BR49">IFERROR(SUMIFS($CB49:$CW49,$CB$17:$CW$17,BR$17,$CB$18:$CW$18,BR$18)/SUMPRODUCT(($CB$18:$CW$18=BR$18)*ABS($CB49:$CW49)),"-")</f>
        <v>3.169550262934808E-4</v>
      </c>
      <c r="BS49" s="100">
        <f t="array" ref="BS49">IFERROR(SUMIFS($CB49:$CW49,$CB$17:$CW$17,BS$17,$CB$18:$CW$18,BS$18)/SUMPRODUCT(($CB$18:$CW$18=BS$18)*ABS($CB49:$CW49)),"-")</f>
        <v>5.0792911610485767E-4</v>
      </c>
      <c r="BT49" s="100">
        <f t="array" ref="BT49">IFERROR(SUMIFS($CB49:$CW49,$CB$17:$CW$17,BT$17,$CB$18:$CW$18,BT$18)/SUMPRODUCT(($CB$18:$CW$18=BT$18)*ABS($CB49:$CW49)),"-")</f>
        <v>2.166925990237514E-3</v>
      </c>
      <c r="BU49" s="100">
        <f t="array" ref="BU49">IFERROR(SUMIFS($CB49:$CW49,$CB$17:$CW$17,BU$17,$CB$18:$CW$18,BU$18)/SUMPRODUCT(($CB$18:$CW$18=BU$18)*ABS($CB49:$CW49)),"-")</f>
        <v>8.710762713923123E-5</v>
      </c>
      <c r="BV49" s="100">
        <f t="array" ref="BV49">IFERROR(SUMIFS($CB49:$CW49,$CB$17:$CW$17,BV$17,$CB$18:$CW$18,BV$18)/SUMPRODUCT(($CB$18:$CW$18=BV$18)*ABS($CB49:$CW49)),"-")</f>
        <v>0.8075503566654999</v>
      </c>
      <c r="BW49" s="100">
        <f t="array" ref="BW49">IFERROR(SUMIFS($CB49:$CW49,$CB$17:$CW$17,BW$17,$CB$18:$CW$18,BW$18)/SUMPRODUCT(($CB$18:$CW$18=BW$18)*ABS($CB49:$CW49)),"-")</f>
        <v>1.2904746054016921E-4</v>
      </c>
      <c r="BX49" s="101"/>
      <c r="BY49" s="100">
        <f t="array" ref="BY49">IFERROR(SUMIFS($CB49:$CW49,$CB$17:$CW$17,BY$17,$CB$18:$CW$18,BY$18)/SUMPRODUCT(($CB$18:$CW$18=BY$18)*ABS($CB49:$CW49)),"-")</f>
        <v>3.5097295424157287E-3</v>
      </c>
      <c r="BZ49" s="102">
        <f t="array" ref="BZ49">IFERROR(SUMIFS($CB49:$CW49,$CB$17:$CW$17,BZ$17,$CB$18:$CW$18,BZ$18)/SUMPRODUCT(($CB$18:$CW$18=BZ$18)*ABS($CB49:$CW49)),"-")</f>
        <v>0.99649027045758432</v>
      </c>
      <c r="CB49" s="103">
        <v>3.6301518000000002E-7</v>
      </c>
      <c r="CC49" s="97">
        <v>1.0937370000000001E-9</v>
      </c>
      <c r="CD49" s="97">
        <v>2.9894345E-14</v>
      </c>
      <c r="CE49" s="97">
        <v>5.0644230999999999E-9</v>
      </c>
      <c r="CF49" s="97">
        <v>6.7807926000000001E-12</v>
      </c>
      <c r="CG49" s="97">
        <v>5.4062527000000005E-10</v>
      </c>
      <c r="CH49" s="97">
        <v>4.057553E-7</v>
      </c>
      <c r="CI49" s="97">
        <v>7.7274402000000003E-11</v>
      </c>
      <c r="CJ49" s="97">
        <v>1.0010931000000001E-9</v>
      </c>
      <c r="CK49" s="97">
        <v>6.9569837000000001E-11</v>
      </c>
      <c r="CL49" s="97">
        <v>3.7545610000000003E-12</v>
      </c>
      <c r="CM49" s="97">
        <v>6.0167868999999997E-12</v>
      </c>
      <c r="CN49" s="97">
        <v>2.5668802E-11</v>
      </c>
      <c r="CO49" s="97">
        <v>1.0318527E-12</v>
      </c>
      <c r="CP49" s="97">
        <v>3.9474272999999998E-10</v>
      </c>
      <c r="CQ49" s="97">
        <v>2.3847981999999998E-7</v>
      </c>
      <c r="CR49" s="97">
        <v>9.5660166999999998E-9</v>
      </c>
      <c r="CS49" s="97">
        <v>4.9308507999999999E-5</v>
      </c>
      <c r="CT49" s="97">
        <v>1.3999782000000001E-2</v>
      </c>
      <c r="CU49" s="97">
        <v>2.5136824E-10</v>
      </c>
      <c r="CV49" s="97">
        <v>1.5285918999999999E-12</v>
      </c>
      <c r="CW49" s="98">
        <v>6.8390260000000003E-17</v>
      </c>
    </row>
    <row r="50" spans="2:101" ht="12" customHeight="1" outlineLevel="1" x14ac:dyDescent="0.2">
      <c r="B50" s="104" t="s">
        <v>101</v>
      </c>
      <c r="C50" s="104" t="s">
        <v>121</v>
      </c>
      <c r="D50" s="2" t="s">
        <v>132</v>
      </c>
      <c r="E50" s="2" t="s">
        <v>136</v>
      </c>
      <c r="F50" s="105" t="s">
        <v>122</v>
      </c>
      <c r="G50" s="27" t="s">
        <v>1579</v>
      </c>
      <c r="H50" s="106" t="s">
        <v>128</v>
      </c>
      <c r="I50" s="107" t="s">
        <v>129</v>
      </c>
      <c r="J50" s="108">
        <v>3.7906351599999999</v>
      </c>
      <c r="K50" s="109"/>
      <c r="L50" s="109"/>
      <c r="M50" s="110"/>
      <c r="N50" s="161"/>
      <c r="O50" s="1056"/>
      <c r="P50" s="117">
        <v>2.922640244706E-7</v>
      </c>
      <c r="Q50" s="111">
        <v>1.5843808061798642E-8</v>
      </c>
      <c r="R50" s="112">
        <v>1.0025237168999999E-2</v>
      </c>
      <c r="S50" s="1032">
        <v>0.21319857</v>
      </c>
      <c r="T50" s="1032">
        <v>3.1746090000000001E-6</v>
      </c>
      <c r="U50" s="1032">
        <v>6.9626976000000001E-4</v>
      </c>
      <c r="V50" s="1032">
        <v>5.9719931999999999E-4</v>
      </c>
      <c r="W50" s="1032">
        <v>1.8861307000000001E-4</v>
      </c>
      <c r="X50" s="1032">
        <v>6.0387593999999996E-4</v>
      </c>
      <c r="Y50" s="1032">
        <v>9.2964545000000004E-4</v>
      </c>
      <c r="Z50" s="1032">
        <v>1.7237745999999998E-5</v>
      </c>
      <c r="AA50" s="1032">
        <v>1.3277218000000001E-3</v>
      </c>
      <c r="AB50" s="1032">
        <v>1.5583525000000001E-2</v>
      </c>
      <c r="AC50" s="1032">
        <v>7.0029070000000003E-4</v>
      </c>
      <c r="AD50" s="1032">
        <v>1.0367709000000001E-3</v>
      </c>
      <c r="AE50" s="1032">
        <v>5.4580865999999998E-5</v>
      </c>
      <c r="AF50" s="1032">
        <v>-0.11843770000000001</v>
      </c>
      <c r="AG50" s="1032">
        <v>1.6842009</v>
      </c>
      <c r="AH50" s="1032">
        <v>6.3590829E-5</v>
      </c>
      <c r="AI50" s="1032">
        <v>2.3262555000000001E-2</v>
      </c>
      <c r="AJ50" s="1036">
        <v>1.1272261E-4</v>
      </c>
      <c r="AK50" s="1077">
        <v>0.21237654</v>
      </c>
      <c r="AL50" s="1078">
        <v>1.1679078000000001E-9</v>
      </c>
      <c r="AM50" s="1078">
        <v>1.4282729000000001E-3</v>
      </c>
      <c r="AN50" s="1078">
        <v>6.5936339999999997E-4</v>
      </c>
      <c r="AO50" s="1078">
        <v>2.9004505000000002E-4</v>
      </c>
      <c r="AP50" s="1078">
        <v>1.2109143999999999E-3</v>
      </c>
      <c r="AQ50" s="1078">
        <v>2.115485E-5</v>
      </c>
      <c r="AR50" s="1078">
        <v>4.6047070000000004E-3</v>
      </c>
      <c r="AS50" s="1078">
        <v>-8.9736983999999994E-6</v>
      </c>
      <c r="AT50" s="1078">
        <v>9.0870641999999999E-5</v>
      </c>
      <c r="AU50" s="1078">
        <v>9.5380492999999993E-5</v>
      </c>
      <c r="AV50" s="1078">
        <v>3.6454916E-3</v>
      </c>
      <c r="AW50" s="1078">
        <v>1.6842003000000001</v>
      </c>
      <c r="AX50" s="1078">
        <v>5.0736116999999997E-7</v>
      </c>
      <c r="AY50" s="1078">
        <v>-3.4869355000000002E-9</v>
      </c>
      <c r="AZ50" s="1078">
        <v>7.2967341999999997E-4</v>
      </c>
      <c r="BA50" s="1078">
        <v>2.4406437999999999E-2</v>
      </c>
      <c r="BB50" s="1079">
        <v>1.1401095E-4</v>
      </c>
      <c r="BC50" s="1035"/>
      <c r="BE50" s="113">
        <f t="array" ref="BE50">IFERROR(SUMIFS($CB50:$CW50,$CB$17:$CW$17,BE$17,$CB$18:$CW$18,BE$18)/SUMPRODUCT(($CB$18:$CW$18=BE$18)*ABS($CB50:$CW50)),"-")</f>
        <v>0.57171344771059518</v>
      </c>
      <c r="BF50" s="114">
        <f t="array" ref="BF50">IFERROR(SUMIFS($CB50:$CW50,$CB$17:$CW$17,BF$17,$CB$18:$CW$18,BF$18)/SUMPRODUCT(($CB$18:$CW$18=BF$18)*ABS($CB50:$CW50)),"-")</f>
        <v>4.8669646716174644E-3</v>
      </c>
      <c r="BG50" s="114">
        <f t="array" ref="BG50">IFERROR(SUMIFS($CB50:$CW50,$CB$17:$CW$17,BG$17,$CB$18:$CW$18,BG$18)/SUMPRODUCT(($CB$18:$CW$18=BG$18)*ABS($CB50:$CW50)),"-")</f>
        <v>1.7085430818547483E-5</v>
      </c>
      <c r="BH50" s="114">
        <f t="array" ref="BH50">IFERROR(SUMIFS($CB50:$CW50,$CB$17:$CW$17,BH$17,$CB$18:$CW$18,BH$18)/SUMPRODUCT(($CB$18:$CW$18=BH$18)*ABS($CB50:$CW50)),"-")</f>
        <v>1.5693411085860069E-3</v>
      </c>
      <c r="BI50" s="114">
        <f t="array" ref="BI50">IFERROR(SUMIFS($CB50:$CW50,$CB$17:$CW$17,BI$17,$CB$18:$CW$18,BI$18)/SUMPRODUCT(($CB$18:$CW$18=BI$18)*ABS($CB50:$CW50)),"-")</f>
        <v>0.34256812606161624</v>
      </c>
      <c r="BJ50" s="114">
        <f t="array" ref="BJ50">IFERROR(SUMIFS($CB50:$CW50,$CB$17:$CW$17,BJ$17,$CB$18:$CW$18,BJ$18)/SUMPRODUCT(($CB$18:$CW$18=BJ$18)*ABS($CB50:$CW50)),"-")</f>
        <v>5.2368892705427234E-4</v>
      </c>
      <c r="BK50" s="114">
        <f t="array" ref="BK50">IFERROR(SUMIFS($CB50:$CW50,$CB$17:$CW$17,BK$17,$CB$18:$CW$18,BK$18)/SUMPRODUCT(($CB$18:$CW$18=BK$18)*ABS($CB50:$CW50)),"-")</f>
        <v>-7.8018731411434949E-2</v>
      </c>
      <c r="BL50" s="114">
        <f t="array" ref="BL50">IFERROR(SUMIFS($CB50:$CW50,$CB$17:$CW$17,BL$17,$CB$18:$CW$18,BL$18)/SUMPRODUCT(($CB$18:$CW$18=BL$18)*ABS($CB50:$CW50)),"-")</f>
        <v>7.2261467827739053E-4</v>
      </c>
      <c r="BM50" s="115"/>
      <c r="BN50" s="114">
        <f t="array" ref="BN50">IFERROR(SUMIFS($CB50:$CW50,$CB$17:$CW$17,BN$17,$CB$18:$CW$18,BN$18)/SUMPRODUCT(($CB$18:$CW$18=BN$18)*ABS($CB50:$CW50)),"-")</f>
        <v>3.7671305921970551E-2</v>
      </c>
      <c r="BO50" s="114">
        <f t="array" ref="BO50">IFERROR(SUMIFS($CB50:$CW50,$CB$17:$CW$17,BO$17,$CB$18:$CW$18,BO$18)/SUMPRODUCT(($CB$18:$CW$18=BO$18)*ABS($CB50:$CW50)),"-")</f>
        <v>4.9167336347519831E-3</v>
      </c>
      <c r="BP50" s="114">
        <f t="array" ref="BP50">IFERROR(SUMIFS($CB50:$CW50,$CB$17:$CW$17,BP$17,$CB$18:$CW$18,BP$18)/SUMPRODUCT(($CB$18:$CW$18=BP$18)*ABS($CB50:$CW50)),"-")</f>
        <v>1.2448635405749127E-2</v>
      </c>
      <c r="BQ50" s="114">
        <f t="array" ref="BQ50">IFERROR(SUMIFS($CB50:$CW50,$CB$17:$CW$17,BQ$17,$CB$18:$CW$18,BQ$18)/SUMPRODUCT(($CB$18:$CW$18=BQ$18)*ABS($CB50:$CW50)),"-")</f>
        <v>7.2993966822185175E-4</v>
      </c>
      <c r="BR50" s="114">
        <f t="array" ref="BR50">IFERROR(SUMIFS($CB50:$CW50,$CB$17:$CW$17,BR$17,$CB$18:$CW$18,BR$18)/SUMPRODUCT(($CB$18:$CW$18=BR$18)*ABS($CB50:$CW50)),"-")</f>
        <v>1.4237373939405832E-4</v>
      </c>
      <c r="BS50" s="114">
        <f t="array" ref="BS50">IFERROR(SUMIFS($CB50:$CW50,$CB$17:$CW$17,BS$17,$CB$18:$CW$18,BS$18)/SUMPRODUCT(($CB$18:$CW$18=BS$18)*ABS($CB50:$CW50)),"-")</f>
        <v>1.1209198527733153E-5</v>
      </c>
      <c r="BT50" s="114">
        <f t="array" ref="BT50">IFERROR(SUMIFS($CB50:$CW50,$CB$17:$CW$17,BT$17,$CB$18:$CW$18,BT$18)/SUMPRODUCT(($CB$18:$CW$18=BT$18)*ABS($CB50:$CW50)),"-")</f>
        <v>3.0578658748596325E-5</v>
      </c>
      <c r="BU50" s="114">
        <f t="array" ref="BU50">IFERROR(SUMIFS($CB50:$CW50,$CB$17:$CW$17,BU$17,$CB$18:$CW$18,BU$18)/SUMPRODUCT(($CB$18:$CW$18=BU$18)*ABS($CB50:$CW50)),"-")</f>
        <v>6.8730168640807124E-6</v>
      </c>
      <c r="BV50" s="114">
        <f t="array" ref="BV50">IFERROR(SUMIFS($CB50:$CW50,$CB$17:$CW$17,BV$17,$CB$18:$CW$18,BV$18)/SUMPRODUCT(($CB$18:$CW$18=BV$18)*ABS($CB50:$CW50)),"-")</f>
        <v>0.94394630013601533</v>
      </c>
      <c r="BW50" s="114">
        <f t="array" ref="BW50">IFERROR(SUMIFS($CB50:$CW50,$CB$17:$CW$17,BW$17,$CB$18:$CW$18,BW$18)/SUMPRODUCT(($CB$18:$CW$18=BW$18)*ABS($CB50:$CW50)),"-")</f>
        <v>9.6050619756576331E-5</v>
      </c>
      <c r="BX50" s="115"/>
      <c r="BY50" s="114">
        <f t="array" ref="BY50">IFERROR(SUMIFS($CB50:$CW50,$CB$17:$CW$17,BY$17,$CB$18:$CW$18,BY$18)/SUMPRODUCT(($CB$18:$CW$18=BY$18)*ABS($CB50:$CW50)),"-")</f>
        <v>1.4665158292176859E-3</v>
      </c>
      <c r="BZ50" s="116">
        <f t="array" ref="BZ50">IFERROR(SUMIFS($CB50:$CW50,$CB$17:$CW$17,BZ$17,$CB$18:$CW$18,BZ$18)/SUMPRODUCT(($CB$18:$CW$18=BZ$18)*ABS($CB50:$CW50)),"-")</f>
        <v>0.99853348417078236</v>
      </c>
      <c r="CB50" s="117">
        <v>1.9798423E-7</v>
      </c>
      <c r="CC50" s="111">
        <v>5.9684062999999999E-10</v>
      </c>
      <c r="CD50" s="111">
        <v>1.6310465E-14</v>
      </c>
      <c r="CE50" s="111">
        <v>1.6854287E-9</v>
      </c>
      <c r="CF50" s="111">
        <v>5.9166805999999997E-12</v>
      </c>
      <c r="CG50" s="111">
        <v>5.4346244999999996E-10</v>
      </c>
      <c r="CH50" s="111">
        <v>1.1863126E-7</v>
      </c>
      <c r="CI50" s="111">
        <v>7.7899784000000002E-11</v>
      </c>
      <c r="CJ50" s="111">
        <v>1.9723379E-10</v>
      </c>
      <c r="CK50" s="111">
        <v>1.1565024E-11</v>
      </c>
      <c r="CL50" s="111">
        <v>2.2557421999999999E-12</v>
      </c>
      <c r="CM50" s="111">
        <v>1.7759639E-13</v>
      </c>
      <c r="CN50" s="111">
        <v>4.8448240000000004E-13</v>
      </c>
      <c r="CO50" s="111">
        <v>1.0889476E-13</v>
      </c>
      <c r="CP50" s="111">
        <v>1.8135335000000001E-10</v>
      </c>
      <c r="CQ50" s="111">
        <v>-2.7017867999999998E-8</v>
      </c>
      <c r="CR50" s="111">
        <v>1.4955704E-8</v>
      </c>
      <c r="CS50" s="111">
        <v>1.4702169E-5</v>
      </c>
      <c r="CT50" s="111">
        <v>1.0010534999999999E-2</v>
      </c>
      <c r="CU50" s="111">
        <v>2.5024129000000001E-10</v>
      </c>
      <c r="CV50" s="111">
        <v>1.5217395000000001E-12</v>
      </c>
      <c r="CW50" s="112">
        <v>6.8083639999999999E-17</v>
      </c>
    </row>
    <row r="51" spans="2:101" ht="12" customHeight="1" outlineLevel="1" x14ac:dyDescent="0.2">
      <c r="B51" s="104" t="s">
        <v>101</v>
      </c>
      <c r="C51" s="104" t="s">
        <v>121</v>
      </c>
      <c r="D51" s="2" t="s">
        <v>132</v>
      </c>
      <c r="E51" s="2" t="s">
        <v>136</v>
      </c>
      <c r="F51" s="105" t="s">
        <v>93</v>
      </c>
      <c r="G51" s="27" t="s">
        <v>1578</v>
      </c>
      <c r="H51" s="106" t="s">
        <v>130</v>
      </c>
      <c r="I51" s="107" t="s">
        <v>129</v>
      </c>
      <c r="J51" s="108">
        <v>3.7906351599999999</v>
      </c>
      <c r="K51" s="109"/>
      <c r="L51" s="109"/>
      <c r="M51" s="110"/>
      <c r="N51" s="161"/>
      <c r="O51" s="1056"/>
      <c r="P51" s="117">
        <v>3.8995734410119998E-7</v>
      </c>
      <c r="Q51" s="111">
        <v>1.9981986357196092E-8</v>
      </c>
      <c r="R51" s="112">
        <v>1.2643683159999999E-2</v>
      </c>
      <c r="S51" s="1032">
        <v>0.26888293000000002</v>
      </c>
      <c r="T51" s="1032">
        <v>4.0037704999999998E-6</v>
      </c>
      <c r="U51" s="1032">
        <v>8.7812524999999998E-4</v>
      </c>
      <c r="V51" s="1032">
        <v>7.5317905E-4</v>
      </c>
      <c r="W51" s="1032">
        <v>2.3787605E-4</v>
      </c>
      <c r="X51" s="1032">
        <v>7.6159952000000005E-4</v>
      </c>
      <c r="Y51" s="1032">
        <v>1.1724553000000001E-3</v>
      </c>
      <c r="Z51" s="1032">
        <v>2.1739992999999999E-5</v>
      </c>
      <c r="AA51" s="1032">
        <v>1.6745033E-3</v>
      </c>
      <c r="AB51" s="1032">
        <v>1.9653713999999999E-2</v>
      </c>
      <c r="AC51" s="1032">
        <v>8.9278814999999999E-4</v>
      </c>
      <c r="AD51" s="1032">
        <v>1.3153526999999999E-3</v>
      </c>
      <c r="AE51" s="1032">
        <v>7.2665583999999994E-5</v>
      </c>
      <c r="AF51" s="1032">
        <v>-5.5799217999999998E-2</v>
      </c>
      <c r="AG51" s="1032">
        <v>2.1240895000000002</v>
      </c>
      <c r="AH51" s="1032">
        <v>8.0199823999999996E-5</v>
      </c>
      <c r="AI51" s="1032">
        <v>2.9338395E-2</v>
      </c>
      <c r="AJ51" s="1036">
        <v>1.4216411000000001E-4</v>
      </c>
      <c r="AK51" s="1077">
        <v>0.26784618999999998</v>
      </c>
      <c r="AL51" s="1078">
        <v>1.4729482E-9</v>
      </c>
      <c r="AM51" s="1078">
        <v>1.8013168999999999E-3</v>
      </c>
      <c r="AN51" s="1078">
        <v>8.3157949000000004E-4</v>
      </c>
      <c r="AO51" s="1078">
        <v>3.6580057E-4</v>
      </c>
      <c r="AP51" s="1078">
        <v>1.5271874999999999E-3</v>
      </c>
      <c r="AQ51" s="1078">
        <v>2.6680187E-5</v>
      </c>
      <c r="AR51" s="1078">
        <v>5.8073891999999997E-3</v>
      </c>
      <c r="AS51" s="1078">
        <v>-3.8098001999999998E-6</v>
      </c>
      <c r="AT51" s="1078">
        <v>1.1524773E-4</v>
      </c>
      <c r="AU51" s="1078">
        <v>1.2063017E-4</v>
      </c>
      <c r="AV51" s="1078">
        <v>5.7783788999999997E-3</v>
      </c>
      <c r="AW51" s="1078">
        <v>2.1240888999999998</v>
      </c>
      <c r="AX51" s="1078">
        <v>6.3987649999999999E-7</v>
      </c>
      <c r="AY51" s="1078">
        <v>-4.3976720999999996E-9</v>
      </c>
      <c r="AZ51" s="1078">
        <v>9.2025346E-4</v>
      </c>
      <c r="BA51" s="1078">
        <v>3.0781043000000001E-2</v>
      </c>
      <c r="BB51" s="1079">
        <v>1.4378895E-4</v>
      </c>
      <c r="BC51" s="1035"/>
      <c r="BE51" s="113">
        <f t="array" ref="BE51">IFERROR(SUMIFS($CB51:$CW51,$CB$17:$CW$17,BE$17,$CB$18:$CW$18,BE$18)/SUMPRODUCT(($CB$18:$CW$18=BE$18)*ABS($CB51:$CW51)),"-")</f>
        <v>0.60107252035078662</v>
      </c>
      <c r="BF51" s="114">
        <f t="array" ref="BF51">IFERROR(SUMIFS($CB51:$CW51,$CB$17:$CW$17,BF$17,$CB$18:$CW$18,BF$18)/SUMPRODUCT(($CB$18:$CW$18=BF$18)*ABS($CB51:$CW51)),"-")</f>
        <v>5.1168966581421485E-3</v>
      </c>
      <c r="BG51" s="114">
        <f t="array" ref="BG51">IFERROR(SUMIFS($CB51:$CW51,$CB$17:$CW$17,BG$17,$CB$18:$CW$18,BG$18)/SUMPRODUCT(($CB$18:$CW$18=BG$18)*ABS($CB51:$CW51)),"-")</f>
        <v>1.7962815169013937E-5</v>
      </c>
      <c r="BH51" s="114">
        <f t="array" ref="BH51">IFERROR(SUMIFS($CB51:$CW51,$CB$17:$CW$17,BH$17,$CB$18:$CW$18,BH$18)/SUMPRODUCT(($CB$18:$CW$18=BH$18)*ABS($CB51:$CW51)),"-")</f>
        <v>1.6499311153063548E-3</v>
      </c>
      <c r="BI51" s="114">
        <f t="array" ref="BI51">IFERROR(SUMIFS($CB51:$CW51,$CB$17:$CW$17,BI$17,$CB$18:$CW$18,BI$18)/SUMPRODUCT(($CB$18:$CW$18=BI$18)*ABS($CB51:$CW51)),"-")</f>
        <v>0.36015996738039535</v>
      </c>
      <c r="BJ51" s="114">
        <f t="array" ref="BJ51">IFERROR(SUMIFS($CB51:$CW51,$CB$17:$CW$17,BJ$17,$CB$18:$CW$18,BJ$18)/SUMPRODUCT(($CB$18:$CW$18=BJ$18)*ABS($CB51:$CW51)),"-")</f>
        <v>5.8124102462680204E-4</v>
      </c>
      <c r="BK51" s="114">
        <f t="array" ref="BK51">IFERROR(SUMIFS($CB51:$CW51,$CB$17:$CW$17,BK$17,$CB$18:$CW$18,BK$18)/SUMPRODUCT(($CB$18:$CW$18=BK$18)*ABS($CB51:$CW51)),"-")</f>
        <v>-3.0641757710057355E-2</v>
      </c>
      <c r="BL51" s="114">
        <f t="array" ref="BL51">IFERROR(SUMIFS($CB51:$CW51,$CB$17:$CW$17,BL$17,$CB$18:$CW$18,BL$18)/SUMPRODUCT(($CB$18:$CW$18=BL$18)*ABS($CB51:$CW51)),"-")</f>
        <v>7.5972294551633743E-4</v>
      </c>
      <c r="BM51" s="115"/>
      <c r="BN51" s="114">
        <f t="array" ref="BN51">IFERROR(SUMIFS($CB51:$CW51,$CB$17:$CW$17,BN$17,$CB$18:$CW$18,BN$18)/SUMPRODUCT(($CB$18:$CW$18=BN$18)*ABS($CB51:$CW51)),"-")</f>
        <v>3.7671292386250374E-2</v>
      </c>
      <c r="BO51" s="114">
        <f t="array" ref="BO51">IFERROR(SUMIFS($CB51:$CW51,$CB$17:$CW$17,BO$17,$CB$18:$CW$18,BO$18)/SUMPRODUCT(($CB$18:$CW$18=BO$18)*ABS($CB51:$CW51)),"-")</f>
        <v>4.9167319126218276E-3</v>
      </c>
      <c r="BP51" s="114">
        <f t="array" ref="BP51">IFERROR(SUMIFS($CB51:$CW51,$CB$17:$CW$17,BP$17,$CB$18:$CW$18,BP$18)/SUMPRODUCT(($CB$18:$CW$18=BP$18)*ABS($CB51:$CW51)),"-")</f>
        <v>1.2448631259845622E-2</v>
      </c>
      <c r="BQ51" s="114">
        <f t="array" ref="BQ51">IFERROR(SUMIFS($CB51:$CW51,$CB$17:$CW$17,BQ$17,$CB$18:$CW$18,BQ$18)/SUMPRODUCT(($CB$18:$CW$18=BQ$18)*ABS($CB51:$CW51)),"-")</f>
        <v>7.2993944342011256E-4</v>
      </c>
      <c r="BR51" s="114">
        <f t="array" ref="BR51">IFERROR(SUMIFS($CB51:$CW51,$CB$17:$CW$17,BR$17,$CB$18:$CW$18,BR$18)/SUMPRODUCT(($CB$18:$CW$18=BR$18)*ABS($CB51:$CW51)),"-")</f>
        <v>1.4237368843841023E-4</v>
      </c>
      <c r="BS51" s="114">
        <f t="array" ref="BS51">IFERROR(SUMIFS($CB51:$CW51,$CB$17:$CW$17,BS$17,$CB$18:$CW$18,BS$18)/SUMPRODUCT(($CB$18:$CW$18=BS$18)*ABS($CB51:$CW51)),"-")</f>
        <v>1.1209194921671918E-5</v>
      </c>
      <c r="BT51" s="114">
        <f t="array" ref="BT51">IFERROR(SUMIFS($CB51:$CW51,$CB$17:$CW$17,BT$17,$CB$18:$CW$18,BT$18)/SUMPRODUCT(($CB$18:$CW$18=BT$18)*ABS($CB51:$CW51)),"-")</f>
        <v>3.0912295652606744E-5</v>
      </c>
      <c r="BU51" s="114">
        <f t="array" ref="BU51">IFERROR(SUMIFS($CB51:$CW51,$CB$17:$CW$17,BU$17,$CB$18:$CW$18,BU$18)/SUMPRODUCT(($CB$18:$CW$18=BU$18)*ABS($CB51:$CW51)),"-")</f>
        <v>6.9139752940651162E-6</v>
      </c>
      <c r="BV51" s="114">
        <f t="array" ref="BV51">IFERROR(SUMIFS($CB51:$CW51,$CB$17:$CW$17,BV$17,$CB$18:$CW$18,BV$18)/SUMPRODUCT(($CB$18:$CW$18=BV$18)*ABS($CB51:$CW51)),"-")</f>
        <v>0.94394594525420028</v>
      </c>
      <c r="BW51" s="114">
        <f t="array" ref="BW51">IFERROR(SUMIFS($CB51:$CW51,$CB$17:$CW$17,BW$17,$CB$18:$CW$18,BW$18)/SUMPRODUCT(($CB$18:$CW$18=BW$18)*ABS($CB51:$CW51)),"-")</f>
        <v>9.6050589355037324E-5</v>
      </c>
      <c r="BX51" s="115"/>
      <c r="BY51" s="114">
        <f t="array" ref="BY51">IFERROR(SUMIFS($CB51:$CW51,$CB$17:$CW$17,BY$17,$CB$18:$CW$18,BY$18)/SUMPRODUCT(($CB$18:$CW$18=BY$18)*ABS($CB51:$CW51)),"-")</f>
        <v>1.4665157110754429E-3</v>
      </c>
      <c r="BZ51" s="116">
        <f t="array" ref="BZ51">IFERROR(SUMIFS($CB51:$CW51,$CB$17:$CW$17,BZ$17,$CB$18:$CW$18,BZ$18)/SUMPRODUCT(($CB$18:$CW$18=BZ$18)*ABS($CB51:$CW51)),"-")</f>
        <v>0.99853348428892463</v>
      </c>
      <c r="CB51" s="117">
        <v>2.4969482000000002E-7</v>
      </c>
      <c r="CC51" s="111">
        <v>7.5272668000000004E-10</v>
      </c>
      <c r="CD51" s="111">
        <v>2.0570519999999999E-14</v>
      </c>
      <c r="CE51" s="111">
        <v>2.1256379999999999E-9</v>
      </c>
      <c r="CF51" s="111">
        <v>7.4620312000000006E-12</v>
      </c>
      <c r="CG51" s="111">
        <v>6.8540689999999996E-10</v>
      </c>
      <c r="CH51" s="111">
        <v>1.4961602E-7</v>
      </c>
      <c r="CI51" s="111">
        <v>9.8246070000000003E-11</v>
      </c>
      <c r="CJ51" s="111">
        <v>2.4874838000000002E-10</v>
      </c>
      <c r="CK51" s="111">
        <v>1.4585639999999998E-11</v>
      </c>
      <c r="CL51" s="111">
        <v>2.8449091000000001E-12</v>
      </c>
      <c r="CM51" s="111">
        <v>2.2398197999999999E-13</v>
      </c>
      <c r="CN51" s="111">
        <v>6.1768906999999999E-13</v>
      </c>
      <c r="CO51" s="111">
        <v>1.3815495999999999E-13</v>
      </c>
      <c r="CP51" s="111">
        <v>2.4145650999999997E-10</v>
      </c>
      <c r="CQ51" s="111">
        <v>-1.272906E-8</v>
      </c>
      <c r="CR51" s="111">
        <v>1.8861915E-8</v>
      </c>
      <c r="CS51" s="111">
        <v>1.8542160000000001E-5</v>
      </c>
      <c r="CT51" s="111">
        <v>1.2625140999999999E-2</v>
      </c>
      <c r="CU51" s="111">
        <v>3.1560066000000002E-10</v>
      </c>
      <c r="CV51" s="111">
        <v>1.9191957000000001E-12</v>
      </c>
      <c r="CW51" s="112">
        <v>8.5866093000000001E-17</v>
      </c>
    </row>
    <row r="52" spans="2:101" ht="12" customHeight="1" outlineLevel="1" x14ac:dyDescent="0.2">
      <c r="B52" s="104" t="s">
        <v>101</v>
      </c>
      <c r="C52" s="104" t="s">
        <v>121</v>
      </c>
      <c r="D52" s="2" t="s">
        <v>132</v>
      </c>
      <c r="E52" s="2" t="s">
        <v>136</v>
      </c>
      <c r="F52" s="105" t="s">
        <v>94</v>
      </c>
      <c r="G52" s="27" t="s">
        <v>1580</v>
      </c>
      <c r="H52" s="106" t="s">
        <v>131</v>
      </c>
      <c r="I52" s="107" t="s">
        <v>129</v>
      </c>
      <c r="J52" s="108">
        <v>3.7906351599999999</v>
      </c>
      <c r="K52" s="109"/>
      <c r="L52" s="109"/>
      <c r="M52" s="110"/>
      <c r="N52" s="161"/>
      <c r="O52" s="1056"/>
      <c r="P52" s="117">
        <v>2.2807887368939999E-7</v>
      </c>
      <c r="Q52" s="111">
        <v>1.3124794667145581E-8</v>
      </c>
      <c r="R52" s="112">
        <v>8.3047731809999994E-3</v>
      </c>
      <c r="S52" s="1032">
        <v>0.17661086000000001</v>
      </c>
      <c r="T52" s="1032">
        <v>2.6298038E-6</v>
      </c>
      <c r="U52" s="1032">
        <v>5.7678060000000003E-4</v>
      </c>
      <c r="V52" s="1032">
        <v>4.9471195999999996E-4</v>
      </c>
      <c r="W52" s="1032">
        <v>1.5624456E-4</v>
      </c>
      <c r="X52" s="1032">
        <v>5.0024279000000001E-4</v>
      </c>
      <c r="Y52" s="1032">
        <v>7.7010591000000004E-4</v>
      </c>
      <c r="Z52" s="1032">
        <v>1.4279519E-5</v>
      </c>
      <c r="AA52" s="1032">
        <v>1.099867E-3</v>
      </c>
      <c r="AB52" s="1032">
        <v>1.2909185E-2</v>
      </c>
      <c r="AC52" s="1032">
        <v>5.7381132000000005E-4</v>
      </c>
      <c r="AD52" s="1032">
        <v>8.5372886999999999E-4</v>
      </c>
      <c r="AE52" s="1032">
        <v>4.2699057999999998E-5</v>
      </c>
      <c r="AF52" s="1032">
        <v>-0.15957373</v>
      </c>
      <c r="AG52" s="1032">
        <v>1.3951696</v>
      </c>
      <c r="AH52" s="1032">
        <v>5.2677796000000001E-5</v>
      </c>
      <c r="AI52" s="1032">
        <v>1.9270391000000001E-2</v>
      </c>
      <c r="AJ52" s="1036">
        <v>9.3377908000000001E-5</v>
      </c>
      <c r="AK52" s="1077">
        <v>0.1759299</v>
      </c>
      <c r="AL52" s="1078">
        <v>9.6747923999999998E-10</v>
      </c>
      <c r="AM52" s="1078">
        <v>1.1831622E-3</v>
      </c>
      <c r="AN52" s="1078">
        <v>5.4620785999999998E-4</v>
      </c>
      <c r="AO52" s="1078">
        <v>2.4026945E-4</v>
      </c>
      <c r="AP52" s="1078">
        <v>1.0031053999999999E-3</v>
      </c>
      <c r="AQ52" s="1078">
        <v>1.7524396E-5</v>
      </c>
      <c r="AR52" s="1078">
        <v>3.8144779E-3</v>
      </c>
      <c r="AS52" s="1078">
        <v>-1.2364987E-5</v>
      </c>
      <c r="AT52" s="1078">
        <v>7.4853683000000005E-5</v>
      </c>
      <c r="AU52" s="1078">
        <v>7.8790131000000001E-5</v>
      </c>
      <c r="AV52" s="1078">
        <v>2.2443302000000002E-3</v>
      </c>
      <c r="AW52" s="1078">
        <v>1.3951690999999999</v>
      </c>
      <c r="AX52" s="1078">
        <v>4.2029124000000001E-7</v>
      </c>
      <c r="AY52" s="1078">
        <v>-2.8885309E-9</v>
      </c>
      <c r="AZ52" s="1078">
        <v>6.0445175000000003E-4</v>
      </c>
      <c r="BA52" s="1078">
        <v>2.0217967999999999E-2</v>
      </c>
      <c r="BB52" s="1079">
        <v>9.4445153000000007E-5</v>
      </c>
      <c r="BC52" s="1035"/>
      <c r="BE52" s="113">
        <f t="array" ref="BE52">IFERROR(SUMIFS($CB52:$CW52,$CB$17:$CW$17,BE$17,$CB$18:$CW$18,BE$18)/SUMPRODUCT(($CB$18:$CW$18=BE$18)*ABS($CB52:$CW52)),"-")</f>
        <v>0.54508885163241871</v>
      </c>
      <c r="BF52" s="114">
        <f t="array" ref="BF52">IFERROR(SUMIFS($CB52:$CW52,$CB$17:$CW$17,BF$17,$CB$18:$CW$18,BF$18)/SUMPRODUCT(($CB$18:$CW$18=BF$18)*ABS($CB52:$CW52)),"-")</f>
        <v>4.6403109916769436E-3</v>
      </c>
      <c r="BG52" s="114">
        <f t="array" ref="BG52">IFERROR(SUMIFS($CB52:$CW52,$CB$17:$CW$17,BG$17,$CB$18:$CW$18,BG$18)/SUMPRODUCT(($CB$18:$CW$18=BG$18)*ABS($CB52:$CW52)),"-")</f>
        <v>1.6289765172035806E-5</v>
      </c>
      <c r="BH52" s="114">
        <f t="array" ref="BH52">IFERROR(SUMIFS($CB52:$CW52,$CB$17:$CW$17,BH$17,$CB$18:$CW$18,BH$18)/SUMPRODUCT(($CB$18:$CW$18=BH$18)*ABS($CB52:$CW52)),"-")</f>
        <v>1.4962571738712624E-3</v>
      </c>
      <c r="BI52" s="114">
        <f t="array" ref="BI52">IFERROR(SUMIFS($CB52:$CW52,$CB$17:$CW$17,BI$17,$CB$18:$CW$18,BI$18)/SUMPRODUCT(($CB$18:$CW$18=BI$18)*ABS($CB52:$CW52)),"-")</f>
        <v>0.32661480040472513</v>
      </c>
      <c r="BJ52" s="114">
        <f t="array" ref="BJ52">IFERROR(SUMIFS($CB52:$CW52,$CB$17:$CW$17,BJ$17,$CB$18:$CW$18,BJ$18)/SUMPRODUCT(($CB$18:$CW$18=BJ$18)*ABS($CB52:$CW52)),"-")</f>
        <v>4.7149717875061324E-4</v>
      </c>
      <c r="BK52" s="114">
        <f t="array" ref="BK52">IFERROR(SUMIFS($CB52:$CW52,$CB$17:$CW$17,BK$17,$CB$18:$CW$18,BK$18)/SUMPRODUCT(($CB$18:$CW$18=BK$18)*ABS($CB52:$CW52)),"-")</f>
        <v>-0.12098303022431753</v>
      </c>
      <c r="BL52" s="114">
        <f t="array" ref="BL52">IFERROR(SUMIFS($CB52:$CW52,$CB$17:$CW$17,BL$17,$CB$18:$CW$18,BL$18)/SUMPRODUCT(($CB$18:$CW$18=BL$18)*ABS($CB52:$CW52)),"-")</f>
        <v>6.8896262906795278E-4</v>
      </c>
      <c r="BM52" s="115"/>
      <c r="BN52" s="114">
        <f t="array" ref="BN52">IFERROR(SUMIFS($CB52:$CW52,$CB$17:$CW$17,BN$17,$CB$18:$CW$18,BN$18)/SUMPRODUCT(($CB$18:$CW$18=BN$18)*ABS($CB52:$CW52)),"-")</f>
        <v>3.7671320116700137E-2</v>
      </c>
      <c r="BO52" s="114">
        <f t="array" ref="BO52">IFERROR(SUMIFS($CB52:$CW52,$CB$17:$CW$17,BO$17,$CB$18:$CW$18,BO$18)/SUMPRODUCT(($CB$18:$CW$18=BO$18)*ABS($CB52:$CW52)),"-")</f>
        <v>4.9167355098923169E-3</v>
      </c>
      <c r="BP52" s="114">
        <f t="array" ref="BP52">IFERROR(SUMIFS($CB52:$CW52,$CB$17:$CW$17,BP$17,$CB$18:$CW$18,BP$18)/SUMPRODUCT(($CB$18:$CW$18=BP$18)*ABS($CB52:$CW52)),"-")</f>
        <v>1.2448640465895658E-2</v>
      </c>
      <c r="BQ52" s="114">
        <f t="array" ref="BQ52">IFERROR(SUMIFS($CB52:$CW52,$CB$17:$CW$17,BQ$17,$CB$18:$CW$18,BQ$18)/SUMPRODUCT(($CB$18:$CW$18=BQ$18)*ABS($CB52:$CW52)),"-")</f>
        <v>7.2993996805007194E-4</v>
      </c>
      <c r="BR52" s="114">
        <f t="array" ref="BR52">IFERROR(SUMIFS($CB52:$CW52,$CB$17:$CW$17,BR$17,$CB$18:$CW$18,BR$18)/SUMPRODUCT(($CB$18:$CW$18=BR$18)*ABS($CB52:$CW52)),"-")</f>
        <v>1.4237379306798669E-4</v>
      </c>
      <c r="BS52" s="114">
        <f t="array" ref="BS52">IFERROR(SUMIFS($CB52:$CW52,$CB$17:$CW$17,BS$17,$CB$18:$CW$18,BS$18)/SUMPRODUCT(($CB$18:$CW$18=BS$18)*ABS($CB52:$CW52)),"-")</f>
        <v>1.1209203170871073E-5</v>
      </c>
      <c r="BT52" s="114">
        <f t="array" ref="BT52">IFERROR(SUMIFS($CB52:$CW52,$CB$17:$CW$17,BT$17,$CB$18:$CW$18,BT$18)/SUMPRODUCT(($CB$18:$CW$18=BT$18)*ABS($CB52:$CW52)),"-")</f>
        <v>3.0245022498803936E-5</v>
      </c>
      <c r="BU52" s="114">
        <f t="array" ref="BU52">IFERROR(SUMIFS($CB52:$CW52,$CB$17:$CW$17,BU$17,$CB$18:$CW$18,BU$18)/SUMPRODUCT(($CB$18:$CW$18=BU$18)*ABS($CB52:$CW52)),"-")</f>
        <v>6.8320591882830233E-6</v>
      </c>
      <c r="BV52" s="114">
        <f t="array" ref="BV52">IFERROR(SUMIFS($CB52:$CW52,$CB$17:$CW$17,BV$17,$CB$18:$CW$18,BV$18)/SUMPRODUCT(($CB$18:$CW$18=BV$18)*ABS($CB52:$CW52)),"-")</f>
        <v>0.94394665320081683</v>
      </c>
      <c r="BW52" s="114">
        <f t="array" ref="BW52">IFERROR(SUMIFS($CB52:$CW52,$CB$17:$CW$17,BW$17,$CB$18:$CW$18,BW$18)/SUMPRODUCT(($CB$18:$CW$18=BW$18)*ABS($CB52:$CW52)),"-")</f>
        <v>9.6050660719034989E-5</v>
      </c>
      <c r="BX52" s="115"/>
      <c r="BY52" s="114">
        <f t="array" ref="BY52">IFERROR(SUMIFS($CB52:$CW52,$CB$17:$CW$17,BY$17,$CB$18:$CW$18,BY$18)/SUMPRODUCT(($CB$18:$CW$18=BY$18)*ABS($CB52:$CW52)),"-")</f>
        <v>1.4665157897224455E-3</v>
      </c>
      <c r="BZ52" s="116">
        <f t="array" ref="BZ52">IFERROR(SUMIFS($CB52:$CW52,$CB$17:$CW$17,BZ$17,$CB$18:$CW$18,BZ$18)/SUMPRODUCT(($CB$18:$CW$18=BZ$18)*ABS($CB52:$CW52)),"-")</f>
        <v>0.99853348421027766</v>
      </c>
      <c r="CB52" s="117">
        <v>1.6400750000000001E-7</v>
      </c>
      <c r="CC52" s="111">
        <v>4.9441482999999996E-10</v>
      </c>
      <c r="CD52" s="111">
        <v>1.3511372E-14</v>
      </c>
      <c r="CE52" s="111">
        <v>1.3961867000000001E-9</v>
      </c>
      <c r="CF52" s="111">
        <v>4.9012994000000002E-12</v>
      </c>
      <c r="CG52" s="111">
        <v>4.5019705999999999E-10</v>
      </c>
      <c r="CH52" s="111">
        <v>9.8272560000000001E-8</v>
      </c>
      <c r="CI52" s="111">
        <v>6.4531143999999997E-11</v>
      </c>
      <c r="CJ52" s="111">
        <v>1.6338585000000001E-10</v>
      </c>
      <c r="CK52" s="111">
        <v>9.5803122000000001E-12</v>
      </c>
      <c r="CL52" s="111">
        <v>1.8686268000000001E-12</v>
      </c>
      <c r="CM52" s="111">
        <v>1.4711848999999999E-13</v>
      </c>
      <c r="CN52" s="111">
        <v>3.9695971000000002E-13</v>
      </c>
      <c r="CO52" s="111">
        <v>8.9669373999999997E-14</v>
      </c>
      <c r="CP52" s="111">
        <v>1.4186508E-10</v>
      </c>
      <c r="CQ52" s="111">
        <v>-3.6401633000000003E-8</v>
      </c>
      <c r="CR52" s="111">
        <v>1.2389106E-8</v>
      </c>
      <c r="CS52" s="111">
        <v>1.2179081E-5</v>
      </c>
      <c r="CT52" s="111">
        <v>8.2925941E-3</v>
      </c>
      <c r="CU52" s="111">
        <v>2.0729655000000001E-10</v>
      </c>
      <c r="CV52" s="111">
        <v>1.2605888000000001E-12</v>
      </c>
      <c r="CW52" s="112">
        <v>5.6399580999999998E-17</v>
      </c>
    </row>
    <row r="53" spans="2:101" ht="12" customHeight="1" outlineLevel="1" x14ac:dyDescent="0.2">
      <c r="B53" s="104" t="s">
        <v>101</v>
      </c>
      <c r="C53" s="104" t="s">
        <v>121</v>
      </c>
      <c r="D53" s="2" t="s">
        <v>132</v>
      </c>
      <c r="E53" s="2" t="s">
        <v>136</v>
      </c>
      <c r="F53" s="105" t="s">
        <v>95</v>
      </c>
      <c r="G53" s="27" t="s">
        <v>1581</v>
      </c>
      <c r="H53" s="106" t="s">
        <v>128</v>
      </c>
      <c r="I53" s="107" t="s">
        <v>127</v>
      </c>
      <c r="J53" s="108">
        <v>3.7906351599999999</v>
      </c>
      <c r="K53" s="109"/>
      <c r="L53" s="109"/>
      <c r="M53" s="110"/>
      <c r="N53" s="161"/>
      <c r="O53" s="1056"/>
      <c r="P53" s="117">
        <v>8.9410670050600012E-7</v>
      </c>
      <c r="Q53" s="111">
        <v>1.6454869466763817E-8</v>
      </c>
      <c r="R53" s="112">
        <v>1.0625896477E-2</v>
      </c>
      <c r="S53" s="1032">
        <v>0.23960774000000001</v>
      </c>
      <c r="T53" s="1032">
        <v>3.9901908E-6</v>
      </c>
      <c r="U53" s="1032">
        <v>7.0155300000000005E-4</v>
      </c>
      <c r="V53" s="1032">
        <v>6.4011454000000001E-4</v>
      </c>
      <c r="W53" s="1032">
        <v>4.7360601000000002E-4</v>
      </c>
      <c r="X53" s="1032">
        <v>6.4700469000000002E-4</v>
      </c>
      <c r="Y53" s="1032">
        <v>3.2311172E-3</v>
      </c>
      <c r="Z53" s="1032">
        <v>7.9770363000000003E-5</v>
      </c>
      <c r="AA53" s="1032">
        <v>1.6536475E-3</v>
      </c>
      <c r="AB53" s="1032">
        <v>2.5768452000000001E-2</v>
      </c>
      <c r="AC53" s="1032">
        <v>1.2795657000000001E-3</v>
      </c>
      <c r="AD53" s="1032">
        <v>1.7339946E-3</v>
      </c>
      <c r="AE53" s="1032">
        <v>1.1212157000000001E-4</v>
      </c>
      <c r="AF53" s="1032">
        <v>1.6233489000000001</v>
      </c>
      <c r="AG53" s="1032">
        <v>1.6842009</v>
      </c>
      <c r="AH53" s="1032">
        <v>6.3730650000000006E-5</v>
      </c>
      <c r="AI53" s="1032">
        <v>2.4594148E-2</v>
      </c>
      <c r="AJ53" s="1036">
        <v>1.1311198E-4</v>
      </c>
      <c r="AK53" s="1077">
        <v>0.23874840999999999</v>
      </c>
      <c r="AL53" s="1078">
        <v>1.1767211E-9</v>
      </c>
      <c r="AM53" s="1078">
        <v>1.4389981E-3</v>
      </c>
      <c r="AN53" s="1078">
        <v>7.0479965999999995E-4</v>
      </c>
      <c r="AO53" s="1078">
        <v>6.7375051999999996E-4</v>
      </c>
      <c r="AP53" s="1078">
        <v>4.0919016000000004E-3</v>
      </c>
      <c r="AQ53" s="1078">
        <v>8.3699037000000001E-5</v>
      </c>
      <c r="AR53" s="1078">
        <v>5.8307569999999998E-3</v>
      </c>
      <c r="AS53" s="1078">
        <v>1.8854114000000001E-4</v>
      </c>
      <c r="AT53" s="1078">
        <v>1.2666937999999999E-4</v>
      </c>
      <c r="AU53" s="1078">
        <v>1.2220071E-4</v>
      </c>
      <c r="AV53" s="1078">
        <v>2.9570356999999999E-2</v>
      </c>
      <c r="AW53" s="1078">
        <v>1.6842003000000001</v>
      </c>
      <c r="AX53" s="1078">
        <v>5.0736116999999997E-7</v>
      </c>
      <c r="AY53" s="1078">
        <v>-3.4869355000000002E-9</v>
      </c>
      <c r="AZ53" s="1078">
        <v>7.3069466000000001E-4</v>
      </c>
      <c r="BA53" s="1078">
        <v>2.5790021E-2</v>
      </c>
      <c r="BB53" s="1079">
        <v>1.1440032E-4</v>
      </c>
      <c r="BC53" s="1035"/>
      <c r="BE53" s="113">
        <f t="array" ref="BE53">IFERROR(SUMIFS($CB53:$CW53,$CB$17:$CW$17,BE$17,$CB$18:$CW$18,BE$18)/SUMPRODUCT(($CB$18:$CW$18=BE$18)*ABS($CB53:$CW53)),"-")</f>
        <v>0.24888075424786135</v>
      </c>
      <c r="BF53" s="114">
        <f t="array" ref="BF53">IFERROR(SUMIFS($CB53:$CW53,$CB$17:$CW$17,BF$17,$CB$18:$CW$18,BF$18)/SUMPRODUCT(($CB$18:$CW$18=BF$18)*ABS($CB53:$CW53)),"-")</f>
        <v>2.3693240401857205E-3</v>
      </c>
      <c r="BG53" s="114">
        <f t="array" ref="BG53">IFERROR(SUMIFS($CB53:$CW53,$CB$17:$CW$17,BG$17,$CB$18:$CW$18,BG$18)/SUMPRODUCT(($CB$18:$CW$18=BG$18)*ABS($CB53:$CW53)),"-")</f>
        <v>6.6676337361370591E-6</v>
      </c>
      <c r="BH53" s="114">
        <f t="array" ref="BH53">IFERROR(SUMIFS($CB53:$CW53,$CB$17:$CW$17,BH$17,$CB$18:$CW$18,BH$18)/SUMPRODUCT(($CB$18:$CW$18=BH$18)*ABS($CB53:$CW53)),"-")</f>
        <v>6.515054183917179E-4</v>
      </c>
      <c r="BI53" s="114">
        <f t="array" ref="BI53">IFERROR(SUMIFS($CB53:$CW53,$CB$17:$CW$17,BI$17,$CB$18:$CW$18,BI$18)/SUMPRODUCT(($CB$18:$CW$18=BI$18)*ABS($CB53:$CW53)),"-")</f>
        <v>0.33322418882599641</v>
      </c>
      <c r="BJ53" s="114">
        <f t="array" ref="BJ53">IFERROR(SUMIFS($CB53:$CW53,$CB$17:$CW$17,BJ$17,$CB$18:$CW$18,BJ$18)/SUMPRODUCT(($CB$18:$CW$18=BJ$18)*ABS($CB53:$CW53)),"-")</f>
        <v>4.1676164577350621E-4</v>
      </c>
      <c r="BK53" s="114">
        <f t="array" ref="BK53">IFERROR(SUMIFS($CB53:$CW53,$CB$17:$CW$17,BK$17,$CB$18:$CW$18,BK$18)/SUMPRODUCT(($CB$18:$CW$18=BK$18)*ABS($CB53:$CW53)),"-")</f>
        <v>0.41416995285957475</v>
      </c>
      <c r="BL53" s="114">
        <f t="array" ref="BL53">IFERROR(SUMIFS($CB53:$CW53,$CB$17:$CW$17,BL$17,$CB$18:$CW$18,BL$18)/SUMPRODUCT(($CB$18:$CW$18=BL$18)*ABS($CB53:$CW53)),"-")</f>
        <v>2.8084532848024989E-4</v>
      </c>
      <c r="BM53" s="115"/>
      <c r="BN53" s="114">
        <f t="array" ref="BN53">IFERROR(SUMIFS($CB53:$CW53,$CB$17:$CW$17,BN$17,$CB$18:$CW$18,BN$18)/SUMPRODUCT(($CB$18:$CW$18=BN$18)*ABS($CB53:$CW53)),"-")</f>
        <v>4.0764527627512169E-2</v>
      </c>
      <c r="BO53" s="114">
        <f t="array" ref="BO53">IFERROR(SUMIFS($CB53:$CW53,$CB$17:$CW$17,BO$17,$CB$18:$CW$18,BO$18)/SUMPRODUCT(($CB$18:$CW$18=BO$18)*ABS($CB53:$CW53)),"-")</f>
        <v>5.0722615678345318E-3</v>
      </c>
      <c r="BP53" s="114">
        <f t="array" ref="BP53">IFERROR(SUMIFS($CB53:$CW53,$CB$17:$CW$17,BP$17,$CB$18:$CW$18,BP$18)/SUMPRODUCT(($CB$18:$CW$18=BP$18)*ABS($CB53:$CW53)),"-")</f>
        <v>4.1671817049962756E-2</v>
      </c>
      <c r="BQ53" s="114">
        <f t="array" ref="BQ53">IFERROR(SUMIFS($CB53:$CW53,$CB$17:$CW$17,BQ$17,$CB$18:$CW$18,BQ$18)/SUMPRODUCT(($CB$18:$CW$18=BQ$18)*ABS($CB53:$CW53)),"-")</f>
        <v>3.2528004617788471E-3</v>
      </c>
      <c r="BR53" s="114">
        <f t="array" ref="BR53">IFERROR(SUMIFS($CB53:$CW53,$CB$17:$CW$17,BR$17,$CB$18:$CW$18,BR$18)/SUMPRODUCT(($CB$18:$CW$18=BR$18)*ABS($CB53:$CW53)),"-")</f>
        <v>1.7073826721474079E-4</v>
      </c>
      <c r="BS53" s="114">
        <f t="array" ref="BS53">IFERROR(SUMIFS($CB53:$CW53,$CB$17:$CW$17,BS$17,$CB$18:$CW$18,BS$18)/SUMPRODUCT(($CB$18:$CW$18=BS$18)*ABS($CB53:$CW53)),"-")</f>
        <v>1.7851488922067439E-5</v>
      </c>
      <c r="BT53" s="114">
        <f t="array" ref="BT53">IFERROR(SUMIFS($CB53:$CW53,$CB$17:$CW$17,BT$17,$CB$18:$CW$18,BT$18)/SUMPRODUCT(($CB$18:$CW$18=BT$18)*ABS($CB53:$CW53)),"-")</f>
        <v>5.3841768954138159E-5</v>
      </c>
      <c r="BU53" s="114">
        <f t="array" ref="BU53">IFERROR(SUMIFS($CB53:$CW53,$CB$17:$CW$17,BU$17,$CB$18:$CW$18,BU$18)/SUMPRODUCT(($CB$18:$CW$18=BU$18)*ABS($CB53:$CW53)),"-")</f>
        <v>1.1068052552337764E-5</v>
      </c>
      <c r="BV53" s="114">
        <f t="array" ref="BV53">IFERROR(SUMIFS($CB53:$CW53,$CB$17:$CW$17,BV$17,$CB$18:$CW$18,BV$18)/SUMPRODUCT(($CB$18:$CW$18=BV$18)*ABS($CB53:$CW53)),"-")</f>
        <v>0.90889229052883769</v>
      </c>
      <c r="BW53" s="114">
        <f t="array" ref="BW53">IFERROR(SUMIFS($CB53:$CW53,$CB$17:$CW$17,BW$17,$CB$18:$CW$18,BW$18)/SUMPRODUCT(($CB$18:$CW$18=BW$18)*ABS($CB53:$CW53)),"-")</f>
        <v>9.2803186430765898E-5</v>
      </c>
      <c r="BX53" s="115"/>
      <c r="BY53" s="114">
        <f t="array" ref="BY53">IFERROR(SUMIFS($CB53:$CW53,$CB$17:$CW$17,BY$17,$CB$18:$CW$18,BY$18)/SUMPRODUCT(($CB$18:$CW$18=BY$18)*ABS($CB53:$CW53)),"-")</f>
        <v>1.3866573076345245E-3</v>
      </c>
      <c r="BZ53" s="116">
        <f t="array" ref="BZ53">IFERROR(SUMIFS($CB53:$CW53,$CB$17:$CW$17,BZ$17,$CB$18:$CW$18,BZ$18)/SUMPRODUCT(($CB$18:$CW$18=BZ$18)*ABS($CB53:$CW53)),"-")</f>
        <v>0.99861334269236557</v>
      </c>
      <c r="CB53" s="117">
        <v>2.2252594999999999E-7</v>
      </c>
      <c r="CC53" s="111">
        <v>6.7075665000000004E-10</v>
      </c>
      <c r="CD53" s="111">
        <v>1.8330984999999999E-14</v>
      </c>
      <c r="CE53" s="111">
        <v>2.1184285E-9</v>
      </c>
      <c r="CF53" s="111">
        <v>5.9615759999999998E-12</v>
      </c>
      <c r="CG53" s="111">
        <v>5.8251535999999998E-10</v>
      </c>
      <c r="CH53" s="111">
        <v>2.9793798000000001E-7</v>
      </c>
      <c r="CI53" s="111">
        <v>8.3463402000000001E-11</v>
      </c>
      <c r="CJ53" s="111">
        <v>6.8570430999999999E-10</v>
      </c>
      <c r="CK53" s="111">
        <v>5.3524406999999998E-11</v>
      </c>
      <c r="CL53" s="111">
        <v>2.8094758999999999E-12</v>
      </c>
      <c r="CM53" s="111">
        <v>2.9374392000000002E-13</v>
      </c>
      <c r="CN53" s="111">
        <v>8.8595928000000002E-13</v>
      </c>
      <c r="CO53" s="111">
        <v>1.8212336000000001E-13</v>
      </c>
      <c r="CP53" s="111">
        <v>3.7262938000000001E-10</v>
      </c>
      <c r="CQ53" s="111">
        <v>3.7031212999999998E-7</v>
      </c>
      <c r="CR53" s="111">
        <v>1.4955704E-8</v>
      </c>
      <c r="CS53" s="111">
        <v>1.4734477E-5</v>
      </c>
      <c r="CT53" s="111">
        <v>1.0611162E-2</v>
      </c>
      <c r="CU53" s="111">
        <v>2.5110569000000001E-10</v>
      </c>
      <c r="CV53" s="111">
        <v>1.526996E-12</v>
      </c>
      <c r="CW53" s="112">
        <v>6.8318817999999995E-17</v>
      </c>
    </row>
    <row r="54" spans="2:101" ht="12" customHeight="1" outlineLevel="1" x14ac:dyDescent="0.2">
      <c r="B54" s="104" t="s">
        <v>101</v>
      </c>
      <c r="C54" s="104" t="s">
        <v>121</v>
      </c>
      <c r="D54" s="2" t="s">
        <v>132</v>
      </c>
      <c r="E54" s="2" t="s">
        <v>136</v>
      </c>
      <c r="F54" s="105" t="s">
        <v>96</v>
      </c>
      <c r="G54" s="27" t="s">
        <v>1582</v>
      </c>
      <c r="H54" s="106" t="s">
        <v>128</v>
      </c>
      <c r="I54" s="107" t="s">
        <v>1577</v>
      </c>
      <c r="J54" s="108">
        <v>3.7906351599999999</v>
      </c>
      <c r="K54" s="109"/>
      <c r="L54" s="109"/>
      <c r="M54" s="110"/>
      <c r="N54" s="161"/>
      <c r="O54" s="1056"/>
      <c r="P54" s="117">
        <v>1.3747175596355002E-6</v>
      </c>
      <c r="Q54" s="111">
        <v>1.6897915784130298E-8</v>
      </c>
      <c r="R54" s="112">
        <v>1.1017896560999999E-2</v>
      </c>
      <c r="S54" s="1032">
        <v>0.25853237000000001</v>
      </c>
      <c r="T54" s="1032">
        <v>4.5848196999999996E-6</v>
      </c>
      <c r="U54" s="1032">
        <v>7.0500092999999998E-4</v>
      </c>
      <c r="V54" s="1032">
        <v>6.6812169999999995E-4</v>
      </c>
      <c r="W54" s="1032">
        <v>6.8100927E-4</v>
      </c>
      <c r="X54" s="1032">
        <v>6.7515119999999999E-4</v>
      </c>
      <c r="Y54" s="1032">
        <v>4.9079618E-3</v>
      </c>
      <c r="Z54" s="1032">
        <v>1.2430547999999999E-4</v>
      </c>
      <c r="AA54" s="1032">
        <v>1.8913052999999999E-3</v>
      </c>
      <c r="AB54" s="1032">
        <v>3.2415297000000003E-2</v>
      </c>
      <c r="AC54" s="1032">
        <v>1.5074863E-3</v>
      </c>
      <c r="AD54" s="1032">
        <v>1.9620284999999999E-3</v>
      </c>
      <c r="AE54" s="1032">
        <v>1.6146595000000001E-4</v>
      </c>
      <c r="AF54" s="1032">
        <v>3.0788703000000002</v>
      </c>
      <c r="AG54" s="1032">
        <v>1.6842009</v>
      </c>
      <c r="AH54" s="1032">
        <v>6.3821900000000006E-5</v>
      </c>
      <c r="AI54" s="1032">
        <v>2.5463165999999999E-2</v>
      </c>
      <c r="AJ54" s="1036">
        <v>1.1336608E-4</v>
      </c>
      <c r="AK54" s="1077">
        <v>0.25764870000000001</v>
      </c>
      <c r="AL54" s="1078">
        <v>1.1824729E-9</v>
      </c>
      <c r="AM54" s="1078">
        <v>1.4459976000000001E-3</v>
      </c>
      <c r="AN54" s="1078">
        <v>7.3445208999999999E-4</v>
      </c>
      <c r="AO54" s="1078">
        <v>9.5271259999999997E-4</v>
      </c>
      <c r="AP54" s="1078">
        <v>6.1906640000000002E-3</v>
      </c>
      <c r="AQ54" s="1078">
        <v>1.2824171E-4</v>
      </c>
      <c r="AR54" s="1078">
        <v>6.7246383000000003E-3</v>
      </c>
      <c r="AS54" s="1078">
        <v>3.3110022000000001E-4</v>
      </c>
      <c r="AT54" s="1078">
        <v>1.4215329000000001E-4</v>
      </c>
      <c r="AU54" s="1078">
        <v>1.3300757000000001E-4</v>
      </c>
      <c r="AV54" s="1078">
        <v>5.1580589000000003E-2</v>
      </c>
      <c r="AW54" s="1078">
        <v>1.6842003000000001</v>
      </c>
      <c r="AX54" s="1078">
        <v>5.0736116999999997E-7</v>
      </c>
      <c r="AY54" s="1078">
        <v>-3.4869355000000002E-9</v>
      </c>
      <c r="AZ54" s="1078">
        <v>7.3136112999999995E-4</v>
      </c>
      <c r="BA54" s="1078">
        <v>2.669297E-2</v>
      </c>
      <c r="BB54" s="1079">
        <v>1.1465442000000001E-4</v>
      </c>
      <c r="BC54" s="1035"/>
      <c r="BE54" s="113">
        <f t="array" ref="BE54">IFERROR(SUMIFS($CB54:$CW54,$CB$17:$CW$17,BE$17,$CB$18:$CW$18,BE$18)/SUMPRODUCT(($CB$18:$CW$18=BE$18)*ABS($CB54:$CW54)),"-")</f>
        <v>0.17466336144252406</v>
      </c>
      <c r="BF54" s="114">
        <f t="array" ref="BF54">IFERROR(SUMIFS($CB54:$CW54,$CB$17:$CW$17,BF$17,$CB$18:$CW$18,BF$18)/SUMPRODUCT(($CB$18:$CW$18=BF$18)*ABS($CB54:$CW54)),"-")</f>
        <v>1.7706345444844654E-3</v>
      </c>
      <c r="BG54" s="114">
        <f t="array" ref="BG54">IFERROR(SUMIFS($CB54:$CW54,$CB$17:$CW$17,BG$17,$CB$18:$CW$18,BG$18)/SUMPRODUCT(($CB$18:$CW$18=BG$18)*ABS($CB54:$CW54)),"-")</f>
        <v>4.3578955240729241E-6</v>
      </c>
      <c r="BH54" s="114">
        <f t="array" ref="BH54">IFERROR(SUMIFS($CB54:$CW54,$CB$17:$CW$17,BH$17,$CB$18:$CW$18,BH$18)/SUMPRODUCT(($CB$18:$CW$18=BH$18)*ABS($CB54:$CW54)),"-")</f>
        <v>4.4227405530573768E-4</v>
      </c>
      <c r="BI54" s="114">
        <f t="array" ref="BI54">IFERROR(SUMIFS($CB54:$CW54,$CB$17:$CW$17,BI$17,$CB$18:$CW$18,BI$18)/SUMPRODUCT(($CB$18:$CW$18=BI$18)*ABS($CB54:$CW54)),"-")</f>
        <v>0.31164825603420365</v>
      </c>
      <c r="BJ54" s="114">
        <f t="array" ref="BJ54">IFERROR(SUMIFS($CB54:$CW54,$CB$17:$CW$17,BJ$17,$CB$18:$CW$18,BJ$18)/SUMPRODUCT(($CB$18:$CW$18=BJ$18)*ABS($CB54:$CW54)),"-")</f>
        <v>3.9039630085346355E-4</v>
      </c>
      <c r="BK54" s="114">
        <f t="array" ref="BK54">IFERROR(SUMIFS($CB54:$CW54,$CB$17:$CW$17,BK$17,$CB$18:$CW$18,BK$18)/SUMPRODUCT(($CB$18:$CW$18=BK$18)*ABS($CB54:$CW54)),"-")</f>
        <v>0.51089764954062422</v>
      </c>
      <c r="BL54" s="114">
        <f t="array" ref="BL54">IFERROR(SUMIFS($CB54:$CW54,$CB$17:$CW$17,BL$17,$CB$18:$CW$18,BL$18)/SUMPRODUCT(($CB$18:$CW$18=BL$18)*ABS($CB54:$CW54)),"-")</f>
        <v>1.8307018648014436E-4</v>
      </c>
      <c r="BM54" s="115"/>
      <c r="BN54" s="114">
        <f t="array" ref="BN54">IFERROR(SUMIFS($CB54:$CW54,$CB$17:$CW$17,BN$17,$CB$18:$CW$18,BN$18)/SUMPRODUCT(($CB$18:$CW$18=BN$18)*ABS($CB54:$CW54)),"-")</f>
        <v>4.2830357194566272E-2</v>
      </c>
      <c r="BO54" s="114">
        <f t="array" ref="BO54">IFERROR(SUMIFS($CB54:$CW54,$CB$17:$CW$17,BO$17,$CB$18:$CW$18,BO$18)/SUMPRODUCT(($CB$18:$CW$18=BO$18)*ABS($CB54:$CW54)),"-")</f>
        <v>5.15414499117073E-3</v>
      </c>
      <c r="BP54" s="114">
        <f t="array" ref="BP54">IFERROR(SUMIFS($CB54:$CW54,$CB$17:$CW$17,BP$17,$CB$18:$CW$18,BP$18)/SUMPRODUCT(($CB$18:$CW$18=BP$18)*ABS($CB54:$CW54)),"-")</f>
        <v>6.1640897806948633E-2</v>
      </c>
      <c r="BQ54" s="114">
        <f t="array" ref="BQ54">IFERROR(SUMIFS($CB54:$CW54,$CB$17:$CW$17,BQ$17,$CB$18:$CW$18,BQ$18)/SUMPRODUCT(($CB$18:$CW$18=BQ$18)*ABS($CB54:$CW54)),"-")</f>
        <v>4.9359621071334873E-3</v>
      </c>
      <c r="BR54" s="114">
        <f t="array" ref="BR54">IFERROR(SUMIFS($CB54:$CW54,$CB$17:$CW$17,BR$17,$CB$18:$CW$18,BR$18)/SUMPRODUCT(($CB$18:$CW$18=BR$18)*ABS($CB54:$CW54)),"-")</f>
        <v>1.9015636845685579E-4</v>
      </c>
      <c r="BS54" s="114">
        <f t="array" ref="BS54">IFERROR(SUMIFS($CB54:$CW54,$CB$17:$CW$17,BS$17,$CB$18:$CW$18,BS$18)/SUMPRODUCT(($CB$18:$CW$18=BS$18)*ABS($CB54:$CW54)),"-")</f>
        <v>2.1869184029610175E-5</v>
      </c>
      <c r="BT54" s="114">
        <f t="array" ref="BT54">IFERROR(SUMIFS($CB54:$CW54,$CB$17:$CW$17,BT$17,$CB$18:$CW$18,BT$18)/SUMPRODUCT(($CB$18:$CW$18=BT$18)*ABS($CB54:$CW54)),"-")</f>
        <v>6.179314735256515E-5</v>
      </c>
      <c r="BU54" s="114">
        <f t="array" ref="BU54">IFERROR(SUMIFS($CB54:$CW54,$CB$17:$CW$17,BU$17,$CB$18:$CW$18,BU$18)/SUMPRODUCT(($CB$18:$CW$18=BU$18)*ABS($CB54:$CW54)),"-")</f>
        <v>1.2195293942317768E-5</v>
      </c>
      <c r="BV54" s="114">
        <f t="array" ref="BV54">IFERROR(SUMIFS($CB54:$CW54,$CB$17:$CW$17,BV$17,$CB$18:$CW$18,BV$18)/SUMPRODUCT(($CB$18:$CW$18=BV$18)*ABS($CB54:$CW54)),"-")</f>
        <v>0.88506205090959622</v>
      </c>
      <c r="BW54" s="114">
        <f t="array" ref="BW54">IFERROR(SUMIFS($CB54:$CW54,$CB$17:$CW$17,BW$17,$CB$18:$CW$18,BW$18)/SUMPRODUCT(($CB$18:$CW$18=BW$18)*ABS($CB54:$CW54)),"-")</f>
        <v>9.057299680327241E-5</v>
      </c>
      <c r="BX54" s="115"/>
      <c r="BY54" s="114">
        <f t="array" ref="BY54">IFERROR(SUMIFS($CB54:$CW54,$CB$17:$CW$17,BY$17,$CB$18:$CW$18,BY$18)/SUMPRODUCT(($CB$18:$CW$18=BY$18)*ABS($CB54:$CW54)),"-")</f>
        <v>1.3392357532407951E-3</v>
      </c>
      <c r="BZ54" s="116">
        <f t="array" ref="BZ54">IFERROR(SUMIFS($CB54:$CW54,$CB$17:$CW$17,BZ$17,$CB$18:$CW$18,BZ$18)/SUMPRODUCT(($CB$18:$CW$18=BZ$18)*ABS($CB54:$CW54)),"-")</f>
        <v>0.9986607642467592</v>
      </c>
      <c r="CB54" s="117">
        <v>2.4011279000000001E-7</v>
      </c>
      <c r="CC54" s="111">
        <v>7.2372399000000005E-10</v>
      </c>
      <c r="CD54" s="111">
        <v>1.9778877999999999E-14</v>
      </c>
      <c r="CE54" s="111">
        <v>2.4341223999999998E-9</v>
      </c>
      <c r="CF54" s="111">
        <v>5.9908754999999998E-12</v>
      </c>
      <c r="CG54" s="111">
        <v>6.0800191E-10</v>
      </c>
      <c r="CH54" s="111">
        <v>4.2842833000000001E-7</v>
      </c>
      <c r="CI54" s="111">
        <v>8.7094307999999999E-11</v>
      </c>
      <c r="CJ54" s="111">
        <v>1.0416027E-9</v>
      </c>
      <c r="CK54" s="111">
        <v>8.3407472000000001E-11</v>
      </c>
      <c r="CL54" s="111">
        <v>3.2132463000000002E-12</v>
      </c>
      <c r="CM54" s="111">
        <v>3.6954363000000002E-13</v>
      </c>
      <c r="CN54" s="111">
        <v>1.0441754000000001E-12</v>
      </c>
      <c r="CO54" s="111">
        <v>2.0607505000000001E-13</v>
      </c>
      <c r="CP54" s="111">
        <v>5.3668464999999998E-10</v>
      </c>
      <c r="CQ54" s="111">
        <v>7.0233996999999997E-7</v>
      </c>
      <c r="CR54" s="111">
        <v>1.4955704E-8</v>
      </c>
      <c r="CS54" s="111">
        <v>1.4755561E-5</v>
      </c>
      <c r="CT54" s="111">
        <v>1.1003140999999999E-2</v>
      </c>
      <c r="CU54" s="111">
        <v>2.5166980000000001E-10</v>
      </c>
      <c r="CV54" s="111">
        <v>1.5304263999999999E-12</v>
      </c>
      <c r="CW54" s="112">
        <v>6.8472297999999997E-17</v>
      </c>
    </row>
    <row r="55" spans="2:101" ht="12" customHeight="1" outlineLevel="1" x14ac:dyDescent="0.2">
      <c r="B55" s="88" t="s">
        <v>102</v>
      </c>
      <c r="C55" s="88" t="s">
        <v>121</v>
      </c>
      <c r="D55" s="89" t="s">
        <v>137</v>
      </c>
      <c r="E55" s="89" t="s">
        <v>138</v>
      </c>
      <c r="F55" s="90" t="s">
        <v>92</v>
      </c>
      <c r="G55" s="18" t="s">
        <v>126</v>
      </c>
      <c r="H55" s="91" t="s">
        <v>127</v>
      </c>
      <c r="I55" s="92" t="s">
        <v>127</v>
      </c>
      <c r="J55" s="93">
        <v>3.8814574399999997</v>
      </c>
      <c r="K55" s="94"/>
      <c r="L55" s="94"/>
      <c r="M55" s="95"/>
      <c r="N55" s="145"/>
      <c r="O55" s="1055"/>
      <c r="P55" s="103">
        <v>1.6878305227649999E-6</v>
      </c>
      <c r="Q55" s="97">
        <v>2.607259414637409E-8</v>
      </c>
      <c r="R55" s="98">
        <v>1.9227215249999999E-2</v>
      </c>
      <c r="S55" s="1033">
        <v>0.40887673000000002</v>
      </c>
      <c r="T55" s="1033">
        <v>6.8837734000000001E-6</v>
      </c>
      <c r="U55" s="1033">
        <v>2.5483150000000002E-3</v>
      </c>
      <c r="V55" s="1033">
        <v>9.1062578E-4</v>
      </c>
      <c r="W55" s="1033">
        <v>8.5032409000000003E-4</v>
      </c>
      <c r="X55" s="1033">
        <v>9.1977401999999997E-4</v>
      </c>
      <c r="Y55" s="1033">
        <v>5.9655428000000002E-3</v>
      </c>
      <c r="Z55" s="1033">
        <v>2.5101029E-4</v>
      </c>
      <c r="AA55" s="1033">
        <v>2.1700606999999999E-3</v>
      </c>
      <c r="AB55" s="1033">
        <v>4.5660293999999997</v>
      </c>
      <c r="AC55" s="1033">
        <v>0.21811056000000001</v>
      </c>
      <c r="AD55" s="1033">
        <v>4.8111833999999999E-2</v>
      </c>
      <c r="AE55" s="1033">
        <v>2.8418639999999999E-4</v>
      </c>
      <c r="AF55" s="1033">
        <v>3.3633818</v>
      </c>
      <c r="AG55" s="1033">
        <v>2.6080559999999999</v>
      </c>
      <c r="AH55" s="1033">
        <v>5.0237763999999997E-4</v>
      </c>
      <c r="AI55" s="1033">
        <v>4.6887611000000003E-2</v>
      </c>
      <c r="AJ55" s="1034">
        <v>2.2608955999999999E-4</v>
      </c>
      <c r="AK55" s="1074">
        <v>0.40680734000000002</v>
      </c>
      <c r="AL55" s="1075">
        <v>4.2749433000000004E-9</v>
      </c>
      <c r="AM55" s="1075">
        <v>5.2680069000000003E-3</v>
      </c>
      <c r="AN55" s="1075">
        <v>9.3507759999999997E-4</v>
      </c>
      <c r="AO55" s="1075">
        <v>1.1761152E-3</v>
      </c>
      <c r="AP55" s="1075">
        <v>7.4739843E-3</v>
      </c>
      <c r="AQ55" s="1075">
        <v>2.5974282000000001E-4</v>
      </c>
      <c r="AR55" s="1075">
        <v>7.7302207000000001E-3</v>
      </c>
      <c r="AS55" s="1075">
        <v>3.6745518999999997E-2</v>
      </c>
      <c r="AT55" s="1075">
        <v>9.8403638999999994E-3</v>
      </c>
      <c r="AU55" s="1075">
        <v>2.8097400999999998E-3</v>
      </c>
      <c r="AV55" s="1075">
        <v>9.8050209999999999E-2</v>
      </c>
      <c r="AW55" s="1075">
        <v>2.6080532999999999</v>
      </c>
      <c r="AX55" s="1075">
        <v>2.6791161999999998E-6</v>
      </c>
      <c r="AY55" s="1075">
        <v>-1.8859155E-8</v>
      </c>
      <c r="AZ55" s="1075">
        <v>1.0088648E-3</v>
      </c>
      <c r="BA55" s="1075">
        <v>4.9028434000000003E-2</v>
      </c>
      <c r="BB55" s="1076">
        <v>2.3338321000000001E-4</v>
      </c>
      <c r="BC55" s="1035"/>
      <c r="BE55" s="99">
        <f t="array" ref="BE55">IFERROR(SUMIFS($CB55:$CW55,$CB$17:$CW$17,BE$17,$CB$18:$CW$18,BE$18)/SUMPRODUCT(($CB$18:$CW$18=BE$18)*ABS($CB55:$CW55)),"-")</f>
        <v>0.22498341799028548</v>
      </c>
      <c r="BF55" s="100">
        <f t="array" ref="BF55">IFERROR(SUMIFS($CB55:$CW55,$CB$17:$CW$17,BF$17,$CB$18:$CW$18,BF$18)/SUMPRODUCT(($CB$18:$CW$18=BF$18)*ABS($CB55:$CW55)),"-")</f>
        <v>2.1652988559615269E-3</v>
      </c>
      <c r="BG55" s="100">
        <f t="array" ref="BG55">IFERROR(SUMIFS($CB55:$CW55,$CB$17:$CW$17,BG$17,$CB$18:$CW$18,BG$18)/SUMPRODUCT(($CB$18:$CW$18=BG$18)*ABS($CB55:$CW55)),"-")</f>
        <v>1.2829934467902164E-5</v>
      </c>
      <c r="BH55" s="100">
        <f t="array" ref="BH55">IFERROR(SUMIFS($CB55:$CW55,$CB$17:$CW$17,BH$17,$CB$18:$CW$18,BH$18)/SUMPRODUCT(($CB$18:$CW$18=BH$18)*ABS($CB55:$CW55)),"-")</f>
        <v>4.9091341152109546E-4</v>
      </c>
      <c r="BI55" s="100">
        <f t="array" ref="BI55">IFERROR(SUMIFS($CB55:$CW55,$CB$17:$CW$17,BI$17,$CB$18:$CW$18,BI$18)/SUMPRODUCT(($CB$18:$CW$18=BI$18)*ABS($CB55:$CW55)),"-")</f>
        <v>0.31692026111941352</v>
      </c>
      <c r="BJ55" s="100">
        <f t="array" ref="BJ55">IFERROR(SUMIFS($CB55:$CW55,$CB$17:$CW$17,BJ$17,$CB$18:$CW$18,BJ$18)/SUMPRODUCT(($CB$18:$CW$18=BJ$18)*ABS($CB55:$CW55)),"-")</f>
        <v>5.5963737902582937E-4</v>
      </c>
      <c r="BK55" s="100">
        <f t="array" ref="BK55">IFERROR(SUMIFS($CB55:$CW55,$CB$17:$CW$17,BK$17,$CB$18:$CW$18,BK$18)/SUMPRODUCT(($CB$18:$CW$18=BK$18)*ABS($CB55:$CW55)),"-")</f>
        <v>0.45457026617999136</v>
      </c>
      <c r="BL55" s="100">
        <f t="array" ref="BL55">IFERROR(SUMIFS($CB55:$CW55,$CB$17:$CW$17,BL$17,$CB$18:$CW$18,BL$18)/SUMPRODUCT(($CB$18:$CW$18=BL$18)*ABS($CB55:$CW55)),"-")</f>
        <v>2.9737512933333956E-4</v>
      </c>
      <c r="BM55" s="101"/>
      <c r="BN55" s="100">
        <f t="array" ref="BN55">IFERROR(SUMIFS($CB55:$CW55,$CB$17:$CW$17,BN$17,$CB$18:$CW$18,BN$18)/SUMPRODUCT(($CB$18:$CW$18=BN$18)*ABS($CB55:$CW55)),"-")</f>
        <v>4.3901879279441947E-2</v>
      </c>
      <c r="BO55" s="100">
        <f t="array" ref="BO55">IFERROR(SUMIFS($CB55:$CW55,$CB$17:$CW$17,BO$17,$CB$18:$CW$18,BO$18)/SUMPRODUCT(($CB$18:$CW$18=BO$18)*ABS($CB55:$CW55)),"-")</f>
        <v>4.5501390975511494E-3</v>
      </c>
      <c r="BP55" s="100">
        <f t="array" ref="BP55">IFERROR(SUMIFS($CB55:$CW55,$CB$17:$CW$17,BP$17,$CB$18:$CW$18,BP$18)/SUMPRODUCT(($CB$18:$CW$18=BP$18)*ABS($CB55:$CW55)),"-")</f>
        <v>4.8557423664574807E-2</v>
      </c>
      <c r="BQ55" s="100">
        <f t="array" ref="BQ55">IFERROR(SUMIFS($CB55:$CW55,$CB$17:$CW$17,BQ$17,$CB$18:$CW$18,BQ$18)/SUMPRODUCT(($CB$18:$CW$18=BQ$18)*ABS($CB55:$CW55)),"-")</f>
        <v>6.4598305429236615E-3</v>
      </c>
      <c r="BR55" s="100">
        <f t="array" ref="BR55">IFERROR(SUMIFS($CB55:$CW55,$CB$17:$CW$17,BR$17,$CB$18:$CW$18,BR$18)/SUMPRODUCT(($CB$18:$CW$18=BR$18)*ABS($CB55:$CW55)),"-")</f>
        <v>1.414067268988164E-4</v>
      </c>
      <c r="BS55" s="100">
        <f t="array" ref="BS55">IFERROR(SUMIFS($CB55:$CW55,$CB$17:$CW$17,BS$17,$CB$18:$CW$18,BS$18)/SUMPRODUCT(($CB$18:$CW$18=BS$18)*ABS($CB55:$CW55)),"-")</f>
        <v>1.9961995614171764E-3</v>
      </c>
      <c r="BT55" s="100">
        <f t="array" ref="BT55">IFERROR(SUMIFS($CB55:$CW55,$CB$17:$CW$17,BT$17,$CB$18:$CW$18,BT$18)/SUMPRODUCT(($CB$18:$CW$18=BT$18)*ABS($CB55:$CW55)),"-")</f>
        <v>5.8111214077664229E-3</v>
      </c>
      <c r="BU55" s="100">
        <f t="array" ref="BU55">IFERROR(SUMIFS($CB55:$CW55,$CB$17:$CW$17,BU$17,$CB$18:$CW$18,BU$18)/SUMPRODUCT(($CB$18:$CW$18=BU$18)*ABS($CB55:$CW55)),"-")</f>
        <v>1.936323931426706E-4</v>
      </c>
      <c r="BV55" s="100">
        <f t="array" ref="BV55">IFERROR(SUMIFS($CB55:$CW55,$CB$17:$CW$17,BV$17,$CB$18:$CW$18,BV$18)/SUMPRODUCT(($CB$18:$CW$18=BV$18)*ABS($CB55:$CW55)),"-")</f>
        <v>0.88827129628835932</v>
      </c>
      <c r="BW55" s="100">
        <f t="array" ref="BW55">IFERROR(SUMIFS($CB55:$CW55,$CB$17:$CW$17,BW$17,$CB$18:$CW$18,BW$18)/SUMPRODUCT(($CB$18:$CW$18=BW$18)*ABS($CB55:$CW55)),"-")</f>
        <v>1.1707103792410657E-4</v>
      </c>
      <c r="BX55" s="101"/>
      <c r="BY55" s="100">
        <f t="array" ref="BY55">IFERROR(SUMIFS($CB55:$CW55,$CB$17:$CW$17,BY$17,$CB$18:$CW$18,BY$18)/SUMPRODUCT(($CB$18:$CW$18=BY$18)*ABS($CB55:$CW55)),"-")</f>
        <v>6.0401492618646383E-3</v>
      </c>
      <c r="BZ55" s="102">
        <f t="array" ref="BZ55">IFERROR(SUMIFS($CB55:$CW55,$CB$17:$CW$17,BZ$17,$CB$18:$CW$18,BZ$18)/SUMPRODUCT(($CB$18:$CW$18=BZ$18)*ABS($CB55:$CW55)),"-")</f>
        <v>0.99395985073813542</v>
      </c>
      <c r="CB55" s="103">
        <v>3.7973388000000002E-7</v>
      </c>
      <c r="CC55" s="97">
        <v>1.1446046E-9</v>
      </c>
      <c r="CD55" s="97">
        <v>3.1280715999999998E-14</v>
      </c>
      <c r="CE55" s="97">
        <v>3.6546574999999999E-9</v>
      </c>
      <c r="CF55" s="97">
        <v>2.1654754999999999E-11</v>
      </c>
      <c r="CG55" s="97">
        <v>8.2857863999999999E-10</v>
      </c>
      <c r="CH55" s="97">
        <v>5.3490769E-7</v>
      </c>
      <c r="CI55" s="97">
        <v>1.1863392999999999E-10</v>
      </c>
      <c r="CJ55" s="97">
        <v>1.2660179999999999E-9</v>
      </c>
      <c r="CK55" s="97">
        <v>1.6842454000000001E-10</v>
      </c>
      <c r="CL55" s="97">
        <v>3.6868401999999998E-12</v>
      </c>
      <c r="CM55" s="97">
        <v>5.2046101000000002E-11</v>
      </c>
      <c r="CN55" s="97">
        <v>1.5151101E-10</v>
      </c>
      <c r="CO55" s="97">
        <v>5.0484987999999999E-12</v>
      </c>
      <c r="CP55" s="97">
        <v>9.4457304999999991E-10</v>
      </c>
      <c r="CQ55" s="97">
        <v>7.6723756999999995E-7</v>
      </c>
      <c r="CR55" s="97">
        <v>2.3159537000000002E-8</v>
      </c>
      <c r="CS55" s="97">
        <v>1.1613525E-4</v>
      </c>
      <c r="CT55" s="97">
        <v>1.9111079999999999E-2</v>
      </c>
      <c r="CU55" s="97">
        <v>5.0191881999999998E-10</v>
      </c>
      <c r="CV55" s="97">
        <v>3.0522090999999999E-12</v>
      </c>
      <c r="CW55" s="98">
        <v>1.3655808999999999E-16</v>
      </c>
    </row>
    <row r="56" spans="2:101" ht="12" customHeight="1" outlineLevel="1" x14ac:dyDescent="0.2">
      <c r="B56" s="104" t="s">
        <v>102</v>
      </c>
      <c r="C56" s="104" t="s">
        <v>121</v>
      </c>
      <c r="D56" s="2" t="s">
        <v>137</v>
      </c>
      <c r="E56" s="2" t="s">
        <v>138</v>
      </c>
      <c r="F56" s="105" t="s">
        <v>122</v>
      </c>
      <c r="G56" s="27" t="s">
        <v>1579</v>
      </c>
      <c r="H56" s="106" t="s">
        <v>128</v>
      </c>
      <c r="I56" s="107" t="s">
        <v>129</v>
      </c>
      <c r="J56" s="108">
        <v>3.8814574399999997</v>
      </c>
      <c r="K56" s="109"/>
      <c r="L56" s="109"/>
      <c r="M56" s="110"/>
      <c r="N56" s="161"/>
      <c r="O56" s="1056"/>
      <c r="P56" s="117">
        <v>5.2896363337769997E-7</v>
      </c>
      <c r="Q56" s="111">
        <v>2.7735761732764352E-8</v>
      </c>
      <c r="R56" s="112">
        <v>1.4652113563999999E-2</v>
      </c>
      <c r="S56" s="1032">
        <v>0.28950734</v>
      </c>
      <c r="T56" s="1032">
        <v>3.2925507999999999E-6</v>
      </c>
      <c r="U56" s="1032">
        <v>1.0743853000000001E-3</v>
      </c>
      <c r="V56" s="1032">
        <v>8.7523454000000003E-4</v>
      </c>
      <c r="W56" s="1032">
        <v>3.0107659999999999E-4</v>
      </c>
      <c r="X56" s="1032">
        <v>8.8495640999999999E-4</v>
      </c>
      <c r="Y56" s="1032">
        <v>1.5634428E-3</v>
      </c>
      <c r="Z56" s="1032">
        <v>3.0473498E-5</v>
      </c>
      <c r="AA56" s="1032">
        <v>1.3709224E-3</v>
      </c>
      <c r="AB56" s="1032">
        <v>2.3951610000000002E-2</v>
      </c>
      <c r="AC56" s="1032">
        <v>1.2787225000000001E-3</v>
      </c>
      <c r="AD56" s="1032">
        <v>1.8467618E-3</v>
      </c>
      <c r="AE56" s="1032">
        <v>1.1325479E-4</v>
      </c>
      <c r="AF56" s="1032">
        <v>0.29563112000000002</v>
      </c>
      <c r="AG56" s="1032">
        <v>2.9789064999999999</v>
      </c>
      <c r="AH56" s="1032">
        <v>1.0196818E-4</v>
      </c>
      <c r="AI56" s="1032">
        <v>3.4076466E-2</v>
      </c>
      <c r="AJ56" s="1036">
        <v>1.8864296E-4</v>
      </c>
      <c r="AK56" s="1077">
        <v>0.28829005000000002</v>
      </c>
      <c r="AL56" s="1078">
        <v>1.8020814000000001E-9</v>
      </c>
      <c r="AM56" s="1078">
        <v>2.2025026E-3</v>
      </c>
      <c r="AN56" s="1078">
        <v>9.6625865999999997E-4</v>
      </c>
      <c r="AO56" s="1078">
        <v>4.6143490000000002E-4</v>
      </c>
      <c r="AP56" s="1078">
        <v>2.0253693000000001E-3</v>
      </c>
      <c r="AQ56" s="1078">
        <v>3.7347240000000003E-5</v>
      </c>
      <c r="AR56" s="1078">
        <v>4.7870969000000001E-3</v>
      </c>
      <c r="AS56" s="1078">
        <v>1.1289949000000001E-5</v>
      </c>
      <c r="AT56" s="1078">
        <v>1.6183705999999999E-4</v>
      </c>
      <c r="AU56" s="1078">
        <v>1.6343088999999999E-4</v>
      </c>
      <c r="AV56" s="1078">
        <v>1.2521437E-2</v>
      </c>
      <c r="AW56" s="1078">
        <v>2.9789058000000002</v>
      </c>
      <c r="AX56" s="1078">
        <v>7.3461918000000004E-7</v>
      </c>
      <c r="AY56" s="1078">
        <v>-5.0488089999999997E-9</v>
      </c>
      <c r="AZ56" s="1078">
        <v>1.144534E-3</v>
      </c>
      <c r="BA56" s="1078">
        <v>3.5810392000000003E-2</v>
      </c>
      <c r="BB56" s="1079">
        <v>1.9050837E-4</v>
      </c>
      <c r="BC56" s="1035"/>
      <c r="BE56" s="113">
        <f t="array" ref="BE56">IFERROR(SUMIFS($CB56:$CW56,$CB$17:$CW$17,BE$17,$CB$18:$CW$18,BE$18)/SUMPRODUCT(($CB$18:$CW$18=BE$18)*ABS($CB56:$CW56)),"-")</f>
        <v>0.50817434893121016</v>
      </c>
      <c r="BF56" s="114">
        <f t="array" ref="BF56">IFERROR(SUMIFS($CB56:$CW56,$CB$17:$CW$17,BF$17,$CB$18:$CW$18,BF$18)/SUMPRODUCT(($CB$18:$CW$18=BF$18)*ABS($CB56:$CW56)),"-")</f>
        <v>3.3046600743379083E-3</v>
      </c>
      <c r="BG56" s="114">
        <f t="array" ref="BG56">IFERROR(SUMIFS($CB56:$CW56,$CB$17:$CW$17,BG$17,$CB$18:$CW$18,BG$18)/SUMPRODUCT(($CB$18:$CW$18=BG$18)*ABS($CB56:$CW56)),"-")</f>
        <v>1.7259764422180962E-5</v>
      </c>
      <c r="BH56" s="114">
        <f t="array" ref="BH56">IFERROR(SUMIFS($CB56:$CW56,$CB$17:$CW$17,BH$17,$CB$18:$CW$18,BH$18)/SUMPRODUCT(($CB$18:$CW$18=BH$18)*ABS($CB56:$CW56)),"-")</f>
        <v>1.5057358762342052E-3</v>
      </c>
      <c r="BI56" s="114">
        <f t="array" ref="BI56">IFERROR(SUMIFS($CB56:$CW56,$CB$17:$CW$17,BI$17,$CB$18:$CW$18,BI$18)/SUMPRODUCT(($CB$18:$CW$18=BI$18)*ABS($CB56:$CW56)),"-")</f>
        <v>0.35800385518144301</v>
      </c>
      <c r="BJ56" s="114">
        <f t="array" ref="BJ56">IFERROR(SUMIFS($CB56:$CW56,$CB$17:$CW$17,BJ$17,$CB$18:$CW$18,BJ$18)/SUMPRODUCT(($CB$18:$CW$18=BJ$18)*ABS($CB56:$CW56)),"-")</f>
        <v>7.116154802483801E-4</v>
      </c>
      <c r="BK56" s="114">
        <f t="array" ref="BK56">IFERROR(SUMIFS($CB56:$CW56,$CB$17:$CW$17,BK$17,$CB$18:$CW$18,BK$18)/SUMPRODUCT(($CB$18:$CW$18=BK$18)*ABS($CB56:$CW56)),"-")</f>
        <v>0.1274908117395033</v>
      </c>
      <c r="BL56" s="114">
        <f t="array" ref="BL56">IFERROR(SUMIFS($CB56:$CW56,$CB$17:$CW$17,BL$17,$CB$18:$CW$18,BL$18)/SUMPRODUCT(($CB$18:$CW$18=BL$18)*ABS($CB56:$CW56)),"-")</f>
        <v>7.9171295260097778E-4</v>
      </c>
      <c r="BM56" s="115"/>
      <c r="BN56" s="114">
        <f t="array" ref="BN56">IFERROR(SUMIFS($CB56:$CW56,$CB$17:$CW$17,BN$17,$CB$18:$CW$18,BN$18)/SUMPRODUCT(($CB$18:$CW$18=BN$18)*ABS($CB56:$CW56)),"-")</f>
        <v>2.9223032916255779E-2</v>
      </c>
      <c r="BO56" s="114">
        <f t="array" ref="BO56">IFERROR(SUMIFS($CB56:$CW56,$CB$17:$CW$17,BO$17,$CB$18:$CW$18,BO$18)/SUMPRODUCT(($CB$18:$CW$18=BO$18)*ABS($CB56:$CW56)),"-")</f>
        <v>4.115952217210732E-3</v>
      </c>
      <c r="BP56" s="114">
        <f t="array" ref="BP56">IFERROR(SUMIFS($CB56:$CW56,$CB$17:$CW$17,BP$17,$CB$18:$CW$18,BP$18)/SUMPRODUCT(($CB$18:$CW$18=BP$18)*ABS($CB56:$CW56)),"-")</f>
        <v>1.1959896511807056E-2</v>
      </c>
      <c r="BQ56" s="114">
        <f t="array" ref="BQ56">IFERROR(SUMIFS($CB56:$CW56,$CB$17:$CW$17,BQ$17,$CB$18:$CW$18,BQ$18)/SUMPRODUCT(($CB$18:$CW$18=BQ$18)*ABS($CB56:$CW56)),"-")</f>
        <v>7.3713760584581906E-4</v>
      </c>
      <c r="BR56" s="114">
        <f t="array" ref="BR56">IFERROR(SUMIFS($CB56:$CW56,$CB$17:$CW$17,BR$17,$CB$18:$CW$18,BR$18)/SUMPRODUCT(($CB$18:$CW$18=BR$18)*ABS($CB56:$CW56)),"-")</f>
        <v>8.3976002622224036E-5</v>
      </c>
      <c r="BS56" s="114">
        <f t="array" ref="BS56">IFERROR(SUMIFS($CB56:$CW56,$CB$17:$CW$17,BS$17,$CB$18:$CW$18,BS$18)/SUMPRODUCT(($CB$18:$CW$18=BS$18)*ABS($CB56:$CW56)),"-")</f>
        <v>9.8416821081046315E-6</v>
      </c>
      <c r="BT56" s="114">
        <f t="array" ref="BT56">IFERROR(SUMIFS($CB56:$CW56,$CB$17:$CW$17,BT$17,$CB$18:$CW$18,BT$18)/SUMPRODUCT(($CB$18:$CW$18=BT$18)*ABS($CB56:$CW56)),"-")</f>
        <v>3.1901167111440061E-5</v>
      </c>
      <c r="BU56" s="114">
        <f t="array" ref="BU56">IFERROR(SUMIFS($CB56:$CW56,$CB$17:$CW$17,BU$17,$CB$18:$CW$18,BU$18)/SUMPRODUCT(($CB$18:$CW$18=BU$18)*ABS($CB56:$CW56)),"-")</f>
        <v>6.993488474155115E-6</v>
      </c>
      <c r="BV56" s="114">
        <f t="array" ref="BV56">IFERROR(SUMIFS($CB56:$CW56,$CB$17:$CW$17,BV$17,$CB$18:$CW$18,BV$18)/SUMPRODUCT(($CB$18:$CW$18=BV$18)*ABS($CB56:$CW56)),"-")</f>
        <v>0.9537394449401887</v>
      </c>
      <c r="BW56" s="114">
        <f t="array" ref="BW56">IFERROR(SUMIFS($CB56:$CW56,$CB$17:$CW$17,BW$17,$CB$18:$CW$18,BW$18)/SUMPRODUCT(($CB$18:$CW$18=BW$18)*ABS($CB56:$CW56)),"-")</f>
        <v>9.1823468375900542E-5</v>
      </c>
      <c r="BX56" s="115"/>
      <c r="BY56" s="114">
        <f t="array" ref="BY56">IFERROR(SUMIFS($CB56:$CW56,$CB$17:$CW$17,BY$17,$CB$18:$CW$18,BY$18)/SUMPRODUCT(($CB$18:$CW$18=BY$18)*ABS($CB56:$CW56)),"-")</f>
        <v>1.6092261295279707E-3</v>
      </c>
      <c r="BZ56" s="116">
        <f t="array" ref="BZ56">IFERROR(SUMIFS($CB56:$CW56,$CB$17:$CW$17,BZ$17,$CB$18:$CW$18,BZ$18)/SUMPRODUCT(($CB$18:$CW$18=BZ$18)*ABS($CB56:$CW56)),"-")</f>
        <v>0.99839077387047204</v>
      </c>
      <c r="CB56" s="117">
        <v>2.6880575000000002E-7</v>
      </c>
      <c r="CC56" s="111">
        <v>8.1050093000000005E-10</v>
      </c>
      <c r="CD56" s="111">
        <v>2.2148073999999999E-14</v>
      </c>
      <c r="CE56" s="111">
        <v>1.748045E-9</v>
      </c>
      <c r="CF56" s="111">
        <v>9.1297877000000003E-12</v>
      </c>
      <c r="CG56" s="111">
        <v>7.9647951999999995E-10</v>
      </c>
      <c r="CH56" s="111">
        <v>1.8937102E-7</v>
      </c>
      <c r="CI56" s="111">
        <v>1.1415907E-10</v>
      </c>
      <c r="CJ56" s="111">
        <v>3.3171684E-10</v>
      </c>
      <c r="CK56" s="111">
        <v>2.0445073E-11</v>
      </c>
      <c r="CL56" s="111">
        <v>2.3291384000000002E-12</v>
      </c>
      <c r="CM56" s="111">
        <v>2.7296655000000002E-13</v>
      </c>
      <c r="CN56" s="111">
        <v>8.8480317E-13</v>
      </c>
      <c r="CO56" s="111">
        <v>1.9396972999999999E-13</v>
      </c>
      <c r="CP56" s="111">
        <v>3.7641871000000002E-10</v>
      </c>
      <c r="CQ56" s="111">
        <v>6.7438002999999996E-8</v>
      </c>
      <c r="CR56" s="111">
        <v>2.6452689999999999E-8</v>
      </c>
      <c r="CS56" s="111">
        <v>2.3578564E-5</v>
      </c>
      <c r="CT56" s="111">
        <v>1.4628535E-2</v>
      </c>
      <c r="CU56" s="111">
        <v>4.1878735999999998E-10</v>
      </c>
      <c r="CV56" s="111">
        <v>2.5466799000000002E-12</v>
      </c>
      <c r="CW56" s="112">
        <v>1.1394034999999999E-16</v>
      </c>
    </row>
    <row r="57" spans="2:101" ht="12" customHeight="1" outlineLevel="1" x14ac:dyDescent="0.2">
      <c r="B57" s="104" t="s">
        <v>102</v>
      </c>
      <c r="C57" s="104" t="s">
        <v>121</v>
      </c>
      <c r="D57" s="2" t="s">
        <v>137</v>
      </c>
      <c r="E57" s="2" t="s">
        <v>138</v>
      </c>
      <c r="F57" s="105" t="s">
        <v>93</v>
      </c>
      <c r="G57" s="27" t="s">
        <v>1578</v>
      </c>
      <c r="H57" s="106" t="s">
        <v>130</v>
      </c>
      <c r="I57" s="107" t="s">
        <v>129</v>
      </c>
      <c r="J57" s="108">
        <v>3.8814574399999997</v>
      </c>
      <c r="K57" s="109"/>
      <c r="L57" s="109"/>
      <c r="M57" s="110"/>
      <c r="N57" s="161"/>
      <c r="O57" s="1056"/>
      <c r="P57" s="117">
        <v>7.4956191524099994E-7</v>
      </c>
      <c r="Q57" s="111">
        <v>3.7025054621200305E-8</v>
      </c>
      <c r="R57" s="112">
        <v>1.9559407509000003E-2</v>
      </c>
      <c r="S57" s="1032">
        <v>0.38646931000000001</v>
      </c>
      <c r="T57" s="1032">
        <v>4.3952937999999996E-6</v>
      </c>
      <c r="U57" s="1032">
        <v>1.434219E-3</v>
      </c>
      <c r="V57" s="1032">
        <v>1.1683685999999999E-3</v>
      </c>
      <c r="W57" s="1032">
        <v>4.0191335000000001E-4</v>
      </c>
      <c r="X57" s="1032">
        <v>1.1813465E-3</v>
      </c>
      <c r="Y57" s="1032">
        <v>2.0870719000000001E-3</v>
      </c>
      <c r="Z57" s="1032">
        <v>4.0679699E-5</v>
      </c>
      <c r="AA57" s="1032">
        <v>1.8300725E-3</v>
      </c>
      <c r="AB57" s="1032">
        <v>3.1973495999999997E-2</v>
      </c>
      <c r="AC57" s="1032">
        <v>1.7284590999999999E-3</v>
      </c>
      <c r="AD57" s="1032">
        <v>2.4824969000000001E-3</v>
      </c>
      <c r="AE57" s="1032">
        <v>1.5700128999999999E-4</v>
      </c>
      <c r="AF57" s="1032">
        <v>0.58497721000000003</v>
      </c>
      <c r="AG57" s="1032">
        <v>3.9766035</v>
      </c>
      <c r="AH57" s="1032">
        <v>1.3611942999999999E-4</v>
      </c>
      <c r="AI57" s="1032">
        <v>4.5489374999999999E-2</v>
      </c>
      <c r="AJ57" s="1036">
        <v>2.5182336E-4</v>
      </c>
      <c r="AK57" s="1077">
        <v>0.38484431000000002</v>
      </c>
      <c r="AL57" s="1078">
        <v>2.4056355999999998E-9</v>
      </c>
      <c r="AM57" s="1078">
        <v>2.9401660000000001E-3</v>
      </c>
      <c r="AN57" s="1078">
        <v>1.2898785999999999E-3</v>
      </c>
      <c r="AO57" s="1078">
        <v>6.1597894000000003E-4</v>
      </c>
      <c r="AP57" s="1078">
        <v>2.7037071000000001E-3</v>
      </c>
      <c r="AQ57" s="1078">
        <v>4.9855599000000001E-5</v>
      </c>
      <c r="AR57" s="1078">
        <v>6.3903941000000002E-3</v>
      </c>
      <c r="AS57" s="1078">
        <v>3.4210951000000001E-5</v>
      </c>
      <c r="AT57" s="1078">
        <v>2.1773125000000001E-4</v>
      </c>
      <c r="AU57" s="1078">
        <v>2.1904682000000001E-4</v>
      </c>
      <c r="AV57" s="1078">
        <v>1.9152397000000002E-2</v>
      </c>
      <c r="AW57" s="1078">
        <v>3.9766026000000001</v>
      </c>
      <c r="AX57" s="1078">
        <v>9.8065823999999991E-7</v>
      </c>
      <c r="AY57" s="1078">
        <v>-6.7397590000000004E-9</v>
      </c>
      <c r="AZ57" s="1078">
        <v>1.5278620000000001E-3</v>
      </c>
      <c r="BA57" s="1078">
        <v>4.7804028999999998E-2</v>
      </c>
      <c r="BB57" s="1079">
        <v>2.5431354E-4</v>
      </c>
      <c r="BC57" s="1035"/>
      <c r="BE57" s="113">
        <f t="array" ref="BE57">IFERROR(SUMIFS($CB57:$CW57,$CB$17:$CW$17,BE$17,$CB$18:$CW$18,BE$18)/SUMPRODUCT(($CB$18:$CW$18=BE$18)*ABS($CB57:$CW57)),"-")</f>
        <v>0.4787254030704417</v>
      </c>
      <c r="BF57" s="114">
        <f t="array" ref="BF57">IFERROR(SUMIFS($CB57:$CW57,$CB$17:$CW$17,BF$17,$CB$18:$CW$18,BF$18)/SUMPRODUCT(($CB$18:$CW$18=BF$18)*ABS($CB57:$CW57)),"-")</f>
        <v>3.1131533667231879E-3</v>
      </c>
      <c r="BG57" s="114">
        <f t="array" ref="BG57">IFERROR(SUMIFS($CB57:$CW57,$CB$17:$CW$17,BG$17,$CB$18:$CW$18,BG$18)/SUMPRODUCT(($CB$18:$CW$18=BG$18)*ABS($CB57:$CW57)),"-")</f>
        <v>1.6259552082607411E-5</v>
      </c>
      <c r="BH57" s="114">
        <f t="array" ref="BH57">IFERROR(SUMIFS($CB57:$CW57,$CB$17:$CW$17,BH$17,$CB$18:$CW$18,BH$18)/SUMPRODUCT(($CB$18:$CW$18=BH$18)*ABS($CB57:$CW57)),"-")</f>
        <v>1.4184777513117739E-3</v>
      </c>
      <c r="BI57" s="114">
        <f t="array" ref="BI57">IFERROR(SUMIFS($CB57:$CW57,$CB$17:$CW$17,BI$17,$CB$18:$CW$18,BI$18)/SUMPRODUCT(($CB$18:$CW$18=BI$18)*ABS($CB57:$CW57)),"-")</f>
        <v>0.33725735641027199</v>
      </c>
      <c r="BJ57" s="114">
        <f t="array" ref="BJ57">IFERROR(SUMIFS($CB57:$CW57,$CB$17:$CW$17,BJ$17,$CB$18:$CW$18,BJ$18)/SUMPRODUCT(($CB$18:$CW$18=BJ$18)*ABS($CB57:$CW57)),"-")</f>
        <v>6.9618230247493317E-4</v>
      </c>
      <c r="BK57" s="114">
        <f t="array" ref="BK57">IFERROR(SUMIFS($CB57:$CW57,$CB$17:$CW$17,BK$17,$CB$18:$CW$18,BK$18)/SUMPRODUCT(($CB$18:$CW$18=BK$18)*ABS($CB57:$CW57)),"-")</f>
        <v>0.17802733474938548</v>
      </c>
      <c r="BL57" s="114">
        <f t="array" ref="BL57">IFERROR(SUMIFS($CB57:$CW57,$CB$17:$CW$17,BL$17,$CB$18:$CW$18,BL$18)/SUMPRODUCT(($CB$18:$CW$18=BL$18)*ABS($CB57:$CW57)),"-")</f>
        <v>7.4583279730835094E-4</v>
      </c>
      <c r="BM57" s="115"/>
      <c r="BN57" s="114">
        <f t="array" ref="BN57">IFERROR(SUMIFS($CB57:$CW57,$CB$17:$CW$17,BN$17,$CB$18:$CW$18,BN$18)/SUMPRODUCT(($CB$18:$CW$18=BN$18)*ABS($CB57:$CW57)),"-")</f>
        <v>2.9223021464483214E-2</v>
      </c>
      <c r="BO57" s="114">
        <f t="array" ref="BO57">IFERROR(SUMIFS($CB57:$CW57,$CB$17:$CW$17,BO$17,$CB$18:$CW$18,BO$18)/SUMPRODUCT(($CB$18:$CW$18=BO$18)*ABS($CB57:$CW57)),"-")</f>
        <v>4.1159504438040883E-3</v>
      </c>
      <c r="BP57" s="114">
        <f t="array" ref="BP57">IFERROR(SUMIFS($CB57:$CW57,$CB$17:$CW$17,BP$17,$CB$18:$CW$18,BP$18)/SUMPRODUCT(($CB$18:$CW$18=BP$18)*ABS($CB57:$CW57)),"-")</f>
        <v>1.1959891606654015E-2</v>
      </c>
      <c r="BQ57" s="114">
        <f t="array" ref="BQ57">IFERROR(SUMIFS($CB57:$CW57,$CB$17:$CW$17,BQ$17,$CB$18:$CW$18,BQ$18)/SUMPRODUCT(($CB$18:$CW$18=BQ$18)*ABS($CB57:$CW57)),"-")</f>
        <v>7.3713730551453307E-4</v>
      </c>
      <c r="BR57" s="114">
        <f t="array" ref="BR57">IFERROR(SUMIFS($CB57:$CW57,$CB$17:$CW$17,BR$17,$CB$18:$CW$18,BR$18)/SUMPRODUCT(($CB$18:$CW$18=BR$18)*ABS($CB57:$CW57)),"-")</f>
        <v>8.3975967944141378E-5</v>
      </c>
      <c r="BS57" s="114">
        <f t="array" ref="BS57">IFERROR(SUMIFS($CB57:$CW57,$CB$17:$CW$17,BS$17,$CB$18:$CW$18,BS$18)/SUMPRODUCT(($CB$18:$CW$18=BS$18)*ABS($CB57:$CW57)),"-")</f>
        <v>9.8416778510666517E-6</v>
      </c>
      <c r="BT57" s="114">
        <f t="array" ref="BT57">IFERROR(SUMIFS($CB57:$CW57,$CB$17:$CW$17,BT$17,$CB$18:$CW$18,BT$18)/SUMPRODUCT(($CB$18:$CW$18=BT$18)*ABS($CB57:$CW57)),"-")</f>
        <v>3.2304138703826312E-5</v>
      </c>
      <c r="BU57" s="114">
        <f t="array" ref="BU57">IFERROR(SUMIFS($CB57:$CW57,$CB$17:$CW$17,BU$17,$CB$18:$CW$18,BU$18)/SUMPRODUCT(($CB$18:$CW$18=BU$18)*ABS($CB57:$CW57)),"-")</f>
        <v>7.042334512876055E-6</v>
      </c>
      <c r="BV57" s="114">
        <f t="array" ref="BV57">IFERROR(SUMIFS($CB57:$CW57,$CB$17:$CW$17,BV$17,$CB$18:$CW$18,BV$18)/SUMPRODUCT(($CB$18:$CW$18=BV$18)*ABS($CB57:$CW57)),"-")</f>
        <v>0.95373901163080099</v>
      </c>
      <c r="BW57" s="114">
        <f t="array" ref="BW57">IFERROR(SUMIFS($CB57:$CW57,$CB$17:$CW$17,BW$17,$CB$18:$CW$18,BW$18)/SUMPRODUCT(($CB$18:$CW$18=BW$18)*ABS($CB57:$CW57)),"-")</f>
        <v>9.1823429731372115E-5</v>
      </c>
      <c r="BX57" s="115"/>
      <c r="BY57" s="114">
        <f t="array" ref="BY57">IFERROR(SUMIFS($CB57:$CW57,$CB$17:$CW$17,BY$17,$CB$18:$CW$18,BY$18)/SUMPRODUCT(($CB$18:$CW$18=BY$18)*ABS($CB57:$CW57)),"-")</f>
        <v>1.6092260967269566E-3</v>
      </c>
      <c r="BZ57" s="116">
        <f t="array" ref="BZ57">IFERROR(SUMIFS($CB57:$CW57,$CB$17:$CW$17,BZ$17,$CB$18:$CW$18,BZ$18)/SUMPRODUCT(($CB$18:$CW$18=BZ$18)*ABS($CB57:$CW57)),"-")</f>
        <v>0.99839077390327302</v>
      </c>
      <c r="CB57" s="117">
        <v>3.5883432999999998E-7</v>
      </c>
      <c r="CC57" s="111">
        <v>1.0819543999999999E-9</v>
      </c>
      <c r="CD57" s="111">
        <v>2.9565918999999997E-14</v>
      </c>
      <c r="CE57" s="111">
        <v>2.3335011999999998E-9</v>
      </c>
      <c r="CF57" s="111">
        <v>1.2187540999999999E-11</v>
      </c>
      <c r="CG57" s="111">
        <v>1.0632369E-9</v>
      </c>
      <c r="CH57" s="111">
        <v>2.5279526999999998E-7</v>
      </c>
      <c r="CI57" s="111">
        <v>1.5239329E-10</v>
      </c>
      <c r="CJ57" s="111">
        <v>4.4281563999999999E-10</v>
      </c>
      <c r="CK57" s="111">
        <v>2.7292549000000002E-11</v>
      </c>
      <c r="CL57" s="111">
        <v>3.1092148000000002E-12</v>
      </c>
      <c r="CM57" s="111">
        <v>3.6438865999999999E-13</v>
      </c>
      <c r="CN57" s="111">
        <v>1.1960625000000001E-12</v>
      </c>
      <c r="CO57" s="111">
        <v>2.6074281999999998E-13</v>
      </c>
      <c r="CP57" s="111">
        <v>5.2183174000000004E-10</v>
      </c>
      <c r="CQ57" s="111">
        <v>1.3344251000000001E-7</v>
      </c>
      <c r="CR57" s="111">
        <v>3.5312238999999999E-8</v>
      </c>
      <c r="CS57" s="111">
        <v>3.1475508999999998E-5</v>
      </c>
      <c r="CT57" s="111">
        <v>1.9527932000000001E-2</v>
      </c>
      <c r="CU57" s="111">
        <v>5.5904786000000003E-10</v>
      </c>
      <c r="CV57" s="111">
        <v>3.3996154000000002E-12</v>
      </c>
      <c r="CW57" s="112">
        <v>1.5210131000000001E-16</v>
      </c>
    </row>
    <row r="58" spans="2:101" ht="12" customHeight="1" outlineLevel="1" x14ac:dyDescent="0.2">
      <c r="B58" s="104" t="s">
        <v>102</v>
      </c>
      <c r="C58" s="104" t="s">
        <v>121</v>
      </c>
      <c r="D58" s="2" t="s">
        <v>137</v>
      </c>
      <c r="E58" s="2" t="s">
        <v>138</v>
      </c>
      <c r="F58" s="105" t="s">
        <v>94</v>
      </c>
      <c r="G58" s="27" t="s">
        <v>1580</v>
      </c>
      <c r="H58" s="106" t="s">
        <v>131</v>
      </c>
      <c r="I58" s="107" t="s">
        <v>129</v>
      </c>
      <c r="J58" s="108">
        <v>3.8814574399999997</v>
      </c>
      <c r="K58" s="109"/>
      <c r="L58" s="109"/>
      <c r="M58" s="110"/>
      <c r="N58" s="161"/>
      <c r="O58" s="1056"/>
      <c r="P58" s="117">
        <v>3.9683017845299999E-7</v>
      </c>
      <c r="Q58" s="111">
        <v>2.21713221119243E-8</v>
      </c>
      <c r="R58" s="112">
        <v>1.1712564163000001E-2</v>
      </c>
      <c r="S58" s="1032">
        <v>0.23142554000000001</v>
      </c>
      <c r="T58" s="1032">
        <v>2.6319896999999999E-6</v>
      </c>
      <c r="U58" s="1032">
        <v>8.5883895E-4</v>
      </c>
      <c r="V58" s="1032">
        <v>6.9964243000000001E-4</v>
      </c>
      <c r="W58" s="1032">
        <v>2.4067372999999999E-4</v>
      </c>
      <c r="X58" s="1032">
        <v>7.0741387000000005E-4</v>
      </c>
      <c r="Y58" s="1032">
        <v>1.2497802999999999E-3</v>
      </c>
      <c r="Z58" s="1032">
        <v>2.4359816000000001E-5</v>
      </c>
      <c r="AA58" s="1032">
        <v>1.0958840000000001E-3</v>
      </c>
      <c r="AB58" s="1032">
        <v>1.9146368E-2</v>
      </c>
      <c r="AC58" s="1032">
        <v>1.009327E-3</v>
      </c>
      <c r="AD58" s="1032">
        <v>1.4659493999999999E-3</v>
      </c>
      <c r="AE58" s="1032">
        <v>8.7051051999999999E-5</v>
      </c>
      <c r="AF58" s="1032">
        <v>0.12234546</v>
      </c>
      <c r="AG58" s="1032">
        <v>2.3812696</v>
      </c>
      <c r="AH58" s="1032">
        <v>8.1511029000000005E-5</v>
      </c>
      <c r="AI58" s="1032">
        <v>2.7239946000000001E-2</v>
      </c>
      <c r="AJ58" s="1036">
        <v>1.5079684999999999E-4</v>
      </c>
      <c r="AK58" s="1077">
        <v>0.23045246</v>
      </c>
      <c r="AL58" s="1078">
        <v>1.4405426000000001E-9</v>
      </c>
      <c r="AM58" s="1078">
        <v>1.7606301E-3</v>
      </c>
      <c r="AN58" s="1078">
        <v>7.7240502000000002E-4</v>
      </c>
      <c r="AO58" s="1078">
        <v>3.6886048000000002E-4</v>
      </c>
      <c r="AP58" s="1078">
        <v>1.6190338E-3</v>
      </c>
      <c r="AQ58" s="1078">
        <v>2.9854528E-5</v>
      </c>
      <c r="AR58" s="1078">
        <v>3.8266956E-3</v>
      </c>
      <c r="AS58" s="1078">
        <v>-2.4363471E-6</v>
      </c>
      <c r="AT58" s="1078">
        <v>1.2835584999999999E-4</v>
      </c>
      <c r="AU58" s="1078">
        <v>1.3011620000000001E-4</v>
      </c>
      <c r="AV58" s="1078">
        <v>8.5498621999999993E-3</v>
      </c>
      <c r="AW58" s="1078">
        <v>2.3812690000000001</v>
      </c>
      <c r="AX58" s="1078">
        <v>5.8723773000000003E-7</v>
      </c>
      <c r="AY58" s="1078">
        <v>-4.0359022E-9</v>
      </c>
      <c r="AZ58" s="1078">
        <v>9.1491426000000001E-4</v>
      </c>
      <c r="BA58" s="1078">
        <v>2.8626005999999999E-2</v>
      </c>
      <c r="BB58" s="1079">
        <v>1.5228803E-4</v>
      </c>
      <c r="BC58" s="1035"/>
      <c r="BE58" s="113">
        <f t="array" ref="BE58">IFERROR(SUMIFS($CB58:$CW58,$CB$17:$CW$17,BE$17,$CB$18:$CW$18,BE$18)/SUMPRODUCT(($CB$18:$CW$18=BE$18)*ABS($CB58:$CW58)),"-")</f>
        <v>0.5414839184803828</v>
      </c>
      <c r="BF58" s="114">
        <f t="array" ref="BF58">IFERROR(SUMIFS($CB58:$CW58,$CB$17:$CW$17,BF$17,$CB$18:$CW$18,BF$18)/SUMPRODUCT(($CB$18:$CW$18=BF$18)*ABS($CB58:$CW58)),"-")</f>
        <v>3.5212722617201349E-3</v>
      </c>
      <c r="BG58" s="114">
        <f t="array" ref="BG58">IFERROR(SUMIFS($CB58:$CW58,$CB$17:$CW$17,BG$17,$CB$18:$CW$18,BG$18)/SUMPRODUCT(($CB$18:$CW$18=BG$18)*ABS($CB58:$CW58)),"-")</f>
        <v>1.8391098752748672E-5</v>
      </c>
      <c r="BH58" s="114">
        <f t="array" ref="BH58">IFERROR(SUMIFS($CB58:$CW58,$CB$17:$CW$17,BH$17,$CB$18:$CW$18,BH$18)/SUMPRODUCT(($CB$18:$CW$18=BH$18)*ABS($CB58:$CW58)),"-")</f>
        <v>1.6044331166597714E-3</v>
      </c>
      <c r="BI58" s="114">
        <f t="array" ref="BI58">IFERROR(SUMIFS($CB58:$CW58,$CB$17:$CW$17,BI$17,$CB$18:$CW$18,BI$18)/SUMPRODUCT(($CB$18:$CW$18=BI$18)*ABS($CB58:$CW58)),"-")</f>
        <v>0.38147010539907589</v>
      </c>
      <c r="BJ58" s="114">
        <f t="array" ref="BJ58">IFERROR(SUMIFS($CB58:$CW58,$CB$17:$CW$17,BJ$17,$CB$18:$CW$18,BJ$18)/SUMPRODUCT(($CB$18:$CW$18=BJ$18)*ABS($CB58:$CW58)),"-")</f>
        <v>7.2907184410186282E-4</v>
      </c>
      <c r="BK58" s="114">
        <f t="array" ref="BK58">IFERROR(SUMIFS($CB58:$CW58,$CB$17:$CW$17,BK$17,$CB$18:$CW$18,BK$18)/SUMPRODUCT(($CB$18:$CW$18=BK$18)*ABS($CB58:$CW58)),"-")</f>
        <v>7.0329200034128639E-2</v>
      </c>
      <c r="BL58" s="114">
        <f t="array" ref="BL58">IFERROR(SUMIFS($CB58:$CW58,$CB$17:$CW$17,BL$17,$CB$18:$CW$18,BL$18)/SUMPRODUCT(($CB$18:$CW$18=BL$18)*ABS($CB58:$CW58)),"-")</f>
        <v>8.4360776517819589E-4</v>
      </c>
      <c r="BM58" s="115"/>
      <c r="BN58" s="114">
        <f t="array" ref="BN58">IFERROR(SUMIFS($CB58:$CW58,$CB$17:$CW$17,BN$17,$CB$18:$CW$18,BN$18)/SUMPRODUCT(($CB$18:$CW$18=BN$18)*ABS($CB58:$CW58)),"-")</f>
        <v>2.9223045941610112E-2</v>
      </c>
      <c r="BO58" s="114">
        <f t="array" ref="BO58">IFERROR(SUMIFS($CB58:$CW58,$CB$17:$CW$17,BO$17,$CB$18:$CW$18,BO$18)/SUMPRODUCT(($CB$18:$CW$18=BO$18)*ABS($CB58:$CW58)),"-")</f>
        <v>4.1159540932798108E-3</v>
      </c>
      <c r="BP58" s="114">
        <f t="array" ref="BP58">IFERROR(SUMIFS($CB58:$CW58,$CB$17:$CW$17,BP$17,$CB$18:$CW$18,BP$18)/SUMPRODUCT(($CB$18:$CW$18=BP$18)*ABS($CB58:$CW58)),"-")</f>
        <v>1.1959902014927045E-2</v>
      </c>
      <c r="BQ58" s="114">
        <f t="array" ref="BQ58">IFERROR(SUMIFS($CB58:$CW58,$CB$17:$CW$17,BQ$17,$CB$18:$CW$18,BQ$18)/SUMPRODUCT(($CB$18:$CW$18=BQ$18)*ABS($CB58:$CW58)),"-")</f>
        <v>7.3713795314038336E-4</v>
      </c>
      <c r="BR58" s="114">
        <f t="array" ref="BR58">IFERROR(SUMIFS($CB58:$CW58,$CB$17:$CW$17,BR$17,$CB$18:$CW$18,BR$18)/SUMPRODUCT(($CB$18:$CW$18=BR$18)*ABS($CB58:$CW58)),"-")</f>
        <v>8.3976043043398134E-5</v>
      </c>
      <c r="BS58" s="114">
        <f t="array" ref="BS58">IFERROR(SUMIFS($CB58:$CW58,$CB$17:$CW$17,BS$17,$CB$18:$CW$18,BS$18)/SUMPRODUCT(($CB$18:$CW$18=BS$18)*ABS($CB58:$CW58)),"-")</f>
        <v>9.8416864316199152E-6</v>
      </c>
      <c r="BT58" s="114">
        <f t="array" ref="BT58">IFERROR(SUMIFS($CB58:$CW58,$CB$17:$CW$17,BT$17,$CB$18:$CW$18,BT$18)/SUMPRODUCT(($CB$18:$CW$18=BT$18)*ABS($CB58:$CW58)),"-")</f>
        <v>3.1498197377431364E-5</v>
      </c>
      <c r="BU58" s="114">
        <f t="array" ref="BU58">IFERROR(SUMIFS($CB58:$CW58,$CB$17:$CW$17,BU$17,$CB$18:$CW$18,BU$18)/SUMPRODUCT(($CB$18:$CW$18=BU$18)*ABS($CB58:$CW58)),"-")</f>
        <v>6.9446422375141085E-6</v>
      </c>
      <c r="BV58" s="114">
        <f t="array" ref="BV58">IFERROR(SUMIFS($CB58:$CW58,$CB$17:$CW$17,BV$17,$CB$18:$CW$18,BV$18)/SUMPRODUCT(($CB$18:$CW$18=BV$18)*ABS($CB58:$CW58)),"-")</f>
        <v>0.95373987591959253</v>
      </c>
      <c r="BW58" s="114">
        <f t="array" ref="BW58">IFERROR(SUMIFS($CB58:$CW58,$CB$17:$CW$17,BW$17,$CB$18:$CW$18,BW$18)/SUMPRODUCT(($CB$18:$CW$18=BW$18)*ABS($CB58:$CW58)),"-")</f>
        <v>9.182350836015633E-5</v>
      </c>
      <c r="BX58" s="115"/>
      <c r="BY58" s="114">
        <f t="array" ref="BY58">IFERROR(SUMIFS($CB58:$CW58,$CB$17:$CW$17,BY$17,$CB$18:$CW$18,BY$18)/SUMPRODUCT(($CB$18:$CW$18=BY$18)*ABS($CB58:$CW58)),"-")</f>
        <v>1.6092260189738265E-3</v>
      </c>
      <c r="BZ58" s="116">
        <f t="array" ref="BZ58">IFERROR(SUMIFS($CB58:$CW58,$CB$17:$CW$17,BZ$17,$CB$18:$CW$18,BZ$18)/SUMPRODUCT(($CB$18:$CW$18=BZ$18)*ABS($CB58:$CW58)),"-")</f>
        <v>0.99839077398102616</v>
      </c>
      <c r="CB58" s="117">
        <v>2.1487716E-7</v>
      </c>
      <c r="CC58" s="111">
        <v>6.4789585999999997E-10</v>
      </c>
      <c r="CD58" s="111">
        <v>1.7704662999999999E-14</v>
      </c>
      <c r="CE58" s="111">
        <v>1.3973471E-9</v>
      </c>
      <c r="CF58" s="111">
        <v>7.2981430000000008E-12</v>
      </c>
      <c r="CG58" s="111">
        <v>6.3668748000000005E-10</v>
      </c>
      <c r="CH58" s="111">
        <v>1.5137885000000001E-7</v>
      </c>
      <c r="CI58" s="111">
        <v>9.1256144E-11</v>
      </c>
      <c r="CJ58" s="111">
        <v>2.6516684000000001E-10</v>
      </c>
      <c r="CK58" s="111">
        <v>1.6343323000000001E-11</v>
      </c>
      <c r="CL58" s="111">
        <v>1.8618598999999998E-12</v>
      </c>
      <c r="CM58" s="111">
        <v>2.182032E-13</v>
      </c>
      <c r="CN58" s="111">
        <v>6.9835668000000001E-13</v>
      </c>
      <c r="CO58" s="111">
        <v>1.5397190000000001E-13</v>
      </c>
      <c r="CP58" s="111">
        <v>2.8931771000000002E-10</v>
      </c>
      <c r="CQ58" s="111">
        <v>2.7908749000000001E-8</v>
      </c>
      <c r="CR58" s="111">
        <v>2.1145674000000002E-8</v>
      </c>
      <c r="CS58" s="111">
        <v>1.8848162999999999E-5</v>
      </c>
      <c r="CT58" s="111">
        <v>1.1693716E-2</v>
      </c>
      <c r="CU58" s="111">
        <v>3.3476902E-10</v>
      </c>
      <c r="CV58" s="111">
        <v>2.0357575E-12</v>
      </c>
      <c r="CW58" s="112">
        <v>9.1081300000000005E-17</v>
      </c>
    </row>
    <row r="59" spans="2:101" ht="12" customHeight="1" outlineLevel="1" x14ac:dyDescent="0.2">
      <c r="B59" s="104" t="s">
        <v>102</v>
      </c>
      <c r="C59" s="104" t="s">
        <v>121</v>
      </c>
      <c r="D59" s="2" t="s">
        <v>137</v>
      </c>
      <c r="E59" s="2" t="s">
        <v>138</v>
      </c>
      <c r="F59" s="105" t="s">
        <v>95</v>
      </c>
      <c r="G59" s="27" t="s">
        <v>1581</v>
      </c>
      <c r="H59" s="106" t="s">
        <v>128</v>
      </c>
      <c r="I59" s="107" t="s">
        <v>127</v>
      </c>
      <c r="J59" s="108">
        <v>3.8814574399999997</v>
      </c>
      <c r="K59" s="109"/>
      <c r="L59" s="109"/>
      <c r="M59" s="110"/>
      <c r="N59" s="161"/>
      <c r="O59" s="1056"/>
      <c r="P59" s="117">
        <v>1.6610008597858E-6</v>
      </c>
      <c r="Q59" s="111">
        <v>2.8816589125587309E-8</v>
      </c>
      <c r="R59" s="112">
        <v>1.5714520708000002E-2</v>
      </c>
      <c r="S59" s="1032">
        <v>0.33621821000000002</v>
      </c>
      <c r="T59" s="1032">
        <v>4.7351000999999997E-6</v>
      </c>
      <c r="U59" s="1032">
        <v>1.0837298999999999E-3</v>
      </c>
      <c r="V59" s="1032">
        <v>9.5114026E-4</v>
      </c>
      <c r="W59" s="1032">
        <v>8.0515397999999995E-4</v>
      </c>
      <c r="X59" s="1032">
        <v>9.6123979E-4</v>
      </c>
      <c r="Y59" s="1032">
        <v>5.6341396E-3</v>
      </c>
      <c r="Z59" s="1032">
        <v>1.4107721000000001E-4</v>
      </c>
      <c r="AA59" s="1032">
        <v>1.9473991000000001E-3</v>
      </c>
      <c r="AB59" s="1032">
        <v>4.1966059999999999E-2</v>
      </c>
      <c r="AC59" s="1032">
        <v>2.3297061E-3</v>
      </c>
      <c r="AD59" s="1032">
        <v>3.1041913000000002E-3</v>
      </c>
      <c r="AE59" s="1032">
        <v>2.2701458999999999E-4</v>
      </c>
      <c r="AF59" s="1032">
        <v>3.6722776000000001</v>
      </c>
      <c r="AG59" s="1032">
        <v>2.9789064999999999</v>
      </c>
      <c r="AH59" s="1032">
        <v>1.0221549E-4</v>
      </c>
      <c r="AI59" s="1032">
        <v>3.6431702000000003E-2</v>
      </c>
      <c r="AJ59" s="1036">
        <v>1.8933164000000001E-4</v>
      </c>
      <c r="AK59" s="1077">
        <v>0.33493493000000002</v>
      </c>
      <c r="AL59" s="1078">
        <v>1.8176699E-9</v>
      </c>
      <c r="AM59" s="1078">
        <v>2.2214727000000002E-3</v>
      </c>
      <c r="AN59" s="1078">
        <v>1.0466233999999999E-3</v>
      </c>
      <c r="AO59" s="1078">
        <v>1.1401086999999999E-3</v>
      </c>
      <c r="AP59" s="1078">
        <v>7.1210761999999997E-3</v>
      </c>
      <c r="AQ59" s="1078">
        <v>1.4797142E-4</v>
      </c>
      <c r="AR59" s="1078">
        <v>6.9556560999999998E-3</v>
      </c>
      <c r="AS59" s="1078">
        <v>3.7117516000000002E-4</v>
      </c>
      <c r="AT59" s="1078">
        <v>2.2590185E-4</v>
      </c>
      <c r="AU59" s="1078">
        <v>2.1130523000000001E-4</v>
      </c>
      <c r="AV59" s="1078">
        <v>6.2021367000000001E-2</v>
      </c>
      <c r="AW59" s="1078">
        <v>2.9789058000000002</v>
      </c>
      <c r="AX59" s="1078">
        <v>7.3461918000000004E-7</v>
      </c>
      <c r="AY59" s="1078">
        <v>-5.0488089999999997E-9</v>
      </c>
      <c r="AZ59" s="1078">
        <v>1.1463402999999999E-3</v>
      </c>
      <c r="BA59" s="1078">
        <v>3.8257586000000003E-2</v>
      </c>
      <c r="BB59" s="1079">
        <v>1.9119706E-4</v>
      </c>
      <c r="BC59" s="1035"/>
      <c r="BE59" s="113">
        <f t="array" ref="BE59">IFERROR(SUMIFS($CB59:$CW59,$CB$17:$CW$17,BE$17,$CB$18:$CW$18,BE$18)/SUMPRODUCT(($CB$18:$CW$18=BE$18)*ABS($CB59:$CW59)),"-")</f>
        <v>0.18796713930675663</v>
      </c>
      <c r="BF59" s="114">
        <f t="array" ref="BF59">IFERROR(SUMIFS($CB59:$CW59,$CB$17:$CW$17,BF$17,$CB$18:$CW$18,BF$18)/SUMPRODUCT(($CB$18:$CW$18=BF$18)*ABS($CB59:$CW59)),"-")</f>
        <v>1.5134895838188726E-3</v>
      </c>
      <c r="BG59" s="114">
        <f t="array" ref="BG59">IFERROR(SUMIFS($CB59:$CW59,$CB$17:$CW$17,BG$17,$CB$18:$CW$18,BG$18)/SUMPRODUCT(($CB$18:$CW$18=BG$18)*ABS($CB59:$CW59)),"-")</f>
        <v>5.5443654623921171E-6</v>
      </c>
      <c r="BH59" s="114">
        <f t="array" ref="BH59">IFERROR(SUMIFS($CB59:$CW59,$CB$17:$CW$17,BH$17,$CB$18:$CW$18,BH$18)/SUMPRODUCT(($CB$18:$CW$18=BH$18)*ABS($CB59:$CW59)),"-")</f>
        <v>5.2110378203634429E-4</v>
      </c>
      <c r="BI59" s="114">
        <f t="array" ref="BI59">IFERROR(SUMIFS($CB59:$CW59,$CB$17:$CW$17,BI$17,$CB$18:$CW$18,BI$18)/SUMPRODUCT(($CB$18:$CW$18=BI$18)*ABS($CB59:$CW59)),"-")</f>
        <v>0.30494706671333072</v>
      </c>
      <c r="BJ59" s="114">
        <f t="array" ref="BJ59">IFERROR(SUMIFS($CB59:$CW59,$CB$17:$CW$17,BJ$17,$CB$18:$CW$18,BJ$18)/SUMPRODUCT(($CB$18:$CW$18=BJ$18)*ABS($CB59:$CW59)),"-")</f>
        <v>4.5430621275976485E-4</v>
      </c>
      <c r="BK59" s="114">
        <f t="array" ref="BK59">IFERROR(SUMIFS($CB59:$CW59,$CB$17:$CW$17,BK$17,$CB$18:$CW$18,BK$18)/SUMPRODUCT(($CB$18:$CW$18=BK$18)*ABS($CB59:$CW59)),"-")</f>
        <v>0.50433830004641256</v>
      </c>
      <c r="BL59" s="114">
        <f t="array" ref="BL59">IFERROR(SUMIFS($CB59:$CW59,$CB$17:$CW$17,BL$17,$CB$18:$CW$18,BL$18)/SUMPRODUCT(($CB$18:$CW$18=BL$18)*ABS($CB59:$CW59)),"-")</f>
        <v>2.5304998942276484E-4</v>
      </c>
      <c r="BM59" s="115"/>
      <c r="BN59" s="114">
        <f t="array" ref="BN59">IFERROR(SUMIFS($CB59:$CW59,$CB$17:$CW$17,BN$17,$CB$18:$CW$18,BN$18)/SUMPRODUCT(($CB$18:$CW$18=BN$18)*ABS($CB59:$CW59)),"-")</f>
        <v>3.2663983851066419E-2</v>
      </c>
      <c r="BO59" s="114">
        <f t="array" ref="BO59">IFERROR(SUMIFS($CB59:$CW59,$CB$17:$CW$17,BO$17,$CB$18:$CW$18,BO$18)/SUMPRODUCT(($CB$18:$CW$18=BO$18)*ABS($CB59:$CW59)),"-")</f>
        <v>4.3030644417904468E-3</v>
      </c>
      <c r="BP59" s="114">
        <f t="array" ref="BP59">IFERROR(SUMIFS($CB59:$CW59,$CB$17:$CW$17,BP$17,$CB$18:$CW$18,BP$18)/SUMPRODUCT(($CB$18:$CW$18=BP$18)*ABS($CB59:$CW59)),"-")</f>
        <v>4.1493196671853874E-2</v>
      </c>
      <c r="BQ59" s="114">
        <f t="array" ref="BQ59">IFERROR(SUMIFS($CB59:$CW59,$CB$17:$CW$17,BQ$17,$CB$18:$CW$18,BQ$18)/SUMPRODUCT(($CB$18:$CW$18=BQ$18)*ABS($CB59:$CW59)),"-")</f>
        <v>3.2849189606533884E-3</v>
      </c>
      <c r="BR59" s="114">
        <f t="array" ref="BR59">IFERROR(SUMIFS($CB59:$CW59,$CB$17:$CW$17,BR$17,$CB$18:$CW$18,BR$18)/SUMPRODUCT(($CB$18:$CW$18=BR$18)*ABS($CB59:$CW59)),"-")</f>
        <v>1.1481398737306556E-4</v>
      </c>
      <c r="BS59" s="114">
        <f t="array" ref="BS59">IFERROR(SUMIFS($CB59:$CW59,$CB$17:$CW$17,BS$17,$CB$18:$CW$18,BS$18)/SUMPRODUCT(($CB$18:$CW$18=BS$18)*ABS($CB59:$CW59)),"-")</f>
        <v>1.660157931651981E-5</v>
      </c>
      <c r="BT59" s="114">
        <f t="array" ref="BT59">IFERROR(SUMIFS($CB59:$CW59,$CB$17:$CW$17,BT$17,$CB$18:$CW$18,BT$18)/SUMPRODUCT(($CB$18:$CW$18=BT$18)*ABS($CB59:$CW59)),"-")</f>
        <v>5.5983332828503882E-5</v>
      </c>
      <c r="BU59" s="114">
        <f t="array" ref="BU59">IFERROR(SUMIFS($CB59:$CW59,$CB$17:$CW$17,BU$17,$CB$18:$CW$18,BU$18)/SUMPRODUCT(($CB$18:$CW$18=BU$18)*ABS($CB59:$CW59)),"-")</f>
        <v>1.1314146118372539E-5</v>
      </c>
      <c r="BV59" s="114">
        <f t="array" ref="BV59">IFERROR(SUMIFS($CB59:$CW59,$CB$17:$CW$17,BV$17,$CB$18:$CW$18,BV$18)/SUMPRODUCT(($CB$18:$CW$18=BV$18)*ABS($CB59:$CW59)),"-")</f>
        <v>0.91796742094336503</v>
      </c>
      <c r="BW59" s="114">
        <f t="array" ref="BW59">IFERROR(SUMIFS($CB59:$CW59,$CB$17:$CW$17,BW$17,$CB$18:$CW$18,BW$18)/SUMPRODUCT(($CB$18:$CW$18=BW$18)*ABS($CB59:$CW59)),"-")</f>
        <v>8.870208563442897E-5</v>
      </c>
      <c r="BX59" s="115"/>
      <c r="BY59" s="114">
        <f t="array" ref="BY59">IFERROR(SUMIFS($CB59:$CW59,$CB$17:$CW$17,BY$17,$CB$18:$CW$18,BY$18)/SUMPRODUCT(($CB$18:$CW$18=BY$18)*ABS($CB59:$CW59)),"-")</f>
        <v>1.5040680170390086E-3</v>
      </c>
      <c r="BZ59" s="116">
        <f t="array" ref="BZ59">IFERROR(SUMIFS($CB59:$CW59,$CB$17:$CW$17,BZ$17,$CB$18:$CW$18,BZ$18)/SUMPRODUCT(($CB$18:$CW$18=BZ$18)*ABS($CB59:$CW59)),"-")</f>
        <v>0.99849593198296105</v>
      </c>
      <c r="CB59" s="117">
        <v>3.1221357999999998E-7</v>
      </c>
      <c r="CC59" s="111">
        <v>9.4123887999999992E-10</v>
      </c>
      <c r="CD59" s="111">
        <v>2.5721841E-14</v>
      </c>
      <c r="CE59" s="111">
        <v>2.5139075000000001E-9</v>
      </c>
      <c r="CF59" s="111">
        <v>9.2091958000000008E-12</v>
      </c>
      <c r="CG59" s="111">
        <v>8.6555382999999997E-10</v>
      </c>
      <c r="CH59" s="111">
        <v>5.0651734000000005E-7</v>
      </c>
      <c r="CI59" s="111">
        <v>1.2399964000000001E-10</v>
      </c>
      <c r="CJ59" s="111">
        <v>1.1956924E-9</v>
      </c>
      <c r="CK59" s="111">
        <v>9.4660160000000001E-11</v>
      </c>
      <c r="CL59" s="111">
        <v>3.3085474999999998E-12</v>
      </c>
      <c r="CM59" s="111">
        <v>4.7840088999999999E-13</v>
      </c>
      <c r="CN59" s="111">
        <v>1.6132487000000001E-12</v>
      </c>
      <c r="CO59" s="111">
        <v>3.2603509999999999E-13</v>
      </c>
      <c r="CP59" s="111">
        <v>7.5460301000000003E-10</v>
      </c>
      <c r="CQ59" s="111">
        <v>8.3770635E-7</v>
      </c>
      <c r="CR59" s="111">
        <v>2.6452689999999999E-8</v>
      </c>
      <c r="CS59" s="111">
        <v>2.3635708E-5</v>
      </c>
      <c r="CT59" s="111">
        <v>1.5690885000000002E-2</v>
      </c>
      <c r="CU59" s="111">
        <v>4.2031625E-10</v>
      </c>
      <c r="CV59" s="111">
        <v>2.5559772000000002E-12</v>
      </c>
      <c r="CW59" s="112">
        <v>1.1435631E-16</v>
      </c>
    </row>
    <row r="60" spans="2:101" ht="12" customHeight="1" outlineLevel="1" x14ac:dyDescent="0.2">
      <c r="B60" s="104" t="s">
        <v>102</v>
      </c>
      <c r="C60" s="104" t="s">
        <v>121</v>
      </c>
      <c r="D60" s="2" t="s">
        <v>137</v>
      </c>
      <c r="E60" s="2" t="s">
        <v>138</v>
      </c>
      <c r="F60" s="105" t="s">
        <v>96</v>
      </c>
      <c r="G60" s="27" t="s">
        <v>1582</v>
      </c>
      <c r="H60" s="106" t="s">
        <v>128</v>
      </c>
      <c r="I60" s="107" t="s">
        <v>1577</v>
      </c>
      <c r="J60" s="108">
        <v>3.8814574399999997</v>
      </c>
      <c r="K60" s="109"/>
      <c r="L60" s="109"/>
      <c r="M60" s="110"/>
      <c r="N60" s="161"/>
      <c r="O60" s="1056"/>
      <c r="P60" s="117">
        <v>2.5227792063488001E-6</v>
      </c>
      <c r="Q60" s="111">
        <v>2.9600224625110781E-8</v>
      </c>
      <c r="R60" s="112">
        <v>1.6407865000999999E-2</v>
      </c>
      <c r="S60" s="1032">
        <v>0.36969088999999999</v>
      </c>
      <c r="T60" s="1032">
        <v>5.7868418000000002E-6</v>
      </c>
      <c r="U60" s="1032">
        <v>1.0898284000000001E-3</v>
      </c>
      <c r="V60" s="1032">
        <v>1.0006774999999999E-3</v>
      </c>
      <c r="W60" s="1032">
        <v>1.1719956999999999E-3</v>
      </c>
      <c r="X60" s="1032">
        <v>1.0110235E-3</v>
      </c>
      <c r="Y60" s="1032">
        <v>8.6000356E-3</v>
      </c>
      <c r="Z60" s="1032">
        <v>2.1984810000000001E-4</v>
      </c>
      <c r="AA60" s="1032">
        <v>2.3677531999999999E-3</v>
      </c>
      <c r="AB60" s="1032">
        <v>5.3722576000000001E-2</v>
      </c>
      <c r="AC60" s="1032">
        <v>2.7371965000000001E-3</v>
      </c>
      <c r="AD60" s="1032">
        <v>3.5113521000000002E-3</v>
      </c>
      <c r="AE60" s="1032">
        <v>3.1865643000000002E-4</v>
      </c>
      <c r="AF60" s="1032">
        <v>6.2979563000000001</v>
      </c>
      <c r="AG60" s="1032">
        <v>2.9789064999999999</v>
      </c>
      <c r="AH60" s="1032">
        <v>1.0237689000000001E-4</v>
      </c>
      <c r="AI60" s="1032">
        <v>3.7968767E-2</v>
      </c>
      <c r="AJ60" s="1036">
        <v>1.8978109E-4</v>
      </c>
      <c r="AK60" s="1077">
        <v>0.36836456000000001</v>
      </c>
      <c r="AL60" s="1078">
        <v>1.8278433E-9</v>
      </c>
      <c r="AM60" s="1078">
        <v>2.2338529E-3</v>
      </c>
      <c r="AN60" s="1078">
        <v>1.0990708E-3</v>
      </c>
      <c r="AO60" s="1078">
        <v>1.6335191E-3</v>
      </c>
      <c r="AP60" s="1078">
        <v>1.0833234000000001E-2</v>
      </c>
      <c r="AQ60" s="1078">
        <v>2.2675567000000001E-4</v>
      </c>
      <c r="AR60" s="1078">
        <v>8.5366965999999992E-3</v>
      </c>
      <c r="AS60" s="1078">
        <v>6.2528918000000005E-4</v>
      </c>
      <c r="AT60" s="1078">
        <v>2.5344034000000001E-4</v>
      </c>
      <c r="AU60" s="1078">
        <v>2.3051846000000001E-4</v>
      </c>
      <c r="AV60" s="1078">
        <v>0.10165016</v>
      </c>
      <c r="AW60" s="1078">
        <v>2.9789058000000002</v>
      </c>
      <c r="AX60" s="1078">
        <v>7.3461918000000004E-7</v>
      </c>
      <c r="AY60" s="1078">
        <v>-5.0488089999999997E-9</v>
      </c>
      <c r="AZ60" s="1078">
        <v>1.1475191000000001E-3</v>
      </c>
      <c r="BA60" s="1078">
        <v>3.9854662999999999E-2</v>
      </c>
      <c r="BB60" s="1079">
        <v>1.9164651000000001E-4</v>
      </c>
      <c r="BC60" s="1035"/>
      <c r="BE60" s="113">
        <f t="array" ref="BE60">IFERROR(SUMIFS($CB60:$CW60,$CB$17:$CW$17,BE$17,$CB$18:$CW$18,BE$18)/SUMPRODUCT(($CB$18:$CW$18=BE$18)*ABS($CB60:$CW60)),"-")</f>
        <v>0.13608803304546202</v>
      </c>
      <c r="BF60" s="114">
        <f t="array" ref="BF60">IFERROR(SUMIFS($CB60:$CW60,$CB$17:$CW$17,BF$17,$CB$18:$CW$18,BF$18)/SUMPRODUCT(($CB$18:$CW$18=BF$18)*ABS($CB60:$CW60)),"-")</f>
        <v>1.2178183458418854E-3</v>
      </c>
      <c r="BG60" s="114">
        <f t="array" ref="BG60">IFERROR(SUMIFS($CB60:$CW60,$CB$17:$CW$17,BG$17,$CB$18:$CW$18,BG$18)/SUMPRODUCT(($CB$18:$CW$18=BG$18)*ABS($CB60:$CW60)),"-")</f>
        <v>3.6709589078163545E-6</v>
      </c>
      <c r="BH60" s="114">
        <f t="array" ref="BH60">IFERROR(SUMIFS($CB60:$CW60,$CB$17:$CW$17,BH$17,$CB$18:$CW$18,BH$18)/SUMPRODUCT(($CB$18:$CW$18=BH$18)*ABS($CB60:$CW60)),"-")</f>
        <v>3.6096413340823126E-4</v>
      </c>
      <c r="BI60" s="114">
        <f t="array" ref="BI60">IFERROR(SUMIFS($CB60:$CW60,$CB$17:$CW$17,BI$17,$CB$18:$CW$18,BI$18)/SUMPRODUCT(($CB$18:$CW$18=BI$18)*ABS($CB60:$CW60)),"-")</f>
        <v>0.29226511703619057</v>
      </c>
      <c r="BJ60" s="114">
        <f t="array" ref="BJ60">IFERROR(SUMIFS($CB60:$CW60,$CB$17:$CW$17,BJ$17,$CB$18:$CW$18,BJ$18)/SUMPRODUCT(($CB$18:$CW$18=BJ$18)*ABS($CB60:$CW60)),"-")</f>
        <v>4.1989076861510415E-4</v>
      </c>
      <c r="BK60" s="114">
        <f t="array" ref="BK60">IFERROR(SUMIFS($CB60:$CW60,$CB$17:$CW$17,BK$17,$CB$18:$CW$18,BK$18)/SUMPRODUCT(($CB$18:$CW$18=BK$18)*ABS($CB60:$CW60)),"-")</f>
        <v>0.569477501790288</v>
      </c>
      <c r="BL60" s="114">
        <f t="array" ref="BL60">IFERROR(SUMIFS($CB60:$CW60,$CB$17:$CW$17,BL$17,$CB$18:$CW$18,BL$18)/SUMPRODUCT(($CB$18:$CW$18=BL$18)*ABS($CB60:$CW60)),"-")</f>
        <v>1.6700392128638349E-4</v>
      </c>
      <c r="BM60" s="115"/>
      <c r="BN60" s="114">
        <f t="array" ref="BN60">IFERROR(SUMIFS($CB60:$CW60,$CB$17:$CW$17,BN$17,$CB$18:$CW$18,BN$18)/SUMPRODUCT(($CB$18:$CW$18=BN$18)*ABS($CB60:$CW60)),"-")</f>
        <v>3.4964342193032488E-2</v>
      </c>
      <c r="BO60" s="114">
        <f t="array" ref="BO60">IFERROR(SUMIFS($CB60:$CW60,$CB$17:$CW$17,BO$17,$CB$18:$CW$18,BO$18)/SUMPRODUCT(($CB$18:$CW$18=BO$18)*ABS($CB60:$CW60)),"-")</f>
        <v>4.4061071039764753E-3</v>
      </c>
      <c r="BP60" s="114">
        <f t="array" ref="BP60">IFERROR(SUMIFS($CB60:$CW60,$CB$17:$CW$17,BP$17,$CB$18:$CW$18,BP$18)/SUMPRODUCT(($CB$18:$CW$18=BP$18)*ABS($CB60:$CW60)),"-")</f>
        <v>6.1661113154244149E-2</v>
      </c>
      <c r="BQ60" s="114">
        <f t="array" ref="BQ60">IFERROR(SUMIFS($CB60:$CW60,$CB$17:$CW$17,BQ$17,$CB$18:$CW$18,BQ$18)/SUMPRODUCT(($CB$18:$CW$18=BQ$18)*ABS($CB60:$CW60)),"-")</f>
        <v>4.9835912351441454E-3</v>
      </c>
      <c r="BR60" s="114">
        <f t="array" ref="BR60">IFERROR(SUMIFS($CB60:$CW60,$CB$17:$CW$17,BR$17,$CB$18:$CW$18,BR$18)/SUMPRODUCT(($CB$18:$CW$18=BR$18)*ABS($CB60:$CW60)),"-")</f>
        <v>1.359013605791157E-4</v>
      </c>
      <c r="BS60" s="114">
        <f t="array" ref="BS60">IFERROR(SUMIFS($CB60:$CW60,$CB$17:$CW$17,BS$17,$CB$18:$CW$18,BS$18)/SUMPRODUCT(($CB$18:$CW$18=BS$18)*ABS($CB60:$CW60)),"-")</f>
        <v>2.0691417303651889E-5</v>
      </c>
      <c r="BT60" s="114">
        <f t="array" ref="BT60">IFERROR(SUMIFS($CB60:$CW60,$CB$17:$CW$17,BT$17,$CB$18:$CW$18,BT$18)/SUMPRODUCT(($CB$18:$CW$18=BT$18)*ABS($CB60:$CW60)),"-")</f>
        <v>6.4057632129975887E-5</v>
      </c>
      <c r="BU60" s="114">
        <f t="array" ref="BU60">IFERROR(SUMIFS($CB60:$CW60,$CB$17:$CW$17,BU$17,$CB$18:$CW$18,BU$18)/SUMPRODUCT(($CB$18:$CW$18=BU$18)*ABS($CB60:$CW60)),"-")</f>
        <v>1.2459408827834857E-5</v>
      </c>
      <c r="BV60" s="114">
        <f t="array" ref="BV60">IFERROR(SUMIFS($CB60:$CW60,$CB$17:$CW$17,BV$17,$CB$18:$CW$18,BV$18)/SUMPRODUCT(($CB$18:$CW$18=BV$18)*ABS($CB60:$CW60)),"-")</f>
        <v>0.89366517771488019</v>
      </c>
      <c r="BW60" s="114">
        <f t="array" ref="BW60">IFERROR(SUMIFS($CB60:$CW60,$CB$17:$CW$17,BW$17,$CB$18:$CW$18,BW$18)/SUMPRODUCT(($CB$18:$CW$18=BW$18)*ABS($CB60:$CW60)),"-")</f>
        <v>8.6558779881908111E-5</v>
      </c>
      <c r="BX60" s="115"/>
      <c r="BY60" s="114">
        <f t="array" ref="BY60">IFERROR(SUMIFS($CB60:$CW60,$CB$17:$CW$17,BY$17,$CB$18:$CW$18,BY$18)/SUMPRODUCT(($CB$18:$CW$18=BY$18)*ABS($CB60:$CW60)),"-")</f>
        <v>1.4427837502659377E-3</v>
      </c>
      <c r="BZ60" s="116">
        <f t="array" ref="BZ60">IFERROR(SUMIFS($CB60:$CW60,$CB$17:$CW$17,BZ$17,$CB$18:$CW$18,BZ$18)/SUMPRODUCT(($CB$18:$CW$18=BZ$18)*ABS($CB60:$CW60)),"-")</f>
        <v>0.99855721624973404</v>
      </c>
      <c r="CB60" s="117">
        <v>3.4332005999999999E-7</v>
      </c>
      <c r="CC60" s="111">
        <v>1.0349241E-9</v>
      </c>
      <c r="CD60" s="111">
        <v>2.8282783000000001E-14</v>
      </c>
      <c r="CE60" s="111">
        <v>3.0722868000000002E-9</v>
      </c>
      <c r="CF60" s="111">
        <v>9.2610188000000006E-12</v>
      </c>
      <c r="CG60" s="111">
        <v>9.1063280999999999E-10</v>
      </c>
      <c r="CH60" s="111">
        <v>7.3732035999999997E-7</v>
      </c>
      <c r="CI60" s="111">
        <v>1.3042176000000001E-10</v>
      </c>
      <c r="CJ60" s="111">
        <v>1.8251828E-9</v>
      </c>
      <c r="CK60" s="111">
        <v>1.4751541999999999E-10</v>
      </c>
      <c r="CL60" s="111">
        <v>4.0227108000000004E-12</v>
      </c>
      <c r="CM60" s="111">
        <v>6.1247059999999996E-13</v>
      </c>
      <c r="CN60" s="111">
        <v>1.8961203E-12</v>
      </c>
      <c r="CO60" s="111">
        <v>3.688013E-13</v>
      </c>
      <c r="CP60" s="111">
        <v>1.0592917000000001E-9</v>
      </c>
      <c r="CQ60" s="111">
        <v>1.4366660000000001E-6</v>
      </c>
      <c r="CR60" s="111">
        <v>2.6452689999999999E-8</v>
      </c>
      <c r="CS60" s="111">
        <v>2.3673001000000001E-5</v>
      </c>
      <c r="CT60" s="111">
        <v>1.6384191999999999E-2</v>
      </c>
      <c r="CU60" s="111">
        <v>4.2131401999999998E-10</v>
      </c>
      <c r="CV60" s="111">
        <v>2.5620447000000001E-12</v>
      </c>
      <c r="CW60" s="112">
        <v>1.1462778000000001E-16</v>
      </c>
    </row>
    <row r="61" spans="2:101" ht="12" customHeight="1" outlineLevel="1" x14ac:dyDescent="0.2">
      <c r="B61" s="88" t="s">
        <v>103</v>
      </c>
      <c r="C61" s="88" t="s">
        <v>121</v>
      </c>
      <c r="D61" s="89" t="s">
        <v>137</v>
      </c>
      <c r="E61" s="89" t="s">
        <v>139</v>
      </c>
      <c r="F61" s="90" t="s">
        <v>92</v>
      </c>
      <c r="G61" s="18" t="s">
        <v>126</v>
      </c>
      <c r="H61" s="91" t="s">
        <v>127</v>
      </c>
      <c r="I61" s="92" t="s">
        <v>127</v>
      </c>
      <c r="J61" s="93">
        <v>0.31070780000000003</v>
      </c>
      <c r="K61" s="94"/>
      <c r="L61" s="94"/>
      <c r="M61" s="95"/>
      <c r="N61" s="145"/>
      <c r="O61" s="1055"/>
      <c r="P61" s="103">
        <v>9.2392315119300014E-7</v>
      </c>
      <c r="Q61" s="97">
        <v>9.7770702681625955E-9</v>
      </c>
      <c r="R61" s="98">
        <v>1.0966449089E-2</v>
      </c>
      <c r="S61" s="1033">
        <v>0.26006531999999999</v>
      </c>
      <c r="T61" s="1033">
        <v>5.8663055000000001E-6</v>
      </c>
      <c r="U61" s="1033">
        <v>1.2460832999999999E-3</v>
      </c>
      <c r="V61" s="1033">
        <v>4.5500808999999998E-4</v>
      </c>
      <c r="W61" s="1033">
        <v>5.0881842999999998E-4</v>
      </c>
      <c r="X61" s="1033">
        <v>4.5879381E-4</v>
      </c>
      <c r="Y61" s="1033">
        <v>3.6970518000000001E-3</v>
      </c>
      <c r="Z61" s="1033">
        <v>6.5747866999999997E-5</v>
      </c>
      <c r="AA61" s="1033">
        <v>1.1436332000000001E-3</v>
      </c>
      <c r="AB61" s="1033">
        <v>3.0070562999999999</v>
      </c>
      <c r="AC61" s="1033">
        <v>0.10501634</v>
      </c>
      <c r="AD61" s="1033">
        <v>2.4020616000000002E-2</v>
      </c>
      <c r="AE61" s="1033">
        <v>1.2760912E-4</v>
      </c>
      <c r="AF61" s="1033">
        <v>1.5692241</v>
      </c>
      <c r="AG61" s="1033">
        <v>0.90606743000000001</v>
      </c>
      <c r="AH61" s="1033">
        <v>1.0808256E-4</v>
      </c>
      <c r="AI61" s="1033">
        <v>2.8198450999999999E-2</v>
      </c>
      <c r="AJ61" s="1034">
        <v>1.2885711000000001E-3</v>
      </c>
      <c r="AK61" s="1074">
        <v>0.25865104</v>
      </c>
      <c r="AL61" s="1075">
        <v>2.0901106000000001E-9</v>
      </c>
      <c r="AM61" s="1075">
        <v>2.5907491999999999E-3</v>
      </c>
      <c r="AN61" s="1075">
        <v>3.6954809E-4</v>
      </c>
      <c r="AO61" s="1075">
        <v>6.7505202999999998E-4</v>
      </c>
      <c r="AP61" s="1075">
        <v>4.5794195000000001E-3</v>
      </c>
      <c r="AQ61" s="1075">
        <v>6.8460808999999998E-5</v>
      </c>
      <c r="AR61" s="1075">
        <v>4.0996638999999998E-3</v>
      </c>
      <c r="AS61" s="1075">
        <v>1.7059494000000001E-2</v>
      </c>
      <c r="AT61" s="1075">
        <v>4.5783841E-3</v>
      </c>
      <c r="AU61" s="1075">
        <v>1.4953678000000001E-3</v>
      </c>
      <c r="AV61" s="1075">
        <v>4.3755800999999997E-2</v>
      </c>
      <c r="AW61" s="1075">
        <v>0.90606555</v>
      </c>
      <c r="AX61" s="1075">
        <v>1.8786516000000001E-6</v>
      </c>
      <c r="AY61" s="1075">
        <v>-1.2754636E-8</v>
      </c>
      <c r="AZ61" s="1075">
        <v>3.8141325999999998E-4</v>
      </c>
      <c r="BA61" s="1075">
        <v>2.8938515000000001E-2</v>
      </c>
      <c r="BB61" s="1076">
        <v>1.2935757E-3</v>
      </c>
      <c r="BC61" s="1035"/>
      <c r="BE61" s="99">
        <f t="array" ref="BE61">IFERROR(SUMIFS($CB61:$CW61,$CB$17:$CW$17,BE$17,$CB$18:$CW$18,BE$18)/SUMPRODUCT(($CB$18:$CW$18=BE$18)*ABS($CB61:$CW61)),"-")</f>
        <v>0.26148417180373645</v>
      </c>
      <c r="BF61" s="100">
        <f t="array" ref="BF61">IFERROR(SUMIFS($CB61:$CW61,$CB$17:$CW$17,BF$17,$CB$18:$CW$18,BF$18)/SUMPRODUCT(($CB$18:$CW$18=BF$18)*ABS($CB61:$CW61)),"-")</f>
        <v>3.370924081703643E-3</v>
      </c>
      <c r="BG61" s="100">
        <f t="array" ref="BG61">IFERROR(SUMIFS($CB61:$CW61,$CB$17:$CW$17,BG$17,$CB$18:$CW$18,BG$18)/SUMPRODUCT(($CB$18:$CW$18=BG$18)*ABS($CB61:$CW61)),"-")</f>
        <v>1.1460696689251034E-5</v>
      </c>
      <c r="BH61" s="100">
        <f t="array" ref="BH61">IFERROR(SUMIFS($CB61:$CW61,$CB$17:$CW$17,BH$17,$CB$18:$CW$18,BH$18)/SUMPRODUCT(($CB$18:$CW$18=BH$18)*ABS($CB61:$CW61)),"-")</f>
        <v>4.4795225605678666E-4</v>
      </c>
      <c r="BI61" s="100">
        <f t="array" ref="BI61">IFERROR(SUMIFS($CB61:$CW61,$CB$17:$CW$17,BI$17,$CB$18:$CW$18,BI$18)/SUMPRODUCT(($CB$18:$CW$18=BI$18)*ABS($CB61:$CW61)),"-")</f>
        <v>0.34644935521605436</v>
      </c>
      <c r="BJ61" s="100">
        <f t="array" ref="BJ61">IFERROR(SUMIFS($CB61:$CW61,$CB$17:$CW$17,BJ$17,$CB$18:$CW$18,BJ$18)/SUMPRODUCT(($CB$18:$CW$18=BJ$18)*ABS($CB61:$CW61)),"-")</f>
        <v>4.5905202121231716E-4</v>
      </c>
      <c r="BK61" s="100">
        <f t="array" ref="BK61">IFERROR(SUMIFS($CB61:$CW61,$CB$17:$CW$17,BK$17,$CB$18:$CW$18,BK$18)/SUMPRODUCT(($CB$18:$CW$18=BK$18)*ABS($CB61:$CW61)),"-")</f>
        <v>0.38743831620388125</v>
      </c>
      <c r="BL61" s="100">
        <f t="array" ref="BL61">IFERROR(SUMIFS($CB61:$CW61,$CB$17:$CW$17,BL$17,$CB$18:$CW$18,BL$18)/SUMPRODUCT(($CB$18:$CW$18=BL$18)*ABS($CB61:$CW61)),"-")</f>
        <v>3.3876772066578271E-4</v>
      </c>
      <c r="BM61" s="101"/>
      <c r="BN61" s="100">
        <f t="array" ref="BN61">IFERROR(SUMIFS($CB61:$CW61,$CB$17:$CW$17,BN$17,$CB$18:$CW$18,BN$18)/SUMPRODUCT(($CB$18:$CW$18=BN$18)*ABS($CB61:$CW61)),"-")</f>
        <v>7.4458863081876062E-2</v>
      </c>
      <c r="BO61" s="100">
        <f t="array" ref="BO61">IFERROR(SUMIFS($CB61:$CW61,$CB$17:$CW$17,BO$17,$CB$18:$CW$18,BO$18)/SUMPRODUCT(($CB$18:$CW$18=BO$18)*ABS($CB61:$CW61)),"-")</f>
        <v>6.0502816669555162E-3</v>
      </c>
      <c r="BP61" s="100">
        <f t="array" ref="BP61">IFERROR(SUMIFS($CB61:$CW61,$CB$17:$CW$17,BP$17,$CB$18:$CW$18,BP$18)/SUMPRODUCT(($CB$18:$CW$18=BP$18)*ABS($CB61:$CW61)),"-")</f>
        <v>8.0250240458530742E-2</v>
      </c>
      <c r="BQ61" s="100">
        <f t="array" ref="BQ61">IFERROR(SUMIFS($CB61:$CW61,$CB$17:$CW$17,BQ$17,$CB$18:$CW$18,BQ$18)/SUMPRODUCT(($CB$18:$CW$18=BQ$18)*ABS($CB61:$CW61)),"-")</f>
        <v>4.5121682457019592E-3</v>
      </c>
      <c r="BR61" s="100">
        <f t="array" ref="BR61">IFERROR(SUMIFS($CB61:$CW61,$CB$17:$CW$17,BR$17,$CB$18:$CW$18,BR$18)/SUMPRODUCT(($CB$18:$CW$18=BR$18)*ABS($CB61:$CW61)),"-")</f>
        <v>1.9872862183746429E-4</v>
      </c>
      <c r="BS61" s="100">
        <f t="array" ref="BS61">IFERROR(SUMIFS($CB61:$CW61,$CB$17:$CW$17,BS$17,$CB$18:$CW$18,BS$18)/SUMPRODUCT(($CB$18:$CW$18=BS$18)*ABS($CB61:$CW61)),"-")</f>
        <v>3.5056392211489421E-3</v>
      </c>
      <c r="BT61" s="100">
        <f t="array" ref="BT61">IFERROR(SUMIFS($CB61:$CW61,$CB$17:$CW$17,BT$17,$CB$18:$CW$18,BT$18)/SUMPRODUCT(($CB$18:$CW$18=BT$18)*ABS($CB61:$CW61)),"-")</f>
        <v>7.461775357958055E-3</v>
      </c>
      <c r="BU61" s="100">
        <f t="array" ref="BU61">IFERROR(SUMIFS($CB61:$CW61,$CB$17:$CW$17,BU$17,$CB$18:$CW$18,BU$18)/SUMPRODUCT(($CB$18:$CW$18=BU$18)*ABS($CB61:$CW61)),"-")</f>
        <v>2.5776024216645112E-4</v>
      </c>
      <c r="BV61" s="100">
        <f t="array" ref="BV61">IFERROR(SUMIFS($CB61:$CW61,$CB$17:$CW$17,BV$17,$CB$18:$CW$18,BV$18)/SUMPRODUCT(($CB$18:$CW$18=BV$18)*ABS($CB61:$CW61)),"-")</f>
        <v>0.82293350454891045</v>
      </c>
      <c r="BW61" s="100">
        <f t="array" ref="BW61">IFERROR(SUMIFS($CB61:$CW61,$CB$17:$CW$17,BW$17,$CB$18:$CW$18,BW$18)/SUMPRODUCT(($CB$18:$CW$18=BW$18)*ABS($CB61:$CW61)),"-")</f>
        <v>3.7103855491433922E-4</v>
      </c>
      <c r="BX61" s="101"/>
      <c r="BY61" s="100">
        <f t="array" ref="BY61">IFERROR(SUMIFS($CB61:$CW61,$CB$17:$CW$17,BY$17,$CB$18:$CW$18,BY$18)/SUMPRODUCT(($CB$18:$CW$18=BY$18)*ABS($CB61:$CW61)),"-")</f>
        <v>2.2784119816014587E-3</v>
      </c>
      <c r="BZ61" s="102">
        <f t="array" ref="BZ61">IFERROR(SUMIFS($CB61:$CW61,$CB$17:$CW$17,BZ$17,$CB$18:$CW$18,BZ$18)/SUMPRODUCT(($CB$18:$CW$18=BZ$18)*ABS($CB61:$CW61)),"-")</f>
        <v>0.99772158801839861</v>
      </c>
      <c r="CB61" s="103">
        <v>2.4159128000000002E-7</v>
      </c>
      <c r="CC61" s="97">
        <v>7.2796963999999997E-10</v>
      </c>
      <c r="CD61" s="97">
        <v>1.9896439E-14</v>
      </c>
      <c r="CE61" s="97">
        <v>3.1144748000000002E-9</v>
      </c>
      <c r="CF61" s="97">
        <v>1.0588803E-11</v>
      </c>
      <c r="CG61" s="97">
        <v>4.1387346E-10</v>
      </c>
      <c r="CH61" s="97">
        <v>3.2009257999999999E-7</v>
      </c>
      <c r="CI61" s="97">
        <v>5.9154029000000003E-11</v>
      </c>
      <c r="CJ61" s="97">
        <v>7.8461223999999999E-10</v>
      </c>
      <c r="CK61" s="97">
        <v>4.4115786000000002E-11</v>
      </c>
      <c r="CL61" s="97">
        <v>1.9429837E-12</v>
      </c>
      <c r="CM61" s="97">
        <v>3.4274881000000002E-11</v>
      </c>
      <c r="CN61" s="97">
        <v>7.2954302000000006E-11</v>
      </c>
      <c r="CO61" s="97">
        <v>2.5201399999999998E-12</v>
      </c>
      <c r="CP61" s="97">
        <v>4.2412879E-10</v>
      </c>
      <c r="CQ61" s="97">
        <v>3.5796322999999997E-7</v>
      </c>
      <c r="CR61" s="97">
        <v>8.0458787000000008E-9</v>
      </c>
      <c r="CS61" s="97">
        <v>2.4986089000000001E-5</v>
      </c>
      <c r="CT61" s="97">
        <v>1.0941463E-2</v>
      </c>
      <c r="CU61" s="97">
        <v>3.1299533999999998E-10</v>
      </c>
      <c r="CV61" s="97">
        <v>3.6276080000000002E-12</v>
      </c>
      <c r="CW61" s="98">
        <v>6.2023595000000001E-17</v>
      </c>
    </row>
    <row r="62" spans="2:101" ht="12" customHeight="1" outlineLevel="1" x14ac:dyDescent="0.2">
      <c r="B62" s="104" t="s">
        <v>103</v>
      </c>
      <c r="C62" s="104" t="s">
        <v>121</v>
      </c>
      <c r="D62" s="2" t="s">
        <v>137</v>
      </c>
      <c r="E62" s="2" t="s">
        <v>139</v>
      </c>
      <c r="F62" s="105" t="s">
        <v>122</v>
      </c>
      <c r="G62" s="27" t="s">
        <v>1579</v>
      </c>
      <c r="H62" s="106" t="s">
        <v>128</v>
      </c>
      <c r="I62" s="107" t="s">
        <v>129</v>
      </c>
      <c r="J62" s="108">
        <v>0.31070780000000003</v>
      </c>
      <c r="K62" s="109"/>
      <c r="L62" s="109"/>
      <c r="M62" s="110"/>
      <c r="N62" s="161"/>
      <c r="O62" s="1056"/>
      <c r="P62" s="117">
        <v>2.101559865798E-7</v>
      </c>
      <c r="Q62" s="111">
        <v>9.5401511904768631E-9</v>
      </c>
      <c r="R62" s="112">
        <v>5.4935470670999997E-3</v>
      </c>
      <c r="S62" s="1032">
        <v>7.3393053999999999E-2</v>
      </c>
      <c r="T62" s="1032">
        <v>3.6088663999999999E-7</v>
      </c>
      <c r="U62" s="1032">
        <v>4.0682134999999998E-4</v>
      </c>
      <c r="V62" s="1032">
        <v>3.2755365999999998E-4</v>
      </c>
      <c r="W62" s="1032">
        <v>1.087577E-4</v>
      </c>
      <c r="X62" s="1032">
        <v>3.3120749999999998E-4</v>
      </c>
      <c r="Y62" s="1032">
        <v>5.5262490999999998E-4</v>
      </c>
      <c r="Z62" s="1032">
        <v>1.0558362E-5</v>
      </c>
      <c r="AA62" s="1032">
        <v>1.4649041E-4</v>
      </c>
      <c r="AB62" s="1032">
        <v>8.5938497999999992E-3</v>
      </c>
      <c r="AC62" s="1032">
        <v>4.6286826000000001E-4</v>
      </c>
      <c r="AD62" s="1032">
        <v>6.5502531999999997E-4</v>
      </c>
      <c r="AE62" s="1032">
        <v>4.6919682000000002E-5</v>
      </c>
      <c r="AF62" s="1032">
        <v>0.31882498999999997</v>
      </c>
      <c r="AG62" s="1032">
        <v>1.0319148</v>
      </c>
      <c r="AH62" s="1032">
        <v>3.6783499000000002E-5</v>
      </c>
      <c r="AI62" s="1032">
        <v>1.2773217999999999E-2</v>
      </c>
      <c r="AJ62" s="1036">
        <v>1.4189252E-3</v>
      </c>
      <c r="AK62" s="1077">
        <v>7.2937466000000006E-2</v>
      </c>
      <c r="AL62" s="1078">
        <v>6.8236713999999997E-10</v>
      </c>
      <c r="AM62" s="1078">
        <v>8.3396003000000001E-4</v>
      </c>
      <c r="AN62" s="1078">
        <v>3.6167955999999999E-4</v>
      </c>
      <c r="AO62" s="1078">
        <v>1.6684782999999999E-4</v>
      </c>
      <c r="AP62" s="1078">
        <v>7.1742438000000003E-4</v>
      </c>
      <c r="AQ62" s="1078">
        <v>1.2946871E-5</v>
      </c>
      <c r="AR62" s="1078">
        <v>5.3353026999999995E-4</v>
      </c>
      <c r="AS62" s="1078">
        <v>2.6169421000000001E-5</v>
      </c>
      <c r="AT62" s="1078">
        <v>5.7945990000000003E-5</v>
      </c>
      <c r="AU62" s="1078">
        <v>5.8259859999999998E-5</v>
      </c>
      <c r="AV62" s="1078">
        <v>7.0457497999999999E-3</v>
      </c>
      <c r="AW62" s="1078">
        <v>1.0319145000000001</v>
      </c>
      <c r="AX62" s="1078">
        <v>2.7712033000000002E-7</v>
      </c>
      <c r="AY62" s="1078">
        <v>-1.9045618E-9</v>
      </c>
      <c r="AZ62" s="1078">
        <v>4.1680500000000002E-4</v>
      </c>
      <c r="BA62" s="1078">
        <v>1.3424652E-2</v>
      </c>
      <c r="BB62" s="1079">
        <v>1.4196288999999999E-3</v>
      </c>
      <c r="BC62" s="1035"/>
      <c r="BE62" s="113">
        <f t="array" ref="BE62">IFERROR(SUMIFS($CB62:$CW62,$CB$17:$CW$17,BE$17,$CB$18:$CW$18,BE$18)/SUMPRODUCT(($CB$18:$CW$18=BE$18)*ABS($CB62:$CW62)),"-")</f>
        <v>0.32416933777963675</v>
      </c>
      <c r="BF62" s="114">
        <f t="array" ref="BF62">IFERROR(SUMIFS($CB62:$CW62,$CB$17:$CW$17,BF$17,$CB$18:$CW$18,BF$18)/SUMPRODUCT(($CB$18:$CW$18=BF$18)*ABS($CB62:$CW62)),"-")</f>
        <v>9.11693942762115E-4</v>
      </c>
      <c r="BG62" s="114">
        <f t="array" ref="BG62">IFERROR(SUMIFS($CB62:$CW62,$CB$17:$CW$17,BG$17,$CB$18:$CW$18,BG$18)/SUMPRODUCT(($CB$18:$CW$18=BG$18)*ABS($CB62:$CW62)),"-")</f>
        <v>1.6449875429493414E-5</v>
      </c>
      <c r="BH62" s="114">
        <f t="array" ref="BH62">IFERROR(SUMIFS($CB62:$CW62,$CB$17:$CW$17,BH$17,$CB$18:$CW$18,BH$18)/SUMPRODUCT(($CB$18:$CW$18=BH$18)*ABS($CB62:$CW62)),"-")</f>
        <v>1.4183744886411491E-3</v>
      </c>
      <c r="BI62" s="114">
        <f t="array" ref="BI62">IFERROR(SUMIFS($CB62:$CW62,$CB$17:$CW$17,BI$17,$CB$18:$CW$18,BI$18)/SUMPRODUCT(($CB$18:$CW$18=BI$18)*ABS($CB62:$CW62)),"-")</f>
        <v>0.32549969721669159</v>
      </c>
      <c r="BJ62" s="114">
        <f t="array" ref="BJ62">IFERROR(SUMIFS($CB62:$CW62,$CB$17:$CW$17,BJ$17,$CB$18:$CW$18,BJ$18)/SUMPRODUCT(($CB$18:$CW$18=BJ$18)*ABS($CB62:$CW62)),"-")</f>
        <v>7.421143815038515E-4</v>
      </c>
      <c r="BK62" s="114">
        <f t="array" ref="BK62">IFERROR(SUMIFS($CB62:$CW62,$CB$17:$CW$17,BK$17,$CB$18:$CW$18,BK$18)/SUMPRODUCT(($CB$18:$CW$18=BK$18)*ABS($CB62:$CW62)),"-")</f>
        <v>0.34607211616302658</v>
      </c>
      <c r="BL62" s="114">
        <f t="array" ref="BL62">IFERROR(SUMIFS($CB62:$CW62,$CB$17:$CW$17,BL$17,$CB$18:$CW$18,BL$18)/SUMPRODUCT(($CB$18:$CW$18=BL$18)*ABS($CB62:$CW62)),"-")</f>
        <v>1.1702161523084508E-3</v>
      </c>
      <c r="BM62" s="115"/>
      <c r="BN62" s="114">
        <f t="array" ref="BN62">IFERROR(SUMIFS($CB62:$CW62,$CB$17:$CW$17,BN$17,$CB$18:$CW$18,BN$18)/SUMPRODUCT(($CB$18:$CW$18=BN$18)*ABS($CB62:$CW62)),"-")</f>
        <v>2.1539813207711696E-2</v>
      </c>
      <c r="BO62" s="114">
        <f t="array" ref="BO62">IFERROR(SUMIFS($CB62:$CW62,$CB$17:$CW$17,BO$17,$CB$18:$CW$18,BO$18)/SUMPRODUCT(($CB$18:$CW$18=BO$18)*ABS($CB62:$CW62)),"-")</f>
        <v>4.4785088985433959E-3</v>
      </c>
      <c r="BP62" s="114">
        <f t="array" ref="BP62">IFERROR(SUMIFS($CB62:$CW62,$CB$17:$CW$17,BP$17,$CB$18:$CW$18,BP$18)/SUMPRODUCT(($CB$18:$CW$18=BP$18)*ABS($CB62:$CW62)),"-")</f>
        <v>1.2290003340517223E-2</v>
      </c>
      <c r="BQ62" s="114">
        <f t="array" ref="BQ62">IFERROR(SUMIFS($CB62:$CW62,$CB$17:$CW$17,BQ$17,$CB$18:$CW$18,BQ$18)/SUMPRODUCT(($CB$18:$CW$18=BQ$18)*ABS($CB62:$CW62)),"-")</f>
        <v>7.4251892434064456E-4</v>
      </c>
      <c r="BR62" s="114">
        <f t="array" ref="BR62">IFERROR(SUMIFS($CB62:$CW62,$CB$17:$CW$17,BR$17,$CB$18:$CW$18,BR$18)/SUMPRODUCT(($CB$18:$CW$18=BR$18)*ABS($CB62:$CW62)),"-")</f>
        <v>2.6087745889020835E-5</v>
      </c>
      <c r="BS62" s="114">
        <f t="array" ref="BS62">IFERROR(SUMIFS($CB62:$CW62,$CB$17:$CW$17,BS$17,$CB$18:$CW$18,BS$18)/SUMPRODUCT(($CB$18:$CW$18=BS$18)*ABS($CB62:$CW62)),"-")</f>
        <v>1.0265902085258731E-5</v>
      </c>
      <c r="BT62" s="114">
        <f t="array" ref="BT62">IFERROR(SUMIFS($CB62:$CW62,$CB$17:$CW$17,BT$17,$CB$18:$CW$18,BT$18)/SUMPRODUCT(($CB$18:$CW$18=BT$18)*ABS($CB62:$CW62)),"-")</f>
        <v>3.3579738266599423E-5</v>
      </c>
      <c r="BU62" s="114">
        <f t="array" ref="BU62">IFERROR(SUMIFS($CB62:$CW62,$CB$17:$CW$17,BU$17,$CB$18:$CW$18,BU$18)/SUMPRODUCT(($CB$18:$CW$18=BU$18)*ABS($CB62:$CW62)),"-")</f>
        <v>7.2115568848297344E-6</v>
      </c>
      <c r="BV62" s="114">
        <f t="array" ref="BV62">IFERROR(SUMIFS($CB62:$CW62,$CB$17:$CW$17,BV$17,$CB$18:$CW$18,BV$18)/SUMPRODUCT(($CB$18:$CW$18=BV$18)*ABS($CB62:$CW62)),"-")</f>
        <v>0.96050922223822421</v>
      </c>
      <c r="BW62" s="114">
        <f t="array" ref="BW62">IFERROR(SUMIFS($CB62:$CW62,$CB$17:$CW$17,BW$17,$CB$18:$CW$18,BW$18)/SUMPRODUCT(($CB$18:$CW$18=BW$18)*ABS($CB62:$CW62)),"-")</f>
        <v>3.6278844753727635E-4</v>
      </c>
      <c r="BX62" s="115"/>
      <c r="BY62" s="114">
        <f t="array" ref="BY62">IFERROR(SUMIFS($CB62:$CW62,$CB$17:$CW$17,BY$17,$CB$18:$CW$18,BY$18)/SUMPRODUCT(($CB$18:$CW$18=BY$18)*ABS($CB62:$CW62)),"-")</f>
        <v>1.5481922692417668E-3</v>
      </c>
      <c r="BZ62" s="116">
        <f t="array" ref="BZ62">IFERROR(SUMIFS($CB62:$CW62,$CB$17:$CW$17,BZ$17,$CB$18:$CW$18,BZ$18)/SUMPRODUCT(($CB$18:$CW$18=BZ$18)*ABS($CB62:$CW62)),"-")</f>
        <v>0.99845180773075826</v>
      </c>
      <c r="CB62" s="117">
        <v>6.8126126999999995E-8</v>
      </c>
      <c r="CC62" s="111">
        <v>2.0548745999999999E-10</v>
      </c>
      <c r="CD62" s="111">
        <v>5.6146161999999996E-15</v>
      </c>
      <c r="CE62" s="111">
        <v>1.9159793999999999E-10</v>
      </c>
      <c r="CF62" s="111">
        <v>3.4570397999999999E-12</v>
      </c>
      <c r="CG62" s="111">
        <v>2.9807988999999999E-10</v>
      </c>
      <c r="CH62" s="111">
        <v>6.8405710000000004E-8</v>
      </c>
      <c r="CI62" s="111">
        <v>4.2725652000000001E-11</v>
      </c>
      <c r="CJ62" s="111">
        <v>1.1724849E-10</v>
      </c>
      <c r="CK62" s="111">
        <v>7.0837428000000003E-12</v>
      </c>
      <c r="CL62" s="111">
        <v>2.4888104000000001E-13</v>
      </c>
      <c r="CM62" s="111">
        <v>9.7938257999999995E-14</v>
      </c>
      <c r="CN62" s="111">
        <v>3.2035577999999999E-13</v>
      </c>
      <c r="CO62" s="111">
        <v>6.8799343000000006E-14</v>
      </c>
      <c r="CP62" s="111">
        <v>1.5595978E-10</v>
      </c>
      <c r="CQ62" s="111">
        <v>7.2729127E-8</v>
      </c>
      <c r="CR62" s="111">
        <v>9.1634032000000002E-9</v>
      </c>
      <c r="CS62" s="111">
        <v>8.5050671000000006E-6</v>
      </c>
      <c r="CT62" s="111">
        <v>5.4850419999999999E-3</v>
      </c>
      <c r="CU62" s="111">
        <v>2.4592792999999998E-10</v>
      </c>
      <c r="CV62" s="111">
        <v>3.4610160999999999E-12</v>
      </c>
      <c r="CW62" s="112">
        <v>4.0539663999999999E-17</v>
      </c>
    </row>
    <row r="63" spans="2:101" ht="12" customHeight="1" outlineLevel="1" x14ac:dyDescent="0.2">
      <c r="B63" s="104" t="s">
        <v>103</v>
      </c>
      <c r="C63" s="104" t="s">
        <v>121</v>
      </c>
      <c r="D63" s="2" t="s">
        <v>137</v>
      </c>
      <c r="E63" s="2" t="s">
        <v>139</v>
      </c>
      <c r="F63" s="105" t="s">
        <v>93</v>
      </c>
      <c r="G63" s="27" t="s">
        <v>1578</v>
      </c>
      <c r="H63" s="106" t="s">
        <v>130</v>
      </c>
      <c r="I63" s="107" t="s">
        <v>129</v>
      </c>
      <c r="J63" s="108">
        <v>0.31070780000000003</v>
      </c>
      <c r="K63" s="109"/>
      <c r="L63" s="109"/>
      <c r="M63" s="110"/>
      <c r="N63" s="161"/>
      <c r="O63" s="1056"/>
      <c r="P63" s="117">
        <v>2.7923391058170002E-7</v>
      </c>
      <c r="Q63" s="111">
        <v>1.2649376905439522E-8</v>
      </c>
      <c r="R63" s="112">
        <v>7.2839458490000005E-3</v>
      </c>
      <c r="S63" s="1032">
        <v>9.7312542000000002E-2</v>
      </c>
      <c r="T63" s="1032">
        <v>4.7850300000000003E-7</v>
      </c>
      <c r="U63" s="1032">
        <v>5.3940827000000002E-4</v>
      </c>
      <c r="V63" s="1032">
        <v>4.3430648000000001E-4</v>
      </c>
      <c r="W63" s="1032">
        <v>1.4420285999999999E-4</v>
      </c>
      <c r="X63" s="1032">
        <v>4.3915114000000002E-4</v>
      </c>
      <c r="Y63" s="1032">
        <v>7.3273057999999997E-4</v>
      </c>
      <c r="Z63" s="1032">
        <v>1.3999431E-5</v>
      </c>
      <c r="AA63" s="1032">
        <v>1.9423302000000001E-4</v>
      </c>
      <c r="AB63" s="1032">
        <v>1.1394665999999999E-2</v>
      </c>
      <c r="AC63" s="1032">
        <v>6.1396783999999999E-4</v>
      </c>
      <c r="AD63" s="1032">
        <v>8.6870597999999999E-4</v>
      </c>
      <c r="AE63" s="1032">
        <v>6.2349152999999994E-5</v>
      </c>
      <c r="AF63" s="1032">
        <v>0.42530040000000002</v>
      </c>
      <c r="AG63" s="1032">
        <v>1.3682255000000001</v>
      </c>
      <c r="AH63" s="1032">
        <v>4.8771588E-5</v>
      </c>
      <c r="AI63" s="1032">
        <v>1.6936130000000001E-2</v>
      </c>
      <c r="AJ63" s="1036">
        <v>1.8813663000000001E-3</v>
      </c>
      <c r="AK63" s="1077">
        <v>9.6708474000000003E-2</v>
      </c>
      <c r="AL63" s="1078">
        <v>9.0475702000000005E-10</v>
      </c>
      <c r="AM63" s="1078">
        <v>1.1057555000000001E-3</v>
      </c>
      <c r="AN63" s="1078">
        <v>4.7955433999999998E-4</v>
      </c>
      <c r="AO63" s="1078">
        <v>2.2122510999999999E-4</v>
      </c>
      <c r="AP63" s="1078">
        <v>9.5123975000000003E-4</v>
      </c>
      <c r="AQ63" s="1078">
        <v>1.7166377999999999E-5</v>
      </c>
      <c r="AR63" s="1078">
        <v>7.0741281000000005E-4</v>
      </c>
      <c r="AS63" s="1078">
        <v>3.4878091000000003E-5</v>
      </c>
      <c r="AT63" s="1078">
        <v>7.6845784999999994E-5</v>
      </c>
      <c r="AU63" s="1078">
        <v>7.7255259E-5</v>
      </c>
      <c r="AV63" s="1078">
        <v>9.4015201999999992E-3</v>
      </c>
      <c r="AW63" s="1078">
        <v>1.3682251999999999</v>
      </c>
      <c r="AX63" s="1078">
        <v>3.6743645E-7</v>
      </c>
      <c r="AY63" s="1078">
        <v>-2.5252763999999999E-9</v>
      </c>
      <c r="AZ63" s="1078">
        <v>5.5264568000000004E-4</v>
      </c>
      <c r="BA63" s="1078">
        <v>1.7799873000000001E-2</v>
      </c>
      <c r="BB63" s="1079">
        <v>1.8822992999999999E-3</v>
      </c>
      <c r="BC63" s="1035"/>
      <c r="BE63" s="113">
        <f t="array" ref="BE63">IFERROR(SUMIFS($CB63:$CW63,$CB$17:$CW$17,BE$17,$CB$18:$CW$18,BE$18)/SUMPRODUCT(($CB$18:$CW$18=BE$18)*ABS($CB63:$CW63)),"-")</f>
        <v>0.32348890867812757</v>
      </c>
      <c r="BF63" s="114">
        <f t="array" ref="BF63">IFERROR(SUMIFS($CB63:$CW63,$CB$17:$CW$17,BF$17,$CB$18:$CW$18,BF$18)/SUMPRODUCT(($CB$18:$CW$18=BF$18)*ABS($CB63:$CW63)),"-")</f>
        <v>9.0978029663653945E-4</v>
      </c>
      <c r="BG63" s="114">
        <f t="array" ref="BG63">IFERROR(SUMIFS($CB63:$CW63,$CB$17:$CW$17,BG$17,$CB$18:$CW$18,BG$18)/SUMPRODUCT(($CB$18:$CW$18=BG$18)*ABS($CB63:$CW63)),"-")</f>
        <v>1.6415347586012E-5</v>
      </c>
      <c r="BH63" s="114">
        <f t="array" ref="BH63">IFERROR(SUMIFS($CB63:$CW63,$CB$17:$CW$17,BH$17,$CB$18:$CW$18,BH$18)/SUMPRODUCT(($CB$18:$CW$18=BH$18)*ABS($CB63:$CW63)),"-")</f>
        <v>1.4153973246897676E-3</v>
      </c>
      <c r="BI63" s="114">
        <f t="array" ref="BI63">IFERROR(SUMIFS($CB63:$CW63,$CB$17:$CW$17,BI$17,$CB$18:$CW$18,BI$18)/SUMPRODUCT(($CB$18:$CW$18=BI$18)*ABS($CB63:$CW63)),"-")</f>
        <v>0.32481648024430215</v>
      </c>
      <c r="BJ63" s="114">
        <f t="array" ref="BJ63">IFERROR(SUMIFS($CB63:$CW63,$CB$17:$CW$17,BJ$17,$CB$18:$CW$18,BJ$18)/SUMPRODUCT(($CB$18:$CW$18=BJ$18)*ABS($CB63:$CW63)),"-")</f>
        <v>7.4219946842510125E-4</v>
      </c>
      <c r="BK63" s="114">
        <f t="array" ref="BK63">IFERROR(SUMIFS($CB63:$CW63,$CB$17:$CW$17,BK$17,$CB$18:$CW$18,BK$18)/SUMPRODUCT(($CB$18:$CW$18=BK$18)*ABS($CB63:$CW63)),"-")</f>
        <v>0.3474430587527581</v>
      </c>
      <c r="BL63" s="114">
        <f t="array" ref="BL63">IFERROR(SUMIFS($CB63:$CW63,$CB$17:$CW$17,BL$17,$CB$18:$CW$18,BL$18)/SUMPRODUCT(($CB$18:$CW$18=BL$18)*ABS($CB63:$CW63)),"-")</f>
        <v>1.1677598874746768E-3</v>
      </c>
      <c r="BM63" s="115"/>
      <c r="BN63" s="114">
        <f t="array" ref="BN63">IFERROR(SUMIFS($CB63:$CW63,$CB$17:$CW$17,BN$17,$CB$18:$CW$18,BN$18)/SUMPRODUCT(($CB$18:$CW$18=BN$18)*ABS($CB63:$CW63)),"-")</f>
        <v>2.1539812317192774E-2</v>
      </c>
      <c r="BO63" s="114">
        <f t="array" ref="BO63">IFERROR(SUMIFS($CB63:$CW63,$CB$17:$CW$17,BO$17,$CB$18:$CW$18,BO$18)/SUMPRODUCT(($CB$18:$CW$18=BO$18)*ABS($CB63:$CW63)),"-")</f>
        <v>4.4785086588446151E-3</v>
      </c>
      <c r="BP63" s="114">
        <f t="array" ref="BP63">IFERROR(SUMIFS($CB63:$CW63,$CB$17:$CW$17,BP$17,$CB$18:$CW$18,BP$18)/SUMPRODUCT(($CB$18:$CW$18=BP$18)*ABS($CB63:$CW63)),"-")</f>
        <v>1.2290002990830974E-2</v>
      </c>
      <c r="BQ63" s="114">
        <f t="array" ref="BQ63">IFERROR(SUMIFS($CB63:$CW63,$CB$17:$CW$17,BQ$17,$CB$18:$CW$18,BQ$18)/SUMPRODUCT(($CB$18:$CW$18=BQ$18)*ABS($CB63:$CW63)),"-")</f>
        <v>7.4251889798311339E-4</v>
      </c>
      <c r="BR63" s="114">
        <f t="array" ref="BR63">IFERROR(SUMIFS($CB63:$CW63,$CB$17:$CW$17,BR$17,$CB$18:$CW$18,BR$18)/SUMPRODUCT(($CB$18:$CW$18=BR$18)*ABS($CB63:$CW63)),"-")</f>
        <v>2.6087745069727119E-5</v>
      </c>
      <c r="BS63" s="114">
        <f t="array" ref="BS63">IFERROR(SUMIFS($CB63:$CW63,$CB$17:$CW$17,BS$17,$CB$18:$CW$18,BS$18)/SUMPRODUCT(($CB$18:$CW$18=BS$18)*ABS($CB63:$CW63)),"-")</f>
        <v>1.0265901709684878E-5</v>
      </c>
      <c r="BT63" s="114">
        <f t="array" ref="BT63">IFERROR(SUMIFS($CB63:$CW63,$CB$17:$CW$17,BT$17,$CB$18:$CW$18,BT$18)/SUMPRODUCT(($CB$18:$CW$18=BT$18)*ABS($CB63:$CW63)),"-")</f>
        <v>3.3593279192848509E-5</v>
      </c>
      <c r="BU63" s="114">
        <f t="array" ref="BU63">IFERROR(SUMIFS($CB63:$CW63,$CB$17:$CW$17,BU$17,$CB$18:$CW$18,BU$18)/SUMPRODUCT(($CB$18:$CW$18=BU$18)*ABS($CB63:$CW63)),"-")</f>
        <v>7.2132315830326367E-6</v>
      </c>
      <c r="BV63" s="114">
        <f t="array" ref="BV63">IFERROR(SUMIFS($CB63:$CW63,$CB$17:$CW$17,BV$17,$CB$18:$CW$18,BV$18)/SUMPRODUCT(($CB$18:$CW$18=BV$18)*ABS($CB63:$CW63)),"-")</f>
        <v>0.96050920854253996</v>
      </c>
      <c r="BW63" s="114">
        <f t="array" ref="BW63">IFERROR(SUMIFS($CB63:$CW63,$CB$17:$CW$17,BW$17,$CB$18:$CW$18,BW$18)/SUMPRODUCT(($CB$18:$CW$18=BW$18)*ABS($CB63:$CW63)),"-")</f>
        <v>3.6278843505323997E-4</v>
      </c>
      <c r="BX63" s="115"/>
      <c r="BY63" s="114">
        <f t="array" ref="BY63">IFERROR(SUMIFS($CB63:$CW63,$CB$17:$CW$17,BY$17,$CB$18:$CW$18,BY$18)/SUMPRODUCT(($CB$18:$CW$18=BY$18)*ABS($CB63:$CW63)),"-")</f>
        <v>1.5481923168811299E-3</v>
      </c>
      <c r="BZ63" s="116">
        <f t="array" ref="BZ63">IFERROR(SUMIFS($CB63:$CW63,$CB$17:$CW$17,BZ$17,$CB$18:$CW$18,BZ$18)/SUMPRODUCT(($CB$18:$CW$18=BZ$18)*ABS($CB63:$CW63)),"-")</f>
        <v>0.99845180768311881</v>
      </c>
      <c r="CB63" s="117">
        <v>9.0329073000000001E-8</v>
      </c>
      <c r="CC63" s="111">
        <v>2.7245776000000001E-10</v>
      </c>
      <c r="CD63" s="111">
        <v>7.4444726000000004E-15</v>
      </c>
      <c r="CE63" s="111">
        <v>2.5404150999999999E-10</v>
      </c>
      <c r="CF63" s="111">
        <v>4.5837217E-12</v>
      </c>
      <c r="CG63" s="111">
        <v>3.9522693000000001E-10</v>
      </c>
      <c r="CH63" s="111">
        <v>9.0699776000000006E-8</v>
      </c>
      <c r="CI63" s="111">
        <v>5.6650343999999998E-11</v>
      </c>
      <c r="CJ63" s="111">
        <v>1.5546087999999999E-10</v>
      </c>
      <c r="CK63" s="111">
        <v>9.3924013999999994E-12</v>
      </c>
      <c r="CL63" s="111">
        <v>3.2999371999999998E-13</v>
      </c>
      <c r="CM63" s="111">
        <v>1.2985726E-13</v>
      </c>
      <c r="CN63" s="111">
        <v>4.2493405E-13</v>
      </c>
      <c r="CO63" s="111">
        <v>9.1242885000000002E-14</v>
      </c>
      <c r="CP63" s="111">
        <v>2.0724726E-10</v>
      </c>
      <c r="CQ63" s="111">
        <v>9.7017884000000005E-8</v>
      </c>
      <c r="CR63" s="111">
        <v>1.2149842999999999E-8</v>
      </c>
      <c r="CS63" s="111">
        <v>1.1276948999999999E-5</v>
      </c>
      <c r="CT63" s="111">
        <v>7.2726689000000002E-3</v>
      </c>
      <c r="CU63" s="111">
        <v>3.2607816E-10</v>
      </c>
      <c r="CV63" s="111">
        <v>4.5889938999999996E-12</v>
      </c>
      <c r="CW63" s="112">
        <v>5.3751923000000001E-17</v>
      </c>
    </row>
    <row r="64" spans="2:101" ht="12" customHeight="1" outlineLevel="1" x14ac:dyDescent="0.2">
      <c r="B64" s="104" t="s">
        <v>103</v>
      </c>
      <c r="C64" s="104" t="s">
        <v>121</v>
      </c>
      <c r="D64" s="2" t="s">
        <v>137</v>
      </c>
      <c r="E64" s="2" t="s">
        <v>139</v>
      </c>
      <c r="F64" s="105" t="s">
        <v>94</v>
      </c>
      <c r="G64" s="27" t="s">
        <v>1580</v>
      </c>
      <c r="H64" s="106" t="s">
        <v>131</v>
      </c>
      <c r="I64" s="107" t="s">
        <v>129</v>
      </c>
      <c r="J64" s="108">
        <v>0.31070780000000003</v>
      </c>
      <c r="K64" s="109"/>
      <c r="L64" s="109"/>
      <c r="M64" s="110"/>
      <c r="N64" s="161"/>
      <c r="O64" s="1056"/>
      <c r="P64" s="117">
        <v>1.6833633544860001E-7</v>
      </c>
      <c r="Q64" s="111">
        <v>7.6578316171173852E-9</v>
      </c>
      <c r="R64" s="112">
        <v>4.4096427749000001E-3</v>
      </c>
      <c r="S64" s="1032">
        <v>5.8912237999999999E-2</v>
      </c>
      <c r="T64" s="1032">
        <v>2.8968189999999999E-7</v>
      </c>
      <c r="U64" s="1032">
        <v>3.2655347000000001E-4</v>
      </c>
      <c r="V64" s="1032">
        <v>2.6292568E-4</v>
      </c>
      <c r="W64" s="1032">
        <v>8.7299262999999998E-5</v>
      </c>
      <c r="X64" s="1032">
        <v>2.6585859999999999E-4</v>
      </c>
      <c r="Y64" s="1032">
        <v>4.4358925999999998E-4</v>
      </c>
      <c r="Z64" s="1032">
        <v>8.4751441999999998E-6</v>
      </c>
      <c r="AA64" s="1032">
        <v>1.1758712000000001E-4</v>
      </c>
      <c r="AB64" s="1032">
        <v>6.8982402999999996E-3</v>
      </c>
      <c r="AC64" s="1032">
        <v>3.7139283E-4</v>
      </c>
      <c r="AD64" s="1032">
        <v>5.2566341999999995E-4</v>
      </c>
      <c r="AE64" s="1032">
        <v>3.7578706999999999E-5</v>
      </c>
      <c r="AF64" s="1032">
        <v>0.25436497000000002</v>
      </c>
      <c r="AG64" s="1032">
        <v>0.82831284000000005</v>
      </c>
      <c r="AH64" s="1032">
        <v>2.9525930999999999E-5</v>
      </c>
      <c r="AI64" s="1032">
        <v>1.0252997999999999E-2</v>
      </c>
      <c r="AJ64" s="1036">
        <v>1.1389642E-3</v>
      </c>
      <c r="AK64" s="1077">
        <v>5.8546539000000002E-2</v>
      </c>
      <c r="AL64" s="1078">
        <v>5.4773269000000002E-10</v>
      </c>
      <c r="AM64" s="1078">
        <v>6.6941555E-4</v>
      </c>
      <c r="AN64" s="1078">
        <v>2.9031838000000002E-4</v>
      </c>
      <c r="AO64" s="1078">
        <v>1.3392792E-4</v>
      </c>
      <c r="AP64" s="1078">
        <v>5.7587296999999998E-4</v>
      </c>
      <c r="AQ64" s="1078">
        <v>1.0392389000000001E-5</v>
      </c>
      <c r="AR64" s="1078">
        <v>4.2826208000000001E-4</v>
      </c>
      <c r="AS64" s="1078">
        <v>2.0897207999999999E-5</v>
      </c>
      <c r="AT64" s="1078">
        <v>4.6504086999999999E-5</v>
      </c>
      <c r="AU64" s="1078">
        <v>4.6760079000000002E-5</v>
      </c>
      <c r="AV64" s="1078">
        <v>5.6195706999999998E-3</v>
      </c>
      <c r="AW64" s="1078">
        <v>0.82831261</v>
      </c>
      <c r="AX64" s="1078">
        <v>2.2244309999999999E-7</v>
      </c>
      <c r="AY64" s="1078">
        <v>-1.5287822E-9</v>
      </c>
      <c r="AZ64" s="1078">
        <v>3.3456729E-4</v>
      </c>
      <c r="BA64" s="1078">
        <v>1.0775900999999999E-2</v>
      </c>
      <c r="BB64" s="1079">
        <v>1.139529E-3</v>
      </c>
      <c r="BC64" s="1035"/>
      <c r="BE64" s="113">
        <f t="array" ref="BE64">IFERROR(SUMIFS($CB64:$CW64,$CB$17:$CW$17,BE$17,$CB$18:$CW$18,BE$18)/SUMPRODUCT(($CB$18:$CW$18=BE$18)*ABS($CB64:$CW64)),"-")</f>
        <v>0.32485263418780685</v>
      </c>
      <c r="BF64" s="114">
        <f t="array" ref="BF64">IFERROR(SUMIFS($CB64:$CW64,$CB$17:$CW$17,BF$17,$CB$18:$CW$18,BF$18)/SUMPRODUCT(($CB$18:$CW$18=BF$18)*ABS($CB64:$CW64)),"-")</f>
        <v>9.1361564685456666E-4</v>
      </c>
      <c r="BG64" s="114">
        <f t="array" ref="BG64">IFERROR(SUMIFS($CB64:$CW64,$CB$17:$CW$17,BG$17,$CB$18:$CW$18,BG$18)/SUMPRODUCT(($CB$18:$CW$18=BG$18)*ABS($CB64:$CW64)),"-")</f>
        <v>1.6484549177128225E-5</v>
      </c>
      <c r="BH64" s="114">
        <f t="array" ref="BH64">IFERROR(SUMIFS($CB64:$CW64,$CB$17:$CW$17,BH$17,$CB$18:$CW$18,BH$18)/SUMPRODUCT(($CB$18:$CW$18=BH$18)*ABS($CB64:$CW64)),"-")</f>
        <v>1.42136419545059E-3</v>
      </c>
      <c r="BI64" s="114">
        <f t="array" ref="BI64">IFERROR(SUMIFS($CB64:$CW64,$CB$17:$CW$17,BI$17,$CB$18:$CW$18,BI$18)/SUMPRODUCT(($CB$18:$CW$18=BI$18)*ABS($CB64:$CW64)),"-")</f>
        <v>0.32618579853050172</v>
      </c>
      <c r="BJ64" s="114">
        <f t="array" ref="BJ64">IFERROR(SUMIFS($CB64:$CW64,$CB$17:$CW$17,BJ$17,$CB$18:$CW$18,BJ$18)/SUMPRODUCT(($CB$18:$CW$18=BJ$18)*ABS($CB64:$CW64)),"-")</f>
        <v>7.4202892481368217E-4</v>
      </c>
      <c r="BK64" s="114">
        <f t="array" ref="BK64">IFERROR(SUMIFS($CB64:$CW64,$CB$17:$CW$17,BK$17,$CB$18:$CW$18,BK$18)/SUMPRODUCT(($CB$18:$CW$18=BK$18)*ABS($CB64:$CW64)),"-")</f>
        <v>0.3446953911962598</v>
      </c>
      <c r="BL64" s="114">
        <f t="array" ref="BL64">IFERROR(SUMIFS($CB64:$CW64,$CB$17:$CW$17,BL$17,$CB$18:$CW$18,BL$18)/SUMPRODUCT(($CB$18:$CW$18=BL$18)*ABS($CB64:$CW64)),"-")</f>
        <v>1.172682769135579E-3</v>
      </c>
      <c r="BM64" s="115"/>
      <c r="BN64" s="114">
        <f t="array" ref="BN64">IFERROR(SUMIFS($CB64:$CW64,$CB$17:$CW$17,BN$17,$CB$18:$CW$18,BN$18)/SUMPRODUCT(($CB$18:$CW$18=BN$18)*ABS($CB64:$CW64)),"-")</f>
        <v>2.1539813758204698E-2</v>
      </c>
      <c r="BO64" s="114">
        <f t="array" ref="BO64">IFERROR(SUMIFS($CB64:$CW64,$CB$17:$CW$17,BO$17,$CB$18:$CW$18,BO$18)/SUMPRODUCT(($CB$18:$CW$18=BO$18)*ABS($CB64:$CW64)),"-")</f>
        <v>4.4785088932145804E-3</v>
      </c>
      <c r="BP64" s="114">
        <f t="array" ref="BP64">IFERROR(SUMIFS($CB64:$CW64,$CB$17:$CW$17,BP$17,$CB$18:$CW$18,BP$18)/SUMPRODUCT(($CB$18:$CW$18=BP$18)*ABS($CB64:$CW64)),"-")</f>
        <v>1.2290003711968187E-2</v>
      </c>
      <c r="BQ64" s="114">
        <f t="array" ref="BQ64">IFERROR(SUMIFS($CB64:$CW64,$CB$17:$CW$17,BQ$17,$CB$18:$CW$18,BQ$18)/SUMPRODUCT(($CB$18:$CW$18=BQ$18)*ABS($CB64:$CW64)),"-")</f>
        <v>7.4251893803593404E-4</v>
      </c>
      <c r="BR64" s="114">
        <f t="array" ref="BR64">IFERROR(SUMIFS($CB64:$CW64,$CB$17:$CW$17,BR$17,$CB$18:$CW$18,BR$18)/SUMPRODUCT(($CB$18:$CW$18=BR$18)*ABS($CB64:$CW64)),"-")</f>
        <v>2.6087746504303647E-5</v>
      </c>
      <c r="BS64" s="114">
        <f t="array" ref="BS64">IFERROR(SUMIFS($CB64:$CW64,$CB$17:$CW$17,BS$17,$CB$18:$CW$18,BS$18)/SUMPRODUCT(($CB$18:$CW$18=BS$18)*ABS($CB64:$CW64)),"-")</f>
        <v>1.0265902141837984E-5</v>
      </c>
      <c r="BT64" s="114">
        <f t="array" ref="BT64">IFERROR(SUMIFS($CB64:$CW64,$CB$17:$CW$17,BT$17,$CB$18:$CW$18,BT$18)/SUMPRODUCT(($CB$18:$CW$18=BT$18)*ABS($CB64:$CW64)),"-")</f>
        <v>3.3566195086535268E-5</v>
      </c>
      <c r="BU64" s="114">
        <f t="array" ref="BU64">IFERROR(SUMIFS($CB64:$CW64,$CB$17:$CW$17,BU$17,$CB$18:$CW$18,BU$18)/SUMPRODUCT(($CB$18:$CW$18=BU$18)*ABS($CB64:$CW64)),"-")</f>
        <v>7.2098819562166494E-6</v>
      </c>
      <c r="BV64" s="114">
        <f t="array" ref="BV64">IFERROR(SUMIFS($CB64:$CW64,$CB$17:$CW$17,BV$17,$CB$18:$CW$18,BV$18)/SUMPRODUCT(($CB$18:$CW$18=BV$18)*ABS($CB64:$CW64)),"-")</f>
        <v>0.96050923652572784</v>
      </c>
      <c r="BW64" s="114">
        <f t="array" ref="BW64">IFERROR(SUMIFS($CB64:$CW64,$CB$17:$CW$17,BW$17,$CB$18:$CW$18,BW$18)/SUMPRODUCT(($CB$18:$CW$18=BW$18)*ABS($CB64:$CW64)),"-")</f>
        <v>3.6278844715989967E-4</v>
      </c>
      <c r="BX64" s="115"/>
      <c r="BY64" s="114">
        <f t="array" ref="BY64">IFERROR(SUMIFS($CB64:$CW64,$CB$17:$CW$17,BY$17,$CB$18:$CW$18,BY$18)/SUMPRODUCT(($CB$18:$CW$18=BY$18)*ABS($CB64:$CW64)),"-")</f>
        <v>1.5481922796240154E-3</v>
      </c>
      <c r="BZ64" s="116">
        <f t="array" ref="BZ64">IFERROR(SUMIFS($CB64:$CW64,$CB$17:$CW$17,BZ$17,$CB$18:$CW$18,BZ$18)/SUMPRODUCT(($CB$18:$CW$18=BZ$18)*ABS($CB64:$CW64)),"-")</f>
        <v>0.99845180772037601</v>
      </c>
      <c r="CB64" s="117">
        <v>5.4684502000000003E-8</v>
      </c>
      <c r="CC64" s="111">
        <v>1.6494376E-10</v>
      </c>
      <c r="CD64" s="111">
        <v>4.5068244000000001E-15</v>
      </c>
      <c r="CE64" s="111">
        <v>1.5379471000000001E-10</v>
      </c>
      <c r="CF64" s="111">
        <v>2.7749486E-12</v>
      </c>
      <c r="CG64" s="111">
        <v>2.3926724E-10</v>
      </c>
      <c r="CH64" s="111">
        <v>5.4908922E-8</v>
      </c>
      <c r="CI64" s="111">
        <v>3.4295667E-11</v>
      </c>
      <c r="CJ64" s="111">
        <v>9.4114778999999998E-11</v>
      </c>
      <c r="CK64" s="111">
        <v>5.6860850000000004E-12</v>
      </c>
      <c r="CL64" s="111">
        <v>1.9977557000000001E-13</v>
      </c>
      <c r="CM64" s="111">
        <v>7.8614549999999994E-14</v>
      </c>
      <c r="CN64" s="111">
        <v>2.5704426999999998E-13</v>
      </c>
      <c r="CO64" s="111">
        <v>5.5212062E-14</v>
      </c>
      <c r="CP64" s="111">
        <v>1.2491042999999999E-10</v>
      </c>
      <c r="CQ64" s="111">
        <v>5.8024758999999998E-8</v>
      </c>
      <c r="CR64" s="111">
        <v>7.3554179999999996E-9</v>
      </c>
      <c r="CS64" s="111">
        <v>6.8269749E-6</v>
      </c>
      <c r="CT64" s="111">
        <v>4.4028158000000003E-3</v>
      </c>
      <c r="CU64" s="111">
        <v>1.9740511999999999E-10</v>
      </c>
      <c r="CV64" s="111">
        <v>2.7781402999999999E-12</v>
      </c>
      <c r="CW64" s="112">
        <v>3.2540985999999997E-17</v>
      </c>
    </row>
    <row r="65" spans="2:101" ht="12" customHeight="1" outlineLevel="1" x14ac:dyDescent="0.2">
      <c r="B65" s="104" t="s">
        <v>103</v>
      </c>
      <c r="C65" s="104" t="s">
        <v>121</v>
      </c>
      <c r="D65" s="2" t="s">
        <v>137</v>
      </c>
      <c r="E65" s="2" t="s">
        <v>139</v>
      </c>
      <c r="F65" s="105" t="s">
        <v>95</v>
      </c>
      <c r="G65" s="27" t="s">
        <v>1581</v>
      </c>
      <c r="H65" s="106" t="s">
        <v>128</v>
      </c>
      <c r="I65" s="107" t="s">
        <v>127</v>
      </c>
      <c r="J65" s="108">
        <v>0.31070780000000003</v>
      </c>
      <c r="K65" s="109"/>
      <c r="L65" s="109"/>
      <c r="M65" s="110"/>
      <c r="N65" s="161"/>
      <c r="O65" s="1056"/>
      <c r="P65" s="117">
        <v>6.3249529363730002E-7</v>
      </c>
      <c r="Q65" s="111">
        <v>9.9145694543385597E-9</v>
      </c>
      <c r="R65" s="112">
        <v>5.8615726624000001E-3</v>
      </c>
      <c r="S65" s="1032">
        <v>8.9574032999999997E-2</v>
      </c>
      <c r="T65" s="1032">
        <v>8.6059608999999997E-7</v>
      </c>
      <c r="U65" s="1032">
        <v>4.1005841000000003E-4</v>
      </c>
      <c r="V65" s="1032">
        <v>3.5384795000000001E-4</v>
      </c>
      <c r="W65" s="1032">
        <v>2.8337373000000002E-4</v>
      </c>
      <c r="X65" s="1032">
        <v>3.5763260999999998E-4</v>
      </c>
      <c r="Y65" s="1032">
        <v>1.9627436000000001E-3</v>
      </c>
      <c r="Z65" s="1032">
        <v>4.8872285000000002E-5</v>
      </c>
      <c r="AA65" s="1032">
        <v>3.4618608999999997E-4</v>
      </c>
      <c r="AB65" s="1032">
        <v>1.4834185E-2</v>
      </c>
      <c r="AC65" s="1032">
        <v>8.4176821000000004E-4</v>
      </c>
      <c r="AD65" s="1032">
        <v>1.1055402E-3</v>
      </c>
      <c r="AE65" s="1032">
        <v>8.9278595000000002E-5</v>
      </c>
      <c r="AF65" s="1032">
        <v>1.6208362999999999</v>
      </c>
      <c r="AG65" s="1032">
        <v>1.0319148</v>
      </c>
      <c r="AH65" s="1032">
        <v>3.6869168000000002E-5</v>
      </c>
      <c r="AI65" s="1032">
        <v>1.3589089E-2</v>
      </c>
      <c r="AJ65" s="1036">
        <v>1.4191638E-3</v>
      </c>
      <c r="AK65" s="1077">
        <v>8.9095590000000002E-2</v>
      </c>
      <c r="AL65" s="1078">
        <v>6.8776711000000004E-10</v>
      </c>
      <c r="AM65" s="1078">
        <v>8.4053139999999997E-4</v>
      </c>
      <c r="AN65" s="1078">
        <v>3.895185E-4</v>
      </c>
      <c r="AO65" s="1078">
        <v>4.0194533E-4</v>
      </c>
      <c r="AP65" s="1078">
        <v>2.4826139000000001E-3</v>
      </c>
      <c r="AQ65" s="1078">
        <v>5.1267884E-5</v>
      </c>
      <c r="AR65" s="1078">
        <v>1.2847348000000001E-3</v>
      </c>
      <c r="AS65" s="1078">
        <v>1.5622773E-4</v>
      </c>
      <c r="AT65" s="1078">
        <v>8.0687399E-5</v>
      </c>
      <c r="AU65" s="1078">
        <v>7.5204632999999998E-5</v>
      </c>
      <c r="AV65" s="1078">
        <v>2.5824136000000001E-2</v>
      </c>
      <c r="AW65" s="1078">
        <v>1.0319145000000001</v>
      </c>
      <c r="AX65" s="1078">
        <v>2.7712033000000002E-7</v>
      </c>
      <c r="AY65" s="1078">
        <v>-1.9045618E-9</v>
      </c>
      <c r="AZ65" s="1078">
        <v>4.1743071999999999E-4</v>
      </c>
      <c r="BA65" s="1078">
        <v>1.4272378E-2</v>
      </c>
      <c r="BB65" s="1079">
        <v>1.4198673999999999E-3</v>
      </c>
      <c r="BC65" s="1035"/>
      <c r="BE65" s="113">
        <f t="array" ref="BE65">IFERROR(SUMIFS($CB65:$CW65,$CB$17:$CW$17,BE$17,$CB$18:$CW$18,BE$18)/SUMPRODUCT(($CB$18:$CW$18=BE$18)*ABS($CB65:$CW65)),"-")</f>
        <v>0.13148384317890149</v>
      </c>
      <c r="BF65" s="114">
        <f t="array" ref="BF65">IFERROR(SUMIFS($CB65:$CW65,$CB$17:$CW$17,BF$17,$CB$18:$CW$18,BF$18)/SUMPRODUCT(($CB$18:$CW$18=BF$18)*ABS($CB65:$CW65)),"-")</f>
        <v>7.2237411818909926E-4</v>
      </c>
      <c r="BG65" s="114">
        <f t="array" ref="BG65">IFERROR(SUMIFS($CB65:$CW65,$CB$17:$CW$17,BG$17,$CB$18:$CW$18,BG$18)/SUMPRODUCT(($CB$18:$CW$18=BG$18)*ABS($CB65:$CW65)),"-")</f>
        <v>5.5092066850985761E-6</v>
      </c>
      <c r="BH65" s="114">
        <f t="array" ref="BH65">IFERROR(SUMIFS($CB65:$CW65,$CB$17:$CW$17,BH$17,$CB$18:$CW$18,BH$18)/SUMPRODUCT(($CB$18:$CW$18=BH$18)*ABS($CB65:$CW65)),"-")</f>
        <v>5.0910690283278699E-4</v>
      </c>
      <c r="BI65" s="114">
        <f t="array" ref="BI65">IFERROR(SUMIFS($CB65:$CW65,$CB$17:$CW$17,BI$17,$CB$18:$CW$18,BI$18)/SUMPRODUCT(($CB$18:$CW$18=BI$18)*ABS($CB65:$CW65)),"-")</f>
        <v>0.28184791538105303</v>
      </c>
      <c r="BJ65" s="114">
        <f t="array" ref="BJ65">IFERROR(SUMIFS($CB65:$CW65,$CB$17:$CW$17,BJ$17,$CB$18:$CW$18,BJ$18)/SUMPRODUCT(($CB$18:$CW$18=BJ$18)*ABS($CB65:$CW65)),"-")</f>
        <v>4.6922655865671702E-4</v>
      </c>
      <c r="BK65" s="114">
        <f t="array" ref="BK65">IFERROR(SUMIFS($CB65:$CW65,$CB$17:$CW$17,BK$17,$CB$18:$CW$18,BK$18)/SUMPRODUCT(($CB$18:$CW$18=BK$18)*ABS($CB65:$CW65)),"-")</f>
        <v>0.58457236554873782</v>
      </c>
      <c r="BL65" s="114">
        <f t="array" ref="BL65">IFERROR(SUMIFS($CB65:$CW65,$CB$17:$CW$17,BL$17,$CB$18:$CW$18,BL$18)/SUMPRODUCT(($CB$18:$CW$18=BL$18)*ABS($CB65:$CW65)),"-")</f>
        <v>3.896591049439956E-4</v>
      </c>
      <c r="BM65" s="115"/>
      <c r="BN65" s="114">
        <f t="array" ref="BN65">IFERROR(SUMIFS($CB65:$CW65,$CB$17:$CW$17,BN$17,$CB$18:$CW$18,BN$18)/SUMPRODUCT(($CB$18:$CW$18=BN$18)*ABS($CB65:$CW65)),"-")</f>
        <v>2.5294379523970029E-2</v>
      </c>
      <c r="BO65" s="114">
        <f t="array" ref="BO65">IFERROR(SUMIFS($CB65:$CW65,$CB$17:$CW$17,BO$17,$CB$18:$CW$18,BO$18)/SUMPRODUCT(($CB$18:$CW$18=BO$18)*ABS($CB65:$CW65)),"-")</f>
        <v>4.6532022608215028E-3</v>
      </c>
      <c r="BP65" s="114">
        <f t="array" ref="BP65">IFERROR(SUMIFS($CB65:$CW65,$CB$17:$CW$17,BP$17,$CB$18:$CW$18,BP$18)/SUMPRODUCT(($CB$18:$CW$18=BP$18)*ABS($CB65:$CW65)),"-")</f>
        <v>4.2012500080649121E-2</v>
      </c>
      <c r="BQ65" s="114">
        <f t="array" ref="BQ65">IFERROR(SUMIFS($CB65:$CW65,$CB$17:$CW$17,BQ$17,$CB$18:$CW$18,BQ$18)/SUMPRODUCT(($CB$18:$CW$18=BQ$18)*ABS($CB65:$CW65)),"-")</f>
        <v>3.3074945060423411E-3</v>
      </c>
      <c r="BR65" s="114">
        <f t="array" ref="BR65">IFERROR(SUMIFS($CB65:$CW65,$CB$17:$CW$17,BR$17,$CB$18:$CW$18,BR$18)/SUMPRODUCT(($CB$18:$CW$18=BR$18)*ABS($CB65:$CW65)),"-")</f>
        <v>5.9322332927187926E-5</v>
      </c>
      <c r="BS65" s="114">
        <f t="array" ref="BS65">IFERROR(SUMIFS($CB65:$CW65,$CB$17:$CW$17,BS$17,$CB$18:$CW$18,BS$18)/SUMPRODUCT(($CB$18:$CW$18=BS$18)*ABS($CB65:$CW65)),"-")</f>
        <v>1.7055928729815074E-5</v>
      </c>
      <c r="BT65" s="114">
        <f t="array" ref="BT65">IFERROR(SUMIFS($CB65:$CW65,$CB$17:$CW$17,BT$17,$CB$18:$CW$18,BT$18)/SUMPRODUCT(($CB$18:$CW$18=BT$18)*ABS($CB65:$CW65)),"-")</f>
        <v>5.8801345099749831E-5</v>
      </c>
      <c r="BU65" s="114">
        <f t="array" ref="BU65">IFERROR(SUMIFS($CB65:$CW65,$CB$17:$CW$17,BU$17,$CB$18:$CW$18,BU$18)/SUMPRODUCT(($CB$18:$CW$18=BU$18)*ABS($CB65:$CW65)),"-")</f>
        <v>1.1711619000176395E-5</v>
      </c>
      <c r="BV65" s="114">
        <f t="array" ref="BV65">IFERROR(SUMIFS($CB65:$CW65,$CB$17:$CW$17,BV$17,$CB$18:$CW$18,BV$18)/SUMPRODUCT(($CB$18:$CW$18=BV$18)*ABS($CB65:$CW65)),"-")</f>
        <v>0.92423611960175911</v>
      </c>
      <c r="BW65" s="114">
        <f t="array" ref="BW65">IFERROR(SUMIFS($CB65:$CW65,$CB$17:$CW$17,BW$17,$CB$18:$CW$18,BW$18)/SUMPRODUCT(($CB$18:$CW$18=BW$18)*ABS($CB65:$CW65)),"-")</f>
        <v>3.4941280100085956E-4</v>
      </c>
      <c r="BX65" s="115"/>
      <c r="BY65" s="114">
        <f t="array" ref="BY65">IFERROR(SUMIFS($CB65:$CW65,$CB$17:$CW$17,BY$17,$CB$18:$CW$18,BY$18)/SUMPRODUCT(($CB$18:$CW$18=BY$18)*ABS($CB65:$CW65)),"-")</f>
        <v>1.454364364479195E-3</v>
      </c>
      <c r="BZ65" s="116">
        <f t="array" ref="BZ65">IFERROR(SUMIFS($CB65:$CW65,$CB$17:$CW$17,BZ$17,$CB$18:$CW$18,BZ$18)/SUMPRODUCT(($CB$18:$CW$18=BZ$18)*ABS($CB65:$CW65)),"-")</f>
        <v>0.9985456356355209</v>
      </c>
      <c r="CB65" s="117">
        <v>8.3162912E-8</v>
      </c>
      <c r="CC65" s="111">
        <v>2.5077602999999998E-10</v>
      </c>
      <c r="CD65" s="111">
        <v>6.8525948000000003E-15</v>
      </c>
      <c r="CE65" s="111">
        <v>4.5689823000000002E-10</v>
      </c>
      <c r="CF65" s="111">
        <v>3.4845473000000002E-12</v>
      </c>
      <c r="CG65" s="111">
        <v>3.2200771999999998E-10</v>
      </c>
      <c r="CH65" s="111">
        <v>1.7826748000000001E-7</v>
      </c>
      <c r="CI65" s="111">
        <v>4.6134496999999998E-11</v>
      </c>
      <c r="CJ65" s="111">
        <v>4.1653585000000001E-10</v>
      </c>
      <c r="CK65" s="111">
        <v>3.2792383999999997E-11</v>
      </c>
      <c r="CL65" s="111">
        <v>5.8815538999999997E-13</v>
      </c>
      <c r="CM65" s="111">
        <v>1.6910219E-13</v>
      </c>
      <c r="CN65" s="111">
        <v>5.8299001999999999E-13</v>
      </c>
      <c r="CO65" s="111">
        <v>1.1611565999999999E-13</v>
      </c>
      <c r="CP65" s="111">
        <v>2.9678359E-10</v>
      </c>
      <c r="CQ65" s="111">
        <v>3.6973927000000003E-7</v>
      </c>
      <c r="CR65" s="111">
        <v>9.1634032000000002E-9</v>
      </c>
      <c r="CS65" s="111">
        <v>8.5248623999999995E-6</v>
      </c>
      <c r="CT65" s="111">
        <v>5.8530478000000004E-3</v>
      </c>
      <c r="CU65" s="111">
        <v>2.4645754999999999E-10</v>
      </c>
      <c r="CV65" s="111">
        <v>3.4642368E-12</v>
      </c>
      <c r="CW65" s="112">
        <v>4.0683758000000001E-17</v>
      </c>
    </row>
    <row r="66" spans="2:101" ht="12" customHeight="1" outlineLevel="1" x14ac:dyDescent="0.2">
      <c r="B66" s="104" t="s">
        <v>103</v>
      </c>
      <c r="C66" s="104" t="s">
        <v>121</v>
      </c>
      <c r="D66" s="2" t="s">
        <v>137</v>
      </c>
      <c r="E66" s="2" t="s">
        <v>139</v>
      </c>
      <c r="F66" s="105" t="s">
        <v>96</v>
      </c>
      <c r="G66" s="27" t="s">
        <v>1582</v>
      </c>
      <c r="H66" s="106" t="s">
        <v>128</v>
      </c>
      <c r="I66" s="107" t="s">
        <v>1577</v>
      </c>
      <c r="J66" s="108">
        <v>0.31070780000000003</v>
      </c>
      <c r="K66" s="109"/>
      <c r="L66" s="109"/>
      <c r="M66" s="110"/>
      <c r="N66" s="161"/>
      <c r="O66" s="1056"/>
      <c r="P66" s="117">
        <v>9.3622969535919996E-7</v>
      </c>
      <c r="Q66" s="111">
        <v>1.0186028113001395E-8</v>
      </c>
      <c r="R66" s="112">
        <v>6.1017520811000002E-3</v>
      </c>
      <c r="S66" s="1032">
        <v>0.10116921</v>
      </c>
      <c r="T66" s="1032">
        <v>1.224927E-6</v>
      </c>
      <c r="U66" s="1032">
        <v>4.1217096999999998E-4</v>
      </c>
      <c r="V66" s="1032">
        <v>3.7100802000000001E-4</v>
      </c>
      <c r="W66" s="1032">
        <v>4.1045034000000003E-4</v>
      </c>
      <c r="X66" s="1032">
        <v>3.7487806000000002E-4</v>
      </c>
      <c r="Y66" s="1032">
        <v>2.9901513E-3</v>
      </c>
      <c r="Z66" s="1032">
        <v>7.6159088999999997E-5</v>
      </c>
      <c r="AA66" s="1032">
        <v>4.9179975000000005E-4</v>
      </c>
      <c r="AB66" s="1032">
        <v>1.8906727000000002E-2</v>
      </c>
      <c r="AC66" s="1032">
        <v>9.8503603999999995E-4</v>
      </c>
      <c r="AD66" s="1032">
        <v>1.2485513E-3</v>
      </c>
      <c r="AE66" s="1032">
        <v>1.2210405000000001E-4</v>
      </c>
      <c r="AF66" s="1032">
        <v>2.5532059</v>
      </c>
      <c r="AG66" s="1032">
        <v>1.0319148</v>
      </c>
      <c r="AH66" s="1032">
        <v>3.6925077E-5</v>
      </c>
      <c r="AI66" s="1032">
        <v>1.4121539000000001E-2</v>
      </c>
      <c r="AJ66" s="1036">
        <v>1.4193194E-3</v>
      </c>
      <c r="AK66" s="1077">
        <v>0.10067585</v>
      </c>
      <c r="AL66" s="1078">
        <v>6.9129121999999995E-10</v>
      </c>
      <c r="AM66" s="1078">
        <v>8.4481998999999996E-4</v>
      </c>
      <c r="AN66" s="1078">
        <v>4.0768663000000002E-4</v>
      </c>
      <c r="AO66" s="1078">
        <v>5.7286624000000002E-4</v>
      </c>
      <c r="AP66" s="1078">
        <v>3.7685319999999998E-3</v>
      </c>
      <c r="AQ66" s="1078">
        <v>7.8559313999999997E-5</v>
      </c>
      <c r="AR66" s="1078">
        <v>1.8324185999999999E-3</v>
      </c>
      <c r="AS66" s="1078">
        <v>2.4516689999999999E-4</v>
      </c>
      <c r="AT66" s="1078">
        <v>9.0295767E-5</v>
      </c>
      <c r="AU66" s="1078">
        <v>8.1908699000000001E-5</v>
      </c>
      <c r="AV66" s="1078">
        <v>3.9863279000000001E-2</v>
      </c>
      <c r="AW66" s="1078">
        <v>1.0319145000000001</v>
      </c>
      <c r="AX66" s="1078">
        <v>2.7712033000000002E-7</v>
      </c>
      <c r="AY66" s="1078">
        <v>-1.9045618E-9</v>
      </c>
      <c r="AZ66" s="1078">
        <v>4.1783906999999997E-4</v>
      </c>
      <c r="BA66" s="1078">
        <v>1.4825616999999999E-2</v>
      </c>
      <c r="BB66" s="1079">
        <v>1.4200230999999999E-3</v>
      </c>
      <c r="BC66" s="1035"/>
      <c r="BE66" s="113">
        <f t="array" ref="BE66">IFERROR(SUMIFS($CB66:$CW66,$CB$17:$CW$17,BE$17,$CB$18:$CW$18,BE$18)/SUMPRODUCT(($CB$18:$CW$18=BE$18)*ABS($CB66:$CW66)),"-")</f>
        <v>0.10033693597377188</v>
      </c>
      <c r="BF66" s="114">
        <f t="array" ref="BF66">IFERROR(SUMIFS($CB66:$CW66,$CB$17:$CW$17,BF$17,$CB$18:$CW$18,BF$18)/SUMPRODUCT(($CB$18:$CW$18=BF$18)*ABS($CB66:$CW66)),"-")</f>
        <v>6.9462102433152603E-4</v>
      </c>
      <c r="BG66" s="114">
        <f t="array" ref="BG66">IFERROR(SUMIFS($CB66:$CW66,$CB$17:$CW$17,BG$17,$CB$18:$CW$18,BG$18)/SUMPRODUCT(($CB$18:$CW$18=BG$18)*ABS($CB66:$CW66)),"-")</f>
        <v>3.7410682628008382E-6</v>
      </c>
      <c r="BH66" s="114">
        <f t="array" ref="BH66">IFERROR(SUMIFS($CB66:$CW66,$CB$17:$CW$17,BH$17,$CB$18:$CW$18,BH$18)/SUMPRODUCT(($CB$18:$CW$18=BH$18)*ABS($CB66:$CW66)),"-")</f>
        <v>3.6062027478253101E-4</v>
      </c>
      <c r="BI66" s="114">
        <f t="array" ref="BI66">IFERROR(SUMIFS($CB66:$CW66,$CB$17:$CW$17,BI$17,$CB$18:$CW$18,BI$18)/SUMPRODUCT(($CB$18:$CW$18=BI$18)*ABS($CB66:$CW66)),"-")</f>
        <v>0.27580764771718747</v>
      </c>
      <c r="BJ66" s="114">
        <f t="array" ref="BJ66">IFERROR(SUMIFS($CB66:$CW66,$CB$17:$CW$17,BJ$17,$CB$18:$CW$18,BJ$18)/SUMPRODUCT(($CB$18:$CW$18=BJ$18)*ABS($CB66:$CW66)),"-")</f>
        <v>4.335714216416316E-4</v>
      </c>
      <c r="BK66" s="114">
        <f t="array" ref="BK66">IFERROR(SUMIFS($CB66:$CW66,$CB$17:$CW$17,BK$17,$CB$18:$CW$18,BK$18)/SUMPRODUCT(($CB$18:$CW$18=BK$18)*ABS($CB66:$CW66)),"-")</f>
        <v>0.62209924860003718</v>
      </c>
      <c r="BL66" s="114">
        <f t="array" ref="BL66">IFERROR(SUMIFS($CB66:$CW66,$CB$17:$CW$17,BL$17,$CB$18:$CW$18,BL$18)/SUMPRODUCT(($CB$18:$CW$18=BL$18)*ABS($CB66:$CW66)),"-")</f>
        <v>2.6361391998499888E-4</v>
      </c>
      <c r="BM66" s="115"/>
      <c r="BN66" s="114">
        <f t="array" ref="BN66">IFERROR(SUMIFS($CB66:$CW66,$CB$17:$CW$17,BN$17,$CB$18:$CW$18,BN$18)/SUMPRODUCT(($CB$18:$CW$18=BN$18)*ABS($CB66:$CW66)),"-")</f>
        <v>2.7806424308026181E-2</v>
      </c>
      <c r="BO66" s="114">
        <f t="array" ref="BO66">IFERROR(SUMIFS($CB66:$CW66,$CB$17:$CW$17,BO$17,$CB$18:$CW$18,BO$18)/SUMPRODUCT(($CB$18:$CW$18=BO$18)*ABS($CB66:$CW66)),"-")</f>
        <v>4.7475977352030478E-3</v>
      </c>
      <c r="BP66" s="114">
        <f t="array" ref="BP66">IFERROR(SUMIFS($CB66:$CW66,$CB$17:$CW$17,BP$17,$CB$18:$CW$18,BP$18)/SUMPRODUCT(($CB$18:$CW$18=BP$18)*ABS($CB66:$CW66)),"-")</f>
        <v>6.2300618352899011E-2</v>
      </c>
      <c r="BQ66" s="114">
        <f t="array" ref="BQ66">IFERROR(SUMIFS($CB66:$CW66,$CB$17:$CW$17,BQ$17,$CB$18:$CW$18,BQ$18)/SUMPRODUCT(($CB$18:$CW$18=BQ$18)*ABS($CB66:$CW66)),"-")</f>
        <v>5.0168550914142761E-3</v>
      </c>
      <c r="BR66" s="114">
        <f t="array" ref="BR66">IFERROR(SUMIFS($CB66:$CW66,$CB$17:$CW$17,BR$17,$CB$18:$CW$18,BR$18)/SUMPRODUCT(($CB$18:$CW$18=BR$18)*ABS($CB66:$CW66)),"-")</f>
        <v>8.2028706452666515E-5</v>
      </c>
      <c r="BS66" s="114">
        <f t="array" ref="BS66">IFERROR(SUMIFS($CB66:$CW66,$CB$17:$CW$17,BS$17,$CB$18:$CW$18,BS$18)/SUMPRODUCT(($CB$18:$CW$18=BS$18)*ABS($CB66:$CW66)),"-")</f>
        <v>2.1160839888599909E-5</v>
      </c>
      <c r="BT66" s="114">
        <f t="array" ref="BT66">IFERROR(SUMIFS($CB66:$CW66,$CB$17:$CW$17,BT$17,$CB$18:$CW$18,BT$18)/SUMPRODUCT(($CB$18:$CW$18=BT$18)*ABS($CB66:$CW66)),"-")</f>
        <v>6.6998098024973173E-5</v>
      </c>
      <c r="BU66" s="114">
        <f t="array" ref="BU66">IFERROR(SUMIFS($CB66:$CW66,$CB$17:$CW$17,BU$17,$CB$18:$CW$18,BU$18)/SUMPRODUCT(($CB$18:$CW$18=BU$18)*ABS($CB66:$CW66)),"-")</f>
        <v>1.2874181039478743E-5</v>
      </c>
      <c r="BV66" s="114">
        <f t="array" ref="BV66">IFERROR(SUMIFS($CB66:$CW66,$CB$17:$CW$17,BV$17,$CB$18:$CW$18,BV$18)/SUMPRODUCT(($CB$18:$CW$18=BV$18)*ABS($CB66:$CW66)),"-")</f>
        <v>0.89960513542112441</v>
      </c>
      <c r="BW66" s="114">
        <f t="array" ref="BW66">IFERROR(SUMIFS($CB66:$CW66,$CB$17:$CW$17,BW$17,$CB$18:$CW$18,BW$18)/SUMPRODUCT(($CB$18:$CW$18=BW$18)*ABS($CB66:$CW66)),"-")</f>
        <v>3.403072659274846E-4</v>
      </c>
      <c r="BX66" s="115"/>
      <c r="BY66" s="114">
        <f t="array" ref="BY66">IFERROR(SUMIFS($CB66:$CW66,$CB$17:$CW$17,BY$17,$CB$18:$CW$18,BY$18)/SUMPRODUCT(($CB$18:$CW$18=BY$18)*ABS($CB66:$CW66)),"-")</f>
        <v>1.3992343488431016E-3</v>
      </c>
      <c r="BZ66" s="116">
        <f t="array" ref="BZ66">IFERROR(SUMIFS($CB66:$CW66,$CB$17:$CW$17,BZ$17,$CB$18:$CW$18,BZ$18)/SUMPRODUCT(($CB$18:$CW$18=BZ$18)*ABS($CB66:$CW66)),"-")</f>
        <v>0.99860076565115685</v>
      </c>
      <c r="CB66" s="117">
        <v>9.3938419000000002E-8</v>
      </c>
      <c r="CC66" s="111">
        <v>2.8322928000000001E-10</v>
      </c>
      <c r="CD66" s="111">
        <v>7.7397235999999996E-15</v>
      </c>
      <c r="CE66" s="111">
        <v>6.5032482999999999E-10</v>
      </c>
      <c r="CF66" s="111">
        <v>3.5024992E-12</v>
      </c>
      <c r="CG66" s="111">
        <v>3.3762341000000001E-10</v>
      </c>
      <c r="CH66" s="111">
        <v>2.5821930999999998E-7</v>
      </c>
      <c r="CI66" s="111">
        <v>4.8359163999999997E-11</v>
      </c>
      <c r="CJ66" s="111">
        <v>6.3459584999999998E-10</v>
      </c>
      <c r="CK66" s="111">
        <v>5.1101826999999998E-11</v>
      </c>
      <c r="CL66" s="111">
        <v>8.3554671000000001E-13</v>
      </c>
      <c r="CM66" s="111">
        <v>2.1554491E-13</v>
      </c>
      <c r="CN66" s="111">
        <v>6.8244451000000003E-13</v>
      </c>
      <c r="CO66" s="111">
        <v>1.3113677E-13</v>
      </c>
      <c r="CP66" s="111">
        <v>4.0592243999999999E-10</v>
      </c>
      <c r="CQ66" s="111">
        <v>5.8242779000000004E-7</v>
      </c>
      <c r="CR66" s="111">
        <v>9.1634032000000002E-9</v>
      </c>
      <c r="CS66" s="111">
        <v>8.5377810999999994E-6</v>
      </c>
      <c r="CT66" s="111">
        <v>6.0932143000000001E-3</v>
      </c>
      <c r="CU66" s="111">
        <v>2.4680318000000002E-10</v>
      </c>
      <c r="CV66" s="111">
        <v>3.4663385999999999E-12</v>
      </c>
      <c r="CW66" s="112">
        <v>4.0777795999999998E-17</v>
      </c>
    </row>
    <row r="67" spans="2:101" ht="12" customHeight="1" outlineLevel="1" x14ac:dyDescent="0.2">
      <c r="B67" s="88" t="s">
        <v>104</v>
      </c>
      <c r="C67" s="88" t="s">
        <v>121</v>
      </c>
      <c r="D67" s="89" t="s">
        <v>137</v>
      </c>
      <c r="E67" s="89" t="s">
        <v>140</v>
      </c>
      <c r="F67" s="90" t="s">
        <v>92</v>
      </c>
      <c r="G67" s="18" t="s">
        <v>126</v>
      </c>
      <c r="H67" s="91" t="s">
        <v>127</v>
      </c>
      <c r="I67" s="92" t="s">
        <v>127</v>
      </c>
      <c r="J67" s="93">
        <v>4.4622420200000006</v>
      </c>
      <c r="K67" s="94"/>
      <c r="L67" s="94"/>
      <c r="M67" s="95"/>
      <c r="N67" s="145"/>
      <c r="O67" s="1055"/>
      <c r="P67" s="103">
        <v>3.9585904300400002E-6</v>
      </c>
      <c r="Q67" s="97">
        <v>5.9156446648641691E-8</v>
      </c>
      <c r="R67" s="98">
        <v>4.063959441E-2</v>
      </c>
      <c r="S67" s="1033">
        <v>0.84395544</v>
      </c>
      <c r="T67" s="1033">
        <v>6.8677496999999998E-6</v>
      </c>
      <c r="U67" s="1033">
        <v>5.7338208999999996E-3</v>
      </c>
      <c r="V67" s="1033">
        <v>1.9199753999999999E-3</v>
      </c>
      <c r="W67" s="1033">
        <v>1.6696411E-3</v>
      </c>
      <c r="X67" s="1033">
        <v>1.9406791000000001E-3</v>
      </c>
      <c r="Y67" s="1033">
        <v>1.1492182E-2</v>
      </c>
      <c r="Z67" s="1033">
        <v>8.3809143999999999E-4</v>
      </c>
      <c r="AA67" s="1033">
        <v>2.7920641E-3</v>
      </c>
      <c r="AB67" s="1033">
        <v>10.460861</v>
      </c>
      <c r="AC67" s="1033">
        <v>0.49979752999999999</v>
      </c>
      <c r="AD67" s="1033">
        <v>0.11035710999999999</v>
      </c>
      <c r="AE67" s="1033">
        <v>7.6126345000000002E-4</v>
      </c>
      <c r="AF67" s="1033">
        <v>9.2746259000000002</v>
      </c>
      <c r="AG67" s="1033">
        <v>5.9743437000000004</v>
      </c>
      <c r="AH67" s="1033">
        <v>1.9933424000000001E-3</v>
      </c>
      <c r="AI67" s="1033">
        <v>9.6936630999999995E-2</v>
      </c>
      <c r="AJ67" s="1034">
        <v>5.2439849999999998E-4</v>
      </c>
      <c r="AK67" s="1074">
        <v>0.83985578999999999</v>
      </c>
      <c r="AL67" s="1075">
        <v>9.6203511000000005E-9</v>
      </c>
      <c r="AM67" s="1075">
        <v>1.1871E-2</v>
      </c>
      <c r="AN67" s="1075">
        <v>2.1328051999999998E-3</v>
      </c>
      <c r="AO67" s="1075">
        <v>2.3547417999999999E-3</v>
      </c>
      <c r="AP67" s="1075">
        <v>1.4476195000000001E-2</v>
      </c>
      <c r="AQ67" s="1075">
        <v>8.6030681000000004E-4</v>
      </c>
      <c r="AR67" s="1075">
        <v>1.0133366E-2</v>
      </c>
      <c r="AS67" s="1075">
        <v>8.4290591999999998E-2</v>
      </c>
      <c r="AT67" s="1075">
        <v>2.2551249999999998E-2</v>
      </c>
      <c r="AU67" s="1075">
        <v>6.4427570000000003E-3</v>
      </c>
      <c r="AV67" s="1075">
        <v>0.27827785999999999</v>
      </c>
      <c r="AW67" s="1075">
        <v>5.9743374999999999</v>
      </c>
      <c r="AX67" s="1075">
        <v>6.1809424E-6</v>
      </c>
      <c r="AY67" s="1075">
        <v>-4.5251019000000002E-8</v>
      </c>
      <c r="AZ67" s="1075">
        <v>2.3019138999999999E-3</v>
      </c>
      <c r="BA67" s="1075">
        <v>0.1020836</v>
      </c>
      <c r="BB67" s="1076">
        <v>5.4127988000000004E-4</v>
      </c>
      <c r="BC67" s="1035"/>
      <c r="BE67" s="99">
        <f t="array" ref="BE67">IFERROR(SUMIFS($CB67:$CW67,$CB$17:$CW$17,BE$17,$CB$18:$CW$18,BE$18)/SUMPRODUCT(($CB$18:$CW$18=BE$18)*ABS($CB67:$CW67)),"-")</f>
        <v>0.19792320873975414</v>
      </c>
      <c r="BF67" s="100">
        <f t="array" ref="BF67">IFERROR(SUMIFS($CB67:$CW67,$CB$17:$CW$17,BF$17,$CB$18:$CW$18,BF$18)/SUMPRODUCT(($CB$18:$CW$18=BF$18)*ABS($CB67:$CW67)),"-")</f>
        <v>9.2107278195060886E-4</v>
      </c>
      <c r="BG67" s="100">
        <f t="array" ref="BG67">IFERROR(SUMIFS($CB67:$CW67,$CB$17:$CW$17,BG$17,$CB$18:$CW$18,BG$18)/SUMPRODUCT(($CB$18:$CW$18=BG$18)*ABS($CB67:$CW67)),"-")</f>
        <v>1.2308456977578167E-5</v>
      </c>
      <c r="BH67" s="100">
        <f t="array" ref="BH67">IFERROR(SUMIFS($CB67:$CW67,$CB$17:$CW$17,BH$17,$CB$18:$CW$18,BH$18)/SUMPRODUCT(($CB$18:$CW$18=BH$18)*ABS($CB67:$CW67)),"-")</f>
        <v>4.4137165258148345E-4</v>
      </c>
      <c r="BI67" s="100">
        <f t="array" ref="BI67">IFERROR(SUMIFS($CB67:$CW67,$CB$17:$CW$17,BI$17,$CB$18:$CW$18,BI$18)/SUMPRODUCT(($CB$18:$CW$18=BI$18)*ABS($CB67:$CW67)),"-")</f>
        <v>0.26531610646807618</v>
      </c>
      <c r="BJ67" s="100">
        <f t="array" ref="BJ67">IFERROR(SUMIFS($CB67:$CW67,$CB$17:$CW$17,BJ$17,$CB$18:$CW$18,BJ$18)/SUMPRODUCT(($CB$18:$CW$18=BJ$18)*ABS($CB67:$CW67)),"-")</f>
        <v>6.3925827759211495E-4</v>
      </c>
      <c r="BK67" s="100">
        <f t="array" ref="BK67">IFERROR(SUMIFS($CB67:$CW67,$CB$17:$CW$17,BK$17,$CB$18:$CW$18,BK$18)/SUMPRODUCT(($CB$18:$CW$18=BK$18)*ABS($CB67:$CW67)),"-")</f>
        <v>0.53445258795783579</v>
      </c>
      <c r="BL67" s="100">
        <f t="array" ref="BL67">IFERROR(SUMIFS($CB67:$CW67,$CB$17:$CW$17,BL$17,$CB$18:$CW$18,BL$18)/SUMPRODUCT(($CB$18:$CW$18=BL$18)*ABS($CB67:$CW67)),"-")</f>
        <v>2.9408566523216615E-4</v>
      </c>
      <c r="BM67" s="101"/>
      <c r="BN67" s="100">
        <f t="array" ref="BN67">IFERROR(SUMIFS($CB67:$CW67,$CB$17:$CW$17,BN$17,$CB$18:$CW$18,BN$18)/SUMPRODUCT(($CB$18:$CW$18=BN$18)*ABS($CB67:$CW67)),"-")</f>
        <v>3.9943074641371396E-2</v>
      </c>
      <c r="BO67" s="100">
        <f t="array" ref="BO67">IFERROR(SUMIFS($CB67:$CW67,$CB$17:$CW$17,BO$17,$CB$18:$CW$18,BO$18)/SUMPRODUCT(($CB$18:$CW$18=BO$18)*ABS($CB67:$CW67)),"-")</f>
        <v>4.231954489878887E-3</v>
      </c>
      <c r="BP67" s="100">
        <f t="array" ref="BP67">IFERROR(SUMIFS($CB67:$CW67,$CB$17:$CW$17,BP$17,$CB$18:$CW$18,BP$18)/SUMPRODUCT(($CB$18:$CW$18=BP$18)*ABS($CB67:$CW67)),"-")</f>
        <v>4.1227266649153937E-2</v>
      </c>
      <c r="BQ67" s="100">
        <f t="array" ref="BQ67">IFERROR(SUMIFS($CB67:$CW67,$CB$17:$CW$17,BQ$17,$CB$18:$CW$18,BQ$18)/SUMPRODUCT(($CB$18:$CW$18=BQ$18)*ABS($CB67:$CW67)),"-")</f>
        <v>9.5061620813716059E-3</v>
      </c>
      <c r="BR67" s="100">
        <f t="array" ref="BR67">IFERROR(SUMIFS($CB67:$CW67,$CB$17:$CW$17,BR$17,$CB$18:$CW$18,BR$18)/SUMPRODUCT(($CB$18:$CW$18=BR$18)*ABS($CB67:$CW67)),"-")</f>
        <v>8.0187339989747655E-5</v>
      </c>
      <c r="BS67" s="100">
        <f t="array" ref="BS67">IFERROR(SUMIFS($CB67:$CW67,$CB$17:$CW$17,BS$17,$CB$18:$CW$18,BS$18)/SUMPRODUCT(($CB$18:$CW$18=BS$18)*ABS($CB67:$CW67)),"-")</f>
        <v>2.0156484500871872E-3</v>
      </c>
      <c r="BT67" s="100">
        <f t="array" ref="BT67">IFERROR(SUMIFS($CB67:$CW67,$CB$17:$CW$17,BT$17,$CB$18:$CW$18,BT$18)/SUMPRODUCT(($CB$18:$CW$18=BT$18)*ABS($CB67:$CW67)),"-")</f>
        <v>5.8689387153711301E-3</v>
      </c>
      <c r="BU67" s="100">
        <f t="array" ref="BU67">IFERROR(SUMIFS($CB67:$CW67,$CB$17:$CW$17,BU$17,$CB$18:$CW$18,BU$18)/SUMPRODUCT(($CB$18:$CW$18=BU$18)*ABS($CB67:$CW67)),"-")</f>
        <v>1.9575330595462487E-4</v>
      </c>
      <c r="BV67" s="100">
        <f t="array" ref="BV67">IFERROR(SUMIFS($CB67:$CW67,$CB$17:$CW$17,BV$17,$CB$18:$CW$18,BV$18)/SUMPRODUCT(($CB$18:$CW$18=BV$18)*ABS($CB67:$CW67)),"-")</f>
        <v>0.89681133681172764</v>
      </c>
      <c r="BW67" s="100">
        <f t="array" ref="BW67">IFERROR(SUMIFS($CB67:$CW67,$CB$17:$CW$17,BW$17,$CB$18:$CW$18,BW$18)/SUMPRODUCT(($CB$18:$CW$18=BW$18)*ABS($CB67:$CW67)),"-")</f>
        <v>1.1967751509382722E-4</v>
      </c>
      <c r="BX67" s="101"/>
      <c r="BY67" s="100">
        <f t="array" ref="BY67">IFERROR(SUMIFS($CB67:$CW67,$CB$17:$CW$17,BY$17,$CB$18:$CW$18,BY$18)/SUMPRODUCT(($CB$18:$CW$18=BY$18)*ABS($CB67:$CW67)),"-")</f>
        <v>1.1338263009008214E-2</v>
      </c>
      <c r="BZ67" s="102">
        <f t="array" ref="BZ67">IFERROR(SUMIFS($CB67:$CW67,$CB$17:$CW$17,BZ$17,$CB$18:$CW$18,BZ$18)/SUMPRODUCT(($CB$18:$CW$18=BZ$18)*ABS($CB67:$CW67)),"-")</f>
        <v>0.9886617369909918</v>
      </c>
      <c r="CB67" s="103">
        <v>7.8349692000000005E-7</v>
      </c>
      <c r="CC67" s="97">
        <v>2.3628258000000001E-9</v>
      </c>
      <c r="CD67" s="97">
        <v>6.4564004999999997E-14</v>
      </c>
      <c r="CE67" s="97">
        <v>3.6461498999999998E-9</v>
      </c>
      <c r="CF67" s="97">
        <v>4.872414E-11</v>
      </c>
      <c r="CG67" s="97">
        <v>1.7472096000000001E-9</v>
      </c>
      <c r="CH67" s="97">
        <v>1.0502778000000001E-6</v>
      </c>
      <c r="CI67" s="97">
        <v>2.5034739000000003E-10</v>
      </c>
      <c r="CJ67" s="97">
        <v>2.4388586E-9</v>
      </c>
      <c r="CK67" s="97">
        <v>5.6235077000000005E-10</v>
      </c>
      <c r="CL67" s="97">
        <v>4.7435980999999998E-12</v>
      </c>
      <c r="CM67" s="97">
        <v>1.1923860000000001E-10</v>
      </c>
      <c r="CN67" s="97">
        <v>3.4718555999999999E-10</v>
      </c>
      <c r="CO67" s="97">
        <v>1.158007E-11</v>
      </c>
      <c r="CP67" s="97">
        <v>2.5305617000000001E-9</v>
      </c>
      <c r="CQ67" s="97">
        <v>2.1156789E-6</v>
      </c>
      <c r="CR67" s="97">
        <v>5.3052171999999999E-8</v>
      </c>
      <c r="CS67" s="97">
        <v>4.6078241000000001E-4</v>
      </c>
      <c r="CT67" s="97">
        <v>4.0178812000000001E-2</v>
      </c>
      <c r="CU67" s="97">
        <v>1.1641647000000001E-9</v>
      </c>
      <c r="CV67" s="97">
        <v>7.0793798000000004E-12</v>
      </c>
      <c r="CW67" s="98">
        <v>3.1673669E-16</v>
      </c>
    </row>
    <row r="68" spans="2:101" ht="12" customHeight="1" outlineLevel="1" x14ac:dyDescent="0.2">
      <c r="B68" s="104" t="s">
        <v>104</v>
      </c>
      <c r="C68" s="104" t="s">
        <v>121</v>
      </c>
      <c r="D68" s="2" t="s">
        <v>137</v>
      </c>
      <c r="E68" s="2" t="s">
        <v>140</v>
      </c>
      <c r="F68" s="105" t="s">
        <v>122</v>
      </c>
      <c r="G68" s="27" t="s">
        <v>1579</v>
      </c>
      <c r="H68" s="106" t="s">
        <v>128</v>
      </c>
      <c r="I68" s="107" t="s">
        <v>129</v>
      </c>
      <c r="J68" s="108">
        <v>4.4622420200000006</v>
      </c>
      <c r="K68" s="109"/>
      <c r="L68" s="109"/>
      <c r="M68" s="110"/>
      <c r="N68" s="161"/>
      <c r="O68" s="1056"/>
      <c r="P68" s="117">
        <v>1.4978713804980001E-6</v>
      </c>
      <c r="Q68" s="111">
        <v>6.395250275233384E-8</v>
      </c>
      <c r="R68" s="112">
        <v>3.2669488436000003E-2</v>
      </c>
      <c r="S68" s="1032">
        <v>0.77709823</v>
      </c>
      <c r="T68" s="1032">
        <v>4.5241866000000003E-6</v>
      </c>
      <c r="U68" s="1032">
        <v>2.4177394E-3</v>
      </c>
      <c r="V68" s="1032">
        <v>1.9521344E-3</v>
      </c>
      <c r="W68" s="1032">
        <v>6.8088708000000003E-4</v>
      </c>
      <c r="X68" s="1032">
        <v>1.9738042000000001E-3</v>
      </c>
      <c r="Y68" s="1032">
        <v>3.5628346000000002E-3</v>
      </c>
      <c r="Z68" s="1032">
        <v>6.9929824000000002E-5</v>
      </c>
      <c r="AA68" s="1032">
        <v>1.8700019999999999E-3</v>
      </c>
      <c r="AB68" s="1032">
        <v>5.3517921000000003E-2</v>
      </c>
      <c r="AC68" s="1032">
        <v>3.0178765999999998E-3</v>
      </c>
      <c r="AD68" s="1032">
        <v>4.2936286999999997E-3</v>
      </c>
      <c r="AE68" s="1032">
        <v>2.8138571000000003E-4</v>
      </c>
      <c r="AF68" s="1032">
        <v>1.4999771</v>
      </c>
      <c r="AG68" s="1032">
        <v>6.8363889999999996</v>
      </c>
      <c r="AH68" s="1032">
        <v>2.3081433000000001E-4</v>
      </c>
      <c r="AI68" s="1032">
        <v>7.6010353000000003E-2</v>
      </c>
      <c r="AJ68" s="1036">
        <v>4.2965041E-4</v>
      </c>
      <c r="AK68" s="1077">
        <v>0.77437776999999997</v>
      </c>
      <c r="AL68" s="1078">
        <v>4.0552857999999999E-9</v>
      </c>
      <c r="AM68" s="1078">
        <v>4.9559086000000004E-3</v>
      </c>
      <c r="AN68" s="1078">
        <v>2.1551932000000002E-3</v>
      </c>
      <c r="AO68" s="1078">
        <v>1.0429237999999999E-3</v>
      </c>
      <c r="AP68" s="1078">
        <v>4.6118291999999996E-3</v>
      </c>
      <c r="AQ68" s="1078">
        <v>8.5687620999999993E-5</v>
      </c>
      <c r="AR68" s="1078">
        <v>6.6095401999999998E-3</v>
      </c>
      <c r="AS68" s="1078">
        <v>1.087939E-4</v>
      </c>
      <c r="AT68" s="1078">
        <v>3.7799870000000002E-4</v>
      </c>
      <c r="AU68" s="1078">
        <v>3.7645989999999998E-4</v>
      </c>
      <c r="AV68" s="1078">
        <v>3.9182453999999999E-2</v>
      </c>
      <c r="AW68" s="1078">
        <v>6.8363873000000002</v>
      </c>
      <c r="AX68" s="1078">
        <v>1.6364703E-6</v>
      </c>
      <c r="AY68" s="1078">
        <v>-1.1246951000000001E-8</v>
      </c>
      <c r="AZ68" s="1078">
        <v>2.5822343999999998E-3</v>
      </c>
      <c r="BA68" s="1078">
        <v>7.9899938000000004E-2</v>
      </c>
      <c r="BB68" s="1079">
        <v>4.3380589000000002E-4</v>
      </c>
      <c r="BC68" s="1035"/>
      <c r="BE68" s="113">
        <f t="array" ref="BE68">IFERROR(SUMIFS($CB68:$CW68,$CB$17:$CW$17,BE$17,$CB$18:$CW$18,BE$18)/SUMPRODUCT(($CB$18:$CW$18=BE$18)*ABS($CB68:$CW68)),"-")</f>
        <v>0.48158281104227502</v>
      </c>
      <c r="BF68" s="114">
        <f t="array" ref="BF68">IFERROR(SUMIFS($CB68:$CW68,$CB$17:$CW$17,BF$17,$CB$18:$CW$18,BF$18)/SUMPRODUCT(($CB$18:$CW$18=BF$18)*ABS($CB68:$CW68)),"-")</f>
        <v>1.6035631839106407E-3</v>
      </c>
      <c r="BG68" s="114">
        <f t="array" ref="BG68">IFERROR(SUMIFS($CB68:$CW68,$CB$17:$CW$17,BG$17,$CB$18:$CW$18,BG$18)/SUMPRODUCT(($CB$18:$CW$18=BG$18)*ABS($CB68:$CW68)),"-")</f>
        <v>1.3716256460664402E-5</v>
      </c>
      <c r="BH68" s="114">
        <f t="array" ref="BH68">IFERROR(SUMIFS($CB68:$CW68,$CB$17:$CW$17,BH$17,$CB$18:$CW$18,BH$18)/SUMPRODUCT(($CB$18:$CW$18=BH$18)*ABS($CB68:$CW68)),"-")</f>
        <v>1.1860018310847031E-3</v>
      </c>
      <c r="BI68" s="114">
        <f t="array" ref="BI68">IFERROR(SUMIFS($CB68:$CW68,$CB$17:$CW$17,BI$17,$CB$18:$CW$18,BI$18)/SUMPRODUCT(($CB$18:$CW$18=BI$18)*ABS($CB68:$CW68)),"-")</f>
        <v>0.28591599757892017</v>
      </c>
      <c r="BJ68" s="114">
        <f t="array" ref="BJ68">IFERROR(SUMIFS($CB68:$CW68,$CB$17:$CW$17,BJ$17,$CB$18:$CW$18,BJ$18)/SUMPRODUCT(($CB$18:$CW$18=BJ$18)*ABS($CB68:$CW68)),"-")</f>
        <v>6.2442063596210675E-4</v>
      </c>
      <c r="BK68" s="114">
        <f t="array" ref="BK68">IFERROR(SUMIFS($CB68:$CW68,$CB$17:$CW$17,BK$17,$CB$18:$CW$18,BK$18)/SUMPRODUCT(($CB$18:$CW$18=BK$18)*ABS($CB68:$CW68)),"-")</f>
        <v>0.22843670321428966</v>
      </c>
      <c r="BL68" s="114">
        <f t="array" ref="BL68">IFERROR(SUMIFS($CB68:$CW68,$CB$17:$CW$17,BL$17,$CB$18:$CW$18,BL$18)/SUMPRODUCT(($CB$18:$CW$18=BL$18)*ABS($CB68:$CW68)),"-")</f>
        <v>6.3678625709697476E-4</v>
      </c>
      <c r="BM68" s="115"/>
      <c r="BN68" s="114">
        <f t="array" ref="BN68">IFERROR(SUMIFS($CB68:$CW68,$CB$17:$CW$17,BN$17,$CB$18:$CW$18,BN$18)/SUMPRODUCT(($CB$18:$CW$18=BN$18)*ABS($CB68:$CW68)),"-")</f>
        <v>3.4021657563129519E-2</v>
      </c>
      <c r="BO68" s="114">
        <f t="array" ref="BO68">IFERROR(SUMIFS($CB68:$CW68,$CB$17:$CW$17,BO$17,$CB$18:$CW$18,BO$18)/SUMPRODUCT(($CB$18:$CW$18=BO$18)*ABS($CB68:$CW68)),"-")</f>
        <v>3.98139320654981E-3</v>
      </c>
      <c r="BP68" s="114">
        <f t="array" ref="BP68">IFERROR(SUMIFS($CB68:$CW68,$CB$17:$CW$17,BP$17,$CB$18:$CW$18,BP$18)/SUMPRODUCT(($CB$18:$CW$18=BP$18)*ABS($CB68:$CW68)),"-")</f>
        <v>1.1820252335197522E-2</v>
      </c>
      <c r="BQ68" s="114">
        <f t="array" ref="BQ68">IFERROR(SUMIFS($CB68:$CW68,$CB$17:$CW$17,BQ$17,$CB$18:$CW$18,BQ$18)/SUMPRODUCT(($CB$18:$CW$18=BQ$18)*ABS($CB68:$CW68)),"-")</f>
        <v>7.3362021783092532E-4</v>
      </c>
      <c r="BR68" s="114">
        <f t="array" ref="BR68">IFERROR(SUMIFS($CB68:$CW68,$CB$17:$CW$17,BR$17,$CB$18:$CW$18,BR$18)/SUMPRODUCT(($CB$18:$CW$18=BR$18)*ABS($CB68:$CW68)),"-")</f>
        <v>4.9678330999861595E-5</v>
      </c>
      <c r="BS68" s="114">
        <f t="array" ref="BS68">IFERROR(SUMIFS($CB68:$CW68,$CB$17:$CW$17,BS$17,$CB$18:$CW$18,BS$18)/SUMPRODUCT(($CB$18:$CW$18=BS$18)*ABS($CB68:$CW68)),"-")</f>
        <v>9.5370832062978481E-6</v>
      </c>
      <c r="BT68" s="114">
        <f t="array" ref="BT68">IFERROR(SUMIFS($CB68:$CW68,$CB$17:$CW$17,BT$17,$CB$18:$CW$18,BT$18)/SUMPRODUCT(($CB$18:$CW$18=BT$18)*ABS($CB68:$CW68)),"-")</f>
        <v>3.2656872055312707E-5</v>
      </c>
      <c r="BU68" s="114">
        <f t="array" ref="BU68">IFERROR(SUMIFS($CB68:$CW68,$CB$17:$CW$17,BU$17,$CB$18:$CW$18,BU$18)/SUMPRODUCT(($CB$18:$CW$18=BU$18)*ABS($CB68:$CW68)),"-")</f>
        <v>7.051666793189615E-6</v>
      </c>
      <c r="BV68" s="114">
        <f t="array" ref="BV68">IFERROR(SUMIFS($CB68:$CW68,$CB$17:$CW$17,BV$17,$CB$18:$CW$18,BV$18)/SUMPRODUCT(($CB$18:$CW$18=BV$18)*ABS($CB68:$CW68)),"-")</f>
        <v>0.94925345197353661</v>
      </c>
      <c r="BW68" s="114">
        <f t="array" ref="BW68">IFERROR(SUMIFS($CB68:$CW68,$CB$17:$CW$17,BW$17,$CB$18:$CW$18,BW$18)/SUMPRODUCT(($CB$18:$CW$18=BW$18)*ABS($CB68:$CW68)),"-")</f>
        <v>9.070075070108682E-5</v>
      </c>
      <c r="BX68" s="115"/>
      <c r="BY68" s="114">
        <f t="array" ref="BY68">IFERROR(SUMIFS($CB68:$CW68,$CB$17:$CW$17,BY$17,$CB$18:$CW$18,BY$18)/SUMPRODUCT(($CB$18:$CW$18=BY$18)*ABS($CB68:$CW68)),"-")</f>
        <v>1.6337395703198514E-3</v>
      </c>
      <c r="BZ68" s="116">
        <f t="array" ref="BZ68">IFERROR(SUMIFS($CB68:$CW68,$CB$17:$CW$17,BZ$17,$CB$18:$CW$18,BZ$18)/SUMPRODUCT(($CB$18:$CW$18=BZ$18)*ABS($CB68:$CW68)),"-")</f>
        <v>0.99836626042968013</v>
      </c>
      <c r="CB68" s="117">
        <v>7.2134911000000004E-7</v>
      </c>
      <c r="CC68" s="111">
        <v>2.1757106999999999E-9</v>
      </c>
      <c r="CD68" s="111">
        <v>5.9448944999999996E-14</v>
      </c>
      <c r="CE68" s="111">
        <v>2.4019313999999998E-9</v>
      </c>
      <c r="CF68" s="111">
        <v>2.0545188E-11</v>
      </c>
      <c r="CG68" s="111">
        <v>1.7764782000000001E-9</v>
      </c>
      <c r="CH68" s="111">
        <v>4.2826539000000002E-7</v>
      </c>
      <c r="CI68" s="111">
        <v>2.5462006E-10</v>
      </c>
      <c r="CJ68" s="111">
        <v>7.5593472000000003E-10</v>
      </c>
      <c r="CK68" s="111">
        <v>4.6916849000000001E-11</v>
      </c>
      <c r="CL68" s="111">
        <v>3.1770536000000001E-12</v>
      </c>
      <c r="CM68" s="111">
        <v>6.0992034E-13</v>
      </c>
      <c r="CN68" s="111">
        <v>2.0884887000000002E-12</v>
      </c>
      <c r="CO68" s="111">
        <v>4.5097174000000001E-13</v>
      </c>
      <c r="CP68" s="111">
        <v>9.3530180000000002E-10</v>
      </c>
      <c r="CQ68" s="111">
        <v>3.4216879999999999E-7</v>
      </c>
      <c r="CR68" s="111">
        <v>6.0707133999999999E-8</v>
      </c>
      <c r="CS68" s="111">
        <v>5.3373435999999998E-5</v>
      </c>
      <c r="CT68" s="111">
        <v>3.2616115000000001E-2</v>
      </c>
      <c r="CU68" s="111">
        <v>9.5382390999999996E-10</v>
      </c>
      <c r="CV68" s="111">
        <v>5.8002804999999999E-12</v>
      </c>
      <c r="CW68" s="112">
        <v>2.5950885000000001E-16</v>
      </c>
    </row>
    <row r="69" spans="2:101" ht="12" customHeight="1" outlineLevel="1" x14ac:dyDescent="0.2">
      <c r="B69" s="104" t="s">
        <v>104</v>
      </c>
      <c r="C69" s="104" t="s">
        <v>121</v>
      </c>
      <c r="D69" s="2" t="s">
        <v>137</v>
      </c>
      <c r="E69" s="2" t="s">
        <v>140</v>
      </c>
      <c r="F69" s="105" t="s">
        <v>93</v>
      </c>
      <c r="G69" s="27" t="s">
        <v>1578</v>
      </c>
      <c r="H69" s="106" t="s">
        <v>130</v>
      </c>
      <c r="I69" s="107" t="s">
        <v>129</v>
      </c>
      <c r="J69" s="108">
        <v>4.4622420200000006</v>
      </c>
      <c r="K69" s="109"/>
      <c r="L69" s="109"/>
      <c r="M69" s="110"/>
      <c r="N69" s="161"/>
      <c r="O69" s="1056"/>
      <c r="P69" s="117">
        <v>2.0529634592619998E-6</v>
      </c>
      <c r="Q69" s="111">
        <v>8.5779802836017695E-8</v>
      </c>
      <c r="R69" s="112">
        <v>4.3771840637999999E-2</v>
      </c>
      <c r="S69" s="1032">
        <v>1.0419756</v>
      </c>
      <c r="T69" s="1032">
        <v>6.0683865999999999E-6</v>
      </c>
      <c r="U69" s="1032">
        <v>3.2404780000000002E-3</v>
      </c>
      <c r="V69" s="1032">
        <v>2.6155992000000002E-3</v>
      </c>
      <c r="W69" s="1032">
        <v>9.1277901000000002E-4</v>
      </c>
      <c r="X69" s="1032">
        <v>2.6446322000000001E-3</v>
      </c>
      <c r="Y69" s="1032">
        <v>4.7776618000000002E-3</v>
      </c>
      <c r="Z69" s="1032">
        <v>9.3798787999999994E-5</v>
      </c>
      <c r="AA69" s="1032">
        <v>2.5082910000000002E-3</v>
      </c>
      <c r="AB69" s="1032">
        <v>7.1736739999999993E-2</v>
      </c>
      <c r="AC69" s="1032">
        <v>4.0699665000000001E-3</v>
      </c>
      <c r="AD69" s="1032">
        <v>5.7765350000000002E-3</v>
      </c>
      <c r="AE69" s="1032">
        <v>3.8323532999999998E-4</v>
      </c>
      <c r="AF69" s="1032">
        <v>2.2069274999999999</v>
      </c>
      <c r="AG69" s="1032">
        <v>9.1698599000000005</v>
      </c>
      <c r="AH69" s="1032">
        <v>3.0943031999999999E-4</v>
      </c>
      <c r="AI69" s="1032">
        <v>0.10184309</v>
      </c>
      <c r="AJ69" s="1036">
        <v>5.7613193999999995E-4</v>
      </c>
      <c r="AK69" s="1077">
        <v>1.0383304</v>
      </c>
      <c r="AL69" s="1078">
        <v>5.4352677999999997E-9</v>
      </c>
      <c r="AM69" s="1078">
        <v>6.6423408000000003E-3</v>
      </c>
      <c r="AN69" s="1078">
        <v>2.8876675000000002E-3</v>
      </c>
      <c r="AO69" s="1078">
        <v>1.3980901000000001E-3</v>
      </c>
      <c r="AP69" s="1078">
        <v>6.1841493000000004E-3</v>
      </c>
      <c r="AQ69" s="1078">
        <v>1.1493435000000001E-4</v>
      </c>
      <c r="AR69" s="1078">
        <v>8.8654693999999992E-3</v>
      </c>
      <c r="AS69" s="1078">
        <v>1.6557187000000001E-4</v>
      </c>
      <c r="AT69" s="1078">
        <v>5.0874388000000004E-4</v>
      </c>
      <c r="AU69" s="1078">
        <v>5.0576204000000004E-4</v>
      </c>
      <c r="AV69" s="1078">
        <v>5.5050899E-2</v>
      </c>
      <c r="AW69" s="1078">
        <v>9.1698576999999997</v>
      </c>
      <c r="AX69" s="1078">
        <v>2.1924425999999999E-6</v>
      </c>
      <c r="AY69" s="1078">
        <v>-1.5067975999999999E-8</v>
      </c>
      <c r="AZ69" s="1078">
        <v>3.4612935E-3</v>
      </c>
      <c r="BA69" s="1078">
        <v>0.10705573</v>
      </c>
      <c r="BB69" s="1079">
        <v>5.8169921E-4</v>
      </c>
      <c r="BC69" s="1035"/>
      <c r="BE69" s="113">
        <f t="array" ref="BE69">IFERROR(SUMIFS($CB69:$CW69,$CB$17:$CW$17,BE$17,$CB$18:$CW$18,BE$18)/SUMPRODUCT(($CB$18:$CW$18=BE$18)*ABS($CB69:$CW69)),"-")</f>
        <v>0.4711356384042501</v>
      </c>
      <c r="BF69" s="114">
        <f t="array" ref="BF69">IFERROR(SUMIFS($CB69:$CW69,$CB$17:$CW$17,BF$17,$CB$18:$CW$18,BF$18)/SUMPRODUCT(($CB$18:$CW$18=BF$18)*ABS($CB69:$CW69)),"-")</f>
        <v>1.5693221842137221E-3</v>
      </c>
      <c r="BG69" s="114">
        <f t="array" ref="BG69">IFERROR(SUMIFS($CB69:$CW69,$CB$17:$CW$17,BG$17,$CB$18:$CW$18,BG$18)/SUMPRODUCT(($CB$18:$CW$18=BG$18)*ABS($CB69:$CW69)),"-")</f>
        <v>1.3413079456318649E-5</v>
      </c>
      <c r="BH69" s="114">
        <f t="array" ref="BH69">IFERROR(SUMIFS($CB69:$CW69,$CB$17:$CW$17,BH$17,$CB$18:$CW$18,BH$18)/SUMPRODUCT(($CB$18:$CW$18=BH$18)*ABS($CB69:$CW69)),"-")</f>
        <v>1.1594182493903963E-3</v>
      </c>
      <c r="BI69" s="114">
        <f t="array" ref="BI69">IFERROR(SUMIFS($CB69:$CW69,$CB$17:$CW$17,BI$17,$CB$18:$CW$18,BI$18)/SUMPRODUCT(($CB$18:$CW$18=BI$18)*ABS($CB69:$CW69)),"-")</f>
        <v>0.27965485572080534</v>
      </c>
      <c r="BJ69" s="114">
        <f t="array" ref="BJ69">IFERROR(SUMIFS($CB69:$CW69,$CB$17:$CW$17,BJ$17,$CB$18:$CW$18,BJ$18)/SUMPRODUCT(($CB$18:$CW$18=BJ$18)*ABS($CB69:$CW69)),"-")</f>
        <v>6.2049589545930164E-4</v>
      </c>
      <c r="BK69" s="114">
        <f t="array" ref="BK69">IFERROR(SUMIFS($CB69:$CW69,$CB$17:$CW$17,BK$17,$CB$18:$CW$18,BK$18)/SUMPRODUCT(($CB$18:$CW$18=BK$18)*ABS($CB69:$CW69)),"-")</f>
        <v>0.24522384834894978</v>
      </c>
      <c r="BL69" s="114">
        <f t="array" ref="BL69">IFERROR(SUMIFS($CB69:$CW69,$CB$17:$CW$17,BL$17,$CB$18:$CW$18,BL$18)/SUMPRODUCT(($CB$18:$CW$18=BL$18)*ABS($CB69:$CW69)),"-")</f>
        <v>6.2300811747510601E-4</v>
      </c>
      <c r="BM69" s="115"/>
      <c r="BN69" s="114">
        <f t="array" ref="BN69">IFERROR(SUMIFS($CB69:$CW69,$CB$17:$CW$17,BN$17,$CB$18:$CW$18,BN$18)/SUMPRODUCT(($CB$18:$CW$18=BN$18)*ABS($CB69:$CW69)),"-")</f>
        <v>3.4010233364153056E-2</v>
      </c>
      <c r="BO69" s="114">
        <f t="array" ref="BO69">IFERROR(SUMIFS($CB69:$CW69,$CB$17:$CW$17,BO$17,$CB$18:$CW$18,BO$18)/SUMPRODUCT(($CB$18:$CW$18=BO$18)*ABS($CB69:$CW69)),"-")</f>
        <v>3.9771208223942584E-3</v>
      </c>
      <c r="BP69" s="114">
        <f t="array" ref="BP69">IFERROR(SUMIFS($CB69:$CW69,$CB$17:$CW$17,BP$17,$CB$18:$CW$18,BP$18)/SUMPRODUCT(($CB$18:$CW$18=BP$18)*ABS($CB69:$CW69)),"-")</f>
        <v>1.1817323734560592E-2</v>
      </c>
      <c r="BQ69" s="114">
        <f t="array" ref="BQ69">IFERROR(SUMIFS($CB69:$CW69,$CB$17:$CW$17,BQ$17,$CB$18:$CW$18,BQ$18)/SUMPRODUCT(($CB$18:$CW$18=BQ$18)*ABS($CB69:$CW69)),"-")</f>
        <v>7.3363253259398076E-4</v>
      </c>
      <c r="BR69" s="114">
        <f t="array" ref="BR69">IFERROR(SUMIFS($CB69:$CW69,$CB$17:$CW$17,BR$17,$CB$18:$CW$18,BR$18)/SUMPRODUCT(($CB$18:$CW$18=BR$18)*ABS($CB69:$CW69)),"-")</f>
        <v>4.9679286488295201E-5</v>
      </c>
      <c r="BS69" s="114">
        <f t="array" ref="BS69">IFERROR(SUMIFS($CB69:$CW69,$CB$17:$CW$17,BS$17,$CB$18:$CW$18,BS$18)/SUMPRODUCT(($CB$18:$CW$18=BS$18)*ABS($CB69:$CW69)),"-")</f>
        <v>9.5308260566055023E-6</v>
      </c>
      <c r="BT69" s="114">
        <f t="array" ref="BT69">IFERROR(SUMIFS($CB69:$CW69,$CB$17:$CW$17,BT$17,$CB$18:$CW$18,BT$18)/SUMPRODUCT(($CB$18:$CW$18=BT$18)*ABS($CB69:$CW69)),"-")</f>
        <v>3.2835734134111724E-5</v>
      </c>
      <c r="BU69" s="114">
        <f t="array" ref="BU69">IFERROR(SUMIFS($CB69:$CW69,$CB$17:$CW$17,BU$17,$CB$18:$CW$18,BU$18)/SUMPRODUCT(($CB$18:$CW$18=BU$18)*ABS($CB69:$CW69)),"-")</f>
        <v>7.0730620721973093E-6</v>
      </c>
      <c r="BV69" s="114">
        <f t="array" ref="BV69">IFERROR(SUMIFS($CB69:$CW69,$CB$17:$CW$17,BV$17,$CB$18:$CW$18,BV$18)/SUMPRODUCT(($CB$18:$CW$18=BV$18)*ABS($CB69:$CW69)),"-")</f>
        <v>0.94927189510640164</v>
      </c>
      <c r="BW69" s="114">
        <f t="array" ref="BW69">IFERROR(SUMIFS($CB69:$CW69,$CB$17:$CW$17,BW$17,$CB$18:$CW$18,BW$18)/SUMPRODUCT(($CB$18:$CW$18=BW$18)*ABS($CB69:$CW69)),"-")</f>
        <v>9.0675531145241526E-5</v>
      </c>
      <c r="BX69" s="115"/>
      <c r="BY69" s="114">
        <f t="array" ref="BY69">IFERROR(SUMIFS($CB69:$CW69,$CB$17:$CW$17,BY$17,$CB$18:$CW$18,BY$18)/SUMPRODUCT(($CB$18:$CW$18=BY$18)*ABS($CB69:$CW69)),"-")</f>
        <v>1.6346728160634494E-3</v>
      </c>
      <c r="BZ69" s="116">
        <f t="array" ref="BZ69">IFERROR(SUMIFS($CB69:$CW69,$CB$17:$CW$17,BZ$17,$CB$18:$CW$18,BZ$18)/SUMPRODUCT(($CB$18:$CW$18=BZ$18)*ABS($CB69:$CW69)),"-")</f>
        <v>0.99836532718393645</v>
      </c>
      <c r="CB69" s="117">
        <v>9.6722424999999991E-7</v>
      </c>
      <c r="CC69" s="111">
        <v>2.9173114000000002E-9</v>
      </c>
      <c r="CD69" s="111">
        <v>7.9712383999999996E-14</v>
      </c>
      <c r="CE69" s="111">
        <v>3.2217611000000002E-9</v>
      </c>
      <c r="CF69" s="111">
        <v>2.7536561999999999E-11</v>
      </c>
      <c r="CG69" s="111">
        <v>2.3802432999999999E-9</v>
      </c>
      <c r="CH69" s="111">
        <v>5.7412119999999997E-7</v>
      </c>
      <c r="CI69" s="111">
        <v>3.4115664000000001E-10</v>
      </c>
      <c r="CJ69" s="111">
        <v>1.0136876999999999E-9</v>
      </c>
      <c r="CK69" s="111">
        <v>6.2930853999999998E-11</v>
      </c>
      <c r="CL69" s="111">
        <v>4.2614794000000002E-12</v>
      </c>
      <c r="CM69" s="111">
        <v>8.1755237999999999E-13</v>
      </c>
      <c r="CN69" s="111">
        <v>2.8166428E-12</v>
      </c>
      <c r="CO69" s="111">
        <v>6.0672586999999998E-13</v>
      </c>
      <c r="CP69" s="111">
        <v>1.2738554E-9</v>
      </c>
      <c r="CQ69" s="111">
        <v>5.0343559999999999E-7</v>
      </c>
      <c r="CR69" s="111">
        <v>8.1428356000000001E-8</v>
      </c>
      <c r="CS69" s="111">
        <v>7.1552637999999994E-5</v>
      </c>
      <c r="CT69" s="111">
        <v>4.3700287999999997E-2</v>
      </c>
      <c r="CU69" s="111">
        <v>1.2790129E-9</v>
      </c>
      <c r="CV69" s="111">
        <v>7.7777811999999999E-12</v>
      </c>
      <c r="CW69" s="112">
        <v>3.4798369000000001E-16</v>
      </c>
    </row>
    <row r="70" spans="2:101" ht="12" customHeight="1" outlineLevel="1" x14ac:dyDescent="0.2">
      <c r="B70" s="104" t="s">
        <v>104</v>
      </c>
      <c r="C70" s="104" t="s">
        <v>121</v>
      </c>
      <c r="D70" s="2" t="s">
        <v>137</v>
      </c>
      <c r="E70" s="2" t="s">
        <v>140</v>
      </c>
      <c r="F70" s="105" t="s">
        <v>94</v>
      </c>
      <c r="G70" s="27" t="s">
        <v>1580</v>
      </c>
      <c r="H70" s="106" t="s">
        <v>131</v>
      </c>
      <c r="I70" s="107" t="s">
        <v>129</v>
      </c>
      <c r="J70" s="108">
        <v>4.4622420200000006</v>
      </c>
      <c r="K70" s="109"/>
      <c r="L70" s="109"/>
      <c r="M70" s="110"/>
      <c r="N70" s="161"/>
      <c r="O70" s="1056"/>
      <c r="P70" s="117">
        <v>1.1676375035750001E-6</v>
      </c>
      <c r="Q70" s="111">
        <v>5.0971827089075026E-8</v>
      </c>
      <c r="R70" s="112">
        <v>2.6056081809999999E-2</v>
      </c>
      <c r="S70" s="1032">
        <v>0.61949664000000004</v>
      </c>
      <c r="T70" s="1032">
        <v>3.6058691000000002E-6</v>
      </c>
      <c r="U70" s="1032">
        <v>1.9279032E-3</v>
      </c>
      <c r="V70" s="1032">
        <v>1.5569366000000001E-3</v>
      </c>
      <c r="W70" s="1032">
        <v>5.4286836999999999E-4</v>
      </c>
      <c r="X70" s="1032">
        <v>1.5742200000000001E-3</v>
      </c>
      <c r="Y70" s="1032">
        <v>2.8401096000000002E-3</v>
      </c>
      <c r="Z70" s="1032">
        <v>5.5735332999999998E-5</v>
      </c>
      <c r="AA70" s="1032">
        <v>1.4904231999999999E-3</v>
      </c>
      <c r="AB70" s="1032">
        <v>4.2672540000000002E-2</v>
      </c>
      <c r="AC70" s="1032">
        <v>2.3922252000000001E-3</v>
      </c>
      <c r="AD70" s="1032">
        <v>3.4117137000000001E-3</v>
      </c>
      <c r="AE70" s="1032">
        <v>2.2078376999999999E-4</v>
      </c>
      <c r="AF70" s="1032">
        <v>1.0796600000000001</v>
      </c>
      <c r="AG70" s="1032">
        <v>5.4487167000000003</v>
      </c>
      <c r="AH70" s="1032">
        <v>1.8402478E-4</v>
      </c>
      <c r="AI70" s="1032">
        <v>6.0622743E-2</v>
      </c>
      <c r="AJ70" s="1036">
        <v>3.4250170000000001E-4</v>
      </c>
      <c r="AK70" s="1077">
        <v>0.61732701000000001</v>
      </c>
      <c r="AL70" s="1078">
        <v>3.2336817000000001E-9</v>
      </c>
      <c r="AM70" s="1078">
        <v>3.9518467999999996E-3</v>
      </c>
      <c r="AN70" s="1078">
        <v>1.7188886E-3</v>
      </c>
      <c r="AO70" s="1078">
        <v>8.3152811999999995E-4</v>
      </c>
      <c r="AP70" s="1078">
        <v>3.6763827E-3</v>
      </c>
      <c r="AQ70" s="1078">
        <v>6.8294880000000001E-5</v>
      </c>
      <c r="AR70" s="1078">
        <v>5.2679553999999996E-3</v>
      </c>
      <c r="AS70" s="1078">
        <v>7.5038154000000004E-5</v>
      </c>
      <c r="AT70" s="1078">
        <v>3.0024446999999999E-4</v>
      </c>
      <c r="AU70" s="1078">
        <v>2.9954446000000001E-4</v>
      </c>
      <c r="AV70" s="1078">
        <v>2.9746354999999999E-2</v>
      </c>
      <c r="AW70" s="1078">
        <v>5.4487154000000002</v>
      </c>
      <c r="AX70" s="1078">
        <v>1.3052537E-6</v>
      </c>
      <c r="AY70" s="1078">
        <v>-8.9706024000000004E-9</v>
      </c>
      <c r="AZ70" s="1078">
        <v>2.0589446999999999E-3</v>
      </c>
      <c r="BA70" s="1078">
        <v>6.3724496000000005E-2</v>
      </c>
      <c r="BB70" s="1079">
        <v>3.4581613000000001E-4</v>
      </c>
      <c r="BC70" s="1035"/>
      <c r="BE70" s="113">
        <f t="array" ref="BE70">IFERROR(SUMIFS($CB70:$CW70,$CB$17:$CW$17,BE$17,$CB$18:$CW$18,BE$18)/SUMPRODUCT(($CB$18:$CW$18=BE$18)*ABS($CB70:$CW70)),"-")</f>
        <v>0.49249347356464296</v>
      </c>
      <c r="BF70" s="114">
        <f t="array" ref="BF70">IFERROR(SUMIFS($CB70:$CW70,$CB$17:$CW$17,BF$17,$CB$18:$CW$18,BF$18)/SUMPRODUCT(($CB$18:$CW$18=BF$18)*ABS($CB70:$CW70)),"-")</f>
        <v>1.639540006327858E-3</v>
      </c>
      <c r="BG70" s="114">
        <f t="array" ref="BG70">IFERROR(SUMIFS($CB70:$CW70,$CB$17:$CW$17,BG$17,$CB$18:$CW$18,BG$18)/SUMPRODUCT(($CB$18:$CW$18=BG$18)*ABS($CB70:$CW70)),"-")</f>
        <v>1.4030651593358743E-5</v>
      </c>
      <c r="BH70" s="114">
        <f t="array" ref="BH70">IFERROR(SUMIFS($CB70:$CW70,$CB$17:$CW$17,BH$17,$CB$18:$CW$18,BH$18)/SUMPRODUCT(($CB$18:$CW$18=BH$18)*ABS($CB70:$CW70)),"-")</f>
        <v>1.2134253102199992E-3</v>
      </c>
      <c r="BI70" s="114">
        <f t="array" ref="BI70">IFERROR(SUMIFS($CB70:$CW70,$CB$17:$CW$17,BI$17,$CB$18:$CW$18,BI$18)/SUMPRODUCT(($CB$18:$CW$18=BI$18)*ABS($CB70:$CW70)),"-")</f>
        <v>0.29243163991783139</v>
      </c>
      <c r="BJ70" s="114">
        <f t="array" ref="BJ70">IFERROR(SUMIFS($CB70:$CW70,$CB$17:$CW$17,BJ$17,$CB$18:$CW$18,BJ$18)/SUMPRODUCT(($CB$18:$CW$18=BJ$18)*ABS($CB70:$CW70)),"-")</f>
        <v>6.284979522780998E-4</v>
      </c>
      <c r="BK70" s="114">
        <f t="array" ref="BK70">IFERROR(SUMIFS($CB70:$CW70,$CB$17:$CW$17,BK$17,$CB$18:$CW$18,BK$18)/SUMPRODUCT(($CB$18:$CW$18=BK$18)*ABS($CB70:$CW70)),"-")</f>
        <v>0.21092820267071902</v>
      </c>
      <c r="BL70" s="114">
        <f t="array" ref="BL70">IFERROR(SUMIFS($CB70:$CW70,$CB$17:$CW$17,BL$17,$CB$18:$CW$18,BL$18)/SUMPRODUCT(($CB$18:$CW$18=BL$18)*ABS($CB70:$CW70)),"-")</f>
        <v>6.5118992638725276E-4</v>
      </c>
      <c r="BM70" s="115"/>
      <c r="BN70" s="114">
        <f t="array" ref="BN70">IFERROR(SUMIFS($CB70:$CW70,$CB$17:$CW$17,BN$17,$CB$18:$CW$18,BN$18)/SUMPRODUCT(($CB$18:$CW$18=BN$18)*ABS($CB70:$CW70)),"-")</f>
        <v>3.4028738840436092E-2</v>
      </c>
      <c r="BO70" s="114">
        <f t="array" ref="BO70">IFERROR(SUMIFS($CB70:$CW70,$CB$17:$CW$17,BO$17,$CB$18:$CW$18,BO$18)/SUMPRODUCT(($CB$18:$CW$18=BO$18)*ABS($CB70:$CW70)),"-")</f>
        <v>3.9840406278770718E-3</v>
      </c>
      <c r="BP70" s="114">
        <f t="array" ref="BP70">IFERROR(SUMIFS($CB70:$CW70,$CB$17:$CW$17,BP$17,$CB$18:$CW$18,BP$18)/SUMPRODUCT(($CB$18:$CW$18=BP$18)*ABS($CB70:$CW70)),"-")</f>
        <v>1.182206807982278E-2</v>
      </c>
      <c r="BQ70" s="114">
        <f t="array" ref="BQ70">IFERROR(SUMIFS($CB70:$CW70,$CB$17:$CW$17,BQ$17,$CB$18:$CW$18,BQ$18)/SUMPRODUCT(($CB$18:$CW$18=BQ$18)*ABS($CB70:$CW70)),"-")</f>
        <v>7.3361262751388994E-4</v>
      </c>
      <c r="BR70" s="114">
        <f t="array" ref="BR70">IFERROR(SUMIFS($CB70:$CW70,$CB$17:$CW$17,BR$17,$CB$18:$CW$18,BR$18)/SUMPRODUCT(($CB$18:$CW$18=BR$18)*ABS($CB70:$CW70)),"-")</f>
        <v>4.9677744444493889E-5</v>
      </c>
      <c r="BS70" s="114">
        <f t="array" ref="BS70">IFERROR(SUMIFS($CB70:$CW70,$CB$17:$CW$17,BS$17,$CB$18:$CW$18,BS$18)/SUMPRODUCT(($CB$18:$CW$18=BS$18)*ABS($CB70:$CW70)),"-")</f>
        <v>9.5409611107355164E-6</v>
      </c>
      <c r="BT70" s="114">
        <f t="array" ref="BT70">IFERROR(SUMIFS($CB70:$CW70,$CB$17:$CW$17,BT$17,$CB$18:$CW$18,BT$18)/SUMPRODUCT(($CB$18:$CW$18=BT$18)*ABS($CB70:$CW70)),"-")</f>
        <v>3.2478211877847783E-5</v>
      </c>
      <c r="BU70" s="114">
        <f t="array" ref="BU70">IFERROR(SUMIFS($CB70:$CW70,$CB$17:$CW$17,BU$17,$CB$18:$CW$18,BU$18)/SUMPRODUCT(($CB$18:$CW$18=BU$18)*ABS($CB70:$CW70)),"-")</f>
        <v>7.0301884484891188E-6</v>
      </c>
      <c r="BV70" s="114">
        <f t="array" ref="BV70">IFERROR(SUMIFS($CB70:$CW70,$CB$17:$CW$17,BV$17,$CB$18:$CW$18,BV$18)/SUMPRODUCT(($CB$18:$CW$18=BV$18)*ABS($CB70:$CW70)),"-")</f>
        <v>0.94924209633384804</v>
      </c>
      <c r="BW70" s="114">
        <f t="array" ref="BW70">IFERROR(SUMIFS($CB70:$CW70,$CB$17:$CW$17,BW$17,$CB$18:$CW$18,BW$18)/SUMPRODUCT(($CB$18:$CW$18=BW$18)*ABS($CB70:$CW70)),"-")</f>
        <v>9.0716384620653987E-5</v>
      </c>
      <c r="BX70" s="115"/>
      <c r="BY70" s="114">
        <f t="array" ref="BY70">IFERROR(SUMIFS($CB70:$CW70,$CB$17:$CW$17,BY$17,$CB$18:$CW$18,BY$18)/SUMPRODUCT(($CB$18:$CW$18=BY$18)*ABS($CB70:$CW70)),"-")</f>
        <v>1.6331622808947574E-3</v>
      </c>
      <c r="BZ70" s="116">
        <f t="array" ref="BZ70">IFERROR(SUMIFS($CB70:$CW70,$CB$17:$CW$17,BZ$17,$CB$18:$CW$18,BZ$18)/SUMPRODUCT(($CB$18:$CW$18=BZ$18)*ABS($CB70:$CW70)),"-")</f>
        <v>0.99836683771910528</v>
      </c>
      <c r="CB70" s="117">
        <v>5.7505384999999999E-7</v>
      </c>
      <c r="CC70" s="111">
        <v>1.7344595999999999E-9</v>
      </c>
      <c r="CD70" s="111">
        <v>4.7392234000000002E-14</v>
      </c>
      <c r="CE70" s="111">
        <v>1.9143883999999999E-9</v>
      </c>
      <c r="CF70" s="111">
        <v>1.6382714999999999E-11</v>
      </c>
      <c r="CG70" s="111">
        <v>1.4168408999999999E-9</v>
      </c>
      <c r="CH70" s="111">
        <v>3.4145415E-7</v>
      </c>
      <c r="CI70" s="111">
        <v>2.0307383E-10</v>
      </c>
      <c r="CJ70" s="111">
        <v>6.0259240999999997E-10</v>
      </c>
      <c r="CK70" s="111">
        <v>3.7393576000000002E-11</v>
      </c>
      <c r="CL70" s="111">
        <v>2.5321653999999999E-12</v>
      </c>
      <c r="CM70" s="111">
        <v>4.8632021999999998E-13</v>
      </c>
      <c r="CN70" s="111">
        <v>1.6554738E-12</v>
      </c>
      <c r="CO70" s="111">
        <v>3.5834155E-13</v>
      </c>
      <c r="CP70" s="111">
        <v>7.3385778000000002E-10</v>
      </c>
      <c r="CQ70" s="111">
        <v>2.4628768000000002E-7</v>
      </c>
      <c r="CR70" s="111">
        <v>4.8384603999999999E-8</v>
      </c>
      <c r="CS70" s="111">
        <v>4.255381E-5</v>
      </c>
      <c r="CT70" s="111">
        <v>2.6013528000000001E-2</v>
      </c>
      <c r="CU70" s="111">
        <v>7.6035377999999995E-10</v>
      </c>
      <c r="CV70" s="111">
        <v>4.6237730000000003E-12</v>
      </c>
      <c r="CW70" s="112">
        <v>2.0687103000000001E-16</v>
      </c>
    </row>
    <row r="71" spans="2:101" ht="12" customHeight="1" outlineLevel="1" x14ac:dyDescent="0.2">
      <c r="B71" s="104" t="s">
        <v>104</v>
      </c>
      <c r="C71" s="104" t="s">
        <v>121</v>
      </c>
      <c r="D71" s="2" t="s">
        <v>137</v>
      </c>
      <c r="E71" s="2" t="s">
        <v>140</v>
      </c>
      <c r="F71" s="105" t="s">
        <v>95</v>
      </c>
      <c r="G71" s="27" t="s">
        <v>1581</v>
      </c>
      <c r="H71" s="106" t="s">
        <v>128</v>
      </c>
      <c r="I71" s="107" t="s">
        <v>127</v>
      </c>
      <c r="J71" s="108">
        <v>4.4622420200000006</v>
      </c>
      <c r="K71" s="109"/>
      <c r="L71" s="109"/>
      <c r="M71" s="110"/>
      <c r="N71" s="161"/>
      <c r="O71" s="1056"/>
      <c r="P71" s="117">
        <v>4.2075926798150003E-6</v>
      </c>
      <c r="Q71" s="111">
        <v>6.6432966004041465E-8</v>
      </c>
      <c r="R71" s="112">
        <v>3.5107641578999996E-2</v>
      </c>
      <c r="S71" s="1032">
        <v>0.88429650000000004</v>
      </c>
      <c r="T71" s="1032">
        <v>7.8347396999999993E-6</v>
      </c>
      <c r="U71" s="1032">
        <v>2.4391846999999999E-3</v>
      </c>
      <c r="V71" s="1032">
        <v>2.1263329000000002E-3</v>
      </c>
      <c r="W71" s="1032">
        <v>1.8377106E-3</v>
      </c>
      <c r="X71" s="1032">
        <v>2.1488694E-3</v>
      </c>
      <c r="Y71" s="1032">
        <v>1.2904809E-2</v>
      </c>
      <c r="Z71" s="1032">
        <v>3.2375787999999999E-4</v>
      </c>
      <c r="AA71" s="1032">
        <v>3.1929771000000001E-3</v>
      </c>
      <c r="AB71" s="1032">
        <v>9.4859868999999999E-2</v>
      </c>
      <c r="AC71" s="1032">
        <v>5.4768663999999996E-3</v>
      </c>
      <c r="AD71" s="1032">
        <v>7.2235553000000001E-3</v>
      </c>
      <c r="AE71" s="1032">
        <v>5.5373895999999998E-4</v>
      </c>
      <c r="AF71" s="1032">
        <v>9.7389668999999994</v>
      </c>
      <c r="AG71" s="1032">
        <v>6.8363889999999996</v>
      </c>
      <c r="AH71" s="1032">
        <v>2.3138187999999999E-4</v>
      </c>
      <c r="AI71" s="1032">
        <v>8.1415460999999995E-2</v>
      </c>
      <c r="AJ71" s="1036">
        <v>4.3123089999999998E-4</v>
      </c>
      <c r="AK71" s="1077">
        <v>0.88142463000000004</v>
      </c>
      <c r="AL71" s="1078">
        <v>4.0910603000000002E-9</v>
      </c>
      <c r="AM71" s="1078">
        <v>4.9994436000000003E-3</v>
      </c>
      <c r="AN71" s="1078">
        <v>2.3396249000000001E-3</v>
      </c>
      <c r="AO71" s="1078">
        <v>2.6004344000000001E-3</v>
      </c>
      <c r="AP71" s="1078">
        <v>1.6306132000000001E-2</v>
      </c>
      <c r="AQ71" s="1078">
        <v>3.3956264E-4</v>
      </c>
      <c r="AR71" s="1078">
        <v>1.1586236999999999E-2</v>
      </c>
      <c r="AS71" s="1078">
        <v>9.5461757000000005E-4</v>
      </c>
      <c r="AT71" s="1078">
        <v>5.2665288000000002E-4</v>
      </c>
      <c r="AU71" s="1078">
        <v>4.873376E-4</v>
      </c>
      <c r="AV71" s="1078">
        <v>0.15900737000000001</v>
      </c>
      <c r="AW71" s="1078">
        <v>6.8363873000000002</v>
      </c>
      <c r="AX71" s="1078">
        <v>1.6364703E-6</v>
      </c>
      <c r="AY71" s="1078">
        <v>-1.1246951000000001E-8</v>
      </c>
      <c r="AZ71" s="1078">
        <v>2.5863797E-3</v>
      </c>
      <c r="BA71" s="1078">
        <v>8.5516083000000007E-2</v>
      </c>
      <c r="BB71" s="1079">
        <v>4.3538638000000001E-4</v>
      </c>
      <c r="BC71" s="1035"/>
      <c r="BE71" s="113">
        <f t="array" ref="BE71">IFERROR(SUMIFS($CB71:$CW71,$CB$17:$CW$17,BE$17,$CB$18:$CW$18,BE$18)/SUMPRODUCT(($CB$18:$CW$18=BE$18)*ABS($CB71:$CW71)),"-")</f>
        <v>0.19511564271380383</v>
      </c>
      <c r="BF71" s="114">
        <f t="array" ref="BF71">IFERROR(SUMIFS($CB71:$CW71,$CB$17:$CW$17,BF$17,$CB$18:$CW$18,BF$18)/SUMPRODUCT(($CB$18:$CW$18=BF$18)*ABS($CB71:$CW71)),"-")</f>
        <v>9.8857815300289155E-4</v>
      </c>
      <c r="BG71" s="114">
        <f t="array" ref="BG71">IFERROR(SUMIFS($CB71:$CW71,$CB$17:$CW$17,BG$17,$CB$18:$CW$18,BG$18)/SUMPRODUCT(($CB$18:$CW$18=BG$18)*ABS($CB71:$CW71)),"-")</f>
        <v>4.9261957079246899E-6</v>
      </c>
      <c r="BH71" s="114">
        <f t="array" ref="BH71">IFERROR(SUMIFS($CB71:$CW71,$CB$17:$CW$17,BH$17,$CB$18:$CW$18,BH$18)/SUMPRODUCT(($CB$18:$CW$18=BH$18)*ABS($CB71:$CW71)),"-")</f>
        <v>4.5988270425574519E-4</v>
      </c>
      <c r="BI71" s="114">
        <f t="array" ref="BI71">IFERROR(SUMIFS($CB71:$CW71,$CB$17:$CW$17,BI$17,$CB$18:$CW$18,BI$18)/SUMPRODUCT(($CB$18:$CW$18=BI$18)*ABS($CB71:$CW71)),"-")</f>
        <v>0.27476395363698353</v>
      </c>
      <c r="BJ71" s="114">
        <f t="array" ref="BJ71">IFERROR(SUMIFS($CB71:$CW71,$CB$17:$CW$17,BJ$17,$CB$18:$CW$18,BJ$18)/SUMPRODUCT(($CB$18:$CW$18=BJ$18)*ABS($CB71:$CW71)),"-")</f>
        <v>4.3747972773850667E-4</v>
      </c>
      <c r="BK71" s="114">
        <f t="array" ref="BK71">IFERROR(SUMIFS($CB71:$CW71,$CB$17:$CW$17,BK$17,$CB$18:$CW$18,BK$18)/SUMPRODUCT(($CB$18:$CW$18=BK$18)*ABS($CB71:$CW71)),"-")</f>
        <v>0.52800201185293449</v>
      </c>
      <c r="BL71" s="114">
        <f t="array" ref="BL71">IFERROR(SUMIFS($CB71:$CW71,$CB$17:$CW$17,BL$17,$CB$18:$CW$18,BL$18)/SUMPRODUCT(($CB$18:$CW$18=BL$18)*ABS($CB71:$CW71)),"-")</f>
        <v>2.2752501557305973E-4</v>
      </c>
      <c r="BM71" s="115"/>
      <c r="BN71" s="114">
        <f t="array" ref="BN71">IFERROR(SUMIFS($CB71:$CW71,$CB$17:$CW$17,BN$17,$CB$18:$CW$18,BN$18)/SUMPRODUCT(($CB$18:$CW$18=BN$18)*ABS($CB71:$CW71)),"-")</f>
        <v>3.7267840041153417E-2</v>
      </c>
      <c r="BO71" s="114">
        <f t="array" ref="BO71">IFERROR(SUMIFS($CB71:$CW71,$CB$17:$CW$17,BO$17,$CB$18:$CW$18,BO$18)/SUMPRODUCT(($CB$18:$CW$18=BO$18)*ABS($CB71:$CW71)),"-")</f>
        <v>4.1726800212884708E-3</v>
      </c>
      <c r="BP71" s="114">
        <f t="array" ref="BP71">IFERROR(SUMIFS($CB71:$CW71,$CB$17:$CW$17,BP$17,$CB$18:$CW$18,BP$18)/SUMPRODUCT(($CB$18:$CW$18=BP$18)*ABS($CB71:$CW71)),"-")</f>
        <v>4.1225019214607861E-2</v>
      </c>
      <c r="BQ71" s="114">
        <f t="array" ref="BQ71">IFERROR(SUMIFS($CB71:$CW71,$CB$17:$CW$17,BQ$17,$CB$18:$CW$18,BQ$18)/SUMPRODUCT(($CB$18:$CW$18=BQ$18)*ABS($CB71:$CW71)),"-")</f>
        <v>3.2699948996223415E-3</v>
      </c>
      <c r="BR71" s="114">
        <f t="array" ref="BR71">IFERROR(SUMIFS($CB71:$CW71,$CB$17:$CW$17,BR$17,$CB$18:$CW$18,BR$18)/SUMPRODUCT(($CB$18:$CW$18=BR$18)*ABS($CB71:$CW71)),"-")</f>
        <v>8.165721818998696E-5</v>
      </c>
      <c r="BS71" s="114">
        <f t="array" ref="BS71">IFERROR(SUMIFS($CB71:$CW71,$CB$17:$CW$17,BS$17,$CB$18:$CW$18,BS$18)/SUMPRODUCT(($CB$18:$CW$18=BS$18)*ABS($CB71:$CW71)),"-")</f>
        <v>1.627773626627199E-5</v>
      </c>
      <c r="BT71" s="114">
        <f t="array" ref="BT71">IFERROR(SUMIFS($CB71:$CW71,$CB$17:$CW$17,BT$17,$CB$18:$CW$18,BT$18)/SUMPRODUCT(($CB$18:$CW$18=BT$18)*ABS($CB71:$CW71)),"-")</f>
        <v>5.7093666415093651E-5</v>
      </c>
      <c r="BU71" s="114">
        <f t="array" ref="BU71">IFERROR(SUMIFS($CB71:$CW71,$CB$17:$CW$17,BU$17,$CB$18:$CW$18,BU$18)/SUMPRODUCT(($CB$18:$CW$18=BU$18)*ABS($CB71:$CW71)),"-")</f>
        <v>1.1420457728078025E-5</v>
      </c>
      <c r="BV71" s="114">
        <f t="array" ref="BV71">IFERROR(SUMIFS($CB71:$CW71,$CB$17:$CW$17,BV$17,$CB$18:$CW$18,BV$18)/SUMPRODUCT(($CB$18:$CW$18=BV$18)*ABS($CB71:$CW71)),"-")</f>
        <v>0.91381038137461557</v>
      </c>
      <c r="BW71" s="114">
        <f t="array" ref="BW71">IFERROR(SUMIFS($CB71:$CW71,$CB$17:$CW$17,BW$17,$CB$18:$CW$18,BW$18)/SUMPRODUCT(($CB$18:$CW$18=BW$18)*ABS($CB71:$CW71)),"-")</f>
        <v>8.7635370112871757E-5</v>
      </c>
      <c r="BX71" s="115"/>
      <c r="BY71" s="114">
        <f t="array" ref="BY71">IFERROR(SUMIFS($CB71:$CW71,$CB$17:$CW$17,BY$17,$CB$18:$CW$18,BY$18)/SUMPRODUCT(($CB$18:$CW$18=BY$18)*ABS($CB71:$CW71)),"-")</f>
        <v>1.5240151885338924E-3</v>
      </c>
      <c r="BZ71" s="116">
        <f t="array" ref="BZ71">IFERROR(SUMIFS($CB71:$CW71,$CB$17:$CW$17,BZ$17,$CB$18:$CW$18,BZ$18)/SUMPRODUCT(($CB$18:$CW$18=BZ$18)*ABS($CB71:$CW71)),"-")</f>
        <v>0.99847598481146616</v>
      </c>
      <c r="CB71" s="117">
        <v>8.2096715000000001E-7</v>
      </c>
      <c r="CC71" s="111">
        <v>2.4757455000000001E-9</v>
      </c>
      <c r="CD71" s="111">
        <v>6.7650498000000006E-14</v>
      </c>
      <c r="CE71" s="111">
        <v>4.1595342000000001E-9</v>
      </c>
      <c r="CF71" s="111">
        <v>2.0727424999999999E-11</v>
      </c>
      <c r="CG71" s="111">
        <v>1.9349991000000002E-9</v>
      </c>
      <c r="CH71" s="111">
        <v>1.1560948E-6</v>
      </c>
      <c r="CI71" s="111">
        <v>2.7720351000000001E-10</v>
      </c>
      <c r="CJ71" s="111">
        <v>2.7387003000000002E-9</v>
      </c>
      <c r="CK71" s="111">
        <v>2.1723546000000001E-10</v>
      </c>
      <c r="CL71" s="111">
        <v>5.4247311999999999E-12</v>
      </c>
      <c r="CM71" s="111">
        <v>1.0813783E-12</v>
      </c>
      <c r="CN71" s="111">
        <v>3.7929016000000002E-12</v>
      </c>
      <c r="CO71" s="111">
        <v>7.5869488E-13</v>
      </c>
      <c r="CP71" s="111">
        <v>1.8407364999999999E-9</v>
      </c>
      <c r="CQ71" s="111">
        <v>2.2216174000000001E-6</v>
      </c>
      <c r="CR71" s="111">
        <v>6.0707133999999999E-8</v>
      </c>
      <c r="CS71" s="111">
        <v>5.3504578999999999E-5</v>
      </c>
      <c r="CT71" s="111">
        <v>3.5054136999999999E-2</v>
      </c>
      <c r="CU71" s="111">
        <v>9.5733259E-10</v>
      </c>
      <c r="CV71" s="111">
        <v>5.8216171000000003E-12</v>
      </c>
      <c r="CW71" s="112">
        <v>2.6046346000000001E-16</v>
      </c>
    </row>
    <row r="72" spans="2:101" ht="12" customHeight="1" outlineLevel="1" x14ac:dyDescent="0.2">
      <c r="B72" s="104" t="s">
        <v>104</v>
      </c>
      <c r="C72" s="104" t="s">
        <v>121</v>
      </c>
      <c r="D72" s="2" t="s">
        <v>137</v>
      </c>
      <c r="E72" s="2" t="s">
        <v>140</v>
      </c>
      <c r="F72" s="105" t="s">
        <v>96</v>
      </c>
      <c r="G72" s="27" t="s">
        <v>1582</v>
      </c>
      <c r="H72" s="106" t="s">
        <v>128</v>
      </c>
      <c r="I72" s="107" t="s">
        <v>1577</v>
      </c>
      <c r="J72" s="108">
        <v>4.4622420200000006</v>
      </c>
      <c r="K72" s="109"/>
      <c r="L72" s="109"/>
      <c r="M72" s="110"/>
      <c r="N72" s="161"/>
      <c r="O72" s="1056"/>
      <c r="P72" s="117">
        <v>6.2046313567750001E-6</v>
      </c>
      <c r="Q72" s="111">
        <v>6.8231362248704451E-8</v>
      </c>
      <c r="R72" s="112">
        <v>3.6698819165E-2</v>
      </c>
      <c r="S72" s="1032">
        <v>0.96111404</v>
      </c>
      <c r="T72" s="1032">
        <v>1.0248416E-5</v>
      </c>
      <c r="U72" s="1032">
        <v>2.4531802999999998E-3</v>
      </c>
      <c r="V72" s="1032">
        <v>2.2400176000000002E-3</v>
      </c>
      <c r="W72" s="1032">
        <v>2.6795874999999999E-3</v>
      </c>
      <c r="X72" s="1032">
        <v>2.2631196999999999E-3</v>
      </c>
      <c r="Y72" s="1032">
        <v>1.9711340000000001E-2</v>
      </c>
      <c r="Z72" s="1032">
        <v>5.0453175000000005E-4</v>
      </c>
      <c r="AA72" s="1032">
        <v>4.1576612000000001E-3</v>
      </c>
      <c r="AB72" s="1032">
        <v>0.12184028</v>
      </c>
      <c r="AC72" s="1032">
        <v>6.4192672000000003E-3</v>
      </c>
      <c r="AD72" s="1032">
        <v>8.1644301999999995E-3</v>
      </c>
      <c r="AE72" s="1032">
        <v>7.6822141000000002E-4</v>
      </c>
      <c r="AF72" s="1032">
        <v>15.849337</v>
      </c>
      <c r="AG72" s="1032">
        <v>6.8363889999999996</v>
      </c>
      <c r="AH72" s="1032">
        <v>2.3175227999999999E-4</v>
      </c>
      <c r="AI72" s="1032">
        <v>8.4942921000000005E-2</v>
      </c>
      <c r="AJ72" s="1036">
        <v>4.3226235E-4</v>
      </c>
      <c r="AK72" s="1077">
        <v>0.95814336</v>
      </c>
      <c r="AL72" s="1078">
        <v>4.1144073999999996E-9</v>
      </c>
      <c r="AM72" s="1078">
        <v>5.0278553E-3</v>
      </c>
      <c r="AN72" s="1078">
        <v>2.4599880000000002E-3</v>
      </c>
      <c r="AO72" s="1078">
        <v>3.7327778999999999E-3</v>
      </c>
      <c r="AP72" s="1078">
        <v>2.4825283E-2</v>
      </c>
      <c r="AQ72" s="1078">
        <v>5.2036716999999996E-4</v>
      </c>
      <c r="AR72" s="1078">
        <v>1.5214617999999999E-2</v>
      </c>
      <c r="AS72" s="1078">
        <v>1.5411776999999999E-3</v>
      </c>
      <c r="AT72" s="1078">
        <v>5.9008453999999995E-4</v>
      </c>
      <c r="AU72" s="1078">
        <v>5.3159245000000005E-4</v>
      </c>
      <c r="AV72" s="1078">
        <v>0.25120898000000003</v>
      </c>
      <c r="AW72" s="1078">
        <v>6.8363873000000002</v>
      </c>
      <c r="AX72" s="1078">
        <v>1.6364703E-6</v>
      </c>
      <c r="AY72" s="1078">
        <v>-1.1246951000000001E-8</v>
      </c>
      <c r="AZ72" s="1078">
        <v>2.5890850000000001E-3</v>
      </c>
      <c r="BA72" s="1078">
        <v>8.9181267999999994E-2</v>
      </c>
      <c r="BB72" s="1079">
        <v>4.3641783999999998E-4</v>
      </c>
      <c r="BC72" s="1035"/>
      <c r="BE72" s="113">
        <f t="array" ref="BE72">IFERROR(SUMIFS($CB72:$CW72,$CB$17:$CW$17,BE$17,$CB$18:$CW$18,BE$18)/SUMPRODUCT(($CB$18:$CW$18=BE$18)*ABS($CB72:$CW72)),"-")</f>
        <v>0.14382069758674942</v>
      </c>
      <c r="BF72" s="114">
        <f t="array" ref="BF72">IFERROR(SUMIFS($CB72:$CW72,$CB$17:$CW$17,BF$17,$CB$18:$CW$18,BF$18)/SUMPRODUCT(($CB$18:$CW$18=BF$18)*ABS($CB72:$CW72)),"-")</f>
        <v>8.769218648355078E-4</v>
      </c>
      <c r="BG72" s="114">
        <f t="array" ref="BG72">IFERROR(SUMIFS($CB72:$CW72,$CB$17:$CW$17,BG$17,$CB$18:$CW$18,BG$18)/SUMPRODUCT(($CB$18:$CW$18=BG$18)*ABS($CB72:$CW72)),"-")</f>
        <v>3.3598055712427325E-6</v>
      </c>
      <c r="BH72" s="114">
        <f t="array" ref="BH72">IFERROR(SUMIFS($CB72:$CW72,$CB$17:$CW$17,BH$17,$CB$18:$CW$18,BH$18)/SUMPRODUCT(($CB$18:$CW$18=BH$18)*ABS($CB72:$CW72)),"-")</f>
        <v>3.2853721402386948E-4</v>
      </c>
      <c r="BI72" s="114">
        <f t="array" ref="BI72">IFERROR(SUMIFS($CB72:$CW72,$CB$17:$CW$17,BI$17,$CB$18:$CW$18,BI$18)/SUMPRODUCT(($CB$18:$CW$18=BI$18)*ABS($CB72:$CW72)),"-")</f>
        <v>0.27169577095974623</v>
      </c>
      <c r="BJ72" s="114">
        <f t="array" ref="BJ72">IFERROR(SUMIFS($CB72:$CW72,$CB$17:$CW$17,BJ$17,$CB$18:$CW$18,BJ$18)/SUMPRODUCT(($CB$18:$CW$18=BJ$18)*ABS($CB72:$CW72)),"-")</f>
        <v>4.1160363173089814E-4</v>
      </c>
      <c r="BK72" s="114">
        <f t="array" ref="BK72">IFERROR(SUMIFS($CB72:$CW72,$CB$17:$CW$17,BK$17,$CB$18:$CW$18,BK$18)/SUMPRODUCT(($CB$18:$CW$18=BK$18)*ABS($CB72:$CW72)),"-")</f>
        <v>0.58270844665930877</v>
      </c>
      <c r="BL72" s="114">
        <f t="array" ref="BL72">IFERROR(SUMIFS($CB72:$CW72,$CB$17:$CW$17,BL$17,$CB$18:$CW$18,BL$18)/SUMPRODUCT(($CB$18:$CW$18=BL$18)*ABS($CB72:$CW72)),"-")</f>
        <v>1.5466227803399846E-4</v>
      </c>
      <c r="BM72" s="115"/>
      <c r="BN72" s="114">
        <f t="array" ref="BN72">IFERROR(SUMIFS($CB72:$CW72,$CB$17:$CW$17,BN$17,$CB$18:$CW$18,BN$18)/SUMPRODUCT(($CB$18:$CW$18=BN$18)*ABS($CB72:$CW72)),"-")</f>
        <v>3.9436708267378794E-2</v>
      </c>
      <c r="BO72" s="114">
        <f t="array" ref="BO72">IFERROR(SUMIFS($CB72:$CW72,$CB$17:$CW$17,BO$17,$CB$18:$CW$18,BO$18)/SUMPRODUCT(($CB$18:$CW$18=BO$18)*ABS($CB72:$CW72)),"-")</f>
        <v>4.2787044018829231E-3</v>
      </c>
      <c r="BP72" s="114">
        <f t="array" ref="BP72">IFERROR(SUMIFS($CB72:$CW72,$CB$17:$CW$17,BP$17,$CB$18:$CW$18,BP$18)/SUMPRODUCT(($CB$18:$CW$18=BP$18)*ABS($CB72:$CW72)),"-")</f>
        <v>6.1311075466318012E-2</v>
      </c>
      <c r="BQ72" s="114">
        <f t="array" ref="BQ72">IFERROR(SUMIFS($CB72:$CW72,$CB$17:$CW$17,BQ$17,$CB$18:$CW$18,BQ$18)/SUMPRODUCT(($CB$18:$CW$18=BQ$18)*ABS($CB72:$CW72)),"-")</f>
        <v>4.9615705863534617E-3</v>
      </c>
      <c r="BR72" s="114">
        <f t="array" ref="BR72">IFERROR(SUMIFS($CB72:$CW72,$CB$17:$CW$17,BR$17,$CB$18:$CW$18,BR$18)/SUMPRODUCT(($CB$18:$CW$18=BR$18)*ABS($CB72:$CW72)),"-")</f>
        <v>1.0352552795667101E-4</v>
      </c>
      <c r="BS72" s="114">
        <f t="array" ref="BS72">IFERROR(SUMIFS($CB72:$CW72,$CB$17:$CW$17,BS$17,$CB$18:$CW$18,BS$18)/SUMPRODUCT(($CB$18:$CW$18=BS$18)*ABS($CB72:$CW72)),"-")</f>
        <v>2.0358075146394648E-5</v>
      </c>
      <c r="BT72" s="114">
        <f t="array" ref="BT72">IFERROR(SUMIFS($CB72:$CW72,$CB$17:$CW$17,BT$17,$CB$18:$CW$18,BT$18)/SUMPRODUCT(($CB$18:$CW$18=BT$18)*ABS($CB72:$CW72)),"-")</f>
        <v>6.5176797786774943E-5</v>
      </c>
      <c r="BU72" s="114">
        <f t="array" ref="BU72">IFERROR(SUMIFS($CB72:$CW72,$CB$17:$CW$17,BU$17,$CB$18:$CW$18,BU$18)/SUMPRODUCT(($CB$18:$CW$18=BU$18)*ABS($CB72:$CW72)),"-")</f>
        <v>1.2567820746042371E-5</v>
      </c>
      <c r="BV72" s="114">
        <f t="array" ref="BV72">IFERROR(SUMIFS($CB72:$CW72,$CB$17:$CW$17,BV$17,$CB$18:$CW$18,BV$18)/SUMPRODUCT(($CB$18:$CW$18=BV$18)*ABS($CB72:$CW72)),"-")</f>
        <v>0.889724783432016</v>
      </c>
      <c r="BW72" s="114">
        <f t="array" ref="BW72">IFERROR(SUMIFS($CB72:$CW72,$CB$17:$CW$17,BW$17,$CB$18:$CW$18,BW$18)/SUMPRODUCT(($CB$18:$CW$18=BW$18)*ABS($CB72:$CW72)),"-")</f>
        <v>8.5529624415065932E-5</v>
      </c>
      <c r="BX72" s="115"/>
      <c r="BY72" s="114">
        <f t="array" ref="BY72">IFERROR(SUMIFS($CB72:$CW72,$CB$17:$CW$17,BY$17,$CB$18:$CW$18,BY$18)/SUMPRODUCT(($CB$18:$CW$18=BY$18)*ABS($CB72:$CW72)),"-")</f>
        <v>1.4602694642314113E-3</v>
      </c>
      <c r="BZ72" s="116">
        <f t="array" ref="BZ72">IFERROR(SUMIFS($CB72:$CW72,$CB$17:$CW$17,BZ$17,$CB$18:$CW$18,BZ$18)/SUMPRODUCT(($CB$18:$CW$18=BZ$18)*ABS($CB72:$CW72)),"-")</f>
        <v>0.99853973053576861</v>
      </c>
      <c r="CB72" s="117">
        <v>8.9235441000000003E-7</v>
      </c>
      <c r="CC72" s="111">
        <v>2.6907467999999998E-9</v>
      </c>
      <c r="CD72" s="111">
        <v>7.3527688000000003E-14</v>
      </c>
      <c r="CE72" s="111">
        <v>5.4409768999999998E-9</v>
      </c>
      <c r="CF72" s="111">
        <v>2.0846355E-11</v>
      </c>
      <c r="CG72" s="111">
        <v>2.0384523E-9</v>
      </c>
      <c r="CH72" s="111">
        <v>1.6857721E-6</v>
      </c>
      <c r="CI72" s="111">
        <v>2.9194183000000001E-10</v>
      </c>
      <c r="CJ72" s="111">
        <v>4.1833382000000004E-9</v>
      </c>
      <c r="CK72" s="111">
        <v>3.3853472E-10</v>
      </c>
      <c r="CL72" s="111">
        <v>7.0636877999999997E-12</v>
      </c>
      <c r="CM72" s="111">
        <v>1.3890592000000001E-12</v>
      </c>
      <c r="CN72" s="111">
        <v>4.4471016999999997E-12</v>
      </c>
      <c r="CO72" s="111">
        <v>8.5751953000000004E-13</v>
      </c>
      <c r="CP72" s="111">
        <v>2.5538487999999999E-9</v>
      </c>
      <c r="CQ72" s="111">
        <v>3.6154910999999998E-6</v>
      </c>
      <c r="CR72" s="111">
        <v>6.0707133999999999E-8</v>
      </c>
      <c r="CS72" s="111">
        <v>5.3590164999999998E-5</v>
      </c>
      <c r="CT72" s="111">
        <v>3.6645229000000001E-2</v>
      </c>
      <c r="CU72" s="111">
        <v>9.5962242000000007E-10</v>
      </c>
      <c r="CV72" s="111">
        <v>5.8355417000000002E-12</v>
      </c>
      <c r="CW72" s="112">
        <v>2.6108646000000001E-16</v>
      </c>
    </row>
    <row r="73" spans="2:101" ht="12" customHeight="1" outlineLevel="1" x14ac:dyDescent="0.2">
      <c r="B73" s="88" t="s">
        <v>105</v>
      </c>
      <c r="C73" s="88" t="s">
        <v>121</v>
      </c>
      <c r="D73" s="89" t="s">
        <v>137</v>
      </c>
      <c r="E73" s="89" t="s">
        <v>141</v>
      </c>
      <c r="F73" s="90" t="s">
        <v>92</v>
      </c>
      <c r="G73" s="18" t="s">
        <v>126</v>
      </c>
      <c r="H73" s="91" t="s">
        <v>127</v>
      </c>
      <c r="I73" s="92" t="s">
        <v>127</v>
      </c>
      <c r="J73" s="93">
        <v>0.81023034000000005</v>
      </c>
      <c r="K73" s="94"/>
      <c r="L73" s="94"/>
      <c r="M73" s="95"/>
      <c r="N73" s="145"/>
      <c r="O73" s="1055"/>
      <c r="P73" s="103">
        <v>1.270844100811E-6</v>
      </c>
      <c r="Q73" s="97">
        <v>1.7491919913978179E-8</v>
      </c>
      <c r="R73" s="98">
        <v>1.289295146E-2</v>
      </c>
      <c r="S73" s="1033">
        <v>0.25652426</v>
      </c>
      <c r="T73" s="1033">
        <v>3.3653748000000001E-6</v>
      </c>
      <c r="U73" s="1033">
        <v>1.470765E-3</v>
      </c>
      <c r="V73" s="1033">
        <v>6.2105459999999999E-4</v>
      </c>
      <c r="W73" s="1033">
        <v>5.7131127999999998E-4</v>
      </c>
      <c r="X73" s="1033">
        <v>6.2731710999999995E-4</v>
      </c>
      <c r="Y73" s="1033">
        <v>4.0149425000000002E-3</v>
      </c>
      <c r="Z73" s="1033">
        <v>1.6924955E-4</v>
      </c>
      <c r="AA73" s="1033">
        <v>9.2611519999999999E-4</v>
      </c>
      <c r="AB73" s="1033">
        <v>2.4085695</v>
      </c>
      <c r="AC73" s="1033">
        <v>0.10488209</v>
      </c>
      <c r="AD73" s="1033">
        <v>2.3768615E-2</v>
      </c>
      <c r="AE73" s="1033">
        <v>2.0700374000000001E-4</v>
      </c>
      <c r="AF73" s="1033">
        <v>2.9358705999999999</v>
      </c>
      <c r="AG73" s="1033">
        <v>1.7586575</v>
      </c>
      <c r="AH73" s="1033">
        <v>3.3917141000000002E-4</v>
      </c>
      <c r="AI73" s="1033">
        <v>3.1283697999999999E-2</v>
      </c>
      <c r="AJ73" s="1034">
        <v>2.2498205000000002E-3</v>
      </c>
      <c r="AK73" s="1074">
        <v>0.25517376000000003</v>
      </c>
      <c r="AL73" s="1075">
        <v>2.4673309999999999E-9</v>
      </c>
      <c r="AM73" s="1075">
        <v>3.0449206999999998E-3</v>
      </c>
      <c r="AN73" s="1075">
        <v>6.3739993000000005E-4</v>
      </c>
      <c r="AO73" s="1075">
        <v>7.9256260000000001E-4</v>
      </c>
      <c r="AP73" s="1075">
        <v>5.0335438E-3</v>
      </c>
      <c r="AQ73" s="1075">
        <v>1.7511603E-4</v>
      </c>
      <c r="AR73" s="1075">
        <v>3.3715495999999999E-3</v>
      </c>
      <c r="AS73" s="1075">
        <v>1.7263802000000002E-2</v>
      </c>
      <c r="AT73" s="1075">
        <v>4.6448818000000003E-3</v>
      </c>
      <c r="AU73" s="1075">
        <v>1.4141835E-3</v>
      </c>
      <c r="AV73" s="1075">
        <v>7.0873236000000006E-2</v>
      </c>
      <c r="AW73" s="1075">
        <v>1.7586558000000001</v>
      </c>
      <c r="AX73" s="1075">
        <v>1.6860398999999999E-6</v>
      </c>
      <c r="AY73" s="1075">
        <v>-1.2039146E-8</v>
      </c>
      <c r="AZ73" s="1075">
        <v>6.8767567000000004E-4</v>
      </c>
      <c r="BA73" s="1075">
        <v>3.2649988999999997E-2</v>
      </c>
      <c r="BB73" s="1076">
        <v>2.2543490000000001E-3</v>
      </c>
      <c r="BC73" s="1035"/>
      <c r="BE73" s="99">
        <f t="array" ref="BE73">IFERROR(SUMIFS($CB73:$CW73,$CB$17:$CW$17,BE$17,$CB$18:$CW$18,BE$18)/SUMPRODUCT(($CB$18:$CW$18=BE$18)*ABS($CB73:$CW73)),"-")</f>
        <v>0.18743538239504742</v>
      </c>
      <c r="BF73" s="100">
        <f t="array" ref="BF73">IFERROR(SUMIFS($CB73:$CW73,$CB$17:$CW$17,BF$17,$CB$18:$CW$18,BF$18)/SUMPRODUCT(($CB$18:$CW$18=BF$18)*ABS($CB73:$CW73)),"-")</f>
        <v>1.4059220945038004E-3</v>
      </c>
      <c r="BG73" s="100">
        <f t="array" ref="BG73">IFERROR(SUMIFS($CB73:$CW73,$CB$17:$CW$17,BG$17,$CB$18:$CW$18,BG$18)/SUMPRODUCT(($CB$18:$CW$18=BG$18)*ABS($CB73:$CW73)),"-")</f>
        <v>9.8344722157692213E-6</v>
      </c>
      <c r="BH73" s="100">
        <f t="array" ref="BH73">IFERROR(SUMIFS($CB73:$CW73,$CB$17:$CW$17,BH$17,$CB$18:$CW$18,BH$18)/SUMPRODUCT(($CB$18:$CW$18=BH$18)*ABS($CB73:$CW73)),"-")</f>
        <v>4.446639911531064E-4</v>
      </c>
      <c r="BI73" s="100">
        <f t="array" ref="BI73">IFERROR(SUMIFS($CB73:$CW73,$CB$17:$CW$17,BI$17,$CB$18:$CW$18,BI$18)/SUMPRODUCT(($CB$18:$CW$18=BI$18)*ABS($CB73:$CW73)),"-")</f>
        <v>0.28280058094509686</v>
      </c>
      <c r="BJ73" s="100">
        <f t="array" ref="BJ73">IFERROR(SUMIFS($CB73:$CW73,$CB$17:$CW$17,BJ$17,$CB$18:$CW$18,BJ$18)/SUMPRODUCT(($CB$18:$CW$18=BJ$18)*ABS($CB73:$CW73)),"-")</f>
        <v>5.4145243272631322E-4</v>
      </c>
      <c r="BK73" s="100">
        <f t="array" ref="BK73">IFERROR(SUMIFS($CB73:$CW73,$CB$17:$CW$17,BK$17,$CB$18:$CW$18,BK$18)/SUMPRODUCT(($CB$18:$CW$18=BK$18)*ABS($CB73:$CW73)),"-")</f>
        <v>0.52698612644353016</v>
      </c>
      <c r="BL73" s="100">
        <f t="array" ref="BL73">IFERROR(SUMIFS($CB73:$CW73,$CB$17:$CW$17,BL$17,$CB$18:$CW$18,BL$18)/SUMPRODUCT(($CB$18:$CW$18=BL$18)*ABS($CB73:$CW73)),"-")</f>
        <v>3.760372257266126E-4</v>
      </c>
      <c r="BM73" s="101"/>
      <c r="BN73" s="100">
        <f t="array" ref="BN73">IFERROR(SUMIFS($CB73:$CW73,$CB$17:$CW$17,BN$17,$CB$18:$CW$18,BN$18)/SUMPRODUCT(($CB$18:$CW$18=BN$18)*ABS($CB73:$CW73)),"-")</f>
        <v>4.1056970212806562E-2</v>
      </c>
      <c r="BO73" s="100">
        <f t="array" ref="BO73">IFERROR(SUMIFS($CB73:$CW73,$CB$17:$CW$17,BO$17,$CB$18:$CW$18,BO$18)/SUMPRODUCT(($CB$18:$CW$18=BO$18)*ABS($CB73:$CW73)),"-")</f>
        <v>4.6257061773614149E-3</v>
      </c>
      <c r="BP73" s="100">
        <f t="array" ref="BP73">IFERROR(SUMIFS($CB73:$CW73,$CB$17:$CW$17,BP$17,$CB$18:$CW$18,BP$18)/SUMPRODUCT(($CB$18:$CW$18=BP$18)*ABS($CB73:$CW73)),"-")</f>
        <v>4.8711623663397874E-2</v>
      </c>
      <c r="BQ73" s="100">
        <f t="array" ref="BQ73">IFERROR(SUMIFS($CB73:$CW73,$CB$17:$CW$17,BQ$17,$CB$18:$CW$18,BQ$18)/SUMPRODUCT(($CB$18:$CW$18=BQ$18)*ABS($CB73:$CW73)),"-")</f>
        <v>6.4923799421953872E-3</v>
      </c>
      <c r="BR73" s="100">
        <f t="array" ref="BR73">IFERROR(SUMIFS($CB73:$CW73,$CB$17:$CW$17,BR$17,$CB$18:$CW$18,BR$18)/SUMPRODUCT(($CB$18:$CW$18=BR$18)*ABS($CB73:$CW73)),"-")</f>
        <v>8.9951829629784501E-5</v>
      </c>
      <c r="BS73" s="100">
        <f t="array" ref="BS73">IFERROR(SUMIFS($CB73:$CW73,$CB$17:$CW$17,BS$17,$CB$18:$CW$18,BS$18)/SUMPRODUCT(($CB$18:$CW$18=BS$18)*ABS($CB73:$CW73)),"-")</f>
        <v>1.5695178193710457E-3</v>
      </c>
      <c r="BT73" s="100">
        <f t="array" ref="BT73">IFERROR(SUMIFS($CB73:$CW73,$CB$17:$CW$17,BT$17,$CB$18:$CW$18,BT$18)/SUMPRODUCT(($CB$18:$CW$18=BT$18)*ABS($CB73:$CW73)),"-")</f>
        <v>4.1651084248207296E-3</v>
      </c>
      <c r="BU73" s="100">
        <f t="array" ref="BU73">IFERROR(SUMIFS($CB73:$CW73,$CB$17:$CW$17,BU$17,$CB$18:$CW$18,BU$18)/SUMPRODUCT(($CB$18:$CW$18=BU$18)*ABS($CB73:$CW73)),"-")</f>
        <v>1.4258238731169572E-4</v>
      </c>
      <c r="BV73" s="100">
        <f t="array" ref="BV73">IFERROR(SUMIFS($CB73:$CW73,$CB$17:$CW$17,BV$17,$CB$18:$CW$18,BV$18)/SUMPRODUCT(($CB$18:$CW$18=BV$18)*ABS($CB73:$CW73)),"-")</f>
        <v>0.89280525390012844</v>
      </c>
      <c r="BW73" s="100">
        <f t="array" ref="BW73">IFERROR(SUMIFS($CB73:$CW73,$CB$17:$CW$17,BW$17,$CB$18:$CW$18,BW$18)/SUMPRODUCT(($CB$18:$CW$18=BW$18)*ABS($CB73:$CW73)),"-")</f>
        <v>3.4090564297711883E-4</v>
      </c>
      <c r="BX73" s="101"/>
      <c r="BY73" s="100">
        <f t="array" ref="BY73">IFERROR(SUMIFS($CB73:$CW73,$CB$17:$CW$17,BY$17,$CB$18:$CW$18,BY$18)/SUMPRODUCT(($CB$18:$CW$18=BY$18)*ABS($CB73:$CW73)),"-")</f>
        <v>6.0813429914208334E-3</v>
      </c>
      <c r="BZ73" s="102">
        <f t="array" ref="BZ73">IFERROR(SUMIFS($CB73:$CW73,$CB$17:$CW$17,BZ$17,$CB$18:$CW$18,BZ$18)/SUMPRODUCT(($CB$18:$CW$18=BZ$18)*ABS($CB73:$CW73)),"-")</f>
        <v>0.99391865700857918</v>
      </c>
      <c r="CB73" s="103">
        <v>2.3820114999999999E-7</v>
      </c>
      <c r="CC73" s="97">
        <v>7.1814561000000003E-10</v>
      </c>
      <c r="CD73" s="97">
        <v>1.9624872999999999E-14</v>
      </c>
      <c r="CE73" s="97">
        <v>1.7867078E-9</v>
      </c>
      <c r="CF73" s="97">
        <v>1.2498080999999999E-11</v>
      </c>
      <c r="CG73" s="97">
        <v>5.6509860999999995E-10</v>
      </c>
      <c r="CH73" s="97">
        <v>3.5939545000000001E-7</v>
      </c>
      <c r="CI73" s="97">
        <v>8.0912482000000006E-11</v>
      </c>
      <c r="CJ73" s="97">
        <v>8.5205981999999998E-10</v>
      </c>
      <c r="CK73" s="97">
        <v>1.1356419E-10</v>
      </c>
      <c r="CL73" s="97">
        <v>1.5734302E-12</v>
      </c>
      <c r="CM73" s="97">
        <v>2.745388E-11</v>
      </c>
      <c r="CN73" s="97">
        <v>7.2855742999999999E-11</v>
      </c>
      <c r="CO73" s="97">
        <v>2.4940397E-12</v>
      </c>
      <c r="CP73" s="97">
        <v>6.8810162999999995E-10</v>
      </c>
      <c r="CQ73" s="97">
        <v>6.6971720999999998E-7</v>
      </c>
      <c r="CR73" s="97">
        <v>1.5616878000000001E-8</v>
      </c>
      <c r="CS73" s="97">
        <v>7.8406459999999999E-5</v>
      </c>
      <c r="CT73" s="97">
        <v>1.2814545E-2</v>
      </c>
      <c r="CU73" s="97">
        <v>4.7788469000000001E-10</v>
      </c>
      <c r="CV73" s="97">
        <v>5.9630052000000001E-12</v>
      </c>
      <c r="CW73" s="98">
        <v>8.9005179000000001E-17</v>
      </c>
    </row>
    <row r="74" spans="2:101" ht="12" customHeight="1" outlineLevel="1" x14ac:dyDescent="0.2">
      <c r="B74" s="104" t="s">
        <v>105</v>
      </c>
      <c r="C74" s="104" t="s">
        <v>121</v>
      </c>
      <c r="D74" s="2" t="s">
        <v>137</v>
      </c>
      <c r="E74" s="2" t="s">
        <v>141</v>
      </c>
      <c r="F74" s="105" t="s">
        <v>122</v>
      </c>
      <c r="G74" s="27" t="s">
        <v>1579</v>
      </c>
      <c r="H74" s="106" t="s">
        <v>128</v>
      </c>
      <c r="I74" s="107" t="s">
        <v>129</v>
      </c>
      <c r="J74" s="108">
        <v>0.81023034000000005</v>
      </c>
      <c r="K74" s="109"/>
      <c r="L74" s="109"/>
      <c r="M74" s="110"/>
      <c r="N74" s="161"/>
      <c r="O74" s="1056"/>
      <c r="P74" s="117">
        <v>4.3733065250669997E-7</v>
      </c>
      <c r="Q74" s="111">
        <v>1.866539640496708E-8</v>
      </c>
      <c r="R74" s="112">
        <v>1.0145851906E-2</v>
      </c>
      <c r="S74" s="1032">
        <v>0.17744946</v>
      </c>
      <c r="T74" s="1032">
        <v>7.6288909999999999E-7</v>
      </c>
      <c r="U74" s="1032">
        <v>7.6013483000000003E-4</v>
      </c>
      <c r="V74" s="1032">
        <v>6.0593785000000004E-4</v>
      </c>
      <c r="W74" s="1032">
        <v>2.0587561000000001E-4</v>
      </c>
      <c r="X74" s="1032">
        <v>6.1266604000000005E-4</v>
      </c>
      <c r="Y74" s="1032">
        <v>1.0616913999999999E-3</v>
      </c>
      <c r="Z74" s="1032">
        <v>2.0556112000000001E-5</v>
      </c>
      <c r="AA74" s="1032">
        <v>3.1071784000000002E-4</v>
      </c>
      <c r="AB74" s="1032">
        <v>1.6734582000000001E-2</v>
      </c>
      <c r="AC74" s="1032">
        <v>9.0165321999999997E-4</v>
      </c>
      <c r="AD74" s="1032">
        <v>1.2731915000000001E-3</v>
      </c>
      <c r="AE74" s="1032">
        <v>8.9832764E-5</v>
      </c>
      <c r="AF74" s="1032">
        <v>0.61990809000000002</v>
      </c>
      <c r="AG74" s="1032">
        <v>2.0093147</v>
      </c>
      <c r="AH74" s="1032">
        <v>6.9614251000000001E-5</v>
      </c>
      <c r="AI74" s="1032">
        <v>2.3602268999999999E-2</v>
      </c>
      <c r="AJ74" s="1036">
        <v>2.5317451000000002E-3</v>
      </c>
      <c r="AK74" s="1077">
        <v>0.17660556999999999</v>
      </c>
      <c r="AL74" s="1078">
        <v>1.2749683000000001E-9</v>
      </c>
      <c r="AM74" s="1078">
        <v>1.5579560999999999E-3</v>
      </c>
      <c r="AN74" s="1078">
        <v>6.6892022000000003E-4</v>
      </c>
      <c r="AO74" s="1078">
        <v>3.1570158000000001E-4</v>
      </c>
      <c r="AP74" s="1078">
        <v>1.3763314000000001E-3</v>
      </c>
      <c r="AQ74" s="1078">
        <v>2.5197245E-5</v>
      </c>
      <c r="AR74" s="1078">
        <v>1.1249804E-3</v>
      </c>
      <c r="AS74" s="1078">
        <v>5.0887092000000001E-5</v>
      </c>
      <c r="AT74" s="1078">
        <v>1.1268486E-4</v>
      </c>
      <c r="AU74" s="1078">
        <v>1.1247848E-4</v>
      </c>
      <c r="AV74" s="1078">
        <v>1.3680777E-2</v>
      </c>
      <c r="AW74" s="1078">
        <v>2.0093141999999999</v>
      </c>
      <c r="AX74" s="1078">
        <v>5.0832880000000004E-7</v>
      </c>
      <c r="AY74" s="1078">
        <v>-3.4935857E-9</v>
      </c>
      <c r="AZ74" s="1078">
        <v>7.8359220000000002E-4</v>
      </c>
      <c r="BA74" s="1078">
        <v>2.481672E-2</v>
      </c>
      <c r="BB74" s="1079">
        <v>2.5330359000000002E-3</v>
      </c>
      <c r="BC74" s="1035"/>
      <c r="BE74" s="113">
        <f t="array" ref="BE74">IFERROR(SUMIFS($CB74:$CW74,$CB$17:$CW$17,BE$17,$CB$18:$CW$18,BE$18)/SUMPRODUCT(($CB$18:$CW$18=BE$18)*ABS($CB74:$CW74)),"-")</f>
        <v>0.37662393215732032</v>
      </c>
      <c r="BF74" s="114">
        <f t="array" ref="BF74">IFERROR(SUMIFS($CB74:$CW74,$CB$17:$CW$17,BF$17,$CB$18:$CW$18,BF$18)/SUMPRODUCT(($CB$18:$CW$18=BF$18)*ABS($CB74:$CW74)),"-")</f>
        <v>9.2612911461493076E-4</v>
      </c>
      <c r="BG74" s="114">
        <f t="array" ref="BG74">IFERROR(SUMIFS($CB74:$CW74,$CB$17:$CW$17,BG$17,$CB$18:$CW$18,BG$18)/SUMPRODUCT(($CB$18:$CW$18=BG$18)*ABS($CB74:$CW74)),"-")</f>
        <v>1.4770029639989713E-5</v>
      </c>
      <c r="BH74" s="114">
        <f t="array" ref="BH74">IFERROR(SUMIFS($CB74:$CW74,$CB$17:$CW$17,BH$17,$CB$18:$CW$18,BH$18)/SUMPRODUCT(($CB$18:$CW$18=BH$18)*ABS($CB74:$CW74)),"-")</f>
        <v>1.2608642381671433E-3</v>
      </c>
      <c r="BI74" s="114">
        <f t="array" ref="BI74">IFERROR(SUMIFS($CB74:$CW74,$CB$17:$CW$17,BI$17,$CB$18:$CW$18,BI$18)/SUMPRODUCT(($CB$18:$CW$18=BI$18)*ABS($CB74:$CW74)),"-")</f>
        <v>0.29609426930808647</v>
      </c>
      <c r="BJ74" s="114">
        <f t="array" ref="BJ74">IFERROR(SUMIFS($CB74:$CW74,$CB$17:$CW$17,BJ$17,$CB$18:$CW$18,BJ$18)/SUMPRODUCT(($CB$18:$CW$18=BJ$18)*ABS($CB74:$CW74)),"-")</f>
        <v>6.8277800398504058E-4</v>
      </c>
      <c r="BK74" s="114">
        <f t="array" ref="BK74">IFERROR(SUMIFS($CB74:$CW74,$CB$17:$CW$17,BK$17,$CB$18:$CW$18,BK$18)/SUMPRODUCT(($CB$18:$CW$18=BK$18)*ABS($CB74:$CW74)),"-")</f>
        <v>0.32335041961833111</v>
      </c>
      <c r="BL74" s="114">
        <f t="array" ref="BL74">IFERROR(SUMIFS($CB74:$CW74,$CB$17:$CW$17,BL$17,$CB$18:$CW$18,BL$18)/SUMPRODUCT(($CB$18:$CW$18=BL$18)*ABS($CB74:$CW74)),"-")</f>
        <v>1.0468375298550248E-3</v>
      </c>
      <c r="BM74" s="115"/>
      <c r="BN74" s="114">
        <f t="array" ref="BN74">IFERROR(SUMIFS($CB74:$CW74,$CB$17:$CW$17,BN$17,$CB$18:$CW$18,BN$18)/SUMPRODUCT(($CB$18:$CW$18=BN$18)*ABS($CB74:$CW74)),"-")</f>
        <v>2.661847486216708E-2</v>
      </c>
      <c r="BO74" s="114">
        <f t="array" ref="BO74">IFERROR(SUMIFS($CB74:$CW74,$CB$17:$CW$17,BO$17,$CB$18:$CW$18,BO$18)/SUMPRODUCT(($CB$18:$CW$18=BO$18)*ABS($CB74:$CW74)),"-")</f>
        <v>4.2342367279683494E-3</v>
      </c>
      <c r="BP74" s="114">
        <f t="array" ref="BP74">IFERROR(SUMIFS($CB74:$CW74,$CB$17:$CW$17,BP$17,$CB$18:$CW$18,BP$18)/SUMPRODUCT(($CB$18:$CW$18=BP$18)*ABS($CB74:$CW74)),"-")</f>
        <v>1.2068232847176829E-2</v>
      </c>
      <c r="BQ74" s="114">
        <f t="array" ref="BQ74">IFERROR(SUMIFS($CB74:$CW74,$CB$17:$CW$17,BQ$17,$CB$18:$CW$18,BQ$18)/SUMPRODUCT(($CB$18:$CW$18=BQ$18)*ABS($CB74:$CW74)),"-")</f>
        <v>7.3887345871368458E-4</v>
      </c>
      <c r="BR74" s="114">
        <f t="array" ref="BR74">IFERROR(SUMIFS($CB74:$CW74,$CB$17:$CW$17,BR$17,$CB$18:$CW$18,BR$18)/SUMPRODUCT(($CB$18:$CW$18=BR$18)*ABS($CB74:$CW74)),"-")</f>
        <v>2.8282094231843938E-5</v>
      </c>
      <c r="BS74" s="114">
        <f t="array" ref="BS74">IFERROR(SUMIFS($CB74:$CW74,$CB$17:$CW$17,BS$17,$CB$18:$CW$18,BS$18)/SUMPRODUCT(($CB$18:$CW$18=BS$18)*ABS($CB74:$CW74)),"-")</f>
        <v>1.0217763173207912E-5</v>
      </c>
      <c r="BT74" s="114">
        <f t="array" ref="BT74">IFERROR(SUMIFS($CB74:$CW74,$CB$17:$CW$17,BT$17,$CB$18:$CW$18,BT$18)/SUMPRODUCT(($CB$18:$CW$18=BT$18)*ABS($CB74:$CW74)),"-")</f>
        <v>3.3433140473455733E-5</v>
      </c>
      <c r="BU74" s="114">
        <f t="array" ref="BU74">IFERROR(SUMIFS($CB74:$CW74,$CB$17:$CW$17,BU$17,$CB$18:$CW$18,BU$18)/SUMPRODUCT(($CB$18:$CW$18=BU$18)*ABS($CB74:$CW74)),"-")</f>
        <v>7.1644484316665044E-6</v>
      </c>
      <c r="BV74" s="114">
        <f t="array" ref="BV74">IFERROR(SUMIFS($CB74:$CW74,$CB$17:$CW$17,BV$17,$CB$18:$CW$18,BV$18)/SUMPRODUCT(($CB$18:$CW$18=BV$18)*ABS($CB74:$CW74)),"-")</f>
        <v>0.95592472899487135</v>
      </c>
      <c r="BW74" s="114">
        <f t="array" ref="BW74">IFERROR(SUMIFS($CB74:$CW74,$CB$17:$CW$17,BW$17,$CB$18:$CW$18,BW$18)/SUMPRODUCT(($CB$18:$CW$18=BW$18)*ABS($CB74:$CW74)),"-")</f>
        <v>3.3635566279258312E-4</v>
      </c>
      <c r="BX74" s="115"/>
      <c r="BY74" s="114">
        <f t="array" ref="BY74">IFERROR(SUMIFS($CB74:$CW74,$CB$17:$CW$17,BY$17,$CB$18:$CW$18,BY$18)/SUMPRODUCT(($CB$18:$CW$18=BY$18)*ABS($CB74:$CW74)),"-")</f>
        <v>1.5865504591566824E-3</v>
      </c>
      <c r="BZ74" s="116">
        <f t="array" ref="BZ74">IFERROR(SUMIFS($CB74:$CW74,$CB$17:$CW$17,BZ$17,$CB$18:$CW$18,BZ$18)/SUMPRODUCT(($CB$18:$CW$18=BZ$18)*ABS($CB74:$CW74)),"-")</f>
        <v>0.99841344954084343</v>
      </c>
      <c r="CB74" s="117">
        <v>1.6470919E-7</v>
      </c>
      <c r="CC74" s="111">
        <v>4.9683081000000002E-10</v>
      </c>
      <c r="CD74" s="111">
        <v>1.3574998E-14</v>
      </c>
      <c r="CE74" s="111">
        <v>4.0502465E-10</v>
      </c>
      <c r="CF74" s="111">
        <v>6.4593867000000001E-12</v>
      </c>
      <c r="CG74" s="111">
        <v>5.5141457999999999E-10</v>
      </c>
      <c r="CH74" s="111">
        <v>1.294911E-7</v>
      </c>
      <c r="CI74" s="111">
        <v>7.9033706999999998E-11</v>
      </c>
      <c r="CJ74" s="111">
        <v>2.2525835E-10</v>
      </c>
      <c r="CK74" s="111">
        <v>1.3791366E-11</v>
      </c>
      <c r="CL74" s="111">
        <v>5.278965E-13</v>
      </c>
      <c r="CM74" s="111">
        <v>1.9071859999999999E-13</v>
      </c>
      <c r="CN74" s="111">
        <v>6.2404282000000001E-13</v>
      </c>
      <c r="CO74" s="111">
        <v>1.3372727E-13</v>
      </c>
      <c r="CP74" s="111">
        <v>2.9859975000000001E-10</v>
      </c>
      <c r="CQ74" s="111">
        <v>1.4141104999999999E-7</v>
      </c>
      <c r="CR74" s="111">
        <v>1.7842714000000001E-8</v>
      </c>
      <c r="CS74" s="111">
        <v>1.6096906000000001E-5</v>
      </c>
      <c r="CT74" s="111">
        <v>1.0129755000000001E-2</v>
      </c>
      <c r="CU74" s="111">
        <v>4.5781413999999998E-10</v>
      </c>
      <c r="CV74" s="111">
        <v>6.2781341000000004E-12</v>
      </c>
      <c r="CW74" s="112">
        <v>7.7679078999999998E-17</v>
      </c>
    </row>
    <row r="75" spans="2:101" ht="12" customHeight="1" outlineLevel="1" x14ac:dyDescent="0.2">
      <c r="B75" s="104" t="s">
        <v>105</v>
      </c>
      <c r="C75" s="104" t="s">
        <v>121</v>
      </c>
      <c r="D75" s="2" t="s">
        <v>137</v>
      </c>
      <c r="E75" s="2" t="s">
        <v>141</v>
      </c>
      <c r="F75" s="105" t="s">
        <v>93</v>
      </c>
      <c r="G75" s="27" t="s">
        <v>1578</v>
      </c>
      <c r="H75" s="106" t="s">
        <v>130</v>
      </c>
      <c r="I75" s="107" t="s">
        <v>129</v>
      </c>
      <c r="J75" s="108">
        <v>0.81023034000000005</v>
      </c>
      <c r="K75" s="109"/>
      <c r="L75" s="109"/>
      <c r="M75" s="110"/>
      <c r="N75" s="161"/>
      <c r="O75" s="1056"/>
      <c r="P75" s="117">
        <v>5.8528340686720004E-7</v>
      </c>
      <c r="Q75" s="111">
        <v>2.4925922168305271E-8</v>
      </c>
      <c r="R75" s="112">
        <v>1.3548852938999999E-2</v>
      </c>
      <c r="S75" s="1032">
        <v>0.23696745</v>
      </c>
      <c r="T75" s="1032">
        <v>1.0187683000000001E-6</v>
      </c>
      <c r="U75" s="1032">
        <v>1.0150902E-3</v>
      </c>
      <c r="V75" s="1032">
        <v>8.0917431000000002E-4</v>
      </c>
      <c r="W75" s="1032">
        <v>2.7492796000000002E-4</v>
      </c>
      <c r="X75" s="1032">
        <v>8.1815917999999998E-4</v>
      </c>
      <c r="Y75" s="1032">
        <v>1.4177912999999999E-3</v>
      </c>
      <c r="Z75" s="1032">
        <v>2.7450797999999999E-5</v>
      </c>
      <c r="AA75" s="1032">
        <v>4.1493512000000002E-4</v>
      </c>
      <c r="AB75" s="1032">
        <v>2.2347496000000001E-2</v>
      </c>
      <c r="AC75" s="1032">
        <v>1.2046083999999999E-3</v>
      </c>
      <c r="AD75" s="1032">
        <v>1.7006668E-3</v>
      </c>
      <c r="AE75" s="1032">
        <v>1.2026193E-4</v>
      </c>
      <c r="AF75" s="1032">
        <v>0.83338674999999995</v>
      </c>
      <c r="AG75" s="1032">
        <v>2.6832550999999998</v>
      </c>
      <c r="AH75" s="1032">
        <v>9.2963434999999994E-5</v>
      </c>
      <c r="AI75" s="1032">
        <v>3.1518661000000003E-2</v>
      </c>
      <c r="AJ75" s="1036">
        <v>3.3809128000000001E-3</v>
      </c>
      <c r="AK75" s="1077">
        <v>0.23584051</v>
      </c>
      <c r="AL75" s="1078">
        <v>1.702603E-9</v>
      </c>
      <c r="AM75" s="1078">
        <v>2.0805071000000001E-3</v>
      </c>
      <c r="AN75" s="1078">
        <v>8.9328146999999997E-4</v>
      </c>
      <c r="AO75" s="1078">
        <v>4.2159043999999998E-4</v>
      </c>
      <c r="AP75" s="1078">
        <v>1.8379640000000001E-3</v>
      </c>
      <c r="AQ75" s="1078">
        <v>3.3648605000000002E-5</v>
      </c>
      <c r="AR75" s="1078">
        <v>1.5023079999999999E-3</v>
      </c>
      <c r="AS75" s="1078">
        <v>6.8344110000000003E-5</v>
      </c>
      <c r="AT75" s="1078">
        <v>1.5051198E-4</v>
      </c>
      <c r="AU75" s="1078">
        <v>1.5022188999999999E-4</v>
      </c>
      <c r="AV75" s="1078">
        <v>1.8398266999999999E-2</v>
      </c>
      <c r="AW75" s="1078">
        <v>2.6832544</v>
      </c>
      <c r="AX75" s="1078">
        <v>6.7882638999999998E-7</v>
      </c>
      <c r="AY75" s="1078">
        <v>-4.6653625999999997E-9</v>
      </c>
      <c r="AZ75" s="1078">
        <v>1.0464153999999999E-3</v>
      </c>
      <c r="BA75" s="1078">
        <v>3.3140449000000002E-2</v>
      </c>
      <c r="BB75" s="1079">
        <v>3.3826365999999998E-3</v>
      </c>
      <c r="BC75" s="1035"/>
      <c r="BE75" s="113">
        <f t="array" ref="BE75">IFERROR(SUMIFS($CB75:$CW75,$CB$17:$CW$17,BE$17,$CB$18:$CW$18,BE$18)/SUMPRODUCT(($CB$18:$CW$18=BE$18)*ABS($CB75:$CW75)),"-")</f>
        <v>0.37580766414911748</v>
      </c>
      <c r="BF75" s="114">
        <f t="array" ref="BF75">IFERROR(SUMIFS($CB75:$CW75,$CB$17:$CW$17,BF$17,$CB$18:$CW$18,BF$18)/SUMPRODUCT(($CB$18:$CW$18=BF$18)*ABS($CB75:$CW75)),"-")</f>
        <v>9.2412187609262496E-4</v>
      </c>
      <c r="BG75" s="114">
        <f t="array" ref="BG75">IFERROR(SUMIFS($CB75:$CW75,$CB$17:$CW$17,BG$17,$CB$18:$CW$18,BG$18)/SUMPRODUCT(($CB$18:$CW$18=BG$18)*ABS($CB75:$CW75)),"-")</f>
        <v>1.4738017683042241E-5</v>
      </c>
      <c r="BH75" s="114">
        <f t="array" ref="BH75">IFERROR(SUMIFS($CB75:$CW75,$CB$17:$CW$17,BH$17,$CB$18:$CW$18,BH$18)/SUMPRODUCT(($CB$18:$CW$18=BH$18)*ABS($CB75:$CW75)),"-")</f>
        <v>1.2581314989629968E-3</v>
      </c>
      <c r="BI75" s="114">
        <f t="array" ref="BI75">IFERROR(SUMIFS($CB75:$CW75,$CB$17:$CW$17,BI$17,$CB$18:$CW$18,BI$18)/SUMPRODUCT(($CB$18:$CW$18=BI$18)*ABS($CB75:$CW75)),"-")</f>
        <v>0.29545252431739633</v>
      </c>
      <c r="BJ75" s="114">
        <f t="array" ref="BJ75">IFERROR(SUMIFS($CB75:$CW75,$CB$17:$CW$17,BJ$17,$CB$18:$CW$18,BJ$18)/SUMPRODUCT(($CB$18:$CW$18=BJ$18)*ABS($CB75:$CW75)),"-")</f>
        <v>6.8299484541973652E-4</v>
      </c>
      <c r="BK75" s="114">
        <f t="array" ref="BK75">IFERROR(SUMIFS($CB75:$CW75,$CB$17:$CW$17,BK$17,$CB$18:$CW$18,BK$18)/SUMPRODUCT(($CB$18:$CW$18=BK$18)*ABS($CB75:$CW75)),"-")</f>
        <v>0.32481525662513011</v>
      </c>
      <c r="BL75" s="114">
        <f t="array" ref="BL75">IFERROR(SUMIFS($CB75:$CW75,$CB$17:$CW$17,BL$17,$CB$18:$CW$18,BL$18)/SUMPRODUCT(($CB$18:$CW$18=BL$18)*ABS($CB75:$CW75)),"-")</f>
        <v>1.0445686701976136E-3</v>
      </c>
      <c r="BM75" s="115"/>
      <c r="BN75" s="114">
        <f t="array" ref="BN75">IFERROR(SUMIFS($CB75:$CW75,$CB$17:$CW$17,BN$17,$CB$18:$CW$18,BN$18)/SUMPRODUCT(($CB$18:$CW$18=BN$18)*ABS($CB75:$CW75)),"-")</f>
        <v>2.6618474280789714E-2</v>
      </c>
      <c r="BO75" s="114">
        <f t="array" ref="BO75">IFERROR(SUMIFS($CB75:$CW75,$CB$17:$CW$17,BO$17,$CB$18:$CW$18,BO$18)/SUMPRODUCT(($CB$18:$CW$18=BO$18)*ABS($CB75:$CW75)),"-")</f>
        <v>4.2342365224185361E-3</v>
      </c>
      <c r="BP75" s="114">
        <f t="array" ref="BP75">IFERROR(SUMIFS($CB75:$CW75,$CB$17:$CW$17,BP$17,$CB$18:$CW$18,BP$18)/SUMPRODUCT(($CB$18:$CW$18=BP$18)*ABS($CB75:$CW75)),"-")</f>
        <v>1.2068232740552298E-2</v>
      </c>
      <c r="BQ75" s="114">
        <f t="array" ref="BQ75">IFERROR(SUMIFS($CB75:$CW75,$CB$17:$CW$17,BQ$17,$CB$18:$CW$18,BQ$18)/SUMPRODUCT(($CB$18:$CW$18=BQ$18)*ABS($CB75:$CW75)),"-")</f>
        <v>7.3887344571020098E-4</v>
      </c>
      <c r="BR75" s="114">
        <f t="array" ref="BR75">IFERROR(SUMIFS($CB75:$CW75,$CB$17:$CW$17,BR$17,$CB$18:$CW$18,BR$18)/SUMPRODUCT(($CB$18:$CW$18=BR$18)*ABS($CB75:$CW75)),"-")</f>
        <v>2.8282093446331678E-5</v>
      </c>
      <c r="BS75" s="114">
        <f t="array" ref="BS75">IFERROR(SUMIFS($CB75:$CW75,$CB$17:$CW$17,BS$17,$CB$18:$CW$18,BS$18)/SUMPRODUCT(($CB$18:$CW$18=BS$18)*ABS($CB75:$CW75)),"-")</f>
        <v>1.0217762788485684E-5</v>
      </c>
      <c r="BT75" s="114">
        <f t="array" ref="BT75">IFERROR(SUMIFS($CB75:$CW75,$CB$17:$CW$17,BT$17,$CB$18:$CW$18,BT$18)/SUMPRODUCT(($CB$18:$CW$18=BT$18)*ABS($CB75:$CW75)),"-")</f>
        <v>3.3448012650064592E-5</v>
      </c>
      <c r="BU75" s="114">
        <f t="array" ref="BU75">IFERROR(SUMIFS($CB75:$CW75,$CB$17:$CW$17,BU$17,$CB$18:$CW$18,BU$18)/SUMPRODUCT(($CB$18:$CW$18=BU$18)*ABS($CB75:$CW75)),"-")</f>
        <v>7.1662877222305366E-6</v>
      </c>
      <c r="BV75" s="114">
        <f t="array" ref="BV75">IFERROR(SUMIFS($CB75:$CW75,$CB$17:$CW$17,BV$17,$CB$18:$CW$18,BV$18)/SUMPRODUCT(($CB$18:$CW$18=BV$18)*ABS($CB75:$CW75)),"-")</f>
        <v>0.9559247132006925</v>
      </c>
      <c r="BW75" s="114">
        <f t="array" ref="BW75">IFERROR(SUMIFS($CB75:$CW75,$CB$17:$CW$17,BW$17,$CB$18:$CW$18,BW$18)/SUMPRODUCT(($CB$18:$CW$18=BW$18)*ABS($CB75:$CW75)),"-")</f>
        <v>3.3635565322958049E-4</v>
      </c>
      <c r="BX75" s="115"/>
      <c r="BY75" s="114">
        <f t="array" ref="BY75">IFERROR(SUMIFS($CB75:$CW75,$CB$17:$CW$17,BY$17,$CB$18:$CW$18,BY$18)/SUMPRODUCT(($CB$18:$CW$18=BY$18)*ABS($CB75:$CW75)),"-")</f>
        <v>1.5865504701231593E-3</v>
      </c>
      <c r="BZ75" s="116">
        <f t="array" ref="BZ75">IFERROR(SUMIFS($CB75:$CW75,$CB$17:$CW$17,BZ$17,$CB$18:$CW$18,BZ$18)/SUMPRODUCT(($CB$18:$CW$18=BZ$18)*ABS($CB75:$CW75)),"-")</f>
        <v>0.99841344952987687</v>
      </c>
      <c r="CB75" s="117">
        <v>2.1995399E-7</v>
      </c>
      <c r="CC75" s="111">
        <v>6.6347189000000003E-10</v>
      </c>
      <c r="CD75" s="111">
        <v>1.8128162E-14</v>
      </c>
      <c r="CE75" s="111">
        <v>5.408732E-10</v>
      </c>
      <c r="CF75" s="111">
        <v>8.6259172000000005E-12</v>
      </c>
      <c r="CG75" s="111">
        <v>7.3636348999999996E-10</v>
      </c>
      <c r="CH75" s="111">
        <v>1.7292345999999999E-7</v>
      </c>
      <c r="CI75" s="111">
        <v>1.0554225E-10</v>
      </c>
      <c r="CJ75" s="111">
        <v>3.0081183E-10</v>
      </c>
      <c r="CK75" s="111">
        <v>1.8417102E-11</v>
      </c>
      <c r="CL75" s="111">
        <v>7.0495725999999997E-13</v>
      </c>
      <c r="CM75" s="111">
        <v>2.5468716E-13</v>
      </c>
      <c r="CN75" s="111">
        <v>8.3372256000000005E-13</v>
      </c>
      <c r="CO75" s="111">
        <v>1.7862633000000001E-13</v>
      </c>
      <c r="CP75" s="111">
        <v>3.9974555000000002E-10</v>
      </c>
      <c r="CQ75" s="111">
        <v>1.9010898000000001E-7</v>
      </c>
      <c r="CR75" s="111">
        <v>2.3827305E-8</v>
      </c>
      <c r="CS75" s="111">
        <v>2.1495938999999999E-5</v>
      </c>
      <c r="CT75" s="111">
        <v>1.3527357E-2</v>
      </c>
      <c r="CU75" s="111">
        <v>6.1136870999999997E-10</v>
      </c>
      <c r="CV75" s="111">
        <v>8.3838710999999997E-12</v>
      </c>
      <c r="CW75" s="112">
        <v>1.0373327E-16</v>
      </c>
    </row>
    <row r="76" spans="2:101" ht="12" customHeight="1" outlineLevel="1" x14ac:dyDescent="0.2">
      <c r="B76" s="104" t="s">
        <v>105</v>
      </c>
      <c r="C76" s="104" t="s">
        <v>121</v>
      </c>
      <c r="D76" s="2" t="s">
        <v>137</v>
      </c>
      <c r="E76" s="2" t="s">
        <v>141</v>
      </c>
      <c r="F76" s="105" t="s">
        <v>94</v>
      </c>
      <c r="G76" s="27" t="s">
        <v>1580</v>
      </c>
      <c r="H76" s="106" t="s">
        <v>131</v>
      </c>
      <c r="I76" s="107" t="s">
        <v>129</v>
      </c>
      <c r="J76" s="108">
        <v>0.81023034000000005</v>
      </c>
      <c r="K76" s="109"/>
      <c r="L76" s="109"/>
      <c r="M76" s="110"/>
      <c r="N76" s="161"/>
      <c r="O76" s="1056"/>
      <c r="P76" s="117">
        <v>3.4875444608610003E-7</v>
      </c>
      <c r="Q76" s="111">
        <v>1.4917339536835932E-8</v>
      </c>
      <c r="R76" s="112">
        <v>8.1085400080000009E-3</v>
      </c>
      <c r="S76" s="1032">
        <v>0.14181717999999999</v>
      </c>
      <c r="T76" s="1032">
        <v>6.0969912000000005E-7</v>
      </c>
      <c r="U76" s="1032">
        <v>6.0749790999999997E-4</v>
      </c>
      <c r="V76" s="1032">
        <v>4.8426406000000001E-4</v>
      </c>
      <c r="W76" s="1032">
        <v>1.6453529E-4</v>
      </c>
      <c r="X76" s="1032">
        <v>4.8964121E-4</v>
      </c>
      <c r="Y76" s="1032">
        <v>8.4850116999999996E-4</v>
      </c>
      <c r="Z76" s="1032">
        <v>1.6428394E-5</v>
      </c>
      <c r="AA76" s="1032">
        <v>2.4832494E-4</v>
      </c>
      <c r="AB76" s="1032">
        <v>1.3374237000000001E-2</v>
      </c>
      <c r="AC76" s="1032">
        <v>7.2027986000000003E-4</v>
      </c>
      <c r="AD76" s="1032">
        <v>1.0172702999999999E-3</v>
      </c>
      <c r="AE76" s="1032">
        <v>7.1615464000000001E-5</v>
      </c>
      <c r="AF76" s="1032">
        <v>0.49210367999999999</v>
      </c>
      <c r="AG76" s="1032">
        <v>1.6058394</v>
      </c>
      <c r="AH76" s="1032">
        <v>5.5635540000000002E-5</v>
      </c>
      <c r="AI76" s="1032">
        <v>1.8862876000000001E-2</v>
      </c>
      <c r="AJ76" s="1036">
        <v>2.0233644999999999E-3</v>
      </c>
      <c r="AK76" s="1077">
        <v>0.14114273999999999</v>
      </c>
      <c r="AL76" s="1078">
        <v>1.0189516E-9</v>
      </c>
      <c r="AM76" s="1078">
        <v>1.2451147000000001E-3</v>
      </c>
      <c r="AN76" s="1078">
        <v>5.3459940999999996E-4</v>
      </c>
      <c r="AO76" s="1078">
        <v>2.5230792999999998E-4</v>
      </c>
      <c r="AP76" s="1078">
        <v>1.0999606999999999E-3</v>
      </c>
      <c r="AQ76" s="1078">
        <v>2.0137576999999999E-5</v>
      </c>
      <c r="AR76" s="1078">
        <v>8.9908162000000005E-4</v>
      </c>
      <c r="AS76" s="1078">
        <v>4.0435992000000002E-5</v>
      </c>
      <c r="AT76" s="1078">
        <v>9.0038499000000006E-5</v>
      </c>
      <c r="AU76" s="1078">
        <v>8.9882215999999995E-5</v>
      </c>
      <c r="AV76" s="1078">
        <v>1.0856533999999999E-2</v>
      </c>
      <c r="AW76" s="1078">
        <v>1.605839</v>
      </c>
      <c r="AX76" s="1078">
        <v>4.0625513999999999E-7</v>
      </c>
      <c r="AY76" s="1078">
        <v>-2.7920652E-9</v>
      </c>
      <c r="AZ76" s="1078">
        <v>6.2624497999999996E-4</v>
      </c>
      <c r="BA76" s="1078">
        <v>1.9833462999999999E-2</v>
      </c>
      <c r="BB76" s="1079">
        <v>2.0243961E-3</v>
      </c>
      <c r="BC76" s="1035"/>
      <c r="BE76" s="113">
        <f t="array" ref="BE76">IFERROR(SUMIFS($CB76:$CW76,$CB$17:$CW$17,BE$17,$CB$18:$CW$18,BE$18)/SUMPRODUCT(($CB$18:$CW$18=BE$18)*ABS($CB76:$CW76)),"-")</f>
        <v>0.37744376158433857</v>
      </c>
      <c r="BF76" s="114">
        <f t="array" ref="BF76">IFERROR(SUMIFS($CB76:$CW76,$CB$17:$CW$17,BF$17,$CB$18:$CW$18,BF$18)/SUMPRODUCT(($CB$18:$CW$18=BF$18)*ABS($CB76:$CW76)),"-")</f>
        <v>9.2814507064402179E-4</v>
      </c>
      <c r="BG76" s="114">
        <f t="array" ref="BG76">IFERROR(SUMIFS($CB76:$CW76,$CB$17:$CW$17,BG$17,$CB$18:$CW$18,BG$18)/SUMPRODUCT(($CB$18:$CW$18=BG$18)*ABS($CB76:$CW76)),"-")</f>
        <v>1.4802180037944324E-5</v>
      </c>
      <c r="BH76" s="114">
        <f t="array" ref="BH76">IFERROR(SUMIFS($CB76:$CW76,$CB$17:$CW$17,BH$17,$CB$18:$CW$18,BH$18)/SUMPRODUCT(($CB$18:$CW$18=BH$18)*ABS($CB76:$CW76)),"-")</f>
        <v>1.2636088082765352E-3</v>
      </c>
      <c r="BI76" s="114">
        <f t="array" ref="BI76">IFERROR(SUMIFS($CB76:$CW76,$CB$17:$CW$17,BI$17,$CB$18:$CW$18,BI$18)/SUMPRODUCT(($CB$18:$CW$18=BI$18)*ABS($CB76:$CW76)),"-")</f>
        <v>0.2967387832941083</v>
      </c>
      <c r="BJ76" s="114">
        <f t="array" ref="BJ76">IFERROR(SUMIFS($CB76:$CW76,$CB$17:$CW$17,BJ$17,$CB$18:$CW$18,BJ$18)/SUMPRODUCT(($CB$18:$CW$18=BJ$18)*ABS($CB76:$CW76)),"-")</f>
        <v>6.8256018717889426E-4</v>
      </c>
      <c r="BK76" s="114">
        <f t="array" ref="BK76">IFERROR(SUMIFS($CB76:$CW76,$CB$17:$CW$17,BK$17,$CB$18:$CW$18,BK$18)/SUMPRODUCT(($CB$18:$CW$18=BK$18)*ABS($CB76:$CW76)),"-")</f>
        <v>0.32187922264447971</v>
      </c>
      <c r="BL76" s="114">
        <f t="array" ref="BL76">IFERROR(SUMIFS($CB76:$CW76,$CB$17:$CW$17,BL$17,$CB$18:$CW$18,BL$18)/SUMPRODUCT(($CB$18:$CW$18=BL$18)*ABS($CB76:$CW76)),"-")</f>
        <v>1.0491162309359378E-3</v>
      </c>
      <c r="BM76" s="115"/>
      <c r="BN76" s="114">
        <f t="array" ref="BN76">IFERROR(SUMIFS($CB76:$CW76,$CB$17:$CW$17,BN$17,$CB$18:$CW$18,BN$18)/SUMPRODUCT(($CB$18:$CW$18=BN$18)*ABS($CB76:$CW76)),"-")</f>
        <v>2.6618474971658562E-2</v>
      </c>
      <c r="BO76" s="114">
        <f t="array" ref="BO76">IFERROR(SUMIFS($CB76:$CW76,$CB$17:$CW$17,BO$17,$CB$18:$CW$18,BO$18)/SUMPRODUCT(($CB$18:$CW$18=BO$18)*ABS($CB76:$CW76)),"-")</f>
        <v>4.2342366642542355E-3</v>
      </c>
      <c r="BP76" s="114">
        <f t="array" ref="BP76">IFERROR(SUMIFS($CB76:$CW76,$CB$17:$CW$17,BP$17,$CB$18:$CW$18,BP$18)/SUMPRODUCT(($CB$18:$CW$18=BP$18)*ABS($CB76:$CW76)),"-")</f>
        <v>1.2068233048892893E-2</v>
      </c>
      <c r="BQ76" s="114">
        <f t="array" ref="BQ76">IFERROR(SUMIFS($CB76:$CW76,$CB$17:$CW$17,BQ$17,$CB$18:$CW$18,BQ$18)/SUMPRODUCT(($CB$18:$CW$18=BQ$18)*ABS($CB76:$CW76)),"-")</f>
        <v>7.3887344139234132E-4</v>
      </c>
      <c r="BR76" s="114">
        <f t="array" ref="BR76">IFERROR(SUMIFS($CB76:$CW76,$CB$17:$CW$17,BR$17,$CB$18:$CW$18,BR$18)/SUMPRODUCT(($CB$18:$CW$18=BR$18)*ABS($CB76:$CW76)),"-")</f>
        <v>2.8282094066318104E-5</v>
      </c>
      <c r="BS76" s="114">
        <f t="array" ref="BS76">IFERROR(SUMIFS($CB76:$CW76,$CB$17:$CW$17,BS$17,$CB$18:$CW$18,BS$18)/SUMPRODUCT(($CB$18:$CW$18=BS$18)*ABS($CB76:$CW76)),"-")</f>
        <v>1.0217763001480201E-5</v>
      </c>
      <c r="BT76" s="114">
        <f t="array" ref="BT76">IFERROR(SUMIFS($CB76:$CW76,$CB$17:$CW$17,BT$17,$CB$18:$CW$18,BT$18)/SUMPRODUCT(($CB$18:$CW$18=BT$18)*ABS($CB76:$CW76)),"-")</f>
        <v>3.3418267296859936E-5</v>
      </c>
      <c r="BU76" s="114">
        <f t="array" ref="BU76">IFERROR(SUMIFS($CB76:$CW76,$CB$17:$CW$17,BU$17,$CB$18:$CW$18,BU$18)/SUMPRODUCT(($CB$18:$CW$18=BU$18)*ABS($CB76:$CW76)),"-")</f>
        <v>7.1626089716707614E-6</v>
      </c>
      <c r="BV76" s="114">
        <f t="array" ref="BV76">IFERROR(SUMIFS($CB76:$CW76,$CB$17:$CW$17,BV$17,$CB$18:$CW$18,BV$18)/SUMPRODUCT(($CB$18:$CW$18=BV$18)*ABS($CB76:$CW76)),"-")</f>
        <v>0.95592474548076223</v>
      </c>
      <c r="BW76" s="114">
        <f t="array" ref="BW76">IFERROR(SUMIFS($CB76:$CW76,$CB$17:$CW$17,BW$17,$CB$18:$CW$18,BW$18)/SUMPRODUCT(($CB$18:$CW$18=BW$18)*ABS($CB76:$CW76)),"-")</f>
        <v>3.3635565970332884E-4</v>
      </c>
      <c r="BX76" s="115"/>
      <c r="BY76" s="114">
        <f t="array" ref="BY76">IFERROR(SUMIFS($CB76:$CW76,$CB$17:$CW$17,BY$17,$CB$18:$CW$18,BY$18)/SUMPRODUCT(($CB$18:$CW$18=BY$18)*ABS($CB76:$CW76)),"-")</f>
        <v>1.5865504748459767E-3</v>
      </c>
      <c r="BZ76" s="116">
        <f t="array" ref="BZ76">IFERROR(SUMIFS($CB76:$CW76,$CB$17:$CW$17,BZ$17,$CB$18:$CW$18,BZ$18)/SUMPRODUCT(($CB$18:$CW$18=BZ$18)*ABS($CB76:$CW76)),"-")</f>
        <v>0.99841344952515398</v>
      </c>
      <c r="CB76" s="117">
        <v>1.3163519E-7</v>
      </c>
      <c r="CC76" s="111">
        <v>3.9706597999999999E-10</v>
      </c>
      <c r="CD76" s="111">
        <v>1.0849104999999999E-14</v>
      </c>
      <c r="CE76" s="111">
        <v>3.2369471999999998E-10</v>
      </c>
      <c r="CF76" s="111">
        <v>5.1623261E-12</v>
      </c>
      <c r="CG76" s="111">
        <v>4.4068919000000002E-10</v>
      </c>
      <c r="CH76" s="111">
        <v>1.0348897E-7</v>
      </c>
      <c r="CI76" s="111">
        <v>6.3163545999999997E-11</v>
      </c>
      <c r="CJ76" s="111">
        <v>1.8002592999999999E-10</v>
      </c>
      <c r="CK76" s="111">
        <v>1.1022025999999999E-11</v>
      </c>
      <c r="CL76" s="111">
        <v>4.2189359999999999E-13</v>
      </c>
      <c r="CM76" s="111">
        <v>1.5242183999999999E-13</v>
      </c>
      <c r="CN76" s="111">
        <v>4.9851164000000002E-13</v>
      </c>
      <c r="CO76" s="111">
        <v>1.0684707E-13</v>
      </c>
      <c r="CP76" s="111">
        <v>2.3804590000000001E-10</v>
      </c>
      <c r="CQ76" s="111">
        <v>1.1225681E-7</v>
      </c>
      <c r="CR76" s="111">
        <v>1.4259854E-8</v>
      </c>
      <c r="CS76" s="111">
        <v>1.2864608000000001E-5</v>
      </c>
      <c r="CT76" s="111">
        <v>8.0956754000000002E-3</v>
      </c>
      <c r="CU76" s="111">
        <v>3.6588395E-10</v>
      </c>
      <c r="CV76" s="111">
        <v>5.0174694999999997E-12</v>
      </c>
      <c r="CW76" s="112">
        <v>6.2080931000000002E-17</v>
      </c>
    </row>
    <row r="77" spans="2:101" ht="12" customHeight="1" outlineLevel="1" x14ac:dyDescent="0.2">
      <c r="B77" s="104" t="s">
        <v>105</v>
      </c>
      <c r="C77" s="104" t="s">
        <v>121</v>
      </c>
      <c r="D77" s="2" t="s">
        <v>137</v>
      </c>
      <c r="E77" s="2" t="s">
        <v>141</v>
      </c>
      <c r="F77" s="105" t="s">
        <v>95</v>
      </c>
      <c r="G77" s="27" t="s">
        <v>1581</v>
      </c>
      <c r="H77" s="106" t="s">
        <v>128</v>
      </c>
      <c r="I77" s="107" t="s">
        <v>127</v>
      </c>
      <c r="J77" s="108">
        <v>0.81023034000000005</v>
      </c>
      <c r="K77" s="109"/>
      <c r="L77" s="109"/>
      <c r="M77" s="110"/>
      <c r="N77" s="161"/>
      <c r="O77" s="1056"/>
      <c r="P77" s="117">
        <v>1.2594892062986001E-6</v>
      </c>
      <c r="Q77" s="111">
        <v>1.9394452573763654E-8</v>
      </c>
      <c r="R77" s="112">
        <v>1.0862460451E-2</v>
      </c>
      <c r="S77" s="1032">
        <v>0.20895659999999999</v>
      </c>
      <c r="T77" s="1032">
        <v>1.735909E-6</v>
      </c>
      <c r="U77" s="1032">
        <v>7.6643792999999999E-4</v>
      </c>
      <c r="V77" s="1032">
        <v>6.5713733999999996E-4</v>
      </c>
      <c r="W77" s="1032">
        <v>5.4588293999999996E-4</v>
      </c>
      <c r="X77" s="1032">
        <v>6.6412025999999997E-4</v>
      </c>
      <c r="Y77" s="1032">
        <v>3.8074341000000002E-3</v>
      </c>
      <c r="Z77" s="1032">
        <v>9.5159884000000006E-5</v>
      </c>
      <c r="AA77" s="1032">
        <v>6.9955954999999996E-4</v>
      </c>
      <c r="AB77" s="1032">
        <v>2.8885583999999999E-2</v>
      </c>
      <c r="AC77" s="1032">
        <v>1.6390415999999999E-3</v>
      </c>
      <c r="AD77" s="1032">
        <v>2.1499036000000001E-3</v>
      </c>
      <c r="AE77" s="1032">
        <v>1.7227200000000001E-4</v>
      </c>
      <c r="AF77" s="1032">
        <v>3.1542341</v>
      </c>
      <c r="AG77" s="1032">
        <v>2.0093147</v>
      </c>
      <c r="AH77" s="1032">
        <v>6.9781064000000003E-5</v>
      </c>
      <c r="AI77" s="1032">
        <v>2.5190909000000001E-2</v>
      </c>
      <c r="AJ77" s="1036">
        <v>2.5322095999999999E-3</v>
      </c>
      <c r="AK77" s="1077">
        <v>0.20806821</v>
      </c>
      <c r="AL77" s="1078">
        <v>1.2854829999999999E-9</v>
      </c>
      <c r="AM77" s="1078">
        <v>1.5707517E-3</v>
      </c>
      <c r="AN77" s="1078">
        <v>7.2312739000000002E-4</v>
      </c>
      <c r="AO77" s="1078">
        <v>7.7347669E-4</v>
      </c>
      <c r="AP77" s="1078">
        <v>4.8134578000000004E-3</v>
      </c>
      <c r="AQ77" s="1078">
        <v>9.9814821000000003E-5</v>
      </c>
      <c r="AR77" s="1078">
        <v>2.5877042999999998E-3</v>
      </c>
      <c r="AS77" s="1078">
        <v>3.0409859000000002E-4</v>
      </c>
      <c r="AT77" s="1078">
        <v>1.5695016999999999E-4</v>
      </c>
      <c r="AU77" s="1078">
        <v>1.4546025000000001E-4</v>
      </c>
      <c r="AV77" s="1078">
        <v>5.0224340999999999E-2</v>
      </c>
      <c r="AW77" s="1078">
        <v>2.0093141999999999</v>
      </c>
      <c r="AX77" s="1078">
        <v>5.0832880000000004E-7</v>
      </c>
      <c r="AY77" s="1078">
        <v>-3.4935857E-9</v>
      </c>
      <c r="AZ77" s="1078">
        <v>7.8481058E-4</v>
      </c>
      <c r="BA77" s="1078">
        <v>2.6467386999999998E-2</v>
      </c>
      <c r="BB77" s="1079">
        <v>2.5335003999999999E-3</v>
      </c>
      <c r="BC77" s="1035"/>
      <c r="BE77" s="113">
        <f t="array" ref="BE77">IFERROR(SUMIFS($CB77:$CW77,$CB$17:$CW$17,BE$17,$CB$18:$CW$18,BE$18)/SUMPRODUCT(($CB$18:$CW$18=BE$18)*ABS($CB77:$CW77)),"-")</f>
        <v>0.15402147873112393</v>
      </c>
      <c r="BF77" s="114">
        <f t="array" ref="BF77">IFERROR(SUMIFS($CB77:$CW77,$CB$17:$CW$17,BF$17,$CB$18:$CW$18,BF$18)/SUMPRODUCT(($CB$18:$CW$18=BF$18)*ABS($CB77:$CW77)),"-")</f>
        <v>7.3173295601987429E-4</v>
      </c>
      <c r="BG77" s="114">
        <f t="array" ref="BG77">IFERROR(SUMIFS($CB77:$CW77,$CB$17:$CW$17,BG$17,$CB$18:$CW$18,BG$18)/SUMPRODUCT(($CB$18:$CW$18=BG$18)*ABS($CB77:$CW77)),"-")</f>
        <v>5.1711031483471941E-6</v>
      </c>
      <c r="BH77" s="114">
        <f t="array" ref="BH77">IFERROR(SUMIFS($CB77:$CW77,$CB$17:$CW$17,BH$17,$CB$18:$CW$18,BH$18)/SUMPRODUCT(($CB$18:$CW$18=BH$18)*ABS($CB77:$CW77)),"-")</f>
        <v>4.7480055169144854E-4</v>
      </c>
      <c r="BI77" s="114">
        <f t="array" ref="BI77">IFERROR(SUMIFS($CB77:$CW77,$CB$17:$CW$17,BI$17,$CB$18:$CW$18,BI$18)/SUMPRODUCT(($CB$18:$CW$18=BI$18)*ABS($CB77:$CW77)),"-")</f>
        <v>0.27265877173272424</v>
      </c>
      <c r="BJ77" s="114">
        <f t="array" ref="BJ77">IFERROR(SUMIFS($CB77:$CW77,$CB$17:$CW$17,BJ$17,$CB$18:$CW$18,BJ$18)/SUMPRODUCT(($CB$18:$CW$18=BJ$18)*ABS($CB77:$CW77)),"-")</f>
        <v>4.5468592913390217E-4</v>
      </c>
      <c r="BK77" s="114">
        <f t="array" ref="BK77">IFERROR(SUMIFS($CB77:$CW77,$CB$17:$CW$17,BK$17,$CB$18:$CW$18,BK$18)/SUMPRODUCT(($CB$18:$CW$18=BK$18)*ABS($CB77:$CW77)),"-")</f>
        <v>0.57128904829170335</v>
      </c>
      <c r="BL77" s="114">
        <f t="array" ref="BL77">IFERROR(SUMIFS($CB77:$CW77,$CB$17:$CW$17,BL$17,$CB$18:$CW$18,BL$18)/SUMPRODUCT(($CB$18:$CW$18=BL$18)*ABS($CB77:$CW77)),"-")</f>
        <v>3.6431070445491125E-4</v>
      </c>
      <c r="BM77" s="115"/>
      <c r="BN77" s="114">
        <f t="array" ref="BN77">IFERROR(SUMIFS($CB77:$CW77,$CB$17:$CW$17,BN$17,$CB$18:$CW$18,BN$18)/SUMPRODUCT(($CB$18:$CW$18=BN$18)*ABS($CB77:$CW77)),"-")</f>
        <v>3.0164883145266826E-2</v>
      </c>
      <c r="BO77" s="114">
        <f t="array" ref="BO77">IFERROR(SUMIFS($CB77:$CW77,$CB$17:$CW$17,BO$17,$CB$18:$CW$18,BO$18)/SUMPRODUCT(($CB$18:$CW$18=BO$18)*ABS($CB77:$CW77)),"-")</f>
        <v>4.4173101908477723E-3</v>
      </c>
      <c r="BP77" s="114">
        <f t="array" ref="BP77">IFERROR(SUMIFS($CB77:$CW77,$CB$17:$CW$17,BP$17,$CB$18:$CW$18,BP$18)/SUMPRODUCT(($CB$18:$CW$18=BP$18)*ABS($CB77:$CW77)),"-")</f>
        <v>4.1662537621354301E-2</v>
      </c>
      <c r="BQ77" s="114">
        <f t="array" ref="BQ77">IFERROR(SUMIFS($CB77:$CW77,$CB$17:$CW$17,BQ$17,$CB$18:$CW$18,BQ$18)/SUMPRODUCT(($CB$18:$CW$18=BQ$18)*ABS($CB77:$CW77)),"-")</f>
        <v>3.2922039824096611E-3</v>
      </c>
      <c r="BR77" s="114">
        <f t="array" ref="BR77">IFERROR(SUMIFS($CB77:$CW77,$CB$17:$CW$17,BR$17,$CB$18:$CW$18,BR$18)/SUMPRODUCT(($CB$18:$CW$18=BR$18)*ABS($CB77:$CW77)),"-")</f>
        <v>6.1281533751965936E-5</v>
      </c>
      <c r="BS77" s="114">
        <f t="array" ref="BS77">IFERROR(SUMIFS($CB77:$CW77,$CB$17:$CW$17,BS$17,$CB$18:$CW$18,BS$18)/SUMPRODUCT(($CB$18:$CW$18=BS$18)*ABS($CB77:$CW77)),"-")</f>
        <v>1.6978410127721337E-5</v>
      </c>
      <c r="BT77" s="114">
        <f t="array" ref="BT77">IFERROR(SUMIFS($CB77:$CW77,$CB$17:$CW$17,BT$17,$CB$18:$CW$18,BT$18)/SUMPRODUCT(($CB$18:$CW$18=BT$18)*ABS($CB77:$CW77)),"-")</f>
        <v>5.8530308895422062E-5</v>
      </c>
      <c r="BU77" s="114">
        <f t="array" ref="BU77">IFERROR(SUMIFS($CB77:$CW77,$CB$17:$CW$17,BU$17,$CB$18:$CW$18,BU$18)/SUMPRODUCT(($CB$18:$CW$18=BU$18)*ABS($CB77:$CW77)),"-")</f>
        <v>1.1642807609092547E-5</v>
      </c>
      <c r="BV77" s="114">
        <f t="array" ref="BV77">IFERROR(SUMIFS($CB77:$CW77,$CB$17:$CW$17,BV$17,$CB$18:$CW$18,BV$18)/SUMPRODUCT(($CB$18:$CW$18=BV$18)*ABS($CB77:$CW77)),"-")</f>
        <v>0.91999059690590046</v>
      </c>
      <c r="BW77" s="114">
        <f t="array" ref="BW77">IFERROR(SUMIFS($CB77:$CW77,$CB$17:$CW$17,BW$17,$CB$18:$CW$18,BW$18)/SUMPRODUCT(($CB$18:$CW$18=BW$18)*ABS($CB77:$CW77)),"-")</f>
        <v>3.2403509383690967E-4</v>
      </c>
      <c r="BX77" s="115"/>
      <c r="BY77" s="114">
        <f t="array" ref="BY77">IFERROR(SUMIFS($CB77:$CW77,$CB$17:$CW$17,BY$17,$CB$18:$CW$18,BY$18)/SUMPRODUCT(($CB$18:$CW$18=BY$18)*ABS($CB77:$CW77)),"-")</f>
        <v>1.4854324278358655E-3</v>
      </c>
      <c r="BZ77" s="116">
        <f t="array" ref="BZ77">IFERROR(SUMIFS($CB77:$CW77,$CB$17:$CW$17,BZ$17,$CB$18:$CW$18,BZ$18)/SUMPRODUCT(($CB$18:$CW$18=BZ$18)*ABS($CB77:$CW77)),"-")</f>
        <v>0.99851456757216417</v>
      </c>
      <c r="CB77" s="117">
        <v>1.9398838999999999E-7</v>
      </c>
      <c r="CC77" s="111">
        <v>5.8501541000000004E-10</v>
      </c>
      <c r="CD77" s="111">
        <v>1.5985553999999999E-14</v>
      </c>
      <c r="CE77" s="111">
        <v>9.2160975999999995E-10</v>
      </c>
      <c r="CF77" s="111">
        <v>6.5129485999999996E-12</v>
      </c>
      <c r="CG77" s="111">
        <v>5.9800616999999998E-10</v>
      </c>
      <c r="CH77" s="111">
        <v>3.4341078E-7</v>
      </c>
      <c r="CI77" s="111">
        <v>8.5671313000000002E-11</v>
      </c>
      <c r="CJ77" s="111">
        <v>8.0802210999999996E-10</v>
      </c>
      <c r="CK77" s="111">
        <v>6.3850494000000005E-11</v>
      </c>
      <c r="CL77" s="111">
        <v>1.1885218000000001E-12</v>
      </c>
      <c r="CM77" s="111">
        <v>3.2928696999999998E-13</v>
      </c>
      <c r="CN77" s="111">
        <v>1.1351633000000001E-12</v>
      </c>
      <c r="CO77" s="111">
        <v>2.2580588000000001E-13</v>
      </c>
      <c r="CP77" s="111">
        <v>5.7267201999999995E-10</v>
      </c>
      <c r="CQ77" s="111">
        <v>7.1953239000000003E-7</v>
      </c>
      <c r="CR77" s="111">
        <v>1.7842714000000001E-8</v>
      </c>
      <c r="CS77" s="111">
        <v>1.6135451000000001E-5</v>
      </c>
      <c r="CT77" s="111">
        <v>1.0846325E-2</v>
      </c>
      <c r="CU77" s="111">
        <v>4.588454E-10</v>
      </c>
      <c r="CV77" s="111">
        <v>6.2844053E-12</v>
      </c>
      <c r="CW77" s="112">
        <v>7.7959655000000002E-17</v>
      </c>
    </row>
    <row r="78" spans="2:101" ht="12" customHeight="1" outlineLevel="1" x14ac:dyDescent="0.2">
      <c r="B78" s="104" t="s">
        <v>105</v>
      </c>
      <c r="C78" s="104" t="s">
        <v>121</v>
      </c>
      <c r="D78" s="2" t="s">
        <v>137</v>
      </c>
      <c r="E78" s="2" t="s">
        <v>141</v>
      </c>
      <c r="F78" s="105" t="s">
        <v>96</v>
      </c>
      <c r="G78" s="27" t="s">
        <v>1582</v>
      </c>
      <c r="H78" s="106" t="s">
        <v>128</v>
      </c>
      <c r="I78" s="107" t="s">
        <v>1577</v>
      </c>
      <c r="J78" s="108">
        <v>0.81023034000000005</v>
      </c>
      <c r="K78" s="109"/>
      <c r="L78" s="109"/>
      <c r="M78" s="110"/>
      <c r="N78" s="161"/>
      <c r="O78" s="1056"/>
      <c r="P78" s="117">
        <v>1.8508744905139003E-6</v>
      </c>
      <c r="Q78" s="111">
        <v>1.9923029072178766E-8</v>
      </c>
      <c r="R78" s="112">
        <v>1.1330130605999999E-2</v>
      </c>
      <c r="S78" s="1032">
        <v>0.2315344</v>
      </c>
      <c r="T78" s="1032">
        <v>2.4453237000000001E-6</v>
      </c>
      <c r="U78" s="1032">
        <v>7.7055144000000005E-4</v>
      </c>
      <c r="V78" s="1032">
        <v>6.9055093000000003E-4</v>
      </c>
      <c r="W78" s="1032">
        <v>7.9332285999999998E-4</v>
      </c>
      <c r="X78" s="1032">
        <v>6.9770010000000003E-4</v>
      </c>
      <c r="Y78" s="1032">
        <v>5.8079728999999997E-3</v>
      </c>
      <c r="Z78" s="1032">
        <v>1.4829196000000001E-4</v>
      </c>
      <c r="AA78" s="1032">
        <v>9.8309429000000004E-4</v>
      </c>
      <c r="AB78" s="1032">
        <v>3.6815520999999997E-2</v>
      </c>
      <c r="AC78" s="1032">
        <v>1.9179714E-3</v>
      </c>
      <c r="AD78" s="1032">
        <v>2.4283254E-3</v>
      </c>
      <c r="AE78" s="1032">
        <v>2.3617165E-4</v>
      </c>
      <c r="AF78" s="1032">
        <v>4.9695527000000004</v>
      </c>
      <c r="AG78" s="1032">
        <v>2.0093147</v>
      </c>
      <c r="AH78" s="1032">
        <v>6.9889928E-5</v>
      </c>
      <c r="AI78" s="1032">
        <v>2.6227680999999999E-2</v>
      </c>
      <c r="AJ78" s="1036">
        <v>2.5325128000000001E-3</v>
      </c>
      <c r="AK78" s="1077">
        <v>0.23061696000000001</v>
      </c>
      <c r="AL78" s="1078">
        <v>1.292345E-9</v>
      </c>
      <c r="AM78" s="1078">
        <v>1.5791023000000001E-3</v>
      </c>
      <c r="AN78" s="1078">
        <v>7.5850386000000003E-4</v>
      </c>
      <c r="AO78" s="1078">
        <v>1.1062890000000001E-3</v>
      </c>
      <c r="AP78" s="1078">
        <v>7.3173604999999999E-3</v>
      </c>
      <c r="AQ78" s="1078">
        <v>1.5295591E-4</v>
      </c>
      <c r="AR78" s="1078">
        <v>3.6541385000000001E-3</v>
      </c>
      <c r="AS78" s="1078">
        <v>4.772717E-4</v>
      </c>
      <c r="AT78" s="1078">
        <v>1.7565798E-4</v>
      </c>
      <c r="AU78" s="1078">
        <v>1.5851316999999999E-4</v>
      </c>
      <c r="AV78" s="1078">
        <v>7.7553217999999993E-2</v>
      </c>
      <c r="AW78" s="1078">
        <v>2.0093141999999999</v>
      </c>
      <c r="AX78" s="1078">
        <v>5.0832880000000004E-7</v>
      </c>
      <c r="AY78" s="1078">
        <v>-3.4935857E-9</v>
      </c>
      <c r="AZ78" s="1078">
        <v>7.8560570999999997E-4</v>
      </c>
      <c r="BA78" s="1078">
        <v>2.7544638999999999E-2</v>
      </c>
      <c r="BB78" s="1079">
        <v>2.5338036E-3</v>
      </c>
      <c r="BC78" s="1035"/>
      <c r="BE78" s="113">
        <f t="array" ref="BE78">IFERROR(SUMIFS($CB78:$CW78,$CB$17:$CW$17,BE$17,$CB$18:$CW$18,BE$18)/SUMPRODUCT(($CB$18:$CW$18=BE$18)*ABS($CB78:$CW78)),"-")</f>
        <v>0.11614517953635686</v>
      </c>
      <c r="BF78" s="114">
        <f t="array" ref="BF78">IFERROR(SUMIFS($CB78:$CW78,$CB$17:$CW$17,BF$17,$CB$18:$CW$18,BF$18)/SUMPRODUCT(($CB$18:$CW$18=BF$18)*ABS($CB78:$CW78)),"-")</f>
        <v>7.0142222319976915E-4</v>
      </c>
      <c r="BG78" s="114">
        <f t="array" ref="BG78">IFERROR(SUMIFS($CB78:$CW78,$CB$17:$CW$17,BG$17,$CB$18:$CW$18,BG$18)/SUMPRODUCT(($CB$18:$CW$18=BG$18)*ABS($CB78:$CW78)),"-")</f>
        <v>3.5377352346468165E-6</v>
      </c>
      <c r="BH78" s="114">
        <f t="array" ref="BH78">IFERROR(SUMIFS($CB78:$CW78,$CB$17:$CW$17,BH$17,$CB$18:$CW$18,BH$18)/SUMPRODUCT(($CB$18:$CW$18=BH$18)*ABS($CB78:$CW78)),"-")</f>
        <v>3.3952198445693613E-4</v>
      </c>
      <c r="BI78" s="114">
        <f t="array" ref="BI78">IFERROR(SUMIFS($CB78:$CW78,$CB$17:$CW$17,BI$17,$CB$18:$CW$18,BI$18)/SUMPRODUCT(($CB$18:$CW$18=BI$18)*ABS($CB78:$CW78)),"-")</f>
        <v>0.26965128784147119</v>
      </c>
      <c r="BJ78" s="114">
        <f t="array" ref="BJ78">IFERROR(SUMIFS($CB78:$CW78,$CB$17:$CW$17,BJ$17,$CB$18:$CW$18,BJ$18)/SUMPRODUCT(($CB$18:$CW$18=BJ$18)*ABS($CB78:$CW78)),"-")</f>
        <v>4.2419252306081942E-4</v>
      </c>
      <c r="BK78" s="114">
        <f t="array" ref="BK78">IFERROR(SUMIFS($CB78:$CW78,$CB$17:$CW$17,BK$17,$CB$18:$CW$18,BK$18)/SUMPRODUCT(($CB$18:$CW$18=BK$18)*ABS($CB78:$CW78)),"-")</f>
        <v>0.61248658718357674</v>
      </c>
      <c r="BL78" s="114">
        <f t="array" ref="BL78">IFERROR(SUMIFS($CB78:$CW78,$CB$17:$CW$17,BL$17,$CB$18:$CW$18,BL$18)/SUMPRODUCT(($CB$18:$CW$18=BL$18)*ABS($CB78:$CW78)),"-")</f>
        <v>2.4827097264299829E-4</v>
      </c>
      <c r="BM78" s="115"/>
      <c r="BN78" s="114">
        <f t="array" ref="BN78">IFERROR(SUMIFS($CB78:$CW78,$CB$17:$CW$17,BN$17,$CB$18:$CW$18,BN$18)/SUMPRODUCT(($CB$18:$CW$18=BN$18)*ABS($CB78:$CW78)),"-")</f>
        <v>3.2536476285687149E-2</v>
      </c>
      <c r="BO78" s="114">
        <f t="array" ref="BO78">IFERROR(SUMIFS($CB78:$CW78,$CB$17:$CW$17,BO$17,$CB$18:$CW$18,BO$18)/SUMPRODUCT(($CB$18:$CW$18=BO$18)*ABS($CB78:$CW78)),"-")</f>
        <v>4.5175419698445154E-3</v>
      </c>
      <c r="BP78" s="114">
        <f t="array" ref="BP78">IFERROR(SUMIFS($CB78:$CW78,$CB$17:$CW$17,BP$17,$CB$18:$CW$18,BP$18)/SUMPRODUCT(($CB$18:$CW$18=BP$18)*ABS($CB78:$CW78)),"-")</f>
        <v>6.1869221569388663E-2</v>
      </c>
      <c r="BQ78" s="114">
        <f t="array" ref="BQ78">IFERROR(SUMIFS($CB78:$CW78,$CB$17:$CW$17,BQ$17,$CB$18:$CW$18,BQ$18)/SUMPRODUCT(($CB$18:$CW$18=BQ$18)*ABS($CB78:$CW78)),"-")</f>
        <v>4.9943267481825006E-3</v>
      </c>
      <c r="BR78" s="114">
        <f t="array" ref="BR78">IFERROR(SUMIFS($CB78:$CW78,$CB$17:$CW$17,BR$17,$CB$18:$CW$18,BR$18)/SUMPRODUCT(($CB$18:$CW$18=BR$18)*ABS($CB78:$CW78)),"-")</f>
        <v>8.3834390541164048E-5</v>
      </c>
      <c r="BS78" s="114">
        <f t="array" ref="BS78">IFERROR(SUMIFS($CB78:$CW78,$CB$17:$CW$17,BS$17,$CB$18:$CW$18,BS$18)/SUMPRODUCT(($CB$18:$CW$18=BS$18)*ABS($CB78:$CW78)),"-")</f>
        <v>2.1067021911146559E-5</v>
      </c>
      <c r="BT78" s="114">
        <f t="array" ref="BT78">IFERROR(SUMIFS($CB78:$CW78,$CB$17:$CW$17,BT$17,$CB$18:$CW$18,BT$18)/SUMPRODUCT(($CB$18:$CW$18=BT$18)*ABS($CB78:$CW78)),"-")</f>
        <v>6.6696308838678237E-5</v>
      </c>
      <c r="BU78" s="114">
        <f t="array" ref="BU78">IFERROR(SUMIFS($CB78:$CW78,$CB$17:$CW$17,BU$17,$CB$18:$CW$18,BU$18)/SUMPRODUCT(($CB$18:$CW$18=BU$18)*ABS($CB78:$CW78)),"-")</f>
        <v>1.2801758160166553E-5</v>
      </c>
      <c r="BV78" s="114">
        <f t="array" ref="BV78">IFERROR(SUMIFS($CB78:$CW78,$CB$17:$CW$17,BV$17,$CB$18:$CW$18,BV$18)/SUMPRODUCT(($CB$18:$CW$18=BV$18)*ABS($CB78:$CW78)),"-")</f>
        <v>0.89558239037638143</v>
      </c>
      <c r="BW78" s="114">
        <f t="array" ref="BW78">IFERROR(SUMIFS($CB78:$CW78,$CB$17:$CW$17,BW$17,$CB$18:$CW$18,BW$18)/SUMPRODUCT(($CB$18:$CW$18=BW$18)*ABS($CB78:$CW78)),"-")</f>
        <v>3.156435710644318E-4</v>
      </c>
      <c r="BX78" s="115"/>
      <c r="BY78" s="114">
        <f t="array" ref="BY78">IFERROR(SUMIFS($CB78:$CW78,$CB$17:$CW$17,BY$17,$CB$18:$CW$18,BY$18)/SUMPRODUCT(($CB$18:$CW$18=BY$18)*ABS($CB78:$CW78)),"-")</f>
        <v>1.4263388977565684E-3</v>
      </c>
      <c r="BZ78" s="116">
        <f t="array" ref="BZ78">IFERROR(SUMIFS($CB78:$CW78,$CB$17:$CW$17,BZ$17,$CB$18:$CW$18,BZ$18)/SUMPRODUCT(($CB$18:$CW$18=BZ$18)*ABS($CB78:$CW78)),"-")</f>
        <v>0.99857366110224344</v>
      </c>
      <c r="CB78" s="117">
        <v>2.1497014999999999E-7</v>
      </c>
      <c r="CC78" s="111">
        <v>6.4820744999999999E-10</v>
      </c>
      <c r="CD78" s="111">
        <v>1.7712946000000001E-14</v>
      </c>
      <c r="CE78" s="111">
        <v>1.2982445E-9</v>
      </c>
      <c r="CF78" s="111">
        <v>6.5479039000000002E-12</v>
      </c>
      <c r="CG78" s="111">
        <v>6.2841258000000002E-10</v>
      </c>
      <c r="CH78" s="111">
        <v>4.9909069000000002E-7</v>
      </c>
      <c r="CI78" s="111">
        <v>9.0003120000000004E-11</v>
      </c>
      <c r="CJ78" s="111">
        <v>1.2326222999999999E-9</v>
      </c>
      <c r="CK78" s="111">
        <v>9.9502117000000006E-11</v>
      </c>
      <c r="CL78" s="111">
        <v>1.6702349999999999E-12</v>
      </c>
      <c r="CM78" s="111">
        <v>4.1971888999999999E-13</v>
      </c>
      <c r="CN78" s="111">
        <v>1.3287925000000001E-12</v>
      </c>
      <c r="CO78" s="111">
        <v>2.5504979999999999E-13</v>
      </c>
      <c r="CP78" s="111">
        <v>7.8512712000000005E-10</v>
      </c>
      <c r="CQ78" s="111">
        <v>1.1336358000000001E-6</v>
      </c>
      <c r="CR78" s="111">
        <v>1.7842714000000001E-8</v>
      </c>
      <c r="CS78" s="111">
        <v>1.6160605999999999E-5</v>
      </c>
      <c r="CT78" s="111">
        <v>1.131397E-2</v>
      </c>
      <c r="CU78" s="111">
        <v>4.5951840999999998E-10</v>
      </c>
      <c r="CV78" s="111">
        <v>6.2884978999999997E-12</v>
      </c>
      <c r="CW78" s="112">
        <v>7.8142763000000004E-17</v>
      </c>
    </row>
    <row r="79" spans="2:101" ht="12" customHeight="1" outlineLevel="1" x14ac:dyDescent="0.2">
      <c r="B79" s="88" t="s">
        <v>106</v>
      </c>
      <c r="C79" s="88" t="s">
        <v>121</v>
      </c>
      <c r="D79" s="89" t="s">
        <v>137</v>
      </c>
      <c r="E79" s="89" t="s">
        <v>142</v>
      </c>
      <c r="F79" s="90" t="s">
        <v>92</v>
      </c>
      <c r="G79" s="18" t="s">
        <v>126</v>
      </c>
      <c r="H79" s="91" t="s">
        <v>127</v>
      </c>
      <c r="I79" s="92" t="s">
        <v>127</v>
      </c>
      <c r="J79" s="93">
        <v>4.9808850400000004</v>
      </c>
      <c r="K79" s="94"/>
      <c r="L79" s="94"/>
      <c r="M79" s="95"/>
      <c r="N79" s="145"/>
      <c r="O79" s="1055"/>
      <c r="P79" s="103">
        <v>3.214286868181E-6</v>
      </c>
      <c r="Q79" s="97">
        <v>4.5847431463321095E-8</v>
      </c>
      <c r="R79" s="98">
        <v>3.7270494500000001E-2</v>
      </c>
      <c r="S79" s="1033">
        <v>0.9302454</v>
      </c>
      <c r="T79" s="1033">
        <v>1.38865E-5</v>
      </c>
      <c r="U79" s="1033">
        <v>3.9958477999999997E-3</v>
      </c>
      <c r="V79" s="1033">
        <v>1.7324090000000001E-3</v>
      </c>
      <c r="W79" s="1033">
        <v>1.6631882E-3</v>
      </c>
      <c r="X79" s="1033">
        <v>1.7492012E-3</v>
      </c>
      <c r="Y79" s="1033">
        <v>1.179448E-2</v>
      </c>
      <c r="Z79" s="1033">
        <v>4.3310046000000002E-4</v>
      </c>
      <c r="AA79" s="1033">
        <v>3.5826300999999999E-3</v>
      </c>
      <c r="AB79" s="1033">
        <v>4.6925936999999998</v>
      </c>
      <c r="AC79" s="1033">
        <v>0.27820806999999997</v>
      </c>
      <c r="AD79" s="1033">
        <v>4.6201594999999998E-2</v>
      </c>
      <c r="AE79" s="1033">
        <v>5.0523232000000001E-4</v>
      </c>
      <c r="AF79" s="1033">
        <v>5.6664424000000002</v>
      </c>
      <c r="AG79" s="1033">
        <v>4.5001075999999998</v>
      </c>
      <c r="AH79" s="1033">
        <v>8.7171698000000001E-4</v>
      </c>
      <c r="AI79" s="1033">
        <v>9.1629802999999996E-2</v>
      </c>
      <c r="AJ79" s="1034">
        <v>3.9837432000000003E-4</v>
      </c>
      <c r="AK79" s="1074">
        <v>0.92615283000000004</v>
      </c>
      <c r="AL79" s="1075">
        <v>6.7030848000000003E-9</v>
      </c>
      <c r="AM79" s="1075">
        <v>8.2860594000000003E-3</v>
      </c>
      <c r="AN79" s="1075">
        <v>1.6867620000000001E-3</v>
      </c>
      <c r="AO79" s="1075">
        <v>2.2811972000000001E-3</v>
      </c>
      <c r="AP79" s="1075">
        <v>1.473727E-2</v>
      </c>
      <c r="AQ79" s="1075">
        <v>4.4819778999999999E-4</v>
      </c>
      <c r="AR79" s="1075">
        <v>1.2858085E-2</v>
      </c>
      <c r="AS79" s="1075">
        <v>2.2869382000000001E-2</v>
      </c>
      <c r="AT79" s="1075">
        <v>6.2960613E-3</v>
      </c>
      <c r="AU79" s="1075">
        <v>2.1842881E-3</v>
      </c>
      <c r="AV79" s="1075">
        <v>0.14881520000000001</v>
      </c>
      <c r="AW79" s="1075">
        <v>4.5001026</v>
      </c>
      <c r="AX79" s="1075">
        <v>5.0980969999999996E-6</v>
      </c>
      <c r="AY79" s="1075">
        <v>-3.6053597999999997E-8</v>
      </c>
      <c r="AZ79" s="1075">
        <v>1.8046377E-3</v>
      </c>
      <c r="BA79" s="1075">
        <v>9.5085301999999997E-2</v>
      </c>
      <c r="BB79" s="1076">
        <v>4.1204265E-4</v>
      </c>
      <c r="BC79" s="1035"/>
      <c r="BE79" s="99">
        <f t="array" ref="BE79">IFERROR(SUMIFS($CB79:$CW79,$CB$17:$CW$17,BE$17,$CB$18:$CW$18,BE$18)/SUMPRODUCT(($CB$18:$CW$18=BE$18)*ABS($CB79:$CW79)),"-")</f>
        <v>0.26875790974091573</v>
      </c>
      <c r="BF79" s="100">
        <f t="array" ref="BF79">IFERROR(SUMIFS($CB79:$CW79,$CB$17:$CW$17,BF$17,$CB$18:$CW$18,BF$18)/SUMPRODUCT(($CB$18:$CW$18=BF$18)*ABS($CB79:$CW79)),"-")</f>
        <v>2.2936559810456995E-3</v>
      </c>
      <c r="BG79" s="100">
        <f t="array" ref="BG79">IFERROR(SUMIFS($CB79:$CW79,$CB$17:$CW$17,BG$17,$CB$18:$CW$18,BG$18)/SUMPRODUCT(($CB$18:$CW$18=BG$18)*ABS($CB79:$CW79)),"-")</f>
        <v>1.0563898741003081E-5</v>
      </c>
      <c r="BH79" s="100">
        <f t="array" ref="BH79">IFERROR(SUMIFS($CB79:$CW79,$CB$17:$CW$17,BH$17,$CB$18:$CW$18,BH$18)/SUMPRODUCT(($CB$18:$CW$18=BH$18)*ABS($CB79:$CW79)),"-")</f>
        <v>4.9037069951755245E-4</v>
      </c>
      <c r="BI79" s="100">
        <f t="array" ref="BI79">IFERROR(SUMIFS($CB79:$CW79,$CB$17:$CW$17,BI$17,$CB$18:$CW$18,BI$18)/SUMPRODUCT(($CB$18:$CW$18=BI$18)*ABS($CB79:$CW79)),"-")</f>
        <v>0.3255076298127984</v>
      </c>
      <c r="BJ79" s="100">
        <f t="array" ref="BJ79">IFERROR(SUMIFS($CB79:$CW79,$CB$17:$CW$17,BJ$17,$CB$18:$CW$18,BJ$18)/SUMPRODUCT(($CB$18:$CW$18=BJ$18)*ABS($CB79:$CW79)),"-")</f>
        <v>5.2246158133059152E-4</v>
      </c>
      <c r="BK79" s="100">
        <f t="array" ref="BK79">IFERROR(SUMIFS($CB79:$CW79,$CB$17:$CW$17,BK$17,$CB$18:$CW$18,BK$18)/SUMPRODUCT(($CB$18:$CW$18=BK$18)*ABS($CB79:$CW79)),"-")</f>
        <v>0.40214226452398033</v>
      </c>
      <c r="BL79" s="100">
        <f t="array" ref="BL79">IFERROR(SUMIFS($CB79:$CW79,$CB$17:$CW$17,BL$17,$CB$18:$CW$18,BL$18)/SUMPRODUCT(($CB$18:$CW$18=BL$18)*ABS($CB79:$CW79)),"-")</f>
        <v>2.7514376167068328E-4</v>
      </c>
      <c r="BM79" s="101"/>
      <c r="BN79" s="100">
        <f t="array" ref="BN79">IFERROR(SUMIFS($CB79:$CW79,$CB$17:$CW$17,BN$17,$CB$18:$CW$18,BN$18)/SUMPRODUCT(($CB$18:$CW$18=BN$18)*ABS($CB79:$CW79)),"-")</f>
        <v>5.6802605598231984E-2</v>
      </c>
      <c r="BO79" s="100">
        <f t="array" ref="BO79">IFERROR(SUMIFS($CB79:$CW79,$CB$17:$CW$17,BO$17,$CB$18:$CW$18,BO$18)/SUMPRODUCT(($CB$18:$CW$18=BO$18)*ABS($CB79:$CW79)),"-")</f>
        <v>4.9205489337059236E-3</v>
      </c>
      <c r="BP79" s="100">
        <f t="array" ref="BP79">IFERROR(SUMIFS($CB79:$CW79,$CB$17:$CW$17,BP$17,$CB$18:$CW$18,BP$18)/SUMPRODUCT(($CB$18:$CW$18=BP$18)*ABS($CB79:$CW79)),"-")</f>
        <v>5.4595520841827394E-2</v>
      </c>
      <c r="BQ79" s="100">
        <f t="array" ref="BQ79">IFERROR(SUMIFS($CB79:$CW79,$CB$17:$CW$17,BQ$17,$CB$18:$CW$18,BQ$18)/SUMPRODUCT(($CB$18:$CW$18=BQ$18)*ABS($CB79:$CW79)),"-")</f>
        <v>6.3385143011226207E-3</v>
      </c>
      <c r="BR79" s="100">
        <f t="array" ref="BR79">IFERROR(SUMIFS($CB79:$CW79,$CB$17:$CW$17,BR$17,$CB$18:$CW$18,BR$18)/SUMPRODUCT(($CB$18:$CW$18=BR$18)*ABS($CB79:$CW79)),"-")</f>
        <v>1.3276065432083181E-4</v>
      </c>
      <c r="BS79" s="100">
        <f t="array" ref="BS79">IFERROR(SUMIFS($CB79:$CW79,$CB$17:$CW$17,BS$17,$CB$18:$CW$18,BS$18)/SUMPRODUCT(($CB$18:$CW$18=BS$18)*ABS($CB79:$CW79)),"-")</f>
        <v>1.1666962203279183E-3</v>
      </c>
      <c r="BT79" s="100">
        <f t="array" ref="BT79">IFERROR(SUMIFS($CB79:$CW79,$CB$17:$CW$17,BT$17,$CB$18:$CW$18,BT$18)/SUMPRODUCT(($CB$18:$CW$18=BT$18)*ABS($CB79:$CW79)),"-")</f>
        <v>4.2130303451029605E-3</v>
      </c>
      <c r="BU79" s="100">
        <f t="array" ref="BU79">IFERROR(SUMIFS($CB79:$CW79,$CB$17:$CW$17,BU$17,$CB$18:$CW$18,BU$18)/SUMPRODUCT(($CB$18:$CW$18=BU$18)*ABS($CB79:$CW79)),"-")</f>
        <v>1.0571349681557309E-4</v>
      </c>
      <c r="BV79" s="100">
        <f t="array" ref="BV79">IFERROR(SUMIFS($CB79:$CW79,$CB$17:$CW$17,BV$17,$CB$18:$CW$18,BV$18)/SUMPRODUCT(($CB$18:$CW$18=BV$18)*ABS($CB79:$CW79)),"-")</f>
        <v>0.87160730109754581</v>
      </c>
      <c r="BW79" s="100">
        <f t="array" ref="BW79">IFERROR(SUMIFS($CB79:$CW79,$CB$17:$CW$17,BW$17,$CB$18:$CW$18,BW$18)/SUMPRODUCT(($CB$18:$CW$18=BW$18)*ABS($CB79:$CW79)),"-")</f>
        <v>1.1730851099898034E-4</v>
      </c>
      <c r="BX79" s="101"/>
      <c r="BY79" s="100">
        <f t="array" ref="BY79">IFERROR(SUMIFS($CB79:$CW79,$CB$17:$CW$17,BY$17,$CB$18:$CW$18,BY$18)/SUMPRODUCT(($CB$18:$CW$18=BY$18)*ABS($CB79:$CW79)),"-")</f>
        <v>5.4068104730942059E-3</v>
      </c>
      <c r="BZ79" s="102">
        <f t="array" ref="BZ79">IFERROR(SUMIFS($CB79:$CW79,$CB$17:$CW$17,BZ$17,$CB$18:$CW$18,BZ$18)/SUMPRODUCT(($CB$18:$CW$18=BZ$18)*ABS($CB79:$CW79)),"-")</f>
        <v>0.99459318952690579</v>
      </c>
      <c r="CB79" s="103">
        <v>8.6386501999999995E-7</v>
      </c>
      <c r="CC79" s="97">
        <v>2.6041823999999999E-9</v>
      </c>
      <c r="CD79" s="97">
        <v>7.1167102999999999E-14</v>
      </c>
      <c r="CE79" s="97">
        <v>7.3724683000000002E-9</v>
      </c>
      <c r="CF79" s="97">
        <v>3.3955400999999999E-11</v>
      </c>
      <c r="CG79" s="97">
        <v>1.5761921E-9</v>
      </c>
      <c r="CH79" s="97">
        <v>1.0462749000000001E-6</v>
      </c>
      <c r="CI79" s="97">
        <v>2.2559453000000001E-10</v>
      </c>
      <c r="CJ79" s="97">
        <v>2.5030644E-9</v>
      </c>
      <c r="CK79" s="97">
        <v>2.9060459999999998E-10</v>
      </c>
      <c r="CL79" s="97">
        <v>6.0867349999999999E-12</v>
      </c>
      <c r="CM79" s="97">
        <v>5.3490025000000002E-11</v>
      </c>
      <c r="CN79" s="97">
        <v>1.9315662E-10</v>
      </c>
      <c r="CO79" s="97">
        <v>4.8466922999999999E-12</v>
      </c>
      <c r="CP79" s="97">
        <v>1.6793413999999999E-9</v>
      </c>
      <c r="CQ79" s="97">
        <v>1.2926006E-6</v>
      </c>
      <c r="CR79" s="97">
        <v>3.9960956000000002E-8</v>
      </c>
      <c r="CS79" s="97">
        <v>2.015145E-4</v>
      </c>
      <c r="CT79" s="97">
        <v>3.7068980000000001E-2</v>
      </c>
      <c r="CU79" s="97">
        <v>8.8439098000000001E-10</v>
      </c>
      <c r="CV79" s="97">
        <v>5.3780533E-12</v>
      </c>
      <c r="CW79" s="98">
        <v>2.4061809E-16</v>
      </c>
    </row>
    <row r="80" spans="2:101" ht="12" customHeight="1" outlineLevel="1" x14ac:dyDescent="0.2">
      <c r="B80" s="104" t="s">
        <v>106</v>
      </c>
      <c r="C80" s="104" t="s">
        <v>121</v>
      </c>
      <c r="D80" s="2" t="s">
        <v>137</v>
      </c>
      <c r="E80" s="2" t="s">
        <v>142</v>
      </c>
      <c r="F80" s="105" t="s">
        <v>122</v>
      </c>
      <c r="G80" s="27" t="s">
        <v>1579</v>
      </c>
      <c r="H80" s="106" t="s">
        <v>128</v>
      </c>
      <c r="I80" s="107" t="s">
        <v>129</v>
      </c>
      <c r="J80" s="108">
        <v>4.9808850400000004</v>
      </c>
      <c r="K80" s="109"/>
      <c r="L80" s="109"/>
      <c r="M80" s="110"/>
      <c r="N80" s="161"/>
      <c r="O80" s="1056"/>
      <c r="P80" s="117">
        <v>9.9593234937699996E-7</v>
      </c>
      <c r="Q80" s="111">
        <v>4.839215682779365E-8</v>
      </c>
      <c r="R80" s="112">
        <v>2.6705520478000001E-2</v>
      </c>
      <c r="S80" s="1032">
        <v>0.61828269999999996</v>
      </c>
      <c r="T80" s="1032">
        <v>3.5159189E-6</v>
      </c>
      <c r="U80" s="1032">
        <v>1.930256E-3</v>
      </c>
      <c r="V80" s="1032">
        <v>1.5935221E-3</v>
      </c>
      <c r="W80" s="1032">
        <v>5.3561123999999998E-4</v>
      </c>
      <c r="X80" s="1032">
        <v>1.6112721E-3</v>
      </c>
      <c r="Y80" s="1032">
        <v>2.7431068000000002E-3</v>
      </c>
      <c r="Z80" s="1032">
        <v>5.2798815999999997E-5</v>
      </c>
      <c r="AA80" s="1032">
        <v>1.4531984999999999E-3</v>
      </c>
      <c r="AB80" s="1032">
        <v>4.2470022000000003E-2</v>
      </c>
      <c r="AC80" s="1032">
        <v>2.1980871000000001E-3</v>
      </c>
      <c r="AD80" s="1032">
        <v>3.1948161000000001E-3</v>
      </c>
      <c r="AE80" s="1032">
        <v>2.0472797999999999E-4</v>
      </c>
      <c r="AF80" s="1032">
        <v>0.35233146999999998</v>
      </c>
      <c r="AG80" s="1032">
        <v>5.1606401000000002</v>
      </c>
      <c r="AH80" s="1032">
        <v>1.8127576E-4</v>
      </c>
      <c r="AI80" s="1032">
        <v>6.2071582E-2</v>
      </c>
      <c r="AJ80" s="1036">
        <v>3.3151432000000001E-4</v>
      </c>
      <c r="AK80" s="1077">
        <v>0.61607171999999999</v>
      </c>
      <c r="AL80" s="1078">
        <v>3.2376833000000002E-9</v>
      </c>
      <c r="AM80" s="1078">
        <v>3.9577655E-3</v>
      </c>
      <c r="AN80" s="1078">
        <v>1.7594088999999999E-3</v>
      </c>
      <c r="AO80" s="1078">
        <v>8.2148542999999996E-4</v>
      </c>
      <c r="AP80" s="1078">
        <v>3.5585180000000001E-3</v>
      </c>
      <c r="AQ80" s="1078">
        <v>6.4730223000000002E-5</v>
      </c>
      <c r="AR80" s="1078">
        <v>5.1364940999999997E-3</v>
      </c>
      <c r="AS80" s="1078">
        <v>-3.7016826000000003E-7</v>
      </c>
      <c r="AT80" s="1078">
        <v>2.7910293000000001E-4</v>
      </c>
      <c r="AU80" s="1078">
        <v>2.8506365000000001E-4</v>
      </c>
      <c r="AV80" s="1078">
        <v>1.7208791000000001E-2</v>
      </c>
      <c r="AW80" s="1078">
        <v>5.1606386999999998</v>
      </c>
      <c r="AX80" s="1078">
        <v>1.3444537999999999E-6</v>
      </c>
      <c r="AY80" s="1078">
        <v>-9.2400124999999994E-9</v>
      </c>
      <c r="AZ80" s="1078">
        <v>2.0471575000000001E-3</v>
      </c>
      <c r="BA80" s="1078">
        <v>6.5199899000000006E-2</v>
      </c>
      <c r="BB80" s="1079">
        <v>3.3492829E-4</v>
      </c>
      <c r="BC80" s="1035"/>
      <c r="BE80" s="113">
        <f t="array" ref="BE80">IFERROR(SUMIFS($CB80:$CW80,$CB$17:$CW$17,BE$17,$CB$18:$CW$18,BE$18)/SUMPRODUCT(($CB$18:$CW$18=BE$18)*ABS($CB80:$CW80)),"-")</f>
        <v>0.57626786634555538</v>
      </c>
      <c r="BF80" s="114">
        <f t="array" ref="BF80">IFERROR(SUMIFS($CB80:$CW80,$CB$17:$CW$17,BF$17,$CB$18:$CW$18,BF$18)/SUMPRODUCT(($CB$18:$CW$18=BF$18)*ABS($CB80:$CW80)),"-")</f>
        <v>1.874256821929383E-3</v>
      </c>
      <c r="BG80" s="114">
        <f t="array" ref="BG80">IFERROR(SUMIFS($CB80:$CW80,$CB$17:$CW$17,BG$17,$CB$18:$CW$18,BG$18)/SUMPRODUCT(($CB$18:$CW$18=BG$18)*ABS($CB80:$CW80)),"-")</f>
        <v>1.6469699985406262E-5</v>
      </c>
      <c r="BH80" s="114">
        <f t="array" ref="BH80">IFERROR(SUMIFS($CB80:$CW80,$CB$17:$CW$17,BH$17,$CB$18:$CW$18,BH$18)/SUMPRODUCT(($CB$18:$CW$18=BH$18)*ABS($CB80:$CW80)),"-")</f>
        <v>1.4560573325157315E-3</v>
      </c>
      <c r="BI80" s="114">
        <f t="array" ref="BI80">IFERROR(SUMIFS($CB80:$CW80,$CB$17:$CW$17,BI$17,$CB$18:$CW$18,BI$18)/SUMPRODUCT(($CB$18:$CW$18=BI$18)*ABS($CB80:$CW80)),"-")</f>
        <v>0.3382625137246898</v>
      </c>
      <c r="BJ80" s="114">
        <f t="array" ref="BJ80">IFERROR(SUMIFS($CB80:$CW80,$CB$17:$CW$17,BJ$17,$CB$18:$CW$18,BJ$18)/SUMPRODUCT(($CB$18:$CW$18=BJ$18)*ABS($CB80:$CW80)),"-")</f>
        <v>6.83226396276464E-4</v>
      </c>
      <c r="BK80" s="114">
        <f t="array" ref="BK80">IFERROR(SUMIFS($CB80:$CW80,$CB$17:$CW$17,BK$17,$CB$18:$CW$18,BK$18)/SUMPRODUCT(($CB$18:$CW$18=BK$18)*ABS($CB80:$CW80)),"-")</f>
        <v>8.0700642016776042E-2</v>
      </c>
      <c r="BL80" s="114">
        <f t="array" ref="BL80">IFERROR(SUMIFS($CB80:$CW80,$CB$17:$CW$17,BL$17,$CB$18:$CW$18,BL$18)/SUMPRODUCT(($CB$18:$CW$18=BL$18)*ABS($CB80:$CW80)),"-")</f>
        <v>7.389676622718168E-4</v>
      </c>
      <c r="BM80" s="115"/>
      <c r="BN80" s="114">
        <f t="array" ref="BN80">IFERROR(SUMIFS($CB80:$CW80,$CB$17:$CW$17,BN$17,$CB$18:$CW$18,BN$18)/SUMPRODUCT(($CB$18:$CW$18=BN$18)*ABS($CB80:$CW80)),"-")</f>
        <v>3.5772557224495315E-2</v>
      </c>
      <c r="BO80" s="114">
        <f t="array" ref="BO80">IFERROR(SUMIFS($CB80:$CW80,$CB$17:$CW$17,BO$17,$CB$18:$CW$18,BO$18)/SUMPRODUCT(($CB$18:$CW$18=BO$18)*ABS($CB80:$CW80)),"-")</f>
        <v>4.2951906595041656E-3</v>
      </c>
      <c r="BP80" s="114">
        <f t="array" ref="BP80">IFERROR(SUMIFS($CB80:$CW80,$CB$17:$CW$17,BP$17,$CB$18:$CW$18,BP$18)/SUMPRODUCT(($CB$18:$CW$18=BP$18)*ABS($CB80:$CW80)),"-")</f>
        <v>1.2026735077568049E-2</v>
      </c>
      <c r="BQ80" s="114">
        <f t="array" ref="BQ80">IFERROR(SUMIFS($CB80:$CW80,$CB$17:$CW$17,BQ$17,$CB$18:$CW$18,BQ$18)/SUMPRODUCT(($CB$18:$CW$18=BQ$18)*ABS($CB80:$CW80)),"-")</f>
        <v>7.3200744339741526E-4</v>
      </c>
      <c r="BR80" s="114">
        <f t="array" ref="BR80">IFERROR(SUMIFS($CB80:$CW80,$CB$17:$CW$17,BR$17,$CB$18:$CW$18,BR$18)/SUMPRODUCT(($CB$18:$CW$18=BR$18)*ABS($CB80:$CW80)),"-")</f>
        <v>5.1019058910430591E-5</v>
      </c>
      <c r="BS80" s="114">
        <f t="array" ref="BS80">IFERROR(SUMIFS($CB80:$CW80,$CB$17:$CW$17,BS$17,$CB$18:$CW$18,BS$18)/SUMPRODUCT(($CB$18:$CW$18=BS$18)*ABS($CB80:$CW80)),"-")</f>
        <v>1.0001759411599827E-5</v>
      </c>
      <c r="BT80" s="114">
        <f t="array" ref="BT80">IFERROR(SUMIFS($CB80:$CW80,$CB$17:$CW$17,BT$17,$CB$18:$CW$18,BT$18)/SUMPRODUCT(($CB$18:$CW$18=BT$18)*ABS($CB80:$CW80)),"-")</f>
        <v>3.1428415257707416E-5</v>
      </c>
      <c r="BU80" s="114">
        <f t="array" ref="BU80">IFERROR(SUMIFS($CB80:$CW80,$CB$17:$CW$17,BU$17,$CB$18:$CW$18,BU$18)/SUMPRODUCT(($CB$18:$CW$18=BU$18)*ABS($CB80:$CW80)),"-")</f>
        <v>6.9341424725933035E-6</v>
      </c>
      <c r="BV80" s="114">
        <f t="array" ref="BV80">IFERROR(SUMIFS($CB80:$CW80,$CB$17:$CW$17,BV$17,$CB$18:$CW$18,BV$18)/SUMPRODUCT(($CB$18:$CW$18=BV$18)*ABS($CB80:$CW80)),"-")</f>
        <v>0.94698163925770551</v>
      </c>
      <c r="BW80" s="114">
        <f t="array" ref="BW80">IFERROR(SUMIFS($CB80:$CW80,$CB$17:$CW$17,BW$17,$CB$18:$CW$18,BW$18)/SUMPRODUCT(($CB$18:$CW$18=BW$18)*ABS($CB80:$CW80)),"-")</f>
        <v>9.2486961277151624E-5</v>
      </c>
      <c r="BX80" s="115"/>
      <c r="BY80" s="114">
        <f t="array" ref="BY80">IFERROR(SUMIFS($CB80:$CW80,$CB$17:$CW$17,BY$17,$CB$18:$CW$18,BY$18)/SUMPRODUCT(($CB$18:$CW$18=BY$18)*ABS($CB80:$CW80)),"-")</f>
        <v>1.5695435718816998E-3</v>
      </c>
      <c r="BZ80" s="116">
        <f t="array" ref="BZ80">IFERROR(SUMIFS($CB80:$CW80,$CB$17:$CW$17,BZ$17,$CB$18:$CW$18,BZ$18)/SUMPRODUCT(($CB$18:$CW$18=BZ$18)*ABS($CB80:$CW80)),"-")</f>
        <v>0.99843045642811823</v>
      </c>
      <c r="CB80" s="117">
        <v>5.7392381E-7</v>
      </c>
      <c r="CC80" s="111">
        <v>1.7310639E-9</v>
      </c>
      <c r="CD80" s="111">
        <v>4.7299338999999997E-14</v>
      </c>
      <c r="CE80" s="111">
        <v>1.8666329999999999E-9</v>
      </c>
      <c r="CF80" s="111">
        <v>1.6402707000000002E-11</v>
      </c>
      <c r="CG80" s="111">
        <v>1.4501346000000001E-9</v>
      </c>
      <c r="CH80" s="111">
        <v>3.3688657999999998E-7</v>
      </c>
      <c r="CI80" s="111">
        <v>2.0785354000000001E-10</v>
      </c>
      <c r="CJ80" s="111">
        <v>5.8199965000000005E-10</v>
      </c>
      <c r="CK80" s="111">
        <v>3.5423419000000002E-11</v>
      </c>
      <c r="CL80" s="111">
        <v>2.4689223000000001E-12</v>
      </c>
      <c r="CM80" s="111">
        <v>4.8400670999999997E-13</v>
      </c>
      <c r="CN80" s="111">
        <v>1.5208887999999999E-12</v>
      </c>
      <c r="CO80" s="111">
        <v>3.3555810999999999E-13</v>
      </c>
      <c r="CP80" s="111">
        <v>6.8044727E-10</v>
      </c>
      <c r="CQ80" s="111">
        <v>8.0372380000000002E-8</v>
      </c>
      <c r="CR80" s="111">
        <v>4.5826483999999998E-8</v>
      </c>
      <c r="CS80" s="111">
        <v>4.1915478000000002E-5</v>
      </c>
      <c r="CT80" s="111">
        <v>2.6663605E-2</v>
      </c>
      <c r="CU80" s="111">
        <v>7.3596179999999996E-10</v>
      </c>
      <c r="CV80" s="111">
        <v>4.4754433E-12</v>
      </c>
      <c r="CW80" s="112">
        <v>2.0023465E-16</v>
      </c>
    </row>
    <row r="81" spans="2:101" ht="12" customHeight="1" outlineLevel="1" x14ac:dyDescent="0.2">
      <c r="B81" s="104" t="s">
        <v>106</v>
      </c>
      <c r="C81" s="104" t="s">
        <v>121</v>
      </c>
      <c r="D81" s="2" t="s">
        <v>137</v>
      </c>
      <c r="E81" s="2" t="s">
        <v>142</v>
      </c>
      <c r="F81" s="105" t="s">
        <v>93</v>
      </c>
      <c r="G81" s="27" t="s">
        <v>1578</v>
      </c>
      <c r="H81" s="106" t="s">
        <v>130</v>
      </c>
      <c r="I81" s="107" t="s">
        <v>129</v>
      </c>
      <c r="J81" s="108">
        <v>4.9808850400000004</v>
      </c>
      <c r="K81" s="109"/>
      <c r="L81" s="109"/>
      <c r="M81" s="110"/>
      <c r="N81" s="161"/>
      <c r="O81" s="1056"/>
      <c r="P81" s="117">
        <v>1.4073761163649999E-6</v>
      </c>
      <c r="Q81" s="111">
        <v>6.5254324042206971E-8</v>
      </c>
      <c r="R81" s="112">
        <v>3.6011000834999994E-2</v>
      </c>
      <c r="S81" s="1032">
        <v>0.83372197000000003</v>
      </c>
      <c r="T81" s="1032">
        <v>4.7410333000000001E-6</v>
      </c>
      <c r="U81" s="1032">
        <v>2.6028495000000001E-3</v>
      </c>
      <c r="V81" s="1032">
        <v>2.1487815E-3</v>
      </c>
      <c r="W81" s="1032">
        <v>7.2224381999999999E-4</v>
      </c>
      <c r="X81" s="1032">
        <v>2.1727164E-3</v>
      </c>
      <c r="Y81" s="1032">
        <v>3.6989364E-3</v>
      </c>
      <c r="Z81" s="1032">
        <v>7.1196448999999996E-5</v>
      </c>
      <c r="AA81" s="1032">
        <v>1.9595623999999999E-3</v>
      </c>
      <c r="AB81" s="1032">
        <v>5.7268608999999998E-2</v>
      </c>
      <c r="AC81" s="1032">
        <v>2.9962652000000002E-3</v>
      </c>
      <c r="AD81" s="1032">
        <v>4.3338643000000003E-3</v>
      </c>
      <c r="AE81" s="1032">
        <v>2.8266872000000002E-4</v>
      </c>
      <c r="AF81" s="1032">
        <v>0.75737485000000004</v>
      </c>
      <c r="AG81" s="1032">
        <v>6.9588539000000003</v>
      </c>
      <c r="AH81" s="1032">
        <v>2.4444091000000001E-4</v>
      </c>
      <c r="AI81" s="1032">
        <v>8.3700290999999996E-2</v>
      </c>
      <c r="AJ81" s="1036">
        <v>4.4702977000000001E-4</v>
      </c>
      <c r="AK81" s="1077">
        <v>0.83074057999999995</v>
      </c>
      <c r="AL81" s="1078">
        <v>4.3658470000000001E-9</v>
      </c>
      <c r="AM81" s="1078">
        <v>5.3368403000000003E-3</v>
      </c>
      <c r="AN81" s="1078">
        <v>2.3724711000000002E-3</v>
      </c>
      <c r="AO81" s="1078">
        <v>1.1077303E-3</v>
      </c>
      <c r="AP81" s="1078">
        <v>4.7984758999999998E-3</v>
      </c>
      <c r="AQ81" s="1078">
        <v>8.7285329000000002E-5</v>
      </c>
      <c r="AR81" s="1078">
        <v>6.9262943E-3</v>
      </c>
      <c r="AS81" s="1078">
        <v>2.8683458999999999E-5</v>
      </c>
      <c r="AT81" s="1078">
        <v>3.7894445999999999E-4</v>
      </c>
      <c r="AU81" s="1078">
        <v>3.8570249000000002E-4</v>
      </c>
      <c r="AV81" s="1078">
        <v>2.7392308000000001E-2</v>
      </c>
      <c r="AW81" s="1078">
        <v>6.9588520999999997</v>
      </c>
      <c r="AX81" s="1078">
        <v>1.8129258E-6</v>
      </c>
      <c r="AY81" s="1078">
        <v>-1.2459674999999999E-8</v>
      </c>
      <c r="AZ81" s="1078">
        <v>2.7604852000000001E-3</v>
      </c>
      <c r="BA81" s="1078">
        <v>8.7918662999999994E-2</v>
      </c>
      <c r="BB81" s="1079">
        <v>4.5163332999999999E-4</v>
      </c>
      <c r="BC81" s="1035"/>
      <c r="BE81" s="113">
        <f t="array" ref="BE81">IFERROR(SUMIFS($CB81:$CW81,$CB$17:$CW$17,BE$17,$CB$18:$CW$18,BE$18)/SUMPRODUCT(($CB$18:$CW$18=BE$18)*ABS($CB81:$CW81)),"-")</f>
        <v>0.54989303214755503</v>
      </c>
      <c r="BF81" s="114">
        <f t="array" ref="BF81">IFERROR(SUMIFS($CB81:$CW81,$CB$17:$CW$17,BF$17,$CB$18:$CW$18,BF$18)/SUMPRODUCT(($CB$18:$CW$18=BF$18)*ABS($CB81:$CW81)),"-")</f>
        <v>1.7884752133645039E-3</v>
      </c>
      <c r="BG81" s="114">
        <f t="array" ref="BG81">IFERROR(SUMIFS($CB81:$CW81,$CB$17:$CW$17,BG$17,$CB$18:$CW$18,BG$18)/SUMPRODUCT(($CB$18:$CW$18=BG$18)*ABS($CB81:$CW81)),"-")</f>
        <v>1.5715909018782648E-5</v>
      </c>
      <c r="BH81" s="114">
        <f t="array" ref="BH81">IFERROR(SUMIFS($CB81:$CW81,$CB$17:$CW$17,BH$17,$CB$18:$CW$18,BH$18)/SUMPRODUCT(($CB$18:$CW$18=BH$18)*ABS($CB81:$CW81)),"-")</f>
        <v>1.3894159331412608E-3</v>
      </c>
      <c r="BI81" s="114">
        <f t="array" ref="BI81">IFERROR(SUMIFS($CB81:$CW81,$CB$17:$CW$17,BI$17,$CB$18:$CW$18,BI$18)/SUMPRODUCT(($CB$18:$CW$18=BI$18)*ABS($CB81:$CW81)),"-")</f>
        <v>0.32278079378901797</v>
      </c>
      <c r="BJ81" s="114">
        <f t="array" ref="BJ81">IFERROR(SUMIFS($CB81:$CW81,$CB$17:$CW$17,BJ$17,$CB$18:$CW$18,BJ$18)/SUMPRODUCT(($CB$18:$CW$18=BJ$18)*ABS($CB81:$CW81)),"-")</f>
        <v>6.6756424887086765E-4</v>
      </c>
      <c r="BK81" s="114">
        <f t="array" ref="BK81">IFERROR(SUMIFS($CB81:$CW81,$CB$17:$CW$17,BK$17,$CB$18:$CW$18,BK$18)/SUMPRODUCT(($CB$18:$CW$18=BK$18)*ABS($CB81:$CW81)),"-")</f>
        <v>0.12275985643854188</v>
      </c>
      <c r="BL81" s="114">
        <f t="array" ref="BL81">IFERROR(SUMIFS($CB81:$CW81,$CB$17:$CW$17,BL$17,$CB$18:$CW$18,BL$18)/SUMPRODUCT(($CB$18:$CW$18=BL$18)*ABS($CB81:$CW81)),"-")</f>
        <v>7.0514632048979706E-4</v>
      </c>
      <c r="BM81" s="115"/>
      <c r="BN81" s="114">
        <f t="array" ref="BN81">IFERROR(SUMIFS($CB81:$CW81,$CB$17:$CW$17,BN$17,$CB$18:$CW$18,BN$18)/SUMPRODUCT(($CB$18:$CW$18=BN$18)*ABS($CB81:$CW81)),"-")</f>
        <v>3.5772542508924768E-2</v>
      </c>
      <c r="BO81" s="114">
        <f t="array" ref="BO81">IFERROR(SUMIFS($CB81:$CW81,$CB$17:$CW$17,BO$17,$CB$18:$CW$18,BO$18)/SUMPRODUCT(($CB$18:$CW$18=BO$18)*ABS($CB81:$CW81)),"-")</f>
        <v>4.2951890792511027E-3</v>
      </c>
      <c r="BP81" s="114">
        <f t="array" ref="BP81">IFERROR(SUMIFS($CB81:$CW81,$CB$17:$CW$17,BP$17,$CB$18:$CW$18,BP$18)/SUMPRODUCT(($CB$18:$CW$18=BP$18)*ABS($CB81:$CW81)),"-")</f>
        <v>1.202673051202535E-2</v>
      </c>
      <c r="BQ81" s="114">
        <f t="array" ref="BQ81">IFERROR(SUMIFS($CB81:$CW81,$CB$17:$CW$17,BQ$17,$CB$18:$CW$18,BQ$18)/SUMPRODUCT(($CB$18:$CW$18=BQ$18)*ABS($CB81:$CW81)),"-")</f>
        <v>7.3200715356585709E-4</v>
      </c>
      <c r="BR81" s="114">
        <f t="array" ref="BR81">IFERROR(SUMIFS($CB81:$CW81,$CB$17:$CW$17,BR$17,$CB$18:$CW$18,BR$18)/SUMPRODUCT(($CB$18:$CW$18=BR$18)*ABS($CB81:$CW81)),"-")</f>
        <v>5.1019038950532091E-5</v>
      </c>
      <c r="BS81" s="114">
        <f t="array" ref="BS81">IFERROR(SUMIFS($CB81:$CW81,$CB$17:$CW$17,BS$17,$CB$18:$CW$18,BS$18)/SUMPRODUCT(($CB$18:$CW$18=BS$18)*ABS($CB81:$CW81)),"-")</f>
        <v>1.0001755432756551E-5</v>
      </c>
      <c r="BT81" s="114">
        <f t="array" ref="BT81">IFERROR(SUMIFS($CB81:$CW81,$CB$17:$CW$17,BT$17,$CB$18:$CW$18,BT$18)/SUMPRODUCT(($CB$18:$CW$18=BT$18)*ABS($CB81:$CW81)),"-")</f>
        <v>3.1772018642917817E-5</v>
      </c>
      <c r="BU81" s="114">
        <f t="array" ref="BU81">IFERROR(SUMIFS($CB81:$CW81,$CB$17:$CW$17,BU$17,$CB$18:$CW$18,BU$18)/SUMPRODUCT(($CB$18:$CW$18=BU$18)*ABS($CB81:$CW81)),"-")</f>
        <v>6.9757112142572551E-6</v>
      </c>
      <c r="BV81" s="114">
        <f t="array" ref="BV81">IFERROR(SUMIFS($CB81:$CW81,$CB$17:$CW$17,BV$17,$CB$18:$CW$18,BV$18)/SUMPRODUCT(($CB$18:$CW$18=BV$18)*ABS($CB81:$CW81)),"-")</f>
        <v>0.94698127529496423</v>
      </c>
      <c r="BW81" s="114">
        <f t="array" ref="BW81">IFERROR(SUMIFS($CB81:$CW81,$CB$17:$CW$17,BW$17,$CB$18:$CW$18,BW$18)/SUMPRODUCT(($CB$18:$CW$18=BW$18)*ABS($CB81:$CW81)),"-")</f>
        <v>9.248692702841281E-5</v>
      </c>
      <c r="BX81" s="115"/>
      <c r="BY81" s="114">
        <f t="array" ref="BY81">IFERROR(SUMIFS($CB81:$CW81,$CB$17:$CW$17,BY$17,$CB$18:$CW$18,BY$18)/SUMPRODUCT(($CB$18:$CW$18=BY$18)*ABS($CB81:$CW81)),"-")</f>
        <v>1.5695435752806398E-3</v>
      </c>
      <c r="BZ81" s="116">
        <f t="array" ref="BZ81">IFERROR(SUMIFS($CB81:$CW81,$CB$17:$CW$17,BZ$17,$CB$18:$CW$18,BZ$18)/SUMPRODUCT(($CB$18:$CW$18=BZ$18)*ABS($CB81:$CW81)),"-")</f>
        <v>0.99843045642471939</v>
      </c>
      <c r="CB81" s="117">
        <v>7.7390631999999996E-7</v>
      </c>
      <c r="CC81" s="111">
        <v>2.3342493000000001E-9</v>
      </c>
      <c r="CD81" s="111">
        <v>6.3780691000000002E-14</v>
      </c>
      <c r="CE81" s="111">
        <v>2.5170573E-9</v>
      </c>
      <c r="CF81" s="111">
        <v>2.2118194999999999E-11</v>
      </c>
      <c r="CG81" s="111">
        <v>1.9554308E-9</v>
      </c>
      <c r="CH81" s="111">
        <v>4.5427397999999999E-7</v>
      </c>
      <c r="CI81" s="111">
        <v>2.8027966000000002E-10</v>
      </c>
      <c r="CJ81" s="111">
        <v>7.8479617000000002E-10</v>
      </c>
      <c r="CK81" s="111">
        <v>4.7766632000000001E-11</v>
      </c>
      <c r="CL81" s="111">
        <v>3.3292129000000002E-12</v>
      </c>
      <c r="CM81" s="111">
        <v>6.5265779000000002E-13</v>
      </c>
      <c r="CN81" s="111">
        <v>2.0732616000000001E-12</v>
      </c>
      <c r="CO81" s="111">
        <v>4.5519532E-13</v>
      </c>
      <c r="CP81" s="111">
        <v>9.3951397999999994E-10</v>
      </c>
      <c r="CQ81" s="111">
        <v>1.7276929E-7</v>
      </c>
      <c r="CR81" s="111">
        <v>6.1794623000000001E-8</v>
      </c>
      <c r="CS81" s="111">
        <v>5.6520834999999998E-5</v>
      </c>
      <c r="CT81" s="111">
        <v>3.5954479999999997E-2</v>
      </c>
      <c r="CU81" s="111">
        <v>9.9240609000000004E-10</v>
      </c>
      <c r="CV81" s="111">
        <v>6.0349018999999999E-12</v>
      </c>
      <c r="CW81" s="112">
        <v>2.7000598000000001E-16</v>
      </c>
    </row>
    <row r="82" spans="2:101" ht="12" customHeight="1" outlineLevel="1" x14ac:dyDescent="0.2">
      <c r="B82" s="104" t="s">
        <v>106</v>
      </c>
      <c r="C82" s="104" t="s">
        <v>121</v>
      </c>
      <c r="D82" s="2" t="s">
        <v>137</v>
      </c>
      <c r="E82" s="2" t="s">
        <v>142</v>
      </c>
      <c r="F82" s="105" t="s">
        <v>94</v>
      </c>
      <c r="G82" s="27" t="s">
        <v>1580</v>
      </c>
      <c r="H82" s="106" t="s">
        <v>131</v>
      </c>
      <c r="I82" s="107" t="s">
        <v>129</v>
      </c>
      <c r="J82" s="108">
        <v>4.9808850400000004</v>
      </c>
      <c r="K82" s="109"/>
      <c r="L82" s="109"/>
      <c r="M82" s="110"/>
      <c r="N82" s="161"/>
      <c r="O82" s="1056"/>
      <c r="P82" s="117">
        <v>7.5321786748000008E-7</v>
      </c>
      <c r="Q82" s="111">
        <v>3.8442535134935673E-8</v>
      </c>
      <c r="R82" s="112">
        <v>2.1214766500000003E-2</v>
      </c>
      <c r="S82" s="1032">
        <v>0.49116148999999998</v>
      </c>
      <c r="T82" s="1032">
        <v>2.793033E-6</v>
      </c>
      <c r="U82" s="1032">
        <v>1.5333882E-3</v>
      </c>
      <c r="V82" s="1032">
        <v>1.2658881E-3</v>
      </c>
      <c r="W82" s="1032">
        <v>4.2548758999999997E-4</v>
      </c>
      <c r="X82" s="1032">
        <v>1.2799885999999999E-3</v>
      </c>
      <c r="Y82" s="1032">
        <v>2.1791139000000002E-3</v>
      </c>
      <c r="Z82" s="1032">
        <v>4.1943183999999998E-5</v>
      </c>
      <c r="AA82" s="1032">
        <v>1.1544155E-3</v>
      </c>
      <c r="AB82" s="1032">
        <v>3.3738028000000003E-2</v>
      </c>
      <c r="AC82" s="1032">
        <v>1.7271476E-3</v>
      </c>
      <c r="AD82" s="1032">
        <v>2.5227382000000001E-3</v>
      </c>
      <c r="AE82" s="1032">
        <v>1.5874477000000001E-4</v>
      </c>
      <c r="AF82" s="1032">
        <v>0.11359769</v>
      </c>
      <c r="AG82" s="1032">
        <v>4.0995933999999998</v>
      </c>
      <c r="AH82" s="1032">
        <v>1.4400479E-4</v>
      </c>
      <c r="AI82" s="1032">
        <v>4.9309434999999999E-2</v>
      </c>
      <c r="AJ82" s="1036">
        <v>2.6335375000000001E-4</v>
      </c>
      <c r="AK82" s="1077">
        <v>0.48940509999999998</v>
      </c>
      <c r="AL82" s="1078">
        <v>2.5720036000000001E-9</v>
      </c>
      <c r="AM82" s="1078">
        <v>3.1440343000000001E-3</v>
      </c>
      <c r="AN82" s="1078">
        <v>1.3976679000000001E-3</v>
      </c>
      <c r="AO82" s="1078">
        <v>6.5258499000000005E-4</v>
      </c>
      <c r="AP82" s="1078">
        <v>2.8268735999999999E-3</v>
      </c>
      <c r="AQ82" s="1078">
        <v>5.1421449999999999E-5</v>
      </c>
      <c r="AR82" s="1078">
        <v>4.0804118999999998E-3</v>
      </c>
      <c r="AS82" s="1078">
        <v>-1.7486088999999998E-5</v>
      </c>
      <c r="AT82" s="1078">
        <v>2.2019326999999999E-4</v>
      </c>
      <c r="AU82" s="1078">
        <v>2.2568234E-4</v>
      </c>
      <c r="AV82" s="1078">
        <v>1.1203868000000001E-2</v>
      </c>
      <c r="AW82" s="1078">
        <v>4.0995923000000003</v>
      </c>
      <c r="AX82" s="1078">
        <v>1.0680291000000001E-6</v>
      </c>
      <c r="AY82" s="1078">
        <v>-7.3402317000000001E-9</v>
      </c>
      <c r="AZ82" s="1078">
        <v>1.6262544000000001E-3</v>
      </c>
      <c r="BA82" s="1078">
        <v>5.1794558999999997E-2</v>
      </c>
      <c r="BB82" s="1079">
        <v>2.6606580000000001E-4</v>
      </c>
      <c r="BC82" s="1035"/>
      <c r="BE82" s="113">
        <f t="array" ref="BE82">IFERROR(SUMIFS($CB82:$CW82,$CB$17:$CW$17,BE$17,$CB$18:$CW$18,BE$18)/SUMPRODUCT(($CB$18:$CW$18=BE$18)*ABS($CB82:$CW82)),"-")</f>
        <v>0.60530023209002792</v>
      </c>
      <c r="BF82" s="114">
        <f t="array" ref="BF82">IFERROR(SUMIFS($CB82:$CW82,$CB$17:$CW$17,BF$17,$CB$18:$CW$18,BF$18)/SUMPRODUCT(($CB$18:$CW$18=BF$18)*ABS($CB82:$CW82)),"-")</f>
        <v>1.9686819232808141E-3</v>
      </c>
      <c r="BG82" s="114">
        <f t="array" ref="BG82">IFERROR(SUMIFS($CB82:$CW82,$CB$17:$CW$17,BG$17,$CB$18:$CW$18,BG$18)/SUMPRODUCT(($CB$18:$CW$18=BG$18)*ABS($CB82:$CW82)),"-")</f>
        <v>1.7299443577453355E-5</v>
      </c>
      <c r="BH82" s="114">
        <f t="array" ref="BH82">IFERROR(SUMIFS($CB82:$CW82,$CB$17:$CW$17,BH$17,$CB$18:$CW$18,BH$18)/SUMPRODUCT(($CB$18:$CW$18=BH$18)*ABS($CB82:$CW82)),"-")</f>
        <v>1.5294134004735199E-3</v>
      </c>
      <c r="BI82" s="114">
        <f t="array" ref="BI82">IFERROR(SUMIFS($CB82:$CW82,$CB$17:$CW$17,BI$17,$CB$18:$CW$18,BI$18)/SUMPRODUCT(($CB$18:$CW$18=BI$18)*ABS($CB82:$CW82)),"-")</f>
        <v>0.35530417101676898</v>
      </c>
      <c r="BJ82" s="114">
        <f t="array" ref="BJ82">IFERROR(SUMIFS($CB82:$CW82,$CB$17:$CW$17,BJ$17,$CB$18:$CW$18,BJ$18)/SUMPRODUCT(($CB$18:$CW$18=BJ$18)*ABS($CB82:$CW82)),"-")</f>
        <v>7.0046665484075124E-4</v>
      </c>
      <c r="BK82" s="114">
        <f t="array" ref="BK82">IFERROR(SUMIFS($CB82:$CW82,$CB$17:$CW$17,BK$17,$CB$18:$CW$18,BK$18)/SUMPRODUCT(($CB$18:$CW$18=BK$18)*ABS($CB82:$CW82)),"-")</f>
        <v>3.4403538629131189E-2</v>
      </c>
      <c r="BL82" s="114">
        <f t="array" ref="BL82">IFERROR(SUMIFS($CB82:$CW82,$CB$17:$CW$17,BL$17,$CB$18:$CW$18,BL$18)/SUMPRODUCT(($CB$18:$CW$18=BL$18)*ABS($CB82:$CW82)),"-")</f>
        <v>7.7619684189916523E-4</v>
      </c>
      <c r="BM82" s="115"/>
      <c r="BN82" s="114">
        <f t="array" ref="BN82">IFERROR(SUMIFS($CB82:$CW82,$CB$17:$CW$17,BN$17,$CB$18:$CW$18,BN$18)/SUMPRODUCT(($CB$18:$CW$18=BN$18)*ABS($CB82:$CW82)),"-")</f>
        <v>3.5772569878469357E-2</v>
      </c>
      <c r="BO82" s="114">
        <f t="array" ref="BO82">IFERROR(SUMIFS($CB82:$CW82,$CB$17:$CW$17,BO$17,$CB$18:$CW$18,BO$18)/SUMPRODUCT(($CB$18:$CW$18=BO$18)*ABS($CB82:$CW82)),"-")</f>
        <v>4.2951922764829465E-3</v>
      </c>
      <c r="BP82" s="114">
        <f t="array" ref="BP82">IFERROR(SUMIFS($CB82:$CW82,$CB$17:$CW$17,BP$17,$CB$18:$CW$18,BP$18)/SUMPRODUCT(($CB$18:$CW$18=BP$18)*ABS($CB82:$CW82)),"-")</f>
        <v>1.2026739869708482E-2</v>
      </c>
      <c r="BQ82" s="114">
        <f t="array" ref="BQ82">IFERROR(SUMIFS($CB82:$CW82,$CB$17:$CW$17,BQ$17,$CB$18:$CW$18,BQ$18)/SUMPRODUCT(($CB$18:$CW$18=BQ$18)*ABS($CB82:$CW82)),"-")</f>
        <v>7.3200773313274073E-4</v>
      </c>
      <c r="BR82" s="114">
        <f t="array" ref="BR82">IFERROR(SUMIFS($CB82:$CW82,$CB$17:$CW$17,BR$17,$CB$18:$CW$18,BR$18)/SUMPRODUCT(($CB$18:$CW$18=BR$18)*ABS($CB82:$CW82)),"-")</f>
        <v>5.1019078037275806E-5</v>
      </c>
      <c r="BS82" s="114">
        <f t="array" ref="BS82">IFERROR(SUMIFS($CB82:$CW82,$CB$17:$CW$17,BS$17,$CB$18:$CW$18,BS$18)/SUMPRODUCT(($CB$18:$CW$18=BS$18)*ABS($CB82:$CW82)),"-")</f>
        <v>1.0001763376177073E-5</v>
      </c>
      <c r="BT82" s="114">
        <f t="array" ref="BT82">IFERROR(SUMIFS($CB82:$CW82,$CB$17:$CW$17,BT$17,$CB$18:$CW$18,BT$18)/SUMPRODUCT(($CB$18:$CW$18=BT$18)*ABS($CB82:$CW82)),"-")</f>
        <v>3.1084812585994913E-5</v>
      </c>
      <c r="BU82" s="114">
        <f t="array" ref="BU82">IFERROR(SUMIFS($CB82:$CW82,$CB$17:$CW$17,BU$17,$CB$18:$CW$18,BU$18)/SUMPRODUCT(($CB$18:$CW$18=BU$18)*ABS($CB82:$CW82)),"-")</f>
        <v>6.8925737876013101E-6</v>
      </c>
      <c r="BV82" s="114">
        <f t="array" ref="BV82">IFERROR(SUMIFS($CB82:$CW82,$CB$17:$CW$17,BV$17,$CB$18:$CW$18,BV$18)/SUMPRODUCT(($CB$18:$CW$18=BV$18)*ABS($CB82:$CW82)),"-")</f>
        <v>0.94698200501653562</v>
      </c>
      <c r="BW82" s="114">
        <f t="array" ref="BW82">IFERROR(SUMIFS($CB82:$CW82,$CB$17:$CW$17,BW$17,$CB$18:$CW$18,BW$18)/SUMPRODUCT(($CB$18:$CW$18=BW$18)*ABS($CB82:$CW82)),"-")</f>
        <v>9.2486997883729704E-5</v>
      </c>
      <c r="BX82" s="115"/>
      <c r="BY82" s="114">
        <f t="array" ref="BY82">IFERROR(SUMIFS($CB82:$CW82,$CB$17:$CW$17,BY$17,$CB$18:$CW$18,BY$18)/SUMPRODUCT(($CB$18:$CW$18=BY$18)*ABS($CB82:$CW82)),"-")</f>
        <v>1.5695435535432356E-3</v>
      </c>
      <c r="BZ82" s="116">
        <f t="array" ref="BZ82">IFERROR(SUMIFS($CB82:$CW82,$CB$17:$CW$17,BZ$17,$CB$18:$CW$18,BZ$18)/SUMPRODUCT(($CB$18:$CW$18=BZ$18)*ABS($CB82:$CW82)),"-")</f>
        <v>0.99843045644645667</v>
      </c>
      <c r="CB82" s="117">
        <v>4.5592294999999998E-7</v>
      </c>
      <c r="CC82" s="111">
        <v>1.3751507E-9</v>
      </c>
      <c r="CD82" s="111">
        <v>3.7574419999999997E-14</v>
      </c>
      <c r="CE82" s="111">
        <v>1.4828464E-9</v>
      </c>
      <c r="CF82" s="111">
        <v>1.303025E-11</v>
      </c>
      <c r="CG82" s="111">
        <v>1.1519815000000001E-9</v>
      </c>
      <c r="CH82" s="111">
        <v>2.6762144999999998E-7</v>
      </c>
      <c r="CI82" s="111">
        <v>1.6511808E-10</v>
      </c>
      <c r="CJ82" s="111">
        <v>4.6233837000000001E-10</v>
      </c>
      <c r="CK82" s="111">
        <v>2.8140233000000001E-11</v>
      </c>
      <c r="CL82" s="111">
        <v>1.9613027000000001E-12</v>
      </c>
      <c r="CM82" s="111">
        <v>3.8449313999999998E-13</v>
      </c>
      <c r="CN82" s="111">
        <v>1.1949790000000001E-12</v>
      </c>
      <c r="CO82" s="111">
        <v>2.6496801000000002E-13</v>
      </c>
      <c r="CP82" s="111">
        <v>5.2760399999999995E-10</v>
      </c>
      <c r="CQ82" s="111">
        <v>2.5913360000000001E-8</v>
      </c>
      <c r="CR82" s="111">
        <v>3.6404389000000001E-8</v>
      </c>
      <c r="CS82" s="111">
        <v>3.3297499999999998E-5</v>
      </c>
      <c r="CT82" s="111">
        <v>2.1181469000000001E-2</v>
      </c>
      <c r="CU82" s="111">
        <v>5.8464533000000002E-10</v>
      </c>
      <c r="CV82" s="111">
        <v>3.5552756000000001E-12</v>
      </c>
      <c r="CW82" s="112">
        <v>1.5906567E-16</v>
      </c>
    </row>
    <row r="83" spans="2:101" ht="12" customHeight="1" outlineLevel="1" x14ac:dyDescent="0.2">
      <c r="B83" s="104" t="s">
        <v>106</v>
      </c>
      <c r="C83" s="104" t="s">
        <v>121</v>
      </c>
      <c r="D83" s="2" t="s">
        <v>137</v>
      </c>
      <c r="E83" s="2" t="s">
        <v>142</v>
      </c>
      <c r="F83" s="105" t="s">
        <v>95</v>
      </c>
      <c r="G83" s="27" t="s">
        <v>1581</v>
      </c>
      <c r="H83" s="106" t="s">
        <v>128</v>
      </c>
      <c r="I83" s="107" t="s">
        <v>127</v>
      </c>
      <c r="J83" s="108">
        <v>4.9808850400000004</v>
      </c>
      <c r="K83" s="109"/>
      <c r="L83" s="109"/>
      <c r="M83" s="110"/>
      <c r="N83" s="161"/>
      <c r="O83" s="1056"/>
      <c r="P83" s="117">
        <v>2.9355357225040001E-6</v>
      </c>
      <c r="Q83" s="111">
        <v>5.0264567919986272E-8</v>
      </c>
      <c r="R83" s="112">
        <v>2.8546028474E-2</v>
      </c>
      <c r="S83" s="1032">
        <v>0.69920431999999999</v>
      </c>
      <c r="T83" s="1032">
        <v>6.0149826000000004E-6</v>
      </c>
      <c r="U83" s="1032">
        <v>1.9464446000000001E-3</v>
      </c>
      <c r="V83" s="1032">
        <v>1.7250207999999999E-3</v>
      </c>
      <c r="W83" s="1032">
        <v>1.4088719E-3</v>
      </c>
      <c r="X83" s="1032">
        <v>1.7434250000000001E-3</v>
      </c>
      <c r="Y83" s="1032">
        <v>9.7951575999999999E-3</v>
      </c>
      <c r="Z83" s="1032">
        <v>2.4440802999999998E-4</v>
      </c>
      <c r="AA83" s="1032">
        <v>2.4518832999999999E-3</v>
      </c>
      <c r="AB83" s="1032">
        <v>7.3678147999999999E-2</v>
      </c>
      <c r="AC83" s="1032">
        <v>4.0091058000000001E-3</v>
      </c>
      <c r="AD83" s="1032">
        <v>5.3636259999999998E-3</v>
      </c>
      <c r="AE83" s="1032">
        <v>4.0322821999999998E-4</v>
      </c>
      <c r="AF83" s="1032">
        <v>6.1076052000000001</v>
      </c>
      <c r="AG83" s="1032">
        <v>5.1606401000000002</v>
      </c>
      <c r="AH83" s="1032">
        <v>1.8170419999999999E-4</v>
      </c>
      <c r="AI83" s="1032">
        <v>6.6151779999999993E-2</v>
      </c>
      <c r="AJ83" s="1036">
        <v>3.3270739999999999E-4</v>
      </c>
      <c r="AK83" s="1077">
        <v>0.69687904000000001</v>
      </c>
      <c r="AL83" s="1078">
        <v>3.2646886999999998E-9</v>
      </c>
      <c r="AM83" s="1078">
        <v>3.9906291999999999E-3</v>
      </c>
      <c r="AN83" s="1078">
        <v>1.8986323E-3</v>
      </c>
      <c r="AO83" s="1078">
        <v>1.9972159E-3</v>
      </c>
      <c r="AP83" s="1078">
        <v>1.2386289999999999E-2</v>
      </c>
      <c r="AQ83" s="1078">
        <v>2.5637488999999999E-4</v>
      </c>
      <c r="AR83" s="1078">
        <v>8.8932930999999996E-3</v>
      </c>
      <c r="AS83" s="1078">
        <v>6.1976055999999995E-4</v>
      </c>
      <c r="AT83" s="1078">
        <v>3.8976259999999997E-4</v>
      </c>
      <c r="AU83" s="1078">
        <v>3.6785695000000001E-4</v>
      </c>
      <c r="AV83" s="1078">
        <v>0.10020185</v>
      </c>
      <c r="AW83" s="1078">
        <v>5.1606386999999998</v>
      </c>
      <c r="AX83" s="1078">
        <v>1.3444537999999999E-6</v>
      </c>
      <c r="AY83" s="1078">
        <v>-9.2400124999999994E-9</v>
      </c>
      <c r="AZ83" s="1078">
        <v>2.0502868E-3</v>
      </c>
      <c r="BA83" s="1078">
        <v>6.9439402999999997E-2</v>
      </c>
      <c r="BB83" s="1079">
        <v>3.3612136999999997E-4</v>
      </c>
      <c r="BC83" s="1035"/>
      <c r="BE83" s="113">
        <f t="array" ref="BE83">IFERROR(SUMIFS($CB83:$CW83,$CB$17:$CW$17,BE$17,$CB$18:$CW$18,BE$18)/SUMPRODUCT(($CB$18:$CW$18=BE$18)*ABS($CB83:$CW83)),"-")</f>
        <v>0.22112599925927676</v>
      </c>
      <c r="BF83" s="114">
        <f t="array" ref="BF83">IFERROR(SUMIFS($CB83:$CW83,$CB$17:$CW$17,BF$17,$CB$18:$CW$18,BF$18)/SUMPRODUCT(($CB$18:$CW$18=BF$18)*ABS($CB83:$CW83)),"-")</f>
        <v>1.0878452868139637E-3</v>
      </c>
      <c r="BG83" s="114">
        <f t="array" ref="BG83">IFERROR(SUMIFS($CB83:$CW83,$CB$17:$CW$17,BG$17,$CB$18:$CW$18,BG$18)/SUMPRODUCT(($CB$18:$CW$18=BG$18)*ABS($CB83:$CW83)),"-")</f>
        <v>5.6344993090021785E-6</v>
      </c>
      <c r="BH83" s="114">
        <f t="array" ref="BH83">IFERROR(SUMIFS($CB83:$CW83,$CB$17:$CW$17,BH$17,$CB$18:$CW$18,BH$18)/SUMPRODUCT(($CB$18:$CW$18=BH$18)*ABS($CB83:$CW83)),"-")</f>
        <v>5.3475707618402552E-4</v>
      </c>
      <c r="BI83" s="114">
        <f t="array" ref="BI83">IFERROR(SUMIFS($CB83:$CW83,$CB$17:$CW$17,BI$17,$CB$18:$CW$18,BI$18)/SUMPRODUCT(($CB$18:$CW$18=BI$18)*ABS($CB83:$CW83)),"-")</f>
        <v>0.30192408942786836</v>
      </c>
      <c r="BJ83" s="114">
        <f t="array" ref="BJ83">IFERROR(SUMIFS($CB83:$CW83,$CB$17:$CW$17,BJ$17,$CB$18:$CW$18,BJ$18)/SUMPRODUCT(($CB$18:$CW$18=BJ$18)*ABS($CB83:$CW83)),"-")</f>
        <v>4.5659284256867821E-4</v>
      </c>
      <c r="BK83" s="114">
        <f t="array" ref="BK83">IFERROR(SUMIFS($CB83:$CW83,$CB$17:$CW$17,BK$17,$CB$18:$CW$18,BK$18)/SUMPRODUCT(($CB$18:$CW$18=BK$18)*ABS($CB83:$CW83)),"-")</f>
        <v>0.47461347151025901</v>
      </c>
      <c r="BL83" s="114">
        <f t="array" ref="BL83">IFERROR(SUMIFS($CB83:$CW83,$CB$17:$CW$17,BL$17,$CB$18:$CW$18,BL$18)/SUMPRODUCT(($CB$18:$CW$18=BL$18)*ABS($CB83:$CW83)),"-")</f>
        <v>2.516100977200742E-4</v>
      </c>
      <c r="BM83" s="115"/>
      <c r="BN83" s="114">
        <f t="array" ref="BN83">IFERROR(SUMIFS($CB83:$CW83,$CB$17:$CW$17,BN$17,$CB$18:$CW$18,BN$18)/SUMPRODUCT(($CB$18:$CW$18=BN$18)*ABS($CB83:$CW83)),"-")</f>
        <v>3.8946062236667779E-2</v>
      </c>
      <c r="BO83" s="114">
        <f t="array" ref="BO83">IFERROR(SUMIFS($CB83:$CW83,$CB$17:$CW$17,BO$17,$CB$18:$CW$18,BO$18)/SUMPRODUCT(($CB$18:$CW$18=BO$18)*ABS($CB83:$CW83)),"-")</f>
        <v>4.4743504083832866E-3</v>
      </c>
      <c r="BP83" s="114">
        <f t="array" ref="BP83">IFERROR(SUMIFS($CB83:$CW83,$CB$17:$CW$17,BP$17,$CB$18:$CW$18,BP$18)/SUMPRODUCT(($CB$18:$CW$18=BP$18)*ABS($CB83:$CW83)),"-")</f>
        <v>4.1356084136822867E-2</v>
      </c>
      <c r="BQ83" s="114">
        <f t="array" ref="BQ83">IFERROR(SUMIFS($CB83:$CW83,$CB$17:$CW$17,BQ$17,$CB$18:$CW$18,BQ$18)/SUMPRODUCT(($CB$18:$CW$18=BQ$18)*ABS($CB83:$CW83)),"-")</f>
        <v>3.2626002129582171E-3</v>
      </c>
      <c r="BR83" s="114">
        <f t="array" ref="BR83">IFERROR(SUMIFS($CB83:$CW83,$CB$17:$CW$17,BR$17,$CB$18:$CW$18,BR$18)/SUMPRODUCT(($CB$18:$CW$18=BR$18)*ABS($CB83:$CW83)),"-")</f>
        <v>8.2874373985091993E-5</v>
      </c>
      <c r="BS83" s="114">
        <f t="array" ref="BS83">IFERROR(SUMIFS($CB83:$CW83,$CB$17:$CW$17,BS$17,$CB$18:$CW$18,BS$18)/SUMPRODUCT(($CB$18:$CW$18=BS$18)*ABS($CB83:$CW83)),"-")</f>
        <v>1.670958221180765E-5</v>
      </c>
      <c r="BT83" s="114">
        <f t="array" ref="BT83">IFERROR(SUMIFS($CB83:$CW83,$CB$17:$CW$17,BT$17,$CB$18:$CW$18,BT$18)/SUMPRODUCT(($CB$18:$CW$18=BT$18)*ABS($CB83:$CW83)),"-")</f>
        <v>5.5229956505726948E-5</v>
      </c>
      <c r="BU83" s="114">
        <f t="array" ref="BU83">IFERROR(SUMIFS($CB83:$CW83,$CB$17:$CW$17,BU$17,$CB$18:$CW$18,BU$18)/SUMPRODUCT(($CB$18:$CW$18=BU$18)*ABS($CB83:$CW83)),"-")</f>
        <v>1.1207580474913468E-5</v>
      </c>
      <c r="BV83" s="114">
        <f t="array" ref="BV83">IFERROR(SUMIFS($CB83:$CW83,$CB$17:$CW$17,BV$17,$CB$18:$CW$18,BV$18)/SUMPRODUCT(($CB$18:$CW$18=BV$18)*ABS($CB83:$CW83)),"-")</f>
        <v>0.91170551934215283</v>
      </c>
      <c r="BW83" s="114">
        <f t="array" ref="BW83">IFERROR(SUMIFS($CB83:$CW83,$CB$17:$CW$17,BW$17,$CB$18:$CW$18,BW$18)/SUMPRODUCT(($CB$18:$CW$18=BW$18)*ABS($CB83:$CW83)),"-")</f>
        <v>8.9362169837413111E-5</v>
      </c>
      <c r="BX83" s="115"/>
      <c r="BY83" s="114">
        <f t="array" ref="BY83">IFERROR(SUMIFS($CB83:$CW83,$CB$17:$CW$17,BY$17,$CB$18:$CW$18,BY$18)/SUMPRODUCT(($CB$18:$CW$18=BY$18)*ABS($CB83:$CW83)),"-")</f>
        <v>1.4718150385881941E-3</v>
      </c>
      <c r="BZ83" s="116">
        <f t="array" ref="BZ83">IFERROR(SUMIFS($CB83:$CW83,$CB$17:$CW$17,BZ$17,$CB$18:$CW$18,BZ$18)/SUMPRODUCT(($CB$18:$CW$18=BZ$18)*ABS($CB83:$CW83)),"-")</f>
        <v>0.99852818496141182</v>
      </c>
      <c r="CB83" s="117">
        <v>6.4912326999999998E-7</v>
      </c>
      <c r="CC83" s="111">
        <v>1.9575535E-9</v>
      </c>
      <c r="CD83" s="111">
        <v>5.3490510999999997E-14</v>
      </c>
      <c r="CE83" s="111">
        <v>3.1934087E-9</v>
      </c>
      <c r="CF83" s="111">
        <v>1.6540273999999998E-11</v>
      </c>
      <c r="CG83" s="111">
        <v>1.5697985E-9</v>
      </c>
      <c r="CH83" s="111">
        <v>8.8630894999999995E-7</v>
      </c>
      <c r="CI83" s="111">
        <v>2.2490129E-10</v>
      </c>
      <c r="CJ83" s="111">
        <v>2.0787457E-9</v>
      </c>
      <c r="CK83" s="111">
        <v>1.6399318999999999E-10</v>
      </c>
      <c r="CL83" s="111">
        <v>4.1656445999999998E-12</v>
      </c>
      <c r="CM83" s="111">
        <v>8.3989992999999999E-13</v>
      </c>
      <c r="CN83" s="111">
        <v>2.7761098999999999E-12</v>
      </c>
      <c r="CO83" s="111">
        <v>5.6334419000000002E-13</v>
      </c>
      <c r="CP83" s="111">
        <v>1.3403446E-9</v>
      </c>
      <c r="CQ83" s="111">
        <v>1.3932447999999999E-6</v>
      </c>
      <c r="CR83" s="111">
        <v>4.5826483999999998E-8</v>
      </c>
      <c r="CS83" s="111">
        <v>4.2014473999999998E-5</v>
      </c>
      <c r="CT83" s="111">
        <v>2.8504014000000001E-2</v>
      </c>
      <c r="CU83" s="111">
        <v>7.3861043000000005E-10</v>
      </c>
      <c r="CV83" s="111">
        <v>4.4915499000000001E-12</v>
      </c>
      <c r="CW83" s="112">
        <v>2.0095527E-16</v>
      </c>
    </row>
    <row r="84" spans="2:101" ht="12" customHeight="1" outlineLevel="1" x14ac:dyDescent="0.2">
      <c r="B84" s="104" t="s">
        <v>106</v>
      </c>
      <c r="C84" s="104" t="s">
        <v>121</v>
      </c>
      <c r="D84" s="2" t="s">
        <v>137</v>
      </c>
      <c r="E84" s="2" t="s">
        <v>142</v>
      </c>
      <c r="F84" s="105" t="s">
        <v>96</v>
      </c>
      <c r="G84" s="27" t="s">
        <v>1582</v>
      </c>
      <c r="H84" s="106" t="s">
        <v>128</v>
      </c>
      <c r="I84" s="107" t="s">
        <v>1577</v>
      </c>
      <c r="J84" s="108">
        <v>4.9808850400000004</v>
      </c>
      <c r="K84" s="109"/>
      <c r="L84" s="109"/>
      <c r="M84" s="110"/>
      <c r="N84" s="161"/>
      <c r="O84" s="1056"/>
      <c r="P84" s="117">
        <v>4.4245795187109999E-6</v>
      </c>
      <c r="Q84" s="111">
        <v>5.162213238121756E-8</v>
      </c>
      <c r="R84" s="112">
        <v>2.9747174081E-2</v>
      </c>
      <c r="S84" s="1032">
        <v>0.75719219000000004</v>
      </c>
      <c r="T84" s="1032">
        <v>7.8370136999999998E-6</v>
      </c>
      <c r="U84" s="1032">
        <v>1.9570096000000002E-3</v>
      </c>
      <c r="V84" s="1032">
        <v>1.8108388E-3</v>
      </c>
      <c r="W84" s="1032">
        <v>2.0443862000000001E-3</v>
      </c>
      <c r="X84" s="1032">
        <v>1.8296701000000001E-3</v>
      </c>
      <c r="Y84" s="1032">
        <v>1.4933258E-2</v>
      </c>
      <c r="Z84" s="1032">
        <v>3.8087024000000002E-4</v>
      </c>
      <c r="AA84" s="1032">
        <v>3.1801020999999998E-3</v>
      </c>
      <c r="AB84" s="1032">
        <v>9.4045065999999997E-2</v>
      </c>
      <c r="AC84" s="1032">
        <v>4.7136964E-3</v>
      </c>
      <c r="AD84" s="1032">
        <v>6.0677404000000004E-3</v>
      </c>
      <c r="AE84" s="1032">
        <v>5.6213248000000005E-4</v>
      </c>
      <c r="AF84" s="1032">
        <v>10.639234999999999</v>
      </c>
      <c r="AG84" s="1032">
        <v>5.1606401000000002</v>
      </c>
      <c r="AH84" s="1032">
        <v>1.8198380000000001E-4</v>
      </c>
      <c r="AI84" s="1032">
        <v>6.8814581E-2</v>
      </c>
      <c r="AJ84" s="1036">
        <v>3.3348602E-4</v>
      </c>
      <c r="AK84" s="1077">
        <v>0.75479231999999996</v>
      </c>
      <c r="AL84" s="1078">
        <v>3.2823129000000001E-9</v>
      </c>
      <c r="AM84" s="1078">
        <v>4.0120764999999996E-3</v>
      </c>
      <c r="AN84" s="1078">
        <v>1.9894918000000002E-3</v>
      </c>
      <c r="AO84" s="1078">
        <v>2.8519970999999998E-3</v>
      </c>
      <c r="AP84" s="1078">
        <v>1.8817209000000001E-2</v>
      </c>
      <c r="AQ84" s="1078">
        <v>3.9286023999999999E-4</v>
      </c>
      <c r="AR84" s="1078">
        <v>1.1632277999999999E-2</v>
      </c>
      <c r="AS84" s="1078">
        <v>1.0596640999999999E-3</v>
      </c>
      <c r="AT84" s="1078">
        <v>4.3745456999999999E-4</v>
      </c>
      <c r="AU84" s="1078">
        <v>4.0116020999999999E-4</v>
      </c>
      <c r="AV84" s="1078">
        <v>0.16774510000000001</v>
      </c>
      <c r="AW84" s="1078">
        <v>5.1606386999999998</v>
      </c>
      <c r="AX84" s="1078">
        <v>1.3444537999999999E-6</v>
      </c>
      <c r="AY84" s="1078">
        <v>-9.2400124999999994E-9</v>
      </c>
      <c r="AZ84" s="1078">
        <v>2.0523288999999998E-3</v>
      </c>
      <c r="BA84" s="1078">
        <v>7.2206171E-2</v>
      </c>
      <c r="BB84" s="1079">
        <v>3.3689998999999999E-4</v>
      </c>
      <c r="BC84" s="1035"/>
      <c r="BE84" s="113">
        <f t="array" ref="BE84">IFERROR(SUMIFS($CB84:$CW84,$CB$17:$CW$17,BE$17,$CB$18:$CW$18,BE$18)/SUMPRODUCT(($CB$18:$CW$18=BE$18)*ABS($CB84:$CW84)),"-")</f>
        <v>0.15888785522489751</v>
      </c>
      <c r="BF84" s="114">
        <f t="array" ref="BF84">IFERROR(SUMIFS($CB84:$CW84,$CB$17:$CW$17,BF$17,$CB$18:$CW$18,BF$18)/SUMPRODUCT(($CB$18:$CW$18=BF$18)*ABS($CB84:$CW84)),"-")</f>
        <v>9.4036992270220005E-4</v>
      </c>
      <c r="BG84" s="114">
        <f t="array" ref="BG84">IFERROR(SUMIFS($CB84:$CW84,$CB$17:$CW$17,BG$17,$CB$18:$CW$18,BG$18)/SUMPRODUCT(($CB$18:$CW$18=BG$18)*ABS($CB84:$CW84)),"-")</f>
        <v>3.7585607693733537E-6</v>
      </c>
      <c r="BH84" s="114">
        <f t="array" ref="BH84">IFERROR(SUMIFS($CB84:$CW84,$CB$17:$CW$17,BH$17,$CB$18:$CW$18,BH$18)/SUMPRODUCT(($CB$18:$CW$18=BH$18)*ABS($CB84:$CW84)),"-")</f>
        <v>3.724405885420895E-4</v>
      </c>
      <c r="BI84" s="114">
        <f t="array" ref="BI84">IFERROR(SUMIFS($CB84:$CW84,$CB$17:$CW$17,BI$17,$CB$18:$CW$18,BI$18)/SUMPRODUCT(($CB$18:$CW$18=BI$18)*ABS($CB84:$CW84)),"-")</f>
        <v>0.29068314730496481</v>
      </c>
      <c r="BJ84" s="114">
        <f t="array" ref="BJ84">IFERROR(SUMIFS($CB84:$CW84,$CB$17:$CW$17,BJ$17,$CB$18:$CW$18,BJ$18)/SUMPRODUCT(($CB$18:$CW$18=BJ$18)*ABS($CB84:$CW84)),"-")</f>
        <v>4.2233735253206453E-4</v>
      </c>
      <c r="BK84" s="114">
        <f t="array" ref="BK84">IFERROR(SUMIFS($CB84:$CW84,$CB$17:$CW$17,BK$17,$CB$18:$CW$18,BK$18)/SUMPRODUCT(($CB$18:$CW$18=BK$18)*ABS($CB84:$CW84)),"-")</f>
        <v>0.54852276690623158</v>
      </c>
      <c r="BL84" s="114">
        <f t="array" ref="BL84">IFERROR(SUMIFS($CB84:$CW84,$CB$17:$CW$17,BL$17,$CB$18:$CW$18,BL$18)/SUMPRODUCT(($CB$18:$CW$18=BL$18)*ABS($CB84:$CW84)),"-")</f>
        <v>1.6732413936040657E-4</v>
      </c>
      <c r="BM84" s="115"/>
      <c r="BN84" s="114">
        <f t="array" ref="BN84">IFERROR(SUMIFS($CB84:$CW84,$CB$17:$CW$17,BN$17,$CB$18:$CW$18,BN$18)/SUMPRODUCT(($CB$18:$CW$18=BN$18)*ABS($CB84:$CW84)),"-")</f>
        <v>4.1065936823704685E-2</v>
      </c>
      <c r="BO84" s="114">
        <f t="array" ref="BO84">IFERROR(SUMIFS($CB84:$CW84,$CB$17:$CW$17,BO$17,$CB$18:$CW$18,BO$18)/SUMPRODUCT(($CB$18:$CW$18=BO$18)*ABS($CB84:$CW84)),"-")</f>
        <v>4.5722039968631193E-3</v>
      </c>
      <c r="BP84" s="114">
        <f t="array" ref="BP84">IFERROR(SUMIFS($CB84:$CW84,$CB$17:$CW$17,BP$17,$CB$18:$CW$18,BP$18)/SUMPRODUCT(($CB$18:$CW$18=BP$18)*ABS($CB84:$CW84)),"-")</f>
        <v>6.139364946406442E-2</v>
      </c>
      <c r="BQ84" s="114">
        <f t="array" ref="BQ84">IFERROR(SUMIFS($CB84:$CW84,$CB$17:$CW$17,BQ$17,$CB$18:$CW$18,BQ$18)/SUMPRODUCT(($CB$18:$CW$18=BQ$18)*ABS($CB84:$CW84)),"-")</f>
        <v>4.9505767819266588E-3</v>
      </c>
      <c r="BR84" s="114">
        <f t="array" ref="BR84">IFERROR(SUMIFS($CB84:$CW84,$CB$17:$CW$17,BR$17,$CB$18:$CW$18,BR$18)/SUMPRODUCT(($CB$18:$CW$18=BR$18)*ABS($CB84:$CW84)),"-")</f>
        <v>1.0466163737873411E-4</v>
      </c>
      <c r="BS84" s="114">
        <f t="array" ref="BS84">IFERROR(SUMIFS($CB84:$CW84,$CB$17:$CW$17,BS$17,$CB$18:$CW$18,BS$18)/SUMPRODUCT(($CB$18:$CW$18=BS$18)*ABS($CB84:$CW84)),"-")</f>
        <v>2.0769415181890089E-5</v>
      </c>
      <c r="BT84" s="114">
        <f t="array" ref="BT84">IFERROR(SUMIFS($CB84:$CW84,$CB$17:$CW$17,BT$17,$CB$18:$CW$18,BT$18)/SUMPRODUCT(($CB$18:$CW$18=BT$18)*ABS($CB84:$CW84)),"-")</f>
        <v>6.3252365785417143E-5</v>
      </c>
      <c r="BU84" s="114">
        <f t="array" ref="BU84">IFERROR(SUMIFS($CB84:$CW84,$CB$17:$CW$17,BU$17,$CB$18:$CW$18,BU$18)/SUMPRODUCT(($CB$18:$CW$18=BU$18)*ABS($CB84:$CW84)),"-")</f>
        <v>1.2345499703376813E-5</v>
      </c>
      <c r="BV84" s="114">
        <f t="array" ref="BV84">IFERROR(SUMIFS($CB84:$CW84,$CB$17:$CW$17,BV$17,$CB$18:$CW$18,BV$18)/SUMPRODUCT(($CB$18:$CW$18=BV$18)*ABS($CB84:$CW84)),"-")</f>
        <v>0.88772938827055736</v>
      </c>
      <c r="BW84" s="114">
        <f t="array" ref="BW84">IFERROR(SUMIFS($CB84:$CW84,$CB$17:$CW$17,BW$17,$CB$18:$CW$18,BW$18)/SUMPRODUCT(($CB$18:$CW$18=BW$18)*ABS($CB84:$CW84)),"-")</f>
        <v>8.7215744834247174E-5</v>
      </c>
      <c r="BX84" s="115"/>
      <c r="BY84" s="114">
        <f t="array" ref="BY84">IFERROR(SUMIFS($CB84:$CW84,$CB$17:$CW$17,BY$17,$CB$18:$CW$18,BY$18)/SUMPRODUCT(($CB$18:$CW$18=BY$18)*ABS($CB84:$CW84)),"-")</f>
        <v>1.4145572579573732E-3</v>
      </c>
      <c r="BZ84" s="116">
        <f t="array" ref="BZ84">IFERROR(SUMIFS($CB84:$CW84,$CB$17:$CW$17,BZ$17,$CB$18:$CW$18,BZ$18)/SUMPRODUCT(($CB$18:$CW$18=BZ$18)*ABS($CB84:$CW84)),"-")</f>
        <v>0.99858544274204264</v>
      </c>
      <c r="CB84" s="117">
        <v>7.0301195000000003E-7</v>
      </c>
      <c r="CC84" s="111">
        <v>2.1198533000000001E-9</v>
      </c>
      <c r="CD84" s="111">
        <v>5.7927071999999996E-14</v>
      </c>
      <c r="CE84" s="111">
        <v>4.1607415000000003E-9</v>
      </c>
      <c r="CF84" s="111">
        <v>1.6630050999999999E-11</v>
      </c>
      <c r="CG84" s="111">
        <v>1.6478929999999999E-9</v>
      </c>
      <c r="CH84" s="111">
        <v>1.2861507E-6</v>
      </c>
      <c r="CI84" s="111">
        <v>2.3602691999999999E-10</v>
      </c>
      <c r="CJ84" s="111">
        <v>3.1692711000000001E-9</v>
      </c>
      <c r="CK84" s="111">
        <v>2.5555933000000001E-10</v>
      </c>
      <c r="CL84" s="111">
        <v>5.4028569000000001E-12</v>
      </c>
      <c r="CM84" s="111">
        <v>1.0721615E-12</v>
      </c>
      <c r="CN84" s="111">
        <v>3.265222E-12</v>
      </c>
      <c r="CO84" s="111">
        <v>6.3730101999999996E-13</v>
      </c>
      <c r="CP84" s="111">
        <v>1.8686652E-9</v>
      </c>
      <c r="CQ84" s="111">
        <v>2.4269826000000002E-6</v>
      </c>
      <c r="CR84" s="111">
        <v>4.5826483999999998E-8</v>
      </c>
      <c r="CS84" s="111">
        <v>4.2079081000000003E-5</v>
      </c>
      <c r="CT84" s="111">
        <v>2.9705095000000001E-2</v>
      </c>
      <c r="CU84" s="111">
        <v>7.4033895999999997E-10</v>
      </c>
      <c r="CV84" s="111">
        <v>4.5020612999999998E-12</v>
      </c>
      <c r="CW84" s="112">
        <v>2.0142556000000001E-16</v>
      </c>
    </row>
    <row r="85" spans="2:101" ht="12" customHeight="1" outlineLevel="1" x14ac:dyDescent="0.2">
      <c r="B85" s="88" t="s">
        <v>107</v>
      </c>
      <c r="C85" s="88" t="s">
        <v>121</v>
      </c>
      <c r="D85" s="89" t="s">
        <v>143</v>
      </c>
      <c r="E85" s="89" t="s">
        <v>144</v>
      </c>
      <c r="F85" s="90" t="s">
        <v>92</v>
      </c>
      <c r="G85" s="18" t="s">
        <v>126</v>
      </c>
      <c r="H85" s="91" t="s">
        <v>127</v>
      </c>
      <c r="I85" s="92" t="s">
        <v>127</v>
      </c>
      <c r="J85" s="93">
        <v>5.9321289200000002</v>
      </c>
      <c r="K85" s="94"/>
      <c r="L85" s="94"/>
      <c r="M85" s="95"/>
      <c r="N85" s="145"/>
      <c r="O85" s="1055"/>
      <c r="P85" s="103">
        <v>4.8007542324679999E-6</v>
      </c>
      <c r="Q85" s="97">
        <v>6.7537654481784103E-8</v>
      </c>
      <c r="R85" s="98">
        <v>5.9765041299999995E-2</v>
      </c>
      <c r="S85" s="1033">
        <v>1.1368426</v>
      </c>
      <c r="T85" s="1033">
        <v>2.0178361999999999E-5</v>
      </c>
      <c r="U85" s="1033">
        <v>7.7281566999999997E-3</v>
      </c>
      <c r="V85" s="1033">
        <v>2.7729260999999998E-3</v>
      </c>
      <c r="W85" s="1033">
        <v>2.5195827000000001E-3</v>
      </c>
      <c r="X85" s="1033">
        <v>2.8000938999999999E-3</v>
      </c>
      <c r="Y85" s="1033">
        <v>1.7620131000000001E-2</v>
      </c>
      <c r="Z85" s="1033">
        <v>6.4137685E-4</v>
      </c>
      <c r="AA85" s="1033">
        <v>5.1405935000000003E-3</v>
      </c>
      <c r="AB85" s="1033">
        <v>16.028935000000001</v>
      </c>
      <c r="AC85" s="1033">
        <v>0.62274072999999996</v>
      </c>
      <c r="AD85" s="1033">
        <v>0.13241486</v>
      </c>
      <c r="AE85" s="1033">
        <v>8.1624208000000001E-4</v>
      </c>
      <c r="AF85" s="1033">
        <v>9.3907649000000006</v>
      </c>
      <c r="AG85" s="1033">
        <v>6.6632372000000002</v>
      </c>
      <c r="AH85" s="1033">
        <v>1.3028464E-3</v>
      </c>
      <c r="AI85" s="1033">
        <v>0.14725569999999999</v>
      </c>
      <c r="AJ85" s="1034">
        <v>5.0073384000000002E-3</v>
      </c>
      <c r="AK85" s="1074">
        <v>1.1301785</v>
      </c>
      <c r="AL85" s="1075">
        <v>1.2963895999999999E-8</v>
      </c>
      <c r="AM85" s="1075">
        <v>1.5981171999999998E-2</v>
      </c>
      <c r="AN85" s="1075">
        <v>2.7321858000000001E-3</v>
      </c>
      <c r="AO85" s="1075">
        <v>3.4517211000000001E-3</v>
      </c>
      <c r="AP85" s="1075">
        <v>2.2017782E-2</v>
      </c>
      <c r="AQ85" s="1075">
        <v>6.6395196000000004E-4</v>
      </c>
      <c r="AR85" s="1075">
        <v>1.8483954E-2</v>
      </c>
      <c r="AS85" s="1075">
        <v>8.7985914999999998E-2</v>
      </c>
      <c r="AT85" s="1075">
        <v>2.3721552999999999E-2</v>
      </c>
      <c r="AU85" s="1075">
        <v>7.8527982000000003E-3</v>
      </c>
      <c r="AV85" s="1075">
        <v>0.26205038000000003</v>
      </c>
      <c r="AW85" s="1075">
        <v>6.6632287999999997</v>
      </c>
      <c r="AX85" s="1075">
        <v>8.3936924000000002E-6</v>
      </c>
      <c r="AY85" s="1075">
        <v>-5.8453301999999998E-8</v>
      </c>
      <c r="AZ85" s="1075">
        <v>2.8286905000000002E-3</v>
      </c>
      <c r="BA85" s="1075">
        <v>0.15336008000000001</v>
      </c>
      <c r="BB85" s="1076">
        <v>5.0301327000000003E-3</v>
      </c>
      <c r="BC85" s="1035"/>
      <c r="BE85" s="99">
        <f t="array" ref="BE85">IFERROR(SUMIFS($CB85:$CW85,$CB$17:$CW$17,BE$17,$CB$18:$CW$18,BE$18)/SUMPRODUCT(($CB$18:$CW$18=BE$18)*ABS($CB85:$CW85)),"-")</f>
        <v>0.21993660763950343</v>
      </c>
      <c r="BF85" s="100">
        <f t="array" ref="BF85">IFERROR(SUMIFS($CB85:$CW85,$CB$17:$CW$17,BF$17,$CB$18:$CW$18,BF$18)/SUMPRODUCT(($CB$18:$CW$18=BF$18)*ABS($CB85:$CW85)),"-")</f>
        <v>2.2314983190657237E-3</v>
      </c>
      <c r="BG85" s="100">
        <f t="array" ref="BG85">IFERROR(SUMIFS($CB85:$CW85,$CB$17:$CW$17,BG$17,$CB$18:$CW$18,BG$18)/SUMPRODUCT(($CB$18:$CW$18=BG$18)*ABS($CB85:$CW85)),"-")</f>
        <v>1.3679385534018326E-5</v>
      </c>
      <c r="BH85" s="100">
        <f t="array" ref="BH85">IFERROR(SUMIFS($CB85:$CW85,$CB$17:$CW$17,BH$17,$CB$18:$CW$18,BH$18)/SUMPRODUCT(($CB$18:$CW$18=BH$18)*ABS($CB85:$CW85)),"-")</f>
        <v>5.2552621480541847E-4</v>
      </c>
      <c r="BI85" s="100">
        <f t="array" ref="BI85">IFERROR(SUMIFS($CB85:$CW85,$CB$17:$CW$17,BI$17,$CB$18:$CW$18,BI$18)/SUMPRODUCT(($CB$18:$CW$18=BI$18)*ABS($CB85:$CW85)),"-")</f>
        <v>0.33015158103296322</v>
      </c>
      <c r="BJ85" s="100">
        <f t="array" ref="BJ85">IFERROR(SUMIFS($CB85:$CW85,$CB$17:$CW$17,BJ$17,$CB$18:$CW$18,BJ$18)/SUMPRODUCT(($CB$18:$CW$18=BJ$18)*ABS($CB85:$CW85)),"-")</f>
        <v>5.6511922265291335E-4</v>
      </c>
      <c r="BK85" s="100">
        <f t="array" ref="BK85">IFERROR(SUMIFS($CB85:$CW85,$CB$17:$CW$17,BK$17,$CB$18:$CW$18,BK$18)/SUMPRODUCT(($CB$18:$CW$18=BK$18)*ABS($CB85:$CW85)),"-")</f>
        <v>0.44621598946104329</v>
      </c>
      <c r="BL85" s="100">
        <f t="array" ref="BL85">IFERROR(SUMIFS($CB85:$CW85,$CB$17:$CW$17,BL$17,$CB$18:$CW$18,BL$18)/SUMPRODUCT(($CB$18:$CW$18=BL$18)*ABS($CB85:$CW85)),"-")</f>
        <v>3.5999872443199892E-4</v>
      </c>
      <c r="BM85" s="101"/>
      <c r="BN85" s="100">
        <f t="array" ref="BN85">IFERROR(SUMIFS($CB85:$CW85,$CB$17:$CW$17,BN$17,$CB$18:$CW$18,BN$18)/SUMPRODUCT(($CB$18:$CW$18=BN$18)*ABS($CB85:$CW85)),"-")</f>
        <v>4.7122052100245358E-2</v>
      </c>
      <c r="BO85" s="100">
        <f t="array" ref="BO85">IFERROR(SUMIFS($CB85:$CW85,$CB$17:$CW$17,BO$17,$CB$18:$CW$18,BO$18)/SUMPRODUCT(($CB$18:$CW$18=BO$18)*ABS($CB85:$CW85)),"-")</f>
        <v>5.3471574156813998E-3</v>
      </c>
      <c r="BP85" s="100">
        <f t="array" ref="BP85">IFERROR(SUMIFS($CB85:$CW85,$CB$17:$CW$17,BP$17,$CB$18:$CW$18,BP$18)/SUMPRODUCT(($CB$18:$CW$18=BP$18)*ABS($CB85:$CW85)),"-")</f>
        <v>5.5367103413527061E-2</v>
      </c>
      <c r="BQ85" s="100">
        <f t="array" ref="BQ85">IFERROR(SUMIFS($CB85:$CW85,$CB$17:$CW$17,BQ$17,$CB$18:$CW$18,BQ$18)/SUMPRODUCT(($CB$18:$CW$18=BQ$18)*ABS($CB85:$CW85)),"-")</f>
        <v>6.3720776698881817E-3</v>
      </c>
      <c r="BR85" s="100">
        <f t="array" ref="BR85">IFERROR(SUMIFS($CB85:$CW85,$CB$17:$CW$17,BR$17,$CB$18:$CW$18,BR$18)/SUMPRODUCT(($CB$18:$CW$18=BR$18)*ABS($CB85:$CW85)),"-")</f>
        <v>1.2931524890837884E-4</v>
      </c>
      <c r="BS85" s="100">
        <f t="array" ref="BS85">IFERROR(SUMIFS($CB85:$CW85,$CB$17:$CW$17,BS$17,$CB$18:$CW$18,BS$18)/SUMPRODUCT(($CB$18:$CW$18=BS$18)*ABS($CB85:$CW85)),"-")</f>
        <v>2.7051857427070908E-3</v>
      </c>
      <c r="BT85" s="100">
        <f t="array" ref="BT85">IFERROR(SUMIFS($CB85:$CW85,$CB$17:$CW$17,BT$17,$CB$18:$CW$18,BT$18)/SUMPRODUCT(($CB$18:$CW$18=BT$18)*ABS($CB85:$CW85)),"-")</f>
        <v>6.4045620671749097E-3</v>
      </c>
      <c r="BU85" s="100">
        <f t="array" ref="BU85">IFERROR(SUMIFS($CB85:$CW85,$CB$17:$CW$17,BU$17,$CB$18:$CW$18,BU$18)/SUMPRODUCT(($CB$18:$CW$18=BU$18)*ABS($CB85:$CW85)),"-")</f>
        <v>2.0569284063228578E-4</v>
      </c>
      <c r="BV85" s="100">
        <f t="array" ref="BV85">IFERROR(SUMIFS($CB85:$CW85,$CB$17:$CW$17,BV$17,$CB$18:$CW$18,BV$18)/SUMPRODUCT(($CB$18:$CW$18=BV$18)*ABS($CB85:$CW85)),"-")</f>
        <v>0.87609715578676028</v>
      </c>
      <c r="BW85" s="100">
        <f t="array" ref="BW85">IFERROR(SUMIFS($CB85:$CW85,$CB$17:$CW$17,BW$17,$CB$18:$CW$18,BW$18)/SUMPRODUCT(($CB$18:$CW$18=BW$18)*ABS($CB85:$CW85)),"-")</f>
        <v>2.4969771447494471E-4</v>
      </c>
      <c r="BX85" s="101"/>
      <c r="BY85" s="100">
        <f t="array" ref="BY85">IFERROR(SUMIFS($CB85:$CW85,$CB$17:$CW$17,BY$17,$CB$18:$CW$18,BY$18)/SUMPRODUCT(($CB$18:$CW$18=BY$18)*ABS($CB85:$CW85)),"-")</f>
        <v>5.0393222099220734E-3</v>
      </c>
      <c r="BZ85" s="102">
        <f t="array" ref="BZ85">IFERROR(SUMIFS($CB85:$CW85,$CB$17:$CW$17,BZ$17,$CB$18:$CW$18,BZ$18)/SUMPRODUCT(($CB$18:$CW$18=BZ$18)*ABS($CB85:$CW85)),"-")</f>
        <v>0.99496067779007791</v>
      </c>
      <c r="CB85" s="103">
        <v>1.0558616E-6</v>
      </c>
      <c r="CC85" s="97">
        <v>3.1824259000000001E-9</v>
      </c>
      <c r="CD85" s="97">
        <v>8.6973219000000002E-14</v>
      </c>
      <c r="CE85" s="97">
        <v>1.0712875E-8</v>
      </c>
      <c r="CF85" s="97">
        <v>6.5671368000000006E-11</v>
      </c>
      <c r="CG85" s="97">
        <v>2.5229222000000001E-9</v>
      </c>
      <c r="CH85" s="97">
        <v>1.5849766000000001E-6</v>
      </c>
      <c r="CI85" s="97">
        <v>3.6113446999999998E-10</v>
      </c>
      <c r="CJ85" s="97">
        <v>3.7393642999999999E-9</v>
      </c>
      <c r="CK85" s="97">
        <v>4.3035517999999998E-10</v>
      </c>
      <c r="CL85" s="97">
        <v>8.7336485999999996E-12</v>
      </c>
      <c r="CM85" s="97">
        <v>1.8270190000000001E-10</v>
      </c>
      <c r="CN85" s="97">
        <v>4.3254909999999999E-10</v>
      </c>
      <c r="CO85" s="97">
        <v>1.3892012E-11</v>
      </c>
      <c r="CP85" s="97">
        <v>2.7129985E-9</v>
      </c>
      <c r="CQ85" s="97">
        <v>2.1421733000000001E-6</v>
      </c>
      <c r="CR85" s="97">
        <v>5.9169546999999998E-8</v>
      </c>
      <c r="CS85" s="97">
        <v>3.0117529999999998E-4</v>
      </c>
      <c r="CT85" s="97">
        <v>5.9463865999999997E-2</v>
      </c>
      <c r="CU85" s="97">
        <v>1.7282654000000001E-9</v>
      </c>
      <c r="CV85" s="97">
        <v>1.6863612999999999E-11</v>
      </c>
      <c r="CW85" s="98">
        <v>3.8496510000000002E-16</v>
      </c>
    </row>
    <row r="86" spans="2:101" ht="12" customHeight="1" outlineLevel="1" x14ac:dyDescent="0.2">
      <c r="B86" s="104" t="s">
        <v>107</v>
      </c>
      <c r="C86" s="104" t="s">
        <v>121</v>
      </c>
      <c r="D86" s="2" t="s">
        <v>143</v>
      </c>
      <c r="E86" s="2" t="s">
        <v>144</v>
      </c>
      <c r="F86" s="105" t="s">
        <v>122</v>
      </c>
      <c r="G86" s="27" t="s">
        <v>1579</v>
      </c>
      <c r="H86" s="106" t="s">
        <v>128</v>
      </c>
      <c r="I86" s="107" t="s">
        <v>129</v>
      </c>
      <c r="J86" s="108">
        <v>5.9321289200000002</v>
      </c>
      <c r="K86" s="109"/>
      <c r="L86" s="109"/>
      <c r="M86" s="110"/>
      <c r="N86" s="161"/>
      <c r="O86" s="1056"/>
      <c r="P86" s="117">
        <v>1.8032308452110001E-6</v>
      </c>
      <c r="Q86" s="111">
        <v>9.0415821022359744E-8</v>
      </c>
      <c r="R86" s="112">
        <v>5.5270986679999995E-2</v>
      </c>
      <c r="S86" s="1032">
        <v>0.79056428000000001</v>
      </c>
      <c r="T86" s="1032">
        <v>6.0736406999999996E-6</v>
      </c>
      <c r="U86" s="1032">
        <v>3.9603153000000004E-3</v>
      </c>
      <c r="V86" s="1032">
        <v>3.2912621000000001E-3</v>
      </c>
      <c r="W86" s="1032">
        <v>1.0630698999999999E-3</v>
      </c>
      <c r="X86" s="1032">
        <v>3.3281139E-3</v>
      </c>
      <c r="Y86" s="1032">
        <v>5.3076327999999999E-3</v>
      </c>
      <c r="Z86" s="1032">
        <v>9.9743406999999997E-5</v>
      </c>
      <c r="AA86" s="1032">
        <v>2.5039738999999999E-3</v>
      </c>
      <c r="AB86" s="1032">
        <v>8.3058951000000006E-2</v>
      </c>
      <c r="AC86" s="1032">
        <v>4.2511941999999999E-3</v>
      </c>
      <c r="AD86" s="1032">
        <v>6.1271679000000001E-3</v>
      </c>
      <c r="AE86" s="1032">
        <v>4.2568146999999998E-4</v>
      </c>
      <c r="AF86" s="1032">
        <v>1.7145433999999999</v>
      </c>
      <c r="AG86" s="1032">
        <v>9.7466770999999994</v>
      </c>
      <c r="AH86" s="1032">
        <v>3.5940719000000001E-4</v>
      </c>
      <c r="AI86" s="1032">
        <v>0.12838040000000001</v>
      </c>
      <c r="AJ86" s="1036">
        <v>7.0415258999999997E-3</v>
      </c>
      <c r="AK86" s="1077">
        <v>0.78600683999999998</v>
      </c>
      <c r="AL86" s="1078">
        <v>6.6428499999999997E-9</v>
      </c>
      <c r="AM86" s="1078">
        <v>8.1214935000000002E-3</v>
      </c>
      <c r="AN86" s="1078">
        <v>3.6346274999999998E-3</v>
      </c>
      <c r="AO86" s="1078">
        <v>1.6323162E-3</v>
      </c>
      <c r="AP86" s="1078">
        <v>6.9029618999999999E-3</v>
      </c>
      <c r="AQ86" s="1078">
        <v>1.2236315E-4</v>
      </c>
      <c r="AR86" s="1078">
        <v>8.8870766E-3</v>
      </c>
      <c r="AS86" s="1078">
        <v>1.0850544E-4</v>
      </c>
      <c r="AT86" s="1078">
        <v>5.3728315E-4</v>
      </c>
      <c r="AU86" s="1078">
        <v>5.5169015000000002E-4</v>
      </c>
      <c r="AV86" s="1078">
        <v>4.8221396999999999E-2</v>
      </c>
      <c r="AW86" s="1078">
        <v>9.7466743000000005</v>
      </c>
      <c r="AX86" s="1078">
        <v>2.8036593000000001E-6</v>
      </c>
      <c r="AY86" s="1078">
        <v>-1.9268677999999999E-8</v>
      </c>
      <c r="AZ86" s="1078">
        <v>4.1035337999999998E-3</v>
      </c>
      <c r="BA86" s="1078">
        <v>0.13479817999999999</v>
      </c>
      <c r="BB86" s="1079">
        <v>7.0486452000000002E-3</v>
      </c>
      <c r="BC86" s="1035"/>
      <c r="BE86" s="113">
        <f t="array" ref="BE86">IFERROR(SUMIFS($CB86:$CW86,$CB$17:$CW$17,BE$17,$CB$18:$CW$18,BE$18)/SUMPRODUCT(($CB$18:$CW$18=BE$18)*ABS($CB86:$CW86)),"-")</f>
        <v>0.40700255984924794</v>
      </c>
      <c r="BF86" s="114">
        <f t="array" ref="BF86">IFERROR(SUMIFS($CB86:$CW86,$CB$17:$CW$17,BF$17,$CB$18:$CW$18,BF$18)/SUMPRODUCT(($CB$18:$CW$18=BF$18)*ABS($CB86:$CW86)),"-")</f>
        <v>1.7882072661765545E-3</v>
      </c>
      <c r="BG86" s="114">
        <f t="array" ref="BG86">IFERROR(SUMIFS($CB86:$CW86,$CB$17:$CW$17,BG$17,$CB$18:$CW$18,BG$18)/SUMPRODUCT(($CB$18:$CW$18=BG$18)*ABS($CB86:$CW86)),"-")</f>
        <v>1.8662896705309034E-5</v>
      </c>
      <c r="BH86" s="114">
        <f t="array" ref="BH86">IFERROR(SUMIFS($CB86:$CW86,$CB$17:$CW$17,BH$17,$CB$18:$CW$18,BH$18)/SUMPRODUCT(($CB$18:$CW$18=BH$18)*ABS($CB86:$CW86)),"-")</f>
        <v>1.6609685376414109E-3</v>
      </c>
      <c r="BI86" s="114">
        <f t="array" ref="BI86">IFERROR(SUMIFS($CB86:$CW86,$CB$17:$CW$17,BI$17,$CB$18:$CW$18,BI$18)/SUMPRODUCT(($CB$18:$CW$18=BI$18)*ABS($CB86:$CW86)),"-")</f>
        <v>0.370800134533946</v>
      </c>
      <c r="BJ86" s="114">
        <f t="array" ref="BJ86">IFERROR(SUMIFS($CB86:$CW86,$CB$17:$CW$17,BJ$17,$CB$18:$CW$18,BJ$18)/SUMPRODUCT(($CB$18:$CW$18=BJ$18)*ABS($CB86:$CW86)),"-")</f>
        <v>7.8463592376850776E-4</v>
      </c>
      <c r="BK86" s="114">
        <f t="array" ref="BK86">IFERROR(SUMIFS($CB86:$CW86,$CB$17:$CW$17,BK$17,$CB$18:$CW$18,BK$18)/SUMPRODUCT(($CB$18:$CW$18=BK$18)*ABS($CB86:$CW86)),"-")</f>
        <v>0.21689666691245779</v>
      </c>
      <c r="BL86" s="114">
        <f t="array" ref="BL86">IFERROR(SUMIFS($CB86:$CW86,$CB$17:$CW$17,BL$17,$CB$18:$CW$18,BL$18)/SUMPRODUCT(($CB$18:$CW$18=BL$18)*ABS($CB86:$CW86)),"-")</f>
        <v>1.0481640800564485E-3</v>
      </c>
      <c r="BM86" s="115"/>
      <c r="BN86" s="114">
        <f t="array" ref="BN86">IFERROR(SUMIFS($CB86:$CW86,$CB$17:$CW$17,BN$17,$CB$18:$CW$18,BN$18)/SUMPRODUCT(($CB$18:$CW$18=BN$18)*ABS($CB86:$CW86)),"-")</f>
        <v>2.4480449928874985E-2</v>
      </c>
      <c r="BO86" s="114">
        <f t="array" ref="BO86">IFERROR(SUMIFS($CB86:$CW86,$CB$17:$CW$17,BO$17,$CB$18:$CW$18,BO$18)/SUMPRODUCT(($CB$18:$CW$18=BO$18)*ABS($CB86:$CW86)),"-")</f>
        <v>4.7483450921031647E-3</v>
      </c>
      <c r="BP86" s="114">
        <f t="array" ref="BP86">IFERROR(SUMIFS($CB86:$CW86,$CB$17:$CW$17,BP$17,$CB$18:$CW$18,BP$18)/SUMPRODUCT(($CB$18:$CW$18=BP$18)*ABS($CB86:$CW86)),"-")</f>
        <v>1.2454495101266852E-2</v>
      </c>
      <c r="BQ86" s="114">
        <f t="array" ref="BQ86">IFERROR(SUMIFS($CB86:$CW86,$CB$17:$CW$17,BQ$17,$CB$18:$CW$18,BQ$18)/SUMPRODUCT(($CB$18:$CW$18=BQ$18)*ABS($CB86:$CW86)),"-")</f>
        <v>7.4012644295350647E-4</v>
      </c>
      <c r="BR86" s="114">
        <f t="array" ref="BR86">IFERROR(SUMIFS($CB86:$CW86,$CB$17:$CW$17,BR$17,$CB$18:$CW$18,BR$18)/SUMPRODUCT(($CB$18:$CW$18=BR$18)*ABS($CB86:$CW86)),"-")</f>
        <v>4.70508938800429E-5</v>
      </c>
      <c r="BS86" s="114">
        <f t="array" ref="BS86">IFERROR(SUMIFS($CB86:$CW86,$CB$17:$CW$17,BS$17,$CB$18:$CW$18,BS$18)/SUMPRODUCT(($CB$18:$CW$18=BS$18)*ABS($CB86:$CW86)),"-")</f>
        <v>1.0468809764675146E-5</v>
      </c>
      <c r="BT86" s="114">
        <f t="array" ref="BT86">IFERROR(SUMIFS($CB86:$CW86,$CB$17:$CW$17,BT$17,$CB$18:$CW$18,BT$18)/SUMPRODUCT(($CB$18:$CW$18=BT$18)*ABS($CB86:$CW86)),"-")</f>
        <v>3.2536826705057351E-5</v>
      </c>
      <c r="BU86" s="114">
        <f t="array" ref="BU86">IFERROR(SUMIFS($CB86:$CW86,$CB$17:$CW$17,BU$17,$CB$18:$CW$18,BU$18)/SUMPRODUCT(($CB$18:$CW$18=BU$18)*ABS($CB86:$CW86)),"-")</f>
        <v>7.1176864040293385E-6</v>
      </c>
      <c r="BV86" s="114">
        <f t="array" ref="BV86">IFERROR(SUMIFS($CB86:$CW86,$CB$17:$CW$17,BV$17,$CB$18:$CW$18,BV$18)/SUMPRODUCT(($CB$18:$CW$18=BV$18)*ABS($CB86:$CW86)),"-")</f>
        <v>0.95724941742879432</v>
      </c>
      <c r="BW86" s="114">
        <f t="array" ref="BW86">IFERROR(SUMIFS($CB86:$CW86,$CB$17:$CW$17,BW$17,$CB$18:$CW$18,BW$18)/SUMPRODUCT(($CB$18:$CW$18=BW$18)*ABS($CB86:$CW86)),"-")</f>
        <v>2.299917892532043E-4</v>
      </c>
      <c r="BX86" s="115"/>
      <c r="BY86" s="114">
        <f t="array" ref="BY86">IFERROR(SUMIFS($CB86:$CW86,$CB$17:$CW$17,BY$17,$CB$18:$CW$18,BY$18)/SUMPRODUCT(($CB$18:$CW$18=BY$18)*ABS($CB86:$CW86)),"-")</f>
        <v>1.5034593191018463E-3</v>
      </c>
      <c r="BZ86" s="116">
        <f t="array" ref="BZ86">IFERROR(SUMIFS($CB86:$CW86,$CB$17:$CW$17,BZ$17,$CB$18:$CW$18,BZ$18)/SUMPRODUCT(($CB$18:$CW$18=BZ$18)*ABS($CB86:$CW86)),"-")</f>
        <v>0.99849654068089821</v>
      </c>
      <c r="CB86" s="117">
        <v>7.3391957000000003E-7</v>
      </c>
      <c r="CC86" s="111">
        <v>2.2133595000000001E-9</v>
      </c>
      <c r="CD86" s="111">
        <v>6.0479315999999995E-14</v>
      </c>
      <c r="CE86" s="111">
        <v>3.2245505000000002E-9</v>
      </c>
      <c r="CF86" s="111">
        <v>3.3653510999999999E-11</v>
      </c>
      <c r="CG86" s="111">
        <v>2.9951096999999999E-9</v>
      </c>
      <c r="CH86" s="111">
        <v>6.6863823999999995E-7</v>
      </c>
      <c r="CI86" s="111">
        <v>4.2932552E-10</v>
      </c>
      <c r="CJ86" s="111">
        <v>1.1260833999999999E-9</v>
      </c>
      <c r="CK86" s="111">
        <v>6.6919139999999995E-11</v>
      </c>
      <c r="CL86" s="111">
        <v>4.2541452000000001E-12</v>
      </c>
      <c r="CM86" s="111">
        <v>9.4654603000000001E-13</v>
      </c>
      <c r="CN86" s="111">
        <v>2.9418439000000001E-12</v>
      </c>
      <c r="CO86" s="111">
        <v>6.4355146000000003E-13</v>
      </c>
      <c r="CP86" s="111">
        <v>1.4148797000000001E-9</v>
      </c>
      <c r="CQ86" s="111">
        <v>3.9111476000000002E-7</v>
      </c>
      <c r="CR86" s="111">
        <v>8.6550492000000002E-8</v>
      </c>
      <c r="CS86" s="111">
        <v>8.3097680000000001E-5</v>
      </c>
      <c r="CT86" s="111">
        <v>5.5187888999999997E-2</v>
      </c>
      <c r="CU86" s="111">
        <v>1.8900817999999999E-9</v>
      </c>
      <c r="CV86" s="111">
        <v>2.0794507000000001E-11</v>
      </c>
      <c r="CW86" s="112">
        <v>3.8945373000000002E-16</v>
      </c>
    </row>
    <row r="87" spans="2:101" ht="12" customHeight="1" outlineLevel="1" x14ac:dyDescent="0.2">
      <c r="B87" s="104" t="s">
        <v>107</v>
      </c>
      <c r="C87" s="104" t="s">
        <v>121</v>
      </c>
      <c r="D87" s="2" t="s">
        <v>143</v>
      </c>
      <c r="E87" s="2" t="s">
        <v>144</v>
      </c>
      <c r="F87" s="105" t="s">
        <v>93</v>
      </c>
      <c r="G87" s="27" t="s">
        <v>1578</v>
      </c>
      <c r="H87" s="106" t="s">
        <v>130</v>
      </c>
      <c r="I87" s="107" t="s">
        <v>129</v>
      </c>
      <c r="J87" s="108">
        <v>5.9321289200000002</v>
      </c>
      <c r="K87" s="109"/>
      <c r="L87" s="109"/>
      <c r="M87" s="110"/>
      <c r="N87" s="161"/>
      <c r="O87" s="1056"/>
      <c r="P87" s="117">
        <v>2.308947723704E-6</v>
      </c>
      <c r="Q87" s="111">
        <v>1.1334814922512648E-7</v>
      </c>
      <c r="R87" s="112">
        <v>6.9268723439999999E-2</v>
      </c>
      <c r="S87" s="1032">
        <v>0.99092981999999996</v>
      </c>
      <c r="T87" s="1032">
        <v>7.6141239000000004E-6</v>
      </c>
      <c r="U87" s="1032">
        <v>4.9646233999999997E-3</v>
      </c>
      <c r="V87" s="1032">
        <v>4.1245433999999997E-3</v>
      </c>
      <c r="W87" s="1032">
        <v>1.3325190000000001E-3</v>
      </c>
      <c r="X87" s="1032">
        <v>4.1707347000000004E-3</v>
      </c>
      <c r="Y87" s="1032">
        <v>6.6532429000000001E-3</v>
      </c>
      <c r="Z87" s="1032">
        <v>1.2504224999999999E-4</v>
      </c>
      <c r="AA87" s="1032">
        <v>3.1390817E-3</v>
      </c>
      <c r="AB87" s="1032">
        <v>0.10376659000000001</v>
      </c>
      <c r="AC87" s="1032">
        <v>5.3536844000000002E-3</v>
      </c>
      <c r="AD87" s="1032">
        <v>7.7002796000000002E-3</v>
      </c>
      <c r="AE87" s="1032">
        <v>5.3837180999999996E-4</v>
      </c>
      <c r="AF87" s="1032">
        <v>2.3624320000000001</v>
      </c>
      <c r="AG87" s="1032">
        <v>12.218825000000001</v>
      </c>
      <c r="AH87" s="1032">
        <v>4.5056231000000001E-4</v>
      </c>
      <c r="AI87" s="1032">
        <v>0.16089581999999999</v>
      </c>
      <c r="AJ87" s="1036">
        <v>8.8275249999999993E-3</v>
      </c>
      <c r="AK87" s="1077">
        <v>0.98521773999999995</v>
      </c>
      <c r="AL87" s="1078">
        <v>8.3274315999999993E-9</v>
      </c>
      <c r="AM87" s="1078">
        <v>1.0181051E-2</v>
      </c>
      <c r="AN87" s="1078">
        <v>4.5549110999999996E-3</v>
      </c>
      <c r="AO87" s="1078">
        <v>2.0459553E-3</v>
      </c>
      <c r="AP87" s="1078">
        <v>8.6529104999999995E-3</v>
      </c>
      <c r="AQ87" s="1078">
        <v>1.5339885E-4</v>
      </c>
      <c r="AR87" s="1078">
        <v>1.1141135999999999E-2</v>
      </c>
      <c r="AS87" s="1078">
        <v>1.5811222000000001E-4</v>
      </c>
      <c r="AT87" s="1078">
        <v>6.7550654999999995E-4</v>
      </c>
      <c r="AU87" s="1078">
        <v>6.9248465000000005E-4</v>
      </c>
      <c r="AV87" s="1078">
        <v>6.3607002999999995E-2</v>
      </c>
      <c r="AW87" s="1078">
        <v>12.218821</v>
      </c>
      <c r="AX87" s="1078">
        <v>3.5147795E-6</v>
      </c>
      <c r="AY87" s="1078">
        <v>-2.4155986E-8</v>
      </c>
      <c r="AZ87" s="1078">
        <v>5.1443182000000002E-3</v>
      </c>
      <c r="BA87" s="1078">
        <v>0.16893955999999999</v>
      </c>
      <c r="BB87" s="1079">
        <v>8.8364499999999992E-3</v>
      </c>
      <c r="BC87" s="1035"/>
      <c r="BE87" s="113">
        <f t="array" ref="BE87">IFERROR(SUMIFS($CB87:$CW87,$CB$17:$CW$17,BE$17,$CB$18:$CW$18,BE$18)/SUMPRODUCT(($CB$18:$CW$18=BE$18)*ABS($CB87:$CW87)),"-")</f>
        <v>0.39841905061594718</v>
      </c>
      <c r="BF87" s="114">
        <f t="array" ref="BF87">IFERROR(SUMIFS($CB87:$CW87,$CB$17:$CW$17,BF$17,$CB$18:$CW$18,BF$18)/SUMPRODUCT(($CB$18:$CW$18=BF$18)*ABS($CB87:$CW87)),"-")</f>
        <v>1.7507572209193177E-3</v>
      </c>
      <c r="BG87" s="114">
        <f t="array" ref="BG87">IFERROR(SUMIFS($CB87:$CW87,$CB$17:$CW$17,BG$17,$CB$18:$CW$18,BG$18)/SUMPRODUCT(($CB$18:$CW$18=BG$18)*ABS($CB87:$CW87)),"-")</f>
        <v>1.8271441820398851E-5</v>
      </c>
      <c r="BH87" s="114">
        <f t="array" ref="BH87">IFERROR(SUMIFS($CB87:$CW87,$CB$17:$CW$17,BH$17,$CB$18:$CW$18,BH$18)/SUMPRODUCT(($CB$18:$CW$18=BH$18)*ABS($CB87:$CW87)),"-")</f>
        <v>1.6255938415005778E-3</v>
      </c>
      <c r="BI87" s="114">
        <f t="array" ref="BI87">IFERROR(SUMIFS($CB87:$CW87,$CB$17:$CW$17,BI$17,$CB$18:$CW$18,BI$18)/SUMPRODUCT(($CB$18:$CW$18=BI$18)*ABS($CB87:$CW87)),"-")</f>
        <v>0.36298504353121663</v>
      </c>
      <c r="BJ87" s="114">
        <f t="array" ref="BJ87">IFERROR(SUMIFS($CB87:$CW87,$CB$17:$CW$17,BJ$17,$CB$18:$CW$18,BJ$18)/SUMPRODUCT(($CB$18:$CW$18=BJ$18)*ABS($CB87:$CW87)),"-")</f>
        <v>7.7500936103021213E-4</v>
      </c>
      <c r="BK87" s="114">
        <f t="array" ref="BK87">IFERROR(SUMIFS($CB87:$CW87,$CB$17:$CW$17,BK$17,$CB$18:$CW$18,BK$18)/SUMPRODUCT(($CB$18:$CW$18=BK$18)*ABS($CB87:$CW87)),"-")</f>
        <v>0.23340006985324296</v>
      </c>
      <c r="BL87" s="114">
        <f t="array" ref="BL87">IFERROR(SUMIFS($CB87:$CW87,$CB$17:$CW$17,BL$17,$CB$18:$CW$18,BL$18)/SUMPRODUCT(($CB$18:$CW$18=BL$18)*ABS($CB87:$CW87)),"-")</f>
        <v>1.0262041343226862E-3</v>
      </c>
      <c r="BM87" s="115"/>
      <c r="BN87" s="114">
        <f t="array" ref="BN87">IFERROR(SUMIFS($CB87:$CW87,$CB$17:$CW$17,BN$17,$CB$18:$CW$18,BN$18)/SUMPRODUCT(($CB$18:$CW$18=BN$18)*ABS($CB87:$CW87)),"-")</f>
        <v>2.4476824955117868E-2</v>
      </c>
      <c r="BO87" s="114">
        <f t="array" ref="BO87">IFERROR(SUMIFS($CB87:$CW87,$CB$17:$CW$17,BO$17,$CB$18:$CW$18,BO$18)/SUMPRODUCT(($CB$18:$CW$18=BO$18)*ABS($CB87:$CW87)),"-")</f>
        <v>4.7466439785567626E-3</v>
      </c>
      <c r="BP87" s="114">
        <f t="array" ref="BP87">IFERROR(SUMIFS($CB87:$CW87,$CB$17:$CW$17,BP$17,$CB$18:$CW$18,BP$18)/SUMPRODUCT(($CB$18:$CW$18=BP$18)*ABS($CB87:$CW87)),"-")</f>
        <v>1.2453420807042955E-2</v>
      </c>
      <c r="BQ87" s="114">
        <f t="array" ref="BQ87">IFERROR(SUMIFS($CB87:$CW87,$CB$17:$CW$17,BQ$17,$CB$18:$CW$18,BQ$18)/SUMPRODUCT(($CB$18:$CW$18=BQ$18)*ABS($CB87:$CW87)),"-")</f>
        <v>7.4013081442888813E-4</v>
      </c>
      <c r="BR87" s="114">
        <f t="array" ref="BR87">IFERROR(SUMIFS($CB87:$CW87,$CB$17:$CW$17,BR$17,$CB$18:$CW$18,BR$18)/SUMPRODUCT(($CB$18:$CW$18=BR$18)*ABS($CB87:$CW87)),"-")</f>
        <v>4.7051198775266538E-5</v>
      </c>
      <c r="BS87" s="114">
        <f t="array" ref="BS87">IFERROR(SUMIFS($CB87:$CW87,$CB$17:$CW$17,BS$17,$CB$18:$CW$18,BS$18)/SUMPRODUCT(($CB$18:$CW$18=BS$18)*ABS($CB87:$CW87)),"-")</f>
        <v>1.0432715558957381E-5</v>
      </c>
      <c r="BT87" s="114">
        <f t="array" ref="BT87">IFERROR(SUMIFS($CB87:$CW87,$CB$17:$CW$17,BT$17,$CB$18:$CW$18,BT$18)/SUMPRODUCT(($CB$18:$CW$18=BT$18)*ABS($CB87:$CW87)),"-")</f>
        <v>3.2685547362944747E-5</v>
      </c>
      <c r="BU87" s="114">
        <f t="array" ref="BU87">IFERROR(SUMIFS($CB87:$CW87,$CB$17:$CW$17,BU$17,$CB$18:$CW$18,BU$18)/SUMPRODUCT(($CB$18:$CW$18=BU$18)*ABS($CB87:$CW87)),"-")</f>
        <v>7.1353589408296536E-6</v>
      </c>
      <c r="BV87" s="114">
        <f t="array" ref="BV87">IFERROR(SUMIFS($CB87:$CW87,$CB$17:$CW$17,BV$17,$CB$18:$CW$18,BV$18)/SUMPRODUCT(($CB$18:$CW$18=BV$18)*ABS($CB87:$CW87)),"-")</f>
        <v>0.95725568297102404</v>
      </c>
      <c r="BW87" s="114">
        <f t="array" ref="BW87">IFERROR(SUMIFS($CB87:$CW87,$CB$17:$CW$17,BW$17,$CB$18:$CW$18,BW$18)/SUMPRODUCT(($CB$18:$CW$18=BW$18)*ABS($CB87:$CW87)),"-")</f>
        <v>2.2999165319146755E-4</v>
      </c>
      <c r="BX87" s="115"/>
      <c r="BY87" s="114">
        <f t="array" ref="BY87">IFERROR(SUMIFS($CB87:$CW87,$CB$17:$CW$17,BY$17,$CB$18:$CW$18,BY$18)/SUMPRODUCT(($CB$18:$CW$18=BY$18)*ABS($CB87:$CW87)),"-")</f>
        <v>1.5039029857426805E-3</v>
      </c>
      <c r="BZ87" s="116">
        <f t="array" ref="BZ87">IFERROR(SUMIFS($CB87:$CW87,$CB$17:$CW$17,BZ$17,$CB$18:$CW$18,BZ$18)/SUMPRODUCT(($CB$18:$CW$18=BZ$18)*ABS($CB87:$CW87)),"-")</f>
        <v>0.99849609701425746</v>
      </c>
      <c r="CB87" s="117">
        <v>9.1992876000000001E-7</v>
      </c>
      <c r="CC87" s="111">
        <v>2.7743270000000002E-9</v>
      </c>
      <c r="CD87" s="111">
        <v>7.5807570000000003E-14</v>
      </c>
      <c r="CE87" s="111">
        <v>4.0424068999999997E-9</v>
      </c>
      <c r="CF87" s="111">
        <v>4.2187803999999997E-11</v>
      </c>
      <c r="CG87" s="111">
        <v>3.7534112000000001E-9</v>
      </c>
      <c r="CH87" s="111">
        <v>8.3811348999999999E-7</v>
      </c>
      <c r="CI87" s="111">
        <v>5.3802331000000003E-10</v>
      </c>
      <c r="CJ87" s="111">
        <v>1.4115722E-9</v>
      </c>
      <c r="CK87" s="111">
        <v>8.3892458000000004E-11</v>
      </c>
      <c r="CL87" s="111">
        <v>5.3331662999999999E-12</v>
      </c>
      <c r="CM87" s="111">
        <v>1.182529E-12</v>
      </c>
      <c r="CN87" s="111">
        <v>3.7048463000000002E-12</v>
      </c>
      <c r="CO87" s="111">
        <v>8.0877973E-13</v>
      </c>
      <c r="CP87" s="111">
        <v>1.7894560999999999E-9</v>
      </c>
      <c r="CQ87" s="111">
        <v>5.3890855999999996E-7</v>
      </c>
      <c r="CR87" s="111">
        <v>1.0850316E-7</v>
      </c>
      <c r="CS87" s="111">
        <v>1.0417344E-4</v>
      </c>
      <c r="CT87" s="111">
        <v>6.9164550000000005E-2</v>
      </c>
      <c r="CU87" s="111">
        <v>2.3694517E-9</v>
      </c>
      <c r="CV87" s="111">
        <v>2.606864E-11</v>
      </c>
      <c r="CW87" s="112">
        <v>4.8822647999999999E-16</v>
      </c>
    </row>
    <row r="88" spans="2:101" ht="12" customHeight="1" outlineLevel="1" x14ac:dyDescent="0.2">
      <c r="B88" s="104" t="s">
        <v>107</v>
      </c>
      <c r="C88" s="104" t="s">
        <v>121</v>
      </c>
      <c r="D88" s="2" t="s">
        <v>143</v>
      </c>
      <c r="E88" s="2" t="s">
        <v>144</v>
      </c>
      <c r="F88" s="105" t="s">
        <v>94</v>
      </c>
      <c r="G88" s="27" t="s">
        <v>1580</v>
      </c>
      <c r="H88" s="106" t="s">
        <v>131</v>
      </c>
      <c r="I88" s="107" t="s">
        <v>129</v>
      </c>
      <c r="J88" s="108">
        <v>5.9321289200000002</v>
      </c>
      <c r="K88" s="109"/>
      <c r="L88" s="109"/>
      <c r="M88" s="110"/>
      <c r="N88" s="161"/>
      <c r="O88" s="1056"/>
      <c r="P88" s="117">
        <v>1.4673306263410001E-6</v>
      </c>
      <c r="Q88" s="111">
        <v>7.5184361111701682E-8</v>
      </c>
      <c r="R88" s="112">
        <v>4.5969602248999999E-2</v>
      </c>
      <c r="S88" s="1032">
        <v>0.65745344999999999</v>
      </c>
      <c r="T88" s="1032">
        <v>5.0504680000000001E-6</v>
      </c>
      <c r="U88" s="1032">
        <v>3.2932312999999999E-3</v>
      </c>
      <c r="V88" s="1032">
        <v>2.7375020000000002E-3</v>
      </c>
      <c r="W88" s="1032">
        <v>8.8406769000000005E-4</v>
      </c>
      <c r="X88" s="1032">
        <v>2.7681491000000002E-3</v>
      </c>
      <c r="Y88" s="1032">
        <v>4.4137734999999999E-3</v>
      </c>
      <c r="Z88" s="1032">
        <v>8.2940285000000002E-5</v>
      </c>
      <c r="AA88" s="1032">
        <v>2.0821449000000001E-3</v>
      </c>
      <c r="AB88" s="1032">
        <v>6.9232337000000005E-2</v>
      </c>
      <c r="AC88" s="1032">
        <v>3.5189240000000001E-3</v>
      </c>
      <c r="AD88" s="1032">
        <v>5.0822469000000002E-3</v>
      </c>
      <c r="AE88" s="1032">
        <v>3.5078219E-4</v>
      </c>
      <c r="AF88" s="1032">
        <v>1.2844120999999999</v>
      </c>
      <c r="AG88" s="1032">
        <v>8.1047142000000001</v>
      </c>
      <c r="AH88" s="1032">
        <v>2.9886234E-4</v>
      </c>
      <c r="AI88" s="1032">
        <v>0.10677462</v>
      </c>
      <c r="AJ88" s="1036">
        <v>5.8552895000000002E-3</v>
      </c>
      <c r="AK88" s="1077">
        <v>0.65366316000000002</v>
      </c>
      <c r="AL88" s="1078">
        <v>5.5239133E-9</v>
      </c>
      <c r="AM88" s="1078">
        <v>6.7534899000000004E-3</v>
      </c>
      <c r="AN88" s="1078">
        <v>3.0230639000000002E-3</v>
      </c>
      <c r="AO88" s="1078">
        <v>1.3575060000000001E-3</v>
      </c>
      <c r="AP88" s="1078">
        <v>5.7404861E-3</v>
      </c>
      <c r="AQ88" s="1078">
        <v>1.0174961000000001E-4</v>
      </c>
      <c r="AR88" s="1078">
        <v>7.3899526999999998E-3</v>
      </c>
      <c r="AS88" s="1078">
        <v>7.5573983000000005E-5</v>
      </c>
      <c r="AT88" s="1078">
        <v>4.4547595000000003E-4</v>
      </c>
      <c r="AU88" s="1078">
        <v>4.5815143999999999E-4</v>
      </c>
      <c r="AV88" s="1078">
        <v>3.8004217E-2</v>
      </c>
      <c r="AW88" s="1078">
        <v>8.1047118000000005</v>
      </c>
      <c r="AX88" s="1078">
        <v>2.331344E-6</v>
      </c>
      <c r="AY88" s="1078">
        <v>-1.6022601999999999E-8</v>
      </c>
      <c r="AZ88" s="1078">
        <v>3.4122532000000001E-3</v>
      </c>
      <c r="BA88" s="1078">
        <v>0.11211208</v>
      </c>
      <c r="BB88" s="1079">
        <v>5.8612094999999998E-3</v>
      </c>
      <c r="BC88" s="1035"/>
      <c r="BE88" s="113">
        <f t="array" ref="BE88">IFERROR(SUMIFS($CB88:$CW88,$CB$17:$CW$17,BE$17,$CB$18:$CW$18,BE$18)/SUMPRODUCT(($CB$18:$CW$18=BE$18)*ABS($CB88:$CW88)),"-")</f>
        <v>0.41595686005817661</v>
      </c>
      <c r="BF88" s="114">
        <f t="array" ref="BF88">IFERROR(SUMIFS($CB88:$CW88,$CB$17:$CW$17,BF$17,$CB$18:$CW$18,BF$18)/SUMPRODUCT(($CB$18:$CW$18=BF$18)*ABS($CB88:$CW88)),"-")</f>
        <v>1.8273583689085151E-3</v>
      </c>
      <c r="BG88" s="114">
        <f t="array" ref="BG88">IFERROR(SUMIFS($CB88:$CW88,$CB$17:$CW$17,BG$17,$CB$18:$CW$18,BG$18)/SUMPRODUCT(($CB$18:$CW$18=BG$18)*ABS($CB88:$CW88)),"-")</f>
        <v>1.907193954629314E-5</v>
      </c>
      <c r="BH88" s="114">
        <f t="array" ref="BH88">IFERROR(SUMIFS($CB88:$CW88,$CB$17:$CW$17,BH$17,$CB$18:$CW$18,BH$18)/SUMPRODUCT(($CB$18:$CW$18=BH$18)*ABS($CB88:$CW88)),"-")</f>
        <v>1.6977617418182775E-3</v>
      </c>
      <c r="BI88" s="114">
        <f t="array" ref="BI88">IFERROR(SUMIFS($CB88:$CW88,$CB$17:$CW$17,BI$17,$CB$18:$CW$18,BI$18)/SUMPRODUCT(($CB$18:$CW$18=BI$18)*ABS($CB88:$CW88)),"-")</f>
        <v>0.37895438152653715</v>
      </c>
      <c r="BJ88" s="114">
        <f t="array" ref="BJ88">IFERROR(SUMIFS($CB88:$CW88,$CB$17:$CW$17,BJ$17,$CB$18:$CW$18,BJ$18)/SUMPRODUCT(($CB$18:$CW$18=BJ$18)*ABS($CB88:$CW88)),"-")</f>
        <v>7.9458533684898804E-4</v>
      </c>
      <c r="BK88" s="114">
        <f t="array" ref="BK88">IFERROR(SUMIFS($CB88:$CW88,$CB$17:$CW$17,BK$17,$CB$18:$CW$18,BK$18)/SUMPRODUCT(($CB$18:$CW$18=BK$18)*ABS($CB88:$CW88)),"-")</f>
        <v>0.19967886224158282</v>
      </c>
      <c r="BL88" s="114">
        <f t="array" ref="BL88">IFERROR(SUMIFS($CB88:$CW88,$CB$17:$CW$17,BL$17,$CB$18:$CW$18,BL$18)/SUMPRODUCT(($CB$18:$CW$18=BL$18)*ABS($CB88:$CW88)),"-")</f>
        <v>1.0711187865813335E-3</v>
      </c>
      <c r="BM88" s="115"/>
      <c r="BN88" s="114">
        <f t="array" ref="BN88">IFERROR(SUMIFS($CB88:$CW88,$CB$17:$CW$17,BN$17,$CB$18:$CW$18,BN$18)/SUMPRODUCT(($CB$18:$CW$18=BN$18)*ABS($CB88:$CW88)),"-")</f>
        <v>2.4482971843149813E-2</v>
      </c>
      <c r="BO88" s="114">
        <f t="array" ref="BO88">IFERROR(SUMIFS($CB88:$CW88,$CB$17:$CW$17,BO$17,$CB$18:$CW$18,BO$18)/SUMPRODUCT(($CB$18:$CW$18=BO$18)*ABS($CB88:$CW88)),"-")</f>
        <v>4.7495284221338229E-3</v>
      </c>
      <c r="BP88" s="114">
        <f t="array" ref="BP88">IFERROR(SUMIFS($CB88:$CW88,$CB$17:$CW$17,BP$17,$CB$18:$CW$18,BP$18)/SUMPRODUCT(($CB$18:$CW$18=BP$18)*ABS($CB88:$CW88)),"-")</f>
        <v>1.2455242368937981E-2</v>
      </c>
      <c r="BQ88" s="114">
        <f t="array" ref="BQ88">IFERROR(SUMIFS($CB88:$CW88,$CB$17:$CW$17,BQ$17,$CB$18:$CW$18,BQ$18)/SUMPRODUCT(($CB$18:$CW$18=BQ$18)*ABS($CB88:$CW88)),"-")</f>
        <v>7.4012344026342086E-4</v>
      </c>
      <c r="BR88" s="114">
        <f t="array" ref="BR88">IFERROR(SUMIFS($CB88:$CW88,$CB$17:$CW$17,BR$17,$CB$18:$CW$18,BR$18)/SUMPRODUCT(($CB$18:$CW$18=BR$18)*ABS($CB88:$CW88)),"-")</f>
        <v>4.7050683781755615E-5</v>
      </c>
      <c r="BS88" s="114">
        <f t="array" ref="BS88">IFERROR(SUMIFS($CB88:$CW88,$CB$17:$CW$17,BS$17,$CB$18:$CW$18,BS$18)/SUMPRODUCT(($CB$18:$CW$18=BS$18)*ABS($CB88:$CW88)),"-")</f>
        <v>1.0493913605620885E-5</v>
      </c>
      <c r="BT88" s="114">
        <f t="array" ref="BT88">IFERROR(SUMIFS($CB88:$CW88,$CB$17:$CW$17,BT$17,$CB$18:$CW$18,BT$18)/SUMPRODUCT(($CB$18:$CW$18=BT$18)*ABS($CB88:$CW88)),"-")</f>
        <v>3.2387857846955994E-5</v>
      </c>
      <c r="BU88" s="114">
        <f t="array" ref="BU88">IFERROR(SUMIFS($CB88:$CW88,$CB$17:$CW$17,BU$17,$CB$18:$CW$18,BU$18)/SUMPRODUCT(($CB$18:$CW$18=BU$18)*ABS($CB88:$CW88)),"-")</f>
        <v>7.0998876908314827E-6</v>
      </c>
      <c r="BV88" s="114">
        <f t="array" ref="BV88">IFERROR(SUMIFS($CB88:$CW88,$CB$17:$CW$17,BV$17,$CB$18:$CW$18,BV$18)/SUMPRODUCT(($CB$18:$CW$18=BV$18)*ABS($CB88:$CW88)),"-")</f>
        <v>0.95724510969873267</v>
      </c>
      <c r="BW88" s="114">
        <f t="array" ref="BW88">IFERROR(SUMIFS($CB88:$CW88,$CB$17:$CW$17,BW$17,$CB$18:$CW$18,BW$18)/SUMPRODUCT(($CB$18:$CW$18=BW$18)*ABS($CB88:$CW88)),"-")</f>
        <v>2.2999188385719631E-4</v>
      </c>
      <c r="BX88" s="115"/>
      <c r="BY88" s="114">
        <f t="array" ref="BY88">IFERROR(SUMIFS($CB88:$CW88,$CB$17:$CW$17,BY$17,$CB$18:$CW$18,BY$18)/SUMPRODUCT(($CB$18:$CW$18=BY$18)*ABS($CB88:$CW88)),"-")</f>
        <v>1.5031509001473503E-3</v>
      </c>
      <c r="BZ88" s="116">
        <f t="array" ref="BZ88">IFERROR(SUMIFS($CB88:$CW88,$CB$17:$CW$17,BZ$17,$CB$18:$CW$18,BZ$18)/SUMPRODUCT(($CB$18:$CW$18=BZ$18)*ABS($CB88:$CW88)),"-")</f>
        <v>0.9984968490998527</v>
      </c>
      <c r="CB88" s="117">
        <v>6.1034624000000003E-7</v>
      </c>
      <c r="CC88" s="111">
        <v>1.8406863E-9</v>
      </c>
      <c r="CD88" s="111">
        <v>5.0296142999999998E-14</v>
      </c>
      <c r="CE88" s="111">
        <v>2.6813388999999998E-9</v>
      </c>
      <c r="CF88" s="111">
        <v>2.7984841E-11</v>
      </c>
      <c r="CG88" s="111">
        <v>2.4911778000000002E-9</v>
      </c>
      <c r="CH88" s="111">
        <v>5.5605137000000005E-7</v>
      </c>
      <c r="CI88" s="111">
        <v>3.5709026000000003E-10</v>
      </c>
      <c r="CJ88" s="111">
        <v>9.3643943999999991E-10</v>
      </c>
      <c r="CK88" s="111">
        <v>5.5645708E-11</v>
      </c>
      <c r="CL88" s="111">
        <v>3.5374755999999999E-12</v>
      </c>
      <c r="CM88" s="111">
        <v>7.8897819000000002E-13</v>
      </c>
      <c r="CN88" s="111">
        <v>2.4350604000000002E-12</v>
      </c>
      <c r="CO88" s="111">
        <v>5.3380051999999996E-13</v>
      </c>
      <c r="CP88" s="111">
        <v>1.1659194000000001E-9</v>
      </c>
      <c r="CQ88" s="111">
        <v>2.9299491E-7</v>
      </c>
      <c r="CR88" s="111">
        <v>7.1969862000000004E-8</v>
      </c>
      <c r="CS88" s="111">
        <v>6.9099249000000005E-5</v>
      </c>
      <c r="CT88" s="111">
        <v>4.5900503000000002E-2</v>
      </c>
      <c r="CU88" s="111">
        <v>1.5716854E-9</v>
      </c>
      <c r="CV88" s="111">
        <v>1.7291469000000001E-11</v>
      </c>
      <c r="CW88" s="112">
        <v>3.2384868000000002E-16</v>
      </c>
    </row>
    <row r="89" spans="2:101" ht="12" customHeight="1" outlineLevel="1" x14ac:dyDescent="0.2">
      <c r="B89" s="104" t="s">
        <v>107</v>
      </c>
      <c r="C89" s="104" t="s">
        <v>121</v>
      </c>
      <c r="D89" s="2" t="s">
        <v>143</v>
      </c>
      <c r="E89" s="2" t="s">
        <v>144</v>
      </c>
      <c r="F89" s="105" t="s">
        <v>95</v>
      </c>
      <c r="G89" s="27" t="s">
        <v>1581</v>
      </c>
      <c r="H89" s="106" t="s">
        <v>128</v>
      </c>
      <c r="I89" s="107" t="s">
        <v>127</v>
      </c>
      <c r="J89" s="108">
        <v>5.9321289200000002</v>
      </c>
      <c r="K89" s="109"/>
      <c r="L89" s="109"/>
      <c r="M89" s="110"/>
      <c r="N89" s="161"/>
      <c r="O89" s="1056"/>
      <c r="P89" s="117">
        <v>5.6065988763600004E-6</v>
      </c>
      <c r="Q89" s="111">
        <v>9.3944742021498201E-8</v>
      </c>
      <c r="R89" s="112">
        <v>5.8538816448999997E-2</v>
      </c>
      <c r="S89" s="1032">
        <v>0.94189219000000002</v>
      </c>
      <c r="T89" s="1032">
        <v>1.0793167E-5</v>
      </c>
      <c r="U89" s="1032">
        <v>3.9890582999999999E-3</v>
      </c>
      <c r="V89" s="1032">
        <v>3.5247384000000001E-3</v>
      </c>
      <c r="W89" s="1032">
        <v>2.7105130999999999E-3</v>
      </c>
      <c r="X89" s="1032">
        <v>3.5627518000000001E-3</v>
      </c>
      <c r="Y89" s="1032">
        <v>1.8620462000000001E-2</v>
      </c>
      <c r="Z89" s="1032">
        <v>4.6162656000000001E-4</v>
      </c>
      <c r="AA89" s="1032">
        <v>4.3901443E-3</v>
      </c>
      <c r="AB89" s="1032">
        <v>0.13846908999999999</v>
      </c>
      <c r="AC89" s="1032">
        <v>7.7382147E-3</v>
      </c>
      <c r="AD89" s="1032">
        <v>1.0286576E-2</v>
      </c>
      <c r="AE89" s="1032">
        <v>8.0944572000000005E-4</v>
      </c>
      <c r="AF89" s="1032">
        <v>13.209688</v>
      </c>
      <c r="AG89" s="1032">
        <v>9.7466770999999994</v>
      </c>
      <c r="AH89" s="1032">
        <v>3.6016788E-4</v>
      </c>
      <c r="AI89" s="1032">
        <v>0.13562481000000001</v>
      </c>
      <c r="AJ89" s="1036">
        <v>7.0436442E-3</v>
      </c>
      <c r="AK89" s="1077">
        <v>0.93713181000000001</v>
      </c>
      <c r="AL89" s="1078">
        <v>6.6907982000000004E-9</v>
      </c>
      <c r="AM89" s="1078">
        <v>8.1798429999999991E-3</v>
      </c>
      <c r="AN89" s="1078">
        <v>3.8818193E-3</v>
      </c>
      <c r="AO89" s="1078">
        <v>3.8491176999999998E-3</v>
      </c>
      <c r="AP89" s="1078">
        <v>2.3566562999999999E-2</v>
      </c>
      <c r="AQ89" s="1078">
        <v>4.8430925999999998E-4</v>
      </c>
      <c r="AR89" s="1078">
        <v>1.5981796E-2</v>
      </c>
      <c r="AS89" s="1078">
        <v>1.3045799E-3</v>
      </c>
      <c r="AT89" s="1078">
        <v>7.4861285000000003E-4</v>
      </c>
      <c r="AU89" s="1078">
        <v>7.0836464999999996E-4</v>
      </c>
      <c r="AV89" s="1078">
        <v>0.21412328999999999</v>
      </c>
      <c r="AW89" s="1078">
        <v>9.7466743000000005</v>
      </c>
      <c r="AX89" s="1078">
        <v>2.8036593000000001E-6</v>
      </c>
      <c r="AY89" s="1078">
        <v>-1.9268677999999999E-8</v>
      </c>
      <c r="AZ89" s="1078">
        <v>4.1090896999999996E-3</v>
      </c>
      <c r="BA89" s="1078">
        <v>0.14232543</v>
      </c>
      <c r="BB89" s="1079">
        <v>7.0507635000000004E-3</v>
      </c>
      <c r="BC89" s="1035"/>
      <c r="BE89" s="113">
        <f t="array" ref="BE89">IFERROR(SUMIFS($CB89:$CW89,$CB$17:$CW$17,BE$17,$CB$18:$CW$18,BE$18)/SUMPRODUCT(($CB$18:$CW$18=BE$18)*ABS($CB89:$CW89)),"-")</f>
        <v>0.15598558400307522</v>
      </c>
      <c r="BF89" s="114">
        <f t="array" ref="BF89">IFERROR(SUMIFS($CB89:$CW89,$CB$17:$CW$17,BF$17,$CB$18:$CW$18,BF$18)/SUMPRODUCT(($CB$18:$CW$18=BF$18)*ABS($CB89:$CW89)),"-")</f>
        <v>1.0220438854937736E-3</v>
      </c>
      <c r="BG89" s="114">
        <f t="array" ref="BG89">IFERROR(SUMIFS($CB89:$CW89,$CB$17:$CW$17,BG$17,$CB$18:$CW$18,BG$18)/SUMPRODUCT(($CB$18:$CW$18=BG$18)*ABS($CB89:$CW89)),"-")</f>
        <v>6.0460469435273042E-6</v>
      </c>
      <c r="BH89" s="114">
        <f t="array" ref="BH89">IFERROR(SUMIFS($CB89:$CW89,$CB$17:$CW$17,BH$17,$CB$18:$CW$18,BH$18)/SUMPRODUCT(($CB$18:$CW$18=BH$18)*ABS($CB89:$CW89)),"-")</f>
        <v>5.7210681033819006E-4</v>
      </c>
      <c r="BI89" s="114">
        <f t="array" ref="BI89">IFERROR(SUMIFS($CB89:$CW89,$CB$17:$CW$17,BI$17,$CB$18:$CW$18,BI$18)/SUMPRODUCT(($CB$18:$CW$18=BI$18)*ABS($CB89:$CW89)),"-")</f>
        <v>0.30413220877806779</v>
      </c>
      <c r="BJ89" s="114">
        <f t="array" ref="BJ89">IFERROR(SUMIFS($CB89:$CW89,$CB$17:$CW$17,BJ$17,$CB$18:$CW$18,BJ$18)/SUMPRODUCT(($CB$18:$CW$18=BJ$18)*ABS($CB89:$CW89)),"-")</f>
        <v>4.799220988227566E-4</v>
      </c>
      <c r="BK89" s="114">
        <f t="array" ref="BK89">IFERROR(SUMIFS($CB89:$CW89,$CB$17:$CW$17,BK$17,$CB$18:$CW$18,BK$18)/SUMPRODUCT(($CB$18:$CW$18=BK$18)*ABS($CB89:$CW89)),"-")</f>
        <v>0.53746413225773149</v>
      </c>
      <c r="BL89" s="114">
        <f t="array" ref="BL89">IFERROR(SUMIFS($CB89:$CW89,$CB$17:$CW$17,BL$17,$CB$18:$CW$18,BL$18)/SUMPRODUCT(($CB$18:$CW$18=BL$18)*ABS($CB89:$CW89)),"-")</f>
        <v>3.3795611952716691E-4</v>
      </c>
      <c r="BM89" s="115"/>
      <c r="BN89" s="114">
        <f t="array" ref="BN89">IFERROR(SUMIFS($CB89:$CW89,$CB$17:$CW$17,BN$17,$CB$18:$CW$18,BN$18)/SUMPRODUCT(($CB$18:$CW$18=BN$18)*ABS($CB89:$CW89)),"-")</f>
        <v>2.8069458709690822E-2</v>
      </c>
      <c r="BO89" s="114">
        <f t="array" ref="BO89">IFERROR(SUMIFS($CB89:$CW89,$CB$17:$CW$17,BO$17,$CB$18:$CW$18,BO$18)/SUMPRODUCT(($CB$18:$CW$18=BO$18)*ABS($CB89:$CW89)),"-")</f>
        <v>4.8921722505217702E-3</v>
      </c>
      <c r="BP89" s="114">
        <f t="array" ref="BP89">IFERROR(SUMIFS($CB89:$CW89,$CB$17:$CW$17,BP$17,$CB$18:$CW$18,BP$18)/SUMPRODUCT(($CB$18:$CW$18=BP$18)*ABS($CB89:$CW89)),"-")</f>
        <v>4.2063403602680738E-2</v>
      </c>
      <c r="BQ89" s="114">
        <f t="array" ref="BQ89">IFERROR(SUMIFS($CB89:$CW89,$CB$17:$CW$17,BQ$17,$CB$18:$CW$18,BQ$18)/SUMPRODUCT(($CB$18:$CW$18=BQ$18)*ABS($CB89:$CW89)),"-")</f>
        <v>3.2970735065632395E-3</v>
      </c>
      <c r="BR89" s="114">
        <f t="array" ref="BR89">IFERROR(SUMIFS($CB89:$CW89,$CB$17:$CW$17,BR$17,$CB$18:$CW$18,BR$18)/SUMPRODUCT(($CB$18:$CW$18=BR$18)*ABS($CB89:$CW89)),"-")</f>
        <v>7.9394195348294933E-5</v>
      </c>
      <c r="BS89" s="114">
        <f t="array" ref="BS89">IFERROR(SUMIFS($CB89:$CW89,$CB$17:$CW$17,BS$17,$CB$18:$CW$18,BS$18)/SUMPRODUCT(($CB$18:$CW$18=BS$18)*ABS($CB89:$CW89)),"-")</f>
        <v>1.6801746069394632E-5</v>
      </c>
      <c r="BT89" s="114">
        <f t="array" ref="BT89">IFERROR(SUMIFS($CB89:$CW89,$CB$17:$CW$17,BT$17,$CB$18:$CW$18,BT$18)/SUMPRODUCT(($CB$18:$CW$18=BT$18)*ABS($CB89:$CW89)),"-")</f>
        <v>5.7041850184374377E-5</v>
      </c>
      <c r="BU89" s="114">
        <f t="array" ref="BU89">IFERROR(SUMIFS($CB89:$CW89,$CB$17:$CW$17,BU$17,$CB$18:$CW$18,BU$18)/SUMPRODUCT(($CB$18:$CW$18=BU$18)*ABS($CB89:$CW89)),"-")</f>
        <v>1.1500428621675938E-5</v>
      </c>
      <c r="BV89" s="114">
        <f t="array" ref="BV89">IFERROR(SUMIFS($CB89:$CW89,$CB$17:$CW$17,BV$17,$CB$18:$CW$18,BV$18)/SUMPRODUCT(($CB$18:$CW$18=BV$18)*ABS($CB89:$CW89)),"-")</f>
        <v>0.92129149686944578</v>
      </c>
      <c r="BW89" s="114">
        <f t="array" ref="BW89">IFERROR(SUMIFS($CB89:$CW89,$CB$17:$CW$17,BW$17,$CB$18:$CW$18,BW$18)/SUMPRODUCT(($CB$18:$CW$18=BW$18)*ABS($CB89:$CW89)),"-")</f>
        <v>2.2165684087380619E-4</v>
      </c>
      <c r="BX89" s="115"/>
      <c r="BY89" s="114">
        <f t="array" ref="BY89">IFERROR(SUMIFS($CB89:$CW89,$CB$17:$CW$17,BY$17,$CB$18:$CW$18,BY$18)/SUMPRODUCT(($CB$18:$CW$18=BY$18)*ABS($CB89:$CW89)),"-")</f>
        <v>1.4225338681479703E-3</v>
      </c>
      <c r="BZ89" s="116">
        <f t="array" ref="BZ89">IFERROR(SUMIFS($CB89:$CW89,$CB$17:$CW$17,BZ$17,$CB$18:$CW$18,BZ$18)/SUMPRODUCT(($CB$18:$CW$18=BZ$18)*ABS($CB89:$CW89)),"-")</f>
        <v>0.99857746613185205</v>
      </c>
      <c r="CB89" s="117">
        <v>8.7454859999999996E-7</v>
      </c>
      <c r="CC89" s="111">
        <v>2.6369060000000001E-9</v>
      </c>
      <c r="CD89" s="111">
        <v>7.2057164999999997E-14</v>
      </c>
      <c r="CE89" s="111">
        <v>5.7301901000000001E-9</v>
      </c>
      <c r="CF89" s="111">
        <v>3.389776E-11</v>
      </c>
      <c r="CG89" s="111">
        <v>3.2075734000000002E-9</v>
      </c>
      <c r="CH89" s="111">
        <v>1.7051473E-6</v>
      </c>
      <c r="CI89" s="111">
        <v>4.5959385999999999E-10</v>
      </c>
      <c r="CJ89" s="111">
        <v>3.9516356000000001E-9</v>
      </c>
      <c r="CK89" s="111">
        <v>3.0974271999999998E-10</v>
      </c>
      <c r="CL89" s="111">
        <v>7.4586672000000006E-12</v>
      </c>
      <c r="CM89" s="111">
        <v>1.5784357E-12</v>
      </c>
      <c r="CN89" s="111">
        <v>5.3587819000000002E-12</v>
      </c>
      <c r="CO89" s="111">
        <v>1.0804048000000001E-12</v>
      </c>
      <c r="CP89" s="111">
        <v>2.6907307000000001E-9</v>
      </c>
      <c r="CQ89" s="111">
        <v>3.0133458000000001E-6</v>
      </c>
      <c r="CR89" s="111">
        <v>8.6550492000000002E-8</v>
      </c>
      <c r="CS89" s="111">
        <v>8.3273448999999995E-5</v>
      </c>
      <c r="CT89" s="111">
        <v>5.8455542999999999E-2</v>
      </c>
      <c r="CU89" s="111">
        <v>1.8947844000000001E-9</v>
      </c>
      <c r="CV89" s="111">
        <v>2.0823104000000001E-11</v>
      </c>
      <c r="CW89" s="112">
        <v>3.9073319000000001E-16</v>
      </c>
    </row>
    <row r="90" spans="2:101" ht="12" customHeight="1" outlineLevel="1" x14ac:dyDescent="0.2">
      <c r="B90" s="104" t="s">
        <v>107</v>
      </c>
      <c r="C90" s="104" t="s">
        <v>121</v>
      </c>
      <c r="D90" s="2" t="s">
        <v>143</v>
      </c>
      <c r="E90" s="2" t="s">
        <v>144</v>
      </c>
      <c r="F90" s="105" t="s">
        <v>96</v>
      </c>
      <c r="G90" s="27" t="s">
        <v>1582</v>
      </c>
      <c r="H90" s="106" t="s">
        <v>128</v>
      </c>
      <c r="I90" s="107" t="s">
        <v>1577</v>
      </c>
      <c r="J90" s="108">
        <v>5.9321289200000002</v>
      </c>
      <c r="K90" s="109"/>
      <c r="L90" s="109"/>
      <c r="M90" s="110"/>
      <c r="N90" s="161"/>
      <c r="O90" s="1056"/>
      <c r="P90" s="117">
        <v>8.4421257325609999E-6</v>
      </c>
      <c r="Q90" s="111">
        <v>9.6503844193125185E-8</v>
      </c>
      <c r="R90" s="112">
        <v>6.0671453158000002E-2</v>
      </c>
      <c r="S90" s="1032">
        <v>1.0504290000000001</v>
      </c>
      <c r="T90" s="1032">
        <v>1.4234132000000001E-5</v>
      </c>
      <c r="U90" s="1032">
        <v>4.0078164000000001E-3</v>
      </c>
      <c r="V90" s="1032">
        <v>3.6771086999999999E-3</v>
      </c>
      <c r="W90" s="1032">
        <v>3.9095765999999999E-3</v>
      </c>
      <c r="X90" s="1032">
        <v>3.7158802E-3</v>
      </c>
      <c r="Y90" s="1032">
        <v>2.8320606000000002E-2</v>
      </c>
      <c r="Z90" s="1032">
        <v>7.1935626999999999E-4</v>
      </c>
      <c r="AA90" s="1032">
        <v>5.7654980999999996E-3</v>
      </c>
      <c r="AB90" s="1032">
        <v>0.17463063000000001</v>
      </c>
      <c r="AC90" s="1032">
        <v>9.0776804999999992E-3</v>
      </c>
      <c r="AD90" s="1032">
        <v>1.1622324999999999E-2</v>
      </c>
      <c r="AE90" s="1032">
        <v>1.1123743000000001E-3</v>
      </c>
      <c r="AF90" s="1032">
        <v>21.877551</v>
      </c>
      <c r="AG90" s="1032">
        <v>9.7466770999999994</v>
      </c>
      <c r="AH90" s="1032">
        <v>3.6066431999999998E-4</v>
      </c>
      <c r="AI90" s="1032">
        <v>0.14035262000000001</v>
      </c>
      <c r="AJ90" s="1036">
        <v>7.0450265999999996E-3</v>
      </c>
      <c r="AK90" s="1077">
        <v>1.0455361999999999</v>
      </c>
      <c r="AL90" s="1078">
        <v>6.7220900000000003E-9</v>
      </c>
      <c r="AM90" s="1078">
        <v>8.2179227999999993E-3</v>
      </c>
      <c r="AN90" s="1078">
        <v>4.0431405000000004E-3</v>
      </c>
      <c r="AO90" s="1078">
        <v>5.4610587000000002E-3</v>
      </c>
      <c r="AP90" s="1078">
        <v>3.5706467999999998E-2</v>
      </c>
      <c r="AQ90" s="1078">
        <v>7.4208005000000001E-4</v>
      </c>
      <c r="AR90" s="1078">
        <v>2.1154416999999998E-2</v>
      </c>
      <c r="AS90" s="1078">
        <v>2.1393924000000001E-3</v>
      </c>
      <c r="AT90" s="1078">
        <v>8.3888807000000003E-4</v>
      </c>
      <c r="AU90" s="1078">
        <v>7.7062677000000002E-4</v>
      </c>
      <c r="AV90" s="1078">
        <v>0.34396736999999999</v>
      </c>
      <c r="AW90" s="1078">
        <v>9.7466743000000005</v>
      </c>
      <c r="AX90" s="1078">
        <v>2.8036593000000001E-6</v>
      </c>
      <c r="AY90" s="1078">
        <v>-1.9268677999999999E-8</v>
      </c>
      <c r="AZ90" s="1078">
        <v>4.1127155999999996E-3</v>
      </c>
      <c r="BA90" s="1078">
        <v>0.14723784000000001</v>
      </c>
      <c r="BB90" s="1079">
        <v>7.0521459999999996E-3</v>
      </c>
      <c r="BC90" s="1035"/>
      <c r="BE90" s="113">
        <f t="array" ref="BE90">IFERROR(SUMIFS($CB90:$CW90,$CB$17:$CW$17,BE$17,$CB$18:$CW$18,BE$18)/SUMPRODUCT(($CB$18:$CW$18=BE$18)*ABS($CB90:$CW90)),"-")</f>
        <v>0.11554129385183876</v>
      </c>
      <c r="BF90" s="114">
        <f t="array" ref="BF90">IFERROR(SUMIFS($CB90:$CW90,$CB$17:$CW$17,BF$17,$CB$18:$CW$18,BF$18)/SUMPRODUCT(($CB$18:$CW$18=BF$18)*ABS($CB90:$CW90)),"-")</f>
        <v>8.951572198045791E-4</v>
      </c>
      <c r="BG90" s="114">
        <f t="array" ref="BG90">IFERROR(SUMIFS($CB90:$CW90,$CB$17:$CW$17,BG$17,$CB$18:$CW$18,BG$18)/SUMPRODUCT(($CB$18:$CW$18=BG$18)*ABS($CB90:$CW90)),"-")</f>
        <v>4.0341925812171517E-6</v>
      </c>
      <c r="BH90" s="114">
        <f t="array" ref="BH90">IFERROR(SUMIFS($CB90:$CW90,$CB$17:$CW$17,BH$17,$CB$18:$CW$18,BH$18)/SUMPRODUCT(($CB$18:$CW$18=BH$18)*ABS($CB90:$CW90)),"-")</f>
        <v>3.9637298780018158E-4</v>
      </c>
      <c r="BI90" s="114">
        <f t="array" ref="BI90">IFERROR(SUMIFS($CB90:$CW90,$CB$17:$CW$17,BI$17,$CB$18:$CW$18,BI$18)/SUMPRODUCT(($CB$18:$CW$18=BI$18)*ABS($CB90:$CW90)),"-")</f>
        <v>0.29134290081863906</v>
      </c>
      <c r="BJ90" s="114">
        <f t="array" ref="BJ90">IFERROR(SUMIFS($CB90:$CW90,$CB$17:$CW$17,BJ$17,$CB$18:$CW$18,BJ$18)/SUMPRODUCT(($CB$18:$CW$18=BJ$18)*ABS($CB90:$CW90)),"-")</f>
        <v>4.380332178348399E-4</v>
      </c>
      <c r="BK90" s="114">
        <f t="array" ref="BK90">IFERROR(SUMIFS($CB90:$CW90,$CB$17:$CW$17,BK$17,$CB$18:$CW$18,BK$18)/SUMPRODUCT(($CB$18:$CW$18=BK$18)*ABS($CB90:$CW90)),"-")</f>
        <v>0.59115740017367002</v>
      </c>
      <c r="BL90" s="114">
        <f t="array" ref="BL90">IFERROR(SUMIFS($CB90:$CW90,$CB$17:$CW$17,BL$17,$CB$18:$CW$18,BL$18)/SUMPRODUCT(($CB$18:$CW$18=BL$18)*ABS($CB90:$CW90)),"-")</f>
        <v>2.2480753783138313E-4</v>
      </c>
      <c r="BM90" s="115"/>
      <c r="BN90" s="114">
        <f t="array" ref="BN90">IFERROR(SUMIFS($CB90:$CW90,$CB$17:$CW$17,BN$17,$CB$18:$CW$18,BN$18)/SUMPRODUCT(($CB$18:$CW$18=BN$18)*ABS($CB90:$CW90)),"-")</f>
        <v>3.0473028154939515E-2</v>
      </c>
      <c r="BO90" s="114">
        <f t="array" ref="BO90">IFERROR(SUMIFS($CB90:$CW90,$CB$17:$CW$17,BO$17,$CB$18:$CW$18,BO$18)/SUMPRODUCT(($CB$18:$CW$18=BO$18)*ABS($CB90:$CW90)),"-")</f>
        <v>4.9671333200024797E-3</v>
      </c>
      <c r="BP90" s="114">
        <f t="array" ref="BP90">IFERROR(SUMIFS($CB90:$CW90,$CB$17:$CW$17,BP$17,$CB$18:$CW$18,BP$18)/SUMPRODUCT(($CB$18:$CW$18=BP$18)*ABS($CB90:$CW90)),"-")</f>
        <v>6.2281699244766203E-2</v>
      </c>
      <c r="BQ90" s="114">
        <f t="array" ref="BQ90">IFERROR(SUMIFS($CB90:$CW90,$CB$17:$CW$17,BQ$17,$CB$18:$CW$18,BQ$18)/SUMPRODUCT(($CB$18:$CW$18=BQ$18)*ABS($CB90:$CW90)),"-")</f>
        <v>5.0016591985087523E-3</v>
      </c>
      <c r="BR90" s="114">
        <f t="array" ref="BR90">IFERROR(SUMIFS($CB90:$CW90,$CB$17:$CW$17,BR$17,$CB$18:$CW$18,BR$18)/SUMPRODUCT(($CB$18:$CW$18=BR$18)*ABS($CB90:$CW90)),"-")</f>
        <v>1.0150200628689369E-4</v>
      </c>
      <c r="BS90" s="114">
        <f t="array" ref="BS90">IFERROR(SUMIFS($CB90:$CW90,$CB$17:$CW$17,BS$17,$CB$18:$CW$18,BS$18)/SUMPRODUCT(($CB$18:$CW$18=BS$18)*ABS($CB90:$CW90)),"-")</f>
        <v>2.062940514593328E-5</v>
      </c>
      <c r="BT90" s="114">
        <f t="array" ref="BT90">IFERROR(SUMIFS($CB90:$CW90,$CB$17:$CW$17,BT$17,$CB$18:$CW$18,BT$18)/SUMPRODUCT(($CB$18:$CW$18=BT$18)*ABS($CB90:$CW90)),"-")</f>
        <v>6.5164423786218386E-5</v>
      </c>
      <c r="BU90" s="114">
        <f t="array" ref="BU90">IFERROR(SUMIFS($CB90:$CW90,$CB$17:$CW$17,BU$17,$CB$18:$CW$18,BU$18)/SUMPRODUCT(($CB$18:$CW$18=BU$18)*ABS($CB90:$CW90)),"-")</f>
        <v>1.2649291955221009E-5</v>
      </c>
      <c r="BV90" s="114">
        <f t="array" ref="BV90">IFERROR(SUMIFS($CB90:$CW90,$CB$17:$CW$17,BV$17,$CB$18:$CW$18,BV$18)/SUMPRODUCT(($CB$18:$CW$18=BV$18)*ABS($CB90:$CW90)),"-")</f>
        <v>0.89686056264031966</v>
      </c>
      <c r="BW90" s="114">
        <f t="array" ref="BW90">IFERROR(SUMIFS($CB90:$CW90,$CB$17:$CW$17,BW$17,$CB$18:$CW$18,BW$18)/SUMPRODUCT(($CB$18:$CW$18=BW$18)*ABS($CB90:$CW90)),"-")</f>
        <v>2.159723142891625E-4</v>
      </c>
      <c r="BX90" s="115"/>
      <c r="BY90" s="114">
        <f t="array" ref="BY90">IFERROR(SUMIFS($CB90:$CW90,$CB$17:$CW$17,BY$17,$CB$18:$CW$18,BY$18)/SUMPRODUCT(($CB$18:$CW$18=BY$18)*ABS($CB90:$CW90)),"-")</f>
        <v>1.3744216375177528E-3</v>
      </c>
      <c r="BZ90" s="116">
        <f t="array" ref="BZ90">IFERROR(SUMIFS($CB90:$CW90,$CB$17:$CW$17,BZ$17,$CB$18:$CW$18,BZ$18)/SUMPRODUCT(($CB$18:$CW$18=BZ$18)*ABS($CB90:$CW90)),"-")</f>
        <v>0.99862557836248222</v>
      </c>
      <c r="CB90" s="117">
        <v>9.7541413000000002E-7</v>
      </c>
      <c r="CC90" s="111">
        <v>2.9406839999999999E-9</v>
      </c>
      <c r="CD90" s="111">
        <v>8.0361156999999998E-14</v>
      </c>
      <c r="CE90" s="111">
        <v>7.5570298000000007E-9</v>
      </c>
      <c r="CF90" s="111">
        <v>3.4057160999999999E-11</v>
      </c>
      <c r="CG90" s="111">
        <v>3.3462306000000001E-9</v>
      </c>
      <c r="CH90" s="111">
        <v>2.4595534000000001E-6</v>
      </c>
      <c r="CI90" s="111">
        <v>4.7934745999999996E-10</v>
      </c>
      <c r="CJ90" s="111">
        <v>6.0104233999999999E-9</v>
      </c>
      <c r="CK90" s="111">
        <v>4.8267933999999999E-10</v>
      </c>
      <c r="CL90" s="111">
        <v>9.7953338000000006E-12</v>
      </c>
      <c r="CM90" s="111">
        <v>1.9908169E-12</v>
      </c>
      <c r="CN90" s="111">
        <v>6.2886174E-12</v>
      </c>
      <c r="CO90" s="111">
        <v>1.2207053000000001E-12</v>
      </c>
      <c r="CP90" s="111">
        <v>3.6979314999999999E-9</v>
      </c>
      <c r="CQ90" s="111">
        <v>4.9906251000000001E-6</v>
      </c>
      <c r="CR90" s="111">
        <v>8.6550492000000002E-8</v>
      </c>
      <c r="CS90" s="111">
        <v>8.3388158000000001E-5</v>
      </c>
      <c r="CT90" s="111">
        <v>6.0588065000000003E-2</v>
      </c>
      <c r="CU90" s="111">
        <v>1.8978534999999999E-9</v>
      </c>
      <c r="CV90" s="111">
        <v>2.0841767000000001E-11</v>
      </c>
      <c r="CW90" s="112">
        <v>3.9156819E-16</v>
      </c>
    </row>
    <row r="91" spans="2:101" ht="12" customHeight="1" outlineLevel="1" x14ac:dyDescent="0.2">
      <c r="B91" s="88" t="s">
        <v>108</v>
      </c>
      <c r="C91" s="88" t="s">
        <v>121</v>
      </c>
      <c r="D91" s="89" t="s">
        <v>143</v>
      </c>
      <c r="E91" s="89" t="s">
        <v>145</v>
      </c>
      <c r="F91" s="90" t="s">
        <v>92</v>
      </c>
      <c r="G91" s="18" t="s">
        <v>126</v>
      </c>
      <c r="H91" s="91" t="s">
        <v>127</v>
      </c>
      <c r="I91" s="92" t="s">
        <v>127</v>
      </c>
      <c r="J91" s="93">
        <v>5.0812675600000006</v>
      </c>
      <c r="K91" s="94"/>
      <c r="L91" s="94"/>
      <c r="M91" s="95"/>
      <c r="N91" s="145"/>
      <c r="O91" s="1055"/>
      <c r="P91" s="103">
        <v>7.2985847430010005E-6</v>
      </c>
      <c r="Q91" s="97">
        <v>8.1686833597903377E-8</v>
      </c>
      <c r="R91" s="98">
        <v>0.1084915476</v>
      </c>
      <c r="S91" s="1033">
        <v>1.9551217999999999</v>
      </c>
      <c r="T91" s="1033">
        <v>3.8589464999999998E-5</v>
      </c>
      <c r="U91" s="1033">
        <v>9.9977888000000008E-3</v>
      </c>
      <c r="V91" s="1033">
        <v>4.0105269999999998E-3</v>
      </c>
      <c r="W91" s="1033">
        <v>3.6682611E-3</v>
      </c>
      <c r="X91" s="1033">
        <v>4.0491796000000002E-3</v>
      </c>
      <c r="Y91" s="1033">
        <v>2.5747242E-2</v>
      </c>
      <c r="Z91" s="1033">
        <v>1.9703225000000002E-3</v>
      </c>
      <c r="AA91" s="1033">
        <v>8.5137738000000008E-3</v>
      </c>
      <c r="AB91" s="1033">
        <v>18.507425000000001</v>
      </c>
      <c r="AC91" s="1033">
        <v>0.71765836999999999</v>
      </c>
      <c r="AD91" s="1033">
        <v>0.15300496</v>
      </c>
      <c r="AE91" s="1033">
        <v>1.5672647000000001E-3</v>
      </c>
      <c r="AF91" s="1033">
        <v>13.779996000000001</v>
      </c>
      <c r="AG91" s="1033">
        <v>7.6747972000000004</v>
      </c>
      <c r="AH91" s="1033">
        <v>5.5104165000000004E-3</v>
      </c>
      <c r="AI91" s="1033">
        <v>0.27020044999999998</v>
      </c>
      <c r="AJ91" s="1034">
        <v>9.8343277999999993E-4</v>
      </c>
      <c r="AK91" s="1074">
        <v>1.942302</v>
      </c>
      <c r="AL91" s="1075">
        <v>1.6778421999999999E-8</v>
      </c>
      <c r="AM91" s="1075">
        <v>2.1072107E-2</v>
      </c>
      <c r="AN91" s="1075">
        <v>3.6381146999999998E-3</v>
      </c>
      <c r="AO91" s="1075">
        <v>5.0026243999999999E-3</v>
      </c>
      <c r="AP91" s="1075">
        <v>3.1978972000000001E-2</v>
      </c>
      <c r="AQ91" s="1075">
        <v>2.0210073000000001E-3</v>
      </c>
      <c r="AR91" s="1075">
        <v>3.0440814E-2</v>
      </c>
      <c r="AS91" s="1075">
        <v>0.10153588</v>
      </c>
      <c r="AT91" s="1075">
        <v>2.7359898000000001E-2</v>
      </c>
      <c r="AU91" s="1075">
        <v>9.1105651000000006E-3</v>
      </c>
      <c r="AV91" s="1075">
        <v>0.56436976999999999</v>
      </c>
      <c r="AW91" s="1075">
        <v>7.6747756000000003</v>
      </c>
      <c r="AX91" s="1075">
        <v>2.1586378E-5</v>
      </c>
      <c r="AY91" s="1075">
        <v>-1.6125155E-7</v>
      </c>
      <c r="AZ91" s="1075">
        <v>3.7045526E-3</v>
      </c>
      <c r="BA91" s="1075">
        <v>0.27770477999999998</v>
      </c>
      <c r="BB91" s="1076">
        <v>1.0403802999999999E-3</v>
      </c>
      <c r="BC91" s="1035"/>
      <c r="BE91" s="99">
        <f t="array" ref="BE91">IFERROR(SUMIFS($CB91:$CW91,$CB$17:$CW$17,BE$17,$CB$18:$CW$18,BE$18)/SUMPRODUCT(($CB$18:$CW$18=BE$18)*ABS($CB91:$CW91)),"-")</f>
        <v>0.24881818379124507</v>
      </c>
      <c r="BF91" s="100">
        <f t="array" ref="BF91">IFERROR(SUMIFS($CB91:$CW91,$CB$17:$CW$17,BF$17,$CB$18:$CW$18,BF$18)/SUMPRODUCT(($CB$18:$CW$18=BF$18)*ABS($CB91:$CW91)),"-")</f>
        <v>2.8070505065583497E-3</v>
      </c>
      <c r="BG91" s="100">
        <f t="array" ref="BG91">IFERROR(SUMIFS($CB91:$CW91,$CB$17:$CW$17,BG$17,$CB$18:$CW$18,BG$18)/SUMPRODUCT(($CB$18:$CW$18=BG$18)*ABS($CB91:$CW91)),"-")</f>
        <v>1.1640297947005471E-5</v>
      </c>
      <c r="BH91" s="100">
        <f t="array" ref="BH91">IFERROR(SUMIFS($CB91:$CW91,$CB$17:$CW$17,BH$17,$CB$18:$CW$18,BH$18)/SUMPRODUCT(($CB$18:$CW$18=BH$18)*ABS($CB91:$CW91)),"-")</f>
        <v>4.9988644764297689E-4</v>
      </c>
      <c r="BI91" s="100">
        <f t="array" ref="BI91">IFERROR(SUMIFS($CB91:$CW91,$CB$17:$CW$17,BI$17,$CB$18:$CW$18,BI$18)/SUMPRODUCT(($CB$18:$CW$18=BI$18)*ABS($CB91:$CW91)),"-")</f>
        <v>0.31616448684970538</v>
      </c>
      <c r="BJ91" s="100">
        <f t="array" ref="BJ91">IFERROR(SUMIFS($CB91:$CW91,$CB$17:$CW$17,BJ$17,$CB$18:$CW$18,BJ$18)/SUMPRODUCT(($CB$18:$CW$18=BJ$18)*ABS($CB91:$CW91)),"-")</f>
        <v>7.1385139495656967E-4</v>
      </c>
      <c r="BK91" s="100">
        <f t="array" ref="BK91">IFERROR(SUMIFS($CB91:$CW91,$CB$17:$CW$17,BK$17,$CB$18:$CW$18,BK$18)/SUMPRODUCT(($CB$18:$CW$18=BK$18)*ABS($CB91:$CW91)),"-")</f>
        <v>0.4306857713770289</v>
      </c>
      <c r="BL91" s="100">
        <f t="array" ref="BL91">IFERROR(SUMIFS($CB91:$CW91,$CB$17:$CW$17,BL$17,$CB$18:$CW$18,BL$18)/SUMPRODUCT(($CB$18:$CW$18=BL$18)*ABS($CB91:$CW91)),"-")</f>
        <v>2.9912933491573227E-4</v>
      </c>
      <c r="BM91" s="101"/>
      <c r="BN91" s="100">
        <f t="array" ref="BN91">IFERROR(SUMIFS($CB91:$CW91,$CB$17:$CW$17,BN$17,$CB$18:$CW$18,BN$18)/SUMPRODUCT(($CB$18:$CW$18=BN$18)*ABS($CB91:$CW91)),"-")</f>
        <v>6.7000856011273702E-2</v>
      </c>
      <c r="BO91" s="100">
        <f t="array" ref="BO91">IFERROR(SUMIFS($CB91:$CW91,$CB$17:$CW$17,BO$17,$CB$18:$CW$18,BO$18)/SUMPRODUCT(($CB$18:$CW$18=BO$18)*ABS($CB91:$CW91)),"-")</f>
        <v>6.392173585406326E-3</v>
      </c>
      <c r="BP91" s="100">
        <f t="array" ref="BP91">IFERROR(SUMIFS($CB91:$CW91,$CB$17:$CW$17,BP$17,$CB$18:$CW$18,BP$18)/SUMPRODUCT(($CB$18:$CW$18=BP$18)*ABS($CB91:$CW91)),"-")</f>
        <v>6.6890826334346301E-2</v>
      </c>
      <c r="BQ91" s="100">
        <f t="array" ref="BQ91">IFERROR(SUMIFS($CB91:$CW91,$CB$17:$CW$17,BQ$17,$CB$18:$CW$18,BQ$18)/SUMPRODUCT(($CB$18:$CW$18=BQ$18)*ABS($CB91:$CW91)),"-")</f>
        <v>1.6184577633499224E-2</v>
      </c>
      <c r="BR91" s="100">
        <f t="array" ref="BR91">IFERROR(SUMIFS($CB91:$CW91,$CB$17:$CW$17,BR$17,$CB$18:$CW$18,BR$18)/SUMPRODUCT(($CB$18:$CW$18=BR$18)*ABS($CB91:$CW91)),"-")</f>
        <v>1.7707306505722185E-4</v>
      </c>
      <c r="BS91" s="100">
        <f t="array" ref="BS91">IFERROR(SUMIFS($CB91:$CW91,$CB$17:$CW$17,BS$17,$CB$18:$CW$18,BS$18)/SUMPRODUCT(($CB$18:$CW$18=BS$18)*ABS($CB91:$CW91)),"-")</f>
        <v>2.5824510598414776E-3</v>
      </c>
      <c r="BT91" s="100">
        <f t="array" ref="BT91">IFERROR(SUMIFS($CB91:$CW91,$CB$17:$CW$17,BT$17,$CB$18:$CW$18,BT$18)/SUMPRODUCT(($CB$18:$CW$18=BT$18)*ABS($CB91:$CW91)),"-")</f>
        <v>6.102302268854185E-3</v>
      </c>
      <c r="BU91" s="100">
        <f t="array" ref="BU91">IFERROR(SUMIFS($CB91:$CW91,$CB$17:$CW$17,BU$17,$CB$18:$CW$18,BU$18)/SUMPRODUCT(($CB$18:$CW$18=BU$18)*ABS($CB91:$CW91)),"-")</f>
        <v>1.9650935521648135E-4</v>
      </c>
      <c r="BV91" s="100">
        <f t="array" ref="BV91">IFERROR(SUMIFS($CB91:$CW91,$CB$17:$CW$17,BV$17,$CB$18:$CW$18,BV$18)/SUMPRODUCT(($CB$18:$CW$18=BV$18)*ABS($CB91:$CW91)),"-")</f>
        <v>0.83431069608443276</v>
      </c>
      <c r="BW91" s="100">
        <f t="array" ref="BW91">IFERROR(SUMIFS($CB91:$CW91,$CB$17:$CW$17,BW$17,$CB$18:$CW$18,BW$18)/SUMPRODUCT(($CB$18:$CW$18=BW$18)*ABS($CB91:$CW91)),"-")</f>
        <v>1.6253460207252756E-4</v>
      </c>
      <c r="BX91" s="101"/>
      <c r="BY91" s="100">
        <f t="array" ref="BY91">IFERROR(SUMIFS($CB91:$CW91,$CB$17:$CW$17,BY$17,$CB$18:$CW$18,BY$18)/SUMPRODUCT(($CB$18:$CW$18=BY$18)*ABS($CB91:$CW91)),"-")</f>
        <v>1.174080034968549E-2</v>
      </c>
      <c r="BZ91" s="102">
        <f t="array" ref="BZ91">IFERROR(SUMIFS($CB91:$CW91,$CB$17:$CW$17,BZ$17,$CB$18:$CW$18,BZ$18)/SUMPRODUCT(($CB$18:$CW$18=BZ$18)*ABS($CB91:$CW91)),"-")</f>
        <v>0.9882591996503145</v>
      </c>
      <c r="CB91" s="103">
        <v>1.8160206E-6</v>
      </c>
      <c r="CC91" s="97">
        <v>5.4729381999999998E-9</v>
      </c>
      <c r="CD91" s="97">
        <v>1.4957591E-13</v>
      </c>
      <c r="CE91" s="97">
        <v>2.0487495999999999E-8</v>
      </c>
      <c r="CF91" s="97">
        <v>8.4957700999999994E-11</v>
      </c>
      <c r="CG91" s="97">
        <v>3.6484635999999999E-9</v>
      </c>
      <c r="CH91" s="97">
        <v>2.3075533000000002E-6</v>
      </c>
      <c r="CI91" s="97">
        <v>5.2215641999999996E-10</v>
      </c>
      <c r="CJ91" s="97">
        <v>5.4640997999999997E-9</v>
      </c>
      <c r="CK91" s="97">
        <v>1.3220669E-9</v>
      </c>
      <c r="CL91" s="97">
        <v>1.4464538E-11</v>
      </c>
      <c r="CM91" s="97">
        <v>2.1095225E-10</v>
      </c>
      <c r="CN91" s="97">
        <v>4.9847775000000003E-10</v>
      </c>
      <c r="CO91" s="97">
        <v>1.6052226999999998E-11</v>
      </c>
      <c r="CP91" s="97">
        <v>5.2101049000000004E-9</v>
      </c>
      <c r="CQ91" s="97">
        <v>3.1433966000000002E-6</v>
      </c>
      <c r="CR91" s="97">
        <v>6.8152198999999994E-8</v>
      </c>
      <c r="CS91" s="97">
        <v>1.2737776E-3</v>
      </c>
      <c r="CT91" s="97">
        <v>0.10721777</v>
      </c>
      <c r="CU91" s="97">
        <v>2.1832208000000001E-9</v>
      </c>
      <c r="CV91" s="97">
        <v>1.3276343E-11</v>
      </c>
      <c r="CW91" s="98">
        <v>5.9399339999999999E-16</v>
      </c>
    </row>
    <row r="92" spans="2:101" ht="12" customHeight="1" outlineLevel="1" x14ac:dyDescent="0.2">
      <c r="B92" s="104" t="s">
        <v>108</v>
      </c>
      <c r="C92" s="104" t="s">
        <v>121</v>
      </c>
      <c r="D92" s="2" t="s">
        <v>143</v>
      </c>
      <c r="E92" s="2" t="s">
        <v>145</v>
      </c>
      <c r="F92" s="105" t="s">
        <v>122</v>
      </c>
      <c r="G92" s="27" t="s">
        <v>1579</v>
      </c>
      <c r="H92" s="106" t="s">
        <v>128</v>
      </c>
      <c r="I92" s="107" t="s">
        <v>129</v>
      </c>
      <c r="J92" s="108">
        <v>5.0812675600000006</v>
      </c>
      <c r="K92" s="109"/>
      <c r="L92" s="109"/>
      <c r="M92" s="110"/>
      <c r="N92" s="161"/>
      <c r="O92" s="1056"/>
      <c r="P92" s="117">
        <v>2.1932627044719998E-6</v>
      </c>
      <c r="Q92" s="111">
        <v>1.0316977123997761E-7</v>
      </c>
      <c r="R92" s="112">
        <v>6.320157942299999E-2</v>
      </c>
      <c r="S92" s="1032">
        <v>0.88947449000000001</v>
      </c>
      <c r="T92" s="1032">
        <v>6.4447831999999997E-6</v>
      </c>
      <c r="U92" s="1032">
        <v>4.4554221999999997E-3</v>
      </c>
      <c r="V92" s="1032">
        <v>3.7642418E-3</v>
      </c>
      <c r="W92" s="1032">
        <v>1.2144814E-3</v>
      </c>
      <c r="X92" s="1032">
        <v>3.8063743000000001E-3</v>
      </c>
      <c r="Y92" s="1032">
        <v>6.0615252999999996E-3</v>
      </c>
      <c r="Z92" s="1032">
        <v>1.1386785E-4</v>
      </c>
      <c r="AA92" s="1032">
        <v>2.6532252E-3</v>
      </c>
      <c r="AB92" s="1032">
        <v>9.5626821000000001E-2</v>
      </c>
      <c r="AC92" s="1032">
        <v>4.9097934999999997E-3</v>
      </c>
      <c r="AD92" s="1032">
        <v>7.0302187999999998E-3</v>
      </c>
      <c r="AE92" s="1032">
        <v>5.0158218000000002E-4</v>
      </c>
      <c r="AF92" s="1032">
        <v>2.601661</v>
      </c>
      <c r="AG92" s="1032">
        <v>11.126836000000001</v>
      </c>
      <c r="AH92" s="1032">
        <v>4.1053797999999998E-4</v>
      </c>
      <c r="AI92" s="1032">
        <v>0.14674809999999999</v>
      </c>
      <c r="AJ92" s="1036">
        <v>7.3482056999999996E-4</v>
      </c>
      <c r="AK92" s="1077">
        <v>0.88427303999999995</v>
      </c>
      <c r="AL92" s="1078">
        <v>7.4733851000000005E-9</v>
      </c>
      <c r="AM92" s="1078">
        <v>9.1382714E-3</v>
      </c>
      <c r="AN92" s="1078">
        <v>4.1567725000000002E-3</v>
      </c>
      <c r="AO92" s="1078">
        <v>1.8651487999999999E-3</v>
      </c>
      <c r="AP92" s="1078">
        <v>7.8841225000000001E-3</v>
      </c>
      <c r="AQ92" s="1078">
        <v>1.3969249000000001E-4</v>
      </c>
      <c r="AR92" s="1078">
        <v>9.4420036000000002E-3</v>
      </c>
      <c r="AS92" s="1078">
        <v>1.9149476000000001E-4</v>
      </c>
      <c r="AT92" s="1078">
        <v>6.1838180000000004E-4</v>
      </c>
      <c r="AU92" s="1078">
        <v>6.3247859000000004E-4</v>
      </c>
      <c r="AV92" s="1078">
        <v>6.4528454999999998E-2</v>
      </c>
      <c r="AW92" s="1078">
        <v>11.126833</v>
      </c>
      <c r="AX92" s="1078">
        <v>3.2043718999999999E-6</v>
      </c>
      <c r="AY92" s="1078">
        <v>-2.2022650999999999E-8</v>
      </c>
      <c r="AZ92" s="1078">
        <v>4.6878353000000001E-3</v>
      </c>
      <c r="BA92" s="1078">
        <v>0.15402231999999999</v>
      </c>
      <c r="BB92" s="1079">
        <v>7.4295741999999998E-4</v>
      </c>
      <c r="BC92" s="1035"/>
      <c r="BE92" s="113">
        <f t="array" ref="BE92">IFERROR(SUMIFS($CB92:$CW92,$CB$17:$CW$17,BE$17,$CB$18:$CW$18,BE$18)/SUMPRODUCT(($CB$18:$CW$18=BE$18)*ABS($CB92:$CW92)),"-")</f>
        <v>0.37648342276388785</v>
      </c>
      <c r="BF92" s="114">
        <f t="array" ref="BF92">IFERROR(SUMIFS($CB92:$CW92,$CB$17:$CW$17,BF$17,$CB$18:$CW$18,BF$18)/SUMPRODUCT(($CB$18:$CW$18=BF$18)*ABS($CB92:$CW92)),"-")</f>
        <v>1.5600472269115182E-3</v>
      </c>
      <c r="BG92" s="114">
        <f t="array" ref="BG92">IFERROR(SUMIFS($CB92:$CW92,$CB$17:$CW$17,BG$17,$CB$18:$CW$18,BG$18)/SUMPRODUCT(($CB$18:$CW$18=BG$18)*ABS($CB92:$CW92)),"-")</f>
        <v>1.7262306025996324E-5</v>
      </c>
      <c r="BH92" s="114">
        <f t="array" ref="BH92">IFERROR(SUMIFS($CB92:$CW92,$CB$17:$CW$17,BH$17,$CB$18:$CW$18,BH$18)/SUMPRODUCT(($CB$18:$CW$18=BH$18)*ABS($CB92:$CW92)),"-")</f>
        <v>1.5618420871405154E-3</v>
      </c>
      <c r="BI92" s="114">
        <f t="array" ref="BI92">IFERROR(SUMIFS($CB92:$CW92,$CB$17:$CW$17,BI$17,$CB$18:$CW$18,BI$18)/SUMPRODUCT(($CB$18:$CW$18=BI$18)*ABS($CB92:$CW92)),"-")</f>
        <v>0.34828092797205173</v>
      </c>
      <c r="BJ92" s="114">
        <f t="array" ref="BJ92">IFERROR(SUMIFS($CB92:$CW92,$CB$17:$CW$17,BJ$17,$CB$18:$CW$18,BJ$18)/SUMPRODUCT(($CB$18:$CW$18=BJ$18)*ABS($CB92:$CW92)),"-")</f>
        <v>7.6014086073713388E-4</v>
      </c>
      <c r="BK92" s="114">
        <f t="array" ref="BK92">IFERROR(SUMIFS($CB92:$CW92,$CB$17:$CW$17,BK$17,$CB$18:$CW$18,BK$18)/SUMPRODUCT(($CB$18:$CW$18=BK$18)*ABS($CB92:$CW92)),"-")</f>
        <v>0.27059257825791228</v>
      </c>
      <c r="BL92" s="114">
        <f t="array" ref="BL92">IFERROR(SUMIFS($CB92:$CW92,$CB$17:$CW$17,BL$17,$CB$18:$CW$18,BL$18)/SUMPRODUCT(($CB$18:$CW$18=BL$18)*ABS($CB92:$CW92)),"-")</f>
        <v>7.4377852533297662E-4</v>
      </c>
      <c r="BM92" s="115"/>
      <c r="BN92" s="114">
        <f t="array" ref="BN92">IFERROR(SUMIFS($CB92:$CW92,$CB$17:$CW$17,BN$17,$CB$18:$CW$18,BN$18)/SUMPRODUCT(($CB$18:$CW$18=BN$18)*ABS($CB92:$CW92)),"-")</f>
        <v>2.4138491498476841E-2</v>
      </c>
      <c r="BO92" s="114">
        <f t="array" ref="BO92">IFERROR(SUMIFS($CB92:$CW92,$CB$17:$CW$17,BO$17,$CB$18:$CW$18,BO$18)/SUMPRODUCT(($CB$18:$CW$18=BO$18)*ABS($CB92:$CW92)),"-")</f>
        <v>4.7593489265170784E-3</v>
      </c>
      <c r="BP92" s="114">
        <f t="array" ref="BP92">IFERROR(SUMIFS($CB92:$CW92,$CB$17:$CW$17,BP$17,$CB$18:$CW$18,BP$18)/SUMPRODUCT(($CB$18:$CW$18=BP$18)*ABS($CB92:$CW92)),"-")</f>
        <v>1.2465191931158141E-2</v>
      </c>
      <c r="BQ92" s="114">
        <f t="array" ref="BQ92">IFERROR(SUMIFS($CB92:$CW92,$CB$17:$CW$17,BQ$17,$CB$18:$CW$18,BQ$18)/SUMPRODUCT(($CB$18:$CW$18=BQ$18)*ABS($CB92:$CW92)),"-")</f>
        <v>7.404824987185518E-4</v>
      </c>
      <c r="BR92" s="114">
        <f t="array" ref="BR92">IFERROR(SUMIFS($CB92:$CW92,$CB$17:$CW$17,BR$17,$CB$18:$CW$18,BR$18)/SUMPRODUCT(($CB$18:$CW$18=BR$18)*ABS($CB92:$CW92)),"-")</f>
        <v>4.3692225405005934E-5</v>
      </c>
      <c r="BS92" s="114">
        <f t="array" ref="BS92">IFERROR(SUMIFS($CB92:$CW92,$CB$17:$CW$17,BS$17,$CB$18:$CW$18,BS$18)/SUMPRODUCT(($CB$18:$CW$18=BS$18)*ABS($CB92:$CW92)),"-")</f>
        <v>1.05629467517683E-5</v>
      </c>
      <c r="BT92" s="114">
        <f t="array" ref="BT92">IFERROR(SUMIFS($CB92:$CW92,$CB$17:$CW$17,BT$17,$CB$18:$CW$18,BT$18)/SUMPRODUCT(($CB$18:$CW$18=BT$18)*ABS($CB92:$CW92)),"-")</f>
        <v>3.2934316507269375E-5</v>
      </c>
      <c r="BU92" s="114">
        <f t="array" ref="BU92">IFERROR(SUMIFS($CB92:$CW92,$CB$17:$CW$17,BU$17,$CB$18:$CW$18,BU$18)/SUMPRODUCT(($CB$18:$CW$18=BU$18)*ABS($CB92:$CW92)),"-")</f>
        <v>7.1571630054547773E-6</v>
      </c>
      <c r="BV92" s="114">
        <f t="array" ref="BV92">IFERROR(SUMIFS($CB92:$CW92,$CB$17:$CW$17,BV$17,$CB$18:$CW$18,BV$18)/SUMPRODUCT(($CB$18:$CW$18=BV$18)*ABS($CB92:$CW92)),"-")</f>
        <v>0.95770598124301354</v>
      </c>
      <c r="BW92" s="114">
        <f t="array" ref="BW92">IFERROR(SUMIFS($CB92:$CW92,$CB$17:$CW$17,BW$17,$CB$18:$CW$18,BW$18)/SUMPRODUCT(($CB$18:$CW$18=BW$18)*ABS($CB92:$CW92)),"-")</f>
        <v>9.6157250446396851E-5</v>
      </c>
      <c r="BX92" s="115"/>
      <c r="BY92" s="114">
        <f t="array" ref="BY92">IFERROR(SUMIFS($CB92:$CW92,$CB$17:$CW$17,BY$17,$CB$18:$CW$18,BY$18)/SUMPRODUCT(($CB$18:$CW$18=BY$18)*ABS($CB92:$CW92)),"-")</f>
        <v>1.501852071840113E-3</v>
      </c>
      <c r="BZ92" s="116">
        <f t="array" ref="BZ92">IFERROR(SUMIFS($CB92:$CW92,$CB$17:$CW$17,BZ$17,$CB$18:$CW$18,BZ$18)/SUMPRODUCT(($CB$18:$CW$18=BZ$18)*ABS($CB92:$CW92)),"-")</f>
        <v>0.99849814792815994</v>
      </c>
      <c r="CB92" s="117">
        <v>8.2572704999999996E-7</v>
      </c>
      <c r="CC92" s="111">
        <v>2.4902945999999999E-9</v>
      </c>
      <c r="CD92" s="111">
        <v>6.8045976000000003E-14</v>
      </c>
      <c r="CE92" s="111">
        <v>3.4215933999999998E-9</v>
      </c>
      <c r="CF92" s="111">
        <v>3.7860771999999999E-11</v>
      </c>
      <c r="CG92" s="111">
        <v>3.4255299999999999E-9</v>
      </c>
      <c r="CH92" s="111">
        <v>7.6387157E-7</v>
      </c>
      <c r="CI92" s="111">
        <v>4.9102093999999998E-10</v>
      </c>
      <c r="CJ92" s="111">
        <v>1.2860310000000001E-9</v>
      </c>
      <c r="CK92" s="111">
        <v>7.6395410000000002E-11</v>
      </c>
      <c r="CL92" s="111">
        <v>4.5077169000000003E-12</v>
      </c>
      <c r="CM92" s="111">
        <v>1.0897768E-12</v>
      </c>
      <c r="CN92" s="111">
        <v>3.3978258999999999E-12</v>
      </c>
      <c r="CO92" s="111">
        <v>7.3840286999999996E-13</v>
      </c>
      <c r="CP92" s="111">
        <v>1.6671886000000001E-9</v>
      </c>
      <c r="CQ92" s="111">
        <v>5.9348060999999998E-7</v>
      </c>
      <c r="CR92" s="111">
        <v>9.8806306999999993E-8</v>
      </c>
      <c r="CS92" s="111">
        <v>9.4919422999999994E-5</v>
      </c>
      <c r="CT92" s="111">
        <v>6.3106659999999995E-2</v>
      </c>
      <c r="CU92" s="111">
        <v>1.6313017000000001E-9</v>
      </c>
      <c r="CV92" s="111">
        <v>9.9200776999999994E-12</v>
      </c>
      <c r="CW92" s="112">
        <v>4.4383162000000001E-16</v>
      </c>
    </row>
    <row r="93" spans="2:101" ht="12" customHeight="1" outlineLevel="1" x14ac:dyDescent="0.2">
      <c r="B93" s="104" t="s">
        <v>108</v>
      </c>
      <c r="C93" s="104" t="s">
        <v>121</v>
      </c>
      <c r="D93" s="2" t="s">
        <v>143</v>
      </c>
      <c r="E93" s="2" t="s">
        <v>145</v>
      </c>
      <c r="F93" s="105" t="s">
        <v>93</v>
      </c>
      <c r="G93" s="27" t="s">
        <v>1578</v>
      </c>
      <c r="H93" s="106" t="s">
        <v>130</v>
      </c>
      <c r="I93" s="107" t="s">
        <v>129</v>
      </c>
      <c r="J93" s="108">
        <v>5.0812675600000006</v>
      </c>
      <c r="K93" s="109"/>
      <c r="L93" s="109"/>
      <c r="M93" s="110"/>
      <c r="N93" s="161"/>
      <c r="O93" s="1056"/>
      <c r="P93" s="117">
        <v>2.7828039019549999E-6</v>
      </c>
      <c r="Q93" s="111">
        <v>1.2846926061438577E-7</v>
      </c>
      <c r="R93" s="112">
        <v>7.8699977730000009E-2</v>
      </c>
      <c r="S93" s="1032">
        <v>1.1075929</v>
      </c>
      <c r="T93" s="1032">
        <v>8.0251840000000002E-6</v>
      </c>
      <c r="U93" s="1032">
        <v>5.5479884000000004E-3</v>
      </c>
      <c r="V93" s="1032">
        <v>4.6873154999999998E-3</v>
      </c>
      <c r="W93" s="1032">
        <v>1.5122986E-3</v>
      </c>
      <c r="X93" s="1032">
        <v>4.7397799000000003E-3</v>
      </c>
      <c r="Y93" s="1032">
        <v>7.5479427999999996E-3</v>
      </c>
      <c r="Z93" s="1032">
        <v>1.4179072000000001E-4</v>
      </c>
      <c r="AA93" s="1032">
        <v>3.3038537000000001E-3</v>
      </c>
      <c r="AB93" s="1032">
        <v>0.11907659</v>
      </c>
      <c r="AC93" s="1032">
        <v>6.1397550999999998E-3</v>
      </c>
      <c r="AD93" s="1032">
        <v>8.7749631999999994E-3</v>
      </c>
      <c r="AE93" s="1032">
        <v>6.2991076000000002E-4</v>
      </c>
      <c r="AF93" s="1032">
        <v>3.4662305</v>
      </c>
      <c r="AG93" s="1032">
        <v>13.855378</v>
      </c>
      <c r="AH93" s="1032">
        <v>5.1121079999999995E-4</v>
      </c>
      <c r="AI93" s="1032">
        <v>0.18273391999999999</v>
      </c>
      <c r="AJ93" s="1036">
        <v>9.1501452E-4</v>
      </c>
      <c r="AK93" s="1077">
        <v>1.101116</v>
      </c>
      <c r="AL93" s="1078">
        <v>9.3060213999999993E-9</v>
      </c>
      <c r="AM93" s="1078">
        <v>1.1379174000000001E-2</v>
      </c>
      <c r="AN93" s="1078">
        <v>5.1761033000000001E-3</v>
      </c>
      <c r="AO93" s="1078">
        <v>2.3225237000000002E-3</v>
      </c>
      <c r="AP93" s="1078">
        <v>9.8174804000000001E-3</v>
      </c>
      <c r="AQ93" s="1078">
        <v>1.7394812E-4</v>
      </c>
      <c r="AR93" s="1078">
        <v>1.1757388000000001E-2</v>
      </c>
      <c r="AS93" s="1078">
        <v>2.6202235E-4</v>
      </c>
      <c r="AT93" s="1078">
        <v>7.7211589E-4</v>
      </c>
      <c r="AU93" s="1078">
        <v>7.8863462999999995E-4</v>
      </c>
      <c r="AV93" s="1078">
        <v>8.3713775000000004E-2</v>
      </c>
      <c r="AW93" s="1078">
        <v>13.855373999999999</v>
      </c>
      <c r="AX93" s="1078">
        <v>3.9901533999999999E-6</v>
      </c>
      <c r="AY93" s="1078">
        <v>-2.7423083E-8</v>
      </c>
      <c r="AZ93" s="1078">
        <v>5.8373942999999998E-3</v>
      </c>
      <c r="BA93" s="1078">
        <v>0.19179193</v>
      </c>
      <c r="BB93" s="1079">
        <v>9.2514671000000004E-4</v>
      </c>
      <c r="BC93" s="1035"/>
      <c r="BE93" s="113">
        <f t="array" ref="BE93">IFERROR(SUMIFS($CB93:$CW93,$CB$17:$CW$17,BE$17,$CB$18:$CW$18,BE$18)/SUMPRODUCT(($CB$18:$CW$18=BE$18)*ABS($CB93:$CW93)),"-")</f>
        <v>0.36948819831596852</v>
      </c>
      <c r="BF93" s="114">
        <f t="array" ref="BF93">IFERROR(SUMIFS($CB93:$CW93,$CB$17:$CW$17,BF$17,$CB$18:$CW$18,BF$18)/SUMPRODUCT(($CB$18:$CW$18=BF$18)*ABS($CB93:$CW93)),"-")</f>
        <v>1.5310609191710478E-3</v>
      </c>
      <c r="BG93" s="114">
        <f t="array" ref="BG93">IFERROR(SUMIFS($CB93:$CW93,$CB$17:$CW$17,BG$17,$CB$18:$CW$18,BG$18)/SUMPRODUCT(($CB$18:$CW$18=BG$18)*ABS($CB93:$CW93)),"-")</f>
        <v>1.6941565651420583E-5</v>
      </c>
      <c r="BH93" s="114">
        <f t="array" ref="BH93">IFERROR(SUMIFS($CB93:$CW93,$CB$17:$CW$17,BH$17,$CB$18:$CW$18,BH$18)/SUMPRODUCT(($CB$18:$CW$18=BH$18)*ABS($CB93:$CW93)),"-")</f>
        <v>1.5328224518455407E-3</v>
      </c>
      <c r="BI93" s="114">
        <f t="array" ref="BI93">IFERROR(SUMIFS($CB93:$CW93,$CB$17:$CW$17,BI$17,$CB$18:$CW$18,BI$18)/SUMPRODUCT(($CB$18:$CW$18=BI$18)*ABS($CB93:$CW93)),"-")</f>
        <v>0.341809733460472</v>
      </c>
      <c r="BJ93" s="114">
        <f t="array" ref="BJ93">IFERROR(SUMIFS($CB93:$CW93,$CB$17:$CW$17,BJ$17,$CB$18:$CW$18,BJ$18)/SUMPRODUCT(($CB$18:$CW$18=BJ$18)*ABS($CB93:$CW93)),"-")</f>
        <v>7.5238794171917094E-4</v>
      </c>
      <c r="BK93" s="114">
        <f t="array" ref="BK93">IFERROR(SUMIFS($CB93:$CW93,$CB$17:$CW$17,BK$17,$CB$18:$CW$18,BK$18)/SUMPRODUCT(($CB$18:$CW$18=BK$18)*ABS($CB93:$CW93)),"-")</f>
        <v>0.28413889654406066</v>
      </c>
      <c r="BL93" s="114">
        <f t="array" ref="BL93">IFERROR(SUMIFS($CB93:$CW93,$CB$17:$CW$17,BL$17,$CB$18:$CW$18,BL$18)/SUMPRODUCT(($CB$18:$CW$18=BL$18)*ABS($CB93:$CW93)),"-")</f>
        <v>7.2995880111168833E-4</v>
      </c>
      <c r="BM93" s="115"/>
      <c r="BN93" s="114">
        <f t="array" ref="BN93">IFERROR(SUMIFS($CB93:$CW93,$CB$17:$CW$17,BN$17,$CB$18:$CW$18,BN$18)/SUMPRODUCT(($CB$18:$CW$18=BN$18)*ABS($CB93:$CW93)),"-")</f>
        <v>2.4138487428795471E-2</v>
      </c>
      <c r="BO93" s="114">
        <f t="array" ref="BO93">IFERROR(SUMIFS($CB93:$CW93,$CB$17:$CW$17,BO$17,$CB$18:$CW$18,BO$18)/SUMPRODUCT(($CB$18:$CW$18=BO$18)*ABS($CB93:$CW93)),"-")</f>
        <v>4.7593480889975108E-3</v>
      </c>
      <c r="BP93" s="114">
        <f t="array" ref="BP93">IFERROR(SUMIFS($CB93:$CW93,$CB$17:$CW$17,BP$17,$CB$18:$CW$18,BP$18)/SUMPRODUCT(($CB$18:$CW$18=BP$18)*ABS($CB93:$CW93)),"-")</f>
        <v>1.246518966748594E-2</v>
      </c>
      <c r="BQ93" s="114">
        <f t="array" ref="BQ93">IFERROR(SUMIFS($CB93:$CW93,$CB$17:$CW$17,BQ$17,$CB$18:$CW$18,BQ$18)/SUMPRODUCT(($CB$18:$CW$18=BQ$18)*ABS($CB93:$CW93)),"-")</f>
        <v>7.4048238111637109E-4</v>
      </c>
      <c r="BR93" s="114">
        <f t="array" ref="BR93">IFERROR(SUMIFS($CB93:$CW93,$CB$17:$CW$17,BR$17,$CB$18:$CW$18,BR$18)/SUMPRODUCT(($CB$18:$CW$18=BR$18)*ABS($CB93:$CW93)),"-")</f>
        <v>4.3692218458766892E-5</v>
      </c>
      <c r="BS93" s="114">
        <f t="array" ref="BS93">IFERROR(SUMIFS($CB93:$CW93,$CB$17:$CW$17,BS$17,$CB$18:$CW$18,BS$18)/SUMPRODUCT(($CB$18:$CW$18=BS$18)*ABS($CB93:$CW93)),"-")</f>
        <v>1.056294473487492E-5</v>
      </c>
      <c r="BT93" s="114">
        <f t="array" ref="BT93">IFERROR(SUMIFS($CB93:$CW93,$CB$17:$CW$17,BT$17,$CB$18:$CW$18,BT$18)/SUMPRODUCT(($CB$18:$CW$18=BT$18)*ABS($CB93:$CW93)),"-")</f>
        <v>3.3074838912275898E-5</v>
      </c>
      <c r="BU93" s="114">
        <f t="array" ref="BU93">IFERROR(SUMIFS($CB93:$CW93,$CB$17:$CW$17,BU$17,$CB$18:$CW$18,BU$18)/SUMPRODUCT(($CB$18:$CW$18=BU$18)*ABS($CB93:$CW93)),"-")</f>
        <v>7.1741565693793236E-6</v>
      </c>
      <c r="BV93" s="114">
        <f t="array" ref="BV93">IFERROR(SUMIFS($CB93:$CW93,$CB$17:$CW$17,BV$17,$CB$18:$CW$18,BV$18)/SUMPRODUCT(($CB$18:$CW$18=BV$18)*ABS($CB93:$CW93)),"-")</f>
        <v>0.95770583104159834</v>
      </c>
      <c r="BW93" s="114">
        <f t="array" ref="BW93">IFERROR(SUMIFS($CB93:$CW93,$CB$17:$CW$17,BW$17,$CB$18:$CW$18,BW$18)/SUMPRODUCT(($CB$18:$CW$18=BW$18)*ABS($CB93:$CW93)),"-")</f>
        <v>9.6157233331089199E-5</v>
      </c>
      <c r="BX93" s="115"/>
      <c r="BY93" s="114">
        <f t="array" ref="BY93">IFERROR(SUMIFS($CB93:$CW93,$CB$17:$CW$17,BY$17,$CB$18:$CW$18,BY$18)/SUMPRODUCT(($CB$18:$CW$18=BY$18)*ABS($CB93:$CW93)),"-")</f>
        <v>1.5018521403589219E-3</v>
      </c>
      <c r="BZ93" s="116">
        <f t="array" ref="BZ93">IFERROR(SUMIFS($CB93:$CW93,$CB$17:$CW$17,BZ$17,$CB$18:$CW$18,BZ$18)/SUMPRODUCT(($CB$18:$CW$18=BZ$18)*ABS($CB93:$CW93)),"-")</f>
        <v>0.99849814785964097</v>
      </c>
      <c r="CB93" s="117">
        <v>1.0282132E-6</v>
      </c>
      <c r="CC93" s="111">
        <v>3.1009689E-9</v>
      </c>
      <c r="CD93" s="111">
        <v>8.4732327E-14</v>
      </c>
      <c r="CE93" s="111">
        <v>4.2606423000000002E-9</v>
      </c>
      <c r="CF93" s="111">
        <v>4.7145055000000002E-11</v>
      </c>
      <c r="CG93" s="111">
        <v>4.2655443000000003E-9</v>
      </c>
      <c r="CH93" s="111">
        <v>9.5118945999999998E-7</v>
      </c>
      <c r="CI93" s="111">
        <v>6.1142993000000003E-10</v>
      </c>
      <c r="CJ93" s="111">
        <v>1.6013936999999999E-9</v>
      </c>
      <c r="CK93" s="111">
        <v>9.5129224000000003E-11</v>
      </c>
      <c r="CL93" s="111">
        <v>5.613107E-12</v>
      </c>
      <c r="CM93" s="111">
        <v>1.3570137E-12</v>
      </c>
      <c r="CN93" s="111">
        <v>4.2491000999999998E-12</v>
      </c>
      <c r="CO93" s="111">
        <v>9.2165859000000005E-13</v>
      </c>
      <c r="CP93" s="111">
        <v>2.0937480999999999E-9</v>
      </c>
      <c r="CQ93" s="111">
        <v>7.9070283E-7</v>
      </c>
      <c r="CR93" s="111">
        <v>1.2303575999999999E-7</v>
      </c>
      <c r="CS93" s="111">
        <v>1.1819573E-4</v>
      </c>
      <c r="CT93" s="111">
        <v>7.8581782000000003E-2</v>
      </c>
      <c r="CU93" s="111">
        <v>2.0313322000000001E-9</v>
      </c>
      <c r="CV93" s="111">
        <v>1.2352696E-11</v>
      </c>
      <c r="CW93" s="112">
        <v>5.5266876999999999E-16</v>
      </c>
    </row>
    <row r="94" spans="2:101" ht="12" customHeight="1" outlineLevel="1" x14ac:dyDescent="0.2">
      <c r="B94" s="104" t="s">
        <v>108</v>
      </c>
      <c r="C94" s="104" t="s">
        <v>121</v>
      </c>
      <c r="D94" s="2" t="s">
        <v>143</v>
      </c>
      <c r="E94" s="2" t="s">
        <v>145</v>
      </c>
      <c r="F94" s="105" t="s">
        <v>94</v>
      </c>
      <c r="G94" s="27" t="s">
        <v>1580</v>
      </c>
      <c r="H94" s="106" t="s">
        <v>131</v>
      </c>
      <c r="I94" s="107" t="s">
        <v>129</v>
      </c>
      <c r="J94" s="108">
        <v>5.0812675600000006</v>
      </c>
      <c r="K94" s="109"/>
      <c r="L94" s="109"/>
      <c r="M94" s="110"/>
      <c r="N94" s="161"/>
      <c r="O94" s="1056"/>
      <c r="P94" s="117">
        <v>1.7976056110350001E-6</v>
      </c>
      <c r="Q94" s="111">
        <v>8.6190046414975683E-8</v>
      </c>
      <c r="R94" s="112">
        <v>5.2799844557E-2</v>
      </c>
      <c r="S94" s="1032">
        <v>0.74308452000000003</v>
      </c>
      <c r="T94" s="1032">
        <v>5.3840988999999997E-6</v>
      </c>
      <c r="U94" s="1032">
        <v>3.7221475E-3</v>
      </c>
      <c r="V94" s="1032">
        <v>3.1447216999999999E-3</v>
      </c>
      <c r="W94" s="1032">
        <v>1.0146017E-3</v>
      </c>
      <c r="X94" s="1032">
        <v>3.1799201000000002E-3</v>
      </c>
      <c r="Y94" s="1032">
        <v>5.0639177E-3</v>
      </c>
      <c r="Z94" s="1032">
        <v>9.5127444999999996E-5</v>
      </c>
      <c r="AA94" s="1032">
        <v>2.2165565999999999E-3</v>
      </c>
      <c r="AB94" s="1032">
        <v>7.9888530999999999E-2</v>
      </c>
      <c r="AC94" s="1032">
        <v>4.0843125000000003E-3</v>
      </c>
      <c r="AD94" s="1032">
        <v>5.8592406000000001E-3</v>
      </c>
      <c r="AE94" s="1032">
        <v>4.1545591000000001E-4</v>
      </c>
      <c r="AF94" s="1032">
        <v>2.0214625000000002</v>
      </c>
      <c r="AG94" s="1032">
        <v>9.2955784000000001</v>
      </c>
      <c r="AH94" s="1032">
        <v>3.4297152E-4</v>
      </c>
      <c r="AI94" s="1032">
        <v>0.12259626</v>
      </c>
      <c r="AJ94" s="1036">
        <v>6.1388358999999999E-4</v>
      </c>
      <c r="AK94" s="1077">
        <v>0.73873913000000002</v>
      </c>
      <c r="AL94" s="1078">
        <v>6.2434132000000002E-9</v>
      </c>
      <c r="AM94" s="1078">
        <v>7.634292E-3</v>
      </c>
      <c r="AN94" s="1078">
        <v>3.4726497000000002E-3</v>
      </c>
      <c r="AO94" s="1078">
        <v>1.558182E-3</v>
      </c>
      <c r="AP94" s="1078">
        <v>6.5865513000000001E-3</v>
      </c>
      <c r="AQ94" s="1078">
        <v>1.1670186E-4</v>
      </c>
      <c r="AR94" s="1078">
        <v>7.8880358999999997E-3</v>
      </c>
      <c r="AS94" s="1078">
        <v>1.4416609000000001E-4</v>
      </c>
      <c r="AT94" s="1078">
        <v>5.1520384999999996E-4</v>
      </c>
      <c r="AU94" s="1078">
        <v>5.2767489000000002E-4</v>
      </c>
      <c r="AV94" s="1078">
        <v>5.1653085000000001E-2</v>
      </c>
      <c r="AW94" s="1078">
        <v>9.2955757000000006</v>
      </c>
      <c r="AX94" s="1078">
        <v>2.6769954000000002E-6</v>
      </c>
      <c r="AY94" s="1078">
        <v>-1.8398157000000001E-8</v>
      </c>
      <c r="AZ94" s="1078">
        <v>3.9163100000000001E-3</v>
      </c>
      <c r="BA94" s="1078">
        <v>0.12867328</v>
      </c>
      <c r="BB94" s="1079">
        <v>6.2068126999999999E-4</v>
      </c>
      <c r="BC94" s="1035"/>
      <c r="BE94" s="113">
        <f t="array" ref="BE94">IFERROR(SUMIFS($CB94:$CW94,$CB$17:$CW$17,BE$17,$CB$18:$CW$18,BE$18)/SUMPRODUCT(($CB$18:$CW$18=BE$18)*ABS($CB94:$CW94)),"-")</f>
        <v>0.3837486074616891</v>
      </c>
      <c r="BF94" s="114">
        <f t="array" ref="BF94">IFERROR(SUMIFS($CB94:$CW94,$CB$17:$CW$17,BF$17,$CB$18:$CW$18,BF$18)/SUMPRODUCT(($CB$18:$CW$18=BF$18)*ABS($CB94:$CW94)),"-")</f>
        <v>1.5901521904764151E-3</v>
      </c>
      <c r="BG94" s="114">
        <f t="array" ref="BG94">IFERROR(SUMIFS($CB94:$CW94,$CB$17:$CW$17,BG$17,$CB$18:$CW$18,BG$18)/SUMPRODUCT(($CB$18:$CW$18=BG$18)*ABS($CB94:$CW94)),"-")</f>
        <v>1.7595425162134831E-5</v>
      </c>
      <c r="BH94" s="114">
        <f t="array" ref="BH94">IFERROR(SUMIFS($CB94:$CW94,$CB$17:$CW$17,BH$17,$CB$18:$CW$18,BH$18)/SUMPRODUCT(($CB$18:$CW$18=BH$18)*ABS($CB94:$CW94)),"-")</f>
        <v>1.591981679647906E-3</v>
      </c>
      <c r="BI94" s="114">
        <f t="array" ref="BI94">IFERROR(SUMIFS($CB94:$CW94,$CB$17:$CW$17,BI$17,$CB$18:$CW$18,BI$18)/SUMPRODUCT(($CB$18:$CW$18=BI$18)*ABS($CB94:$CW94)),"-")</f>
        <v>0.35500187921230009</v>
      </c>
      <c r="BJ94" s="114">
        <f t="array" ref="BJ94">IFERROR(SUMIFS($CB94:$CW94,$CB$17:$CW$17,BJ$17,$CB$18:$CW$18,BJ$18)/SUMPRODUCT(($CB$18:$CW$18=BJ$18)*ABS($CB94:$CW94)),"-")</f>
        <v>7.6819302939587519E-4</v>
      </c>
      <c r="BK94" s="114">
        <f t="array" ref="BK94">IFERROR(SUMIFS($CB94:$CW94,$CB$17:$CW$17,BK$17,$CB$18:$CW$18,BK$18)/SUMPRODUCT(($CB$18:$CW$18=BK$18)*ABS($CB94:$CW94)),"-")</f>
        <v>0.25652345941137678</v>
      </c>
      <c r="BL94" s="114">
        <f t="array" ref="BL94">IFERROR(SUMIFS($CB94:$CW94,$CB$17:$CW$17,BL$17,$CB$18:$CW$18,BL$18)/SUMPRODUCT(($CB$18:$CW$18=BL$18)*ABS($CB94:$CW94)),"-")</f>
        <v>7.5813158995166553E-4</v>
      </c>
      <c r="BM94" s="115"/>
      <c r="BN94" s="114">
        <f t="array" ref="BN94">IFERROR(SUMIFS($CB94:$CW94,$CB$17:$CW$17,BN$17,$CB$18:$CW$18,BN$18)/SUMPRODUCT(($CB$18:$CW$18=BN$18)*ABS($CB94:$CW94)),"-")</f>
        <v>2.413849549323957E-2</v>
      </c>
      <c r="BO94" s="114">
        <f t="array" ref="BO94">IFERROR(SUMIFS($CB94:$CW94,$CB$17:$CW$17,BO$17,$CB$18:$CW$18,BO$18)/SUMPRODUCT(($CB$18:$CW$18=BO$18)*ABS($CB94:$CW94)),"-")</f>
        <v>4.7593496820385224E-3</v>
      </c>
      <c r="BP94" s="114">
        <f t="array" ref="BP94">IFERROR(SUMIFS($CB94:$CW94,$CB$17:$CW$17,BP$17,$CB$18:$CW$18,BP$18)/SUMPRODUCT(($CB$18:$CW$18=BP$18)*ABS($CB94:$CW94)),"-")</f>
        <v>1.2465193426480453E-2</v>
      </c>
      <c r="BQ94" s="114">
        <f t="array" ref="BQ94">IFERROR(SUMIFS($CB94:$CW94,$CB$17:$CW$17,BQ$17,$CB$18:$CW$18,BQ$18)/SUMPRODUCT(($CB$18:$CW$18=BQ$18)*ABS($CB94:$CW94)),"-")</f>
        <v>7.4048262710890906E-4</v>
      </c>
      <c r="BR94" s="114">
        <f t="array" ref="BR94">IFERROR(SUMIFS($CB94:$CW94,$CB$17:$CW$17,BR$17,$CB$18:$CW$18,BR$18)/SUMPRODUCT(($CB$18:$CW$18=BR$18)*ABS($CB94:$CW94)),"-")</f>
        <v>4.3692233113192515E-5</v>
      </c>
      <c r="BS94" s="114">
        <f t="array" ref="BS94">IFERROR(SUMIFS($CB94:$CW94,$CB$17:$CW$17,BS$17,$CB$18:$CW$18,BS$18)/SUMPRODUCT(($CB$18:$CW$18=BS$18)*ABS($CB94:$CW94)),"-")</f>
        <v>1.0562948482666238E-5</v>
      </c>
      <c r="BT94" s="114">
        <f t="array" ref="BT94">IFERROR(SUMIFS($CB94:$CW94,$CB$17:$CW$17,BT$17,$CB$18:$CW$18,BT$18)/SUMPRODUCT(($CB$18:$CW$18=BT$18)*ABS($CB94:$CW94)),"-")</f>
        <v>3.279379484716104E-5</v>
      </c>
      <c r="BU94" s="114">
        <f t="array" ref="BU94">IFERROR(SUMIFS($CB94:$CW94,$CB$17:$CW$17,BU$17,$CB$18:$CW$18,BU$18)/SUMPRODUCT(($CB$18:$CW$18=BU$18)*ABS($CB94:$CW94)),"-")</f>
        <v>7.140169260810041E-6</v>
      </c>
      <c r="BV94" s="114">
        <f t="array" ref="BV94">IFERROR(SUMIFS($CB94:$CW94,$CB$17:$CW$17,BV$17,$CB$18:$CW$18,BV$18)/SUMPRODUCT(($CB$18:$CW$18=BV$18)*ABS($CB94:$CW94)),"-")</f>
        <v>0.95770613235982305</v>
      </c>
      <c r="BW94" s="114">
        <f t="array" ref="BW94">IFERROR(SUMIFS($CB94:$CW94,$CB$17:$CW$17,BW$17,$CB$18:$CW$18,BW$18)/SUMPRODUCT(($CB$18:$CW$18=BW$18)*ABS($CB94:$CW94)),"-")</f>
        <v>9.6157265605671837E-5</v>
      </c>
      <c r="BX94" s="115"/>
      <c r="BY94" s="114">
        <f t="array" ref="BY94">IFERROR(SUMIFS($CB94:$CW94,$CB$17:$CW$17,BY$17,$CB$18:$CW$18,BY$18)/SUMPRODUCT(($CB$18:$CW$18=BY$18)*ABS($CB94:$CW94)),"-")</f>
        <v>1.501852091901415E-3</v>
      </c>
      <c r="BZ94" s="116">
        <f t="array" ref="BZ94">IFERROR(SUMIFS($CB94:$CW94,$CB$17:$CW$17,BZ$17,$CB$18:$CW$18,BZ$18)/SUMPRODUCT(($CB$18:$CW$18=BZ$18)*ABS($CB94:$CW94)),"-")</f>
        <v>0.99849814790809854</v>
      </c>
      <c r="CB94" s="117">
        <v>6.8982865E-7</v>
      </c>
      <c r="CC94" s="111">
        <v>2.0804411999999999E-9</v>
      </c>
      <c r="CD94" s="111">
        <v>5.6846949999999999E-14</v>
      </c>
      <c r="CE94" s="111">
        <v>2.8584665000000001E-9</v>
      </c>
      <c r="CF94" s="111">
        <v>3.1629635000000001E-11</v>
      </c>
      <c r="CG94" s="111">
        <v>2.8617552E-9</v>
      </c>
      <c r="CH94" s="111">
        <v>6.3815337000000003E-7</v>
      </c>
      <c r="CI94" s="111">
        <v>4.1020857000000001E-10</v>
      </c>
      <c r="CJ94" s="111">
        <v>1.0743756E-9</v>
      </c>
      <c r="CK94" s="111">
        <v>6.3822232000000002E-11</v>
      </c>
      <c r="CL94" s="111">
        <v>3.7658356000000003E-12</v>
      </c>
      <c r="CM94" s="111">
        <v>9.1042102000000002E-13</v>
      </c>
      <c r="CN94" s="111">
        <v>2.8264987000000002E-12</v>
      </c>
      <c r="CO94" s="111">
        <v>6.1541152000000003E-13</v>
      </c>
      <c r="CP94" s="111">
        <v>1.3809081E-9</v>
      </c>
      <c r="CQ94" s="111">
        <v>4.6112800999999998E-7</v>
      </c>
      <c r="CR94" s="111">
        <v>8.2544735999999998E-8</v>
      </c>
      <c r="CS94" s="111">
        <v>7.9297556999999993E-5</v>
      </c>
      <c r="CT94" s="111">
        <v>5.2720547E-2</v>
      </c>
      <c r="CU94" s="111">
        <v>1.3628215999999999E-9</v>
      </c>
      <c r="CV94" s="111">
        <v>8.2874283999999998E-12</v>
      </c>
      <c r="CW94" s="112">
        <v>3.7078568999999999E-16</v>
      </c>
    </row>
    <row r="95" spans="2:101" ht="12" customHeight="1" outlineLevel="1" x14ac:dyDescent="0.2">
      <c r="B95" s="104" t="s">
        <v>108</v>
      </c>
      <c r="C95" s="104" t="s">
        <v>121</v>
      </c>
      <c r="D95" s="2" t="s">
        <v>143</v>
      </c>
      <c r="E95" s="2" t="s">
        <v>145</v>
      </c>
      <c r="F95" s="105" t="s">
        <v>95</v>
      </c>
      <c r="G95" s="27" t="s">
        <v>1581</v>
      </c>
      <c r="H95" s="106" t="s">
        <v>128</v>
      </c>
      <c r="I95" s="107" t="s">
        <v>127</v>
      </c>
      <c r="J95" s="108">
        <v>5.0812675600000006</v>
      </c>
      <c r="K95" s="109"/>
      <c r="L95" s="109"/>
      <c r="M95" s="110"/>
      <c r="N95" s="161"/>
      <c r="O95" s="1056"/>
      <c r="P95" s="117">
        <v>6.6286225279779991E-6</v>
      </c>
      <c r="Q95" s="111">
        <v>1.0720696956562235E-7</v>
      </c>
      <c r="R95" s="112">
        <v>6.7169891869999998E-2</v>
      </c>
      <c r="S95" s="1032">
        <v>1.0639493</v>
      </c>
      <c r="T95" s="1032">
        <v>1.1833003999999999E-5</v>
      </c>
      <c r="U95" s="1032">
        <v>4.4903264000000003E-3</v>
      </c>
      <c r="V95" s="1032">
        <v>4.0477654000000002E-3</v>
      </c>
      <c r="W95" s="1032">
        <v>3.0973149999999998E-3</v>
      </c>
      <c r="X95" s="1032">
        <v>4.0913086000000003E-3</v>
      </c>
      <c r="Y95" s="1032">
        <v>2.1266423E-2</v>
      </c>
      <c r="Z95" s="1032">
        <v>5.2699568000000004E-4</v>
      </c>
      <c r="AA95" s="1032">
        <v>4.8064854000000002E-3</v>
      </c>
      <c r="AB95" s="1032">
        <v>0.16291453</v>
      </c>
      <c r="AC95" s="1032">
        <v>8.9398153000000008E-3</v>
      </c>
      <c r="AD95" s="1032">
        <v>1.1833121E-2</v>
      </c>
      <c r="AE95" s="1032">
        <v>9.5012543000000003E-4</v>
      </c>
      <c r="AF95" s="1032">
        <v>16.121072000000002</v>
      </c>
      <c r="AG95" s="1032">
        <v>11.126836000000001</v>
      </c>
      <c r="AH95" s="1032">
        <v>4.1146172000000001E-4</v>
      </c>
      <c r="AI95" s="1032">
        <v>0.1555454</v>
      </c>
      <c r="AJ95" s="1036">
        <v>7.3739295999999998E-4</v>
      </c>
      <c r="AK95" s="1077">
        <v>1.0585013999999999</v>
      </c>
      <c r="AL95" s="1078">
        <v>7.5316113999999994E-9</v>
      </c>
      <c r="AM95" s="1078">
        <v>9.2091285999999998E-3</v>
      </c>
      <c r="AN95" s="1078">
        <v>4.4569516E-3</v>
      </c>
      <c r="AO95" s="1078">
        <v>4.4001363999999999E-3</v>
      </c>
      <c r="AP95" s="1078">
        <v>2.6917645E-2</v>
      </c>
      <c r="AQ95" s="1078">
        <v>5.5289675999999999E-4</v>
      </c>
      <c r="AR95" s="1078">
        <v>1.7542022000000001E-2</v>
      </c>
      <c r="AS95" s="1078">
        <v>1.5729552999999999E-3</v>
      </c>
      <c r="AT95" s="1078">
        <v>8.6158665999999998E-4</v>
      </c>
      <c r="AU95" s="1078">
        <v>8.1394186999999998E-4</v>
      </c>
      <c r="AV95" s="1078">
        <v>0.25981239</v>
      </c>
      <c r="AW95" s="1078">
        <v>11.126833</v>
      </c>
      <c r="AX95" s="1078">
        <v>3.2043718999999999E-6</v>
      </c>
      <c r="AY95" s="1078">
        <v>-2.2022650999999999E-8</v>
      </c>
      <c r="AZ95" s="1078">
        <v>4.6945822000000002E-3</v>
      </c>
      <c r="BA95" s="1078">
        <v>0.16316309000000001</v>
      </c>
      <c r="BB95" s="1079">
        <v>7.4552981E-4</v>
      </c>
      <c r="BC95" s="1035"/>
      <c r="BE95" s="113">
        <f t="array" ref="BE95">IFERROR(SUMIFS($CB95:$CW95,$CB$17:$CW$17,BE$17,$CB$18:$CW$18,BE$18)/SUMPRODUCT(($CB$18:$CW$18=BE$18)*ABS($CB95:$CW95)),"-")</f>
        <v>0.14903010328773977</v>
      </c>
      <c r="BF95" s="114">
        <f t="array" ref="BF95">IFERROR(SUMIFS($CB95:$CW95,$CB$17:$CW$17,BF$17,$CB$18:$CW$18,BF$18)/SUMPRODUCT(($CB$18:$CW$18=BF$18)*ABS($CB95:$CW95)),"-")</f>
        <v>9.4774574558801185E-4</v>
      </c>
      <c r="BG95" s="114">
        <f t="array" ref="BG95">IFERROR(SUMIFS($CB95:$CW95,$CB$17:$CW$17,BG$17,$CB$18:$CW$18,BG$18)/SUMPRODUCT(($CB$18:$CW$18=BG$18)*ABS($CB95:$CW95)),"-")</f>
        <v>5.7564566150728691E-6</v>
      </c>
      <c r="BH95" s="114">
        <f t="array" ref="BH95">IFERROR(SUMIFS($CB95:$CW95,$CB$17:$CW$17,BH$17,$CB$18:$CW$18,BH$18)/SUMPRODUCT(($CB$18:$CW$18=BH$18)*ABS($CB95:$CW95)),"-")</f>
        <v>5.5570169887523061E-4</v>
      </c>
      <c r="BI95" s="114">
        <f t="array" ref="BI95">IFERROR(SUMIFS($CB95:$CW95,$CB$17:$CW$17,BI$17,$CB$18:$CW$18,BI$18)/SUMPRODUCT(($CB$18:$CW$18=BI$18)*ABS($CB95:$CW95)),"-")</f>
        <v>0.29394929214567389</v>
      </c>
      <c r="BJ95" s="114">
        <f t="array" ref="BJ95">IFERROR(SUMIFS($CB95:$CW95,$CB$17:$CW$17,BJ$17,$CB$18:$CW$18,BJ$18)/SUMPRODUCT(($CB$18:$CW$18=BJ$18)*ABS($CB95:$CW95)),"-")</f>
        <v>4.7647495187260765E-4</v>
      </c>
      <c r="BK95" s="114">
        <f t="array" ref="BK95">IFERROR(SUMIFS($CB95:$CW95,$CB$17:$CW$17,BK$17,$CB$18:$CW$18,BK$18)/SUMPRODUCT(($CB$18:$CW$18=BK$18)*ABS($CB95:$CW95)),"-")</f>
        <v>0.55478796453986368</v>
      </c>
      <c r="BL95" s="114">
        <f t="array" ref="BL95">IFERROR(SUMIFS($CB95:$CW95,$CB$17:$CW$17,BL$17,$CB$18:$CW$18,BL$18)/SUMPRODUCT(($CB$18:$CW$18=BL$18)*ABS($CB95:$CW95)),"-")</f>
        <v>2.4696117377185386E-4</v>
      </c>
      <c r="BM95" s="115"/>
      <c r="BN95" s="114">
        <f t="array" ref="BN95">IFERROR(SUMIFS($CB95:$CW95,$CB$17:$CW$17,BN$17,$CB$18:$CW$18,BN$18)/SUMPRODUCT(($CB$18:$CW$18=BN$18)*ABS($CB95:$CW95)),"-")</f>
        <v>2.7784661825682004E-2</v>
      </c>
      <c r="BO95" s="114">
        <f t="array" ref="BO95">IFERROR(SUMIFS($CB95:$CW95,$CB$17:$CW$17,BO$17,$CB$18:$CW$18,BO$18)/SUMPRODUCT(($CB$18:$CW$18=BO$18)*ABS($CB95:$CW95)),"-")</f>
        <v>4.9229776957452629E-3</v>
      </c>
      <c r="BP95" s="114">
        <f t="array" ref="BP95">IFERROR(SUMIFS($CB95:$CW95,$CB$17:$CW$17,BP$17,$CB$18:$CW$18,BP$18)/SUMPRODUCT(($CB$18:$CW$18=BP$18)*ABS($CB95:$CW95)),"-")</f>
        <v>4.209762777817775E-2</v>
      </c>
      <c r="BQ95" s="114">
        <f t="array" ref="BQ95">IFERROR(SUMIFS($CB95:$CW95,$CB$17:$CW$17,BQ$17,$CB$18:$CW$18,BQ$18)/SUMPRODUCT(($CB$18:$CW$18=BQ$18)*ABS($CB95:$CW95)),"-")</f>
        <v>3.2983318289167359E-3</v>
      </c>
      <c r="BR95" s="114">
        <f t="array" ref="BR95">IFERROR(SUMIFS($CB95:$CW95,$CB$17:$CW$17,BR$17,$CB$18:$CW$18,BR$18)/SUMPRODUCT(($CB$18:$CW$18=BR$18)*ABS($CB95:$CW95)),"-")</f>
        <v>7.6170541272519695E-5</v>
      </c>
      <c r="BS95" s="114">
        <f t="array" ref="BS95">IFERROR(SUMIFS($CB95:$CW95,$CB$17:$CW$17,BS$17,$CB$18:$CW$18,BS$18)/SUMPRODUCT(($CB$18:$CW$18=BS$18)*ABS($CB95:$CW95)),"-")</f>
        <v>1.7322723583406975E-5</v>
      </c>
      <c r="BT95" s="114">
        <f t="array" ref="BT95">IFERROR(SUMIFS($CB95:$CW95,$CB$17:$CW$17,BT$17,$CB$18:$CW$18,BT$18)/SUMPRODUCT(($CB$18:$CW$18=BT$18)*ABS($CB95:$CW95)),"-")</f>
        <v>5.7749709977673873E-5</v>
      </c>
      <c r="BU95" s="114">
        <f t="array" ref="BU95">IFERROR(SUMIFS($CB95:$CW95,$CB$17:$CW$17,BU$17,$CB$18:$CW$18,BU$18)/SUMPRODUCT(($CB$18:$CW$18=BU$18)*ABS($CB95:$CW95)),"-")</f>
        <v>1.1592899277310946E-5</v>
      </c>
      <c r="BV95" s="114">
        <f t="array" ref="BV95">IFERROR(SUMIFS($CB95:$CW95,$CB$17:$CW$17,BV$17,$CB$18:$CW$18,BV$18)/SUMPRODUCT(($CB$18:$CW$18=BV$18)*ABS($CB95:$CW95)),"-")</f>
        <v>0.92164070489390859</v>
      </c>
      <c r="BW95" s="114">
        <f t="array" ref="BW95">IFERROR(SUMIFS($CB95:$CW95,$CB$17:$CW$17,BW$17,$CB$18:$CW$18,BW$18)/SUMPRODUCT(($CB$18:$CW$18=BW$18)*ABS($CB95:$CW95)),"-")</f>
        <v>9.2860103458631028E-5</v>
      </c>
      <c r="BX95" s="115"/>
      <c r="BY95" s="114">
        <f t="array" ref="BY95">IFERROR(SUMIFS($CB95:$CW95,$CB$17:$CW$17,BY$17,$CB$18:$CW$18,BY$18)/SUMPRODUCT(($CB$18:$CW$18=BY$18)*ABS($CB95:$CW95)),"-")</f>
        <v>1.4163022650701791E-3</v>
      </c>
      <c r="BZ95" s="116">
        <f t="array" ref="BZ95">IFERROR(SUMIFS($CB95:$CW95,$CB$17:$CW$17,BZ$17,$CB$18:$CW$18,BZ$18)/SUMPRODUCT(($CB$18:$CW$18=BZ$18)*ABS($CB95:$CW95)),"-")</f>
        <v>0.99858369773492983</v>
      </c>
      <c r="CB95" s="117">
        <v>9.8786429999999999E-7</v>
      </c>
      <c r="CC95" s="111">
        <v>2.9786279999999999E-9</v>
      </c>
      <c r="CD95" s="111">
        <v>8.1394737000000006E-14</v>
      </c>
      <c r="CE95" s="111">
        <v>6.2822488000000003E-9</v>
      </c>
      <c r="CF95" s="111">
        <v>3.8157377999999999E-11</v>
      </c>
      <c r="CG95" s="111">
        <v>3.6835368000000001E-9</v>
      </c>
      <c r="CH95" s="111">
        <v>1.9484789000000002E-6</v>
      </c>
      <c r="CI95" s="111">
        <v>5.2777752000000003E-10</v>
      </c>
      <c r="CJ95" s="111">
        <v>4.5131590999999999E-9</v>
      </c>
      <c r="CK95" s="111">
        <v>3.5360416000000002E-10</v>
      </c>
      <c r="CL95" s="111">
        <v>8.1660128999999999E-12</v>
      </c>
      <c r="CM95" s="111">
        <v>1.8571167000000002E-12</v>
      </c>
      <c r="CN95" s="111">
        <v>6.1911714000000002E-12</v>
      </c>
      <c r="CO95" s="111">
        <v>1.2428396E-12</v>
      </c>
      <c r="CP95" s="111">
        <v>3.1583726000000001E-9</v>
      </c>
      <c r="CQ95" s="111">
        <v>3.6774799999999998E-6</v>
      </c>
      <c r="CR95" s="111">
        <v>9.8806306999999993E-8</v>
      </c>
      <c r="CS95" s="111">
        <v>9.5132870000000003E-5</v>
      </c>
      <c r="CT95" s="111">
        <v>6.7074758999999998E-2</v>
      </c>
      <c r="CU95" s="111">
        <v>1.6370124000000001E-9</v>
      </c>
      <c r="CV95" s="111">
        <v>9.9548049E-12</v>
      </c>
      <c r="CW95" s="112">
        <v>4.4538534999999997E-16</v>
      </c>
    </row>
    <row r="96" spans="2:101" ht="12" customHeight="1" outlineLevel="1" x14ac:dyDescent="0.2">
      <c r="B96" s="104" t="s">
        <v>108</v>
      </c>
      <c r="C96" s="104" t="s">
        <v>121</v>
      </c>
      <c r="D96" s="2" t="s">
        <v>143</v>
      </c>
      <c r="E96" s="2" t="s">
        <v>145</v>
      </c>
      <c r="F96" s="105" t="s">
        <v>96</v>
      </c>
      <c r="G96" s="27" t="s">
        <v>1582</v>
      </c>
      <c r="H96" s="106" t="s">
        <v>128</v>
      </c>
      <c r="I96" s="107" t="s">
        <v>1577</v>
      </c>
      <c r="J96" s="108">
        <v>5.0812675600000006</v>
      </c>
      <c r="K96" s="109"/>
      <c r="L96" s="109"/>
      <c r="M96" s="110"/>
      <c r="N96" s="161"/>
      <c r="O96" s="1056"/>
      <c r="P96" s="117">
        <v>9.8833275948480009E-6</v>
      </c>
      <c r="Q96" s="111">
        <v>1.1013402250398733E-7</v>
      </c>
      <c r="R96" s="112">
        <v>6.9759675167999996E-2</v>
      </c>
      <c r="S96" s="1032">
        <v>1.1889767</v>
      </c>
      <c r="T96" s="1032">
        <v>1.5761478000000001E-5</v>
      </c>
      <c r="U96" s="1032">
        <v>4.5131054999999996E-3</v>
      </c>
      <c r="V96" s="1032">
        <v>4.2327974000000001E-3</v>
      </c>
      <c r="W96" s="1032">
        <v>4.4675449000000002E-3</v>
      </c>
      <c r="X96" s="1032">
        <v>4.2772612000000002E-3</v>
      </c>
      <c r="Y96" s="1032">
        <v>3.2344659999999997E-2</v>
      </c>
      <c r="Z96" s="1032">
        <v>8.2122130000000001E-4</v>
      </c>
      <c r="AA96" s="1032">
        <v>6.3765949000000001E-3</v>
      </c>
      <c r="AB96" s="1032">
        <v>0.20682755999999999</v>
      </c>
      <c r="AC96" s="1032">
        <v>1.047669E-2</v>
      </c>
      <c r="AD96" s="1032">
        <v>1.3367842E-2</v>
      </c>
      <c r="AE96" s="1032">
        <v>1.3008837000000001E-3</v>
      </c>
      <c r="AF96" s="1032">
        <v>26.085272</v>
      </c>
      <c r="AG96" s="1032">
        <v>11.126836000000001</v>
      </c>
      <c r="AH96" s="1032">
        <v>4.1206457000000002E-4</v>
      </c>
      <c r="AI96" s="1032">
        <v>0.16128665</v>
      </c>
      <c r="AJ96" s="1036">
        <v>7.3907173999999997E-4</v>
      </c>
      <c r="AK96" s="1077">
        <v>1.183368</v>
      </c>
      <c r="AL96" s="1078">
        <v>7.5696107999999993E-9</v>
      </c>
      <c r="AM96" s="1078">
        <v>9.2553710999999997E-3</v>
      </c>
      <c r="AN96" s="1078">
        <v>4.6528532000000003E-3</v>
      </c>
      <c r="AO96" s="1078">
        <v>6.2431264999999996E-3</v>
      </c>
      <c r="AP96" s="1078">
        <v>4.0783324000000003E-2</v>
      </c>
      <c r="AQ96" s="1078">
        <v>8.4717226999999999E-4</v>
      </c>
      <c r="AR96" s="1078">
        <v>2.3447537000000001E-2</v>
      </c>
      <c r="AS96" s="1078">
        <v>2.5286592E-3</v>
      </c>
      <c r="AT96" s="1078">
        <v>9.6495456999999996E-4</v>
      </c>
      <c r="AU96" s="1078">
        <v>8.8608613000000004E-4</v>
      </c>
      <c r="AV96" s="1078">
        <v>0.40953968000000002</v>
      </c>
      <c r="AW96" s="1078">
        <v>11.126833</v>
      </c>
      <c r="AX96" s="1078">
        <v>3.2043718999999999E-6</v>
      </c>
      <c r="AY96" s="1078">
        <v>-2.2022650999999999E-8</v>
      </c>
      <c r="AZ96" s="1078">
        <v>4.6989852999999998E-3</v>
      </c>
      <c r="BA96" s="1078">
        <v>0.16912851000000001</v>
      </c>
      <c r="BB96" s="1079">
        <v>7.4720858999999999E-4</v>
      </c>
      <c r="BC96" s="1035"/>
      <c r="BE96" s="113">
        <f t="array" ref="BE96">IFERROR(SUMIFS($CB96:$CW96,$CB$17:$CW$17,BE$17,$CB$18:$CW$18,BE$18)/SUMPRODUCT(($CB$18:$CW$18=BE$18)*ABS($CB96:$CW96)),"-")</f>
        <v>0.11170867194319482</v>
      </c>
      <c r="BF96" s="114">
        <f t="array" ref="BF96">IFERROR(SUMIFS($CB96:$CW96,$CB$17:$CW$17,BF$17,$CB$18:$CW$18,BF$18)/SUMPRODUCT(($CB$18:$CW$18=BF$18)*ABS($CB96:$CW96)),"-")</f>
        <v>8.466694157099519E-4</v>
      </c>
      <c r="BG96" s="114">
        <f t="array" ref="BG96">IFERROR(SUMIFS($CB96:$CW96,$CB$17:$CW$17,BG$17,$CB$18:$CW$18,BG$18)/SUMPRODUCT(($CB$18:$CW$18=BG$18)*ABS($CB96:$CW96)),"-")</f>
        <v>3.8803679865869928E-6</v>
      </c>
      <c r="BH96" s="114">
        <f t="array" ref="BH96">IFERROR(SUMIFS($CB96:$CW96,$CB$17:$CW$17,BH$17,$CB$18:$CW$18,BH$18)/SUMPRODUCT(($CB$18:$CW$18=BH$18)*ABS($CB96:$CW96)),"-")</f>
        <v>3.8973879627423604E-4</v>
      </c>
      <c r="BI96" s="114">
        <f t="array" ref="BI96">IFERROR(SUMIFS($CB96:$CW96,$CB$17:$CW$17,BI$17,$CB$18:$CW$18,BI$18)/SUMPRODUCT(($CB$18:$CW$18=BI$18)*ABS($CB96:$CW96)),"-")</f>
        <v>0.28437548720585787</v>
      </c>
      <c r="BJ96" s="114">
        <f t="array" ref="BJ96">IFERROR(SUMIFS($CB96:$CW96,$CB$17:$CW$17,BJ$17,$CB$18:$CW$18,BJ$18)/SUMPRODUCT(($CB$18:$CW$18=BJ$18)*ABS($CB96:$CW96)),"-")</f>
        <v>4.3756287125950612E-4</v>
      </c>
      <c r="BK96" s="114">
        <f t="array" ref="BK96">IFERROR(SUMIFS($CB96:$CW96,$CB$17:$CW$17,BK$17,$CB$18:$CW$18,BK$18)/SUMPRODUCT(($CB$18:$CW$18=BK$18)*ABS($CB96:$CW96)),"-")</f>
        <v>0.60207197858157357</v>
      </c>
      <c r="BL96" s="114">
        <f t="array" ref="BL96">IFERROR(SUMIFS($CB96:$CW96,$CB$17:$CW$17,BL$17,$CB$18:$CW$18,BL$18)/SUMPRODUCT(($CB$18:$CW$18=BL$18)*ABS($CB96:$CW96)),"-")</f>
        <v>1.6601081814340423E-4</v>
      </c>
      <c r="BM96" s="115"/>
      <c r="BN96" s="114">
        <f t="array" ref="BN96">IFERROR(SUMIFS($CB96:$CW96,$CB$17:$CW$17,BN$17,$CB$18:$CW$18,BN$18)/SUMPRODUCT(($CB$18:$CW$18=BN$18)*ABS($CB96:$CW96)),"-")</f>
        <v>3.0223656456999821E-2</v>
      </c>
      <c r="BO96" s="114">
        <f t="array" ref="BO96">IFERROR(SUMIFS($CB96:$CW96,$CB$17:$CW$17,BO$17,$CB$18:$CW$18,BO$18)/SUMPRODUCT(($CB$18:$CW$18=BO$18)*ABS($CB96:$CW96)),"-")</f>
        <v>5.0099454959980578E-3</v>
      </c>
      <c r="BP96" s="114">
        <f t="array" ref="BP96">IFERROR(SUMIFS($CB96:$CW96,$CB$17:$CW$17,BP$17,$CB$18:$CW$18,BP$18)/SUMPRODUCT(($CB$18:$CW$18=BP$18)*ABS($CB96:$CW96)),"-")</f>
        <v>6.2328025835535775E-2</v>
      </c>
      <c r="BQ96" s="114">
        <f t="array" ref="BQ96">IFERROR(SUMIFS($CB96:$CW96,$CB$17:$CW$17,BQ$17,$CB$18:$CW$18,BQ$18)/SUMPRODUCT(($CB$18:$CW$18=BQ$18)*ABS($CB96:$CW96)),"-")</f>
        <v>5.0032635462856209E-3</v>
      </c>
      <c r="BR96" s="114">
        <f t="array" ref="BR96">IFERROR(SUMIFS($CB96:$CW96,$CB$17:$CW$17,BR$17,$CB$18:$CW$18,BR$18)/SUMPRODUCT(($CB$18:$CW$18=BR$18)*ABS($CB96:$CW96)),"-")</f>
        <v>9.8367069082651358E-5</v>
      </c>
      <c r="BS96" s="114">
        <f t="array" ref="BS96">IFERROR(SUMIFS($CB96:$CW96,$CB$17:$CW$17,BS$17,$CB$18:$CW$18,BS$18)/SUMPRODUCT(($CB$18:$CW$18=BS$18)*ABS($CB96:$CW96)),"-")</f>
        <v>2.1409323353413646E-5</v>
      </c>
      <c r="BT96" s="114">
        <f t="array" ref="BT96">IFERROR(SUMIFS($CB96:$CW96,$CB$17:$CW$17,BT$17,$CB$18:$CW$18,BT$18)/SUMPRODUCT(($CB$18:$CW$18=BT$18)*ABS($CB96:$CW96)),"-")</f>
        <v>6.5901925989647988E-5</v>
      </c>
      <c r="BU96" s="114">
        <f t="array" ref="BU96">IFERROR(SUMIFS($CB96:$CW96,$CB$17:$CW$17,BU$17,$CB$18:$CW$18,BU$18)/SUMPRODUCT(($CB$18:$CW$18=BU$18)*ABS($CB96:$CW96)),"-")</f>
        <v>1.2748454728866075E-5</v>
      </c>
      <c r="BV96" s="114">
        <f t="array" ref="BV96">IFERROR(SUMIFS($CB96:$CW96,$CB$17:$CW$17,BV$17,$CB$18:$CW$18,BV$18)/SUMPRODUCT(($CB$18:$CW$18=BV$18)*ABS($CB96:$CW96)),"-")</f>
        <v>0.89714608395805007</v>
      </c>
      <c r="BW96" s="114">
        <f t="array" ref="BW96">IFERROR(SUMIFS($CB96:$CW96,$CB$17:$CW$17,BW$17,$CB$18:$CW$18,BW$18)/SUMPRODUCT(($CB$18:$CW$18=BW$18)*ABS($CB96:$CW96)),"-")</f>
        <v>9.0597933976022322E-5</v>
      </c>
      <c r="BX96" s="115"/>
      <c r="BY96" s="114">
        <f t="array" ref="BY96">IFERROR(SUMIFS($CB96:$CW96,$CB$17:$CW$17,BY$17,$CB$18:$CW$18,BY$18)/SUMPRODUCT(($CB$18:$CW$18=BY$18)*ABS($CB96:$CW96)),"-")</f>
        <v>1.3657197767988323E-3</v>
      </c>
      <c r="BZ96" s="116">
        <f t="array" ref="BZ96">IFERROR(SUMIFS($CB96:$CW96,$CB$17:$CW$17,BZ$17,$CB$18:$CW$18,BZ$18)/SUMPRODUCT(($CB$18:$CW$18=BZ$18)*ABS($CB96:$CW96)),"-")</f>
        <v>0.99863428022320122</v>
      </c>
      <c r="CB96" s="117">
        <v>1.1040534000000001E-6</v>
      </c>
      <c r="CC96" s="111">
        <v>3.3285619000000001E-9</v>
      </c>
      <c r="CD96" s="111">
        <v>9.0960388000000004E-14</v>
      </c>
      <c r="CE96" s="111">
        <v>8.3679112000000007E-9</v>
      </c>
      <c r="CF96" s="111">
        <v>3.8350948E-11</v>
      </c>
      <c r="CG96" s="111">
        <v>3.8519162000000001E-9</v>
      </c>
      <c r="CH96" s="111">
        <v>2.8105760999999999E-6</v>
      </c>
      <c r="CI96" s="111">
        <v>5.5176545000000005E-10</v>
      </c>
      <c r="CJ96" s="111">
        <v>6.8644362000000004E-9</v>
      </c>
      <c r="CK96" s="111">
        <v>5.5102954000000003E-10</v>
      </c>
      <c r="CL96" s="111">
        <v>1.0833561E-11</v>
      </c>
      <c r="CM96" s="111">
        <v>2.3578949000000002E-12</v>
      </c>
      <c r="CN96" s="111">
        <v>7.2580441999999996E-12</v>
      </c>
      <c r="CO96" s="111">
        <v>1.4040385999999999E-12</v>
      </c>
      <c r="CP96" s="111">
        <v>4.3245771999999999E-9</v>
      </c>
      <c r="CQ96" s="111">
        <v>5.9504746000000002E-6</v>
      </c>
      <c r="CR96" s="111">
        <v>9.8806306999999993E-8</v>
      </c>
      <c r="CS96" s="111">
        <v>9.5272167999999998E-5</v>
      </c>
      <c r="CT96" s="111">
        <v>6.9664403E-2</v>
      </c>
      <c r="CU96" s="111">
        <v>1.6407393E-9</v>
      </c>
      <c r="CV96" s="111">
        <v>9.9774684999999998E-12</v>
      </c>
      <c r="CW96" s="112">
        <v>4.4639933000000004E-16</v>
      </c>
    </row>
    <row r="97" spans="2:101" ht="12" customHeight="1" outlineLevel="1" x14ac:dyDescent="0.2">
      <c r="B97" s="88" t="s">
        <v>109</v>
      </c>
      <c r="C97" s="88" t="s">
        <v>121</v>
      </c>
      <c r="D97" s="89" t="s">
        <v>143</v>
      </c>
      <c r="E97" s="89" t="s">
        <v>146</v>
      </c>
      <c r="F97" s="90" t="s">
        <v>92</v>
      </c>
      <c r="G97" s="18" t="s">
        <v>126</v>
      </c>
      <c r="H97" s="91" t="s">
        <v>127</v>
      </c>
      <c r="I97" s="92" t="s">
        <v>127</v>
      </c>
      <c r="J97" s="93">
        <v>6.4197011599999998</v>
      </c>
      <c r="K97" s="94"/>
      <c r="L97" s="94"/>
      <c r="M97" s="95"/>
      <c r="N97" s="145"/>
      <c r="O97" s="1055"/>
      <c r="P97" s="103">
        <v>2.443824456234E-6</v>
      </c>
      <c r="Q97" s="97">
        <v>2.6996409944906741E-8</v>
      </c>
      <c r="R97" s="98">
        <v>3.5676733200000005E-2</v>
      </c>
      <c r="S97" s="1033">
        <v>0.92668647000000004</v>
      </c>
      <c r="T97" s="1033">
        <v>2.1797956999999999E-5</v>
      </c>
      <c r="U97" s="1033">
        <v>2.9445124E-3</v>
      </c>
      <c r="V97" s="1033">
        <v>1.4042223E-3</v>
      </c>
      <c r="W97" s="1033">
        <v>1.534515E-3</v>
      </c>
      <c r="X97" s="1033">
        <v>1.4159063000000001E-3</v>
      </c>
      <c r="Y97" s="1033">
        <v>1.1168034E-2</v>
      </c>
      <c r="Z97" s="1033">
        <v>2.9405186999999997E-4</v>
      </c>
      <c r="AA97" s="1033">
        <v>4.7400586000000003E-3</v>
      </c>
      <c r="AB97" s="1033">
        <v>5.0412160999999998</v>
      </c>
      <c r="AC97" s="1033">
        <v>0.21235058000000001</v>
      </c>
      <c r="AD97" s="1033">
        <v>4.5216981000000003E-2</v>
      </c>
      <c r="AE97" s="1033">
        <v>3.5620074000000001E-4</v>
      </c>
      <c r="AF97" s="1033">
        <v>2.6427784000000001</v>
      </c>
      <c r="AG97" s="1033">
        <v>2.4133570999999998</v>
      </c>
      <c r="AH97" s="1033">
        <v>6.7950734000000004E-4</v>
      </c>
      <c r="AI97" s="1033">
        <v>9.1482857000000001E-2</v>
      </c>
      <c r="AJ97" s="1034">
        <v>2.9876612000000001E-4</v>
      </c>
      <c r="AK97" s="1074">
        <v>0.92213526000000001</v>
      </c>
      <c r="AL97" s="1075">
        <v>4.9396968E-9</v>
      </c>
      <c r="AM97" s="1075">
        <v>6.1894636000000003E-3</v>
      </c>
      <c r="AN97" s="1075">
        <v>1.1011409000000001E-3</v>
      </c>
      <c r="AO97" s="1075">
        <v>2.0356980999999999E-3</v>
      </c>
      <c r="AP97" s="1075">
        <v>1.3815978E-2</v>
      </c>
      <c r="AQ97" s="1075">
        <v>3.0366103999999999E-4</v>
      </c>
      <c r="AR97" s="1075">
        <v>1.6791706E-2</v>
      </c>
      <c r="AS97" s="1075">
        <v>3.1264789000000001E-2</v>
      </c>
      <c r="AT97" s="1075">
        <v>8.4206404999999998E-3</v>
      </c>
      <c r="AU97" s="1075">
        <v>2.6578691999999998E-3</v>
      </c>
      <c r="AV97" s="1075">
        <v>0.11499400999999999</v>
      </c>
      <c r="AW97" s="1075">
        <v>2.4133505999999998</v>
      </c>
      <c r="AX97" s="1075">
        <v>6.4874111999999999E-6</v>
      </c>
      <c r="AY97" s="1075">
        <v>-4.5598178E-8</v>
      </c>
      <c r="AZ97" s="1075">
        <v>1.1181254999999999E-3</v>
      </c>
      <c r="BA97" s="1075">
        <v>9.3281803999999996E-2</v>
      </c>
      <c r="BB97" s="1076">
        <v>3.1576161999999998E-4</v>
      </c>
      <c r="BC97" s="1035"/>
      <c r="BE97" s="99">
        <f t="array" ref="BE97">IFERROR(SUMIFS($CB97:$CW97,$CB$17:$CW$17,BE$17,$CB$18:$CW$18,BE$18)/SUMPRODUCT(($CB$18:$CW$18=BE$18)*ABS($CB97:$CW97)),"-")</f>
        <v>0.35227276157415138</v>
      </c>
      <c r="BF97" s="100">
        <f t="array" ref="BF97">IFERROR(SUMIFS($CB97:$CW97,$CB$17:$CW$17,BF$17,$CB$18:$CW$18,BF$18)/SUMPRODUCT(($CB$18:$CW$18=BF$18)*ABS($CB97:$CW97)),"-")</f>
        <v>4.7355009360344549E-3</v>
      </c>
      <c r="BG97" s="100">
        <f t="array" ref="BG97">IFERROR(SUMIFS($CB97:$CW97,$CB$17:$CW$17,BG$17,$CB$18:$CW$18,BG$18)/SUMPRODUCT(($CB$18:$CW$18=BG$18)*ABS($CB97:$CW97)),"-")</f>
        <v>1.0238642115301002E-5</v>
      </c>
      <c r="BH97" s="100">
        <f t="array" ref="BH97">IFERROR(SUMIFS($CB97:$CW97,$CB$17:$CW$17,BH$17,$CB$18:$CW$18,BH$18)/SUMPRODUCT(($CB$18:$CW$18=BH$18)*ABS($CB97:$CW97)),"-")</f>
        <v>5.2263111482574686E-4</v>
      </c>
      <c r="BI97" s="100">
        <f t="array" ref="BI97">IFERROR(SUMIFS($CB97:$CW97,$CB$17:$CW$17,BI$17,$CB$18:$CW$18,BI$18)/SUMPRODUCT(($CB$18:$CW$18=BI$18)*ABS($CB97:$CW97)),"-")</f>
        <v>0.39501941620129422</v>
      </c>
      <c r="BJ97" s="100">
        <f t="array" ref="BJ97">IFERROR(SUMIFS($CB97:$CW97,$CB$17:$CW$17,BJ$17,$CB$18:$CW$18,BJ$18)/SUMPRODUCT(($CB$18:$CW$18=BJ$18)*ABS($CB97:$CW97)),"-")</f>
        <v>4.84446539103887E-4</v>
      </c>
      <c r="BK97" s="100">
        <f t="array" ref="BK97">IFERROR(SUMIFS($CB97:$CW97,$CB$17:$CW$17,BK$17,$CB$18:$CW$18,BK$18)/SUMPRODUCT(($CB$18:$CW$18=BK$18)*ABS($CB97:$CW97)),"-")</f>
        <v>0.24668360219662033</v>
      </c>
      <c r="BL97" s="100">
        <f t="array" ref="BL97">IFERROR(SUMIFS($CB97:$CW97,$CB$17:$CW$17,BL$17,$CB$18:$CW$18,BL$18)/SUMPRODUCT(($CB$18:$CW$18=BL$18)*ABS($CB97:$CW97)),"-")</f>
        <v>2.7140279585470019E-4</v>
      </c>
      <c r="BM97" s="101"/>
      <c r="BN97" s="100">
        <f t="array" ref="BN97">IFERROR(SUMIFS($CB97:$CW97,$CB$17:$CW$17,BN$17,$CB$18:$CW$18,BN$18)/SUMPRODUCT(($CB$18:$CW$18=BN$18)*ABS($CB97:$CW97)),"-")</f>
        <v>9.6086868670528375E-2</v>
      </c>
      <c r="BO97" s="100">
        <f t="array" ref="BO97">IFERROR(SUMIFS($CB97:$CW97,$CB$17:$CW$17,BO$17,$CB$18:$CW$18,BO$18)/SUMPRODUCT(($CB$18:$CW$18=BO$18)*ABS($CB97:$CW97)),"-")</f>
        <v>6.7619828107714939E-3</v>
      </c>
      <c r="BP97" s="100">
        <f t="array" ref="BP97">IFERROR(SUMIFS($CB97:$CW97,$CB$17:$CW$17,BP$17,$CB$18:$CW$18,BP$18)/SUMPRODUCT(($CB$18:$CW$18=BP$18)*ABS($CB97:$CW97)),"-")</f>
        <v>8.7795158868787429E-2</v>
      </c>
      <c r="BQ97" s="100">
        <f t="array" ref="BQ97">IFERROR(SUMIFS($CB97:$CW97,$CB$17:$CW$17,BQ$17,$CB$18:$CW$18,BQ$18)/SUMPRODUCT(($CB$18:$CW$18=BQ$18)*ABS($CB97:$CW97)),"-")</f>
        <v>7.3085695617548007E-3</v>
      </c>
      <c r="BR97" s="100">
        <f t="array" ref="BR97">IFERROR(SUMIFS($CB97:$CW97,$CB$17:$CW$17,BR$17,$CB$18:$CW$18,BR$18)/SUMPRODUCT(($CB$18:$CW$18=BR$18)*ABS($CB97:$CW97)),"-")</f>
        <v>2.983046937142597E-4</v>
      </c>
      <c r="BS97" s="100">
        <f t="array" ref="BS97">IFERROR(SUMIFS($CB97:$CW97,$CB$17:$CW$17,BS$17,$CB$18:$CW$18,BS$18)/SUMPRODUCT(($CB$18:$CW$18=BS$18)*ABS($CB97:$CW97)),"-")</f>
        <v>2.1284903110178528E-3</v>
      </c>
      <c r="BT97" s="100">
        <f t="array" ref="BT97">IFERROR(SUMIFS($CB97:$CW97,$CB$17:$CW$17,BT$17,$CB$18:$CW$18,BT$18)/SUMPRODUCT(($CB$18:$CW$18=BT$18)*ABS($CB97:$CW97)),"-")</f>
        <v>5.4635983192212389E-3</v>
      </c>
      <c r="BU97" s="100">
        <f t="array" ref="BU97">IFERROR(SUMIFS($CB97:$CW97,$CB$17:$CW$17,BU$17,$CB$18:$CW$18,BU$18)/SUMPRODUCT(($CB$18:$CW$18=BU$18)*ABS($CB97:$CW97)),"-")</f>
        <v>1.7573195879310051E-4</v>
      </c>
      <c r="BV97" s="100">
        <f t="array" ref="BV97">IFERROR(SUMIFS($CB97:$CW97,$CB$17:$CW$17,BV$17,$CB$18:$CW$18,BV$18)/SUMPRODUCT(($CB$18:$CW$18=BV$18)*ABS($CB97:$CW97)),"-")</f>
        <v>0.79383188519268988</v>
      </c>
      <c r="BW97" s="100">
        <f t="array" ref="BW97">IFERROR(SUMIFS($CB97:$CW97,$CB$17:$CW$17,BW$17,$CB$18:$CW$18,BW$18)/SUMPRODUCT(($CB$18:$CW$18=BW$18)*ABS($CB97:$CW97)),"-")</f>
        <v>1.4940961272152345E-4</v>
      </c>
      <c r="BX97" s="101"/>
      <c r="BY97" s="100">
        <f t="array" ref="BY97">IFERROR(SUMIFS($CB97:$CW97,$CB$17:$CW$17,BY$17,$CB$18:$CW$18,BY$18)/SUMPRODUCT(($CB$18:$CW$18=BY$18)*ABS($CB97:$CW97)),"-")</f>
        <v>4.4027629749463721E-3</v>
      </c>
      <c r="BZ97" s="102">
        <f t="array" ref="BZ97">IFERROR(SUMIFS($CB97:$CW97,$CB$17:$CW$17,BZ$17,$CB$18:$CW$18,BZ$18)/SUMPRODUCT(($CB$18:$CW$18=BZ$18)*ABS($CB97:$CW97)),"-")</f>
        <v>0.99559723702505354</v>
      </c>
      <c r="CB97" s="103">
        <v>8.6089278999999998E-7</v>
      </c>
      <c r="CC97" s="97">
        <v>2.5939295999999998E-9</v>
      </c>
      <c r="CD97" s="97">
        <v>7.0896951999999999E-14</v>
      </c>
      <c r="CE97" s="97">
        <v>1.1572733E-8</v>
      </c>
      <c r="CF97" s="97">
        <v>2.5021444000000001E-11</v>
      </c>
      <c r="CG97" s="97">
        <v>1.2772187000000001E-9</v>
      </c>
      <c r="CH97" s="97">
        <v>9.6535810999999998E-7</v>
      </c>
      <c r="CI97" s="97">
        <v>1.8254925999999999E-10</v>
      </c>
      <c r="CJ97" s="97">
        <v>2.3701541000000002E-9</v>
      </c>
      <c r="CK97" s="97">
        <v>1.9730514E-10</v>
      </c>
      <c r="CL97" s="97">
        <v>8.0531558E-12</v>
      </c>
      <c r="CM97" s="97">
        <v>5.7461596999999999E-11</v>
      </c>
      <c r="CN97" s="97">
        <v>1.4749754000000001E-10</v>
      </c>
      <c r="CO97" s="97">
        <v>4.7441320000000002E-12</v>
      </c>
      <c r="CP97" s="97">
        <v>1.1839022999999999E-9</v>
      </c>
      <c r="CQ97" s="97">
        <v>6.0285142000000004E-7</v>
      </c>
      <c r="CR97" s="97">
        <v>2.1430611E-8</v>
      </c>
      <c r="CS97" s="97">
        <v>1.5707620000000001E-4</v>
      </c>
      <c r="CT97" s="97">
        <v>3.5519657000000003E-2</v>
      </c>
      <c r="CU97" s="97">
        <v>6.6326079000000005E-10</v>
      </c>
      <c r="CV97" s="97">
        <v>4.0333427000000002E-12</v>
      </c>
      <c r="CW97" s="98">
        <v>1.8045473999999999E-16</v>
      </c>
    </row>
    <row r="98" spans="2:101" ht="12" customHeight="1" outlineLevel="1" x14ac:dyDescent="0.2">
      <c r="B98" s="104" t="s">
        <v>109</v>
      </c>
      <c r="C98" s="104" t="s">
        <v>121</v>
      </c>
      <c r="D98" s="2" t="s">
        <v>143</v>
      </c>
      <c r="E98" s="2" t="s">
        <v>146</v>
      </c>
      <c r="F98" s="105" t="s">
        <v>122</v>
      </c>
      <c r="G98" s="27" t="s">
        <v>1579</v>
      </c>
      <c r="H98" s="106" t="s">
        <v>128</v>
      </c>
      <c r="I98" s="107" t="s">
        <v>129</v>
      </c>
      <c r="J98" s="108">
        <v>6.4197011599999998</v>
      </c>
      <c r="K98" s="109"/>
      <c r="L98" s="109"/>
      <c r="M98" s="110"/>
      <c r="N98" s="161"/>
      <c r="O98" s="1056"/>
      <c r="P98" s="117">
        <v>5.8539787406100009E-7</v>
      </c>
      <c r="Q98" s="111">
        <v>3.2618406313972996E-8</v>
      </c>
      <c r="R98" s="112">
        <v>2.0254509628E-2</v>
      </c>
      <c r="S98" s="1032">
        <v>0.40315507</v>
      </c>
      <c r="T98" s="1032">
        <v>4.9594073000000001E-6</v>
      </c>
      <c r="U98" s="1032">
        <v>1.4184312E-3</v>
      </c>
      <c r="V98" s="1032">
        <v>1.2059135E-3</v>
      </c>
      <c r="W98" s="1032">
        <v>3.8495792000000002E-4</v>
      </c>
      <c r="X98" s="1032">
        <v>1.2194227E-3</v>
      </c>
      <c r="Y98" s="1032">
        <v>1.9082700999999999E-3</v>
      </c>
      <c r="Z98" s="1032">
        <v>3.5607481999999998E-5</v>
      </c>
      <c r="AA98" s="1032">
        <v>2.068814E-3</v>
      </c>
      <c r="AB98" s="1032">
        <v>3.0415897000000001E-2</v>
      </c>
      <c r="AC98" s="1032">
        <v>1.4546902000000001E-3</v>
      </c>
      <c r="AD98" s="1032">
        <v>2.1336520999999998E-3</v>
      </c>
      <c r="AE98" s="1032">
        <v>1.3292018999999999E-4</v>
      </c>
      <c r="AF98" s="1032">
        <v>-0.15679736999999999</v>
      </c>
      <c r="AG98" s="1032">
        <v>3.4792171000000001</v>
      </c>
      <c r="AH98" s="1032">
        <v>1.3006163999999999E-4</v>
      </c>
      <c r="AI98" s="1032">
        <v>4.7016210000000003E-2</v>
      </c>
      <c r="AJ98" s="1036">
        <v>2.3149503000000001E-4</v>
      </c>
      <c r="AK98" s="1077">
        <v>0.40149077</v>
      </c>
      <c r="AL98" s="1078">
        <v>2.3792436000000001E-9</v>
      </c>
      <c r="AM98" s="1078">
        <v>2.9095006E-3</v>
      </c>
      <c r="AN98" s="1078">
        <v>1.3316853999999999E-3</v>
      </c>
      <c r="AO98" s="1078">
        <v>5.9144552999999996E-4</v>
      </c>
      <c r="AP98" s="1078">
        <v>2.4838454999999999E-3</v>
      </c>
      <c r="AQ98" s="1078">
        <v>4.3691228000000003E-5</v>
      </c>
      <c r="AR98" s="1078">
        <v>7.2010764999999996E-3</v>
      </c>
      <c r="AS98" s="1078">
        <v>1.5097479999999999E-5</v>
      </c>
      <c r="AT98" s="1078">
        <v>1.9041005999999999E-4</v>
      </c>
      <c r="AU98" s="1078">
        <v>1.9707013999999999E-4</v>
      </c>
      <c r="AV98" s="1078">
        <v>8.7722453000000002E-3</v>
      </c>
      <c r="AW98" s="1078">
        <v>3.4792160999999999</v>
      </c>
      <c r="AX98" s="1078">
        <v>1.028187E-6</v>
      </c>
      <c r="AY98" s="1078">
        <v>-7.0664089999999999E-9</v>
      </c>
      <c r="AZ98" s="1078">
        <v>1.4893491000000001E-3</v>
      </c>
      <c r="BA98" s="1078">
        <v>4.9337025999999999E-2</v>
      </c>
      <c r="BB98" s="1079">
        <v>2.3410590999999999E-4</v>
      </c>
      <c r="BC98" s="1035"/>
      <c r="BE98" s="113">
        <f t="array" ref="BE98">IFERROR(SUMIFS($CB98:$CW98,$CB$17:$CW$17,BE$17,$CB$18:$CW$18,BE$18)/SUMPRODUCT(($CB$18:$CW$18=BE$18)*ABS($CB98:$CW98)),"-")</f>
        <v>0.56983146522536321</v>
      </c>
      <c r="BF98" s="114">
        <f t="array" ref="BF98">IFERROR(SUMIFS($CB98:$CW98,$CB$17:$CW$17,BF$17,$CB$18:$CW$18,BF$18)/SUMPRODUCT(($CB$18:$CW$18=BF$18)*ABS($CB98:$CW98)),"-")</f>
        <v>4.007997233643942E-3</v>
      </c>
      <c r="BG98" s="114">
        <f t="array" ref="BG98">IFERROR(SUMIFS($CB98:$CW98,$CB$17:$CW$17,BG$17,$CB$18:$CW$18,BG$18)/SUMPRODUCT(($CB$18:$CW$18=BG$18)*ABS($CB98:$CW98)),"-")</f>
        <v>1.8347901299614121E-5</v>
      </c>
      <c r="BH98" s="114">
        <f t="array" ref="BH98">IFERROR(SUMIFS($CB98:$CW98,$CB$17:$CW$17,BH$17,$CB$18:$CW$18,BH$18)/SUMPRODUCT(($CB$18:$CW$18=BH$18)*ABS($CB98:$CW98)),"-")</f>
        <v>1.6704901946956914E-3</v>
      </c>
      <c r="BI98" s="114">
        <f t="array" ref="BI98">IFERROR(SUMIFS($CB98:$CW98,$CB$17:$CW$17,BI$17,$CB$18:$CW$18,BI$18)/SUMPRODUCT(($CB$18:$CW$18=BI$18)*ABS($CB98:$CW98)),"-")</f>
        <v>0.36856923529609431</v>
      </c>
      <c r="BJ98" s="114">
        <f t="array" ref="BJ98">IFERROR(SUMIFS($CB98:$CW98,$CB$17:$CW$17,BJ$17,$CB$18:$CW$18,BJ$18)/SUMPRODUCT(($CB$18:$CW$18=BJ$18)*ABS($CB98:$CW98)),"-")</f>
        <v>6.7243139709891302E-4</v>
      </c>
      <c r="BK98" s="114">
        <f t="array" ref="BK98">IFERROR(SUMIFS($CB98:$CW98,$CB$17:$CW$17,BK$17,$CB$18:$CW$18,BK$18)/SUMPRODUCT(($CB$18:$CW$18=BK$18)*ABS($CB98:$CW98)),"-")</f>
        <v>-5.4447734860651693E-2</v>
      </c>
      <c r="BL98" s="114">
        <f t="array" ref="BL98">IFERROR(SUMIFS($CB98:$CW98,$CB$17:$CW$17,BL$17,$CB$18:$CW$18,BL$18)/SUMPRODUCT(($CB$18:$CW$18=BL$18)*ABS($CB98:$CW98)),"-")</f>
        <v>7.8229789115264435E-4</v>
      </c>
      <c r="BM98" s="115"/>
      <c r="BN98" s="114">
        <f t="array" ref="BN98">IFERROR(SUMIFS($CB98:$CW98,$CB$17:$CW$17,BN$17,$CB$18:$CW$18,BN$18)/SUMPRODUCT(($CB$18:$CW$18=BN$18)*ABS($CB98:$CW98)),"-")</f>
        <v>3.4602697374779362E-2</v>
      </c>
      <c r="BO98" s="114">
        <f t="array" ref="BO98">IFERROR(SUMIFS($CB98:$CW98,$CB$17:$CW$17,BO$17,$CB$18:$CW$18,BO$18)/SUMPRODUCT(($CB$18:$CW$18=BO$18)*ABS($CB98:$CW98)),"-")</f>
        <v>4.8225866244303297E-3</v>
      </c>
      <c r="BP98" s="114">
        <f t="array" ref="BP98">IFERROR(SUMIFS($CB98:$CW98,$CB$17:$CW$17,BP$17,$CB$18:$CW$18,BP$18)/SUMPRODUCT(($CB$18:$CW$18=BP$18)*ABS($CB98:$CW98)),"-")</f>
        <v>1.2412056741918944E-2</v>
      </c>
      <c r="BQ98" s="114">
        <f t="array" ref="BQ98">IFERROR(SUMIFS($CB98:$CW98,$CB$17:$CW$17,BQ$17,$CB$18:$CW$18,BQ$18)/SUMPRODUCT(($CB$18:$CW$18=BQ$18)*ABS($CB98:$CW98)),"-")</f>
        <v>7.3239375247362304E-4</v>
      </c>
      <c r="BR98" s="114">
        <f t="array" ref="BR98">IFERROR(SUMIFS($CB98:$CW98,$CB$17:$CW$17,BR$17,$CB$18:$CW$18,BR$18)/SUMPRODUCT(($CB$18:$CW$18=BR$18)*ABS($CB98:$CW98)),"-")</f>
        <v>1.0775591750766582E-4</v>
      </c>
      <c r="BS98" s="114">
        <f t="array" ref="BS98">IFERROR(SUMIFS($CB98:$CW98,$CB$17:$CW$17,BS$17,$CB$18:$CW$18,BS$18)/SUMPRODUCT(($CB$18:$CW$18=BS$18)*ABS($CB98:$CW98)),"-")</f>
        <v>1.0626603785100147E-5</v>
      </c>
      <c r="BT98" s="114">
        <f t="array" ref="BT98">IFERROR(SUMIFS($CB98:$CW98,$CB$17:$CW$17,BT$17,$CB$18:$CW$18,BT$18)/SUMPRODUCT(($CB$18:$CW$18=BT$18)*ABS($CB98:$CW98)),"-")</f>
        <v>3.0856105914924723E-5</v>
      </c>
      <c r="BU98" s="114">
        <f t="array" ref="BU98">IFERROR(SUMIFS($CB98:$CW98,$CB$17:$CW$17,BU$17,$CB$18:$CW$18,BU$18)/SUMPRODUCT(($CB$18:$CW$18=BU$18)*ABS($CB98:$CW98)),"-")</f>
        <v>6.8705238950928819E-6</v>
      </c>
      <c r="BV98" s="114">
        <f t="array" ref="BV98">IFERROR(SUMIFS($CB98:$CW98,$CB$17:$CW$17,BV$17,$CB$18:$CW$18,BV$18)/SUMPRODUCT(($CB$18:$CW$18=BV$18)*ABS($CB98:$CW98)),"-")</f>
        <v>0.94717834165812931</v>
      </c>
      <c r="BW98" s="114">
        <f t="array" ref="BW98">IFERROR(SUMIFS($CB98:$CW98,$CB$17:$CW$17,BW$17,$CB$18:$CW$18,BW$18)/SUMPRODUCT(($CB$18:$CW$18=BW$18)*ABS($CB98:$CW98)),"-")</f>
        <v>9.5814697165666899E-5</v>
      </c>
      <c r="BX98" s="115"/>
      <c r="BY98" s="114">
        <f t="array" ref="BY98">IFERROR(SUMIFS($CB98:$CW98,$CB$17:$CW$17,BY$17,$CB$18:$CW$18,BY$18)/SUMPRODUCT(($CB$18:$CW$18=BY$18)*ABS($CB98:$CW98)),"-")</f>
        <v>1.484638658367227E-3</v>
      </c>
      <c r="BZ98" s="116">
        <f t="array" ref="BZ98">IFERROR(SUMIFS($CB98:$CW98,$CB$17:$CW$17,BZ$17,$CB$18:$CW$18,BZ$18)/SUMPRODUCT(($CB$18:$CW$18=BZ$18)*ABS($CB98:$CW98)),"-")</f>
        <v>0.99851536134163277</v>
      </c>
      <c r="CB98" s="117">
        <v>3.7434231000000002E-7</v>
      </c>
      <c r="CC98" s="111">
        <v>1.1286540000000001E-9</v>
      </c>
      <c r="CD98" s="111">
        <v>3.0842530000000003E-14</v>
      </c>
      <c r="CE98" s="111">
        <v>2.6329942000000001E-9</v>
      </c>
      <c r="CF98" s="111">
        <v>1.2053381E-11</v>
      </c>
      <c r="CG98" s="111">
        <v>1.0974037000000001E-9</v>
      </c>
      <c r="CH98" s="111">
        <v>2.4212607999999998E-7</v>
      </c>
      <c r="CI98" s="111">
        <v>1.5730508999999999E-10</v>
      </c>
      <c r="CJ98" s="111">
        <v>4.0486150999999999E-10</v>
      </c>
      <c r="CK98" s="111">
        <v>2.3889517E-11</v>
      </c>
      <c r="CL98" s="111">
        <v>3.5148263000000002E-12</v>
      </c>
      <c r="CM98" s="111">
        <v>3.4662287999999998E-13</v>
      </c>
      <c r="CN98" s="111">
        <v>1.0064770000000001E-12</v>
      </c>
      <c r="CO98" s="111">
        <v>2.2410554000000001E-13</v>
      </c>
      <c r="CP98" s="111">
        <v>4.4174380999999998E-10</v>
      </c>
      <c r="CQ98" s="111">
        <v>-3.5768630000000002E-8</v>
      </c>
      <c r="CR98" s="111">
        <v>3.0895447999999997E-8</v>
      </c>
      <c r="CS98" s="111">
        <v>3.0070628E-5</v>
      </c>
      <c r="CT98" s="111">
        <v>2.0224439E-2</v>
      </c>
      <c r="CU98" s="111">
        <v>5.1391896999999998E-10</v>
      </c>
      <c r="CV98" s="111">
        <v>3.1251828999999999E-12</v>
      </c>
      <c r="CW98" s="112">
        <v>1.39823E-16</v>
      </c>
    </row>
    <row r="99" spans="2:101" ht="12" customHeight="1" outlineLevel="1" x14ac:dyDescent="0.2">
      <c r="B99" s="104" t="s">
        <v>109</v>
      </c>
      <c r="C99" s="104" t="s">
        <v>121</v>
      </c>
      <c r="D99" s="2" t="s">
        <v>143</v>
      </c>
      <c r="E99" s="2" t="s">
        <v>146</v>
      </c>
      <c r="F99" s="105" t="s">
        <v>93</v>
      </c>
      <c r="G99" s="27" t="s">
        <v>1578</v>
      </c>
      <c r="H99" s="106" t="s">
        <v>130</v>
      </c>
      <c r="I99" s="107" t="s">
        <v>129</v>
      </c>
      <c r="J99" s="108">
        <v>6.4197011599999998</v>
      </c>
      <c r="K99" s="109"/>
      <c r="L99" s="109"/>
      <c r="M99" s="110"/>
      <c r="N99" s="161"/>
      <c r="O99" s="1056"/>
      <c r="P99" s="117">
        <v>7.6837263214199995E-7</v>
      </c>
      <c r="Q99" s="111">
        <v>4.044009860959763E-8</v>
      </c>
      <c r="R99" s="112">
        <v>2.5111408366000003E-2</v>
      </c>
      <c r="S99" s="1032">
        <v>0.49982901000000002</v>
      </c>
      <c r="T99" s="1032">
        <v>6.1486405999999998E-6</v>
      </c>
      <c r="U99" s="1032">
        <v>1.7585617000000001E-3</v>
      </c>
      <c r="V99" s="1032">
        <v>1.4950836999999999E-3</v>
      </c>
      <c r="W99" s="1032">
        <v>4.7726829999999998E-4</v>
      </c>
      <c r="X99" s="1032">
        <v>1.5118321999999999E-3</v>
      </c>
      <c r="Y99" s="1032">
        <v>2.3658606999999998E-3</v>
      </c>
      <c r="Z99" s="1032">
        <v>4.4145922E-5</v>
      </c>
      <c r="AA99" s="1032">
        <v>2.564902E-3</v>
      </c>
      <c r="AB99" s="1032">
        <v>3.7709429000000003E-2</v>
      </c>
      <c r="AC99" s="1032">
        <v>1.8204259E-3</v>
      </c>
      <c r="AD99" s="1032">
        <v>2.6592816000000001E-3</v>
      </c>
      <c r="AE99" s="1032">
        <v>1.6959013999999999E-4</v>
      </c>
      <c r="AF99" s="1032">
        <v>-7.7188166000000001E-3</v>
      </c>
      <c r="AG99" s="1032">
        <v>4.3135104999999996</v>
      </c>
      <c r="AH99" s="1032">
        <v>1.6124957E-4</v>
      </c>
      <c r="AI99" s="1032">
        <v>5.8290387999999999E-2</v>
      </c>
      <c r="AJ99" s="1036">
        <v>2.8700602E-4</v>
      </c>
      <c r="AK99" s="1077">
        <v>0.49776561000000002</v>
      </c>
      <c r="AL99" s="1078">
        <v>2.9497706E-9</v>
      </c>
      <c r="AM99" s="1078">
        <v>3.6071797000000001E-3</v>
      </c>
      <c r="AN99" s="1078">
        <v>1.6510146999999999E-3</v>
      </c>
      <c r="AO99" s="1078">
        <v>7.3327028000000002E-4</v>
      </c>
      <c r="AP99" s="1078">
        <v>3.0794554000000002E-3</v>
      </c>
      <c r="AQ99" s="1078">
        <v>5.4168096999999999E-5</v>
      </c>
      <c r="AR99" s="1078">
        <v>8.9278472999999997E-3</v>
      </c>
      <c r="AS99" s="1078">
        <v>2.9834589000000001E-5</v>
      </c>
      <c r="AT99" s="1078">
        <v>2.3692036999999999E-4</v>
      </c>
      <c r="AU99" s="1078">
        <v>2.4477386999999999E-4</v>
      </c>
      <c r="AV99" s="1078">
        <v>1.3203065999999999E-2</v>
      </c>
      <c r="AW99" s="1078">
        <v>4.3135092000000004</v>
      </c>
      <c r="AX99" s="1078">
        <v>1.2747394E-6</v>
      </c>
      <c r="AY99" s="1078">
        <v>-8.7608874000000003E-9</v>
      </c>
      <c r="AZ99" s="1078">
        <v>1.8464852E-3</v>
      </c>
      <c r="BA99" s="1078">
        <v>6.1167720000000002E-2</v>
      </c>
      <c r="BB99" s="1079">
        <v>2.9024295999999998E-4</v>
      </c>
      <c r="BC99" s="1035"/>
      <c r="BE99" s="113">
        <f t="array" ref="BE99">IFERROR(SUMIFS($CB99:$CW99,$CB$17:$CW$17,BE$17,$CB$18:$CW$18,BE$18)/SUMPRODUCT(($CB$18:$CW$18=BE$18)*ABS($CB99:$CW99)),"-")</f>
        <v>0.60125637801440612</v>
      </c>
      <c r="BF99" s="114">
        <f t="array" ref="BF99">IFERROR(SUMIFS($CB99:$CW99,$CB$17:$CW$17,BF$17,$CB$18:$CW$18,BF$18)/SUMPRODUCT(($CB$18:$CW$18=BF$18)*ABS($CB99:$CW99)),"-")</f>
        <v>4.2290291446860119E-3</v>
      </c>
      <c r="BG99" s="114">
        <f t="array" ref="BG99">IFERROR(SUMIFS($CB99:$CW99,$CB$17:$CW$17,BG$17,$CB$18:$CW$18,BG$18)/SUMPRODUCT(($CB$18:$CW$18=BG$18)*ABS($CB99:$CW99)),"-")</f>
        <v>1.9359745550664522E-5</v>
      </c>
      <c r="BH99" s="114">
        <f t="array" ref="BH99">IFERROR(SUMIFS($CB99:$CW99,$CB$17:$CW$17,BH$17,$CB$18:$CW$18,BH$18)/SUMPRODUCT(($CB$18:$CW$18=BH$18)*ABS($CB99:$CW99)),"-")</f>
        <v>1.7626139300666102E-3</v>
      </c>
      <c r="BI99" s="114">
        <f t="array" ref="BI99">IFERROR(SUMIFS($CB99:$CW99,$CB$17:$CW$17,BI$17,$CB$18:$CW$18,BI$18)/SUMPRODUCT(($CB$18:$CW$18=BI$18)*ABS($CB99:$CW99)),"-")</f>
        <v>0.38889498552569879</v>
      </c>
      <c r="BJ99" s="114">
        <f t="array" ref="BJ99">IFERROR(SUMIFS($CB99:$CW99,$CB$17:$CW$17,BJ$17,$CB$18:$CW$18,BJ$18)/SUMPRODUCT(($CB$18:$CW$18=BJ$18)*ABS($CB99:$CW99)),"-")</f>
        <v>7.3018384270646366E-4</v>
      </c>
      <c r="BK99" s="114">
        <f t="array" ref="BK99">IFERROR(SUMIFS($CB99:$CW99,$CB$17:$CW$17,BK$17,$CB$18:$CW$18,BK$18)/SUMPRODUCT(($CB$18:$CW$18=BK$18)*ABS($CB99:$CW99)),"-")</f>
        <v>-2.2820099610032312E-3</v>
      </c>
      <c r="BL99" s="114">
        <f t="array" ref="BL99">IFERROR(SUMIFS($CB99:$CW99,$CB$17:$CW$17,BL$17,$CB$18:$CW$18,BL$18)/SUMPRODUCT(($CB$18:$CW$18=BL$18)*ABS($CB99:$CW99)),"-")</f>
        <v>8.2543983588209604E-4</v>
      </c>
      <c r="BM99" s="115"/>
      <c r="BN99" s="114">
        <f t="array" ref="BN99">IFERROR(SUMIFS($CB99:$CW99,$CB$17:$CW$17,BN$17,$CB$18:$CW$18,BN$18)/SUMPRODUCT(($CB$18:$CW$18=BN$18)*ABS($CB99:$CW99)),"-")</f>
        <v>3.4602686108037732E-2</v>
      </c>
      <c r="BO99" s="114">
        <f t="array" ref="BO99">IFERROR(SUMIFS($CB99:$CW99,$CB$17:$CW$17,BO$17,$CB$18:$CW$18,BO$18)/SUMPRODUCT(($CB$18:$CW$18=BO$18)*ABS($CB99:$CW99)),"-")</f>
        <v>4.822585174253621E-3</v>
      </c>
      <c r="BP99" s="114">
        <f t="array" ref="BP99">IFERROR(SUMIFS($CB99:$CW99,$CB$17:$CW$17,BP$17,$CB$18:$CW$18,BP$18)/SUMPRODUCT(($CB$18:$CW$18=BP$18)*ABS($CB99:$CW99)),"-")</f>
        <v>1.2412052820288469E-2</v>
      </c>
      <c r="BQ99" s="114">
        <f t="array" ref="BQ99">IFERROR(SUMIFS($CB99:$CW99,$CB$17:$CW$17,BQ$17,$CB$18:$CW$18,BQ$18)/SUMPRODUCT(($CB$18:$CW$18=BQ$18)*ABS($CB99:$CW99)),"-")</f>
        <v>7.3239351580044751E-4</v>
      </c>
      <c r="BR99" s="114">
        <f t="array" ref="BR99">IFERROR(SUMIFS($CB99:$CW99,$CB$17:$CW$17,BR$17,$CB$18:$CW$18,BR$18)/SUMPRODUCT(($CB$18:$CW$18=BR$18)*ABS($CB99:$CW99)),"-")</f>
        <v>1.0775588215222104E-4</v>
      </c>
      <c r="BS99" s="114">
        <f t="array" ref="BS99">IFERROR(SUMIFS($CB99:$CW99,$CB$17:$CW$17,BS$17,$CB$18:$CW$18,BS$18)/SUMPRODUCT(($CB$18:$CW$18=BS$18)*ABS($CB99:$CW99)),"-")</f>
        <v>1.0626600447952662E-5</v>
      </c>
      <c r="BT99" s="114">
        <f t="array" ref="BT99">IFERROR(SUMIFS($CB99:$CW99,$CB$17:$CW$17,BT$17,$CB$18:$CW$18,BT$18)/SUMPRODUCT(($CB$18:$CW$18=BT$18)*ABS($CB99:$CW99)),"-")</f>
        <v>3.1146741558663389E-5</v>
      </c>
      <c r="BU99" s="114">
        <f t="array" ref="BU99">IFERROR(SUMIFS($CB99:$CW99,$CB$17:$CW$17,BU$17,$CB$18:$CW$18,BU$18)/SUMPRODUCT(($CB$18:$CW$18=BU$18)*ABS($CB99:$CW99)),"-")</f>
        <v>6.9068602600714355E-6</v>
      </c>
      <c r="BV99" s="114">
        <f t="array" ref="BV99">IFERROR(SUMIFS($CB99:$CW99,$CB$17:$CW$17,BV$17,$CB$18:$CW$18,BV$18)/SUMPRODUCT(($CB$18:$CW$18=BV$18)*ABS($CB99:$CW99)),"-")</f>
        <v>0.94717803163094494</v>
      </c>
      <c r="BW99" s="114">
        <f t="array" ref="BW99">IFERROR(SUMIFS($CB99:$CW99,$CB$17:$CW$17,BW$17,$CB$18:$CW$18,BW$18)/SUMPRODUCT(($CB$18:$CW$18=BW$18)*ABS($CB99:$CW99)),"-")</f>
        <v>9.5814666255794094E-5</v>
      </c>
      <c r="BX99" s="115"/>
      <c r="BY99" s="114">
        <f t="array" ref="BY99">IFERROR(SUMIFS($CB99:$CW99,$CB$17:$CW$17,BY$17,$CB$18:$CW$18,BY$18)/SUMPRODUCT(($CB$18:$CW$18=BY$18)*ABS($CB99:$CW99)),"-")</f>
        <v>1.4846385936074262E-3</v>
      </c>
      <c r="BZ99" s="116">
        <f t="array" ref="BZ99">IFERROR(SUMIFS($CB99:$CW99,$CB$17:$CW$17,BZ$17,$CB$18:$CW$18,BZ$18)/SUMPRODUCT(($CB$18:$CW$18=BZ$18)*ABS($CB99:$CW99)),"-")</f>
        <v>0.99851536140639252</v>
      </c>
      <c r="CB99" s="117">
        <v>4.6410713999999999E-7</v>
      </c>
      <c r="CC99" s="111">
        <v>1.3992978E-9</v>
      </c>
      <c r="CD99" s="111">
        <v>3.8238366E-14</v>
      </c>
      <c r="CE99" s="111">
        <v>3.2643689E-9</v>
      </c>
      <c r="CF99" s="111">
        <v>1.4943702E-11</v>
      </c>
      <c r="CG99" s="111">
        <v>1.3605539E-9</v>
      </c>
      <c r="CH99" s="111">
        <v>3.0018631999999998E-7</v>
      </c>
      <c r="CI99" s="111">
        <v>1.9502581999999999E-10</v>
      </c>
      <c r="CJ99" s="111">
        <v>5.0194464000000002E-10</v>
      </c>
      <c r="CK99" s="111">
        <v>2.9618065999999999E-11</v>
      </c>
      <c r="CL99" s="111">
        <v>4.3576584999999998E-12</v>
      </c>
      <c r="CM99" s="111">
        <v>4.2974076999999999E-13</v>
      </c>
      <c r="CN99" s="111">
        <v>1.2595773E-12</v>
      </c>
      <c r="CO99" s="111">
        <v>2.7931410999999998E-13</v>
      </c>
      <c r="CP99" s="111">
        <v>5.6362568000000004E-10</v>
      </c>
      <c r="CQ99" s="111">
        <v>-1.7614734E-9</v>
      </c>
      <c r="CR99" s="111">
        <v>3.8303972999999998E-8</v>
      </c>
      <c r="CS99" s="111">
        <v>3.7281365999999999E-5</v>
      </c>
      <c r="CT99" s="111">
        <v>2.5074127000000002E-2</v>
      </c>
      <c r="CU99" s="111">
        <v>6.3715335999999999E-10</v>
      </c>
      <c r="CV99" s="111">
        <v>3.8745812000000001E-12</v>
      </c>
      <c r="CW99" s="112">
        <v>1.7335163E-16</v>
      </c>
    </row>
    <row r="100" spans="2:101" ht="12" customHeight="1" outlineLevel="1" x14ac:dyDescent="0.2">
      <c r="B100" s="104" t="s">
        <v>109</v>
      </c>
      <c r="C100" s="104" t="s">
        <v>121</v>
      </c>
      <c r="D100" s="2" t="s">
        <v>143</v>
      </c>
      <c r="E100" s="2" t="s">
        <v>146</v>
      </c>
      <c r="F100" s="105" t="s">
        <v>94</v>
      </c>
      <c r="G100" s="27" t="s">
        <v>1580</v>
      </c>
      <c r="H100" s="106" t="s">
        <v>131</v>
      </c>
      <c r="I100" s="107" t="s">
        <v>129</v>
      </c>
      <c r="J100" s="108">
        <v>6.4197011599999998</v>
      </c>
      <c r="K100" s="109"/>
      <c r="L100" s="109"/>
      <c r="M100" s="110"/>
      <c r="N100" s="161"/>
      <c r="O100" s="1056"/>
      <c r="P100" s="117">
        <v>4.6172719609599989E-7</v>
      </c>
      <c r="Q100" s="111">
        <v>2.7331734022404032E-8</v>
      </c>
      <c r="R100" s="112">
        <v>1.6971737897999998E-2</v>
      </c>
      <c r="S100" s="1032">
        <v>0.33781327</v>
      </c>
      <c r="T100" s="1032">
        <v>4.1556060000000002E-6</v>
      </c>
      <c r="U100" s="1032">
        <v>1.1885374000000001E-3</v>
      </c>
      <c r="V100" s="1032">
        <v>1.0104637999999999E-3</v>
      </c>
      <c r="W100" s="1032">
        <v>3.2256545000000002E-4</v>
      </c>
      <c r="X100" s="1032">
        <v>1.0217834E-3</v>
      </c>
      <c r="Y100" s="1032">
        <v>1.5989851000000001E-3</v>
      </c>
      <c r="Z100" s="1032">
        <v>2.9836359999999998E-5</v>
      </c>
      <c r="AA100" s="1032">
        <v>1.7335088E-3</v>
      </c>
      <c r="AB100" s="1032">
        <v>2.5486208E-2</v>
      </c>
      <c r="AC100" s="1032">
        <v>1.2074905E-3</v>
      </c>
      <c r="AD100" s="1032">
        <v>1.7783803999999999E-3</v>
      </c>
      <c r="AE100" s="1032">
        <v>1.0813522E-4</v>
      </c>
      <c r="AF100" s="1032">
        <v>-0.25755173999999997</v>
      </c>
      <c r="AG100" s="1032">
        <v>2.9153191999999999</v>
      </c>
      <c r="AH100" s="1032">
        <v>1.0898176E-4</v>
      </c>
      <c r="AI100" s="1032">
        <v>3.9396006999999997E-2</v>
      </c>
      <c r="AJ100" s="1036">
        <v>1.9397522E-4</v>
      </c>
      <c r="AK100" s="1077">
        <v>0.33641871000000001</v>
      </c>
      <c r="AL100" s="1078">
        <v>1.9936251E-9</v>
      </c>
      <c r="AM100" s="1078">
        <v>2.4379401E-3</v>
      </c>
      <c r="AN100" s="1078">
        <v>1.115851E-3</v>
      </c>
      <c r="AO100" s="1078">
        <v>4.9558635000000002E-4</v>
      </c>
      <c r="AP100" s="1078">
        <v>2.0812736E-3</v>
      </c>
      <c r="AQ100" s="1078">
        <v>3.6609924000000002E-5</v>
      </c>
      <c r="AR100" s="1078">
        <v>6.0339542000000003E-3</v>
      </c>
      <c r="AS100" s="1078">
        <v>5.1371411999999999E-6</v>
      </c>
      <c r="AT100" s="1078">
        <v>1.5897382999999999E-4</v>
      </c>
      <c r="AU100" s="1078">
        <v>1.6482726E-4</v>
      </c>
      <c r="AV100" s="1078">
        <v>5.7775531999999996E-3</v>
      </c>
      <c r="AW100" s="1078">
        <v>2.9153183999999999</v>
      </c>
      <c r="AX100" s="1078">
        <v>8.6154243E-7</v>
      </c>
      <c r="AY100" s="1078">
        <v>-5.9211130000000002E-9</v>
      </c>
      <c r="AZ100" s="1078">
        <v>1.2479612E-3</v>
      </c>
      <c r="BA100" s="1078">
        <v>4.1340673000000001E-2</v>
      </c>
      <c r="BB100" s="1079">
        <v>1.9616294000000001E-4</v>
      </c>
      <c r="BC100" s="1035"/>
      <c r="BE100" s="113">
        <f t="array" ref="BE100">IFERROR(SUMIFS($CB100:$CW100,$CB$17:$CW$17,BE$17,$CB$18:$CW$18,BE$18)/SUMPRODUCT(($CB$18:$CW$18=BE$18)*ABS($CB100:$CW100)),"-")</f>
        <v>0.5415282629960706</v>
      </c>
      <c r="BF100" s="114">
        <f t="array" ref="BF100">IFERROR(SUMIFS($CB100:$CW100,$CB$17:$CW$17,BF$17,$CB$18:$CW$18,BF$18)/SUMPRODUCT(($CB$18:$CW$18=BF$18)*ABS($CB100:$CW100)),"-")</f>
        <v>3.8089223422702154E-3</v>
      </c>
      <c r="BG100" s="114">
        <f t="array" ref="BG100">IFERROR(SUMIFS($CB100:$CW100,$CB$17:$CW$17,BG$17,$CB$18:$CW$18,BG$18)/SUMPRODUCT(($CB$18:$CW$18=BG$18)*ABS($CB100:$CW100)),"-")</f>
        <v>1.7436571439820475E-5</v>
      </c>
      <c r="BH100" s="114">
        <f t="array" ref="BH100">IFERROR(SUMIFS($CB100:$CW100,$CB$17:$CW$17,BH$17,$CB$18:$CW$18,BH$18)/SUMPRODUCT(($CB$18:$CW$18=BH$18)*ABS($CB100:$CW100)),"-")</f>
        <v>1.5875179853269139E-3</v>
      </c>
      <c r="BI100" s="114">
        <f t="array" ref="BI100">IFERROR(SUMIFS($CB100:$CW100,$CB$17:$CW$17,BI$17,$CB$18:$CW$18,BI$18)/SUMPRODUCT(($CB$18:$CW$18=BI$18)*ABS($CB100:$CW100)),"-")</f>
        <v>0.35026261209476772</v>
      </c>
      <c r="BJ100" s="114">
        <f t="array" ref="BJ100">IFERROR(SUMIFS($CB100:$CW100,$CB$17:$CW$17,BJ$17,$CB$18:$CW$18,BJ$18)/SUMPRODUCT(($CB$18:$CW$18=BJ$18)*ABS($CB100:$CW100)),"-")</f>
        <v>6.204159949716987E-4</v>
      </c>
      <c r="BK100" s="114">
        <f t="array" ref="BK100">IFERROR(SUMIFS($CB100:$CW100,$CB$17:$CW$17,BK$17,$CB$18:$CW$18,BK$18)/SUMPRODUCT(($CB$18:$CW$18=BK$18)*ABS($CB100:$CW100)),"-")</f>
        <v>-0.10143139041167187</v>
      </c>
      <c r="BL100" s="114">
        <f t="array" ref="BL100">IFERROR(SUMIFS($CB100:$CW100,$CB$17:$CW$17,BL$17,$CB$18:$CW$18,BL$18)/SUMPRODUCT(($CB$18:$CW$18=BL$18)*ABS($CB100:$CW100)),"-")</f>
        <v>7.4344160348138798E-4</v>
      </c>
      <c r="BM100" s="115"/>
      <c r="BN100" s="114">
        <f t="array" ref="BN100">IFERROR(SUMIFS($CB100:$CW100,$CB$17:$CW$17,BN$17,$CB$18:$CW$18,BN$18)/SUMPRODUCT(($CB$18:$CW$18=BN$18)*ABS($CB100:$CW100)),"-")</f>
        <v>3.4602707713962094E-2</v>
      </c>
      <c r="BO100" s="114">
        <f t="array" ref="BO100">IFERROR(SUMIFS($CB100:$CW100,$CB$17:$CW$17,BO$17,$CB$18:$CW$18,BO$18)/SUMPRODUCT(($CB$18:$CW$18=BO$18)*ABS($CB100:$CW100)),"-")</f>
        <v>4.8225882738341655E-3</v>
      </c>
      <c r="BP100" s="114">
        <f t="array" ref="BP100">IFERROR(SUMIFS($CB100:$CW100,$CB$17:$CW$17,BP$17,$CB$18:$CW$18,BP$18)/SUMPRODUCT(($CB$18:$CW$18=BP$18)*ABS($CB100:$CW100)),"-")</f>
        <v>1.2412060636984093E-2</v>
      </c>
      <c r="BQ100" s="114">
        <f t="array" ref="BQ100">IFERROR(SUMIFS($CB100:$CW100,$CB$17:$CW$17,BQ$17,$CB$18:$CW$18,BQ$18)/SUMPRODUCT(($CB$18:$CW$18=BQ$18)*ABS($CB100:$CW100)),"-")</f>
        <v>7.3239399972176741E-4</v>
      </c>
      <c r="BR100" s="114">
        <f t="array" ref="BR100">IFERROR(SUMIFS($CB100:$CW100,$CB$17:$CW$17,BR$17,$CB$18:$CW$18,BR$18)/SUMPRODUCT(($CB$18:$CW$18=BR$18)*ABS($CB100:$CW100)),"-")</f>
        <v>1.0775595129038765E-4</v>
      </c>
      <c r="BS100" s="114">
        <f t="array" ref="BS100">IFERROR(SUMIFS($CB100:$CW100,$CB$17:$CW$17,BS$17,$CB$18:$CW$18,BS$18)/SUMPRODUCT(($CB$18:$CW$18=BS$18)*ABS($CB100:$CW100)),"-")</f>
        <v>1.0626607143254107E-5</v>
      </c>
      <c r="BT100" s="114">
        <f t="array" ref="BT100">IFERROR(SUMIFS($CB100:$CW100,$CB$17:$CW$17,BT$17,$CB$18:$CW$18,BT$18)/SUMPRODUCT(($CB$18:$CW$18=BT$18)*ABS($CB100:$CW100)),"-")</f>
        <v>3.0565468671516055E-5</v>
      </c>
      <c r="BU100" s="114">
        <f t="array" ref="BU100">IFERROR(SUMIFS($CB100:$CW100,$CB$17:$CW$17,BU$17,$CB$18:$CW$18,BU$18)/SUMPRODUCT(($CB$18:$CW$18=BU$18)*ABS($CB100:$CW100)),"-")</f>
        <v>6.8341873167244587E-6</v>
      </c>
      <c r="BV100" s="114">
        <f t="array" ref="BV100">IFERROR(SUMIFS($CB100:$CW100,$CB$17:$CW$17,BV$17,$CB$18:$CW$18,BV$18)/SUMPRODUCT(($CB$18:$CW$18=BV$18)*ABS($CB100:$CW100)),"-")</f>
        <v>0.94717865243307942</v>
      </c>
      <c r="BW100" s="114">
        <f t="array" ref="BW100">IFERROR(SUMIFS($CB100:$CW100,$CB$17:$CW$17,BW$17,$CB$18:$CW$18,BW$18)/SUMPRODUCT(($CB$18:$CW$18=BW$18)*ABS($CB100:$CW100)),"-")</f>
        <v>9.5814727996524623E-5</v>
      </c>
      <c r="BX100" s="115"/>
      <c r="BY100" s="114">
        <f t="array" ref="BY100">IFERROR(SUMIFS($CB100:$CW100,$CB$17:$CW$17,BY$17,$CB$18:$CW$18,BY$18)/SUMPRODUCT(($CB$18:$CW$18=BY$18)*ABS($CB100:$CW100)),"-")</f>
        <v>1.4846386475818297E-3</v>
      </c>
      <c r="BZ100" s="116">
        <f t="array" ref="BZ100">IFERROR(SUMIFS($CB100:$CW100,$CB$17:$CW$17,BZ$17,$CB$18:$CW$18,BZ$18)/SUMPRODUCT(($CB$18:$CW$18=BZ$18)*ABS($CB100:$CW100)),"-")</f>
        <v>0.99851536135241825</v>
      </c>
      <c r="CB100" s="117">
        <v>3.1367036999999999E-7</v>
      </c>
      <c r="CC100" s="111">
        <v>9.4572616000000006E-10</v>
      </c>
      <c r="CD100" s="111">
        <v>2.5843693000000001E-14</v>
      </c>
      <c r="CE100" s="111">
        <v>2.2062487999999999E-9</v>
      </c>
      <c r="CF100" s="111">
        <v>1.0099816E-11</v>
      </c>
      <c r="CG100" s="111">
        <v>9.1954084000000003E-10</v>
      </c>
      <c r="CH100" s="111">
        <v>2.0288322999999999E-7</v>
      </c>
      <c r="CI100" s="111">
        <v>1.3180969999999999E-10</v>
      </c>
      <c r="CJ100" s="111">
        <v>3.3924313999999999E-10</v>
      </c>
      <c r="CK100" s="111">
        <v>2.0017597999999999E-11</v>
      </c>
      <c r="CL100" s="111">
        <v>2.9451569999999998E-12</v>
      </c>
      <c r="CM100" s="111">
        <v>2.9044359999999998E-13</v>
      </c>
      <c r="CN100" s="111">
        <v>8.3540725999999999E-13</v>
      </c>
      <c r="CO100" s="111">
        <v>1.8679019000000001E-13</v>
      </c>
      <c r="CP100" s="111">
        <v>3.5936465000000002E-10</v>
      </c>
      <c r="CQ100" s="111">
        <v>-5.8752283000000003E-8</v>
      </c>
      <c r="CR100" s="111">
        <v>2.5888035000000001E-8</v>
      </c>
      <c r="CS100" s="111">
        <v>2.5196898E-5</v>
      </c>
      <c r="CT100" s="111">
        <v>1.6946540999999999E-2</v>
      </c>
      <c r="CU100" s="111">
        <v>4.3062499000000001E-10</v>
      </c>
      <c r="CV100" s="111">
        <v>2.6186655E-12</v>
      </c>
      <c r="CW100" s="112">
        <v>1.1716103E-16</v>
      </c>
    </row>
    <row r="101" spans="2:101" ht="12" customHeight="1" outlineLevel="1" x14ac:dyDescent="0.2">
      <c r="B101" s="104" t="s">
        <v>109</v>
      </c>
      <c r="C101" s="104" t="s">
        <v>121</v>
      </c>
      <c r="D101" s="2" t="s">
        <v>143</v>
      </c>
      <c r="E101" s="2" t="s">
        <v>146</v>
      </c>
      <c r="F101" s="105" t="s">
        <v>95</v>
      </c>
      <c r="G101" s="27" t="s">
        <v>1581</v>
      </c>
      <c r="H101" s="106" t="s">
        <v>128</v>
      </c>
      <c r="I101" s="107" t="s">
        <v>127</v>
      </c>
      <c r="J101" s="108">
        <v>6.4197011599999998</v>
      </c>
      <c r="K101" s="109"/>
      <c r="L101" s="109"/>
      <c r="M101" s="110"/>
      <c r="N101" s="161"/>
      <c r="O101" s="1056"/>
      <c r="P101" s="117">
        <v>1.8389451322960002E-6</v>
      </c>
      <c r="Q101" s="111">
        <v>3.3880750546372829E-8</v>
      </c>
      <c r="R101" s="112">
        <v>2.1495349369000001E-2</v>
      </c>
      <c r="S101" s="1032">
        <v>0.45771106</v>
      </c>
      <c r="T101" s="1032">
        <v>6.6442339000000004E-6</v>
      </c>
      <c r="U101" s="1032">
        <v>1.4293452999999999E-3</v>
      </c>
      <c r="V101" s="1032">
        <v>1.2945677E-3</v>
      </c>
      <c r="W101" s="1032">
        <v>9.7369549999999996E-4</v>
      </c>
      <c r="X101" s="1032">
        <v>1.3085179E-3</v>
      </c>
      <c r="Y101" s="1032">
        <v>6.6626437999999996E-3</v>
      </c>
      <c r="Z101" s="1032">
        <v>1.6478717999999999E-4</v>
      </c>
      <c r="AA101" s="1032">
        <v>2.7421105E-3</v>
      </c>
      <c r="AB101" s="1032">
        <v>5.1455889999999997E-2</v>
      </c>
      <c r="AC101" s="1032">
        <v>2.6699811000000001E-3</v>
      </c>
      <c r="AD101" s="1032">
        <v>3.5971848000000001E-3</v>
      </c>
      <c r="AE101" s="1032">
        <v>2.6186393000000001E-4</v>
      </c>
      <c r="AF101" s="1032">
        <v>3.4862209000000002</v>
      </c>
      <c r="AG101" s="1032">
        <v>3.4792171000000001</v>
      </c>
      <c r="AH101" s="1032">
        <v>1.3035048999999999E-4</v>
      </c>
      <c r="AI101" s="1032">
        <v>4.976701E-2</v>
      </c>
      <c r="AJ101" s="1036">
        <v>2.3229937999999999E-4</v>
      </c>
      <c r="AK101" s="1077">
        <v>0.45596969999999998</v>
      </c>
      <c r="AL101" s="1078">
        <v>2.3974501999999999E-9</v>
      </c>
      <c r="AM101" s="1078">
        <v>2.9316567000000002E-3</v>
      </c>
      <c r="AN101" s="1078">
        <v>1.4255475000000001E-3</v>
      </c>
      <c r="AO101" s="1078">
        <v>1.3841032000000001E-3</v>
      </c>
      <c r="AP101" s="1078">
        <v>8.4353805000000007E-3</v>
      </c>
      <c r="AQ101" s="1078">
        <v>1.7289483000000001E-4</v>
      </c>
      <c r="AR101" s="1078">
        <v>9.7338470000000003E-3</v>
      </c>
      <c r="AS101" s="1078">
        <v>4.2725278000000001E-4</v>
      </c>
      <c r="AT101" s="1078">
        <v>2.6544365999999999E-4</v>
      </c>
      <c r="AU101" s="1078">
        <v>2.5325785999999998E-4</v>
      </c>
      <c r="AV101" s="1078">
        <v>6.2982363999999999E-2</v>
      </c>
      <c r="AW101" s="1078">
        <v>3.4792160999999999</v>
      </c>
      <c r="AX101" s="1078">
        <v>1.028187E-6</v>
      </c>
      <c r="AY101" s="1078">
        <v>-7.0664089999999999E-9</v>
      </c>
      <c r="AZ101" s="1078">
        <v>1.4914588E-3</v>
      </c>
      <c r="BA101" s="1078">
        <v>5.2195228000000003E-2</v>
      </c>
      <c r="BB101" s="1079">
        <v>2.3491026E-4</v>
      </c>
      <c r="BC101" s="1035"/>
      <c r="BE101" s="113">
        <f t="array" ref="BE101">IFERROR(SUMIFS($CB101:$CW101,$CB$17:$CW$17,BE$17,$CB$18:$CW$18,BE$18)/SUMPRODUCT(($CB$18:$CW$18=BE$18)*ABS($CB101:$CW101)),"-")</f>
        <v>0.23113279049784322</v>
      </c>
      <c r="BF101" s="114">
        <f t="array" ref="BF101">IFERROR(SUMIFS($CB101:$CW101,$CB$17:$CW$17,BF$17,$CB$18:$CW$18,BF$18)/SUMPRODUCT(($CB$18:$CW$18=BF$18)*ABS($CB101:$CW101)),"-")</f>
        <v>1.91821057520938E-3</v>
      </c>
      <c r="BG101" s="114">
        <f t="array" ref="BG101">IFERROR(SUMIFS($CB101:$CW101,$CB$17:$CW$17,BG$17,$CB$18:$CW$18,BG$18)/SUMPRODUCT(($CB$18:$CW$18=BG$18)*ABS($CB101:$CW101)),"-")</f>
        <v>6.6049420326288102E-6</v>
      </c>
      <c r="BH101" s="114">
        <f t="array" ref="BH101">IFERROR(SUMIFS($CB101:$CW101,$CB$17:$CW$17,BH$17,$CB$18:$CW$18,BH$18)/SUMPRODUCT(($CB$18:$CW$18=BH$18)*ABS($CB101:$CW101)),"-")</f>
        <v>6.4062765077124338E-4</v>
      </c>
      <c r="BI101" s="114">
        <f t="array" ref="BI101">IFERROR(SUMIFS($CB101:$CW101,$CB$17:$CW$17,BI$17,$CB$18:$CW$18,BI$18)/SUMPRODUCT(($CB$18:$CW$18=BI$18)*ABS($CB101:$CW101)),"-")</f>
        <v>0.33309171070004756</v>
      </c>
      <c r="BJ101" s="114">
        <f t="array" ref="BJ101">IFERROR(SUMIFS($CB101:$CW101,$CB$17:$CW$17,BJ$17,$CB$18:$CW$18,BJ$18)/SUMPRODUCT(($CB$18:$CW$18=BJ$18)*ABS($CB101:$CW101)),"-")</f>
        <v>4.7331398023456577E-4</v>
      </c>
      <c r="BK101" s="114">
        <f t="array" ref="BK101">IFERROR(SUMIFS($CB101:$CW101,$CB$17:$CW$17,BK$17,$CB$18:$CW$18,BK$18)/SUMPRODUCT(($CB$18:$CW$18=BK$18)*ABS($CB101:$CW101)),"-")</f>
        <v>0.43245630662567958</v>
      </c>
      <c r="BL101" s="114">
        <f t="array" ref="BL101">IFERROR(SUMIFS($CB101:$CW101,$CB$17:$CW$17,BL$17,$CB$18:$CW$18,BL$18)/SUMPRODUCT(($CB$18:$CW$18=BL$18)*ABS($CB101:$CW101)),"-")</f>
        <v>2.804350281816843E-4</v>
      </c>
      <c r="BM101" s="115"/>
      <c r="BN101" s="114">
        <f t="array" ref="BN101">IFERROR(SUMIFS($CB101:$CW101,$CB$17:$CW$17,BN$17,$CB$18:$CW$18,BN$18)/SUMPRODUCT(($CB$18:$CW$18=BN$18)*ABS($CB101:$CW101)),"-")</f>
        <v>3.7820428882180741E-2</v>
      </c>
      <c r="BO101" s="114">
        <f t="array" ref="BO101">IFERROR(SUMIFS($CB101:$CW101,$CB$17:$CW$17,BO$17,$CB$18:$CW$18,BO$18)/SUMPRODUCT(($CB$18:$CW$18=BO$18)*ABS($CB101:$CW101)),"-")</f>
        <v>4.9821328417434087E-3</v>
      </c>
      <c r="BP101" s="114">
        <f t="array" ref="BP101">IFERROR(SUMIFS($CB101:$CW101,$CB$17:$CW$17,BP$17,$CB$18:$CW$18,BP$18)/SUMPRODUCT(($CB$18:$CW$18=BP$18)*ABS($CB101:$CW101)),"-")</f>
        <v>4.1732915510969172E-2</v>
      </c>
      <c r="BQ101" s="114">
        <f t="array" ref="BQ101">IFERROR(SUMIFS($CB101:$CW101,$CB$17:$CW$17,BQ$17,$CB$18:$CW$18,BQ$18)/SUMPRODUCT(($CB$18:$CW$18=BQ$18)*ABS($CB101:$CW101)),"-")</f>
        <v>3.2634781761597424E-3</v>
      </c>
      <c r="BR101" s="114">
        <f t="array" ref="BR101">IFERROR(SUMIFS($CB101:$CW101,$CB$17:$CW$17,BR$17,$CB$18:$CW$18,BR$18)/SUMPRODUCT(($CB$18:$CW$18=BR$18)*ABS($CB101:$CW101)),"-")</f>
        <v>1.375036805522819E-4</v>
      </c>
      <c r="BS101" s="114">
        <f t="array" ref="BS101">IFERROR(SUMIFS($CB101:$CW101,$CB$17:$CW$17,BS$17,$CB$18:$CW$18,BS$18)/SUMPRODUCT(($CB$18:$CW$18=BS$18)*ABS($CB101:$CW101)),"-")</f>
        <v>1.731248808072215E-5</v>
      </c>
      <c r="BT101" s="114">
        <f t="array" ref="BT101">IFERROR(SUMIFS($CB101:$CW101,$CB$17:$CW$17,BT$17,$CB$18:$CW$18,BT$18)/SUMPRODUCT(($CB$18:$CW$18=BT$18)*ABS($CB101:$CW101)),"-")</f>
        <v>5.4566424007331266E-5</v>
      </c>
      <c r="BU101" s="114">
        <f t="array" ref="BU101">IFERROR(SUMIFS($CB101:$CW101,$CB$17:$CW$17,BU$17,$CB$18:$CW$18,BU$18)/SUMPRODUCT(($CB$18:$CW$18=BU$18)*ABS($CB101:$CW101)),"-")</f>
        <v>1.1151419431599579E-5</v>
      </c>
      <c r="BV101" s="114">
        <f t="array" ref="BV101">IFERROR(SUMIFS($CB101:$CW101,$CB$17:$CW$17,BV$17,$CB$18:$CW$18,BV$18)/SUMPRODUCT(($CB$18:$CW$18=BV$18)*ABS($CB101:$CW101)),"-")</f>
        <v>0.91188794527184902</v>
      </c>
      <c r="BW101" s="114">
        <f t="array" ref="BW101">IFERROR(SUMIFS($CB101:$CW101,$CB$17:$CW$17,BW$17,$CB$18:$CW$18,BW$18)/SUMPRODUCT(($CB$18:$CW$18=BW$18)*ABS($CB101:$CW101)),"-")</f>
        <v>9.2565305025857822E-5</v>
      </c>
      <c r="BX101" s="115"/>
      <c r="BY101" s="114">
        <f t="array" ref="BY101">IFERROR(SUMIFS($CB101:$CW101,$CB$17:$CW$17,BY$17,$CB$18:$CW$18,BY$18)/SUMPRODUCT(($CB$18:$CW$18=BY$18)*ABS($CB101:$CW101)),"-")</f>
        <v>1.4020413663740343E-3</v>
      </c>
      <c r="BZ101" s="116">
        <f t="array" ref="BZ101">IFERROR(SUMIFS($CB101:$CW101,$CB$17:$CW$17,BZ$17,$CB$18:$CW$18,BZ$18)/SUMPRODUCT(($CB$18:$CW$18=BZ$18)*ABS($CB101:$CW101)),"-")</f>
        <v>0.99859795863362599</v>
      </c>
      <c r="CB101" s="117">
        <v>4.2504051999999998E-7</v>
      </c>
      <c r="CC101" s="111">
        <v>1.2813495E-9</v>
      </c>
      <c r="CD101" s="111">
        <v>3.5016514000000002E-14</v>
      </c>
      <c r="CE101" s="111">
        <v>3.5274839999999999E-9</v>
      </c>
      <c r="CF101" s="111">
        <v>1.2146125999999999E-11</v>
      </c>
      <c r="CG101" s="111">
        <v>1.1780791000000001E-9</v>
      </c>
      <c r="CH101" s="111">
        <v>6.1253738000000003E-7</v>
      </c>
      <c r="CI101" s="111">
        <v>1.6879840000000001E-10</v>
      </c>
      <c r="CJ101" s="111">
        <v>1.4139424999999999E-9</v>
      </c>
      <c r="CK101" s="111">
        <v>1.1056909E-10</v>
      </c>
      <c r="CL101" s="111">
        <v>4.6587278999999999E-12</v>
      </c>
      <c r="CM101" s="111">
        <v>5.8656009000000005E-13</v>
      </c>
      <c r="CN101" s="111">
        <v>1.8487514000000002E-12</v>
      </c>
      <c r="CO101" s="111">
        <v>3.7781846E-13</v>
      </c>
      <c r="CP101" s="111">
        <v>8.7039843999999999E-10</v>
      </c>
      <c r="CQ101" s="111">
        <v>7.9526342000000001E-7</v>
      </c>
      <c r="CR101" s="111">
        <v>3.0895447999999997E-8</v>
      </c>
      <c r="CS101" s="111">
        <v>3.0137368999999999E-5</v>
      </c>
      <c r="CT101" s="111">
        <v>2.1465212000000001E-2</v>
      </c>
      <c r="CU101" s="111">
        <v>5.1570463000000004E-10</v>
      </c>
      <c r="CV101" s="111">
        <v>3.1360416999999998E-12</v>
      </c>
      <c r="CW101" s="112">
        <v>1.4030882999999999E-16</v>
      </c>
    </row>
    <row r="102" spans="2:101" ht="12" customHeight="1" outlineLevel="1" x14ac:dyDescent="0.2">
      <c r="B102" s="104" t="s">
        <v>109</v>
      </c>
      <c r="C102" s="104" t="s">
        <v>121</v>
      </c>
      <c r="D102" s="2" t="s">
        <v>143</v>
      </c>
      <c r="E102" s="2" t="s">
        <v>146</v>
      </c>
      <c r="F102" s="105" t="s">
        <v>96</v>
      </c>
      <c r="G102" s="27" t="s">
        <v>1582</v>
      </c>
      <c r="H102" s="106" t="s">
        <v>128</v>
      </c>
      <c r="I102" s="107" t="s">
        <v>1577</v>
      </c>
      <c r="J102" s="108">
        <v>6.4197011599999998</v>
      </c>
      <c r="K102" s="109"/>
      <c r="L102" s="109"/>
      <c r="M102" s="110"/>
      <c r="N102" s="161"/>
      <c r="O102" s="1056"/>
      <c r="P102" s="117">
        <v>2.8339074187320001E-6</v>
      </c>
      <c r="Q102" s="111">
        <v>3.4795995950693889E-8</v>
      </c>
      <c r="R102" s="112">
        <v>2.2305140926E-2</v>
      </c>
      <c r="S102" s="1032">
        <v>0.49680550000000001</v>
      </c>
      <c r="T102" s="1032">
        <v>7.8726165999999999E-6</v>
      </c>
      <c r="U102" s="1032">
        <v>1.436468E-3</v>
      </c>
      <c r="V102" s="1032">
        <v>1.3524247999999999E-3</v>
      </c>
      <c r="W102" s="1032">
        <v>1.4021486E-3</v>
      </c>
      <c r="X102" s="1032">
        <v>1.3666628999999999E-3</v>
      </c>
      <c r="Y102" s="1032">
        <v>1.0126664E-2</v>
      </c>
      <c r="Z102" s="1032">
        <v>2.5678771E-4</v>
      </c>
      <c r="AA102" s="1032">
        <v>3.2330633000000001E-3</v>
      </c>
      <c r="AB102" s="1032">
        <v>6.5186921999999994E-2</v>
      </c>
      <c r="AC102" s="1032">
        <v>3.1428547999999999E-3</v>
      </c>
      <c r="AD102" s="1032">
        <v>4.0705239000000002E-3</v>
      </c>
      <c r="AE102" s="1032">
        <v>3.6748093999999998E-4</v>
      </c>
      <c r="AF102" s="1032">
        <v>6.5022625999999999</v>
      </c>
      <c r="AG102" s="1032">
        <v>3.4792171000000001</v>
      </c>
      <c r="AH102" s="1032">
        <v>1.3053899E-4</v>
      </c>
      <c r="AI102" s="1032">
        <v>5.1562226000000003E-2</v>
      </c>
      <c r="AJ102" s="1036">
        <v>2.3282431999999999E-4</v>
      </c>
      <c r="AK102" s="1077">
        <v>0.49501384999999998</v>
      </c>
      <c r="AL102" s="1078">
        <v>2.4093321999999999E-9</v>
      </c>
      <c r="AM102" s="1078">
        <v>2.9461162E-3</v>
      </c>
      <c r="AN102" s="1078">
        <v>1.4868034E-3</v>
      </c>
      <c r="AO102" s="1078">
        <v>1.9603822000000002E-3</v>
      </c>
      <c r="AP102" s="1078">
        <v>1.2770998E-2</v>
      </c>
      <c r="AQ102" s="1078">
        <v>2.6491094999999998E-4</v>
      </c>
      <c r="AR102" s="1078">
        <v>1.1580425E-2</v>
      </c>
      <c r="AS102" s="1078">
        <v>7.2248858000000004E-4</v>
      </c>
      <c r="AT102" s="1078">
        <v>2.9755793999999998E-4</v>
      </c>
      <c r="AU102" s="1078">
        <v>2.7567644000000001E-4</v>
      </c>
      <c r="AV102" s="1078">
        <v>0.10862912</v>
      </c>
      <c r="AW102" s="1078">
        <v>3.4792160999999999</v>
      </c>
      <c r="AX102" s="1078">
        <v>1.028187E-6</v>
      </c>
      <c r="AY102" s="1078">
        <v>-7.0664089999999999E-9</v>
      </c>
      <c r="AZ102" s="1078">
        <v>1.4928356000000001E-3</v>
      </c>
      <c r="BA102" s="1078">
        <v>5.4060535999999999E-2</v>
      </c>
      <c r="BB102" s="1079">
        <v>2.3543519000000001E-4</v>
      </c>
      <c r="BC102" s="1035"/>
      <c r="BE102" s="113">
        <f t="array" ref="BE102">IFERROR(SUMIFS($CB102:$CW102,$CB$17:$CW$17,BE$17,$CB$18:$CW$18,BE$18)/SUMPRODUCT(($CB$18:$CW$18=BE$18)*ABS($CB102:$CW102)),"-")</f>
        <v>0.16280396351354182</v>
      </c>
      <c r="BF102" s="114">
        <f t="array" ref="BF102">IFERROR(SUMIFS($CB102:$CW102,$CB$17:$CW$17,BF$17,$CB$18:$CW$18,BF$18)/SUMPRODUCT(($CB$18:$CW$18=BF$18)*ABS($CB102:$CW102)),"-")</f>
        <v>1.4748694584631611E-3</v>
      </c>
      <c r="BG102" s="114">
        <f t="array" ref="BG102">IFERROR(SUMIFS($CB102:$CW102,$CB$17:$CW$17,BG$17,$CB$18:$CW$18,BG$18)/SUMPRODUCT(($CB$18:$CW$18=BG$18)*ABS($CB102:$CW102)),"-")</f>
        <v>4.3073573678923252E-6</v>
      </c>
      <c r="BH102" s="114">
        <f t="array" ref="BH102">IFERROR(SUMIFS($CB102:$CW102,$CB$17:$CW$17,BH$17,$CB$18:$CW$18,BH$18)/SUMPRODUCT(($CB$18:$CW$18=BH$18)*ABS($CB102:$CW102)),"-")</f>
        <v>4.342870172345559E-4</v>
      </c>
      <c r="BI102" s="114">
        <f t="array" ref="BI102">IFERROR(SUMIFS($CB102:$CW102,$CB$17:$CW$17,BI$17,$CB$18:$CW$18,BI$18)/SUMPRODUCT(($CB$18:$CW$18=BI$18)*ABS($CB102:$CW102)),"-")</f>
        <v>0.31126774084761294</v>
      </c>
      <c r="BJ102" s="114">
        <f t="array" ref="BJ102">IFERROR(SUMIFS($CB102:$CW102,$CB$17:$CW$17,BJ$17,$CB$18:$CW$18,BJ$18)/SUMPRODUCT(($CB$18:$CW$18=BJ$18)*ABS($CB102:$CW102)),"-")</f>
        <v>4.3104774415904119E-4</v>
      </c>
      <c r="BK102" s="114">
        <f t="array" ref="BK102">IFERROR(SUMIFS($CB102:$CW102,$CB$17:$CW$17,BK$17,$CB$18:$CW$18,BK$18)/SUMPRODUCT(($CB$18:$CW$18=BK$18)*ABS($CB102:$CW102)),"-")</f>
        <v>0.5234013963179055</v>
      </c>
      <c r="BL102" s="114">
        <f t="array" ref="BL102">IFERROR(SUMIFS($CB102:$CW102,$CB$17:$CW$17,BL$17,$CB$18:$CW$18,BL$18)/SUMPRODUCT(($CB$18:$CW$18=BL$18)*ABS($CB102:$CW102)),"-")</f>
        <v>1.8238774371509556E-4</v>
      </c>
      <c r="BM102" s="115"/>
      <c r="BN102" s="114">
        <f t="array" ref="BN102">IFERROR(SUMIFS($CB102:$CW102,$CB$17:$CW$17,BN$17,$CB$18:$CW$18,BN$18)/SUMPRODUCT(($CB$18:$CW$18=BN$18)*ABS($CB102:$CW102)),"-")</f>
        <v>3.9970326170251924E-2</v>
      </c>
      <c r="BO102" s="114">
        <f t="array" ref="BO102">IFERROR(SUMIFS($CB102:$CW102,$CB$17:$CW$17,BO$17,$CB$18:$CW$18,BO$18)/SUMPRODUCT(($CB$18:$CW$18=BO$18)*ABS($CB102:$CW102)),"-")</f>
        <v>5.0666493423501017E-3</v>
      </c>
      <c r="BP102" s="114">
        <f t="array" ref="BP102">IFERROR(SUMIFS($CB102:$CW102,$CB$17:$CW$17,BP$17,$CB$18:$CW$18,BP$18)/SUMPRODUCT(($CB$18:$CW$18=BP$18)*ABS($CB102:$CW102)),"-")</f>
        <v>6.1764471493943325E-2</v>
      </c>
      <c r="BQ102" s="114">
        <f t="array" ref="BQ102">IFERROR(SUMIFS($CB102:$CW102,$CB$17:$CW$17,BQ$17,$CB$18:$CW$18,BQ$18)/SUMPRODUCT(($CB$18:$CW$18=BQ$18)*ABS($CB102:$CW102)),"-")</f>
        <v>4.9517605486606E-3</v>
      </c>
      <c r="BR102" s="114">
        <f t="array" ref="BR102">IFERROR(SUMIFS($CB102:$CW102,$CB$17:$CW$17,BR$17,$CB$18:$CW$18,BR$18)/SUMPRODUCT(($CB$18:$CW$18=BR$18)*ABS($CB102:$CW102)),"-")</f>
        <v>1.5785826357099755E-4</v>
      </c>
      <c r="BS102" s="114">
        <f t="array" ref="BS102">IFERROR(SUMIFS($CB102:$CW102,$CB$17:$CW$17,BS$17,$CB$18:$CW$18,BS$18)/SUMPRODUCT(($CB$18:$CW$18=BS$18)*ABS($CB102:$CW102)),"-")</f>
        <v>2.1357253893610148E-5</v>
      </c>
      <c r="BT102" s="114">
        <f t="array" ref="BT102">IFERROR(SUMIFS($CB102:$CW102,$CB$17:$CW$17,BT$17,$CB$18:$CW$18,BT$18)/SUMPRODUCT(($CB$18:$CW$18=BT$18)*ABS($CB102:$CW102)),"-")</f>
        <v>6.2564839445458856E-5</v>
      </c>
      <c r="BU102" s="114">
        <f t="array" ref="BU102">IFERROR(SUMIFS($CB102:$CW102,$CB$17:$CW$17,BU$17,$CB$18:$CW$18,BU$18)/SUMPRODUCT(($CB$18:$CW$18=BU$18)*ABS($CB102:$CW102)),"-")</f>
        <v>1.2286927513321378E-5</v>
      </c>
      <c r="BV102" s="114">
        <f t="array" ref="BV102">IFERROR(SUMIFS($CB102:$CW102,$CB$17:$CW$17,BV$17,$CB$18:$CW$18,BV$18)/SUMPRODUCT(($CB$18:$CW$18=BV$18)*ABS($CB102:$CW102)),"-")</f>
        <v>0.88790239094690693</v>
      </c>
      <c r="BW102" s="114">
        <f t="array" ref="BW102">IFERROR(SUMIFS($CB102:$CW102,$CB$17:$CW$17,BW$17,$CB$18:$CW$18,BW$18)/SUMPRODUCT(($CB$18:$CW$18=BW$18)*ABS($CB102:$CW102)),"-")</f>
        <v>9.033421346364187E-5</v>
      </c>
      <c r="BX102" s="115"/>
      <c r="BY102" s="114">
        <f t="array" ref="BY102">IFERROR(SUMIFS($CB102:$CW102,$CB$17:$CW$17,BY$17,$CB$18:$CW$18,BY$18)/SUMPRODUCT(($CB$18:$CW$18=BY$18)*ABS($CB102:$CW102)),"-")</f>
        <v>1.3530928183833884E-3</v>
      </c>
      <c r="BZ102" s="116">
        <f t="array" ref="BZ102">IFERROR(SUMIFS($CB102:$CW102,$CB$17:$CW$17,BZ$17,$CB$18:$CW$18,BZ$18)/SUMPRODUCT(($CB$18:$CW$18=BZ$18)*ABS($CB102:$CW102)),"-")</f>
        <v>0.99864690718161664</v>
      </c>
      <c r="CB102" s="117">
        <v>4.6137136000000002E-7</v>
      </c>
      <c r="CC102" s="111">
        <v>1.3907692999999999E-9</v>
      </c>
      <c r="CD102" s="111">
        <v>3.8007568000000003E-14</v>
      </c>
      <c r="CE102" s="111">
        <v>4.1796434999999997E-9</v>
      </c>
      <c r="CF102" s="111">
        <v>1.2206652E-11</v>
      </c>
      <c r="CG102" s="111">
        <v>1.2307291999999999E-9</v>
      </c>
      <c r="CH102" s="111">
        <v>8.8210395999999996E-7</v>
      </c>
      <c r="CI102" s="111">
        <v>1.7629910999999999E-10</v>
      </c>
      <c r="CJ102" s="111">
        <v>2.1491563000000001E-9</v>
      </c>
      <c r="CK102" s="111">
        <v>1.7230143999999999E-10</v>
      </c>
      <c r="CL102" s="111">
        <v>5.4928354999999997E-12</v>
      </c>
      <c r="CM102" s="111">
        <v>7.4314692000000002E-13</v>
      </c>
      <c r="CN102" s="111">
        <v>2.1770058999999999E-12</v>
      </c>
      <c r="CO102" s="111">
        <v>4.2753588E-13</v>
      </c>
      <c r="CP102" s="111">
        <v>1.2215494E-9</v>
      </c>
      <c r="CQ102" s="111">
        <v>1.4832711E-6</v>
      </c>
      <c r="CR102" s="111">
        <v>3.0895447999999997E-8</v>
      </c>
      <c r="CS102" s="111">
        <v>3.0180925999999999E-5</v>
      </c>
      <c r="CT102" s="111">
        <v>2.227496E-2</v>
      </c>
      <c r="CU102" s="111">
        <v>5.1686998000000001E-10</v>
      </c>
      <c r="CV102" s="111">
        <v>3.1431283E-12</v>
      </c>
      <c r="CW102" s="112">
        <v>1.4062589E-16</v>
      </c>
    </row>
    <row r="103" spans="2:101" ht="12" customHeight="1" outlineLevel="1" x14ac:dyDescent="0.2">
      <c r="B103" s="88" t="s">
        <v>110</v>
      </c>
      <c r="C103" s="88" t="s">
        <v>121</v>
      </c>
      <c r="D103" s="89" t="s">
        <v>143</v>
      </c>
      <c r="E103" s="89" t="s">
        <v>147</v>
      </c>
      <c r="F103" s="90" t="s">
        <v>92</v>
      </c>
      <c r="G103" s="18" t="s">
        <v>126</v>
      </c>
      <c r="H103" s="91" t="s">
        <v>127</v>
      </c>
      <c r="I103" s="92" t="s">
        <v>127</v>
      </c>
      <c r="J103" s="93">
        <v>6.3623397199999996</v>
      </c>
      <c r="K103" s="94"/>
      <c r="L103" s="94"/>
      <c r="M103" s="95"/>
      <c r="N103" s="145"/>
      <c r="O103" s="1055"/>
      <c r="P103" s="103">
        <v>3.4032335618939996E-6</v>
      </c>
      <c r="Q103" s="97">
        <v>4.7924280620259076E-8</v>
      </c>
      <c r="R103" s="98">
        <v>4.039729308E-2</v>
      </c>
      <c r="S103" s="1033">
        <v>0.8424355</v>
      </c>
      <c r="T103" s="1033">
        <v>1.6169938999999999E-5</v>
      </c>
      <c r="U103" s="1033">
        <v>5.6058708999999997E-3</v>
      </c>
      <c r="V103" s="1033">
        <v>1.840249E-3</v>
      </c>
      <c r="W103" s="1033">
        <v>1.7648379000000001E-3</v>
      </c>
      <c r="X103" s="1033">
        <v>1.85804E-3</v>
      </c>
      <c r="Y103" s="1033">
        <v>1.2429851E-2</v>
      </c>
      <c r="Z103" s="1033">
        <v>4.5406591999999998E-4</v>
      </c>
      <c r="AA103" s="1033">
        <v>4.4335006999999997E-3</v>
      </c>
      <c r="AB103" s="1033">
        <v>12.854168</v>
      </c>
      <c r="AC103" s="1033">
        <v>0.46662536999999998</v>
      </c>
      <c r="AD103" s="1033">
        <v>9.9094824999999997E-2</v>
      </c>
      <c r="AE103" s="1033">
        <v>5.7438762999999996E-4</v>
      </c>
      <c r="AF103" s="1033">
        <v>6.5640248999999997</v>
      </c>
      <c r="AG103" s="1033">
        <v>4.7172494</v>
      </c>
      <c r="AH103" s="1033">
        <v>9.1512897E-4</v>
      </c>
      <c r="AI103" s="1033">
        <v>0.10001570999999999</v>
      </c>
      <c r="AJ103" s="1034">
        <v>4.4908622E-4</v>
      </c>
      <c r="AK103" s="1074">
        <v>0.83782628000000003</v>
      </c>
      <c r="AL103" s="1075">
        <v>9.4037533000000001E-9</v>
      </c>
      <c r="AM103" s="1075">
        <v>1.1589128000000001E-2</v>
      </c>
      <c r="AN103" s="1075">
        <v>1.7993434E-3</v>
      </c>
      <c r="AO103" s="1075">
        <v>2.4110452999999998E-3</v>
      </c>
      <c r="AP103" s="1075">
        <v>1.5518963E-2</v>
      </c>
      <c r="AQ103" s="1075">
        <v>4.7003761999999999E-4</v>
      </c>
      <c r="AR103" s="1075">
        <v>1.5803352E-2</v>
      </c>
      <c r="AS103" s="1075">
        <v>6.3453209999999996E-2</v>
      </c>
      <c r="AT103" s="1075">
        <v>1.7142694999999999E-2</v>
      </c>
      <c r="AU103" s="1075">
        <v>5.9410050000000001E-3</v>
      </c>
      <c r="AV103" s="1075">
        <v>0.18492470999999999</v>
      </c>
      <c r="AW103" s="1075">
        <v>4.7172434000000001</v>
      </c>
      <c r="AX103" s="1075">
        <v>5.9480511999999999E-6</v>
      </c>
      <c r="AY103" s="1075">
        <v>-4.1288280000000002E-8</v>
      </c>
      <c r="AZ103" s="1075">
        <v>1.9001608E-3</v>
      </c>
      <c r="BA103" s="1075">
        <v>0.1042191</v>
      </c>
      <c r="BB103" s="1076">
        <v>4.6531193999999998E-4</v>
      </c>
      <c r="BC103" s="1035"/>
      <c r="BE103" s="99">
        <f t="array" ref="BE103">IFERROR(SUMIFS($CB103:$CW103,$CB$17:$CW$17,BE$17,$CB$18:$CW$18,BE$18)/SUMPRODUCT(($CB$18:$CW$18=BE$18)*ABS($CB103:$CW103)),"-")</f>
        <v>0.2299209695042293</v>
      </c>
      <c r="BF103" s="100">
        <f t="array" ref="BF103">IFERROR(SUMIFS($CB103:$CW103,$CB$17:$CW$17,BF$17,$CB$18:$CW$18,BF$18)/SUMPRODUCT(($CB$18:$CW$18=BF$18)*ABS($CB103:$CW103)),"-")</f>
        <v>2.5225323339907136E-3</v>
      </c>
      <c r="BG103" s="100">
        <f t="array" ref="BG103">IFERROR(SUMIFS($CB103:$CW103,$CB$17:$CW$17,BG$17,$CB$18:$CW$18,BG$18)/SUMPRODUCT(($CB$18:$CW$18=BG$18)*ABS($CB103:$CW103)),"-")</f>
        <v>1.3997532973754724E-5</v>
      </c>
      <c r="BH103" s="100">
        <f t="array" ref="BH103">IFERROR(SUMIFS($CB103:$CW103,$CB$17:$CW$17,BH$17,$CB$18:$CW$18,BH$18)/SUMPRODUCT(($CB$18:$CW$18=BH$18)*ABS($CB103:$CW103)),"-")</f>
        <v>4.9197690065920605E-4</v>
      </c>
      <c r="BI103" s="100">
        <f t="array" ref="BI103">IFERROR(SUMIFS($CB103:$CW103,$CB$17:$CW$17,BI$17,$CB$18:$CW$18,BI$18)/SUMPRODUCT(($CB$18:$CW$18=BI$18)*ABS($CB103:$CW103)),"-")</f>
        <v>0.32621757508237081</v>
      </c>
      <c r="BJ103" s="100">
        <f t="array" ref="BJ103">IFERROR(SUMIFS($CB103:$CW103,$CB$17:$CW$17,BJ$17,$CB$18:$CW$18,BJ$18)/SUMPRODUCT(($CB$18:$CW$18=BJ$18)*ABS($CB103:$CW103)),"-")</f>
        <v>5.6097078419076283E-4</v>
      </c>
      <c r="BK103" s="100">
        <f t="array" ref="BK103">IFERROR(SUMIFS($CB103:$CW103,$CB$17:$CW$17,BK$17,$CB$18:$CW$18,BK$18)/SUMPRODUCT(($CB$18:$CW$18=BK$18)*ABS($CB103:$CW103)),"-")</f>
        <v>0.43997902958111396</v>
      </c>
      <c r="BL103" s="100">
        <f t="array" ref="BL103">IFERROR(SUMIFS($CB103:$CW103,$CB$17:$CW$17,BL$17,$CB$18:$CW$18,BL$18)/SUMPRODUCT(($CB$18:$CW$18=BL$18)*ABS($CB103:$CW103)),"-")</f>
        <v>2.9294828047157485E-4</v>
      </c>
      <c r="BM103" s="101"/>
      <c r="BN103" s="100">
        <f t="array" ref="BN103">IFERROR(SUMIFS($CB103:$CW103,$CB$17:$CW$17,BN$17,$CB$18:$CW$18,BN$18)/SUMPRODUCT(($CB$18:$CW$18=BN$18)*ABS($CB103:$CW103)),"-")</f>
        <v>4.9208796035929966E-2</v>
      </c>
      <c r="BO103" s="100">
        <f t="array" ref="BO103">IFERROR(SUMIFS($CB103:$CW103,$CB$17:$CW$17,BO$17,$CB$18:$CW$18,BO$18)/SUMPRODUCT(($CB$18:$CW$18=BO$18)*ABS($CB103:$CW103)),"-")</f>
        <v>5.0002267514204484E-3</v>
      </c>
      <c r="BP103" s="100">
        <f t="array" ref="BP103">IFERROR(SUMIFS($CB103:$CW103,$CB$17:$CW$17,BP$17,$CB$18:$CW$18,BP$18)/SUMPRODUCT(($CB$18:$CW$18=BP$18)*ABS($CB103:$CW103)),"-")</f>
        <v>5.5042854391535355E-2</v>
      </c>
      <c r="BQ103" s="100">
        <f t="array" ref="BQ103">IFERROR(SUMIFS($CB103:$CW103,$CB$17:$CW$17,BQ$17,$CB$18:$CW$18,BQ$18)/SUMPRODUCT(($CB$18:$CW$18=BQ$18)*ABS($CB103:$CW103)),"-")</f>
        <v>6.3573638676843423E-3</v>
      </c>
      <c r="BR103" s="100">
        <f t="array" ref="BR103">IFERROR(SUMIFS($CB103:$CW103,$CB$17:$CW$17,BR$17,$CB$18:$CW$18,BR$18)/SUMPRODUCT(($CB$18:$CW$18=BR$18)*ABS($CB103:$CW103)),"-")</f>
        <v>1.5717143173591742E-4</v>
      </c>
      <c r="BS103" s="100">
        <f t="array" ref="BS103">IFERROR(SUMIFS($CB103:$CW103,$CB$17:$CW$17,BS$17,$CB$18:$CW$18,BS$18)/SUMPRODUCT(($CB$18:$CW$18=BS$18)*ABS($CB103:$CW103)),"-")</f>
        <v>3.0571993591504004E-3</v>
      </c>
      <c r="BT103" s="100">
        <f t="array" ref="BT103">IFERROR(SUMIFS($CB103:$CW103,$CB$17:$CW$17,BT$17,$CB$18:$CW$18,BT$18)/SUMPRODUCT(($CB$18:$CW$18=BT$18)*ABS($CB103:$CW103)),"-")</f>
        <v>6.7629772592348175E-3</v>
      </c>
      <c r="BU103" s="100">
        <f t="array" ref="BU103">IFERROR(SUMIFS($CB103:$CW103,$CB$17:$CW$17,BU$17,$CB$18:$CW$18,BU$18)/SUMPRODUCT(($CB$18:$CW$18=BU$18)*ABS($CB103:$CW103)),"-")</f>
        <v>2.1692025139351587E-4</v>
      </c>
      <c r="BV103" s="100">
        <f t="array" ref="BV103">IFERROR(SUMIFS($CB103:$CW103,$CB$17:$CW$17,BV$17,$CB$18:$CW$18,BV$18)/SUMPRODUCT(($CB$18:$CW$18=BV$18)*ABS($CB103:$CW103)),"-")</f>
        <v>0.87406997993188751</v>
      </c>
      <c r="BW103" s="100">
        <f t="array" ref="BW103">IFERROR(SUMIFS($CB103:$CW103,$CB$17:$CW$17,BW$17,$CB$18:$CW$18,BW$18)/SUMPRODUCT(($CB$18:$CW$18=BW$18)*ABS($CB103:$CW103)),"-")</f>
        <v>1.2651072002773078E-4</v>
      </c>
      <c r="BX103" s="101"/>
      <c r="BY103" s="100">
        <f t="array" ref="BY103">IFERROR(SUMIFS($CB103:$CW103,$CB$17:$CW$17,BY$17,$CB$18:$CW$18,BY$18)/SUMPRODUCT(($CB$18:$CW$18=BY$18)*ABS($CB103:$CW103)),"-")</f>
        <v>5.2367389958792752E-3</v>
      </c>
      <c r="BZ103" s="102">
        <f t="array" ref="BZ103">IFERROR(SUMIFS($CB103:$CW103,$CB$17:$CW$17,BZ$17,$CB$18:$CW$18,BZ$18)/SUMPRODUCT(($CB$18:$CW$18=BZ$18)*ABS($CB103:$CW103)),"-")</f>
        <v>0.99476326100412082</v>
      </c>
      <c r="CB103" s="103">
        <v>7.8247475999999995E-7</v>
      </c>
      <c r="CC103" s="97">
        <v>2.3582317000000002E-9</v>
      </c>
      <c r="CD103" s="97">
        <v>6.4450210999999999E-14</v>
      </c>
      <c r="CE103" s="97">
        <v>8.5847667000000005E-9</v>
      </c>
      <c r="CF103" s="97">
        <v>4.7636874000000001E-11</v>
      </c>
      <c r="CG103" s="97">
        <v>1.6743123000000001E-9</v>
      </c>
      <c r="CH103" s="97">
        <v>1.1101946000000001E-6</v>
      </c>
      <c r="CI103" s="97">
        <v>2.3963227000000001E-10</v>
      </c>
      <c r="CJ103" s="97">
        <v>2.6378892E-9</v>
      </c>
      <c r="CK103" s="97">
        <v>3.0467209E-10</v>
      </c>
      <c r="CL103" s="97">
        <v>7.5323278E-12</v>
      </c>
      <c r="CM103" s="97">
        <v>1.4651408E-10</v>
      </c>
      <c r="CN103" s="97">
        <v>3.2411082000000001E-10</v>
      </c>
      <c r="CO103" s="97">
        <v>1.0395747E-11</v>
      </c>
      <c r="CP103" s="97">
        <v>1.9091146000000001E-9</v>
      </c>
      <c r="CQ103" s="97">
        <v>1.4973513999999999E-6</v>
      </c>
      <c r="CR103" s="97">
        <v>4.1889174999999998E-8</v>
      </c>
      <c r="CS103" s="97">
        <v>2.1155008E-4</v>
      </c>
      <c r="CT103" s="97">
        <v>4.0185743000000003E-2</v>
      </c>
      <c r="CU103" s="97">
        <v>9.9697142000000004E-10</v>
      </c>
      <c r="CV103" s="97">
        <v>6.0626640000000002E-12</v>
      </c>
      <c r="CW103" s="98">
        <v>2.7124808000000002E-16</v>
      </c>
    </row>
    <row r="104" spans="2:101" ht="12" customHeight="1" outlineLevel="1" x14ac:dyDescent="0.2">
      <c r="B104" s="104" t="s">
        <v>110</v>
      </c>
      <c r="C104" s="104" t="s">
        <v>121</v>
      </c>
      <c r="D104" s="2" t="s">
        <v>143</v>
      </c>
      <c r="E104" s="2" t="s">
        <v>147</v>
      </c>
      <c r="F104" s="105" t="s">
        <v>122</v>
      </c>
      <c r="G104" s="27" t="s">
        <v>1579</v>
      </c>
      <c r="H104" s="106" t="s">
        <v>128</v>
      </c>
      <c r="I104" s="107" t="s">
        <v>129</v>
      </c>
      <c r="J104" s="108">
        <v>6.3623397199999996</v>
      </c>
      <c r="K104" s="109"/>
      <c r="L104" s="109"/>
      <c r="M104" s="110"/>
      <c r="N104" s="161"/>
      <c r="O104" s="1056"/>
      <c r="P104" s="117">
        <v>1.300320879667E-6</v>
      </c>
      <c r="Q104" s="111">
        <v>6.3509390931674E-8</v>
      </c>
      <c r="R104" s="112">
        <v>3.5326941202000001E-2</v>
      </c>
      <c r="S104" s="1032">
        <v>0.60217365</v>
      </c>
      <c r="T104" s="1032">
        <v>6.9933027999999996E-6</v>
      </c>
      <c r="U104" s="1032">
        <v>2.5565664999999999E-3</v>
      </c>
      <c r="V104" s="1032">
        <v>2.1074226000000001E-3</v>
      </c>
      <c r="W104" s="1032">
        <v>7.0913522000000005E-4</v>
      </c>
      <c r="X104" s="1032">
        <v>2.1309171E-3</v>
      </c>
      <c r="Y104" s="1032">
        <v>3.6328201000000002E-3</v>
      </c>
      <c r="Z104" s="1032">
        <v>6.9954536000000001E-5</v>
      </c>
      <c r="AA104" s="1032">
        <v>2.9085841000000001E-3</v>
      </c>
      <c r="AB104" s="1032">
        <v>5.5467967E-2</v>
      </c>
      <c r="AC104" s="1032">
        <v>2.9828426000000001E-3</v>
      </c>
      <c r="AD104" s="1032">
        <v>4.2760921999999996E-3</v>
      </c>
      <c r="AE104" s="1032">
        <v>2.8882512E-4</v>
      </c>
      <c r="AF104" s="1032">
        <v>1.2606828999999999</v>
      </c>
      <c r="AG104" s="1032">
        <v>6.8374895000000002</v>
      </c>
      <c r="AH104" s="1032">
        <v>2.4013495E-4</v>
      </c>
      <c r="AI104" s="1032">
        <v>8.2115616000000002E-2</v>
      </c>
      <c r="AJ104" s="1036">
        <v>4.3917054000000002E-4</v>
      </c>
      <c r="AK104" s="1077">
        <v>0.59924787000000002</v>
      </c>
      <c r="AL104" s="1078">
        <v>4.2882185000000003E-9</v>
      </c>
      <c r="AM104" s="1078">
        <v>5.2419459999999999E-3</v>
      </c>
      <c r="AN104" s="1078">
        <v>2.3269575999999999E-3</v>
      </c>
      <c r="AO104" s="1078">
        <v>1.0874144E-3</v>
      </c>
      <c r="AP104" s="1078">
        <v>4.7124130000000004E-3</v>
      </c>
      <c r="AQ104" s="1078">
        <v>8.5761755999999996E-5</v>
      </c>
      <c r="AR104" s="1078">
        <v>1.0175472E-2</v>
      </c>
      <c r="AS104" s="1078">
        <v>8.2224819999999994E-5</v>
      </c>
      <c r="AT104" s="1078">
        <v>3.7609200999999998E-4</v>
      </c>
      <c r="AU104" s="1078">
        <v>3.8027413000000002E-4</v>
      </c>
      <c r="AV104" s="1078">
        <v>3.4469698E-2</v>
      </c>
      <c r="AW104" s="1078">
        <v>6.8374877999999999</v>
      </c>
      <c r="AX104" s="1078">
        <v>1.7808122999999999E-6</v>
      </c>
      <c r="AY104" s="1078">
        <v>-1.2238969E-8</v>
      </c>
      <c r="AZ104" s="1078">
        <v>2.7118175999999998E-3</v>
      </c>
      <c r="BA104" s="1078">
        <v>8.6255500999999998E-2</v>
      </c>
      <c r="BB104" s="1079">
        <v>4.4369255E-4</v>
      </c>
      <c r="BC104" s="1035"/>
      <c r="BE104" s="113">
        <f t="array" ref="BE104">IFERROR(SUMIFS($CB104:$CW104,$CB$17:$CW$17,BE$17,$CB$18:$CW$18,BE$18)/SUMPRODUCT(($CB$18:$CW$18=BE$18)*ABS($CB104:$CW104)),"-")</f>
        <v>0.42998812734837116</v>
      </c>
      <c r="BF104" s="114">
        <f t="array" ref="BF104">IFERROR(SUMIFS($CB104:$CW104,$CB$17:$CW$17,BF$17,$CB$18:$CW$18,BF$18)/SUMPRODUCT(($CB$18:$CW$18=BF$18)*ABS($CB104:$CW104)),"-")</f>
        <v>2.8553011476296643E-3</v>
      </c>
      <c r="BG104" s="114">
        <f t="array" ref="BG104">IFERROR(SUMIFS($CB104:$CW104,$CB$17:$CW$17,BG$17,$CB$18:$CW$18,BG$18)/SUMPRODUCT(($CB$18:$CW$18=BG$18)*ABS($CB104:$CW104)),"-")</f>
        <v>1.6707335350612491E-5</v>
      </c>
      <c r="BH104" s="114">
        <f t="array" ref="BH104">IFERROR(SUMIFS($CB104:$CW104,$CB$17:$CW$17,BH$17,$CB$18:$CW$18,BH$18)/SUMPRODUCT(($CB$18:$CW$18=BH$18)*ABS($CB104:$CW104)),"-")</f>
        <v>1.4748617283536422E-3</v>
      </c>
      <c r="BI104" s="114">
        <f t="array" ref="BI104">IFERROR(SUMIFS($CB104:$CW104,$CB$17:$CW$17,BI$17,$CB$18:$CW$18,BI$18)/SUMPRODUCT(($CB$18:$CW$18=BI$18)*ABS($CB104:$CW104)),"-")</f>
        <v>0.34301458737955809</v>
      </c>
      <c r="BJ104" s="114">
        <f t="array" ref="BJ104">IFERROR(SUMIFS($CB104:$CW104,$CB$17:$CW$17,BJ$17,$CB$18:$CW$18,BJ$18)/SUMPRODUCT(($CB$18:$CW$18=BJ$18)*ABS($CB104:$CW104)),"-")</f>
        <v>7.3829082114397091E-4</v>
      </c>
      <c r="BK104" s="114">
        <f t="array" ref="BK104">IFERROR(SUMIFS($CB104:$CW104,$CB$17:$CW$17,BK$17,$CB$18:$CW$18,BK$18)/SUMPRODUCT(($CB$18:$CW$18=BK$18)*ABS($CB104:$CW104)),"-")</f>
        <v>0.22116234115509018</v>
      </c>
      <c r="BL104" s="114">
        <f t="array" ref="BL104">IFERROR(SUMIFS($CB104:$CW104,$CB$17:$CW$17,BL$17,$CB$18:$CW$18,BL$18)/SUMPRODUCT(($CB$18:$CW$18=BL$18)*ABS($CB104:$CW104)),"-")</f>
        <v>7.4978308450270969E-4</v>
      </c>
      <c r="BM104" s="115"/>
      <c r="BN104" s="114">
        <f t="array" ref="BN104">IFERROR(SUMIFS($CB104:$CW104,$CB$17:$CW$17,BN$17,$CB$18:$CW$18,BN$18)/SUMPRODUCT(($CB$18:$CW$18=BN$18)*ABS($CB104:$CW104)),"-")</f>
        <v>2.6545336731047173E-2</v>
      </c>
      <c r="BO104" s="114">
        <f t="array" ref="BO104">IFERROR(SUMIFS($CB104:$CW104,$CB$17:$CW$17,BO$17,$CB$18:$CW$18,BO$18)/SUMPRODUCT(($CB$18:$CW$18=BO$18)*ABS($CB104:$CW104)),"-")</f>
        <v>4.3282978464670727E-3</v>
      </c>
      <c r="BP104" s="114">
        <f t="array" ref="BP104">IFERROR(SUMIFS($CB104:$CW104,$CB$17:$CW$17,BP$17,$CB$18:$CW$18,BP$18)/SUMPRODUCT(($CB$18:$CW$18=BP$18)*ABS($CB104:$CW104)),"-")</f>
        <v>1.213629557287401E-2</v>
      </c>
      <c r="BQ104" s="114">
        <f t="array" ref="BQ104">IFERROR(SUMIFS($CB104:$CW104,$CB$17:$CW$17,BQ$17,$CB$18:$CW$18,BQ$18)/SUMPRODUCT(($CB$18:$CW$18=BQ$18)*ABS($CB104:$CW104)),"-")</f>
        <v>7.3899963944691095E-4</v>
      </c>
      <c r="BR104" s="114">
        <f t="array" ref="BR104">IFERROR(SUMIFS($CB104:$CW104,$CB$17:$CW$17,BR$17,$CB$18:$CW$18,BR$18)/SUMPRODUCT(($CB$18:$CW$18=BR$18)*ABS($CB104:$CW104)),"-")</f>
        <v>7.7808332397902102E-5</v>
      </c>
      <c r="BS104" s="114">
        <f t="array" ref="BS104">IFERROR(SUMIFS($CB104:$CW104,$CB$17:$CW$17,BS$17,$CB$18:$CW$18,BS$18)/SUMPRODUCT(($CB$18:$CW$18=BS$18)*ABS($CB104:$CW104)),"-")</f>
        <v>9.9533475400523425E-6</v>
      </c>
      <c r="BT104" s="114">
        <f t="array" ref="BT104">IFERROR(SUMIFS($CB104:$CW104,$CB$17:$CW$17,BT$17,$CB$18:$CW$18,BT$18)/SUMPRODUCT(($CB$18:$CW$18=BT$18)*ABS($CB104:$CW104)),"-")</f>
        <v>3.2501640619112648E-5</v>
      </c>
      <c r="BU104" s="114">
        <f t="array" ref="BU104">IFERROR(SUMIFS($CB104:$CW104,$CB$17:$CW$17,BU$17,$CB$18:$CW$18,BU$18)/SUMPRODUCT(($CB$18:$CW$18=BU$18)*ABS($CB104:$CW104)),"-")</f>
        <v>7.0718519483707749E-6</v>
      </c>
      <c r="BV104" s="114">
        <f t="array" ref="BV104">IFERROR(SUMIFS($CB104:$CW104,$CB$17:$CW$17,BV$17,$CB$18:$CW$18,BV$18)/SUMPRODUCT(($CB$18:$CW$18=BV$18)*ABS($CB104:$CW104)),"-")</f>
        <v>0.9560303777014918</v>
      </c>
      <c r="BW104" s="114">
        <f t="array" ref="BW104">IFERROR(SUMIFS($CB104:$CW104,$CB$17:$CW$17,BW$17,$CB$18:$CW$18,BW$18)/SUMPRODUCT(($CB$18:$CW$18=BW$18)*ABS($CB104:$CW104)),"-")</f>
        <v>9.3357336167634373E-5</v>
      </c>
      <c r="BX104" s="115"/>
      <c r="BY104" s="114">
        <f t="array" ref="BY104">IFERROR(SUMIFS($CB104:$CW104,$CB$17:$CW$17,BY$17,$CB$18:$CW$18,BY$18)/SUMPRODUCT(($CB$18:$CW$18=BY$18)*ABS($CB104:$CW104)),"-")</f>
        <v>1.5717523258667097E-3</v>
      </c>
      <c r="BZ104" s="116">
        <f t="array" ref="BZ104">IFERROR(SUMIFS($CB104:$CW104,$CB$17:$CW$17,BZ$17,$CB$18:$CW$18,BZ$18)/SUMPRODUCT(($CB$18:$CW$18=BZ$18)*ABS($CB104:$CW104)),"-")</f>
        <v>0.9984282476741333</v>
      </c>
      <c r="CB104" s="117">
        <v>5.5912254E-7</v>
      </c>
      <c r="CC104" s="111">
        <v>1.6858321E-9</v>
      </c>
      <c r="CD104" s="111">
        <v>4.6067864999999999E-14</v>
      </c>
      <c r="CE104" s="111">
        <v>3.7128076999999998E-9</v>
      </c>
      <c r="CF104" s="111">
        <v>2.1724897E-11</v>
      </c>
      <c r="CG104" s="111">
        <v>1.9177935000000001E-9</v>
      </c>
      <c r="CH104" s="111">
        <v>4.4602903000000001E-7</v>
      </c>
      <c r="CI104" s="111">
        <v>2.7488756000000001E-10</v>
      </c>
      <c r="CJ104" s="111">
        <v>7.7076873999999999E-10</v>
      </c>
      <c r="CK104" s="111">
        <v>4.6933417000000001E-11</v>
      </c>
      <c r="CL104" s="111">
        <v>4.9415598000000001E-12</v>
      </c>
      <c r="CM104" s="111">
        <v>6.3213103999999997E-13</v>
      </c>
      <c r="CN104" s="111">
        <v>2.0641594E-12</v>
      </c>
      <c r="CO104" s="111">
        <v>4.4912900999999999E-13</v>
      </c>
      <c r="CP104" s="111">
        <v>9.6001497000000009E-10</v>
      </c>
      <c r="CQ104" s="111">
        <v>2.8758201000000002E-7</v>
      </c>
      <c r="CR104" s="111">
        <v>6.0716906999999994E-8</v>
      </c>
      <c r="CS104" s="111">
        <v>5.5525202E-5</v>
      </c>
      <c r="CT104" s="111">
        <v>3.5271416E-2</v>
      </c>
      <c r="CU104" s="111">
        <v>9.7495860000000008E-10</v>
      </c>
      <c r="CV104" s="111">
        <v>5.9288023000000001E-12</v>
      </c>
      <c r="CW104" s="112">
        <v>2.6525900999999998E-16</v>
      </c>
    </row>
    <row r="105" spans="2:101" ht="12" customHeight="1" outlineLevel="1" x14ac:dyDescent="0.2">
      <c r="B105" s="104" t="s">
        <v>110</v>
      </c>
      <c r="C105" s="104" t="s">
        <v>121</v>
      </c>
      <c r="D105" s="2" t="s">
        <v>143</v>
      </c>
      <c r="E105" s="2" t="s">
        <v>147</v>
      </c>
      <c r="F105" s="105" t="s">
        <v>93</v>
      </c>
      <c r="G105" s="27" t="s">
        <v>1578</v>
      </c>
      <c r="H105" s="106" t="s">
        <v>130</v>
      </c>
      <c r="I105" s="107" t="s">
        <v>129</v>
      </c>
      <c r="J105" s="108">
        <v>6.3623397199999996</v>
      </c>
      <c r="K105" s="109"/>
      <c r="L105" s="109"/>
      <c r="M105" s="110"/>
      <c r="N105" s="161"/>
      <c r="O105" s="1056"/>
      <c r="P105" s="117">
        <v>1.6696742364339998E-6</v>
      </c>
      <c r="Q105" s="111">
        <v>7.9073121279480796E-8</v>
      </c>
      <c r="R105" s="112">
        <v>4.3984216295000003E-2</v>
      </c>
      <c r="S105" s="1032">
        <v>0.74974326000000002</v>
      </c>
      <c r="T105" s="1032">
        <v>8.7070924999999995E-6</v>
      </c>
      <c r="U105" s="1032">
        <v>3.1830827000000001E-3</v>
      </c>
      <c r="V105" s="1032">
        <v>2.6238708000000002E-3</v>
      </c>
      <c r="W105" s="1032">
        <v>8.8291699999999999E-4</v>
      </c>
      <c r="X105" s="1032">
        <v>2.6531229999999999E-3</v>
      </c>
      <c r="Y105" s="1032">
        <v>4.5230846000000003E-3</v>
      </c>
      <c r="Z105" s="1032">
        <v>8.7097703000000006E-5</v>
      </c>
      <c r="AA105" s="1032">
        <v>3.6213662000000001E-3</v>
      </c>
      <c r="AB105" s="1032">
        <v>6.9061032999999994E-2</v>
      </c>
      <c r="AC105" s="1032">
        <v>3.7392717E-3</v>
      </c>
      <c r="AD105" s="1032">
        <v>5.3443620999999997E-3</v>
      </c>
      <c r="AE105" s="1032">
        <v>3.6482437999999997E-4</v>
      </c>
      <c r="AF105" s="1032">
        <v>1.7917836</v>
      </c>
      <c r="AG105" s="1032">
        <v>8.5130953999999992</v>
      </c>
      <c r="AH105" s="1032">
        <v>2.9898278999999998E-4</v>
      </c>
      <c r="AI105" s="1032">
        <v>0.102239</v>
      </c>
      <c r="AJ105" s="1036">
        <v>5.4679436000000005E-4</v>
      </c>
      <c r="AK105" s="1077">
        <v>0.74610047999999995</v>
      </c>
      <c r="AL105" s="1078">
        <v>5.3390958999999998E-9</v>
      </c>
      <c r="AM105" s="1078">
        <v>6.5265454000000001E-3</v>
      </c>
      <c r="AN105" s="1078">
        <v>2.8972054000000001E-3</v>
      </c>
      <c r="AO105" s="1078">
        <v>1.3538979E-3</v>
      </c>
      <c r="AP105" s="1078">
        <v>5.8672443000000003E-3</v>
      </c>
      <c r="AQ105" s="1078">
        <v>1.0677867000000001E-4</v>
      </c>
      <c r="AR105" s="1078">
        <v>1.2669089E-2</v>
      </c>
      <c r="AS105" s="1078">
        <v>1.2545227E-4</v>
      </c>
      <c r="AT105" s="1078">
        <v>4.7030690999999998E-4</v>
      </c>
      <c r="AU105" s="1078">
        <v>4.7450090000000002E-4</v>
      </c>
      <c r="AV105" s="1078">
        <v>4.6212613E-2</v>
      </c>
      <c r="AW105" s="1078">
        <v>8.5130931000000007</v>
      </c>
      <c r="AX105" s="1078">
        <v>2.2172210000000001E-6</v>
      </c>
      <c r="AY105" s="1078">
        <v>-1.5238270000000001E-8</v>
      </c>
      <c r="AZ105" s="1078">
        <v>3.3763797999999999E-3</v>
      </c>
      <c r="BA105" s="1078">
        <v>0.10739340999999999</v>
      </c>
      <c r="BB105" s="1079">
        <v>5.5242454000000005E-4</v>
      </c>
      <c r="BC105" s="1035"/>
      <c r="BE105" s="113">
        <f t="array" ref="BE105">IFERROR(SUMIFS($CB105:$CW105,$CB$17:$CW$17,BE$17,$CB$18:$CW$18,BE$18)/SUMPRODUCT(($CB$18:$CW$18=BE$18)*ABS($CB105:$CW105)),"-")</f>
        <v>0.41693281528184956</v>
      </c>
      <c r="BF105" s="114">
        <f t="array" ref="BF105">IFERROR(SUMIFS($CB105:$CW105,$CB$17:$CW$17,BF$17,$CB$18:$CW$18,BF$18)/SUMPRODUCT(($CB$18:$CW$18=BF$18)*ABS($CB105:$CW105)),"-")</f>
        <v>2.768608390264713E-3</v>
      </c>
      <c r="BG105" s="114">
        <f t="array" ref="BG105">IFERROR(SUMIFS($CB105:$CW105,$CB$17:$CW$17,BG$17,$CB$18:$CW$18,BG$18)/SUMPRODUCT(($CB$18:$CW$18=BG$18)*ABS($CB105:$CW105)),"-")</f>
        <v>1.620006670149588E-5</v>
      </c>
      <c r="BH105" s="114">
        <f t="array" ref="BH105">IFERROR(SUMIFS($CB105:$CW105,$CB$17:$CW$17,BH$17,$CB$18:$CW$18,BH$18)/SUMPRODUCT(($CB$18:$CW$18=BH$18)*ABS($CB105:$CW105)),"-")</f>
        <v>1.4300818973524275E-3</v>
      </c>
      <c r="BI105" s="114">
        <f t="array" ref="BI105">IFERROR(SUMIFS($CB105:$CW105,$CB$17:$CW$17,BI$17,$CB$18:$CW$18,BI$18)/SUMPRODUCT(($CB$18:$CW$18=BI$18)*ABS($CB105:$CW105)),"-")</f>
        <v>0.33259996344319925</v>
      </c>
      <c r="BJ105" s="114">
        <f t="array" ref="BJ105">IFERROR(SUMIFS($CB105:$CW105,$CB$17:$CW$17,BJ$17,$CB$18:$CW$18,BJ$18)/SUMPRODUCT(($CB$18:$CW$18=BJ$18)*ABS($CB105:$CW105)),"-")</f>
        <v>7.2627287020364474E-4</v>
      </c>
      <c r="BK105" s="114">
        <f t="array" ref="BK105">IFERROR(SUMIFS($CB105:$CW105,$CB$17:$CW$17,BK$17,$CB$18:$CW$18,BK$18)/SUMPRODUCT(($CB$18:$CW$18=BK$18)*ABS($CB105:$CW105)),"-")</f>
        <v>0.24479903988514157</v>
      </c>
      <c r="BL105" s="114">
        <f t="array" ref="BL105">IFERROR(SUMIFS($CB105:$CW105,$CB$17:$CW$17,BL$17,$CB$18:$CW$18,BL$18)/SUMPRODUCT(($CB$18:$CW$18=BL$18)*ABS($CB105:$CW105)),"-")</f>
        <v>7.270181652874677E-4</v>
      </c>
      <c r="BM105" s="115"/>
      <c r="BN105" s="114">
        <f t="array" ref="BN105">IFERROR(SUMIFS($CB105:$CW105,$CB$17:$CW$17,BN$17,$CB$18:$CW$18,BN$18)/SUMPRODUCT(($CB$18:$CW$18=BN$18)*ABS($CB105:$CW105)),"-")</f>
        <v>2.6545330744034874E-2</v>
      </c>
      <c r="BO105" s="114">
        <f t="array" ref="BO105">IFERROR(SUMIFS($CB105:$CW105,$CB$17:$CW$17,BO$17,$CB$18:$CW$18,BO$18)/SUMPRODUCT(($CB$18:$CW$18=BO$18)*ABS($CB105:$CW105)),"-")</f>
        <v>4.3282968278224926E-3</v>
      </c>
      <c r="BP105" s="114">
        <f t="array" ref="BP105">IFERROR(SUMIFS($CB105:$CW105,$CB$17:$CW$17,BP$17,$CB$18:$CW$18,BP$18)/SUMPRODUCT(($CB$18:$CW$18=BP$18)*ABS($CB105:$CW105)),"-")</f>
        <v>1.2136292389523101E-2</v>
      </c>
      <c r="BQ105" s="114">
        <f t="array" ref="BQ105">IFERROR(SUMIFS($CB105:$CW105,$CB$17:$CW$17,BQ$17,$CB$18:$CW$18,BQ$18)/SUMPRODUCT(($CB$18:$CW$18=BQ$18)*ABS($CB105:$CW105)),"-")</f>
        <v>7.3899944828867761E-4</v>
      </c>
      <c r="BR105" s="114">
        <f t="array" ref="BR105">IFERROR(SUMIFS($CB105:$CW105,$CB$17:$CW$17,BR$17,$CB$18:$CW$18,BR$18)/SUMPRODUCT(($CB$18:$CW$18=BR$18)*ABS($CB105:$CW105)),"-")</f>
        <v>7.7808312109674678E-5</v>
      </c>
      <c r="BS105" s="114">
        <f t="array" ref="BS105">IFERROR(SUMIFS($CB105:$CW105,$CB$17:$CW$17,BS$17,$CB$18:$CW$18,BS$18)/SUMPRODUCT(($CB$18:$CW$18=BS$18)*ABS($CB105:$CW105)),"-")</f>
        <v>9.9533449200548348E-6</v>
      </c>
      <c r="BT105" s="114">
        <f t="array" ref="BT105">IFERROR(SUMIFS($CB105:$CW105,$CB$17:$CW$17,BT$17,$CB$18:$CW$18,BT$18)/SUMPRODUCT(($CB$18:$CW$18=BT$18)*ABS($CB105:$CW105)),"-")</f>
        <v>3.2725333945701945E-5</v>
      </c>
      <c r="BU105" s="114">
        <f t="array" ref="BU105">IFERROR(SUMIFS($CB105:$CW105,$CB$17:$CW$17,BU$17,$CB$18:$CW$18,BU$18)/SUMPRODUCT(($CB$18:$CW$18=BU$18)*ABS($CB105:$CW105)),"-")</f>
        <v>7.0989058091686071E-6</v>
      </c>
      <c r="BV105" s="114">
        <f t="array" ref="BV105">IFERROR(SUMIFS($CB105:$CW105,$CB$17:$CW$17,BV$17,$CB$18:$CW$18,BV$18)/SUMPRODUCT(($CB$18:$CW$18=BV$18)*ABS($CB105:$CW105)),"-")</f>
        <v>0.95603013738142373</v>
      </c>
      <c r="BW105" s="114">
        <f t="array" ref="BW105">IFERROR(SUMIFS($CB105:$CW105,$CB$17:$CW$17,BW$17,$CB$18:$CW$18,BW$18)/SUMPRODUCT(($CB$18:$CW$18=BW$18)*ABS($CB105:$CW105)),"-")</f>
        <v>9.3357312122515368E-5</v>
      </c>
      <c r="BX105" s="115"/>
      <c r="BY105" s="114">
        <f t="array" ref="BY105">IFERROR(SUMIFS($CB105:$CW105,$CB$17:$CW$17,BY$17,$CB$18:$CW$18,BY$18)/SUMPRODUCT(($CB$18:$CW$18=BY$18)*ABS($CB105:$CW105)),"-")</f>
        <v>1.5717523426206587E-3</v>
      </c>
      <c r="BZ105" s="116">
        <f t="array" ref="BZ105">IFERROR(SUMIFS($CB105:$CW105,$CB$17:$CW$17,BZ$17,$CB$18:$CW$18,BZ$18)/SUMPRODUCT(($CB$18:$CW$18=BZ$18)*ABS($CB105:$CW105)),"-")</f>
        <v>0.99842824765737925</v>
      </c>
      <c r="CB105" s="117">
        <v>6.9614198000000002E-7</v>
      </c>
      <c r="CC105" s="111">
        <v>2.0989647999999998E-9</v>
      </c>
      <c r="CD105" s="111">
        <v>5.7357327000000003E-14</v>
      </c>
      <c r="CE105" s="111">
        <v>4.6226740999999998E-9</v>
      </c>
      <c r="CF105" s="111">
        <v>2.7048833999999999E-11</v>
      </c>
      <c r="CG105" s="111">
        <v>2.3877709000000002E-9</v>
      </c>
      <c r="CH105" s="111">
        <v>5.5533358999999998E-7</v>
      </c>
      <c r="CI105" s="111">
        <v>3.4225193999999999E-10</v>
      </c>
      <c r="CJ105" s="111">
        <v>9.5965451999999996E-10</v>
      </c>
      <c r="CK105" s="111">
        <v>5.8434993000000005E-11</v>
      </c>
      <c r="CL105" s="111">
        <v>6.1525460999999998E-12</v>
      </c>
      <c r="CM105" s="111">
        <v>7.8704205000000002E-13</v>
      </c>
      <c r="CN105" s="111">
        <v>2.5876942999999999E-12</v>
      </c>
      <c r="CO105" s="111">
        <v>5.6133264000000002E-13</v>
      </c>
      <c r="CP105" s="111">
        <v>1.2126391E-9</v>
      </c>
      <c r="CQ105" s="111">
        <v>4.0873465000000001E-7</v>
      </c>
      <c r="CR105" s="111">
        <v>7.5596287000000006E-8</v>
      </c>
      <c r="CS105" s="111">
        <v>6.9132295000000002E-5</v>
      </c>
      <c r="CT105" s="111">
        <v>4.3915084E-2</v>
      </c>
      <c r="CU105" s="111">
        <v>1.2138835E-9</v>
      </c>
      <c r="CV105" s="111">
        <v>7.3817237999999995E-12</v>
      </c>
      <c r="CW105" s="112">
        <v>3.3026379000000002E-16</v>
      </c>
    </row>
    <row r="106" spans="2:101" ht="12" customHeight="1" outlineLevel="1" x14ac:dyDescent="0.2">
      <c r="B106" s="104" t="s">
        <v>110</v>
      </c>
      <c r="C106" s="104" t="s">
        <v>121</v>
      </c>
      <c r="D106" s="2" t="s">
        <v>143</v>
      </c>
      <c r="E106" s="2" t="s">
        <v>147</v>
      </c>
      <c r="F106" s="105" t="s">
        <v>94</v>
      </c>
      <c r="G106" s="27" t="s">
        <v>1580</v>
      </c>
      <c r="H106" s="106" t="s">
        <v>131</v>
      </c>
      <c r="I106" s="107" t="s">
        <v>129</v>
      </c>
      <c r="J106" s="108">
        <v>6.3623397199999996</v>
      </c>
      <c r="K106" s="109"/>
      <c r="L106" s="109"/>
      <c r="M106" s="110"/>
      <c r="N106" s="161"/>
      <c r="O106" s="1056"/>
      <c r="P106" s="117">
        <v>1.0523912799719998E-6</v>
      </c>
      <c r="Q106" s="111">
        <v>5.3061676110038201E-8</v>
      </c>
      <c r="R106" s="112">
        <v>2.9515432951000002E-2</v>
      </c>
      <c r="S106" s="1032">
        <v>0.50311222</v>
      </c>
      <c r="T106" s="1032">
        <v>5.8428597000000003E-6</v>
      </c>
      <c r="U106" s="1032">
        <v>2.1359948999999999E-3</v>
      </c>
      <c r="V106" s="1032">
        <v>1.760738E-3</v>
      </c>
      <c r="W106" s="1032">
        <v>5.9247792999999997E-4</v>
      </c>
      <c r="X106" s="1032">
        <v>1.7803675999999999E-3</v>
      </c>
      <c r="Y106" s="1032">
        <v>3.0351979000000002E-3</v>
      </c>
      <c r="Z106" s="1032">
        <v>5.8446565999999997E-5</v>
      </c>
      <c r="AA106" s="1032">
        <v>2.4301034E-3</v>
      </c>
      <c r="AB106" s="1032">
        <v>4.6343131000000003E-2</v>
      </c>
      <c r="AC106" s="1032">
        <v>2.4750684000000001E-3</v>
      </c>
      <c r="AD106" s="1032">
        <v>3.5589824000000002E-3</v>
      </c>
      <c r="AE106" s="1032">
        <v>2.3780914E-4</v>
      </c>
      <c r="AF106" s="1032">
        <v>0.90421567999999997</v>
      </c>
      <c r="AG106" s="1032">
        <v>5.7126786999999997</v>
      </c>
      <c r="AH106" s="1032">
        <v>2.0063121E-4</v>
      </c>
      <c r="AI106" s="1032">
        <v>6.8607071000000006E-2</v>
      </c>
      <c r="AJ106" s="1036">
        <v>3.6692417E-4</v>
      </c>
      <c r="AK106" s="1077">
        <v>0.50066774999999997</v>
      </c>
      <c r="AL106" s="1078">
        <v>3.582779E-9</v>
      </c>
      <c r="AM106" s="1078">
        <v>4.3796123000000003E-3</v>
      </c>
      <c r="AN106" s="1078">
        <v>1.9441581999999999E-3</v>
      </c>
      <c r="AO106" s="1078">
        <v>9.0852776999999997E-4</v>
      </c>
      <c r="AP106" s="1078">
        <v>3.9371909E-3</v>
      </c>
      <c r="AQ106" s="1078">
        <v>7.1653397999999995E-5</v>
      </c>
      <c r="AR106" s="1078">
        <v>8.5015413000000001E-3</v>
      </c>
      <c r="AS106" s="1078">
        <v>5.3212372999999998E-5</v>
      </c>
      <c r="AT106" s="1078">
        <v>3.1284735000000001E-4</v>
      </c>
      <c r="AU106" s="1078">
        <v>3.1702127000000002E-4</v>
      </c>
      <c r="AV106" s="1078">
        <v>2.6587634999999998E-2</v>
      </c>
      <c r="AW106" s="1078">
        <v>5.7126771999999999</v>
      </c>
      <c r="AX106" s="1078">
        <v>1.4878573000000001E-6</v>
      </c>
      <c r="AY106" s="1078">
        <v>-1.022558E-8</v>
      </c>
      <c r="AZ106" s="1078">
        <v>2.2657062000000002E-3</v>
      </c>
      <c r="BA106" s="1078">
        <v>7.2065918000000007E-2</v>
      </c>
      <c r="BB106" s="1079">
        <v>3.7070229000000002E-4</v>
      </c>
      <c r="BC106" s="1035"/>
      <c r="BE106" s="113">
        <f t="array" ref="BE106">IFERROR(SUMIFS($CB106:$CW106,$CB$17:$CW$17,BE$17,$CB$18:$CW$18,BE$18)/SUMPRODUCT(($CB$18:$CW$18=BE$18)*ABS($CB106:$CW106)),"-")</f>
        <v>0.44388746741841961</v>
      </c>
      <c r="BF106" s="114">
        <f t="array" ref="BF106">IFERROR(SUMIFS($CB106:$CW106,$CB$17:$CW$17,BF$17,$CB$18:$CW$18,BF$18)/SUMPRODUCT(($CB$18:$CW$18=BF$18)*ABS($CB106:$CW106)),"-")</f>
        <v>2.9475985396634351E-3</v>
      </c>
      <c r="BG106" s="114">
        <f t="array" ref="BG106">IFERROR(SUMIFS($CB106:$CW106,$CB$17:$CW$17,BG$17,$CB$18:$CW$18,BG$18)/SUMPRODUCT(($CB$18:$CW$18=BG$18)*ABS($CB106:$CW106)),"-")</f>
        <v>1.7247398705624898E-5</v>
      </c>
      <c r="BH106" s="114">
        <f t="array" ref="BH106">IFERROR(SUMIFS($CB106:$CW106,$CB$17:$CW$17,BH$17,$CB$18:$CW$18,BH$18)/SUMPRODUCT(($CB$18:$CW$18=BH$18)*ABS($CB106:$CW106)),"-")</f>
        <v>1.52253656077674E-3</v>
      </c>
      <c r="BI106" s="114">
        <f t="array" ref="BI106">IFERROR(SUMIFS($CB106:$CW106,$CB$17:$CW$17,BI$17,$CB$18:$CW$18,BI$18)/SUMPRODUCT(($CB$18:$CW$18=BI$18)*ABS($CB106:$CW106)),"-")</f>
        <v>0.35410250644600066</v>
      </c>
      <c r="BJ106" s="114">
        <f t="array" ref="BJ106">IFERROR(SUMIFS($CB106:$CW106,$CB$17:$CW$17,BJ$17,$CB$18:$CW$18,BJ$18)/SUMPRODUCT(($CB$18:$CW$18=BJ$18)*ABS($CB106:$CW106)),"-")</f>
        <v>7.5108575588067443E-4</v>
      </c>
      <c r="BK106" s="114">
        <f t="array" ref="BK106">IFERROR(SUMIFS($CB106:$CW106,$CB$17:$CW$17,BK$17,$CB$18:$CW$18,BK$18)/SUMPRODUCT(($CB$18:$CW$18=BK$18)*ABS($CB106:$CW106)),"-")</f>
        <v>0.19599753810720283</v>
      </c>
      <c r="BL106" s="114">
        <f t="array" ref="BL106">IFERROR(SUMIFS($CB106:$CW106,$CB$17:$CW$17,BL$17,$CB$18:$CW$18,BL$18)/SUMPRODUCT(($CB$18:$CW$18=BL$18)*ABS($CB106:$CW106)),"-")</f>
        <v>7.740197733505285E-4</v>
      </c>
      <c r="BM106" s="115"/>
      <c r="BN106" s="114">
        <f t="array" ref="BN106">IFERROR(SUMIFS($CB106:$CW106,$CB$17:$CW$17,BN$17,$CB$18:$CW$18,BN$18)/SUMPRODUCT(($CB$18:$CW$18=BN$18)*ABS($CB106:$CW106)),"-")</f>
        <v>2.6545342941768333E-2</v>
      </c>
      <c r="BO106" s="114">
        <f t="array" ref="BO106">IFERROR(SUMIFS($CB106:$CW106,$CB$17:$CW$17,BO$17,$CB$18:$CW$18,BO$18)/SUMPRODUCT(($CB$18:$CW$18=BO$18)*ABS($CB106:$CW106)),"-")</f>
        <v>4.3282990066827471E-3</v>
      </c>
      <c r="BP106" s="114">
        <f t="array" ref="BP106">IFERROR(SUMIFS($CB106:$CW106,$CB$17:$CW$17,BP$17,$CB$18:$CW$18,BP$18)/SUMPRODUCT(($CB$18:$CW$18=BP$18)*ABS($CB106:$CW106)),"-")</f>
        <v>1.2136298496574882E-2</v>
      </c>
      <c r="BQ106" s="114">
        <f t="array" ref="BQ106">IFERROR(SUMIFS($CB106:$CW106,$CB$17:$CW$17,BQ$17,$CB$18:$CW$18,BQ$18)/SUMPRODUCT(($CB$18:$CW$18=BQ$18)*ABS($CB106:$CW106)),"-")</f>
        <v>7.3899981822439596E-4</v>
      </c>
      <c r="BR106" s="114">
        <f t="array" ref="BR106">IFERROR(SUMIFS($CB106:$CW106,$CB$17:$CW$17,BR$17,$CB$18:$CW$18,BR$18)/SUMPRODUCT(($CB$18:$CW$18=BR$18)*ABS($CB106:$CW106)),"-")</f>
        <v>7.7808350634045342E-5</v>
      </c>
      <c r="BS106" s="114">
        <f t="array" ref="BS106">IFERROR(SUMIFS($CB106:$CW106,$CB$17:$CW$17,BS$17,$CB$18:$CW$18,BS$18)/SUMPRODUCT(($CB$18:$CW$18=BS$18)*ABS($CB106:$CW106)),"-")</f>
        <v>9.9533499263150168E-6</v>
      </c>
      <c r="BT106" s="114">
        <f t="array" ref="BT106">IFERROR(SUMIFS($CB106:$CW106,$CB$17:$CW$17,BT$17,$CB$18:$CW$18,BT$18)/SUMPRODUCT(($CB$18:$CW$18=BT$18)*ABS($CB106:$CW106)),"-")</f>
        <v>3.2277947580249682E-5</v>
      </c>
      <c r="BU106" s="114">
        <f t="array" ref="BU106">IFERROR(SUMIFS($CB106:$CW106,$CB$17:$CW$17,BU$17,$CB$18:$CW$18,BU$18)/SUMPRODUCT(($CB$18:$CW$18=BU$18)*ABS($CB106:$CW106)),"-")</f>
        <v>7.044797816503254E-6</v>
      </c>
      <c r="BV106" s="114">
        <f t="array" ref="BV106">IFERROR(SUMIFS($CB106:$CW106,$CB$17:$CW$17,BV$17,$CB$18:$CW$18,BV$18)/SUMPRODUCT(($CB$18:$CW$18=BV$18)*ABS($CB106:$CW106)),"-")</f>
        <v>0.95603061793223632</v>
      </c>
      <c r="BW106" s="114">
        <f t="array" ref="BW106">IFERROR(SUMIFS($CB106:$CW106,$CB$17:$CW$17,BW$17,$CB$18:$CW$18,BW$18)/SUMPRODUCT(($CB$18:$CW$18=BW$18)*ABS($CB106:$CW106)),"-")</f>
        <v>9.3357358556241698E-5</v>
      </c>
      <c r="BX106" s="115"/>
      <c r="BY106" s="114">
        <f t="array" ref="BY106">IFERROR(SUMIFS($CB106:$CW106,$CB$17:$CW$17,BY$17,$CB$18:$CW$18,BY$18)/SUMPRODUCT(($CB$18:$CW$18=BY$18)*ABS($CB106:$CW106)),"-")</f>
        <v>1.5717523465441237E-3</v>
      </c>
      <c r="BZ106" s="116">
        <f t="array" ref="BZ106">IFERROR(SUMIFS($CB106:$CW106,$CB$17:$CW$17,BZ$17,$CB$18:$CW$18,BZ$18)/SUMPRODUCT(($CB$18:$CW$18=BZ$18)*ABS($CB106:$CW106)),"-")</f>
        <v>0.99842824765345584</v>
      </c>
      <c r="CB106" s="117">
        <v>4.6714329999999999E-7</v>
      </c>
      <c r="CC106" s="111">
        <v>1.4085019E-9</v>
      </c>
      <c r="CD106" s="111">
        <v>3.8489406000000002E-14</v>
      </c>
      <c r="CE106" s="111">
        <v>3.1020270000000002E-9</v>
      </c>
      <c r="CF106" s="111">
        <v>1.8151011999999999E-11</v>
      </c>
      <c r="CG106" s="111">
        <v>1.6023042E-9</v>
      </c>
      <c r="CH106" s="111">
        <v>3.7265438999999998E-7</v>
      </c>
      <c r="CI106" s="111">
        <v>2.2966680000000001E-10</v>
      </c>
      <c r="CJ106" s="111">
        <v>6.4397233999999998E-10</v>
      </c>
      <c r="CK106" s="111">
        <v>3.9212569000000003E-11</v>
      </c>
      <c r="CL106" s="111">
        <v>4.1286414999999997E-12</v>
      </c>
      <c r="CM106" s="111">
        <v>5.2814142999999997E-13</v>
      </c>
      <c r="CN106" s="111">
        <v>1.7127219999999999E-12</v>
      </c>
      <c r="CO106" s="111">
        <v>3.7380877999999999E-13</v>
      </c>
      <c r="CP106" s="111">
        <v>7.9043610000000001E-10</v>
      </c>
      <c r="CQ106" s="111">
        <v>2.0626609999999999E-7</v>
      </c>
      <c r="CR106" s="111">
        <v>5.0728587000000001E-8</v>
      </c>
      <c r="CS106" s="111">
        <v>4.6390951000000003E-5</v>
      </c>
      <c r="CT106" s="111">
        <v>2.9469042000000001E-2</v>
      </c>
      <c r="CU106" s="111">
        <v>8.1457165999999996E-10</v>
      </c>
      <c r="CV106" s="111">
        <v>4.9534762999999999E-12</v>
      </c>
      <c r="CW106" s="112">
        <v>2.2162219999999999E-16</v>
      </c>
    </row>
    <row r="107" spans="2:101" ht="12" customHeight="1" outlineLevel="1" x14ac:dyDescent="0.2">
      <c r="B107" s="104" t="s">
        <v>110</v>
      </c>
      <c r="C107" s="104" t="s">
        <v>121</v>
      </c>
      <c r="D107" s="2" t="s">
        <v>143</v>
      </c>
      <c r="E107" s="2" t="s">
        <v>147</v>
      </c>
      <c r="F107" s="105" t="s">
        <v>95</v>
      </c>
      <c r="G107" s="27" t="s">
        <v>1581</v>
      </c>
      <c r="H107" s="106" t="s">
        <v>128</v>
      </c>
      <c r="I107" s="107" t="s">
        <v>127</v>
      </c>
      <c r="J107" s="108">
        <v>6.3623397199999996</v>
      </c>
      <c r="K107" s="109"/>
      <c r="L107" s="109"/>
      <c r="M107" s="110"/>
      <c r="N107" s="161"/>
      <c r="O107" s="1056"/>
      <c r="P107" s="117">
        <v>3.9788105936119996E-6</v>
      </c>
      <c r="Q107" s="111">
        <v>6.5990250294971777E-8</v>
      </c>
      <c r="R107" s="112">
        <v>3.7765487366000002E-2</v>
      </c>
      <c r="S107" s="1032">
        <v>0.70938915999999996</v>
      </c>
      <c r="T107" s="1032">
        <v>1.0304389000000001E-5</v>
      </c>
      <c r="U107" s="1032">
        <v>2.5780153E-3</v>
      </c>
      <c r="V107" s="1032">
        <v>2.2816491000000002E-3</v>
      </c>
      <c r="W107" s="1032">
        <v>1.8661449E-3</v>
      </c>
      <c r="X107" s="1032">
        <v>2.3060105E-3</v>
      </c>
      <c r="Y107" s="1032">
        <v>1.2976296999999999E-2</v>
      </c>
      <c r="Z107" s="1032">
        <v>3.2382343000000001E-4</v>
      </c>
      <c r="AA107" s="1032">
        <v>4.2317721000000004E-3</v>
      </c>
      <c r="AB107" s="1032">
        <v>9.6816566000000007E-2</v>
      </c>
      <c r="AC107" s="1032">
        <v>5.4379494000000002E-3</v>
      </c>
      <c r="AD107" s="1032">
        <v>7.2066600999999997E-3</v>
      </c>
      <c r="AE107" s="1032">
        <v>5.6067545E-4</v>
      </c>
      <c r="AF107" s="1032">
        <v>9.3621839999999992</v>
      </c>
      <c r="AG107" s="1032">
        <v>6.8374895000000002</v>
      </c>
      <c r="AH107" s="1032">
        <v>2.4070259E-4</v>
      </c>
      <c r="AI107" s="1032">
        <v>8.7521593999999994E-2</v>
      </c>
      <c r="AJ107" s="1036">
        <v>4.4075127999999999E-4</v>
      </c>
      <c r="AK107" s="1077">
        <v>0.70631195000000002</v>
      </c>
      <c r="AL107" s="1078">
        <v>4.3239988E-9</v>
      </c>
      <c r="AM107" s="1078">
        <v>5.2854881000000001E-3</v>
      </c>
      <c r="AN107" s="1078">
        <v>2.511419E-3</v>
      </c>
      <c r="AO107" s="1078">
        <v>2.6451755999999998E-3</v>
      </c>
      <c r="AP107" s="1078">
        <v>1.6408598E-2</v>
      </c>
      <c r="AQ107" s="1078">
        <v>3.3967762E-4</v>
      </c>
      <c r="AR107" s="1078">
        <v>1.5152969000000001E-2</v>
      </c>
      <c r="AS107" s="1078">
        <v>9.2288489000000003E-4</v>
      </c>
      <c r="AT107" s="1078">
        <v>5.2478412999999995E-4</v>
      </c>
      <c r="AU107" s="1078">
        <v>4.9131627E-4</v>
      </c>
      <c r="AV107" s="1078">
        <v>0.15144172</v>
      </c>
      <c r="AW107" s="1078">
        <v>6.8374877999999999</v>
      </c>
      <c r="AX107" s="1078">
        <v>1.7808122999999999E-6</v>
      </c>
      <c r="AY107" s="1078">
        <v>-1.2238969E-8</v>
      </c>
      <c r="AZ107" s="1078">
        <v>2.7159635999999998E-3</v>
      </c>
      <c r="BA107" s="1078">
        <v>9.1872548999999998E-2</v>
      </c>
      <c r="BB107" s="1079">
        <v>4.4527329999999998E-4</v>
      </c>
      <c r="BC107" s="1035"/>
      <c r="BE107" s="113">
        <f t="array" ref="BE107">IFERROR(SUMIFS($CB107:$CW107,$CB$17:$CW$17,BE$17,$CB$18:$CW$18,BE$18)/SUMPRODUCT(($CB$18:$CW$18=BE$18)*ABS($CB107:$CW107)),"-")</f>
        <v>0.16556621495319154</v>
      </c>
      <c r="BF107" s="114">
        <f t="array" ref="BF107">IFERROR(SUMIFS($CB107:$CW107,$CB$17:$CW$17,BF$17,$CB$18:$CW$18,BF$18)/SUMPRODUCT(($CB$18:$CW$18=BF$18)*ABS($CB107:$CW107)),"-")</f>
        <v>1.3749569302904806E-3</v>
      </c>
      <c r="BG107" s="114">
        <f t="array" ref="BG107">IFERROR(SUMIFS($CB107:$CW107,$CB$17:$CW$17,BG$17,$CB$18:$CW$18,BG$18)/SUMPRODUCT(($CB$18:$CW$18=BG$18)*ABS($CB107:$CW107)),"-")</f>
        <v>5.505957492717059E-6</v>
      </c>
      <c r="BH107" s="114">
        <f t="array" ref="BH107">IFERROR(SUMIFS($CB107:$CW107,$CB$17:$CW$17,BH$17,$CB$18:$CW$18,BH$18)/SUMPRODUCT(($CB$18:$CW$18=BH$18)*ABS($CB107:$CW107)),"-")</f>
        <v>5.218493695913984E-4</v>
      </c>
      <c r="BI107" s="114">
        <f t="array" ref="BI107">IFERROR(SUMIFS($CB107:$CW107,$CB$17:$CW$17,BI$17,$CB$18:$CW$18,BI$18)/SUMPRODUCT(($CB$18:$CW$18=BI$18)*ABS($CB107:$CW107)),"-")</f>
        <v>0.29505689511454092</v>
      </c>
      <c r="BJ107" s="114">
        <f t="array" ref="BJ107">IFERROR(SUMIFS($CB107:$CW107,$CB$17:$CW$17,BJ$17,$CB$18:$CW$18,BJ$18)/SUMPRODUCT(($CB$18:$CW$18=BJ$18)*ABS($CB107:$CW107)),"-")</f>
        <v>4.6842531358298414E-4</v>
      </c>
      <c r="BK107" s="114">
        <f t="array" ref="BK107">IFERROR(SUMIFS($CB107:$CW107,$CB$17:$CW$17,BK$17,$CB$18:$CW$18,BK$18)/SUMPRODUCT(($CB$18:$CW$18=BK$18)*ABS($CB107:$CW107)),"-")</f>
        <v>0.53676023267577122</v>
      </c>
      <c r="BL107" s="114">
        <f t="array" ref="BL107">IFERROR(SUMIFS($CB107:$CW107,$CB$17:$CW$17,BL$17,$CB$18:$CW$18,BL$18)/SUMPRODUCT(($CB$18:$CW$18=BL$18)*ABS($CB107:$CW107)),"-")</f>
        <v>2.4591968553892336E-4</v>
      </c>
      <c r="BM107" s="115"/>
      <c r="BN107" s="114">
        <f t="array" ref="BN107">IFERROR(SUMIFS($CB107:$CW107,$CB$17:$CW$17,BN$17,$CB$18:$CW$18,BN$18)/SUMPRODUCT(($CB$18:$CW$18=BN$18)*ABS($CB107:$CW107)),"-")</f>
        <v>3.009489222818304E-2</v>
      </c>
      <c r="BO107" s="114">
        <f t="array" ref="BO107">IFERROR(SUMIFS($CB107:$CW107,$CB$17:$CW$17,BO$17,$CB$18:$CW$18,BO$18)/SUMPRODUCT(($CB$18:$CW$18=BO$18)*ABS($CB107:$CW107)),"-")</f>
        <v>4.5078575800259774E-3</v>
      </c>
      <c r="BP107" s="114">
        <f t="array" ref="BP107">IFERROR(SUMIFS($CB107:$CW107,$CB$17:$CW$17,BP$17,$CB$18:$CW$18,BP$18)/SUMPRODUCT(($CB$18:$CW$18=BP$18)*ABS($CB107:$CW107)),"-")</f>
        <v>4.17312146520201E-2</v>
      </c>
      <c r="BQ107" s="114">
        <f t="array" ref="BQ107">IFERROR(SUMIFS($CB107:$CW107,$CB$17:$CW$17,BQ$17,$CB$18:$CW$18,BQ$18)/SUMPRODUCT(($CB$18:$CW$18=BQ$18)*ABS($CB107:$CW107)),"-")</f>
        <v>3.292598967707748E-3</v>
      </c>
      <c r="BR107" s="114">
        <f t="array" ref="BR107">IFERROR(SUMIFS($CB107:$CW107,$CB$17:$CW$17,BR$17,$CB$18:$CW$18,BR$18)/SUMPRODUCT(($CB$18:$CW$18=BR$18)*ABS($CB107:$CW107)),"-")</f>
        <v>1.0894941249446696E-4</v>
      </c>
      <c r="BS107" s="114">
        <f t="array" ref="BS107">IFERROR(SUMIFS($CB107:$CW107,$CB$17:$CW$17,BS$17,$CB$18:$CW$18,BS$18)/SUMPRODUCT(($CB$18:$CW$18=BS$18)*ABS($CB107:$CW107)),"-")</f>
        <v>1.6724664553728708E-5</v>
      </c>
      <c r="BT107" s="114">
        <f t="array" ref="BT107">IFERROR(SUMIFS($CB107:$CW107,$CB$17:$CW$17,BT$17,$CB$18:$CW$18,BT$18)/SUMPRODUCT(($CB$18:$CW$18=BT$18)*ABS($CB107:$CW107)),"-")</f>
        <v>5.7066796733864558E-5</v>
      </c>
      <c r="BU107" s="114">
        <f t="array" ref="BU107">IFERROR(SUMIFS($CB107:$CW107,$CB$17:$CW$17,BU$17,$CB$18:$CW$18,BU$18)/SUMPRODUCT(($CB$18:$CW$18=BU$18)*ABS($CB107:$CW107)),"-")</f>
        <v>1.1470175012469601E-5</v>
      </c>
      <c r="BV107" s="114">
        <f t="array" ref="BV107">IFERROR(SUMIFS($CB107:$CW107,$CB$17:$CW$17,BV$17,$CB$18:$CW$18,BV$18)/SUMPRODUCT(($CB$18:$CW$18=BV$18)*ABS($CB107:$CW107)),"-")</f>
        <v>0.92008905449819767</v>
      </c>
      <c r="BW107" s="114">
        <f t="array" ref="BW107">IFERROR(SUMIFS($CB107:$CW107,$CB$17:$CW$17,BW$17,$CB$18:$CW$18,BW$18)/SUMPRODUCT(($CB$18:$CW$18=BW$18)*ABS($CB107:$CW107)),"-")</f>
        <v>9.0171025070856579E-5</v>
      </c>
      <c r="BX107" s="115"/>
      <c r="BY107" s="114">
        <f t="array" ref="BY107">IFERROR(SUMIFS($CB107:$CW107,$CB$17:$CW$17,BY$17,$CB$18:$CW$18,BY$18)/SUMPRODUCT(($CB$18:$CW$18=BY$18)*ABS($CB107:$CW107)),"-")</f>
        <v>1.4737362041859158E-3</v>
      </c>
      <c r="BZ107" s="116">
        <f t="array" ref="BZ107">IFERROR(SUMIFS($CB107:$CW107,$CB$17:$CW$17,BZ$17,$CB$18:$CW$18,BZ$18)/SUMPRODUCT(($CB$18:$CW$18=BZ$18)*ABS($CB107:$CW107)),"-")</f>
        <v>0.998526263795814</v>
      </c>
      <c r="CB107" s="117">
        <v>6.5875660999999999E-7</v>
      </c>
      <c r="CC107" s="111">
        <v>1.9859151999999998E-9</v>
      </c>
      <c r="CD107" s="111">
        <v>5.4270737999999998E-14</v>
      </c>
      <c r="CE107" s="111">
        <v>5.4706931999999996E-9</v>
      </c>
      <c r="CF107" s="111">
        <v>2.1907161999999998E-11</v>
      </c>
      <c r="CG107" s="111">
        <v>2.0763397999999998E-9</v>
      </c>
      <c r="CH107" s="111">
        <v>1.1739755E-6</v>
      </c>
      <c r="CI107" s="111">
        <v>2.9747464999999999E-10</v>
      </c>
      <c r="CJ107" s="111">
        <v>2.7538533000000002E-9</v>
      </c>
      <c r="CK107" s="111">
        <v>2.1727942999999999E-10</v>
      </c>
      <c r="CL107" s="111">
        <v>7.1895990000000002E-12</v>
      </c>
      <c r="CM107" s="111">
        <v>1.1036647999999999E-12</v>
      </c>
      <c r="CN107" s="111">
        <v>3.7658522000000002E-12</v>
      </c>
      <c r="CO107" s="111">
        <v>7.5691971999999997E-13</v>
      </c>
      <c r="CP107" s="111">
        <v>1.8637756000000002E-9</v>
      </c>
      <c r="CQ107" s="111">
        <v>2.1356673000000001E-6</v>
      </c>
      <c r="CR107" s="111">
        <v>6.0716906999999994E-8</v>
      </c>
      <c r="CS107" s="111">
        <v>5.5656365999999998E-5</v>
      </c>
      <c r="CT107" s="111">
        <v>3.7709830999999999E-2</v>
      </c>
      <c r="CU107" s="111">
        <v>9.7846784999999997E-10</v>
      </c>
      <c r="CV107" s="111">
        <v>5.9501423E-12</v>
      </c>
      <c r="CW107" s="112">
        <v>2.6621378E-16</v>
      </c>
    </row>
    <row r="108" spans="2:101" ht="12" customHeight="1" outlineLevel="1" x14ac:dyDescent="0.2">
      <c r="B108" s="104" t="s">
        <v>110</v>
      </c>
      <c r="C108" s="104" t="s">
        <v>121</v>
      </c>
      <c r="D108" s="2" t="s">
        <v>143</v>
      </c>
      <c r="E108" s="2" t="s">
        <v>147</v>
      </c>
      <c r="F108" s="105" t="s">
        <v>96</v>
      </c>
      <c r="G108" s="27" t="s">
        <v>1582</v>
      </c>
      <c r="H108" s="106" t="s">
        <v>128</v>
      </c>
      <c r="I108" s="107" t="s">
        <v>1577</v>
      </c>
      <c r="J108" s="108">
        <v>6.3623397199999996</v>
      </c>
      <c r="K108" s="109"/>
      <c r="L108" s="109"/>
      <c r="M108" s="110"/>
      <c r="N108" s="161"/>
      <c r="O108" s="1056"/>
      <c r="P108" s="117">
        <v>5.9707048330519997E-6</v>
      </c>
      <c r="Q108" s="111">
        <v>6.7788934899339877E-8</v>
      </c>
      <c r="R108" s="112">
        <v>3.9356920965999999E-2</v>
      </c>
      <c r="S108" s="1032">
        <v>0.78621905999999997</v>
      </c>
      <c r="T108" s="1032">
        <v>1.2718453E-5</v>
      </c>
      <c r="U108" s="1032">
        <v>2.5920131999999999E-3</v>
      </c>
      <c r="V108" s="1032">
        <v>2.3953520999999999E-3</v>
      </c>
      <c r="W108" s="1032">
        <v>2.7081572000000002E-3</v>
      </c>
      <c r="X108" s="1032">
        <v>2.4202792000000001E-3</v>
      </c>
      <c r="Y108" s="1032">
        <v>1.9783922999999998E-2</v>
      </c>
      <c r="Z108" s="1032">
        <v>5.0462637999999999E-4</v>
      </c>
      <c r="AA108" s="1032">
        <v>5.1966113E-3</v>
      </c>
      <c r="AB108" s="1032">
        <v>0.12380132000000001</v>
      </c>
      <c r="AC108" s="1032">
        <v>6.3792448999999999E-3</v>
      </c>
      <c r="AD108" s="1032">
        <v>8.1468979999999996E-3</v>
      </c>
      <c r="AE108" s="1032">
        <v>7.7472197000000005E-4</v>
      </c>
      <c r="AF108" s="1032">
        <v>15.449581999999999</v>
      </c>
      <c r="AG108" s="1032">
        <v>6.8374895000000002</v>
      </c>
      <c r="AH108" s="1032">
        <v>2.4107303999999999E-4</v>
      </c>
      <c r="AI108" s="1032">
        <v>9.1049620999999997E-2</v>
      </c>
      <c r="AJ108" s="1036">
        <v>4.4178289999999997E-4</v>
      </c>
      <c r="AK108" s="1077">
        <v>0.78304302000000003</v>
      </c>
      <c r="AL108" s="1078">
        <v>4.3473495999999998E-9</v>
      </c>
      <c r="AM108" s="1078">
        <v>5.3139043E-3</v>
      </c>
      <c r="AN108" s="1078">
        <v>2.6318014000000002E-3</v>
      </c>
      <c r="AO108" s="1078">
        <v>3.7777012000000001E-3</v>
      </c>
      <c r="AP108" s="1078">
        <v>2.4929119E-2</v>
      </c>
      <c r="AQ108" s="1078">
        <v>5.2051123000000003E-4</v>
      </c>
      <c r="AR108" s="1078">
        <v>1.8781934E-2</v>
      </c>
      <c r="AS108" s="1078">
        <v>1.5088381E-3</v>
      </c>
      <c r="AT108" s="1078">
        <v>5.8821049000000003E-4</v>
      </c>
      <c r="AU108" s="1078">
        <v>5.3559132E-4</v>
      </c>
      <c r="AV108" s="1078">
        <v>0.24269552999999999</v>
      </c>
      <c r="AW108" s="1078">
        <v>6.8374877999999999</v>
      </c>
      <c r="AX108" s="1078">
        <v>1.7808122999999999E-6</v>
      </c>
      <c r="AY108" s="1078">
        <v>-1.2238969E-8</v>
      </c>
      <c r="AZ108" s="1078">
        <v>2.7186693E-3</v>
      </c>
      <c r="BA108" s="1078">
        <v>9.5538323999999994E-2</v>
      </c>
      <c r="BB108" s="1079">
        <v>4.4630492000000003E-4</v>
      </c>
      <c r="BC108" s="1035"/>
      <c r="BE108" s="113">
        <f t="array" ref="BE108">IFERROR(SUMIFS($CB108:$CW108,$CB$17:$CW$17,BE$17,$CB$18:$CW$18,BE$18)/SUMPRODUCT(($CB$18:$CW$18=BE$18)*ABS($CB108:$CW108)),"-")</f>
        <v>0.12228964258257798</v>
      </c>
      <c r="BF108" s="114">
        <f t="array" ref="BF108">IFERROR(SUMIFS($CB108:$CW108,$CB$17:$CW$17,BF$17,$CB$18:$CW$18,BF$18)/SUMPRODUCT(($CB$18:$CW$18=BF$18)*ABS($CB108:$CW108)),"-")</f>
        <v>1.1309120428497981E-3</v>
      </c>
      <c r="BG108" s="114">
        <f t="array" ref="BG108">IFERROR(SUMIFS($CB108:$CW108,$CB$17:$CW$17,BG$17,$CB$18:$CW$18,BG$18)/SUMPRODUCT(($CB$18:$CW$18=BG$18)*ABS($CB108:$CW108)),"-")</f>
        <v>3.6890304605362779E-6</v>
      </c>
      <c r="BH108" s="114">
        <f t="array" ref="BH108">IFERROR(SUMIFS($CB108:$CW108,$CB$17:$CW$17,BH$17,$CB$18:$CW$18,BH$18)/SUMPRODUCT(($CB$18:$CW$18=BH$18)*ABS($CB108:$CW108)),"-")</f>
        <v>3.6508415018830586E-4</v>
      </c>
      <c r="BI108" s="114">
        <f t="array" ref="BI108">IFERROR(SUMIFS($CB108:$CW108,$CB$17:$CW$17,BI$17,$CB$18:$CW$18,BI$18)/SUMPRODUCT(($CB$18:$CW$18=BI$18)*ABS($CB108:$CW108)),"-")</f>
        <v>0.28534957725068333</v>
      </c>
      <c r="BJ108" s="114">
        <f t="array" ref="BJ108">IFERROR(SUMIFS($CB108:$CW108,$CB$17:$CW$17,BJ$17,$CB$18:$CW$18,BJ$18)/SUMPRODUCT(($CB$18:$CW$18=BJ$18)*ABS($CB108:$CW108)),"-")</f>
        <v>4.3134559017943166E-4</v>
      </c>
      <c r="BK108" s="114">
        <f t="array" ref="BK108">IFERROR(SUMIFS($CB108:$CW108,$CB$17:$CW$17,BK$17,$CB$18:$CW$18,BK$18)/SUMPRODUCT(($CB$18:$CW$18=BK$18)*ABS($CB108:$CW108)),"-")</f>
        <v>0.590265487667477</v>
      </c>
      <c r="BL108" s="114">
        <f t="array" ref="BL108">IFERROR(SUMIFS($CB108:$CW108,$CB$17:$CW$17,BL$17,$CB$18:$CW$18,BL$18)/SUMPRODUCT(($CB$18:$CW$18=BL$18)*ABS($CB108:$CW108)),"-")</f>
        <v>1.6426168558372252E-4</v>
      </c>
      <c r="BM108" s="115"/>
      <c r="BN108" s="114">
        <f t="array" ref="BN108">IFERROR(SUMIFS($CB108:$CW108,$CB$17:$CW$17,BN$17,$CB$18:$CW$18,BN$18)/SUMPRODUCT(($CB$18:$CW$18=BN$18)*ABS($CB108:$CW108)),"-")</f>
        <v>3.2468591697764428E-2</v>
      </c>
      <c r="BO108" s="114">
        <f t="array" ref="BO108">IFERROR(SUMIFS($CB108:$CW108,$CB$17:$CW$17,BO$17,$CB$18:$CW$18,BO$18)/SUMPRODUCT(($CB$18:$CW$18=BO$18)*ABS($CB108:$CW108)),"-")</f>
        <v>4.6056976771151528E-3</v>
      </c>
      <c r="BP108" s="114">
        <f t="array" ref="BP108">IFERROR(SUMIFS($CB108:$CW108,$CB$17:$CW$17,BP$17,$CB$18:$CW$18,BP$18)/SUMPRODUCT(($CB$18:$CW$18=BP$18)*ABS($CB108:$CW108)),"-")</f>
        <v>6.1938185136478467E-2</v>
      </c>
      <c r="BQ108" s="114">
        <f t="array" ref="BQ108">IFERROR(SUMIFS($CB108:$CW108,$CB$17:$CW$17,BQ$17,$CB$18:$CW$18,BQ$18)/SUMPRODUCT(($CB$18:$CW$18=BQ$18)*ABS($CB108:$CW108)),"-")</f>
        <v>4.9948889225474059E-3</v>
      </c>
      <c r="BR108" s="114">
        <f t="array" ref="BR108">IFERROR(SUMIFS($CB108:$CW108,$CB$17:$CW$17,BR$17,$CB$18:$CW$18,BR$18)/SUMPRODUCT(($CB$18:$CW$18=BR$18)*ABS($CB108:$CW108)),"-")</f>
        <v>1.302398276814639E-4</v>
      </c>
      <c r="BS108" s="114">
        <f t="array" ref="BS108">IFERROR(SUMIFS($CB108:$CW108,$CB$17:$CW$17,BS$17,$CB$18:$CW$18,BS$18)/SUMPRODUCT(($CB$18:$CW$18=BS$18)*ABS($CB108:$CW108)),"-")</f>
        <v>2.082043776164632E-5</v>
      </c>
      <c r="BT108" s="114">
        <f t="array" ref="BT108">IFERROR(SUMIFS($CB108:$CW108,$CB$17:$CW$17,BT$17,$CB$18:$CW$18,BT$18)/SUMPRODUCT(($CB$18:$CW$18=BT$18)*ABS($CB108:$CW108)),"-")</f>
        <v>6.5191795778503009E-5</v>
      </c>
      <c r="BU108" s="114">
        <f t="array" ref="BU108">IFERROR(SUMIFS($CB108:$CW108,$CB$17:$CW$17,BU$17,$CB$18:$CW$18,BU$18)/SUMPRODUCT(($CB$18:$CW$18=BU$18)*ABS($CB108:$CW108)),"-")</f>
        <v>1.2622672583226152E-5</v>
      </c>
      <c r="BV108" s="114">
        <f t="array" ref="BV108">IFERROR(SUMIFS($CB108:$CW108,$CB$17:$CW$17,BV$17,$CB$18:$CW$18,BV$18)/SUMPRODUCT(($CB$18:$CW$18=BV$18)*ABS($CB108:$CW108)),"-")</f>
        <v>0.89567577791506581</v>
      </c>
      <c r="BW108" s="114">
        <f t="array" ref="BW108">IFERROR(SUMIFS($CB108:$CW108,$CB$17:$CW$17,BW$17,$CB$18:$CW$18,BW$18)/SUMPRODUCT(($CB$18:$CW$18=BW$18)*ABS($CB108:$CW108)),"-")</f>
        <v>8.7983917223754483E-5</v>
      </c>
      <c r="BX108" s="115"/>
      <c r="BY108" s="114">
        <f t="array" ref="BY108">IFERROR(SUMIFS($CB108:$CW108,$CB$17:$CW$17,BY$17,$CB$18:$CW$18,BY$18)/SUMPRODUCT(($CB$18:$CW$18=BY$18)*ABS($CB108:$CW108)),"-")</f>
        <v>1.4163192808745091E-3</v>
      </c>
      <c r="BZ108" s="116">
        <f t="array" ref="BZ108">IFERROR(SUMIFS($CB108:$CW108,$CB$17:$CW$17,BZ$17,$CB$18:$CW$18,BZ$18)/SUMPRODUCT(($CB$18:$CW$18=BZ$18)*ABS($CB108:$CW108)),"-")</f>
        <v>0.99858368071912551</v>
      </c>
      <c r="CB108" s="117">
        <v>7.3015535999999997E-7</v>
      </c>
      <c r="CC108" s="111">
        <v>2.2009510999999999E-9</v>
      </c>
      <c r="CD108" s="111">
        <v>6.0148872999999996E-14</v>
      </c>
      <c r="CE108" s="111">
        <v>6.7523419999999997E-9</v>
      </c>
      <c r="CF108" s="111">
        <v>2.2026111999999998E-11</v>
      </c>
      <c r="CG108" s="111">
        <v>2.1798097000000001E-9</v>
      </c>
      <c r="CH108" s="111">
        <v>1.7037381E-6</v>
      </c>
      <c r="CI108" s="111">
        <v>3.1221534000000001E-10</v>
      </c>
      <c r="CJ108" s="111">
        <v>4.1987235999999997E-9</v>
      </c>
      <c r="CK108" s="111">
        <v>3.3859819999999999E-10</v>
      </c>
      <c r="CL108" s="111">
        <v>8.8288192000000003E-12</v>
      </c>
      <c r="CM108" s="111">
        <v>1.4113952999999999E-12</v>
      </c>
      <c r="CN108" s="111">
        <v>4.4192824000000003E-12</v>
      </c>
      <c r="CO108" s="111">
        <v>8.5567752999999997E-13</v>
      </c>
      <c r="CP108" s="111">
        <v>2.5754371999999999E-9</v>
      </c>
      <c r="CQ108" s="111">
        <v>3.5243010000000001E-6</v>
      </c>
      <c r="CR108" s="111">
        <v>6.0716906999999994E-8</v>
      </c>
      <c r="CS108" s="111">
        <v>5.5741966000000003E-5</v>
      </c>
      <c r="CT108" s="111">
        <v>3.9301178999999999E-2</v>
      </c>
      <c r="CU108" s="111">
        <v>9.8075803999999999E-10</v>
      </c>
      <c r="CV108" s="111">
        <v>5.9640692000000004E-12</v>
      </c>
      <c r="CW108" s="112">
        <v>2.6683686999999998E-16</v>
      </c>
    </row>
    <row r="109" spans="2:101" ht="12" customHeight="1" outlineLevel="1" x14ac:dyDescent="0.2">
      <c r="B109" s="88" t="s">
        <v>111</v>
      </c>
      <c r="C109" s="88" t="s">
        <v>121</v>
      </c>
      <c r="D109" s="89" t="s">
        <v>148</v>
      </c>
      <c r="E109" s="89" t="s">
        <v>149</v>
      </c>
      <c r="F109" s="90" t="s">
        <v>92</v>
      </c>
      <c r="G109" s="18" t="s">
        <v>126</v>
      </c>
      <c r="H109" s="91" t="s">
        <v>127</v>
      </c>
      <c r="I109" s="92" t="s">
        <v>127</v>
      </c>
      <c r="J109" s="93">
        <v>0.76959932000000009</v>
      </c>
      <c r="K109" s="94"/>
      <c r="L109" s="94"/>
      <c r="M109" s="95"/>
      <c r="N109" s="145"/>
      <c r="O109" s="1055"/>
      <c r="P109" s="103">
        <v>2.9051172465050005E-7</v>
      </c>
      <c r="Q109" s="97">
        <v>2.7705051774833127E-9</v>
      </c>
      <c r="R109" s="98">
        <v>5.281413867E-3</v>
      </c>
      <c r="S109" s="1033">
        <v>9.4716220000000004E-2</v>
      </c>
      <c r="T109" s="1033">
        <v>1.8356942999999999E-6</v>
      </c>
      <c r="U109" s="1033">
        <v>7.2526098999999998E-4</v>
      </c>
      <c r="V109" s="1033">
        <v>2.2712956E-4</v>
      </c>
      <c r="W109" s="1033">
        <v>1.5388819E-4</v>
      </c>
      <c r="X109" s="1033">
        <v>2.2935583999999999E-4</v>
      </c>
      <c r="Y109" s="1033">
        <v>1.0117456999999999E-3</v>
      </c>
      <c r="Z109" s="1033">
        <v>4.7801973E-5</v>
      </c>
      <c r="AA109" s="1033">
        <v>4.3021325999999997E-4</v>
      </c>
      <c r="AB109" s="1033">
        <v>1.8100020999999999</v>
      </c>
      <c r="AC109" s="1033">
        <v>7.2131379999999995E-2</v>
      </c>
      <c r="AD109" s="1033">
        <v>2.1911012000000001E-2</v>
      </c>
      <c r="AE109" s="1033">
        <v>5.4741726999999999E-5</v>
      </c>
      <c r="AF109" s="1033">
        <v>0.45443074999999999</v>
      </c>
      <c r="AG109" s="1033">
        <v>0.24082685000000001</v>
      </c>
      <c r="AH109" s="1033">
        <v>1.3269445999999999E-4</v>
      </c>
      <c r="AI109" s="1033">
        <v>1.3161324E-2</v>
      </c>
      <c r="AJ109" s="1034">
        <v>8.5431207000000002E-3</v>
      </c>
      <c r="AK109" s="1074">
        <v>9.4098016000000007E-2</v>
      </c>
      <c r="AL109" s="1075">
        <v>1.2166654999999999E-9</v>
      </c>
      <c r="AM109" s="1075">
        <v>1.5029119000000001E-3</v>
      </c>
      <c r="AN109" s="1075">
        <v>2.167293E-4</v>
      </c>
      <c r="AO109" s="1075">
        <v>2.0907280000000001E-4</v>
      </c>
      <c r="AP109" s="1075">
        <v>1.2594278999999999E-3</v>
      </c>
      <c r="AQ109" s="1075">
        <v>4.9173940999999999E-5</v>
      </c>
      <c r="AR109" s="1075">
        <v>1.5250044999999999E-3</v>
      </c>
      <c r="AS109" s="1075">
        <v>2.2329365E-2</v>
      </c>
      <c r="AT109" s="1075">
        <v>5.8972692000000002E-3</v>
      </c>
      <c r="AU109" s="1075">
        <v>1.4774755E-3</v>
      </c>
      <c r="AV109" s="1075">
        <v>2.4604223000000001E-2</v>
      </c>
      <c r="AW109" s="1075">
        <v>0.24082598</v>
      </c>
      <c r="AX109" s="1075">
        <v>8.7053813E-7</v>
      </c>
      <c r="AY109" s="1075">
        <v>-6.1379747000000003E-9</v>
      </c>
      <c r="AZ109" s="1075">
        <v>1.8410209E-4</v>
      </c>
      <c r="BA109" s="1075">
        <v>1.3693831E-2</v>
      </c>
      <c r="BB109" s="1076">
        <v>8.5454577E-3</v>
      </c>
      <c r="BC109" s="1035"/>
      <c r="BE109" s="99">
        <f t="array" ref="BE109">IFERROR(SUMIFS($CB109:$CW109,$CB$17:$CW$17,BE$17,$CB$18:$CW$18,BE$18)/SUMPRODUCT(($CB$18:$CW$18=BE$18)*ABS($CB109:$CW109)),"-")</f>
        <v>0.30283118557724126</v>
      </c>
      <c r="BF109" s="100">
        <f t="array" ref="BF109">IFERROR(SUMIFS($CB109:$CW109,$CB$17:$CW$17,BF$17,$CB$18:$CW$18,BF$18)/SUMPRODUCT(($CB$18:$CW$18=BF$18)*ABS($CB109:$CW109)),"-")</f>
        <v>3.3547241894366776E-3</v>
      </c>
      <c r="BG109" s="100">
        <f t="array" ref="BG109">IFERROR(SUMIFS($CB109:$CW109,$CB$17:$CW$17,BG$17,$CB$18:$CW$18,BG$18)/SUMPRODUCT(($CB$18:$CW$18=BG$18)*ABS($CB109:$CW109)),"-")</f>
        <v>2.1214395072744241E-5</v>
      </c>
      <c r="BH109" s="100">
        <f t="array" ref="BH109">IFERROR(SUMIFS($CB109:$CW109,$CB$17:$CW$17,BH$17,$CB$18:$CW$18,BH$18)/SUMPRODUCT(($CB$18:$CW$18=BH$18)*ABS($CB109:$CW109)),"-")</f>
        <v>7.1130006972558283E-4</v>
      </c>
      <c r="BI109" s="100">
        <f t="array" ref="BI109">IFERROR(SUMIFS($CB109:$CW109,$CB$17:$CW$17,BI$17,$CB$18:$CW$18,BI$18)/SUMPRODUCT(($CB$18:$CW$18=BI$18)*ABS($CB109:$CW109)),"-")</f>
        <v>0.33320198045863408</v>
      </c>
      <c r="BJ109" s="100">
        <f t="array" ref="BJ109">IFERROR(SUMIFS($CB109:$CW109,$CB$17:$CW$17,BJ$17,$CB$18:$CW$18,BJ$18)/SUMPRODUCT(($CB$18:$CW$18=BJ$18)*ABS($CB109:$CW109)),"-")</f>
        <v>6.261981688307287E-4</v>
      </c>
      <c r="BK109" s="100">
        <f t="array" ref="BK109">IFERROR(SUMIFS($CB109:$CW109,$CB$17:$CW$17,BK$17,$CB$18:$CW$18,BK$18)/SUMPRODUCT(($CB$18:$CW$18=BK$18)*ABS($CB109:$CW109)),"-")</f>
        <v>0.35682387733131915</v>
      </c>
      <c r="BL109" s="100">
        <f t="array" ref="BL109">IFERROR(SUMIFS($CB109:$CW109,$CB$17:$CW$17,BL$17,$CB$18:$CW$18,BL$18)/SUMPRODUCT(($CB$18:$CW$18=BL$18)*ABS($CB109:$CW109)),"-")</f>
        <v>2.4295198097395794E-3</v>
      </c>
      <c r="BM109" s="101"/>
      <c r="BN109" s="100">
        <f t="array" ref="BN109">IFERROR(SUMIFS($CB109:$CW109,$CB$17:$CW$17,BN$17,$CB$18:$CW$18,BN$18)/SUMPRODUCT(($CB$18:$CW$18=BN$18)*ABS($CB109:$CW109)),"-")</f>
        <v>9.5703104393132635E-2</v>
      </c>
      <c r="BO109" s="100">
        <f t="array" ref="BO109">IFERROR(SUMIFS($CB109:$CW109,$CB$17:$CW$17,BO$17,$CB$18:$CW$18,BO$18)/SUMPRODUCT(($CB$18:$CW$18=BO$18)*ABS($CB109:$CW109)),"-")</f>
        <v>1.0676328721705904E-2</v>
      </c>
      <c r="BP109" s="100">
        <f t="array" ref="BP109">IFERROR(SUMIFS($CB109:$CW109,$CB$17:$CW$17,BP$17,$CB$18:$CW$18,BP$18)/SUMPRODUCT(($CB$18:$CW$18=BP$18)*ABS($CB109:$CW109)),"-")</f>
        <v>7.7495975010244564E-2</v>
      </c>
      <c r="BQ109" s="100">
        <f t="array" ref="BQ109">IFERROR(SUMIFS($CB109:$CW109,$CB$17:$CW$17,BQ$17,$CB$18:$CW$18,BQ$18)/SUMPRODUCT(($CB$18:$CW$18=BQ$18)*ABS($CB109:$CW109)),"-")</f>
        <v>1.1577165875985153E-2</v>
      </c>
      <c r="BR109" s="100">
        <f t="array" ref="BR109">IFERROR(SUMIFS($CB109:$CW109,$CB$17:$CW$17,BR$17,$CB$18:$CW$18,BR$18)/SUMPRODUCT(($CB$18:$CW$18=BR$18)*ABS($CB109:$CW109)),"-")</f>
        <v>2.6381973437203675E-4</v>
      </c>
      <c r="BS109" s="100">
        <f t="array" ref="BS109">IFERROR(SUMIFS($CB109:$CW109,$CB$17:$CW$17,BS$17,$CB$18:$CW$18,BS$18)/SUMPRODUCT(($CB$18:$CW$18=BS$18)*ABS($CB109:$CW109)),"-")</f>
        <v>7.4466978685602068E-3</v>
      </c>
      <c r="BT109" s="100">
        <f t="array" ref="BT109">IFERROR(SUMIFS($CB109:$CW109,$CB$17:$CW$17,BT$17,$CB$18:$CW$18,BT$18)/SUMPRODUCT(($CB$18:$CW$18=BT$18)*ABS($CB109:$CW109)),"-")</f>
        <v>1.8100642224951065E-2</v>
      </c>
      <c r="BU109" s="100">
        <f t="array" ref="BU109">IFERROR(SUMIFS($CB109:$CW109,$CB$17:$CW$17,BU$17,$CB$18:$CW$18,BU$18)/SUMPRODUCT(($CB$18:$CW$18=BU$18)*ABS($CB109:$CW109)),"-")</f>
        <v>8.3010785133746684E-4</v>
      </c>
      <c r="BV109" s="100">
        <f t="array" ref="BV109">IFERROR(SUMIFS($CB109:$CW109,$CB$17:$CW$17,BV$17,$CB$18:$CW$18,BV$18)/SUMPRODUCT(($CB$18:$CW$18=BV$18)*ABS($CB109:$CW109)),"-")</f>
        <v>0.77189622938825231</v>
      </c>
      <c r="BW109" s="100">
        <f t="array" ref="BW109">IFERROR(SUMIFS($CB109:$CW109,$CB$17:$CW$17,BW$17,$CB$18:$CW$18,BW$18)/SUMPRODUCT(($CB$18:$CW$18=BW$18)*ABS($CB109:$CW109)),"-")</f>
        <v>6.0099289314586701E-3</v>
      </c>
      <c r="BX109" s="101"/>
      <c r="BY109" s="100">
        <f t="array" ref="BY109">IFERROR(SUMIFS($CB109:$CW109,$CB$17:$CW$17,BY$17,$CB$18:$CW$18,BY$18)/SUMPRODUCT(($CB$18:$CW$18=BY$18)*ABS($CB109:$CW109)),"-")</f>
        <v>5.8075484656957294E-3</v>
      </c>
      <c r="BZ109" s="102">
        <f t="array" ref="BZ109">IFERROR(SUMIFS($CB109:$CW109,$CB$17:$CW$17,BZ$17,$CB$18:$CW$18,BZ$18)/SUMPRODUCT(($CB$18:$CW$18=BZ$18)*ABS($CB109:$CW109)),"-")</f>
        <v>0.99419245153430424</v>
      </c>
      <c r="CB109" s="103">
        <v>8.7976010000000003E-8</v>
      </c>
      <c r="CC109" s="97">
        <v>2.6513869999999997E-10</v>
      </c>
      <c r="CD109" s="97">
        <v>7.2462224000000008E-15</v>
      </c>
      <c r="CE109" s="97">
        <v>9.7458671000000007E-10</v>
      </c>
      <c r="CF109" s="97">
        <v>6.1630305000000001E-12</v>
      </c>
      <c r="CG109" s="97">
        <v>2.0664101E-10</v>
      </c>
      <c r="CH109" s="97">
        <v>9.6799081999999998E-8</v>
      </c>
      <c r="CI109" s="97">
        <v>2.9578824000000002E-11</v>
      </c>
      <c r="CJ109" s="97">
        <v>2.1470299999999999E-10</v>
      </c>
      <c r="CK109" s="97">
        <v>3.2074597999999997E-11</v>
      </c>
      <c r="CL109" s="97">
        <v>7.3091394000000004E-13</v>
      </c>
      <c r="CM109" s="97">
        <v>2.0631115000000001E-11</v>
      </c>
      <c r="CN109" s="97">
        <v>5.0147922999999999E-11</v>
      </c>
      <c r="CO109" s="97">
        <v>2.2998180999999999E-12</v>
      </c>
      <c r="CP109" s="97">
        <v>1.8191791E-10</v>
      </c>
      <c r="CQ109" s="97">
        <v>1.0366152E-7</v>
      </c>
      <c r="CR109" s="97">
        <v>2.1385424999999999E-9</v>
      </c>
      <c r="CS109" s="97">
        <v>3.0672066999999997E-5</v>
      </c>
      <c r="CT109" s="97">
        <v>5.2507418E-3</v>
      </c>
      <c r="CU109" s="97">
        <v>7.0580398999999997E-10</v>
      </c>
      <c r="CV109" s="97">
        <v>1.6650513000000001E-11</v>
      </c>
      <c r="CW109" s="98">
        <v>2.6220913E-17</v>
      </c>
    </row>
    <row r="110" spans="2:101" ht="12" customHeight="1" outlineLevel="1" x14ac:dyDescent="0.2">
      <c r="B110" s="104" t="s">
        <v>111</v>
      </c>
      <c r="C110" s="104" t="s">
        <v>121</v>
      </c>
      <c r="D110" s="2" t="s">
        <v>148</v>
      </c>
      <c r="E110" s="2" t="s">
        <v>149</v>
      </c>
      <c r="F110" s="105" t="s">
        <v>122</v>
      </c>
      <c r="G110" s="27" t="s">
        <v>1579</v>
      </c>
      <c r="H110" s="106" t="s">
        <v>128</v>
      </c>
      <c r="I110" s="107" t="s">
        <v>129</v>
      </c>
      <c r="J110" s="108">
        <v>0.76959932000000009</v>
      </c>
      <c r="K110" s="109"/>
      <c r="L110" s="109"/>
      <c r="M110" s="110"/>
      <c r="N110" s="161"/>
      <c r="O110" s="1056"/>
      <c r="P110" s="117">
        <v>1.0411696452859998E-7</v>
      </c>
      <c r="Q110" s="111">
        <v>3.0119718360371611E-9</v>
      </c>
      <c r="R110" s="112">
        <v>3.9260400833000001E-3</v>
      </c>
      <c r="S110" s="1032">
        <v>5.0706343000000001E-2</v>
      </c>
      <c r="T110" s="1032">
        <v>5.0040639E-7</v>
      </c>
      <c r="U110" s="1032">
        <v>3.3589064999999999E-4</v>
      </c>
      <c r="V110" s="1032">
        <v>2.3275562000000001E-4</v>
      </c>
      <c r="W110" s="1032">
        <v>5.6877560999999999E-5</v>
      </c>
      <c r="X110" s="1032">
        <v>2.3536286000000001E-4</v>
      </c>
      <c r="Y110" s="1032">
        <v>2.2741726000000001E-4</v>
      </c>
      <c r="Z110" s="1032">
        <v>3.2001181000000001E-6</v>
      </c>
      <c r="AA110" s="1032">
        <v>2.0800964000000001E-4</v>
      </c>
      <c r="AB110" s="1032">
        <v>6.4344351999999997E-3</v>
      </c>
      <c r="AC110" s="1032">
        <v>1.4045818999999999E-4</v>
      </c>
      <c r="AD110" s="1032">
        <v>2.1284325E-4</v>
      </c>
      <c r="AE110" s="1032">
        <v>2.1459806000000001E-5</v>
      </c>
      <c r="AF110" s="1032">
        <v>8.7057825000000005E-2</v>
      </c>
      <c r="AG110" s="1032">
        <v>0.31165324</v>
      </c>
      <c r="AH110" s="1032">
        <v>1.8575250000000001E-5</v>
      </c>
      <c r="AI110" s="1032">
        <v>9.1227770999999999E-3</v>
      </c>
      <c r="AJ110" s="1036">
        <v>1.1050180999999999E-2</v>
      </c>
      <c r="AK110" s="1077">
        <v>5.0383010999999998E-2</v>
      </c>
      <c r="AL110" s="1078">
        <v>5.6334981000000001E-10</v>
      </c>
      <c r="AM110" s="1078">
        <v>6.8769641E-4</v>
      </c>
      <c r="AN110" s="1078">
        <v>2.5686425999999998E-4</v>
      </c>
      <c r="AO110" s="1078">
        <v>8.8601156000000001E-5</v>
      </c>
      <c r="AP110" s="1078">
        <v>3.0349305999999998E-4</v>
      </c>
      <c r="AQ110" s="1078">
        <v>3.9618282999999997E-6</v>
      </c>
      <c r="AR110" s="1078">
        <v>7.2760942999999995E-4</v>
      </c>
      <c r="AS110" s="1078">
        <v>6.4517440999999999E-6</v>
      </c>
      <c r="AT110" s="1078">
        <v>1.8301992999999999E-5</v>
      </c>
      <c r="AU110" s="1078">
        <v>2.2540426999999999E-5</v>
      </c>
      <c r="AV110" s="1078">
        <v>2.0421571999999998E-3</v>
      </c>
      <c r="AW110" s="1078">
        <v>0.31165303999999999</v>
      </c>
      <c r="AX110" s="1078">
        <v>1.9881984999999999E-7</v>
      </c>
      <c r="AY110" s="1078">
        <v>-1.3664269000000001E-9</v>
      </c>
      <c r="AZ110" s="1078">
        <v>2.2956796999999999E-4</v>
      </c>
      <c r="BA110" s="1078">
        <v>9.6217086000000007E-3</v>
      </c>
      <c r="BB110" s="1079">
        <v>1.1050686000000001E-2</v>
      </c>
      <c r="BC110" s="1035"/>
      <c r="BE110" s="113">
        <f t="array" ref="BE110">IFERROR(SUMIFS($CB110:$CW110,$CB$17:$CW$17,BE$17,$CB$18:$CW$18,BE$18)/SUMPRODUCT(($CB$18:$CW$18=BE$18)*ABS($CB110:$CW110)),"-")</f>
        <v>0.4521639697541136</v>
      </c>
      <c r="BF110" s="114">
        <f t="array" ref="BF110">IFERROR(SUMIFS($CB110:$CW110,$CB$17:$CW$17,BF$17,$CB$18:$CW$18,BF$18)/SUMPRODUCT(($CB$18:$CW$18=BF$18)*ABS($CB110:$CW110)),"-")</f>
        <v>2.5516518965266492E-3</v>
      </c>
      <c r="BG110" s="114">
        <f t="array" ref="BG110">IFERROR(SUMIFS($CB110:$CW110,$CB$17:$CW$17,BG$17,$CB$18:$CW$18,BG$18)/SUMPRODUCT(($CB$18:$CW$18=BG$18)*ABS($CB110:$CW110)),"-")</f>
        <v>2.7414299033045202E-5</v>
      </c>
      <c r="BH110" s="114">
        <f t="array" ref="BH110">IFERROR(SUMIFS($CB110:$CW110,$CB$17:$CW$17,BH$17,$CB$18:$CW$18,BH$18)/SUMPRODUCT(($CB$18:$CW$18=BH$18)*ABS($CB110:$CW110)),"-")</f>
        <v>2.0343651100375405E-3</v>
      </c>
      <c r="BI110" s="114">
        <f t="array" ref="BI110">IFERROR(SUMIFS($CB110:$CW110,$CB$17:$CW$17,BI$17,$CB$18:$CW$18,BI$18)/SUMPRODUCT(($CB$18:$CW$18=BI$18)*ABS($CB110:$CW110)),"-")</f>
        <v>0.34356616293950837</v>
      </c>
      <c r="BJ110" s="114">
        <f t="array" ref="BJ110">IFERROR(SUMIFS($CB110:$CW110,$CB$17:$CW$17,BJ$17,$CB$18:$CW$18,BJ$18)/SUMPRODUCT(($CB$18:$CW$18=BJ$18)*ABS($CB110:$CW110)),"-")</f>
        <v>6.8477952006001214E-4</v>
      </c>
      <c r="BK110" s="114">
        <f t="array" ref="BK110">IFERROR(SUMIFS($CB110:$CW110,$CB$17:$CW$17,BK$17,$CB$18:$CW$18,BK$18)/SUMPRODUCT(($CB$18:$CW$18=BK$18)*ABS($CB110:$CW110)),"-")</f>
        <v>0.19073969443802644</v>
      </c>
      <c r="BL110" s="114">
        <f t="array" ref="BL110">IFERROR(SUMIFS($CB110:$CW110,$CB$17:$CW$17,BL$17,$CB$18:$CW$18,BL$18)/SUMPRODUCT(($CB$18:$CW$18=BL$18)*ABS($CB110:$CW110)),"-")</f>
        <v>8.2319620426944545E-3</v>
      </c>
      <c r="BM110" s="115"/>
      <c r="BN110" s="114">
        <f t="array" ref="BN110">IFERROR(SUMIFS($CB110:$CW110,$CB$17:$CW$17,BN$17,$CB$18:$CW$18,BN$18)/SUMPRODUCT(($CB$18:$CW$18=BN$18)*ABS($CB110:$CW110)),"-")</f>
        <v>4.7133066596791541E-2</v>
      </c>
      <c r="BO110" s="114">
        <f t="array" ref="BO110">IFERROR(SUMIFS($CB110:$CW110,$CB$17:$CW$17,BO$17,$CB$18:$CW$18,BO$18)/SUMPRODUCT(($CB$18:$CW$18=BO$18)*ABS($CB110:$CW110)),"-")</f>
        <v>1.0080348573227961E-2</v>
      </c>
      <c r="BP110" s="114">
        <f t="array" ref="BP110">IFERROR(SUMIFS($CB110:$CW110,$CB$17:$CW$17,BP$17,$CB$18:$CW$18,BP$18)/SUMPRODUCT(($CB$18:$CW$18=BP$18)*ABS($CB110:$CW110)),"-")</f>
        <v>1.6015306791004422E-2</v>
      </c>
      <c r="BQ110" s="114">
        <f t="array" ref="BQ110">IFERROR(SUMIFS($CB110:$CW110,$CB$17:$CW$17,BQ$17,$CB$18:$CW$18,BQ$18)/SUMPRODUCT(($CB$18:$CW$18=BQ$18)*ABS($CB110:$CW110)),"-")</f>
        <v>7.1281911547512594E-4</v>
      </c>
      <c r="BR110" s="114">
        <f t="array" ref="BR110">IFERROR(SUMIFS($CB110:$CW110,$CB$17:$CW$17,BR$17,$CB$18:$CW$18,BR$18)/SUMPRODUCT(($CB$18:$CW$18=BR$18)*ABS($CB110:$CW110)),"-")</f>
        <v>1.1733161172747428E-4</v>
      </c>
      <c r="BS110" s="114">
        <f t="array" ref="BS110">IFERROR(SUMIFS($CB110:$CW110,$CB$17:$CW$17,BS$17,$CB$18:$CW$18,BS$18)/SUMPRODUCT(($CB$18:$CW$18=BS$18)*ABS($CB110:$CW110)),"-")</f>
        <v>2.4347788423043946E-5</v>
      </c>
      <c r="BT110" s="114">
        <f t="array" ref="BT110">IFERROR(SUMIFS($CB110:$CW110,$CB$17:$CW$17,BT$17,$CB$18:$CW$18,BT$18)/SUMPRODUCT(($CB$18:$CW$18=BT$18)*ABS($CB110:$CW110)),"-")</f>
        <v>3.2274220441548861E-5</v>
      </c>
      <c r="BU110" s="114">
        <f t="array" ref="BU110">IFERROR(SUMIFS($CB110:$CW110,$CB$17:$CW$17,BU$17,$CB$18:$CW$18,BU$18)/SUMPRODUCT(($CB$18:$CW$18=BU$18)*ABS($CB110:$CW110)),"-")</f>
        <v>7.4221079136691449E-6</v>
      </c>
      <c r="BV110" s="114">
        <f t="array" ref="BV110">IFERROR(SUMIFS($CB110:$CW110,$CB$17:$CW$17,BV$17,$CB$18:$CW$18,BV$18)/SUMPRODUCT(($CB$18:$CW$18=BV$18)*ABS($CB110:$CW110)),"-")</f>
        <v>0.91882688506183474</v>
      </c>
      <c r="BW110" s="114">
        <f t="array" ref="BW110">IFERROR(SUMIFS($CB110:$CW110,$CB$17:$CW$17,BW$17,$CB$18:$CW$18,BW$18)/SUMPRODUCT(($CB$18:$CW$18=BW$18)*ABS($CB110:$CW110)),"-")</f>
        <v>7.0501981331604346E-3</v>
      </c>
      <c r="BX110" s="115"/>
      <c r="BY110" s="114">
        <f t="array" ref="BY110">IFERROR(SUMIFS($CB110:$CW110,$CB$17:$CW$17,BY$17,$CB$18:$CW$18,BY$18)/SUMPRODUCT(($CB$18:$CW$18=BY$18)*ABS($CB110:$CW110)),"-")</f>
        <v>1.0932856539743114E-3</v>
      </c>
      <c r="BZ110" s="116">
        <f t="array" ref="BZ110">IFERROR(SUMIFS($CB110:$CW110,$CB$17:$CW$17,BZ$17,$CB$18:$CW$18,BZ$18)/SUMPRODUCT(($CB$18:$CW$18=BZ$18)*ABS($CB110:$CW110)),"-")</f>
        <v>0.99890671434602563</v>
      </c>
      <c r="CB110" s="117">
        <v>4.707794E-8</v>
      </c>
      <c r="CC110" s="111">
        <v>1.4195959E-10</v>
      </c>
      <c r="CD110" s="111">
        <v>3.8791356000000002E-15</v>
      </c>
      <c r="CE110" s="111">
        <v>2.6567025E-10</v>
      </c>
      <c r="CF110" s="111">
        <v>2.8542936E-12</v>
      </c>
      <c r="CG110" s="111">
        <v>2.1181191999999999E-10</v>
      </c>
      <c r="CH110" s="111">
        <v>3.5771065999999998E-8</v>
      </c>
      <c r="CI110" s="111">
        <v>3.0361726E-11</v>
      </c>
      <c r="CJ110" s="111">
        <v>4.8237653000000002E-11</v>
      </c>
      <c r="CK110" s="111">
        <v>2.1469911000000002E-12</v>
      </c>
      <c r="CL110" s="111">
        <v>3.5339950999999999E-13</v>
      </c>
      <c r="CM110" s="111">
        <v>7.3334853000000005E-14</v>
      </c>
      <c r="CN110" s="111">
        <v>9.7209042999999999E-14</v>
      </c>
      <c r="CO110" s="111">
        <v>2.2355179999999999E-14</v>
      </c>
      <c r="CP110" s="111">
        <v>7.1297165E-11</v>
      </c>
      <c r="CQ110" s="111">
        <v>1.9859237999999999E-8</v>
      </c>
      <c r="CR110" s="111">
        <v>2.7674806999999999E-9</v>
      </c>
      <c r="CS110" s="111">
        <v>4.2922833000000004E-6</v>
      </c>
      <c r="CT110" s="111">
        <v>3.9217478E-3</v>
      </c>
      <c r="CU110" s="111">
        <v>8.5708690000000003E-10</v>
      </c>
      <c r="CV110" s="111">
        <v>2.123498E-11</v>
      </c>
      <c r="CW110" s="112">
        <v>1.8215560999999999E-17</v>
      </c>
    </row>
    <row r="111" spans="2:101" ht="12" customHeight="1" outlineLevel="1" x14ac:dyDescent="0.2">
      <c r="B111" s="104" t="s">
        <v>111</v>
      </c>
      <c r="C111" s="104" t="s">
        <v>121</v>
      </c>
      <c r="D111" s="2" t="s">
        <v>148</v>
      </c>
      <c r="E111" s="2" t="s">
        <v>149</v>
      </c>
      <c r="F111" s="105" t="s">
        <v>93</v>
      </c>
      <c r="G111" s="27" t="s">
        <v>1578</v>
      </c>
      <c r="H111" s="106" t="s">
        <v>130</v>
      </c>
      <c r="I111" s="107" t="s">
        <v>129</v>
      </c>
      <c r="J111" s="108">
        <v>0.76959932000000009</v>
      </c>
      <c r="K111" s="109"/>
      <c r="L111" s="109"/>
      <c r="M111" s="110"/>
      <c r="N111" s="161"/>
      <c r="O111" s="1056"/>
      <c r="P111" s="117">
        <v>1.596119746403E-7</v>
      </c>
      <c r="Q111" s="111">
        <v>4.5755639897476239E-9</v>
      </c>
      <c r="R111" s="112">
        <v>5.9641477171000004E-3</v>
      </c>
      <c r="S111" s="1032">
        <v>7.7029299999999995E-2</v>
      </c>
      <c r="T111" s="1032">
        <v>7.6018012000000003E-7</v>
      </c>
      <c r="U111" s="1032">
        <v>5.1026005999999999E-4</v>
      </c>
      <c r="V111" s="1032">
        <v>3.5358500000000001E-4</v>
      </c>
      <c r="W111" s="1032">
        <v>8.6404154999999999E-5</v>
      </c>
      <c r="X111" s="1032">
        <v>3.5754572999999998E-4</v>
      </c>
      <c r="Y111" s="1032">
        <v>3.4547536000000001E-4</v>
      </c>
      <c r="Z111" s="1032">
        <v>4.8613811000000002E-6</v>
      </c>
      <c r="AA111" s="1032">
        <v>3.1599276000000002E-4</v>
      </c>
      <c r="AB111" s="1032">
        <v>9.7747148000000006E-3</v>
      </c>
      <c r="AC111" s="1032">
        <v>2.1423699E-4</v>
      </c>
      <c r="AD111" s="1032">
        <v>3.2401175000000001E-4</v>
      </c>
      <c r="AE111" s="1032">
        <v>3.3335562000000003E-5</v>
      </c>
      <c r="AF111" s="1032">
        <v>0.13857660999999999</v>
      </c>
      <c r="AG111" s="1032">
        <v>0.47344038999999999</v>
      </c>
      <c r="AH111" s="1032">
        <v>2.8218137000000001E-5</v>
      </c>
      <c r="AI111" s="1032">
        <v>1.3858644E-2</v>
      </c>
      <c r="AJ111" s="1036">
        <v>1.6786612999999999E-2</v>
      </c>
      <c r="AK111" s="1077">
        <v>7.6538118000000002E-2</v>
      </c>
      <c r="AL111" s="1078">
        <v>8.5579908000000002E-10</v>
      </c>
      <c r="AM111" s="1078">
        <v>1.0446972000000001E-3</v>
      </c>
      <c r="AN111" s="1078">
        <v>3.9020904999999999E-4</v>
      </c>
      <c r="AO111" s="1078">
        <v>1.3459628E-4</v>
      </c>
      <c r="AP111" s="1078">
        <v>4.6104404999999999E-4</v>
      </c>
      <c r="AQ111" s="1078">
        <v>6.0185145999999997E-6</v>
      </c>
      <c r="AR111" s="1078">
        <v>1.1053301000000001E-3</v>
      </c>
      <c r="AS111" s="1078">
        <v>1.0724317999999999E-5</v>
      </c>
      <c r="AT111" s="1078">
        <v>2.7892463999999999E-5</v>
      </c>
      <c r="AU111" s="1078">
        <v>3.4290271E-5</v>
      </c>
      <c r="AV111" s="1078">
        <v>3.272839E-3</v>
      </c>
      <c r="AW111" s="1078">
        <v>0.47344008999999998</v>
      </c>
      <c r="AX111" s="1078">
        <v>3.0203229999999999E-7</v>
      </c>
      <c r="AY111" s="1078">
        <v>-2.0757740000000002E-9</v>
      </c>
      <c r="AZ111" s="1078">
        <v>3.4874256000000001E-4</v>
      </c>
      <c r="BA111" s="1078">
        <v>1.4616583000000001E-2</v>
      </c>
      <c r="BB111" s="1079">
        <v>1.6787380000000001E-2</v>
      </c>
      <c r="BC111" s="1035"/>
      <c r="BE111" s="113">
        <f t="array" ref="BE111">IFERROR(SUMIFS($CB111:$CW111,$CB$17:$CW$17,BE$17,$CB$18:$CW$18,BE$18)/SUMPRODUCT(($CB$18:$CW$18=BE$18)*ABS($CB111:$CW111)),"-")</f>
        <v>0.4480697651988248</v>
      </c>
      <c r="BF111" s="114">
        <f t="array" ref="BF111">IFERROR(SUMIFS($CB111:$CW111,$CB$17:$CW$17,BF$17,$CB$18:$CW$18,BF$18)/SUMPRODUCT(($CB$18:$CW$18=BF$18)*ABS($CB111:$CW111)),"-")</f>
        <v>2.5285475034659433E-3</v>
      </c>
      <c r="BG111" s="114">
        <f t="array" ref="BG111">IFERROR(SUMIFS($CB111:$CW111,$CB$17:$CW$17,BG$17,$CB$18:$CW$18,BG$18)/SUMPRODUCT(($CB$18:$CW$18=BG$18)*ABS($CB111:$CW111)),"-")</f>
        <v>2.7166071403925901E-5</v>
      </c>
      <c r="BH111" s="114">
        <f t="array" ref="BH111">IFERROR(SUMIFS($CB111:$CW111,$CB$17:$CW$17,BH$17,$CB$18:$CW$18,BH$18)/SUMPRODUCT(($CB$18:$CW$18=BH$18)*ABS($CB111:$CW111)),"-")</f>
        <v>2.0159445475512426E-3</v>
      </c>
      <c r="BI111" s="114">
        <f t="array" ref="BI111">IFERROR(SUMIFS($CB111:$CW111,$CB$17:$CW$17,BI$17,$CB$18:$CW$18,BI$18)/SUMPRODUCT(($CB$18:$CW$18=BI$18)*ABS($CB111:$CW111)),"-")</f>
        <v>0.34045527675766035</v>
      </c>
      <c r="BJ111" s="114">
        <f t="array" ref="BJ111">IFERROR(SUMIFS($CB111:$CW111,$CB$17:$CW$17,BJ$17,$CB$18:$CW$18,BJ$18)/SUMPRODUCT(($CB$18:$CW$18=BJ$18)*ABS($CB111:$CW111)),"-")</f>
        <v>6.9390570632058078E-4</v>
      </c>
      <c r="BK111" s="114">
        <f t="array" ref="BK111">IFERROR(SUMIFS($CB111:$CW111,$CB$17:$CW$17,BK$17,$CB$18:$CW$18,BK$18)/SUMPRODUCT(($CB$18:$CW$18=BK$18)*ABS($CB111:$CW111)),"-")</f>
        <v>0.19805196991791685</v>
      </c>
      <c r="BL111" s="114">
        <f t="array" ref="BL111">IFERROR(SUMIFS($CB111:$CW111,$CB$17:$CW$17,BL$17,$CB$18:$CW$18,BL$18)/SUMPRODUCT(($CB$18:$CW$18=BL$18)*ABS($CB111:$CW111)),"-")</f>
        <v>8.1574242968563328E-3</v>
      </c>
      <c r="BM111" s="115"/>
      <c r="BN111" s="114">
        <f t="array" ref="BN111">IFERROR(SUMIFS($CB111:$CW111,$CB$17:$CW$17,BN$17,$CB$18:$CW$18,BN$18)/SUMPRODUCT(($CB$18:$CW$18=BN$18)*ABS($CB111:$CW111)),"-")</f>
        <v>4.713305799615651E-2</v>
      </c>
      <c r="BO111" s="114">
        <f t="array" ref="BO111">IFERROR(SUMIFS($CB111:$CW111,$CB$17:$CW$17,BO$17,$CB$18:$CW$18,BO$18)/SUMPRODUCT(($CB$18:$CW$18=BO$18)*ABS($CB111:$CW111)),"-")</f>
        <v>1.0080347057400466E-2</v>
      </c>
      <c r="BP111" s="114">
        <f t="array" ref="BP111">IFERROR(SUMIFS($CB111:$CW111,$CB$17:$CW$17,BP$17,$CB$18:$CW$18,BP$18)/SUMPRODUCT(($CB$18:$CW$18=BP$18)*ABS($CB111:$CW111)),"-")</f>
        <v>1.6015304378694063E-2</v>
      </c>
      <c r="BQ111" s="114">
        <f t="array" ref="BQ111">IFERROR(SUMIFS($CB111:$CW111,$CB$17:$CW$17,BQ$17,$CB$18:$CW$18,BQ$18)/SUMPRODUCT(($CB$18:$CW$18=BQ$18)*ABS($CB111:$CW111)),"-")</f>
        <v>7.1281898959518178E-4</v>
      </c>
      <c r="BR111" s="114">
        <f t="array" ref="BR111">IFERROR(SUMIFS($CB111:$CW111,$CB$17:$CW$17,BR$17,$CB$18:$CW$18,BR$18)/SUMPRODUCT(($CB$18:$CW$18=BR$18)*ABS($CB111:$CW111)),"-")</f>
        <v>1.1733159260867678E-4</v>
      </c>
      <c r="BS111" s="114">
        <f t="array" ref="BS111">IFERROR(SUMIFS($CB111:$CW111,$CB$17:$CW$17,BS$17,$CB$18:$CW$18,BS$18)/SUMPRODUCT(($CB$18:$CW$18=BS$18)*ABS($CB111:$CW111)),"-")</f>
        <v>2.4347785376758503E-5</v>
      </c>
      <c r="BT111" s="114">
        <f t="array" ref="BT111">IFERROR(SUMIFS($CB111:$CW111,$CB$17:$CW$17,BT$17,$CB$18:$CW$18,BT$18)/SUMPRODUCT(($CB$18:$CW$18=BT$18)*ABS($CB111:$CW111)),"-")</f>
        <v>3.2405371301162443E-5</v>
      </c>
      <c r="BU111" s="114">
        <f t="array" ref="BU111">IFERROR(SUMIFS($CB111:$CW111,$CB$17:$CW$17,BU$17,$CB$18:$CW$18,BU$18)/SUMPRODUCT(($CB$18:$CW$18=BU$18)*ABS($CB111:$CW111)),"-")</f>
        <v>7.4376343716869497E-6</v>
      </c>
      <c r="BV111" s="114">
        <f t="array" ref="BV111">IFERROR(SUMIFS($CB111:$CW111,$CB$17:$CW$17,BV$17,$CB$18:$CW$18,BV$18)/SUMPRODUCT(($CB$18:$CW$18=BV$18)*ABS($CB111:$CW111)),"-")</f>
        <v>0.91882675215998666</v>
      </c>
      <c r="BW111" s="114">
        <f t="array" ref="BW111">IFERROR(SUMIFS($CB111:$CW111,$CB$17:$CW$17,BW$17,$CB$18:$CW$18,BW$18)/SUMPRODUCT(($CB$18:$CW$18=BW$18)*ABS($CB111:$CW111)),"-")</f>
        <v>7.050197034508811E-3</v>
      </c>
      <c r="BX111" s="115"/>
      <c r="BY111" s="114">
        <f t="array" ref="BY111">IFERROR(SUMIFS($CB111:$CW111,$CB$17:$CW$17,BY$17,$CB$18:$CW$18,BY$18)/SUMPRODUCT(($CB$18:$CW$18=BY$18)*ABS($CB111:$CW111)),"-")</f>
        <v>1.0932856477221071E-3</v>
      </c>
      <c r="BZ111" s="116">
        <f t="array" ref="BZ111">IFERROR(SUMIFS($CB111:$CW111,$CB$17:$CW$17,BZ$17,$CB$18:$CW$18,BZ$18)/SUMPRODUCT(($CB$18:$CW$18=BZ$18)*ABS($CB111:$CW111)),"-")</f>
        <v>0.99890671435227785</v>
      </c>
      <c r="CB111" s="117">
        <v>7.1517299999999994E-8</v>
      </c>
      <c r="CC111" s="111">
        <v>2.1565443000000001E-10</v>
      </c>
      <c r="CD111" s="111">
        <v>5.8928939000000003E-15</v>
      </c>
      <c r="CE111" s="111">
        <v>4.0358646E-10</v>
      </c>
      <c r="CF111" s="111">
        <v>4.3360302999999998E-12</v>
      </c>
      <c r="CG111" s="111">
        <v>3.2176888999999998E-10</v>
      </c>
      <c r="CH111" s="111">
        <v>5.4340739000000003E-8</v>
      </c>
      <c r="CI111" s="111">
        <v>4.6123273000000001E-11</v>
      </c>
      <c r="CJ111" s="111">
        <v>7.3279049999999999E-11</v>
      </c>
      <c r="CK111" s="111">
        <v>3.2615489000000001E-12</v>
      </c>
      <c r="CL111" s="111">
        <v>5.3685820999999995E-13</v>
      </c>
      <c r="CM111" s="111">
        <v>1.1140485E-13</v>
      </c>
      <c r="CN111" s="111">
        <v>1.4827284999999999E-13</v>
      </c>
      <c r="CO111" s="111">
        <v>3.4031372E-14</v>
      </c>
      <c r="CP111" s="111">
        <v>1.1075566E-10</v>
      </c>
      <c r="CQ111" s="111">
        <v>3.1611466000000001E-8</v>
      </c>
      <c r="CR111" s="111">
        <v>4.2041506E-9</v>
      </c>
      <c r="CS111" s="111">
        <v>6.5205171000000003E-6</v>
      </c>
      <c r="CT111" s="111">
        <v>5.9576272000000001E-3</v>
      </c>
      <c r="CU111" s="111">
        <v>1.3020226E-9</v>
      </c>
      <c r="CV111" s="111">
        <v>3.22586E-11</v>
      </c>
      <c r="CW111" s="112">
        <v>2.7671724000000001E-17</v>
      </c>
    </row>
    <row r="112" spans="2:101" ht="12" customHeight="1" outlineLevel="1" x14ac:dyDescent="0.2">
      <c r="B112" s="104" t="s">
        <v>111</v>
      </c>
      <c r="C112" s="104" t="s">
        <v>121</v>
      </c>
      <c r="D112" s="2" t="s">
        <v>148</v>
      </c>
      <c r="E112" s="2" t="s">
        <v>149</v>
      </c>
      <c r="F112" s="105" t="s">
        <v>94</v>
      </c>
      <c r="G112" s="27" t="s">
        <v>1580</v>
      </c>
      <c r="H112" s="106" t="s">
        <v>131</v>
      </c>
      <c r="I112" s="107" t="s">
        <v>129</v>
      </c>
      <c r="J112" s="108">
        <v>0.76959932000000009</v>
      </c>
      <c r="K112" s="109"/>
      <c r="L112" s="109"/>
      <c r="M112" s="110"/>
      <c r="N112" s="161"/>
      <c r="O112" s="1056"/>
      <c r="P112" s="117">
        <v>7.6827288102700008E-8</v>
      </c>
      <c r="Q112" s="111">
        <v>2.2430111985793041E-9</v>
      </c>
      <c r="R112" s="112">
        <v>2.9237168576999998E-3</v>
      </c>
      <c r="S112" s="1032">
        <v>3.7760947000000003E-2</v>
      </c>
      <c r="T112" s="1032">
        <v>3.7265197999999997E-7</v>
      </c>
      <c r="U112" s="1032">
        <v>2.5013732000000002E-4</v>
      </c>
      <c r="V112" s="1032">
        <v>1.733328E-4</v>
      </c>
      <c r="W112" s="1032">
        <v>4.2356644999999997E-5</v>
      </c>
      <c r="X112" s="1032">
        <v>1.7527440999999999E-4</v>
      </c>
      <c r="Y112" s="1032">
        <v>1.6935733000000001E-4</v>
      </c>
      <c r="Z112" s="1032">
        <v>2.3831237000000001E-6</v>
      </c>
      <c r="AA112" s="1032">
        <v>1.5490451E-4</v>
      </c>
      <c r="AB112" s="1032">
        <v>4.7917154000000003E-3</v>
      </c>
      <c r="AC112" s="1032">
        <v>1.041758E-4</v>
      </c>
      <c r="AD112" s="1032">
        <v>1.5817262999999999E-4</v>
      </c>
      <c r="AE112" s="1032">
        <v>1.5620574E-5</v>
      </c>
      <c r="AF112" s="1032">
        <v>6.1731312000000003E-2</v>
      </c>
      <c r="AG112" s="1032">
        <v>0.23208775000000001</v>
      </c>
      <c r="AH112" s="1032">
        <v>1.3832963999999999E-5</v>
      </c>
      <c r="AI112" s="1032">
        <v>6.7937201000000001E-3</v>
      </c>
      <c r="AJ112" s="1036">
        <v>8.2290555000000005E-3</v>
      </c>
      <c r="AK112" s="1077">
        <v>3.7520162000000003E-2</v>
      </c>
      <c r="AL112" s="1078">
        <v>4.1952586000000001E-10</v>
      </c>
      <c r="AM112" s="1078">
        <v>5.1212660999999996E-4</v>
      </c>
      <c r="AN112" s="1078">
        <v>1.9128647999999999E-4</v>
      </c>
      <c r="AO112" s="1078">
        <v>6.5981163999999999E-5</v>
      </c>
      <c r="AP112" s="1078">
        <v>2.2601087999999999E-4</v>
      </c>
      <c r="AQ112" s="1078">
        <v>2.9503682999999999E-6</v>
      </c>
      <c r="AR112" s="1078">
        <v>5.4184977999999998E-4</v>
      </c>
      <c r="AS112" s="1078">
        <v>4.3519857000000002E-6</v>
      </c>
      <c r="AT112" s="1078">
        <v>1.3585624999999999E-5</v>
      </c>
      <c r="AU112" s="1078">
        <v>1.6762033999999999E-5</v>
      </c>
      <c r="AV112" s="1078">
        <v>1.4371874000000001E-3</v>
      </c>
      <c r="AW112" s="1078">
        <v>0.23208761</v>
      </c>
      <c r="AX112" s="1078">
        <v>1.4806088000000001E-7</v>
      </c>
      <c r="AY112" s="1078">
        <v>-1.0175763E-9</v>
      </c>
      <c r="AZ112" s="1078">
        <v>1.7095896000000001E-4</v>
      </c>
      <c r="BA112" s="1078">
        <v>7.1652736999999996E-3</v>
      </c>
      <c r="BB112" s="1079">
        <v>8.2294315000000003E-3</v>
      </c>
      <c r="BC112" s="1035"/>
      <c r="BE112" s="113">
        <f t="array" ref="BE112">IFERROR(SUMIFS($CB112:$CW112,$CB$17:$CW$17,BE$17,$CB$18:$CW$18,BE$18)/SUMPRODUCT(($CB$18:$CW$18=BE$18)*ABS($CB112:$CW112)),"-")</f>
        <v>0.45633367864207997</v>
      </c>
      <c r="BF112" s="114">
        <f t="array" ref="BF112">IFERROR(SUMIFS($CB112:$CW112,$CB$17:$CW$17,BF$17,$CB$18:$CW$18,BF$18)/SUMPRODUCT(($CB$18:$CW$18=BF$18)*ABS($CB112:$CW112)),"-")</f>
        <v>2.5751825280560304E-3</v>
      </c>
      <c r="BG112" s="114">
        <f t="array" ref="BG112">IFERROR(SUMIFS($CB112:$CW112,$CB$17:$CW$17,BG$17,$CB$18:$CW$18,BG$18)/SUMPRODUCT(($CB$18:$CW$18=BG$18)*ABS($CB112:$CW112)),"-")</f>
        <v>2.7667105692427776E-5</v>
      </c>
      <c r="BH112" s="114">
        <f t="array" ref="BH112">IFERROR(SUMIFS($CB112:$CW112,$CB$17:$CW$17,BH$17,$CB$18:$CW$18,BH$18)/SUMPRODUCT(($CB$18:$CW$18=BH$18)*ABS($CB112:$CW112)),"-")</f>
        <v>2.0531254440368115E-3</v>
      </c>
      <c r="BI112" s="114">
        <f t="array" ref="BI112">IFERROR(SUMIFS($CB112:$CW112,$CB$17:$CW$17,BI$17,$CB$18:$CW$18,BI$18)/SUMPRODUCT(($CB$18:$CW$18=BI$18)*ABS($CB112:$CW112)),"-")</f>
        <v>0.34673441765106133</v>
      </c>
      <c r="BJ112" s="114">
        <f t="array" ref="BJ112">IFERROR(SUMIFS($CB112:$CW112,$CB$17:$CW$17,BJ$17,$CB$18:$CW$18,BJ$18)/SUMPRODUCT(($CB$18:$CW$18=BJ$18)*ABS($CB112:$CW112)),"-")</f>
        <v>6.7548504290074229E-4</v>
      </c>
      <c r="BK112" s="114">
        <f t="array" ref="BK112">IFERROR(SUMIFS($CB112:$CW112,$CB$17:$CW$17,BK$17,$CB$18:$CW$18,BK$18)/SUMPRODUCT(($CB$18:$CW$18=BK$18)*ABS($CB112:$CW112)),"-")</f>
        <v>0.1832925689264972</v>
      </c>
      <c r="BL112" s="114">
        <f t="array" ref="BL112">IFERROR(SUMIFS($CB112:$CW112,$CB$17:$CW$17,BL$17,$CB$18:$CW$18,BL$18)/SUMPRODUCT(($CB$18:$CW$18=BL$18)*ABS($CB112:$CW112)),"-")</f>
        <v>8.3078746596753645E-3</v>
      </c>
      <c r="BM112" s="115"/>
      <c r="BN112" s="114">
        <f t="array" ref="BN112">IFERROR(SUMIFS($CB112:$CW112,$CB$17:$CW$17,BN$17,$CB$18:$CW$18,BN$18)/SUMPRODUCT(($CB$18:$CW$18=BN$18)*ABS($CB112:$CW112)),"-")</f>
        <v>4.7133072208539024E-2</v>
      </c>
      <c r="BO112" s="114">
        <f t="array" ref="BO112">IFERROR(SUMIFS($CB112:$CW112,$CB$17:$CW$17,BO$17,$CB$18:$CW$18,BO$18)/SUMPRODUCT(($CB$18:$CW$18=BO$18)*ABS($CB112:$CW112)),"-")</f>
        <v>1.0080350028711899E-2</v>
      </c>
      <c r="BP112" s="114">
        <f t="array" ref="BP112">IFERROR(SUMIFS($CB112:$CW112,$CB$17:$CW$17,BP$17,$CB$18:$CW$18,BP$18)/SUMPRODUCT(($CB$18:$CW$18=BP$18)*ABS($CB112:$CW112)),"-")</f>
        <v>1.6015308805748668E-2</v>
      </c>
      <c r="BQ112" s="114">
        <f t="array" ref="BQ112">IFERROR(SUMIFS($CB112:$CW112,$CB$17:$CW$17,BQ$17,$CB$18:$CW$18,BQ$18)/SUMPRODUCT(($CB$18:$CW$18=BQ$18)*ABS($CB112:$CW112)),"-")</f>
        <v>7.1281917852781976E-4</v>
      </c>
      <c r="BR112" s="114">
        <f t="array" ref="BR112">IFERROR(SUMIFS($CB112:$CW112,$CB$17:$CW$17,BR$17,$CB$18:$CW$18,BR$18)/SUMPRODUCT(($CB$18:$CW$18=BR$18)*ABS($CB112:$CW112)),"-")</f>
        <v>1.1733162552496062E-4</v>
      </c>
      <c r="BS112" s="114">
        <f t="array" ref="BS112">IFERROR(SUMIFS($CB112:$CW112,$CB$17:$CW$17,BS$17,$CB$18:$CW$18,BS$18)/SUMPRODUCT(($CB$18:$CW$18=BS$18)*ABS($CB112:$CW112)),"-")</f>
        <v>2.4347791056322327E-5</v>
      </c>
      <c r="BT112" s="114">
        <f t="array" ref="BT112">IFERROR(SUMIFS($CB112:$CW112,$CB$17:$CW$17,BT$17,$CB$18:$CW$18,BT$18)/SUMPRODUCT(($CB$18:$CW$18=BT$18)*ABS($CB112:$CW112)),"-")</f>
        <v>3.2143069123179383E-5</v>
      </c>
      <c r="BU112" s="114">
        <f t="array" ref="BU112">IFERROR(SUMIFS($CB112:$CW112,$CB$17:$CW$17,BU$17,$CB$18:$CW$18,BU$18)/SUMPRODUCT(($CB$18:$CW$18=BU$18)*ABS($CB112:$CW112)),"-")</f>
        <v>7.4065813895724186E-6</v>
      </c>
      <c r="BV112" s="114">
        <f t="array" ref="BV112">IFERROR(SUMIFS($CB112:$CW112,$CB$17:$CW$17,BV$17,$CB$18:$CW$18,BV$18)/SUMPRODUCT(($CB$18:$CW$18=BV$18)*ABS($CB112:$CW112)),"-")</f>
        <v>0.91882702204312383</v>
      </c>
      <c r="BW112" s="114">
        <f t="array" ref="BW112">IFERROR(SUMIFS($CB112:$CW112,$CB$17:$CW$17,BW$17,$CB$18:$CW$18,BW$18)/SUMPRODUCT(($CB$18:$CW$18=BW$18)*ABS($CB112:$CW112)),"-")</f>
        <v>7.0501986682546154E-3</v>
      </c>
      <c r="BX112" s="115"/>
      <c r="BY112" s="114">
        <f t="array" ref="BY112">IFERROR(SUMIFS($CB112:$CW112,$CB$17:$CW$17,BY$17,$CB$18:$CW$18,BY$18)/SUMPRODUCT(($CB$18:$CW$18=BY$18)*ABS($CB112:$CW112)),"-")</f>
        <v>1.0932856550666665E-3</v>
      </c>
      <c r="BZ112" s="116">
        <f t="array" ref="BZ112">IFERROR(SUMIFS($CB112:$CW112,$CB$17:$CW$17,BZ$17,$CB$18:$CW$18,BZ$18)/SUMPRODUCT(($CB$18:$CW$18=BZ$18)*ABS($CB112:$CW112)),"-")</f>
        <v>0.99890671434493339</v>
      </c>
      <c r="CB112" s="117">
        <v>3.5058879000000001E-8</v>
      </c>
      <c r="CC112" s="111">
        <v>1.0571712E-10</v>
      </c>
      <c r="CD112" s="111">
        <v>2.8887871999999999E-15</v>
      </c>
      <c r="CE112" s="111">
        <v>1.9784428999999999E-10</v>
      </c>
      <c r="CF112" s="111">
        <v>2.1255887000000001E-12</v>
      </c>
      <c r="CG112" s="111">
        <v>1.5773605999999999E-10</v>
      </c>
      <c r="CH112" s="111">
        <v>2.6638665E-8</v>
      </c>
      <c r="CI112" s="111">
        <v>2.2610338000000001E-11</v>
      </c>
      <c r="CJ112" s="111">
        <v>3.5922517000000003E-11</v>
      </c>
      <c r="CK112" s="111">
        <v>1.5988613999999999E-12</v>
      </c>
      <c r="CL112" s="111">
        <v>2.6317614999999999E-13</v>
      </c>
      <c r="CM112" s="111">
        <v>5.4612368000000003E-14</v>
      </c>
      <c r="CN112" s="111">
        <v>7.2097264000000004E-14</v>
      </c>
      <c r="CO112" s="111">
        <v>1.6613044999999999E-14</v>
      </c>
      <c r="CP112" s="111">
        <v>5.1895684E-11</v>
      </c>
      <c r="CQ112" s="111">
        <v>1.4081871E-8</v>
      </c>
      <c r="CR112" s="111">
        <v>2.0609392999999999E-9</v>
      </c>
      <c r="CS112" s="111">
        <v>3.1964577000000001E-6</v>
      </c>
      <c r="CT112" s="111">
        <v>2.9205203999999999E-3</v>
      </c>
      <c r="CU112" s="111">
        <v>6.3827147999999999E-10</v>
      </c>
      <c r="CV112" s="111">
        <v>1.5813660999999998E-11</v>
      </c>
      <c r="CW112" s="112">
        <v>1.3565104E-17</v>
      </c>
    </row>
    <row r="113" spans="2:101" ht="12" customHeight="1" outlineLevel="1" x14ac:dyDescent="0.2">
      <c r="B113" s="104" t="s">
        <v>111</v>
      </c>
      <c r="C113" s="104" t="s">
        <v>121</v>
      </c>
      <c r="D113" s="2" t="s">
        <v>148</v>
      </c>
      <c r="E113" s="2" t="s">
        <v>149</v>
      </c>
      <c r="F113" s="105" t="s">
        <v>95</v>
      </c>
      <c r="G113" s="27" t="s">
        <v>1581</v>
      </c>
      <c r="H113" s="106" t="s">
        <v>128</v>
      </c>
      <c r="I113" s="107" t="s">
        <v>127</v>
      </c>
      <c r="J113" s="108">
        <v>0.76959932000000009</v>
      </c>
      <c r="K113" s="109"/>
      <c r="L113" s="109"/>
      <c r="M113" s="110"/>
      <c r="N113" s="161"/>
      <c r="O113" s="1056"/>
      <c r="P113" s="117">
        <v>2.3023506944129999E-7</v>
      </c>
      <c r="Q113" s="111">
        <v>3.125050514860479E-9</v>
      </c>
      <c r="R113" s="112">
        <v>4.0371889617999996E-3</v>
      </c>
      <c r="S113" s="1032">
        <v>5.5593223999999997E-2</v>
      </c>
      <c r="T113" s="1032">
        <v>6.5132560999999995E-7</v>
      </c>
      <c r="U113" s="1032">
        <v>3.3686829000000002E-4</v>
      </c>
      <c r="V113" s="1032">
        <v>2.4069685999999999E-4</v>
      </c>
      <c r="W113" s="1032">
        <v>1.0961404E-4</v>
      </c>
      <c r="X113" s="1032">
        <v>2.4334361000000001E-4</v>
      </c>
      <c r="Y113" s="1032">
        <v>6.5329278000000001E-4</v>
      </c>
      <c r="Z113" s="1032">
        <v>1.4771457999999999E-5</v>
      </c>
      <c r="AA113" s="1032">
        <v>2.6832053E-4</v>
      </c>
      <c r="AB113" s="1032">
        <v>8.3191036000000006E-3</v>
      </c>
      <c r="AC113" s="1032">
        <v>2.5383245E-4</v>
      </c>
      <c r="AD113" s="1032">
        <v>3.4772064999999999E-4</v>
      </c>
      <c r="AE113" s="1032">
        <v>3.3630193999999999E-5</v>
      </c>
      <c r="AF113" s="1032">
        <v>0.47400508000000002</v>
      </c>
      <c r="AG113" s="1032">
        <v>0.31165324</v>
      </c>
      <c r="AH113" s="1032">
        <v>1.8601123E-5</v>
      </c>
      <c r="AI113" s="1032">
        <v>9.3691815000000005E-3</v>
      </c>
      <c r="AJ113" s="1036">
        <v>1.1050254000000001E-2</v>
      </c>
      <c r="AK113" s="1077">
        <v>5.5262989999999998E-2</v>
      </c>
      <c r="AL113" s="1078">
        <v>5.6498067999999998E-10</v>
      </c>
      <c r="AM113" s="1078">
        <v>6.8968104999999995E-4</v>
      </c>
      <c r="AN113" s="1078">
        <v>2.6527201E-4</v>
      </c>
      <c r="AO113" s="1078">
        <v>1.5960388E-4</v>
      </c>
      <c r="AP113" s="1078">
        <v>8.3660492999999999E-4</v>
      </c>
      <c r="AQ113" s="1078">
        <v>1.5535309000000001E-5</v>
      </c>
      <c r="AR113" s="1078">
        <v>9.5448367000000004E-4</v>
      </c>
      <c r="AS113" s="1078">
        <v>4.5398773999999999E-5</v>
      </c>
      <c r="AT113" s="1078">
        <v>2.5112897E-5</v>
      </c>
      <c r="AU113" s="1078">
        <v>2.7615873E-5</v>
      </c>
      <c r="AV113" s="1078">
        <v>7.5463891999999998E-3</v>
      </c>
      <c r="AW113" s="1078">
        <v>0.31165303999999999</v>
      </c>
      <c r="AX113" s="1078">
        <v>1.9881984999999999E-7</v>
      </c>
      <c r="AY113" s="1078">
        <v>-1.3664269000000001E-9</v>
      </c>
      <c r="AZ113" s="1078">
        <v>2.2975694E-4</v>
      </c>
      <c r="BA113" s="1078">
        <v>9.8777336000000007E-3</v>
      </c>
      <c r="BB113" s="1079">
        <v>1.1050758000000001E-2</v>
      </c>
      <c r="BC113" s="1035"/>
      <c r="BE113" s="113">
        <f t="array" ref="BE113">IFERROR(SUMIFS($CB113:$CW113,$CB$17:$CW$17,BE$17,$CB$18:$CW$18,BE$18)/SUMPRODUCT(($CB$18:$CW$18=BE$18)*ABS($CB113:$CW113)),"-")</f>
        <v>0.22420241245289818</v>
      </c>
      <c r="BF113" s="114">
        <f t="array" ref="BF113">IFERROR(SUMIFS($CB113:$CW113,$CB$17:$CW$17,BF$17,$CB$18:$CW$18,BF$18)/SUMPRODUCT(($CB$18:$CW$18=BF$18)*ABS($CB113:$CW113)),"-")</f>
        <v>1.5019199326980145E-3</v>
      </c>
      <c r="BG113" s="114">
        <f t="array" ref="BG113">IFERROR(SUMIFS($CB113:$CW113,$CB$17:$CW$17,BG$17,$CB$18:$CW$18,BG$18)/SUMPRODUCT(($CB$18:$CW$18=BG$18)*ABS($CB113:$CW113)),"-")</f>
        <v>1.2433385178663409E-5</v>
      </c>
      <c r="BH113" s="114">
        <f t="array" ref="BH113">IFERROR(SUMIFS($CB113:$CW113,$CB$17:$CW$17,BH$17,$CB$18:$CW$18,BH$18)/SUMPRODUCT(($CB$18:$CW$18=BH$18)*ABS($CB113:$CW113)),"-")</f>
        <v>9.5136879247601045E-4</v>
      </c>
      <c r="BI113" s="114">
        <f t="array" ref="BI113">IFERROR(SUMIFS($CB113:$CW113,$CB$17:$CW$17,BI$17,$CB$18:$CW$18,BI$18)/SUMPRODUCT(($CB$18:$CW$18=BI$18)*ABS($CB113:$CW113)),"-")</f>
        <v>0.2994802319530192</v>
      </c>
      <c r="BJ113" s="114">
        <f t="array" ref="BJ113">IFERROR(SUMIFS($CB113:$CW113,$CB$17:$CW$17,BJ$17,$CB$18:$CW$18,BJ$18)/SUMPRODUCT(($CB$18:$CW$18=BJ$18)*ABS($CB113:$CW113)),"-")</f>
        <v>4.8540341951899374E-4</v>
      </c>
      <c r="BK113" s="114">
        <f t="array" ref="BK113">IFERROR(SUMIFS($CB113:$CW113,$CB$17:$CW$17,BK$17,$CB$18:$CW$18,BK$18)/SUMPRODUCT(($CB$18:$CW$18=BK$18)*ABS($CB113:$CW113)),"-")</f>
        <v>0.46964287526826159</v>
      </c>
      <c r="BL113" s="114">
        <f t="array" ref="BL113">IFERROR(SUMIFS($CB113:$CW113,$CB$17:$CW$17,BL$17,$CB$18:$CW$18,BL$18)/SUMPRODUCT(($CB$18:$CW$18=BL$18)*ABS($CB113:$CW113)),"-")</f>
        <v>3.7233547959493679E-3</v>
      </c>
      <c r="BM113" s="115"/>
      <c r="BN113" s="114">
        <f t="array" ref="BN113">IFERROR(SUMIFS($CB113:$CW113,$CB$17:$CW$17,BN$17,$CB$18:$CW$18,BN$18)/SUMPRODUCT(($CB$18:$CW$18=BN$18)*ABS($CB113:$CW113)),"-")</f>
        <v>4.9804514289379022E-2</v>
      </c>
      <c r="BO113" s="114">
        <f t="array" ref="BO113">IFERROR(SUMIFS($CB113:$CW113,$CB$17:$CW$17,BO$17,$CB$18:$CW$18,BO$18)/SUMPRODUCT(($CB$18:$CW$18=BO$18)*ABS($CB113:$CW113)),"-")</f>
        <v>1.004503602445015E-2</v>
      </c>
      <c r="BP113" s="114">
        <f t="array" ref="BP113">IFERROR(SUMIFS($CB113:$CW113,$CB$17:$CW$17,BP$17,$CB$18:$CW$18,BP$18)/SUMPRODUCT(($CB$18:$CW$18=BP$18)*ABS($CB113:$CW113)),"-")</f>
        <v>4.4359798134715633E-2</v>
      </c>
      <c r="BQ113" s="114">
        <f t="array" ref="BQ113">IFERROR(SUMIFS($CB113:$CW113,$CB$17:$CW$17,BQ$17,$CB$18:$CW$18,BQ$18)/SUMPRODUCT(($CB$18:$CW$18=BQ$18)*ABS($CB113:$CW113)),"-")</f>
        <v>3.1715836761257933E-3</v>
      </c>
      <c r="BR113" s="114">
        <f t="array" ref="BR113">IFERROR(SUMIFS($CB113:$CW113,$CB$17:$CW$17,BR$17,$CB$18:$CW$18,BR$18)/SUMPRODUCT(($CB$18:$CW$18=BR$18)*ABS($CB113:$CW113)),"-")</f>
        <v>1.4587447077486762E-4</v>
      </c>
      <c r="BS113" s="114">
        <f t="array" ref="BS113">IFERROR(SUMIFS($CB113:$CW113,$CB$17:$CW$17,BS$17,$CB$18:$CW$18,BS$18)/SUMPRODUCT(($CB$18:$CW$18=BS$18)*ABS($CB113:$CW113)),"-")</f>
        <v>3.0344263092410734E-5</v>
      </c>
      <c r="BT113" s="114">
        <f t="array" ref="BT113">IFERROR(SUMIFS($CB113:$CW113,$CB$17:$CW$17,BT$17,$CB$18:$CW$18,BT$18)/SUMPRODUCT(($CB$18:$CW$18=BT$18)*ABS($CB113:$CW113)),"-")</f>
        <v>5.6253151481568451E-5</v>
      </c>
      <c r="BU113" s="114">
        <f t="array" ref="BU113">IFERROR(SUMIFS($CB113:$CW113,$CB$17:$CW$17,BU$17,$CB$18:$CW$18,BU$18)/SUMPRODUCT(($CB$18:$CW$18=BU$18)*ABS($CB113:$CW113)),"-")</f>
        <v>1.1686529170115038E-5</v>
      </c>
      <c r="BV113" s="114">
        <f t="array" ref="BV113">IFERROR(SUMIFS($CB113:$CW113,$CB$17:$CW$17,BV$17,$CB$18:$CW$18,BV$18)/SUMPRODUCT(($CB$18:$CW$18=BV$18)*ABS($CB113:$CW113)),"-")</f>
        <v>0.88557950882389391</v>
      </c>
      <c r="BW113" s="114">
        <f t="array" ref="BW113">IFERROR(SUMIFS($CB113:$CW113,$CB$17:$CW$17,BW$17,$CB$18:$CW$18,BW$18)/SUMPRODUCT(($CB$18:$CW$18=BW$18)*ABS($CB113:$CW113)),"-")</f>
        <v>6.7954006369164563E-3</v>
      </c>
      <c r="BX113" s="115"/>
      <c r="BY113" s="114">
        <f t="array" ref="BY113">IFERROR(SUMIFS($CB113:$CW113,$CB$17:$CW$17,BY$17,$CB$18:$CW$18,BY$18)/SUMPRODUCT(($CB$18:$CW$18=BY$18)*ABS($CB113:$CW113)),"-")</f>
        <v>1.0646669850408984E-3</v>
      </c>
      <c r="BZ113" s="116">
        <f t="array" ref="BZ113">IFERROR(SUMIFS($CB113:$CW113,$CB$17:$CW$17,BZ$17,$CB$18:$CW$18,BZ$18)/SUMPRODUCT(($CB$18:$CW$18=BZ$18)*ABS($CB113:$CW113)),"-")</f>
        <v>0.99893533301495918</v>
      </c>
      <c r="CB113" s="117">
        <v>5.1619257999999997E-8</v>
      </c>
      <c r="CC113" s="111">
        <v>1.5563737000000001E-10</v>
      </c>
      <c r="CD113" s="111">
        <v>4.2530224000000002E-15</v>
      </c>
      <c r="CE113" s="111">
        <v>3.4579463999999999E-10</v>
      </c>
      <c r="CF113" s="111">
        <v>2.8626012999999999E-12</v>
      </c>
      <c r="CG113" s="111">
        <v>2.1903845999999999E-10</v>
      </c>
      <c r="CH113" s="111">
        <v>6.8950851999999999E-8</v>
      </c>
      <c r="CI113" s="111">
        <v>3.1391245000000002E-11</v>
      </c>
      <c r="CJ113" s="111">
        <v>1.3862661000000001E-10</v>
      </c>
      <c r="CK113" s="111">
        <v>9.9113592000000006E-12</v>
      </c>
      <c r="CL113" s="111">
        <v>4.5586508999999997E-13</v>
      </c>
      <c r="CM113" s="111">
        <v>9.4827355000000001E-14</v>
      </c>
      <c r="CN113" s="111">
        <v>1.7579394E-13</v>
      </c>
      <c r="CO113" s="111">
        <v>3.6520994000000003E-14</v>
      </c>
      <c r="CP113" s="111">
        <v>1.1175689E-10</v>
      </c>
      <c r="CQ113" s="111">
        <v>1.0812826E-7</v>
      </c>
      <c r="CR113" s="111">
        <v>2.7674806999999999E-9</v>
      </c>
      <c r="CS113" s="111">
        <v>4.2982618000000003E-6</v>
      </c>
      <c r="CT113" s="111">
        <v>4.0328906999999997E-3</v>
      </c>
      <c r="CU113" s="111">
        <v>8.5724685000000004E-10</v>
      </c>
      <c r="CV113" s="111">
        <v>2.1235951999999999E-11</v>
      </c>
      <c r="CW113" s="112">
        <v>1.8259079000000001E-17</v>
      </c>
    </row>
    <row r="114" spans="2:101" ht="12" customHeight="1" outlineLevel="1" x14ac:dyDescent="0.2">
      <c r="B114" s="104" t="s">
        <v>111</v>
      </c>
      <c r="C114" s="104" t="s">
        <v>121</v>
      </c>
      <c r="D114" s="2" t="s">
        <v>148</v>
      </c>
      <c r="E114" s="2" t="s">
        <v>149</v>
      </c>
      <c r="F114" s="105" t="s">
        <v>96</v>
      </c>
      <c r="G114" s="27" t="s">
        <v>1582</v>
      </c>
      <c r="H114" s="106" t="s">
        <v>128</v>
      </c>
      <c r="I114" s="107" t="s">
        <v>1577</v>
      </c>
      <c r="J114" s="108">
        <v>0.76959932000000009</v>
      </c>
      <c r="K114" s="109"/>
      <c r="L114" s="109"/>
      <c r="M114" s="110"/>
      <c r="N114" s="161"/>
      <c r="O114" s="1056"/>
      <c r="P114" s="117">
        <v>3.21711653013E-7</v>
      </c>
      <c r="Q114" s="111">
        <v>3.2070347068261799E-9</v>
      </c>
      <c r="R114" s="112">
        <v>4.1097264634000008E-3</v>
      </c>
      <c r="S114" s="1032">
        <v>5.9095129000000003E-2</v>
      </c>
      <c r="T114" s="1032">
        <v>7.6135862999999999E-7</v>
      </c>
      <c r="U114" s="1032">
        <v>3.3750631000000001E-4</v>
      </c>
      <c r="V114" s="1032">
        <v>2.4587943999999999E-4</v>
      </c>
      <c r="W114" s="1032">
        <v>1.4799295E-4</v>
      </c>
      <c r="X114" s="1032">
        <v>2.4855198E-4</v>
      </c>
      <c r="Y114" s="1032">
        <v>9.6358425000000005E-4</v>
      </c>
      <c r="Z114" s="1032">
        <v>2.3012452999999998E-5</v>
      </c>
      <c r="AA114" s="1032">
        <v>3.1229788000000002E-4</v>
      </c>
      <c r="AB114" s="1032">
        <v>9.5490680000000008E-3</v>
      </c>
      <c r="AC114" s="1032">
        <v>2.9697007999999998E-4</v>
      </c>
      <c r="AD114" s="1032">
        <v>3.9077983E-4</v>
      </c>
      <c r="AE114" s="1032">
        <v>4.3299123999999999E-5</v>
      </c>
      <c r="AF114" s="1032">
        <v>0.75447743</v>
      </c>
      <c r="AG114" s="1032">
        <v>0.31165324</v>
      </c>
      <c r="AH114" s="1032">
        <v>1.8618009000000002E-5</v>
      </c>
      <c r="AI114" s="1032">
        <v>9.5299888999999995E-3</v>
      </c>
      <c r="AJ114" s="1036">
        <v>1.1050301E-2</v>
      </c>
      <c r="AK114" s="1077">
        <v>5.8760391000000002E-2</v>
      </c>
      <c r="AL114" s="1078">
        <v>5.6604501000000003E-10</v>
      </c>
      <c r="AM114" s="1078">
        <v>6.9097627000000005E-4</v>
      </c>
      <c r="AN114" s="1078">
        <v>2.7075903999999998E-4</v>
      </c>
      <c r="AO114" s="1078">
        <v>2.1122438000000001E-4</v>
      </c>
      <c r="AP114" s="1078">
        <v>1.2249701E-3</v>
      </c>
      <c r="AQ114" s="1078">
        <v>2.3777702E-5</v>
      </c>
      <c r="AR114" s="1078">
        <v>1.1198918000000001E-3</v>
      </c>
      <c r="AS114" s="1078">
        <v>7.2196321999999999E-5</v>
      </c>
      <c r="AT114" s="1078">
        <v>2.8007790999999998E-5</v>
      </c>
      <c r="AU114" s="1078">
        <v>2.9634995E-5</v>
      </c>
      <c r="AV114" s="1078">
        <v>1.1722013E-2</v>
      </c>
      <c r="AW114" s="1078">
        <v>0.31165303999999999</v>
      </c>
      <c r="AX114" s="1078">
        <v>1.9881984999999999E-7</v>
      </c>
      <c r="AY114" s="1078">
        <v>-1.3664269000000001E-9</v>
      </c>
      <c r="AZ114" s="1078">
        <v>2.2988026999999999E-4</v>
      </c>
      <c r="BA114" s="1078">
        <v>1.0044819999999999E-2</v>
      </c>
      <c r="BB114" s="1079">
        <v>1.1050805E-2</v>
      </c>
      <c r="BC114" s="1035"/>
      <c r="BE114" s="113">
        <f t="array" ref="BE114">IFERROR(SUMIFS($CB114:$CW114,$CB$17:$CW$17,BE$17,$CB$18:$CW$18,BE$18)/SUMPRODUCT(($CB$18:$CW$18=BE$18)*ABS($CB114:$CW114)),"-")</f>
        <v>0.17056768533585764</v>
      </c>
      <c r="BF114" s="114">
        <f t="array" ref="BF114">IFERROR(SUMIFS($CB114:$CW114,$CB$17:$CW$17,BF$17,$CB$18:$CW$18,BF$18)/SUMPRODUCT(($CB$18:$CW$18=BF$18)*ABS($CB114:$CW114)),"-")</f>
        <v>1.2564424266710234E-3</v>
      </c>
      <c r="BG114" s="114">
        <f t="array" ref="BG114">IFERROR(SUMIFS($CB114:$CW114,$CB$17:$CW$17,BG$17,$CB$18:$CW$18,BG$18)/SUMPRODUCT(($CB$18:$CW$18=BG$18)*ABS($CB114:$CW114)),"-")</f>
        <v>8.9148868968203225E-6</v>
      </c>
      <c r="BH114" s="114">
        <f t="array" ref="BH114">IFERROR(SUMIFS($CB114:$CW114,$CB$17:$CW$17,BH$17,$CB$18:$CW$18,BH$18)/SUMPRODUCT(($CB$18:$CW$18=BH$18)*ABS($CB114:$CW114)),"-")</f>
        <v>6.9551291631627136E-4</v>
      </c>
      <c r="BI114" s="114">
        <f t="array" ref="BI114">IFERROR(SUMIFS($CB114:$CW114,$CB$17:$CW$17,BI$17,$CB$18:$CW$18,BI$18)/SUMPRODUCT(($CB$18:$CW$18=BI$18)*ABS($CB114:$CW114)),"-")</f>
        <v>0.28938156304906382</v>
      </c>
      <c r="BJ114" s="114">
        <f t="array" ref="BJ114">IFERROR(SUMIFS($CB114:$CW114,$CB$17:$CW$17,BJ$17,$CB$18:$CW$18,BJ$18)/SUMPRODUCT(($CB$18:$CW$18=BJ$18)*ABS($CB114:$CW114)),"-")</f>
        <v>4.473072972404422E-4</v>
      </c>
      <c r="BK114" s="114">
        <f t="array" ref="BK114">IFERROR(SUMIFS($CB114:$CW114,$CB$17:$CW$17,BK$17,$CB$18:$CW$18,BK$18)/SUMPRODUCT(($CB$18:$CW$18=BK$18)*ABS($CB114:$CW114)),"-")</f>
        <v>0.53497760615169665</v>
      </c>
      <c r="BL114" s="114">
        <f t="array" ref="BL114">IFERROR(SUMIFS($CB114:$CW114,$CB$17:$CW$17,BL$17,$CB$18:$CW$18,BL$18)/SUMPRODUCT(($CB$18:$CW$18=BL$18)*ABS($CB114:$CW114)),"-")</f>
        <v>2.6649679362573645E-3</v>
      </c>
      <c r="BM114" s="115"/>
      <c r="BN114" s="114">
        <f t="array" ref="BN114">IFERROR(SUMIFS($CB114:$CW114,$CB$17:$CW$17,BN$17,$CB$18:$CW$18,BN$18)/SUMPRODUCT(($CB$18:$CW$18=BN$18)*ABS($CB114:$CW114)),"-")</f>
        <v>5.1587599159919839E-2</v>
      </c>
      <c r="BO114" s="114">
        <f t="array" ref="BO114">IFERROR(SUMIFS($CB114:$CW114,$CB$17:$CW$17,BO$17,$CB$18:$CW$18,BO$18)/SUMPRODUCT(($CB$18:$CW$18=BO$18)*ABS($CB114:$CW114)),"-")</f>
        <v>9.9977483660384364E-3</v>
      </c>
      <c r="BP114" s="114">
        <f t="array" ref="BP114">IFERROR(SUMIFS($CB114:$CW114,$CB$17:$CW$17,BP$17,$CB$18:$CW$18,BP$18)/SUMPRODUCT(($CB$18:$CW$18=BP$18)*ABS($CB114:$CW114)),"-")</f>
        <v>6.3761009372538396E-2</v>
      </c>
      <c r="BQ114" s="114">
        <f t="array" ref="BQ114">IFERROR(SUMIFS($CB114:$CW114,$CB$17:$CW$17,BQ$17,$CB$18:$CW$18,BQ$18)/SUMPRODUCT(($CB$18:$CW$18=BQ$18)*ABS($CB114:$CW114)),"-")</f>
        <v>4.8147489539585144E-3</v>
      </c>
      <c r="BR114" s="114">
        <f t="array" ref="BR114">IFERROR(SUMIFS($CB114:$CW114,$CB$17:$CW$17,BR$17,$CB$18:$CW$18,BR$18)/SUMPRODUCT(($CB$18:$CW$18=BR$18)*ABS($CB114:$CW114)),"-")</f>
        <v>1.6544277455764913E-4</v>
      </c>
      <c r="BS114" s="114">
        <f t="array" ref="BS114">IFERROR(SUMIFS($CB114:$CW114,$CB$17:$CW$17,BS$17,$CB$18:$CW$18,BS$18)/SUMPRODUCT(($CB$18:$CW$18=BS$18)*ABS($CB114:$CW114)),"-")</f>
        <v>3.3942164632114732E-5</v>
      </c>
      <c r="BT114" s="114">
        <f t="array" ref="BT114">IFERROR(SUMIFS($CB114:$CW114,$CB$17:$CW$17,BT$17,$CB$18:$CW$18,BT$18)/SUMPRODUCT(($CB$18:$CW$18=BT$18)*ABS($CB114:$CW114)),"-")</f>
        <v>6.4152554870105746E-5</v>
      </c>
      <c r="BU114" s="114">
        <f t="array" ref="BU114">IFERROR(SUMIFS($CB114:$CW114,$CB$17:$CW$17,BU$17,$CB$18:$CW$18,BU$18)/SUMPRODUCT(($CB$18:$CW$18=BU$18)*ABS($CB114:$CW114)),"-")</f>
        <v>1.2798022083340226E-5</v>
      </c>
      <c r="BV114" s="114">
        <f t="array" ref="BV114">IFERROR(SUMIFS($CB114:$CW114,$CB$17:$CW$17,BV$17,$CB$18:$CW$18,BV$18)/SUMPRODUCT(($CB$18:$CW$18=BV$18)*ABS($CB114:$CW114)),"-")</f>
        <v>0.86294067666602159</v>
      </c>
      <c r="BW114" s="114">
        <f t="array" ref="BW114">IFERROR(SUMIFS($CB114:$CW114,$CB$17:$CW$17,BW$17,$CB$18:$CW$18,BW$18)/SUMPRODUCT(($CB$18:$CW$18=BW$18)*ABS($CB114:$CW114)),"-")</f>
        <v>6.6218819653799943E-3</v>
      </c>
      <c r="BX114" s="115"/>
      <c r="BY114" s="114">
        <f t="array" ref="BY114">IFERROR(SUMIFS($CB114:$CW114,$CB$17:$CW$17,BY$17,$CB$18:$CW$18,BY$18)/SUMPRODUCT(($CB$18:$CW$18=BY$18)*ABS($CB114:$CW114)),"-")</f>
        <v>1.046824755446326E-3</v>
      </c>
      <c r="BZ114" s="116">
        <f t="array" ref="BZ114">IFERROR(SUMIFS($CB114:$CW114,$CB$17:$CW$17,BZ$17,$CB$18:$CW$18,BZ$18)/SUMPRODUCT(($CB$18:$CW$18=BZ$18)*ABS($CB114:$CW114)),"-")</f>
        <v>0.99895317524455352</v>
      </c>
      <c r="CB114" s="117">
        <v>5.4873612000000001E-8</v>
      </c>
      <c r="CC114" s="111">
        <v>1.654387E-10</v>
      </c>
      <c r="CD114" s="111">
        <v>4.5209476999999999E-15</v>
      </c>
      <c r="CE114" s="111">
        <v>4.0421216999999999E-10</v>
      </c>
      <c r="CF114" s="111">
        <v>2.8680229999999998E-12</v>
      </c>
      <c r="CG114" s="111">
        <v>2.2375460999999999E-10</v>
      </c>
      <c r="CH114" s="111">
        <v>9.3097420999999995E-8</v>
      </c>
      <c r="CI114" s="111">
        <v>3.2063125999999999E-11</v>
      </c>
      <c r="CJ114" s="111">
        <v>2.0448376999999999E-10</v>
      </c>
      <c r="CK114" s="111">
        <v>1.5441066999999999E-11</v>
      </c>
      <c r="CL114" s="111">
        <v>5.3058072000000002E-13</v>
      </c>
      <c r="CM114" s="111">
        <v>1.088537E-13</v>
      </c>
      <c r="CN114" s="111">
        <v>2.0573947E-13</v>
      </c>
      <c r="CO114" s="111">
        <v>4.1043700999999997E-14</v>
      </c>
      <c r="CP114" s="111">
        <v>1.4390396999999999E-10</v>
      </c>
      <c r="CQ114" s="111">
        <v>1.7210853000000001E-7</v>
      </c>
      <c r="CR114" s="111">
        <v>2.7674806999999999E-9</v>
      </c>
      <c r="CS114" s="111">
        <v>4.3021634000000003E-6</v>
      </c>
      <c r="CT114" s="111">
        <v>4.1054243000000004E-3</v>
      </c>
      <c r="CU114" s="111">
        <v>8.5735123999999998E-10</v>
      </c>
      <c r="CV114" s="111">
        <v>2.1236587E-11</v>
      </c>
      <c r="CW114" s="112">
        <v>1.8287480000000001E-17</v>
      </c>
    </row>
    <row r="115" spans="2:101" ht="12" customHeight="1" outlineLevel="1" x14ac:dyDescent="0.2">
      <c r="B115" s="88" t="s">
        <v>112</v>
      </c>
      <c r="C115" s="88" t="s">
        <v>121</v>
      </c>
      <c r="D115" s="89" t="s">
        <v>148</v>
      </c>
      <c r="E115" s="89" t="s">
        <v>150</v>
      </c>
      <c r="F115" s="90" t="s">
        <v>92</v>
      </c>
      <c r="G115" s="18" t="s">
        <v>126</v>
      </c>
      <c r="H115" s="91" t="s">
        <v>127</v>
      </c>
      <c r="I115" s="92" t="s">
        <v>127</v>
      </c>
      <c r="J115" s="93">
        <v>0.44</v>
      </c>
      <c r="K115" s="94"/>
      <c r="L115" s="94"/>
      <c r="M115" s="95"/>
      <c r="N115" s="145"/>
      <c r="O115" s="1055"/>
      <c r="P115" s="103">
        <v>1.5013110066320001E-7</v>
      </c>
      <c r="Q115" s="97">
        <v>1.560305546387821E-9</v>
      </c>
      <c r="R115" s="98">
        <v>2.580591154E-3</v>
      </c>
      <c r="S115" s="1033">
        <v>5.5254117999999998E-2</v>
      </c>
      <c r="T115" s="1033">
        <v>1.2325388999999999E-6</v>
      </c>
      <c r="U115" s="1033">
        <v>2.7400176000000001E-4</v>
      </c>
      <c r="V115" s="1033">
        <v>1.095414E-4</v>
      </c>
      <c r="W115" s="1033">
        <v>8.2490451000000005E-5</v>
      </c>
      <c r="X115" s="1033">
        <v>1.1061074E-4</v>
      </c>
      <c r="Y115" s="1033">
        <v>5.5948836999999995E-4</v>
      </c>
      <c r="Z115" s="1033">
        <v>2.5940766000000001E-5</v>
      </c>
      <c r="AA115" s="1033">
        <v>3.2899292000000002E-4</v>
      </c>
      <c r="AB115" s="1033">
        <v>0.46623878000000002</v>
      </c>
      <c r="AC115" s="1033">
        <v>1.6770091000000001E-2</v>
      </c>
      <c r="AD115" s="1033">
        <v>3.0817014999999998E-3</v>
      </c>
      <c r="AE115" s="1033">
        <v>2.6208701000000001E-5</v>
      </c>
      <c r="AF115" s="1033">
        <v>0.20090168999999999</v>
      </c>
      <c r="AG115" s="1033">
        <v>0.13873880999999999</v>
      </c>
      <c r="AH115" s="1033">
        <v>7.0243907000000006E-5</v>
      </c>
      <c r="AI115" s="1033">
        <v>6.4235294E-3</v>
      </c>
      <c r="AJ115" s="1034">
        <v>2.7235539E-3</v>
      </c>
      <c r="AK115" s="1074">
        <v>5.4955715000000002E-2</v>
      </c>
      <c r="AL115" s="1075">
        <v>4.5968251000000002E-10</v>
      </c>
      <c r="AM115" s="1075">
        <v>5.7077015000000001E-4</v>
      </c>
      <c r="AN115" s="1075">
        <v>1.0186236000000001E-4</v>
      </c>
      <c r="AO115" s="1075">
        <v>1.1198566E-4</v>
      </c>
      <c r="AP115" s="1075">
        <v>6.9607702000000005E-4</v>
      </c>
      <c r="AQ115" s="1075">
        <v>2.6682330999999998E-5</v>
      </c>
      <c r="AR115" s="1075">
        <v>1.1554524000000001E-3</v>
      </c>
      <c r="AS115" s="1075">
        <v>1.4887174E-3</v>
      </c>
      <c r="AT115" s="1075">
        <v>4.0829723999999997E-4</v>
      </c>
      <c r="AU115" s="1075">
        <v>1.7457458E-4</v>
      </c>
      <c r="AV115" s="1075">
        <v>7.3795859999999996E-3</v>
      </c>
      <c r="AW115" s="1075">
        <v>0.13873837999999999</v>
      </c>
      <c r="AX115" s="1075">
        <v>4.2420747999999998E-7</v>
      </c>
      <c r="AY115" s="1075">
        <v>-3.0342802000000001E-9</v>
      </c>
      <c r="AZ115" s="1075">
        <v>9.2575536999999996E-5</v>
      </c>
      <c r="BA115" s="1075">
        <v>6.6389594E-3</v>
      </c>
      <c r="BB115" s="1076">
        <v>2.7246783E-3</v>
      </c>
      <c r="BC115" s="1035"/>
      <c r="BE115" s="99">
        <f t="array" ref="BE115">IFERROR(SUMIFS($CB115:$CW115,$CB$17:$CW$17,BE$17,$CB$18:$CW$18,BE$18)/SUMPRODUCT(($CB$18:$CW$18=BE$18)*ABS($CB115:$CW115)),"-")</f>
        <v>0.34189114562710715</v>
      </c>
      <c r="BF115" s="100">
        <f t="array" ref="BF115">IFERROR(SUMIFS($CB115:$CW115,$CB$17:$CW$17,BF$17,$CB$18:$CW$18,BF$18)/SUMPRODUCT(($CB$18:$CW$18=BF$18)*ABS($CB115:$CW115)),"-")</f>
        <v>4.3586308706813973E-3</v>
      </c>
      <c r="BG115" s="100">
        <f t="array" ref="BG115">IFERROR(SUMIFS($CB115:$CW115,$CB$17:$CW$17,BG$17,$CB$18:$CW$18,BG$18)/SUMPRODUCT(($CB$18:$CW$18=BG$18)*ABS($CB115:$CW115)),"-")</f>
        <v>1.550894644556968E-5</v>
      </c>
      <c r="BH115" s="100">
        <f t="array" ref="BH115">IFERROR(SUMIFS($CB115:$CW115,$CB$17:$CW$17,BH$17,$CB$18:$CW$18,BH$18)/SUMPRODUCT(($CB$18:$CW$18=BH$18)*ABS($CB115:$CW115)),"-")</f>
        <v>6.6379605930930001E-4</v>
      </c>
      <c r="BI115" s="100">
        <f t="array" ref="BI115">IFERROR(SUMIFS($CB115:$CW115,$CB$17:$CW$17,BI$17,$CB$18:$CW$18,BI$18)/SUMPRODUCT(($CB$18:$CW$18=BI$18)*ABS($CB115:$CW115)),"-")</f>
        <v>0.34563605922273377</v>
      </c>
      <c r="BJ115" s="100">
        <f t="array" ref="BJ115">IFERROR(SUMIFS($CB115:$CW115,$CB$17:$CW$17,BJ$17,$CB$18:$CW$18,BJ$18)/SUMPRODUCT(($CB$18:$CW$18=BJ$18)*ABS($CB115:$CW115)),"-")</f>
        <v>5.8021638831128584E-4</v>
      </c>
      <c r="BK115" s="100">
        <f t="array" ref="BK115">IFERROR(SUMIFS($CB115:$CW115,$CB$17:$CW$17,BK$17,$CB$18:$CW$18,BK$18)/SUMPRODUCT(($CB$18:$CW$18=BK$18)*ABS($CB115:$CW115)),"-")</f>
        <v>0.30525553198207783</v>
      </c>
      <c r="BL115" s="100">
        <f t="array" ref="BL115">IFERROR(SUMIFS($CB115:$CW115,$CB$17:$CW$17,BL$17,$CB$18:$CW$18,BL$18)/SUMPRODUCT(($CB$18:$CW$18=BL$18)*ABS($CB115:$CW115)),"-")</f>
        <v>1.5991109033336173E-3</v>
      </c>
      <c r="BM115" s="101"/>
      <c r="BN115" s="100">
        <f t="array" ref="BN115">IFERROR(SUMIFS($CB115:$CW115,$CB$17:$CW$17,BN$17,$CB$18:$CW$18,BN$18)/SUMPRODUCT(($CB$18:$CW$18=BN$18)*ABS($CB115:$CW115)),"-")</f>
        <v>9.9128633876211222E-2</v>
      </c>
      <c r="BO115" s="100">
        <f t="array" ref="BO115">IFERROR(SUMIFS($CB115:$CW115,$CB$17:$CW$17,BO$17,$CB$18:$CW$18,BO$18)/SUMPRODUCT(($CB$18:$CW$18=BO$18)*ABS($CB115:$CW115)),"-")</f>
        <v>9.1419959590751474E-3</v>
      </c>
      <c r="BP115" s="100">
        <f t="array" ref="BP115">IFERROR(SUMIFS($CB115:$CW115,$CB$17:$CW$17,BP$17,$CB$18:$CW$18,BP$18)/SUMPRODUCT(($CB$18:$CW$18=BP$18)*ABS($CB115:$CW115)),"-")</f>
        <v>7.60955700470788E-2</v>
      </c>
      <c r="BQ115" s="100">
        <f t="array" ref="BQ115">IFERROR(SUMIFS($CB115:$CW115,$CB$17:$CW$17,BQ$17,$CB$18:$CW$18,BQ$18)/SUMPRODUCT(($CB$18:$CW$18=BQ$18)*ABS($CB115:$CW115)),"-")</f>
        <v>1.1155488128780687E-2</v>
      </c>
      <c r="BR115" s="100">
        <f t="array" ref="BR115">IFERROR(SUMIFS($CB115:$CW115,$CB$17:$CW$17,BR$17,$CB$18:$CW$18,BR$18)/SUMPRODUCT(($CB$18:$CW$18=BR$18)*ABS($CB115:$CW115)),"-")</f>
        <v>3.5822781076051609E-4</v>
      </c>
      <c r="BS115" s="100">
        <f t="array" ref="BS115">IFERROR(SUMIFS($CB115:$CW115,$CB$17:$CW$17,BS$17,$CB$18:$CW$18,BS$18)/SUMPRODUCT(($CB$18:$CW$18=BS$18)*ABS($CB115:$CW115)),"-")</f>
        <v>3.4059043834733117E-3</v>
      </c>
      <c r="BT115" s="100">
        <f t="array" ref="BT115">IFERROR(SUMIFS($CB115:$CW115,$CB$17:$CW$17,BT$17,$CB$18:$CW$18,BT$18)/SUMPRODUCT(($CB$18:$CW$18=BT$18)*ABS($CB115:$CW115)),"-")</f>
        <v>7.4634971509006613E-3</v>
      </c>
      <c r="BU115" s="100">
        <f t="array" ref="BU115">IFERROR(SUMIFS($CB115:$CW115,$CB$17:$CW$17,BU$17,$CB$18:$CW$18,BU$18)/SUMPRODUCT(($CB$18:$CW$18=BU$18)*ABS($CB115:$CW115)),"-")</f>
        <v>2.0714693397600991E-4</v>
      </c>
      <c r="BV115" s="100">
        <f t="array" ref="BV115">IFERROR(SUMIFS($CB115:$CW115,$CB$17:$CW$17,BV$17,$CB$18:$CW$18,BV$18)/SUMPRODUCT(($CB$18:$CW$18=BV$18)*ABS($CB115:$CW115)),"-")</f>
        <v>0.78958932297083606</v>
      </c>
      <c r="BW115" s="100">
        <f t="array" ref="BW115">IFERROR(SUMIFS($CB115:$CW115,$CB$17:$CW$17,BW$17,$CB$18:$CW$18,BW$18)/SUMPRODUCT(($CB$18:$CW$18=BW$18)*ABS($CB115:$CW115)),"-")</f>
        <v>3.4542127389076038E-3</v>
      </c>
      <c r="BX115" s="101"/>
      <c r="BY115" s="100">
        <f t="array" ref="BY115">IFERROR(SUMIFS($CB115:$CW115,$CB$17:$CW$17,BY$17,$CB$18:$CW$18,BY$18)/SUMPRODUCT(($CB$18:$CW$18=BY$18)*ABS($CB115:$CW115)),"-")</f>
        <v>6.2919513518568011E-3</v>
      </c>
      <c r="BZ115" s="102">
        <f t="array" ref="BZ115">IFERROR(SUMIFS($CB115:$CW115,$CB$17:$CW$17,BZ$17,$CB$18:$CW$18,BZ$18)/SUMPRODUCT(($CB$18:$CW$18=BZ$18)*ABS($CB115:$CW115)),"-")</f>
        <v>0.99370804864814322</v>
      </c>
      <c r="CB115" s="103">
        <v>5.1328494E-8</v>
      </c>
      <c r="CC115" s="97">
        <v>1.5466673000000001E-10</v>
      </c>
      <c r="CD115" s="97">
        <v>4.2272428999999999E-15</v>
      </c>
      <c r="CE115" s="97">
        <v>6.5436604999999997E-10</v>
      </c>
      <c r="CF115" s="97">
        <v>2.3283751999999999E-12</v>
      </c>
      <c r="CG115" s="97">
        <v>9.9656432999999997E-11</v>
      </c>
      <c r="CH115" s="97">
        <v>5.1890722000000002E-8</v>
      </c>
      <c r="CI115" s="97">
        <v>1.4264306999999999E-11</v>
      </c>
      <c r="CJ115" s="97">
        <v>1.1873233999999999E-10</v>
      </c>
      <c r="CK115" s="97">
        <v>1.7405970000000001E-11</v>
      </c>
      <c r="CL115" s="97">
        <v>5.5894484000000003E-13</v>
      </c>
      <c r="CM115" s="97">
        <v>5.3142515E-12</v>
      </c>
      <c r="CN115" s="97">
        <v>1.1645336000000001E-11</v>
      </c>
      <c r="CO115" s="97">
        <v>3.2321251000000001E-13</v>
      </c>
      <c r="CP115" s="97">
        <v>8.7108525000000005E-11</v>
      </c>
      <c r="CQ115" s="97">
        <v>4.5828349000000001E-8</v>
      </c>
      <c r="CR115" s="97">
        <v>1.2320006000000001E-9</v>
      </c>
      <c r="CS115" s="97">
        <v>1.6236954000000001E-5</v>
      </c>
      <c r="CT115" s="97">
        <v>2.5643542000000001E-3</v>
      </c>
      <c r="CU115" s="97">
        <v>2.4007627999999998E-10</v>
      </c>
      <c r="CV115" s="97">
        <v>5.3896147E-12</v>
      </c>
      <c r="CW115" s="98">
        <v>1.2594921E-17</v>
      </c>
    </row>
    <row r="116" spans="2:101" ht="12" customHeight="1" outlineLevel="1" x14ac:dyDescent="0.2">
      <c r="B116" s="104" t="s">
        <v>112</v>
      </c>
      <c r="C116" s="104" t="s">
        <v>121</v>
      </c>
      <c r="D116" s="2" t="s">
        <v>148</v>
      </c>
      <c r="E116" s="2" t="s">
        <v>150</v>
      </c>
      <c r="F116" s="105" t="s">
        <v>122</v>
      </c>
      <c r="G116" s="27" t="s">
        <v>1579</v>
      </c>
      <c r="H116" s="106" t="s">
        <v>128</v>
      </c>
      <c r="I116" s="107" t="s">
        <v>129</v>
      </c>
      <c r="J116" s="108">
        <v>0.44</v>
      </c>
      <c r="K116" s="109"/>
      <c r="L116" s="109"/>
      <c r="M116" s="110"/>
      <c r="N116" s="161"/>
      <c r="O116" s="1056"/>
      <c r="P116" s="117">
        <v>5.1453187312700001E-8</v>
      </c>
      <c r="Q116" s="111">
        <v>1.6847293793530653E-9</v>
      </c>
      <c r="R116" s="112">
        <v>1.7869260152E-3</v>
      </c>
      <c r="S116" s="1032">
        <v>3.2019937999999998E-2</v>
      </c>
      <c r="T116" s="1032">
        <v>5.3624438E-7</v>
      </c>
      <c r="U116" s="1032">
        <v>1.4296948000000001E-4</v>
      </c>
      <c r="V116" s="1032">
        <v>1.0559671000000001E-4</v>
      </c>
      <c r="W116" s="1032">
        <v>2.7526101E-5</v>
      </c>
      <c r="X116" s="1032">
        <v>1.0679643E-4</v>
      </c>
      <c r="Y116" s="1032">
        <v>1.161303E-4</v>
      </c>
      <c r="Z116" s="1032">
        <v>1.7884309999999999E-6</v>
      </c>
      <c r="AA116" s="1032">
        <v>2.2451736999999999E-4</v>
      </c>
      <c r="AB116" s="1032">
        <v>2.3157693000000002E-3</v>
      </c>
      <c r="AC116" s="1032">
        <v>7.4617713000000004E-5</v>
      </c>
      <c r="AD116" s="1032">
        <v>1.1268165000000001E-4</v>
      </c>
      <c r="AE116" s="1032">
        <v>9.7550305000000007E-6</v>
      </c>
      <c r="AF116" s="1032">
        <v>1.6273421E-2</v>
      </c>
      <c r="AG116" s="1032">
        <v>0.17436705999999999</v>
      </c>
      <c r="AH116" s="1032">
        <v>9.1647743999999994E-6</v>
      </c>
      <c r="AI116" s="1032">
        <v>4.1501367000000003E-3</v>
      </c>
      <c r="AJ116" s="1036">
        <v>3.4151652E-3</v>
      </c>
      <c r="AK116" s="1077">
        <v>3.1873063E-2</v>
      </c>
      <c r="AL116" s="1078">
        <v>2.3979947000000001E-10</v>
      </c>
      <c r="AM116" s="1078">
        <v>2.9293983000000003E-4</v>
      </c>
      <c r="AN116" s="1078">
        <v>1.1666264999999999E-4</v>
      </c>
      <c r="AO116" s="1078">
        <v>4.2607139000000001E-5</v>
      </c>
      <c r="AP116" s="1078">
        <v>1.5384721000000001E-4</v>
      </c>
      <c r="AQ116" s="1078">
        <v>2.2072473999999998E-6</v>
      </c>
      <c r="AR116" s="1078">
        <v>7.7681250000000005E-4</v>
      </c>
      <c r="AS116" s="1078">
        <v>1.3445640000000001E-6</v>
      </c>
      <c r="AT116" s="1078">
        <v>9.8495773999999999E-6</v>
      </c>
      <c r="AU116" s="1078">
        <v>1.1455356E-5</v>
      </c>
      <c r="AV116" s="1078">
        <v>4.5404518999999998E-4</v>
      </c>
      <c r="AW116" s="1078">
        <v>0.17436697000000001</v>
      </c>
      <c r="AX116" s="1078">
        <v>9.2468485999999994E-8</v>
      </c>
      <c r="AY116" s="1078">
        <v>-6.3550713000000005E-10</v>
      </c>
      <c r="AZ116" s="1078">
        <v>1.1144657E-4</v>
      </c>
      <c r="BA116" s="1078">
        <v>4.3677671999999999E-3</v>
      </c>
      <c r="BB116" s="1079">
        <v>3.4153999999999999E-3</v>
      </c>
      <c r="BC116" s="1035"/>
      <c r="BE116" s="113">
        <f t="array" ref="BE116">IFERROR(SUMIFS($CB116:$CW116,$CB$17:$CW$17,BE$17,$CB$18:$CW$18,BE$18)/SUMPRODUCT(($CB$18:$CW$18=BE$18)*ABS($CB116:$CW116)),"-")</f>
        <v>0.57795272855059843</v>
      </c>
      <c r="BF116" s="114">
        <f t="array" ref="BF116">IFERROR(SUMIFS($CB116:$CW116,$CB$17:$CW$17,BF$17,$CB$18:$CW$18,BF$18)/SUMPRODUCT(($CB$18:$CW$18=BF$18)*ABS($CB116:$CW116)),"-")</f>
        <v>5.5331266121531261E-3</v>
      </c>
      <c r="BG116" s="114">
        <f t="array" ref="BG116">IFERROR(SUMIFS($CB116:$CW116,$CB$17:$CW$17,BG$17,$CB$18:$CW$18,BG$18)/SUMPRODUCT(($CB$18:$CW$18=BG$18)*ABS($CB116:$CW116)),"-")</f>
        <v>2.3611942494768019E-5</v>
      </c>
      <c r="BH116" s="114">
        <f t="array" ref="BH116">IFERROR(SUMIFS($CB116:$CW116,$CB$17:$CW$17,BH$17,$CB$18:$CW$18,BH$18)/SUMPRODUCT(($CB$18:$CW$18=BH$18)*ABS($CB116:$CW116)),"-")</f>
        <v>1.8676201032211124E-3</v>
      </c>
      <c r="BI116" s="114">
        <f t="array" ref="BI116">IFERROR(SUMIFS($CB116:$CW116,$CB$17:$CW$17,BI$17,$CB$18:$CW$18,BI$18)/SUMPRODUCT(($CB$18:$CW$18=BI$18)*ABS($CB116:$CW116)),"-")</f>
        <v>0.33645909814661701</v>
      </c>
      <c r="BJ116" s="114">
        <f t="array" ref="BJ116">IFERROR(SUMIFS($CB116:$CW116,$CB$17:$CW$17,BJ$17,$CB$18:$CW$18,BJ$18)/SUMPRODUCT(($CB$18:$CW$18=BJ$18)*ABS($CB116:$CW116)),"-")</f>
        <v>6.3002522667820581E-4</v>
      </c>
      <c r="BK116" s="114">
        <f t="array" ref="BK116">IFERROR(SUMIFS($CB116:$CW116,$CB$17:$CW$17,BK$17,$CB$18:$CW$18,BK$18)/SUMPRODUCT(($CB$18:$CW$18=BK$18)*ABS($CB116:$CW116)),"-")</f>
        <v>7.2147781194571853E-2</v>
      </c>
      <c r="BL116" s="114">
        <f t="array" ref="BL116">IFERROR(SUMIFS($CB116:$CW116,$CB$17:$CW$17,BL$17,$CB$18:$CW$18,BL$18)/SUMPRODUCT(($CB$18:$CW$18=BL$18)*ABS($CB116:$CW116)),"-")</f>
        <v>5.3860082236654302E-3</v>
      </c>
      <c r="BM116" s="115"/>
      <c r="BN116" s="114">
        <f t="array" ref="BN116">IFERROR(SUMIFS($CB116:$CW116,$CB$17:$CW$17,BN$17,$CB$18:$CW$18,BN$18)/SUMPRODUCT(($CB$18:$CW$18=BN$18)*ABS($CB116:$CW116)),"-")</f>
        <v>5.3206639448242554E-2</v>
      </c>
      <c r="BO116" s="114">
        <f t="array" ref="BO116">IFERROR(SUMIFS($CB116:$CW116,$CB$17:$CW$17,BO$17,$CB$18:$CW$18,BO$18)/SUMPRODUCT(($CB$18:$CW$18=BO$18)*ABS($CB116:$CW116)),"-")</f>
        <v>8.1773970163031423E-3</v>
      </c>
      <c r="BP116" s="114">
        <f t="array" ref="BP116">IFERROR(SUMIFS($CB116:$CW116,$CB$17:$CW$17,BP$17,$CB$18:$CW$18,BP$18)/SUMPRODUCT(($CB$18:$CW$18=BP$18)*ABS($CB116:$CW116)),"-")</f>
        <v>1.4622049868602344E-2</v>
      </c>
      <c r="BQ116" s="114">
        <f t="array" ref="BQ116">IFERROR(SUMIFS($CB116:$CW116,$CB$17:$CW$17,BQ$17,$CB$18:$CW$18,BQ$18)/SUMPRODUCT(($CB$18:$CW$18=BQ$18)*ABS($CB116:$CW116)),"-")</f>
        <v>7.122081532529291E-4</v>
      </c>
      <c r="BR116" s="114">
        <f t="array" ref="BR116">IFERROR(SUMIFS($CB116:$CW116,$CB$17:$CW$17,BR$17,$CB$18:$CW$18,BR$18)/SUMPRODUCT(($CB$18:$CW$18=BR$18)*ABS($CB116:$CW116)),"-")</f>
        <v>2.2641342560695101E-4</v>
      </c>
      <c r="BS116" s="114">
        <f t="array" ref="BS116">IFERROR(SUMIFS($CB116:$CW116,$CB$17:$CW$17,BS$17,$CB$18:$CW$18,BS$18)/SUMPRODUCT(($CB$18:$CW$18=BS$18)*ABS($CB116:$CW116)),"-")</f>
        <v>1.5663502591812856E-5</v>
      </c>
      <c r="BT116" s="114">
        <f t="array" ref="BT116">IFERROR(SUMIFS($CB116:$CW116,$CB$17:$CW$17,BT$17,$CB$18:$CW$18,BT$18)/SUMPRODUCT(($CB$18:$CW$18=BT$18)*ABS($CB116:$CW116)),"-")</f>
        <v>3.0647368433633442E-5</v>
      </c>
      <c r="BU116" s="114">
        <f t="array" ref="BU116">IFERROR(SUMIFS($CB116:$CW116,$CB$17:$CW$17,BU$17,$CB$18:$CW$18,BU$18)/SUMPRODUCT(($CB$18:$CW$18=BU$18)*ABS($CB116:$CW116)),"-")</f>
        <v>7.0249816647375769E-6</v>
      </c>
      <c r="BV116" s="114">
        <f t="array" ref="BV116">IFERROR(SUMIFS($CB116:$CW116,$CB$17:$CW$17,BV$17,$CB$18:$CW$18,BV$18)/SUMPRODUCT(($CB$18:$CW$18=BV$18)*ABS($CB116:$CW116)),"-")</f>
        <v>0.91906719202260034</v>
      </c>
      <c r="BW116" s="114">
        <f t="array" ref="BW116">IFERROR(SUMIFS($CB116:$CW116,$CB$17:$CW$17,BW$17,$CB$18:$CW$18,BW$18)/SUMPRODUCT(($CB$18:$CW$18=BW$18)*ABS($CB116:$CW116)),"-")</f>
        <v>3.9347642127015294E-3</v>
      </c>
      <c r="BX116" s="115"/>
      <c r="BY116" s="114">
        <f t="array" ref="BY116">IFERROR(SUMIFS($CB116:$CW116,$CB$17:$CW$17,BY$17,$CB$18:$CW$18,BY$18)/SUMPRODUCT(($CB$18:$CW$18=BY$18)*ABS($CB116:$CW116)),"-")</f>
        <v>1.1852842154536226E-3</v>
      </c>
      <c r="BZ116" s="116">
        <f t="array" ref="BZ116">IFERROR(SUMIFS($CB116:$CW116,$CB$17:$CW$17,BZ$17,$CB$18:$CW$18,BZ$18)/SUMPRODUCT(($CB$18:$CW$18=BZ$18)*ABS($CB116:$CW116)),"-")</f>
        <v>0.99881471578454639</v>
      </c>
      <c r="CB116" s="117">
        <v>2.9737510000000001E-8</v>
      </c>
      <c r="CC116" s="111">
        <v>8.9636339E-11</v>
      </c>
      <c r="CD116" s="111">
        <v>2.4496551000000001E-15</v>
      </c>
      <c r="CE116" s="111">
        <v>2.8469699999999998E-10</v>
      </c>
      <c r="CF116" s="111">
        <v>1.2149096999999999E-12</v>
      </c>
      <c r="CG116" s="111">
        <v>9.6095007000000003E-11</v>
      </c>
      <c r="CH116" s="111">
        <v>1.7311892999999999E-8</v>
      </c>
      <c r="CI116" s="111">
        <v>1.3776701E-11</v>
      </c>
      <c r="CJ116" s="111">
        <v>2.4634196999999999E-11</v>
      </c>
      <c r="CK116" s="111">
        <v>1.199878E-12</v>
      </c>
      <c r="CL116" s="111">
        <v>3.8144535E-13</v>
      </c>
      <c r="CM116" s="111">
        <v>2.6388763E-14</v>
      </c>
      <c r="CN116" s="111">
        <v>5.1632521999999997E-14</v>
      </c>
      <c r="CO116" s="111">
        <v>1.1835193000000001E-14</v>
      </c>
      <c r="CP116" s="111">
        <v>3.2416806000000001E-11</v>
      </c>
      <c r="CQ116" s="111">
        <v>3.7122332999999999E-9</v>
      </c>
      <c r="CR116" s="111">
        <v>1.5483795E-9</v>
      </c>
      <c r="CS116" s="111">
        <v>2.1180152E-6</v>
      </c>
      <c r="CT116" s="111">
        <v>1.7848079999999999E-3</v>
      </c>
      <c r="CU116" s="111">
        <v>2.7712728999999998E-10</v>
      </c>
      <c r="CV116" s="111">
        <v>6.6290037999999999E-12</v>
      </c>
      <c r="CW116" s="112">
        <v>9.0699653000000001E-18</v>
      </c>
    </row>
    <row r="117" spans="2:101" ht="12" customHeight="1" outlineLevel="1" x14ac:dyDescent="0.2">
      <c r="B117" s="104" t="s">
        <v>112</v>
      </c>
      <c r="C117" s="104" t="s">
        <v>121</v>
      </c>
      <c r="D117" s="2" t="s">
        <v>148</v>
      </c>
      <c r="E117" s="2" t="s">
        <v>150</v>
      </c>
      <c r="F117" s="105" t="s">
        <v>93</v>
      </c>
      <c r="G117" s="27" t="s">
        <v>1578</v>
      </c>
      <c r="H117" s="106" t="s">
        <v>130</v>
      </c>
      <c r="I117" s="107" t="s">
        <v>129</v>
      </c>
      <c r="J117" s="108">
        <v>0.44</v>
      </c>
      <c r="K117" s="109"/>
      <c r="L117" s="109"/>
      <c r="M117" s="110"/>
      <c r="N117" s="161"/>
      <c r="O117" s="1056"/>
      <c r="P117" s="117">
        <v>7.6635710396499993E-8</v>
      </c>
      <c r="Q117" s="111">
        <v>2.3877835105032438E-9</v>
      </c>
      <c r="R117" s="112">
        <v>2.5326262819999998E-3</v>
      </c>
      <c r="S117" s="1032">
        <v>4.5382146999999998E-2</v>
      </c>
      <c r="T117" s="1032">
        <v>7.6002399000000002E-7</v>
      </c>
      <c r="U117" s="1032">
        <v>2.0263192999999999E-4</v>
      </c>
      <c r="V117" s="1032">
        <v>1.4966316999999999E-4</v>
      </c>
      <c r="W117" s="1032">
        <v>3.9012991000000003E-5</v>
      </c>
      <c r="X117" s="1032">
        <v>1.5136353999999999E-4</v>
      </c>
      <c r="Y117" s="1032">
        <v>1.6459252000000001E-4</v>
      </c>
      <c r="Z117" s="1032">
        <v>2.5347593E-6</v>
      </c>
      <c r="AA117" s="1032">
        <v>3.1821048000000001E-4</v>
      </c>
      <c r="AB117" s="1032">
        <v>3.2821605999999999E-3</v>
      </c>
      <c r="AC117" s="1032">
        <v>1.0742215E-4</v>
      </c>
      <c r="AD117" s="1032">
        <v>1.6105623E-4</v>
      </c>
      <c r="AE117" s="1032">
        <v>1.428583E-5</v>
      </c>
      <c r="AF117" s="1032">
        <v>3.9324283000000002E-2</v>
      </c>
      <c r="AG117" s="1032">
        <v>0.24713201000000001</v>
      </c>
      <c r="AH117" s="1032">
        <v>1.2989316999999999E-5</v>
      </c>
      <c r="AI117" s="1032">
        <v>5.8820262000000003E-3</v>
      </c>
      <c r="AJ117" s="1036">
        <v>4.8403444E-3</v>
      </c>
      <c r="AK117" s="1077">
        <v>4.5173979000000003E-2</v>
      </c>
      <c r="AL117" s="1078">
        <v>3.3986995000000002E-10</v>
      </c>
      <c r="AM117" s="1078">
        <v>4.1518626E-4</v>
      </c>
      <c r="AN117" s="1078">
        <v>1.6534703E-4</v>
      </c>
      <c r="AO117" s="1078">
        <v>6.0387480999999999E-5</v>
      </c>
      <c r="AP117" s="1078">
        <v>2.1804902999999999E-4</v>
      </c>
      <c r="AQ117" s="1078">
        <v>3.1283517000000001E-6</v>
      </c>
      <c r="AR117" s="1078">
        <v>1.1009834E-3</v>
      </c>
      <c r="AS117" s="1078">
        <v>3.2421357000000002E-6</v>
      </c>
      <c r="AT117" s="1078">
        <v>1.4071847E-5</v>
      </c>
      <c r="AU117" s="1078">
        <v>1.6292594000000001E-5</v>
      </c>
      <c r="AV117" s="1078">
        <v>9.8592987999999993E-4</v>
      </c>
      <c r="AW117" s="1078">
        <v>0.24713188</v>
      </c>
      <c r="AX117" s="1078">
        <v>1.3105641999999999E-7</v>
      </c>
      <c r="AY117" s="1078">
        <v>-9.0070998E-10</v>
      </c>
      <c r="AZ117" s="1078">
        <v>1.5795421999999999E-4</v>
      </c>
      <c r="BA117" s="1078">
        <v>6.1904758000000002E-3</v>
      </c>
      <c r="BB117" s="1079">
        <v>4.8406771999999999E-3</v>
      </c>
      <c r="BC117" s="1035"/>
      <c r="BE117" s="113">
        <f t="array" ref="BE117">IFERROR(SUMIFS($CB117:$CW117,$CB$17:$CW$17,BE$17,$CB$18:$CW$18,BE$18)/SUMPRODUCT(($CB$18:$CW$18=BE$18)*ABS($CB117:$CW117)),"-")</f>
        <v>0.54996867363709978</v>
      </c>
      <c r="BF117" s="114">
        <f t="array" ref="BF117">IFERROR(SUMIFS($CB117:$CW117,$CB$17:$CW$17,BF$17,$CB$18:$CW$18,BF$18)/SUMPRODUCT(($CB$18:$CW$18=BF$18)*ABS($CB117:$CW117)),"-")</f>
        <v>5.2652166713447511E-3</v>
      </c>
      <c r="BG117" s="114">
        <f t="array" ref="BG117">IFERROR(SUMIFS($CB117:$CW117,$CB$17:$CW$17,BG$17,$CB$18:$CW$18,BG$18)/SUMPRODUCT(($CB$18:$CW$18=BG$18)*ABS($CB117:$CW117)),"-")</f>
        <v>2.2468670168139271E-5</v>
      </c>
      <c r="BH117" s="114">
        <f t="array" ref="BH117">IFERROR(SUMIFS($CB117:$CW117,$CB$17:$CW$17,BH$17,$CB$18:$CW$18,BH$18)/SUMPRODUCT(($CB$18:$CW$18=BH$18)*ABS($CB117:$CW117)),"-")</f>
        <v>1.7771913288901957E-3</v>
      </c>
      <c r="BI117" s="114">
        <f t="array" ref="BI117">IFERROR(SUMIFS($CB117:$CW117,$CB$17:$CW$17,BI$17,$CB$18:$CW$18,BI$18)/SUMPRODUCT(($CB$18:$CW$18=BI$18)*ABS($CB117:$CW117)),"-")</f>
        <v>0.32016799835290088</v>
      </c>
      <c r="BJ117" s="114">
        <f t="array" ref="BJ117">IFERROR(SUMIFS($CB117:$CW117,$CB$17:$CW$17,BJ$17,$CB$18:$CW$18,BJ$18)/SUMPRODUCT(($CB$18:$CW$18=BJ$18)*ABS($CB117:$CW117)),"-")</f>
        <v>6.1948475135644072E-4</v>
      </c>
      <c r="BK117" s="114">
        <f t="array" ref="BK117">IFERROR(SUMIFS($CB117:$CW117,$CB$17:$CW$17,BK$17,$CB$18:$CW$18,BK$18)/SUMPRODUCT(($CB$18:$CW$18=BK$18)*ABS($CB117:$CW117)),"-")</f>
        <v>0.11705374496547616</v>
      </c>
      <c r="BL117" s="114">
        <f t="array" ref="BL117">IFERROR(SUMIFS($CB117:$CW117,$CB$17:$CW$17,BL$17,$CB$18:$CW$18,BL$18)/SUMPRODUCT(($CB$18:$CW$18=BL$18)*ABS($CB117:$CW117)),"-")</f>
        <v>5.1252216227637183E-3</v>
      </c>
      <c r="BM117" s="115"/>
      <c r="BN117" s="114">
        <f t="array" ref="BN117">IFERROR(SUMIFS($CB117:$CW117,$CB$17:$CW$17,BN$17,$CB$18:$CW$18,BN$18)/SUMPRODUCT(($CB$18:$CW$18=BN$18)*ABS($CB117:$CW117)),"-")</f>
        <v>5.320660828733343E-2</v>
      </c>
      <c r="BO117" s="114">
        <f t="array" ref="BO117">IFERROR(SUMIFS($CB117:$CW117,$CB$17:$CW$17,BO$17,$CB$18:$CW$18,BO$18)/SUMPRODUCT(($CB$18:$CW$18=BO$18)*ABS($CB117:$CW117)),"-")</f>
        <v>8.1773920935925958E-3</v>
      </c>
      <c r="BP117" s="114">
        <f t="array" ref="BP117">IFERROR(SUMIFS($CB117:$CW117,$CB$17:$CW$17,BP$17,$CB$18:$CW$18,BP$18)/SUMPRODUCT(($CB$18:$CW$18=BP$18)*ABS($CB117:$CW117)),"-")</f>
        <v>1.4622041255591698E-2</v>
      </c>
      <c r="BQ117" s="114">
        <f t="array" ref="BQ117">IFERROR(SUMIFS($CB117:$CW117,$CB$17:$CW$17,BQ$17,$CB$18:$CW$18,BQ$18)/SUMPRODUCT(($CB$18:$CW$18=BQ$18)*ABS($CB117:$CW117)),"-")</f>
        <v>7.122076991148942E-4</v>
      </c>
      <c r="BR117" s="114">
        <f t="array" ref="BR117">IFERROR(SUMIFS($CB117:$CW117,$CB$17:$CW$17,BR$17,$CB$18:$CW$18,BR$18)/SUMPRODUCT(($CB$18:$CW$18=BR$18)*ABS($CB117:$CW117)),"-")</f>
        <v>2.2641329819974296E-4</v>
      </c>
      <c r="BS117" s="114">
        <f t="array" ref="BS117">IFERROR(SUMIFS($CB117:$CW117,$CB$17:$CW$17,BS$17,$CB$18:$CW$18,BS$18)/SUMPRODUCT(($CB$18:$CW$18=BS$18)*ABS($CB117:$CW117)),"-")</f>
        <v>1.5663493292202796E-5</v>
      </c>
      <c r="BT117" s="114">
        <f t="array" ref="BT117">IFERROR(SUMIFS($CB117:$CW117,$CB$17:$CW$17,BT$17,$CB$18:$CW$18,BT$18)/SUMPRODUCT(($CB$18:$CW$18=BT$18)*ABS($CB117:$CW117)),"-")</f>
        <v>3.1132249080794137E-5</v>
      </c>
      <c r="BU117" s="114">
        <f t="array" ref="BU117">IFERROR(SUMIFS($CB117:$CW117,$CB$17:$CW$17,BU$17,$CB$18:$CW$18,BU$18)/SUMPRODUCT(($CB$18:$CW$18=BU$18)*ABS($CB117:$CW117)),"-")</f>
        <v>7.0844311997258095E-6</v>
      </c>
      <c r="BV117" s="114">
        <f t="array" ref="BV117">IFERROR(SUMIFS($CB117:$CW117,$CB$17:$CW$17,BV$17,$CB$18:$CW$18,BV$18)/SUMPRODUCT(($CB$18:$CW$18=BV$18)*ABS($CB117:$CW117)),"-")</f>
        <v>0.91906669526228768</v>
      </c>
      <c r="BW117" s="114">
        <f t="array" ref="BW117">IFERROR(SUMIFS($CB117:$CW117,$CB$17:$CW$17,BW$17,$CB$18:$CW$18,BW$18)/SUMPRODUCT(($CB$18:$CW$18=BW$18)*ABS($CB117:$CW117)),"-")</f>
        <v>3.9347619303074319E-3</v>
      </c>
      <c r="BX117" s="115"/>
      <c r="BY117" s="114">
        <f t="array" ref="BY117">IFERROR(SUMIFS($CB117:$CW117,$CB$17:$CW$17,BY$17,$CB$18:$CW$18,BY$18)/SUMPRODUCT(($CB$18:$CW$18=BY$18)*ABS($CB117:$CW117)),"-")</f>
        <v>1.1852842329462961E-3</v>
      </c>
      <c r="BZ117" s="116">
        <f t="array" ref="BZ117">IFERROR(SUMIFS($CB117:$CW117,$CB$17:$CW$17,BZ$17,$CB$18:$CW$18,BZ$18)/SUMPRODUCT(($CB$18:$CW$18=BZ$18)*ABS($CB117:$CW117)),"-")</f>
        <v>0.99881471576705383</v>
      </c>
      <c r="CB117" s="117">
        <v>4.2147239999999997E-8</v>
      </c>
      <c r="CC117" s="111">
        <v>1.2704239E-10</v>
      </c>
      <c r="CD117" s="111">
        <v>3.4719183000000001E-15</v>
      </c>
      <c r="CE117" s="111">
        <v>4.0350362E-10</v>
      </c>
      <c r="CF117" s="111">
        <v>1.7219025E-12</v>
      </c>
      <c r="CG117" s="111">
        <v>1.3619632E-10</v>
      </c>
      <c r="CH117" s="111">
        <v>2.4536301999999999E-8</v>
      </c>
      <c r="CI117" s="111">
        <v>1.9525842E-11</v>
      </c>
      <c r="CJ117" s="111">
        <v>3.4914269000000001E-11</v>
      </c>
      <c r="CK117" s="111">
        <v>1.7005978E-12</v>
      </c>
      <c r="CL117" s="111">
        <v>5.4062593999999999E-13</v>
      </c>
      <c r="CM117" s="111">
        <v>3.7401031000000001E-14</v>
      </c>
      <c r="CN117" s="111">
        <v>7.4337071000000005E-14</v>
      </c>
      <c r="CO117" s="111">
        <v>1.6916087999999999E-14</v>
      </c>
      <c r="CP117" s="111">
        <v>4.7474653999999997E-11</v>
      </c>
      <c r="CQ117" s="111">
        <v>8.9704968999999998E-9</v>
      </c>
      <c r="CR117" s="111">
        <v>2.1945323000000002E-9</v>
      </c>
      <c r="CS117" s="111">
        <v>3.0018819999999999E-6</v>
      </c>
      <c r="CT117" s="111">
        <v>2.5296244E-3</v>
      </c>
      <c r="CU117" s="111">
        <v>3.9277500000000002E-10</v>
      </c>
      <c r="CV117" s="111">
        <v>9.3953468000000001E-12</v>
      </c>
      <c r="CW117" s="112">
        <v>1.2854943999999999E-17</v>
      </c>
    </row>
    <row r="118" spans="2:101" ht="12" customHeight="1" outlineLevel="1" x14ac:dyDescent="0.2">
      <c r="B118" s="104" t="s">
        <v>112</v>
      </c>
      <c r="C118" s="104" t="s">
        <v>121</v>
      </c>
      <c r="D118" s="2" t="s">
        <v>148</v>
      </c>
      <c r="E118" s="2" t="s">
        <v>150</v>
      </c>
      <c r="F118" s="105" t="s">
        <v>94</v>
      </c>
      <c r="G118" s="27" t="s">
        <v>1580</v>
      </c>
      <c r="H118" s="106" t="s">
        <v>131</v>
      </c>
      <c r="I118" s="107" t="s">
        <v>129</v>
      </c>
      <c r="J118" s="108">
        <v>0.44</v>
      </c>
      <c r="K118" s="109"/>
      <c r="L118" s="109"/>
      <c r="M118" s="110"/>
      <c r="N118" s="161"/>
      <c r="O118" s="1056"/>
      <c r="P118" s="117">
        <v>3.7726879137749999E-8</v>
      </c>
      <c r="Q118" s="111">
        <v>1.3015138113863768E-9</v>
      </c>
      <c r="R118" s="112">
        <v>1.3804650433999999E-3</v>
      </c>
      <c r="S118" s="1032">
        <v>2.4736562E-2</v>
      </c>
      <c r="T118" s="1032">
        <v>4.1426820999999998E-7</v>
      </c>
      <c r="U118" s="1032">
        <v>1.1044910000000001E-4</v>
      </c>
      <c r="V118" s="1032">
        <v>8.1577282000000007E-5</v>
      </c>
      <c r="W118" s="1032">
        <v>2.1264910000000001E-5</v>
      </c>
      <c r="X118" s="1032">
        <v>8.2504110999999998E-5</v>
      </c>
      <c r="Y118" s="1032">
        <v>8.9714861000000004E-5</v>
      </c>
      <c r="Z118" s="1032">
        <v>1.3816276999999999E-6</v>
      </c>
      <c r="AA118" s="1032">
        <v>1.734478E-4</v>
      </c>
      <c r="AB118" s="1032">
        <v>1.7890155999999999E-3</v>
      </c>
      <c r="AC118" s="1032">
        <v>5.6736905000000003E-5</v>
      </c>
      <c r="AD118" s="1032">
        <v>8.6313982000000005E-5</v>
      </c>
      <c r="AE118" s="1032">
        <v>7.2854148000000001E-6</v>
      </c>
      <c r="AF118" s="1032">
        <v>3.7090279E-3</v>
      </c>
      <c r="AG118" s="1032">
        <v>0.13470487</v>
      </c>
      <c r="AH118" s="1032">
        <v>7.0801200999999998E-6</v>
      </c>
      <c r="AI118" s="1032">
        <v>3.2061309000000001E-3</v>
      </c>
      <c r="AJ118" s="1036">
        <v>2.6383387999999999E-3</v>
      </c>
      <c r="AK118" s="1077">
        <v>2.4623095000000001E-2</v>
      </c>
      <c r="AL118" s="1078">
        <v>1.8525377999999999E-10</v>
      </c>
      <c r="AM118" s="1078">
        <v>2.2630662999999999E-4</v>
      </c>
      <c r="AN118" s="1078">
        <v>9.0126122999999994E-5</v>
      </c>
      <c r="AO118" s="1078">
        <v>3.2915557999999999E-5</v>
      </c>
      <c r="AP118" s="1078">
        <v>1.1885254E-4</v>
      </c>
      <c r="AQ118" s="1078">
        <v>1.7051786000000001E-6</v>
      </c>
      <c r="AR118" s="1078">
        <v>6.0011579000000001E-4</v>
      </c>
      <c r="AS118" s="1078">
        <v>3.1024956000000001E-7</v>
      </c>
      <c r="AT118" s="1078">
        <v>7.5481331E-6</v>
      </c>
      <c r="AU118" s="1078">
        <v>8.8187090000000004E-6</v>
      </c>
      <c r="AV118" s="1078">
        <v>1.6412937000000001E-4</v>
      </c>
      <c r="AW118" s="1078">
        <v>0.13470480000000001</v>
      </c>
      <c r="AX118" s="1078">
        <v>7.1435255000000003E-8</v>
      </c>
      <c r="AY118" s="1078">
        <v>-4.9095227999999997E-10</v>
      </c>
      <c r="AZ118" s="1078">
        <v>8.6096508E-5</v>
      </c>
      <c r="BA118" s="1078">
        <v>3.3742583999999999E-3</v>
      </c>
      <c r="BB118" s="1079">
        <v>2.6385202000000002E-3</v>
      </c>
      <c r="BC118" s="1035"/>
      <c r="BE118" s="113">
        <f t="array" ref="BE118">IFERROR(SUMIFS($CB118:$CW118,$CB$17:$CW$17,BE$17,$CB$18:$CW$18,BE$18)/SUMPRODUCT(($CB$18:$CW$18=BE$18)*ABS($CB118:$CW118)),"-")</f>
        <v>0.60893727562565914</v>
      </c>
      <c r="BF118" s="114">
        <f t="array" ref="BF118">IFERROR(SUMIFS($CB118:$CW118,$CB$17:$CW$17,BF$17,$CB$18:$CW$18,BF$18)/SUMPRODUCT(($CB$18:$CW$18=BF$18)*ABS($CB118:$CW118)),"-")</f>
        <v>5.8297623611258762E-3</v>
      </c>
      <c r="BG118" s="114">
        <f t="array" ref="BG118">IFERROR(SUMIFS($CB118:$CW118,$CB$17:$CW$17,BG$17,$CB$18:$CW$18,BG$18)/SUMPRODUCT(($CB$18:$CW$18=BG$18)*ABS($CB118:$CW118)),"-")</f>
        <v>2.4877799898928377E-5</v>
      </c>
      <c r="BH118" s="114">
        <f t="array" ref="BH118">IFERROR(SUMIFS($CB118:$CW118,$CB$17:$CW$17,BH$17,$CB$18:$CW$18,BH$18)/SUMPRODUCT(($CB$18:$CW$18=BH$18)*ABS($CB118:$CW118)),"-")</f>
        <v>1.9677448730636626E-3</v>
      </c>
      <c r="BI118" s="114">
        <f t="array" ref="BI118">IFERROR(SUMIFS($CB118:$CW118,$CB$17:$CW$17,BI$17,$CB$18:$CW$18,BI$18)/SUMPRODUCT(($CB$18:$CW$18=BI$18)*ABS($CB118:$CW118)),"-")</f>
        <v>0.35449696093779831</v>
      </c>
      <c r="BJ118" s="114">
        <f t="array" ref="BJ118">IFERROR(SUMIFS($CB118:$CW118,$CB$17:$CW$17,BJ$17,$CB$18:$CW$18,BJ$18)/SUMPRODUCT(($CB$18:$CW$18=BJ$18)*ABS($CB118:$CW118)),"-")</f>
        <v>6.4169588243984858E-4</v>
      </c>
      <c r="BK118" s="114">
        <f t="array" ref="BK118">IFERROR(SUMIFS($CB118:$CW118,$CB$17:$CW$17,BK$17,$CB$18:$CW$18,BK$18)/SUMPRODUCT(($CB$18:$CW$18=BK$18)*ABS($CB118:$CW118)),"-")</f>
        <v>2.2426925559113731E-2</v>
      </c>
      <c r="BL118" s="114">
        <f t="array" ref="BL118">IFERROR(SUMIFS($CB118:$CW118,$CB$17:$CW$17,BL$17,$CB$18:$CW$18,BL$18)/SUMPRODUCT(($CB$18:$CW$18=BL$18)*ABS($CB118:$CW118)),"-")</f>
        <v>5.6747569609005358E-3</v>
      </c>
      <c r="BM118" s="115"/>
      <c r="BN118" s="114">
        <f t="array" ref="BN118">IFERROR(SUMIFS($CB118:$CW118,$CB$17:$CW$17,BN$17,$CB$18:$CW$18,BN$18)/SUMPRODUCT(($CB$18:$CW$18=BN$18)*ABS($CB118:$CW118)),"-")</f>
        <v>5.32066666073528E-2</v>
      </c>
      <c r="BO118" s="114">
        <f t="array" ref="BO118">IFERROR(SUMIFS($CB118:$CW118,$CB$17:$CW$17,BO$17,$CB$18:$CW$18,BO$18)/SUMPRODUCT(($CB$18:$CW$18=BO$18)*ABS($CB118:$CW118)),"-")</f>
        <v>8.1774007366568324E-3</v>
      </c>
      <c r="BP118" s="114">
        <f t="array" ref="BP118">IFERROR(SUMIFS($CB118:$CW118,$CB$17:$CW$17,BP$17,$CB$18:$CW$18,BP$18)/SUMPRODUCT(($CB$18:$CW$18=BP$18)*ABS($CB118:$CW118)),"-")</f>
        <v>1.4622056895215211E-2</v>
      </c>
      <c r="BQ118" s="114">
        <f t="array" ref="BQ118">IFERROR(SUMIFS($CB118:$CW118,$CB$17:$CW$17,BQ$17,$CB$18:$CW$18,BQ$18)/SUMPRODUCT(($CB$18:$CW$18=BQ$18)*ABS($CB118:$CW118)),"-")</f>
        <v>7.1220848514285881E-4</v>
      </c>
      <c r="BR118" s="114">
        <f t="array" ref="BR118">IFERROR(SUMIFS($CB118:$CW118,$CB$17:$CW$17,BR$17,$CB$18:$CW$18,BR$18)/SUMPRODUCT(($CB$18:$CW$18=BR$18)*ABS($CB118:$CW118)),"-")</f>
        <v>2.2641354046493408E-4</v>
      </c>
      <c r="BS118" s="114">
        <f t="array" ref="BS118">IFERROR(SUMIFS($CB118:$CW118,$CB$17:$CW$17,BS$17,$CB$18:$CW$18,BS$18)/SUMPRODUCT(($CB$18:$CW$18=BS$18)*ABS($CB118:$CW118)),"-")</f>
        <v>1.566351030749683E-5</v>
      </c>
      <c r="BT118" s="114">
        <f t="array" ref="BT118">IFERROR(SUMIFS($CB118:$CW118,$CB$17:$CW$17,BT$17,$CB$18:$CW$18,BT$18)/SUMPRODUCT(($CB$18:$CW$18=BT$18)*ABS($CB118:$CW118)),"-")</f>
        <v>3.0162485143498728E-5</v>
      </c>
      <c r="BU118" s="114">
        <f t="array" ref="BU118">IFERROR(SUMIFS($CB118:$CW118,$CB$17:$CW$17,BU$17,$CB$18:$CW$18,BU$18)/SUMPRODUCT(($CB$18:$CW$18=BU$18)*ABS($CB118:$CW118)),"-")</f>
        <v>6.9655320755629542E-6</v>
      </c>
      <c r="BV118" s="114">
        <f t="array" ref="BV118">IFERROR(SUMIFS($CB118:$CW118,$CB$17:$CW$17,BV$17,$CB$18:$CW$18,BV$18)/SUMPRODUCT(($CB$18:$CW$18=BV$18)*ABS($CB118:$CW118)),"-")</f>
        <v>0.91906769604375227</v>
      </c>
      <c r="BW118" s="114">
        <f t="array" ref="BW118">IFERROR(SUMIFS($CB118:$CW118,$CB$17:$CW$17,BW$17,$CB$18:$CW$18,BW$18)/SUMPRODUCT(($CB$18:$CW$18=BW$18)*ABS($CB118:$CW118)),"-")</f>
        <v>3.9347661638885192E-3</v>
      </c>
      <c r="BX118" s="115"/>
      <c r="BY118" s="114">
        <f t="array" ref="BY118">IFERROR(SUMIFS($CB118:$CW118,$CB$17:$CW$17,BY$17,$CB$18:$CW$18,BY$18)/SUMPRODUCT(($CB$18:$CW$18=BY$18)*ABS($CB118:$CW118)),"-")</f>
        <v>1.1852841966718938E-3</v>
      </c>
      <c r="BZ118" s="116">
        <f t="array" ref="BZ118">IFERROR(SUMIFS($CB118:$CW118,$CB$17:$CW$17,BZ$17,$CB$18:$CW$18,BZ$18)/SUMPRODUCT(($CB$18:$CW$18=BZ$18)*ABS($CB118:$CW118)),"-")</f>
        <v>0.99881471580332815</v>
      </c>
      <c r="CB118" s="117">
        <v>2.2973303000000001E-8</v>
      </c>
      <c r="CC118" s="111">
        <v>6.9247319000000003E-11</v>
      </c>
      <c r="CD118" s="111">
        <v>1.8924472999999999E-15</v>
      </c>
      <c r="CE118" s="111">
        <v>2.1993873999999999E-10</v>
      </c>
      <c r="CF118" s="111">
        <v>9.3856174999999999E-13</v>
      </c>
      <c r="CG118" s="111">
        <v>7.4236873000000005E-11</v>
      </c>
      <c r="CH118" s="111">
        <v>1.3374064E-8</v>
      </c>
      <c r="CI118" s="111">
        <v>1.0643E-11</v>
      </c>
      <c r="CJ118" s="111">
        <v>1.9030809E-11</v>
      </c>
      <c r="CK118" s="111">
        <v>9.2694917999999997E-13</v>
      </c>
      <c r="CL118" s="111">
        <v>2.9468035000000001E-13</v>
      </c>
      <c r="CM118" s="111">
        <v>2.0386275000000001E-14</v>
      </c>
      <c r="CN118" s="111">
        <v>3.9256890999999999E-14</v>
      </c>
      <c r="CO118" s="111">
        <v>9.0657362000000004E-15</v>
      </c>
      <c r="CP118" s="111">
        <v>2.4209183E-11</v>
      </c>
      <c r="CQ118" s="111">
        <v>8.4609791E-10</v>
      </c>
      <c r="CR118" s="111">
        <v>1.1961793000000001E-9</v>
      </c>
      <c r="CS118" s="111">
        <v>1.6362434E-6</v>
      </c>
      <c r="CT118" s="111">
        <v>1.3788288E-3</v>
      </c>
      <c r="CU118" s="111">
        <v>2.1409087000000001E-10</v>
      </c>
      <c r="CV118" s="111">
        <v>5.1211454999999997E-12</v>
      </c>
      <c r="CW118" s="112">
        <v>7.0068767E-18</v>
      </c>
    </row>
    <row r="119" spans="2:101" ht="12" customHeight="1" outlineLevel="1" x14ac:dyDescent="0.2">
      <c r="B119" s="104" t="s">
        <v>112</v>
      </c>
      <c r="C119" s="104" t="s">
        <v>121</v>
      </c>
      <c r="D119" s="2" t="s">
        <v>148</v>
      </c>
      <c r="E119" s="2" t="s">
        <v>150</v>
      </c>
      <c r="F119" s="105" t="s">
        <v>95</v>
      </c>
      <c r="G119" s="27" t="s">
        <v>1581</v>
      </c>
      <c r="H119" s="106" t="s">
        <v>128</v>
      </c>
      <c r="I119" s="107" t="s">
        <v>127</v>
      </c>
      <c r="J119" s="108">
        <v>0.44</v>
      </c>
      <c r="K119" s="109"/>
      <c r="L119" s="109"/>
      <c r="M119" s="110"/>
      <c r="N119" s="161"/>
      <c r="O119" s="1056"/>
      <c r="P119" s="117">
        <v>1.1759250207679999E-7</v>
      </c>
      <c r="Q119" s="111">
        <v>1.7479949583747136E-9</v>
      </c>
      <c r="R119" s="112">
        <v>1.8491127601000001E-3</v>
      </c>
      <c r="S119" s="1032">
        <v>3.4754104000000001E-2</v>
      </c>
      <c r="T119" s="1032">
        <v>6.2068231999999997E-7</v>
      </c>
      <c r="U119" s="1032">
        <v>1.4351646E-4</v>
      </c>
      <c r="V119" s="1032">
        <v>1.1003975999999999E-4</v>
      </c>
      <c r="W119" s="1032">
        <v>5.7031682000000002E-5</v>
      </c>
      <c r="X119" s="1032">
        <v>1.1126159E-4</v>
      </c>
      <c r="Y119" s="1032">
        <v>3.5440378999999998E-4</v>
      </c>
      <c r="Z119" s="1032">
        <v>8.2624904E-6</v>
      </c>
      <c r="AA119" s="1032">
        <v>2.5826076000000001E-4</v>
      </c>
      <c r="AB119" s="1032">
        <v>3.3702240999999998E-3</v>
      </c>
      <c r="AC119" s="1032">
        <v>1.3685980999999999E-4</v>
      </c>
      <c r="AD119" s="1032">
        <v>1.8729983E-4</v>
      </c>
      <c r="AE119" s="1032">
        <v>1.6394139999999999E-5</v>
      </c>
      <c r="AF119" s="1032">
        <v>0.21338173999999999</v>
      </c>
      <c r="AG119" s="1032">
        <v>0.17436705999999999</v>
      </c>
      <c r="AH119" s="1032">
        <v>9.1792502000000001E-6</v>
      </c>
      <c r="AI119" s="1032">
        <v>4.2879976999999998E-3</v>
      </c>
      <c r="AJ119" s="1036">
        <v>3.4152054999999999E-3</v>
      </c>
      <c r="AK119" s="1077">
        <v>3.4603366000000003E-2</v>
      </c>
      <c r="AL119" s="1078">
        <v>2.4071192000000001E-10</v>
      </c>
      <c r="AM119" s="1078">
        <v>2.9405022000000001E-4</v>
      </c>
      <c r="AN119" s="1078">
        <v>1.2136671E-4</v>
      </c>
      <c r="AO119" s="1078">
        <v>8.2332518999999997E-5</v>
      </c>
      <c r="AP119" s="1078">
        <v>4.5211846E-4</v>
      </c>
      <c r="AQ119" s="1078">
        <v>8.6825048000000008E-6</v>
      </c>
      <c r="AR119" s="1078">
        <v>9.0374658000000004E-4</v>
      </c>
      <c r="AS119" s="1078">
        <v>2.2460367999999998E-5</v>
      </c>
      <c r="AT119" s="1078">
        <v>1.3643454999999999E-5</v>
      </c>
      <c r="AU119" s="1078">
        <v>1.4293543000000001E-5</v>
      </c>
      <c r="AV119" s="1078">
        <v>3.1538817000000001E-3</v>
      </c>
      <c r="AW119" s="1078">
        <v>0.17436697000000001</v>
      </c>
      <c r="AX119" s="1078">
        <v>9.2468485999999994E-8</v>
      </c>
      <c r="AY119" s="1078">
        <v>-6.3550713000000005E-10</v>
      </c>
      <c r="AZ119" s="1078">
        <v>1.115523E-4</v>
      </c>
      <c r="BA119" s="1078">
        <v>4.5110107999999996E-3</v>
      </c>
      <c r="BB119" s="1079">
        <v>3.4154403000000002E-3</v>
      </c>
      <c r="BC119" s="1035"/>
      <c r="BE119" s="113">
        <f t="array" ref="BE119">IFERROR(SUMIFS($CB119:$CW119,$CB$17:$CW$17,BE$17,$CB$18:$CW$18,BE$18)/SUMPRODUCT(($CB$18:$CW$18=BE$18)*ABS($CB119:$CW119)),"-")</f>
        <v>0.27449314735151165</v>
      </c>
      <c r="BF119" s="114">
        <f t="array" ref="BF119">IFERROR(SUMIFS($CB119:$CW119,$CB$17:$CW$17,BF$17,$CB$18:$CW$18,BF$18)/SUMPRODUCT(($CB$18:$CW$18=BF$18)*ABS($CB119:$CW119)),"-")</f>
        <v>2.8022693129259699E-3</v>
      </c>
      <c r="BG119" s="114">
        <f t="array" ref="BG119">IFERROR(SUMIFS($CB119:$CW119,$CB$17:$CW$17,BG$17,$CB$18:$CW$18,BG$18)/SUMPRODUCT(($CB$18:$CW$18=BG$18)*ABS($CB119:$CW119)),"-")</f>
        <v>1.0371050691680184E-5</v>
      </c>
      <c r="BH119" s="114">
        <f t="array" ref="BH119">IFERROR(SUMIFS($CB119:$CW119,$CB$17:$CW$17,BH$17,$CB$18:$CW$18,BH$18)/SUMPRODUCT(($CB$18:$CW$18=BH$18)*ABS($CB119:$CW119)),"-")</f>
        <v>8.5156951533014807E-4</v>
      </c>
      <c r="BI119" s="114">
        <f t="array" ref="BI119">IFERROR(SUMIFS($CB119:$CW119,$CB$17:$CW$17,BI$17,$CB$18:$CW$18,BI$18)/SUMPRODUCT(($CB$18:$CW$18=BI$18)*ABS($CB119:$CW119)),"-")</f>
        <v>0.30508478318260029</v>
      </c>
      <c r="BJ119" s="114">
        <f t="array" ref="BJ119">IFERROR(SUMIFS($CB119:$CW119,$CB$17:$CW$17,BJ$17,$CB$18:$CW$18,BJ$18)/SUMPRODUCT(($CB$18:$CW$18=BJ$18)*ABS($CB119:$CW119)),"-")</f>
        <v>4.6336023162781194E-4</v>
      </c>
      <c r="BK119" s="114">
        <f t="array" ref="BK119">IFERROR(SUMIFS($CB119:$CW119,$CB$17:$CW$17,BK$17,$CB$18:$CW$18,BK$18)/SUMPRODUCT(($CB$18:$CW$18=BK$18)*ABS($CB119:$CW119)),"-")</f>
        <v>0.41393706350605275</v>
      </c>
      <c r="BL119" s="114">
        <f t="array" ref="BL119">IFERROR(SUMIFS($CB119:$CW119,$CB$17:$CW$17,BL$17,$CB$18:$CW$18,BL$18)/SUMPRODUCT(($CB$18:$CW$18=BL$18)*ABS($CB119:$CW119)),"-")</f>
        <v>2.3574358492597504E-3</v>
      </c>
      <c r="BM119" s="115"/>
      <c r="BN119" s="114">
        <f t="array" ref="BN119">IFERROR(SUMIFS($CB119:$CW119,$CB$17:$CW$17,BN$17,$CB$18:$CW$18,BN$18)/SUMPRODUCT(($CB$18:$CW$18=BN$18)*ABS($CB119:$CW119)),"-")</f>
        <v>5.565896593423917E-2</v>
      </c>
      <c r="BO119" s="114">
        <f t="array" ref="BO119">IFERROR(SUMIFS($CB119:$CW119,$CB$17:$CW$17,BO$17,$CB$18:$CW$18,BO$18)/SUMPRODUCT(($CB$18:$CW$18=BO$18)*ABS($CB119:$CW119)),"-")</f>
        <v>8.2109544602721012E-3</v>
      </c>
      <c r="BP119" s="114">
        <f t="array" ref="BP119">IFERROR(SUMIFS($CB119:$CW119,$CB$17:$CW$17,BP$17,$CB$18:$CW$18,BP$18)/SUMPRODUCT(($CB$18:$CW$18=BP$18)*ABS($CB119:$CW119)),"-")</f>
        <v>4.3024150979203375E-2</v>
      </c>
      <c r="BQ119" s="114">
        <f t="array" ref="BQ119">IFERROR(SUMIFS($CB119:$CW119,$CB$17:$CW$17,BQ$17,$CB$18:$CW$18,BQ$18)/SUMPRODUCT(($CB$18:$CW$18=BQ$18)*ABS($CB119:$CW119)),"-")</f>
        <v>3.1716175572696088E-3</v>
      </c>
      <c r="BR119" s="114">
        <f t="array" ref="BR119">IFERROR(SUMIFS($CB119:$CW119,$CB$17:$CW$17,BR$17,$CB$18:$CW$18,BR$18)/SUMPRODUCT(($CB$18:$CW$18=BR$18)*ABS($CB119:$CW119)),"-")</f>
        <v>2.5101555236061557E-4</v>
      </c>
      <c r="BS119" s="114">
        <f t="array" ref="BS119">IFERROR(SUMIFS($CB119:$CW119,$CB$17:$CW$17,BS$17,$CB$18:$CW$18,BS$18)/SUMPRODUCT(($CB$18:$CW$18=BS$18)*ABS($CB119:$CW119)),"-")</f>
        <v>2.1975819676114515E-5</v>
      </c>
      <c r="BT119" s="114">
        <f t="array" ref="BT119">IFERROR(SUMIFS($CB119:$CW119,$CB$17:$CW$17,BT$17,$CB$18:$CW$18,BT$18)/SUMPRODUCT(($CB$18:$CW$18=BT$18)*ABS($CB119:$CW119)),"-")</f>
        <v>5.4217666101348042E-5</v>
      </c>
      <c r="BU119" s="114">
        <f t="array" ref="BU119">IFERROR(SUMIFS($CB119:$CW119,$CB$17:$CW$17,BU$17,$CB$18:$CW$18,BU$18)/SUMPRODUCT(($CB$18:$CW$18=BU$18)*ABS($CB119:$CW119)),"-")</f>
        <v>1.1254145731799598E-5</v>
      </c>
      <c r="BV119" s="114">
        <f t="array" ref="BV119">IFERROR(SUMIFS($CB119:$CW119,$CB$17:$CW$17,BV$17,$CB$18:$CW$18,BV$18)/SUMPRODUCT(($CB$18:$CW$18=BV$18)*ABS($CB119:$CW119)),"-")</f>
        <v>0.88580318414629977</v>
      </c>
      <c r="BW119" s="114">
        <f t="array" ref="BW119">IFERROR(SUMIFS($CB119:$CW119,$CB$17:$CW$17,BW$17,$CB$18:$CW$18,BW$18)/SUMPRODUCT(($CB$18:$CW$18=BW$18)*ABS($CB119:$CW119)),"-")</f>
        <v>3.7926637388460572E-3</v>
      </c>
      <c r="BX119" s="115"/>
      <c r="BY119" s="114">
        <f t="array" ref="BY119">IFERROR(SUMIFS($CB119:$CW119,$CB$17:$CW$17,BY$17,$CB$18:$CW$18,BY$18)/SUMPRODUCT(($CB$18:$CW$18=BY$18)*ABS($CB119:$CW119)),"-")</f>
        <v>1.1472313348188006E-3</v>
      </c>
      <c r="BZ119" s="116">
        <f t="array" ref="BZ119">IFERROR(SUMIFS($CB119:$CW119,$CB$17:$CW$17,BZ$17,$CB$18:$CW$18,BZ$18)/SUMPRODUCT(($CB$18:$CW$18=BZ$18)*ABS($CB119:$CW119)),"-")</f>
        <v>0.99885276866518113</v>
      </c>
      <c r="CB119" s="117">
        <v>3.2278336000000001E-8</v>
      </c>
      <c r="CC119" s="111">
        <v>9.7288933000000005E-11</v>
      </c>
      <c r="CD119" s="111">
        <v>2.6588414000000002E-15</v>
      </c>
      <c r="CE119" s="111">
        <v>3.2952586000000001E-10</v>
      </c>
      <c r="CF119" s="111">
        <v>1.2195578E-12</v>
      </c>
      <c r="CG119" s="111">
        <v>1.0013819E-10</v>
      </c>
      <c r="CH119" s="111">
        <v>3.5875682999999998E-8</v>
      </c>
      <c r="CI119" s="111">
        <v>1.4352707E-11</v>
      </c>
      <c r="CJ119" s="111">
        <v>7.5205999000000002E-11</v>
      </c>
      <c r="CK119" s="111">
        <v>5.5439715000000003E-12</v>
      </c>
      <c r="CL119" s="111">
        <v>4.3877392000000001E-13</v>
      </c>
      <c r="CM119" s="111">
        <v>3.8413622000000002E-14</v>
      </c>
      <c r="CN119" s="111">
        <v>9.4772206999999997E-14</v>
      </c>
      <c r="CO119" s="111">
        <v>1.967219E-14</v>
      </c>
      <c r="CP119" s="111">
        <v>5.4487689000000001E-11</v>
      </c>
      <c r="CQ119" s="111">
        <v>4.8675895000000002E-8</v>
      </c>
      <c r="CR119" s="111">
        <v>1.5483795E-9</v>
      </c>
      <c r="CS119" s="111">
        <v>2.1213600999999998E-6</v>
      </c>
      <c r="CT119" s="111">
        <v>1.8469914E-3</v>
      </c>
      <c r="CU119" s="111">
        <v>2.7721677999999998E-10</v>
      </c>
      <c r="CV119" s="111">
        <v>6.6295479999999998E-12</v>
      </c>
      <c r="CW119" s="112">
        <v>9.0943134999999998E-18</v>
      </c>
    </row>
    <row r="120" spans="2:101" ht="12" customHeight="1" outlineLevel="1" x14ac:dyDescent="0.2">
      <c r="B120" s="104" t="s">
        <v>112</v>
      </c>
      <c r="C120" s="104" t="s">
        <v>121</v>
      </c>
      <c r="D120" s="2" t="s">
        <v>148</v>
      </c>
      <c r="E120" s="2" t="s">
        <v>150</v>
      </c>
      <c r="F120" s="105" t="s">
        <v>96</v>
      </c>
      <c r="G120" s="27" t="s">
        <v>1582</v>
      </c>
      <c r="H120" s="106" t="s">
        <v>128</v>
      </c>
      <c r="I120" s="107" t="s">
        <v>1577</v>
      </c>
      <c r="J120" s="108">
        <v>0.44</v>
      </c>
      <c r="K120" s="109"/>
      <c r="L120" s="109"/>
      <c r="M120" s="110"/>
      <c r="N120" s="161"/>
      <c r="O120" s="1056"/>
      <c r="P120" s="117">
        <v>1.6800853370919999E-7</v>
      </c>
      <c r="Q120" s="111">
        <v>1.7938641925074035E-9</v>
      </c>
      <c r="R120" s="112">
        <v>1.8896968429999998E-3</v>
      </c>
      <c r="S120" s="1032">
        <v>3.6713388E-2</v>
      </c>
      <c r="T120" s="1032">
        <v>6.8224478999999996E-7</v>
      </c>
      <c r="U120" s="1032">
        <v>1.4387342000000001E-4</v>
      </c>
      <c r="V120" s="1032">
        <v>1.1293937E-4</v>
      </c>
      <c r="W120" s="1032">
        <v>7.8504333000000004E-5</v>
      </c>
      <c r="X120" s="1032">
        <v>1.1417562E-4</v>
      </c>
      <c r="Y120" s="1032">
        <v>5.2800904999999998E-4</v>
      </c>
      <c r="Z120" s="1032">
        <v>1.2873252E-5</v>
      </c>
      <c r="AA120" s="1032">
        <v>2.8286568999999999E-4</v>
      </c>
      <c r="AB120" s="1032">
        <v>4.0583781000000001E-3</v>
      </c>
      <c r="AC120" s="1032">
        <v>1.6076873E-4</v>
      </c>
      <c r="AD120" s="1032">
        <v>2.1121084000000001E-4</v>
      </c>
      <c r="AE120" s="1032">
        <v>2.1709577999999999E-5</v>
      </c>
      <c r="AF120" s="1032">
        <v>0.36695439000000002</v>
      </c>
      <c r="AG120" s="1032">
        <v>0.17436705999999999</v>
      </c>
      <c r="AH120" s="1032">
        <v>9.1886974000000005E-6</v>
      </c>
      <c r="AI120" s="1032">
        <v>4.3779680000000003E-3</v>
      </c>
      <c r="AJ120" s="1036">
        <v>3.4152318000000002E-3</v>
      </c>
      <c r="AK120" s="1077">
        <v>3.6560131000000003E-2</v>
      </c>
      <c r="AL120" s="1078">
        <v>2.4130741000000001E-10</v>
      </c>
      <c r="AM120" s="1078">
        <v>2.9477487999999999E-4</v>
      </c>
      <c r="AN120" s="1078">
        <v>1.2443664999999999E-4</v>
      </c>
      <c r="AO120" s="1078">
        <v>1.1121372E-4</v>
      </c>
      <c r="AP120" s="1078">
        <v>6.6940526999999998E-4</v>
      </c>
      <c r="AQ120" s="1078">
        <v>1.3294049000000001E-5</v>
      </c>
      <c r="AR120" s="1078">
        <v>9.9629094000000008E-4</v>
      </c>
      <c r="AS120" s="1078">
        <v>3.7344149000000001E-5</v>
      </c>
      <c r="AT120" s="1078">
        <v>1.5259030999999999E-5</v>
      </c>
      <c r="AU120" s="1078">
        <v>1.5421709E-5</v>
      </c>
      <c r="AV120" s="1078">
        <v>5.3675906000000004E-3</v>
      </c>
      <c r="AW120" s="1078">
        <v>0.17436697000000001</v>
      </c>
      <c r="AX120" s="1078">
        <v>9.2468485999999994E-8</v>
      </c>
      <c r="AY120" s="1078">
        <v>-6.3550713000000005E-10</v>
      </c>
      <c r="AZ120" s="1078">
        <v>1.116213E-4</v>
      </c>
      <c r="BA120" s="1078">
        <v>4.6044939000000002E-3</v>
      </c>
      <c r="BB120" s="1079">
        <v>3.4154666E-3</v>
      </c>
      <c r="BC120" s="1035"/>
      <c r="BE120" s="113">
        <f t="array" ref="BE120">IFERROR(SUMIFS($CB120:$CW120,$CB$17:$CW$17,BE$17,$CB$18:$CW$18,BE$18)/SUMPRODUCT(($CB$18:$CW$18=BE$18)*ABS($CB120:$CW120)),"-")</f>
        <v>0.20296063091069499</v>
      </c>
      <c r="BF120" s="114">
        <f t="array" ref="BF120">IFERROR(SUMIFS($CB120:$CW120,$CB$17:$CW$17,BF$17,$CB$18:$CW$18,BF$18)/SUMPRODUCT(($CB$18:$CW$18=BF$18)*ABS($CB120:$CW120)),"-")</f>
        <v>2.1559020366604493E-3</v>
      </c>
      <c r="BG120" s="114">
        <f t="array" ref="BG120">IFERROR(SUMIFS($CB120:$CW120,$CB$17:$CW$17,BG$17,$CB$18:$CW$18,BG$18)/SUMPRODUCT(($CB$18:$CW$18=BG$18)*ABS($CB120:$CW120)),"-")</f>
        <v>7.2769589318369966E-6</v>
      </c>
      <c r="BH120" s="114">
        <f t="array" ref="BH120">IFERROR(SUMIFS($CB120:$CW120,$CB$17:$CW$17,BH$17,$CB$18:$CW$18,BH$18)/SUMPRODUCT(($CB$18:$CW$18=BH$18)*ABS($CB120:$CW120)),"-")</f>
        <v>6.1173583109708457E-4</v>
      </c>
      <c r="BI120" s="114">
        <f t="array" ref="BI120">IFERROR(SUMIFS($CB120:$CW120,$CB$17:$CW$17,BI$17,$CB$18:$CW$18,BI$18)/SUMPRODUCT(($CB$18:$CW$18=BI$18)*ABS($CB120:$CW120)),"-")</f>
        <v>0.29394618778995807</v>
      </c>
      <c r="BJ120" s="114">
        <f t="array" ref="BJ120">IFERROR(SUMIFS($CB120:$CW120,$CB$17:$CW$17,BJ$17,$CB$18:$CW$18,BJ$18)/SUMPRODUCT(($CB$18:$CW$18=BJ$18)*ABS($CB120:$CW120)),"-")</f>
        <v>4.2950287349629175E-4</v>
      </c>
      <c r="BK120" s="114">
        <f t="array" ref="BK120">IFERROR(SUMIFS($CB120:$CW120,$CB$17:$CW$17,BK$17,$CB$18:$CW$18,BK$18)/SUMPRODUCT(($CB$18:$CW$18=BK$18)*ABS($CB120:$CW120)),"-")</f>
        <v>0.49823839987132873</v>
      </c>
      <c r="BL120" s="114">
        <f t="array" ref="BL120">IFERROR(SUMIFS($CB120:$CW120,$CB$17:$CW$17,BL$17,$CB$18:$CW$18,BL$18)/SUMPRODUCT(($CB$18:$CW$18=BL$18)*ABS($CB120:$CW120)),"-")</f>
        <v>1.6503637278325741E-3</v>
      </c>
      <c r="BM120" s="115"/>
      <c r="BN120" s="114">
        <f t="array" ref="BN120">IFERROR(SUMIFS($CB120:$CW120,$CB$17:$CW$17,BN$17,$CB$18:$CW$18,BN$18)/SUMPRODUCT(($CB$18:$CW$18=BN$18)*ABS($CB120:$CW120)),"-")</f>
        <v>5.7292797956763848E-2</v>
      </c>
      <c r="BO120" s="114">
        <f t="array" ref="BO120">IFERROR(SUMIFS($CB120:$CW120,$CB$17:$CW$17,BO$17,$CB$18:$CW$18,BO$18)/SUMPRODUCT(($CB$18:$CW$18=BO$18)*ABS($CB120:$CW120)),"-")</f>
        <v>8.2105535421902985E-3</v>
      </c>
      <c r="BP120" s="114">
        <f t="array" ref="BP120">IFERROR(SUMIFS($CB120:$CW120,$CB$17:$CW$17,BP$17,$CB$18:$CW$18,BP$18)/SUMPRODUCT(($CB$18:$CW$18=BP$18)*ABS($CB120:$CW120)),"-")</f>
        <v>6.2464304972483328E-2</v>
      </c>
      <c r="BQ120" s="114">
        <f t="array" ref="BQ120">IFERROR(SUMIFS($CB120:$CW120,$CB$17:$CW$17,BQ$17,$CB$18:$CW$18,BQ$18)/SUMPRODUCT(($CB$18:$CW$18=BQ$18)*ABS($CB120:$CW120)),"-")</f>
        <v>4.8151876469123235E-3</v>
      </c>
      <c r="BR120" s="114">
        <f t="array" ref="BR120">IFERROR(SUMIFS($CB120:$CW120,$CB$17:$CW$17,BR$17,$CB$18:$CW$18,BR$18)/SUMPRODUCT(($CB$18:$CW$18=BR$18)*ABS($CB120:$CW120)),"-")</f>
        <v>2.6790023570751249E-4</v>
      </c>
      <c r="BS120" s="114">
        <f t="array" ref="BS120">IFERROR(SUMIFS($CB120:$CW120,$CB$17:$CW$17,BS$17,$CB$18:$CW$18,BS$18)/SUMPRODUCT(($CB$18:$CW$18=BS$18)*ABS($CB120:$CW120)),"-")</f>
        <v>2.5788594918848113E-5</v>
      </c>
      <c r="BT120" s="114">
        <f t="array" ref="BT120">IFERROR(SUMIFS($CB120:$CW120,$CB$17:$CW$17,BT$17,$CB$18:$CW$18,BT$18)/SUMPRODUCT(($CB$18:$CW$18=BT$18)*ABS($CB120:$CW120)),"-")</f>
        <v>6.2083400998339712E-5</v>
      </c>
      <c r="BU120" s="114">
        <f t="array" ref="BU120">IFERROR(SUMIFS($CB120:$CW120,$CB$17:$CW$17,BU$17,$CB$18:$CW$18,BU$18)/SUMPRODUCT(($CB$18:$CW$18=BU$18)*ABS($CB120:$CW120)),"-")</f>
        <v>1.2366425001768045E-5</v>
      </c>
      <c r="BV120" s="114">
        <f t="array" ref="BV120">IFERROR(SUMIFS($CB120:$CW120,$CB$17:$CW$17,BV$17,$CB$18:$CW$18,BV$18)/SUMPRODUCT(($CB$18:$CW$18=BV$18)*ABS($CB120:$CW120)),"-")</f>
        <v>0.86315313414876005</v>
      </c>
      <c r="BW120" s="114">
        <f t="array" ref="BW120">IFERROR(SUMIFS($CB120:$CW120,$CB$17:$CW$17,BW$17,$CB$18:$CW$18,BW$18)/SUMPRODUCT(($CB$18:$CW$18=BW$18)*ABS($CB120:$CW120)),"-")</f>
        <v>3.6958830762636101E-3</v>
      </c>
      <c r="BX120" s="115"/>
      <c r="BY120" s="114">
        <f t="array" ref="BY120">IFERROR(SUMIFS($CB120:$CW120,$CB$17:$CW$17,BY$17,$CB$18:$CW$18,BY$18)/SUMPRODUCT(($CB$18:$CW$18=BY$18)*ABS($CB120:$CW120)),"-")</f>
        <v>1.1237479746374326E-3</v>
      </c>
      <c r="BZ120" s="116">
        <f t="array" ref="BZ120">IFERROR(SUMIFS($CB120:$CW120,$CB$17:$CW$17,BZ$17,$CB$18:$CW$18,BZ$18)/SUMPRODUCT(($CB$18:$CW$18=BZ$18)*ABS($CB120:$CW120)),"-")</f>
        <v>0.99887625202536257</v>
      </c>
      <c r="CB120" s="117">
        <v>3.4099117999999998E-8</v>
      </c>
      <c r="CC120" s="111">
        <v>1.0277269E-10</v>
      </c>
      <c r="CD120" s="111">
        <v>2.8087432000000002E-15</v>
      </c>
      <c r="CE120" s="111">
        <v>3.6220994000000003E-10</v>
      </c>
      <c r="CF120" s="111">
        <v>1.2225912E-12</v>
      </c>
      <c r="CG120" s="111">
        <v>1.0277684E-10</v>
      </c>
      <c r="CH120" s="111">
        <v>4.9385467999999999E-8</v>
      </c>
      <c r="CI120" s="111">
        <v>1.4728618000000001E-11</v>
      </c>
      <c r="CJ120" s="111">
        <v>1.1205248E-10</v>
      </c>
      <c r="CK120" s="111">
        <v>8.6377926999999992E-12</v>
      </c>
      <c r="CL120" s="111">
        <v>4.8057663999999996E-13</v>
      </c>
      <c r="CM120" s="111">
        <v>4.6261237000000001E-14</v>
      </c>
      <c r="CN120" s="111">
        <v>1.1136919E-13</v>
      </c>
      <c r="CO120" s="111">
        <v>2.2183686999999999E-14</v>
      </c>
      <c r="CP120" s="111">
        <v>7.2160147999999994E-11</v>
      </c>
      <c r="CQ120" s="111">
        <v>8.3708302999999998E-8</v>
      </c>
      <c r="CR120" s="111">
        <v>1.5483795E-9</v>
      </c>
      <c r="CS120" s="111">
        <v>2.1235430000000002E-6</v>
      </c>
      <c r="CT120" s="111">
        <v>1.8875732999999999E-3</v>
      </c>
      <c r="CU120" s="111">
        <v>2.7727518999999997E-10</v>
      </c>
      <c r="CV120" s="111">
        <v>6.6299031999999997E-12</v>
      </c>
      <c r="CW120" s="112">
        <v>9.1102033999999997E-18</v>
      </c>
    </row>
    <row r="121" spans="2:101" ht="12" customHeight="1" outlineLevel="1" x14ac:dyDescent="0.2">
      <c r="B121" s="88" t="s">
        <v>113</v>
      </c>
      <c r="C121" s="88" t="s">
        <v>123</v>
      </c>
      <c r="D121" s="89" t="s">
        <v>151</v>
      </c>
      <c r="E121" s="89" t="s">
        <v>113</v>
      </c>
      <c r="F121" s="90" t="s">
        <v>92</v>
      </c>
      <c r="G121" s="18" t="s">
        <v>126</v>
      </c>
      <c r="H121" s="91" t="s">
        <v>127</v>
      </c>
      <c r="I121" s="92" t="s">
        <v>127</v>
      </c>
      <c r="J121" s="93">
        <v>2.11</v>
      </c>
      <c r="K121" s="94"/>
      <c r="L121" s="94"/>
      <c r="M121" s="95"/>
      <c r="N121" s="145"/>
      <c r="O121" s="1055"/>
      <c r="P121" s="103">
        <v>8.0970380142299989E-6</v>
      </c>
      <c r="Q121" s="97">
        <v>5.2289512151380991E-8</v>
      </c>
      <c r="R121" s="98">
        <v>9.8755517819999999E-2</v>
      </c>
      <c r="S121" s="1033">
        <v>3.6661565999999999</v>
      </c>
      <c r="T121" s="1033">
        <v>2.5752230999999999E-5</v>
      </c>
      <c r="U121" s="1033">
        <v>1.3939834E-2</v>
      </c>
      <c r="V121" s="1033">
        <v>3.7283695000000002E-3</v>
      </c>
      <c r="W121" s="1033">
        <v>5.9583311000000003E-3</v>
      </c>
      <c r="X121" s="1033">
        <v>3.7731543E-3</v>
      </c>
      <c r="Y121" s="1033">
        <v>4.4952110000000003E-2</v>
      </c>
      <c r="Z121" s="1033">
        <v>3.7434955999999999E-4</v>
      </c>
      <c r="AA121" s="1033">
        <v>5.2145348999999997E-3</v>
      </c>
      <c r="AB121" s="1033">
        <v>2.9454886</v>
      </c>
      <c r="AC121" s="1033">
        <v>0.18064295</v>
      </c>
      <c r="AD121" s="1033">
        <v>3.5660846000000003E-2</v>
      </c>
      <c r="AE121" s="1033">
        <v>6.4555541999999997E-4</v>
      </c>
      <c r="AF121" s="1033">
        <v>4.0291867000000003</v>
      </c>
      <c r="AG121" s="1033">
        <v>3.5446035</v>
      </c>
      <c r="AH121" s="1033">
        <v>1.0128174E-3</v>
      </c>
      <c r="AI121" s="1033">
        <v>0.26808527999999998</v>
      </c>
      <c r="AJ121" s="1034">
        <v>2.1341197999999999E-2</v>
      </c>
      <c r="AK121" s="1074">
        <v>3.3571426</v>
      </c>
      <c r="AL121" s="1075">
        <v>2.2697642000000001E-8</v>
      </c>
      <c r="AM121" s="1075">
        <v>2.8947278999999999E-2</v>
      </c>
      <c r="AN121" s="1075">
        <v>4.1012215000000001E-3</v>
      </c>
      <c r="AO121" s="1075">
        <v>8.3051793999999995E-3</v>
      </c>
      <c r="AP121" s="1075">
        <v>5.6160237000000002E-2</v>
      </c>
      <c r="AQ121" s="1075">
        <v>4.1840874999999998E-4</v>
      </c>
      <c r="AR121" s="1075">
        <v>2.0021378999999999E-2</v>
      </c>
      <c r="AS121" s="1075">
        <v>2.5099415E-2</v>
      </c>
      <c r="AT121" s="1075">
        <v>7.1162591999999998E-3</v>
      </c>
      <c r="AU121" s="1075">
        <v>2.0301036999999999E-3</v>
      </c>
      <c r="AV121" s="1075">
        <v>0.13522993999999999</v>
      </c>
      <c r="AW121" s="1075">
        <v>3.4051021000000001</v>
      </c>
      <c r="AX121" s="1075">
        <v>2.1570383E-5</v>
      </c>
      <c r="AY121" s="1075">
        <v>1.6306808999999998E-2</v>
      </c>
      <c r="AZ121" s="1075">
        <v>2.9534748E-3</v>
      </c>
      <c r="BA121" s="1075">
        <v>0.27449625999999999</v>
      </c>
      <c r="BB121" s="1076">
        <v>2.1396556000000001E-2</v>
      </c>
      <c r="BC121" s="1035"/>
      <c r="BE121" s="99">
        <f t="array" ref="BE121">IFERROR(SUMIFS($CB121:$CW121,$CB$17:$CW$17,BE$17,$CB$18:$CW$18,BE$18)/SUMPRODUCT(($CB$18:$CW$18=BE$18)*ABS($CB121:$CW121)),"-")</f>
        <v>0.42046926221869313</v>
      </c>
      <c r="BF121" s="100">
        <f t="array" ref="BF121">IFERROR(SUMIFS($CB121:$CW121,$CB$17:$CW$17,BF$17,$CB$18:$CW$18,BF$18)/SUMPRODUCT(($CB$18:$CW$18=BF$18)*ABS($CB121:$CW121)),"-")</f>
        <v>1.6885299261251117E-3</v>
      </c>
      <c r="BG121" s="100">
        <f t="array" ref="BG121">IFERROR(SUMIFS($CB121:$CW121,$CB$17:$CW$17,BG$17,$CB$18:$CW$18,BG$18)/SUMPRODUCT(($CB$18:$CW$18=BG$18)*ABS($CB121:$CW121)),"-")</f>
        <v>1.4629563278796682E-5</v>
      </c>
      <c r="BH121" s="100">
        <f t="array" ref="BH121">IFERROR(SUMIFS($CB121:$CW121,$CB$17:$CW$17,BH$17,$CB$18:$CW$18,BH$18)/SUMPRODUCT(($CB$18:$CW$18=BH$18)*ABS($CB121:$CW121)),"-")</f>
        <v>4.1895827758721454E-4</v>
      </c>
      <c r="BI121" s="100">
        <f t="array" ref="BI121">IFERROR(SUMIFS($CB121:$CW121,$CB$17:$CW$17,BI$17,$CB$18:$CW$18,BI$18)/SUMPRODUCT(($CB$18:$CW$18=BI$18)*ABS($CB121:$CW121)),"-")</f>
        <v>0.46292746723092354</v>
      </c>
      <c r="BJ121" s="100">
        <f t="array" ref="BJ121">IFERROR(SUMIFS($CB121:$CW121,$CB$17:$CW$17,BJ$17,$CB$18:$CW$18,BJ$18)/SUMPRODUCT(($CB$18:$CW$18=BJ$18)*ABS($CB121:$CW121)),"-")</f>
        <v>2.6458960625291497E-4</v>
      </c>
      <c r="BK121" s="100">
        <f t="array" ref="BK121">IFERROR(SUMIFS($CB121:$CW121,$CB$17:$CW$17,BK$17,$CB$18:$CW$18,BK$18)/SUMPRODUCT(($CB$18:$CW$18=BK$18)*ABS($CB121:$CW121)),"-")</f>
        <v>0.11351199640964071</v>
      </c>
      <c r="BL121" s="100">
        <f t="array" ref="BL121">IFERROR(SUMIFS($CB121:$CW121,$CB$17:$CW$17,BL$17,$CB$18:$CW$18,BL$18)/SUMPRODUCT(($CB$18:$CW$18=BL$18)*ABS($CB121:$CW121)),"-")</f>
        <v>7.0456676749868473E-4</v>
      </c>
      <c r="BM121" s="101"/>
      <c r="BN121" s="100">
        <f t="array" ref="BN121">IFERROR(SUMIFS($CB121:$CW121,$CB$17:$CW$17,BN$17,$CB$18:$CW$18,BN$18)/SUMPRODUCT(($CB$18:$CW$18=BN$18)*ABS($CB121:$CW121)),"-")</f>
        <v>0.19630291082623741</v>
      </c>
      <c r="BO121" s="100">
        <f t="array" ref="BO121">IFERROR(SUMIFS($CB121:$CW121,$CB$17:$CW$17,BO$17,$CB$18:$CW$18,BO$18)/SUMPRODUCT(($CB$18:$CW$18=BO$18)*ABS($CB121:$CW121)),"-")</f>
        <v>9.3069460772765532E-3</v>
      </c>
      <c r="BP121" s="100">
        <f t="array" ref="BP121">IFERROR(SUMIFS($CB121:$CW121,$CB$17:$CW$17,BP$17,$CB$18:$CW$18,BP$18)/SUMPRODUCT(($CB$18:$CW$18=BP$18)*ABS($CB121:$CW121)),"-")</f>
        <v>0.18245034630234236</v>
      </c>
      <c r="BQ121" s="100">
        <f t="array" ref="BQ121">IFERROR(SUMIFS($CB121:$CW121,$CB$17:$CW$17,BQ$17,$CB$18:$CW$18,BQ$18)/SUMPRODUCT(($CB$18:$CW$18=BQ$18)*ABS($CB121:$CW121)),"-")</f>
        <v>4.8034230893731246E-3</v>
      </c>
      <c r="BR121" s="100">
        <f t="array" ref="BR121">IFERROR(SUMIFS($CB121:$CW121,$CB$17:$CW$17,BR$17,$CB$18:$CW$18,BR$18)/SUMPRODUCT(($CB$18:$CW$18=BR$18)*ABS($CB121:$CW121)),"-")</f>
        <v>1.6942862795031873E-4</v>
      </c>
      <c r="BS121" s="100">
        <f t="array" ref="BS121">IFERROR(SUMIFS($CB121:$CW121,$CB$17:$CW$17,BS$17,$CB$18:$CW$18,BS$18)/SUMPRODUCT(($CB$18:$CW$18=BS$18)*ABS($CB121:$CW121)),"-")</f>
        <v>6.4212832781445684E-4</v>
      </c>
      <c r="BT121" s="100">
        <f t="array" ref="BT121">IFERROR(SUMIFS($CB121:$CW121,$CB$17:$CW$17,BT$17,$CB$18:$CW$18,BT$18)/SUMPRODUCT(($CB$18:$CW$18=BT$18)*ABS($CB121:$CW121)),"-")</f>
        <v>2.3992155374638873E-3</v>
      </c>
      <c r="BU121" s="100">
        <f t="array" ref="BU121">IFERROR(SUMIFS($CB121:$CW121,$CB$17:$CW$17,BU$17,$CB$18:$CW$18,BU$18)/SUMPRODUCT(($CB$18:$CW$18=BU$18)*ABS($CB121:$CW121)),"-")</f>
        <v>7.1564408349546432E-5</v>
      </c>
      <c r="BV121" s="100">
        <f t="array" ref="BV121">IFERROR(SUMIFS($CB121:$CW121,$CB$17:$CW$17,BV$17,$CB$18:$CW$18,BV$18)/SUMPRODUCT(($CB$18:$CW$18=BV$18)*ABS($CB121:$CW121)),"-")</f>
        <v>0.6019662204702495</v>
      </c>
      <c r="BW121" s="100">
        <f t="array" ref="BW121">IFERROR(SUMIFS($CB121:$CW121,$CB$17:$CW$17,BW$17,$CB$18:$CW$18,BW$18)/SUMPRODUCT(($CB$18:$CW$18=BW$18)*ABS($CB121:$CW121)),"-")</f>
        <v>1.8878163329430287E-3</v>
      </c>
      <c r="BX121" s="101"/>
      <c r="BY121" s="100">
        <f t="array" ref="BY121">IFERROR(SUMIFS($CB121:$CW121,$CB$17:$CW$17,BY$17,$CB$18:$CW$18,BY$18)/SUMPRODUCT(($CB$18:$CW$18=BY$18)*ABS($CB121:$CW121)),"-")</f>
        <v>2.3711061940538767E-3</v>
      </c>
      <c r="BZ121" s="102">
        <f t="array" ref="BZ121">IFERROR(SUMIFS($CB121:$CW121,$CB$17:$CW$17,BZ$17,$CB$18:$CW$18,BZ$18)/SUMPRODUCT(($CB$18:$CW$18=BZ$18)*ABS($CB121:$CW121)),"-")</f>
        <v>0.99762889380594622</v>
      </c>
      <c r="CB121" s="103">
        <v>3.4045555999999999E-6</v>
      </c>
      <c r="CC121" s="97">
        <v>1.0264303000000001E-8</v>
      </c>
      <c r="CD121" s="97">
        <v>2.8044099999999999E-13</v>
      </c>
      <c r="CE121" s="97">
        <v>1.3672091000000001E-8</v>
      </c>
      <c r="CF121" s="97">
        <v>1.1845613E-10</v>
      </c>
      <c r="CG121" s="97">
        <v>3.3923211000000001E-9</v>
      </c>
      <c r="CH121" s="97">
        <v>3.7483413000000001E-6</v>
      </c>
      <c r="CI121" s="97">
        <v>4.8665567E-10</v>
      </c>
      <c r="CJ121" s="97">
        <v>9.5402396E-9</v>
      </c>
      <c r="CK121" s="97">
        <v>2.5116865000000001E-10</v>
      </c>
      <c r="CL121" s="97">
        <v>8.8593402999999995E-12</v>
      </c>
      <c r="CM121" s="97">
        <v>3.3576576999999997E-11</v>
      </c>
      <c r="CN121" s="97">
        <v>1.2545381000000001E-10</v>
      </c>
      <c r="CO121" s="97">
        <v>3.7420679999999997E-12</v>
      </c>
      <c r="CP121" s="97">
        <v>2.1423920999999999E-9</v>
      </c>
      <c r="CQ121" s="97">
        <v>9.1911095000000003E-7</v>
      </c>
      <c r="CR121" s="97">
        <v>3.1476519999999997E-8</v>
      </c>
      <c r="CS121" s="97">
        <v>2.3415982000000001E-4</v>
      </c>
      <c r="CT121" s="97">
        <v>9.8521358000000003E-2</v>
      </c>
      <c r="CU121" s="97">
        <v>5.7049038999999996E-9</v>
      </c>
      <c r="CV121" s="97">
        <v>9.8700861000000005E-11</v>
      </c>
      <c r="CW121" s="98">
        <v>1.2134081E-14</v>
      </c>
    </row>
    <row r="122" spans="2:101" ht="12" customHeight="1" outlineLevel="1" x14ac:dyDescent="0.2">
      <c r="B122" s="104" t="s">
        <v>113</v>
      </c>
      <c r="C122" s="104" t="s">
        <v>123</v>
      </c>
      <c r="D122" s="2" t="s">
        <v>151</v>
      </c>
      <c r="E122" s="2" t="s">
        <v>113</v>
      </c>
      <c r="F122" s="105" t="s">
        <v>122</v>
      </c>
      <c r="G122" s="27" t="s">
        <v>1579</v>
      </c>
      <c r="H122" s="106" t="s">
        <v>128</v>
      </c>
      <c r="I122" s="107" t="s">
        <v>129</v>
      </c>
      <c r="J122" s="108">
        <v>2.11</v>
      </c>
      <c r="K122" s="109"/>
      <c r="L122" s="109"/>
      <c r="M122" s="110"/>
      <c r="N122" s="161"/>
      <c r="O122" s="1056"/>
      <c r="P122" s="117">
        <v>5.3417516452200008E-6</v>
      </c>
      <c r="Q122" s="111">
        <v>6.2723281810305875E-8</v>
      </c>
      <c r="R122" s="112">
        <v>8.0145514403000009E-2</v>
      </c>
      <c r="S122" s="1032">
        <v>2.2546465000000002</v>
      </c>
      <c r="T122" s="1032">
        <v>1.4243951E-5</v>
      </c>
      <c r="U122" s="1032">
        <v>1.4098428E-2</v>
      </c>
      <c r="V122" s="1032">
        <v>2.6537536999999998E-3</v>
      </c>
      <c r="W122" s="1032">
        <v>5.0799356999999996E-3</v>
      </c>
      <c r="X122" s="1032">
        <v>2.7012628000000001E-3</v>
      </c>
      <c r="Y122" s="1032">
        <v>3.8713910999999997E-2</v>
      </c>
      <c r="Z122" s="1032">
        <v>6.1006457999999998E-5</v>
      </c>
      <c r="AA122" s="1032">
        <v>3.1773792999999998E-3</v>
      </c>
      <c r="AB122" s="1032">
        <v>0.15888355000000001</v>
      </c>
      <c r="AC122" s="1032">
        <v>6.5336813999999997E-3</v>
      </c>
      <c r="AD122" s="1032">
        <v>4.0250698000000003E-3</v>
      </c>
      <c r="AE122" s="1032">
        <v>3.3823239000000001E-4</v>
      </c>
      <c r="AF122" s="1032">
        <v>0.16822939000000001</v>
      </c>
      <c r="AG122" s="1032">
        <v>5.3766585999999998</v>
      </c>
      <c r="AH122" s="1032">
        <v>2.7716341000000002E-4</v>
      </c>
      <c r="AI122" s="1032">
        <v>0.22183285999999999</v>
      </c>
      <c r="AJ122" s="1036">
        <v>1.3116858E-2</v>
      </c>
      <c r="AK122" s="1077">
        <v>1.9505391999999999</v>
      </c>
      <c r="AL122" s="1078">
        <v>2.2844127E-8</v>
      </c>
      <c r="AM122" s="1078">
        <v>2.8777462E-2</v>
      </c>
      <c r="AN122" s="1078">
        <v>3.3475316000000001E-3</v>
      </c>
      <c r="AO122" s="1078">
        <v>7.1251327999999996E-3</v>
      </c>
      <c r="AP122" s="1078">
        <v>4.8550648000000002E-2</v>
      </c>
      <c r="AQ122" s="1078">
        <v>7.6593981999999996E-5</v>
      </c>
      <c r="AR122" s="1078">
        <v>1.2741749E-2</v>
      </c>
      <c r="AS122" s="1078">
        <v>3.4925081000000002E-4</v>
      </c>
      <c r="AT122" s="1078">
        <v>4.3310914999999999E-4</v>
      </c>
      <c r="AU122" s="1078">
        <v>3.7973682999999997E-4</v>
      </c>
      <c r="AV122" s="1078">
        <v>2.1796067999999998E-2</v>
      </c>
      <c r="AW122" s="1078">
        <v>5.3758511999999996</v>
      </c>
      <c r="AX122" s="1078">
        <v>2.0454426999999999E-5</v>
      </c>
      <c r="AY122" s="1078">
        <v>1.3874904E-3</v>
      </c>
      <c r="AZ122" s="1078">
        <v>3.6780293999999999E-3</v>
      </c>
      <c r="BA122" s="1078">
        <v>0.22919804999999999</v>
      </c>
      <c r="BB122" s="1079">
        <v>1.3167E-2</v>
      </c>
      <c r="BC122" s="1035"/>
      <c r="BE122" s="113">
        <f t="array" ref="BE122">IFERROR(SUMIFS($CB122:$CW122,$CB$17:$CW$17,BE$17,$CB$18:$CW$18,BE$18)/SUMPRODUCT(($CB$18:$CW$18=BE$18)*ABS($CB122:$CW122)),"-")</f>
        <v>0.39203696448035663</v>
      </c>
      <c r="BF122" s="114">
        <f t="array" ref="BF122">IFERROR(SUMIFS($CB122:$CW122,$CB$17:$CW$17,BF$17,$CB$18:$CW$18,BF$18)/SUMPRODUCT(($CB$18:$CW$18=BF$18)*ABS($CB122:$CW122)),"-")</f>
        <v>1.4156856968007819E-3</v>
      </c>
      <c r="BG122" s="114">
        <f t="array" ref="BG122">IFERROR(SUMIFS($CB122:$CW122,$CB$17:$CW$17,BG$17,$CB$18:$CW$18,BG$18)/SUMPRODUCT(($CB$18:$CW$18=BG$18)*ABS($CB122:$CW122)),"-")</f>
        <v>2.2427871596614792E-5</v>
      </c>
      <c r="BH122" s="114">
        <f t="array" ref="BH122">IFERROR(SUMIFS($CB122:$CW122,$CB$17:$CW$17,BH$17,$CB$18:$CW$18,BH$18)/SUMPRODUCT(($CB$18:$CW$18=BH$18)*ABS($CB122:$CW122)),"-")</f>
        <v>4.5209260190166319E-4</v>
      </c>
      <c r="BI122" s="114">
        <f t="array" ref="BI122">IFERROR(SUMIFS($CB122:$CW122,$CB$17:$CW$17,BI$17,$CB$18:$CW$18,BI$18)/SUMPRODUCT(($CB$18:$CW$18=BI$18)*ABS($CB122:$CW122)),"-")</f>
        <v>0.59827972400397478</v>
      </c>
      <c r="BJ122" s="114">
        <f t="array" ref="BJ122">IFERROR(SUMIFS($CB122:$CW122,$CB$17:$CW$17,BJ$17,$CB$18:$CW$18,BJ$18)/SUMPRODUCT(($CB$18:$CW$18=BJ$18)*ABS($CB122:$CW122)),"-")</f>
        <v>2.1016540538806039E-4</v>
      </c>
      <c r="BK122" s="114">
        <f t="array" ref="BK122">IFERROR(SUMIFS($CB122:$CW122,$CB$17:$CW$17,BK$17,$CB$18:$CW$18,BK$18)/SUMPRODUCT(($CB$18:$CW$18=BK$18)*ABS($CB122:$CW122)),"-")</f>
        <v>7.1837894287613514E-3</v>
      </c>
      <c r="BL122" s="114">
        <f t="array" ref="BL122">IFERROR(SUMIFS($CB122:$CW122,$CB$17:$CW$17,BL$17,$CB$18:$CW$18,BL$18)/SUMPRODUCT(($CB$18:$CW$18=BL$18)*ABS($CB122:$CW122)),"-")</f>
        <v>3.9915051122003004E-4</v>
      </c>
      <c r="BM122" s="115"/>
      <c r="BN122" s="114">
        <f t="array" ref="BN122">IFERROR(SUMIFS($CB122:$CW122,$CB$17:$CW$17,BN$17,$CB$18:$CW$18,BN$18)/SUMPRODUCT(($CB$18:$CW$18=BN$18)*ABS($CB122:$CW122)),"-")</f>
        <v>0.10064309736106289</v>
      </c>
      <c r="BO122" s="114">
        <f t="array" ref="BO122">IFERROR(SUMIFS($CB122:$CW122,$CB$17:$CW$17,BO$17,$CB$18:$CW$18,BO$18)/SUMPRODUCT(($CB$18:$CW$18=BO$18)*ABS($CB122:$CW122)),"-")</f>
        <v>5.5556192205291222E-3</v>
      </c>
      <c r="BP122" s="114">
        <f t="array" ref="BP122">IFERROR(SUMIFS($CB122:$CW122,$CB$17:$CW$17,BP$17,$CB$18:$CW$18,BP$18)/SUMPRODUCT(($CB$18:$CW$18=BP$18)*ABS($CB122:$CW122)),"-")</f>
        <v>0.13099488838688259</v>
      </c>
      <c r="BQ122" s="114">
        <f t="array" ref="BQ122">IFERROR(SUMIFS($CB122:$CW122,$CB$17:$CW$17,BQ$17,$CB$18:$CW$18,BQ$18)/SUMPRODUCT(($CB$18:$CW$18=BQ$18)*ABS($CB122:$CW122)),"-")</f>
        <v>6.5253779487786667E-4</v>
      </c>
      <c r="BR122" s="114">
        <f t="array" ref="BR122">IFERROR(SUMIFS($CB122:$CW122,$CB$17:$CW$17,BR$17,$CB$18:$CW$18,BR$18)/SUMPRODUCT(($CB$18:$CW$18=BR$18)*ABS($CB122:$CW122)),"-")</f>
        <v>8.6064339176733447E-5</v>
      </c>
      <c r="BS122" s="114">
        <f t="array" ref="BS122">IFERROR(SUMIFS($CB122:$CW122,$CB$17:$CW$17,BS$17,$CB$18:$CW$18,BS$18)/SUMPRODUCT(($CB$18:$CW$18=BS$18)*ABS($CB122:$CW122)),"-")</f>
        <v>2.8876330251303978E-5</v>
      </c>
      <c r="BT122" s="114">
        <f t="array" ref="BT122">IFERROR(SUMIFS($CB122:$CW122,$CB$17:$CW$17,BT$17,$CB$18:$CW$18,BT$18)/SUMPRODUCT(($CB$18:$CW$18=BT$18)*ABS($CB122:$CW122)),"-")</f>
        <v>7.2228864135352332E-5</v>
      </c>
      <c r="BU122" s="114">
        <f t="array" ref="BU122">IFERROR(SUMIFS($CB122:$CW122,$CB$17:$CW$17,BU$17,$CB$18:$CW$18,BU$18)/SUMPRODUCT(($CB$18:$CW$18=BU$18)*ABS($CB122:$CW122)),"-")</f>
        <v>6.739019990668736E-6</v>
      </c>
      <c r="BV122" s="114">
        <f t="array" ref="BV122">IFERROR(SUMIFS($CB122:$CW122,$CB$17:$CW$17,BV$17,$CB$18:$CW$18,BV$18)/SUMPRODUCT(($CB$18:$CW$18=BV$18)*ABS($CB122:$CW122)),"-")</f>
        <v>0.76119617185201571</v>
      </c>
      <c r="BW122" s="114">
        <f t="array" ref="BW122">IFERROR(SUMIFS($CB122:$CW122,$CB$17:$CW$17,BW$17,$CB$18:$CW$18,BW$18)/SUMPRODUCT(($CB$18:$CW$18=BW$18)*ABS($CB122:$CW122)),"-")</f>
        <v>7.6377683107787587E-4</v>
      </c>
      <c r="BX122" s="115"/>
      <c r="BY122" s="114">
        <f t="array" ref="BY122">IFERROR(SUMIFS($CB122:$CW122,$CB$17:$CW$17,BY$17,$CB$18:$CW$18,BY$18)/SUMPRODUCT(($CB$18:$CW$18=BY$18)*ABS($CB122:$CW122)),"-")</f>
        <v>7.9948832417253192E-4</v>
      </c>
      <c r="BZ122" s="116">
        <f t="array" ref="BZ122">IFERROR(SUMIFS($CB122:$CW122,$CB$17:$CW$17,BZ$17,$CB$18:$CW$18,BZ$18)/SUMPRODUCT(($CB$18:$CW$18=BZ$18)*ABS($CB122:$CW122)),"-")</f>
        <v>0.99920051167582735</v>
      </c>
      <c r="CB122" s="117">
        <v>2.0941641E-6</v>
      </c>
      <c r="CC122" s="111">
        <v>6.3124928999999997E-9</v>
      </c>
      <c r="CD122" s="111">
        <v>1.7245804E-13</v>
      </c>
      <c r="CE122" s="111">
        <v>7.5622413999999993E-9</v>
      </c>
      <c r="CF122" s="111">
        <v>1.1980411999999999E-10</v>
      </c>
      <c r="CG122" s="111">
        <v>2.4149664000000001E-9</v>
      </c>
      <c r="CH122" s="111">
        <v>3.1958617000000002E-6</v>
      </c>
      <c r="CI122" s="111">
        <v>3.4846666999999999E-10</v>
      </c>
      <c r="CJ122" s="111">
        <v>8.2164293000000001E-9</v>
      </c>
      <c r="CK122" s="111">
        <v>4.0929311999999998E-11</v>
      </c>
      <c r="CL122" s="111">
        <v>5.3982378000000002E-12</v>
      </c>
      <c r="CM122" s="111">
        <v>1.8112182E-12</v>
      </c>
      <c r="CN122" s="111">
        <v>4.5304313999999997E-12</v>
      </c>
      <c r="CO122" s="111">
        <v>4.2269345000000001E-13</v>
      </c>
      <c r="CP122" s="111">
        <v>1.1226514000000001E-9</v>
      </c>
      <c r="CQ122" s="111">
        <v>3.8374018999999999E-8</v>
      </c>
      <c r="CR122" s="111">
        <v>4.7744721999999999E-8</v>
      </c>
      <c r="CS122" s="111">
        <v>6.4075403000000001E-5</v>
      </c>
      <c r="CT122" s="111">
        <v>8.0081439000000004E-2</v>
      </c>
      <c r="CU122" s="111">
        <v>2.1321628999999999E-9</v>
      </c>
      <c r="CV122" s="111">
        <v>4.7906011999999998E-11</v>
      </c>
      <c r="CW122" s="112">
        <v>5.7741587999999998E-16</v>
      </c>
    </row>
    <row r="123" spans="2:101" ht="12" customHeight="1" outlineLevel="1" x14ac:dyDescent="0.2">
      <c r="B123" s="104" t="s">
        <v>113</v>
      </c>
      <c r="C123" s="104" t="s">
        <v>123</v>
      </c>
      <c r="D123" s="2" t="s">
        <v>151</v>
      </c>
      <c r="E123" s="2" t="s">
        <v>113</v>
      </c>
      <c r="F123" s="105" t="s">
        <v>93</v>
      </c>
      <c r="G123" s="27" t="s">
        <v>1578</v>
      </c>
      <c r="H123" s="106" t="s">
        <v>130</v>
      </c>
      <c r="I123" s="107" t="s">
        <v>129</v>
      </c>
      <c r="J123" s="108">
        <v>2.11</v>
      </c>
      <c r="K123" s="109"/>
      <c r="L123" s="109"/>
      <c r="M123" s="110"/>
      <c r="N123" s="161"/>
      <c r="O123" s="1056"/>
      <c r="P123" s="117">
        <v>5.6758578387999996E-6</v>
      </c>
      <c r="Q123" s="111">
        <v>7.5293591153201312E-8</v>
      </c>
      <c r="R123" s="112">
        <v>8.8101008212000009E-2</v>
      </c>
      <c r="S123" s="1032">
        <v>2.4222592999999999</v>
      </c>
      <c r="T123" s="1032">
        <v>1.6093033E-5</v>
      </c>
      <c r="U123" s="1032">
        <v>1.4731856E-2</v>
      </c>
      <c r="V123" s="1032">
        <v>3.1097478999999998E-3</v>
      </c>
      <c r="W123" s="1032">
        <v>5.2599717999999998E-3</v>
      </c>
      <c r="X123" s="1032">
        <v>3.1624774E-3</v>
      </c>
      <c r="Y123" s="1032">
        <v>3.9717021999999998E-2</v>
      </c>
      <c r="Z123" s="1032">
        <v>7.4689424999999999E-5</v>
      </c>
      <c r="AA123" s="1032">
        <v>3.9265823999999998E-3</v>
      </c>
      <c r="AB123" s="1032">
        <v>0.17165379</v>
      </c>
      <c r="AC123" s="1032">
        <v>7.1714389999999999E-3</v>
      </c>
      <c r="AD123" s="1032">
        <v>4.8791052E-3</v>
      </c>
      <c r="AE123" s="1032">
        <v>3.9864563999999998E-4</v>
      </c>
      <c r="AF123" s="1032">
        <v>0.44619375</v>
      </c>
      <c r="AG123" s="1032">
        <v>6.7072596999999998</v>
      </c>
      <c r="AH123" s="1032">
        <v>3.2681502000000002E-4</v>
      </c>
      <c r="AI123" s="1032">
        <v>0.24060746</v>
      </c>
      <c r="AJ123" s="1036">
        <v>1.346704E-2</v>
      </c>
      <c r="AK123" s="1077">
        <v>2.1150522</v>
      </c>
      <c r="AL123" s="1078">
        <v>2.3899868E-8</v>
      </c>
      <c r="AM123" s="1078">
        <v>3.0075382000000001E-2</v>
      </c>
      <c r="AN123" s="1078">
        <v>3.8543012000000001E-3</v>
      </c>
      <c r="AO123" s="1078">
        <v>7.3957713000000003E-3</v>
      </c>
      <c r="AP123" s="1078">
        <v>4.9841257E-2</v>
      </c>
      <c r="AQ123" s="1078">
        <v>9.3441109999999996E-5</v>
      </c>
      <c r="AR123" s="1078">
        <v>1.5364427E-2</v>
      </c>
      <c r="AS123" s="1078">
        <v>3.7630481000000001E-4</v>
      </c>
      <c r="AT123" s="1078">
        <v>5.0886341000000001E-4</v>
      </c>
      <c r="AU123" s="1078">
        <v>4.5634231E-4</v>
      </c>
      <c r="AV123" s="1078">
        <v>2.9309611999999999E-2</v>
      </c>
      <c r="AW123" s="1078">
        <v>6.7063857000000002</v>
      </c>
      <c r="AX123" s="1078">
        <v>2.0986553000000001E-5</v>
      </c>
      <c r="AY123" s="1078">
        <v>1.4028387E-3</v>
      </c>
      <c r="AZ123" s="1078">
        <v>4.2489034999999998E-3</v>
      </c>
      <c r="BA123" s="1078">
        <v>0.24887435999999999</v>
      </c>
      <c r="BB123" s="1079">
        <v>1.3518518E-2</v>
      </c>
      <c r="BC123" s="1035"/>
      <c r="BE123" s="113">
        <f t="array" ref="BE123">IFERROR(SUMIFS($CB123:$CW123,$CB$17:$CW$17,BE$17,$CB$18:$CW$18,BE$18)/SUMPRODUCT(($CB$18:$CW$18=BE$18)*ABS($CB123:$CW123)),"-")</f>
        <v>0.39638041753273662</v>
      </c>
      <c r="BF123" s="114">
        <f t="array" ref="BF123">IFERROR(SUMIFS($CB123:$CW123,$CB$17:$CW$17,BF$17,$CB$18:$CW$18,BF$18)/SUMPRODUCT(($CB$18:$CW$18=BF$18)*ABS($CB123:$CW123)),"-")</f>
        <v>1.5053118035469285E-3</v>
      </c>
      <c r="BG123" s="114">
        <f t="array" ref="BG123">IFERROR(SUMIFS($CB123:$CW123,$CB$17:$CW$17,BG$17,$CB$18:$CW$18,BG$18)/SUMPRODUCT(($CB$18:$CW$18=BG$18)*ABS($CB123:$CW123)),"-")</f>
        <v>2.2056014008001868E-5</v>
      </c>
      <c r="BH123" s="114">
        <f t="array" ref="BH123">IFERROR(SUMIFS($CB123:$CW123,$CB$17:$CW$17,BH$17,$CB$18:$CW$18,BH$18)/SUMPRODUCT(($CB$18:$CW$18=BH$18)*ABS($CB123:$CW123)),"-")</f>
        <v>4.9859064133965492E-4</v>
      </c>
      <c r="BI123" s="114">
        <f t="array" ref="BI123">IFERROR(SUMIFS($CB123:$CW123,$CB$17:$CW$17,BI$17,$CB$18:$CW$18,BI$18)/SUMPRODUCT(($CB$18:$CW$18=BI$18)*ABS($CB123:$CW123)),"-")</f>
        <v>0.58301400316601604</v>
      </c>
      <c r="BJ123" s="114">
        <f t="array" ref="BJ123">IFERROR(SUMIFS($CB123:$CW123,$CB$17:$CW$17,BJ$17,$CB$18:$CW$18,BJ$18)/SUMPRODUCT(($CB$18:$CW$18=BJ$18)*ABS($CB123:$CW123)),"-")</f>
        <v>2.3316972298936291E-4</v>
      </c>
      <c r="BK123" s="114">
        <f t="array" ref="BK123">IFERROR(SUMIFS($CB123:$CW123,$CB$17:$CW$17,BK$17,$CB$18:$CW$18,BK$18)/SUMPRODUCT(($CB$18:$CW$18=BK$18)*ABS($CB123:$CW123)),"-")</f>
        <v>1.7932452307776431E-2</v>
      </c>
      <c r="BL123" s="114">
        <f t="array" ref="BL123">IFERROR(SUMIFS($CB123:$CW123,$CB$17:$CW$17,BL$17,$CB$18:$CW$18,BL$18)/SUMPRODUCT(($CB$18:$CW$18=BL$18)*ABS($CB123:$CW123)),"-")</f>
        <v>4.139988115870074E-4</v>
      </c>
      <c r="BM123" s="115"/>
      <c r="BN123" s="114">
        <f t="array" ref="BN123">IFERROR(SUMIFS($CB123:$CW123,$CB$17:$CW$17,BN$17,$CB$18:$CW$18,BN$18)/SUMPRODUCT(($CB$18:$CW$18=BN$18)*ABS($CB123:$CW123)),"-")</f>
        <v>9.0073093562912723E-2</v>
      </c>
      <c r="BO123" s="114">
        <f t="array" ref="BO123">IFERROR(SUMIFS($CB123:$CW123,$CB$17:$CW$17,BO$17,$CB$18:$CW$18,BO$18)/SUMPRODUCT(($CB$18:$CW$18=BO$18)*ABS($CB123:$CW123)),"-")</f>
        <v>5.4182994030648555E-3</v>
      </c>
      <c r="BP123" s="114">
        <f t="array" ref="BP123">IFERROR(SUMIFS($CB123:$CW123,$CB$17:$CW$17,BP$17,$CB$18:$CW$18,BP$18)/SUMPRODUCT(($CB$18:$CW$18=BP$18)*ABS($CB123:$CW123)),"-")</f>
        <v>0.11195207548075102</v>
      </c>
      <c r="BQ123" s="114">
        <f t="array" ref="BQ123">IFERROR(SUMIFS($CB123:$CW123,$CB$17:$CW$17,BQ$17,$CB$18:$CW$18,BQ$18)/SUMPRODUCT(($CB$18:$CW$18=BQ$18)*ABS($CB123:$CW123)),"-")</f>
        <v>6.6551994973969915E-4</v>
      </c>
      <c r="BR123" s="114">
        <f t="array" ref="BR123">IFERROR(SUMIFS($CB123:$CW123,$CB$17:$CW$17,BR$17,$CB$18:$CW$18,BR$18)/SUMPRODUCT(($CB$18:$CW$18=BR$18)*ABS($CB123:$CW123)),"-")</f>
        <v>8.8601188996632947E-5</v>
      </c>
      <c r="BS123" s="114">
        <f t="array" ref="BS123">IFERROR(SUMIFS($CB123:$CW123,$CB$17:$CW$17,BS$17,$CB$18:$CW$18,BS$18)/SUMPRODUCT(($CB$18:$CW$18=BS$18)*ABS($CB123:$CW123)),"-")</f>
        <v>2.5988367270443352E-5</v>
      </c>
      <c r="BT123" s="114">
        <f t="array" ref="BT123">IFERROR(SUMIFS($CB123:$CW123,$CB$17:$CW$17,BT$17,$CB$18:$CW$18,BT$18)/SUMPRODUCT(($CB$18:$CW$18=BT$18)*ABS($CB123:$CW123)),"-")</f>
        <v>6.6033337284757818E-5</v>
      </c>
      <c r="BU123" s="114">
        <f t="array" ref="BU123">IFERROR(SUMIFS($CB123:$CW123,$CB$17:$CW$17,BU$17,$CB$18:$CW$18,BU$18)/SUMPRODUCT(($CB$18:$CW$18=BU$18)*ABS($CB123:$CW123)),"-")</f>
        <v>6.8052861093771077E-6</v>
      </c>
      <c r="BV123" s="114">
        <f t="array" ref="BV123">IFERROR(SUMIFS($CB123:$CW123,$CB$17:$CW$17,BV$17,$CB$18:$CW$18,BV$18)/SUMPRODUCT(($CB$18:$CW$18=BV$18)*ABS($CB123:$CW123)),"-")</f>
        <v>0.79104289073968048</v>
      </c>
      <c r="BW123" s="114">
        <f t="array" ref="BW123">IFERROR(SUMIFS($CB123:$CW123,$CB$17:$CW$17,BW$17,$CB$18:$CW$18,BW$18)/SUMPRODUCT(($CB$18:$CW$18=BW$18)*ABS($CB123:$CW123)),"-")</f>
        <v>6.6069268418995995E-4</v>
      </c>
      <c r="BX123" s="115"/>
      <c r="BY123" s="114">
        <f t="array" ref="BY123">IFERROR(SUMIFS($CB123:$CW123,$CB$17:$CW$17,BY$17,$CB$18:$CW$18,BY$18)/SUMPRODUCT(($CB$18:$CW$18=BY$18)*ABS($CB123:$CW123)),"-")</f>
        <v>8.5759758637709682E-4</v>
      </c>
      <c r="BZ123" s="116">
        <f t="array" ref="BZ123">IFERROR(SUMIFS($CB123:$CW123,$CB$17:$CW$17,BZ$17,$CB$18:$CW$18,BZ$18)/SUMPRODUCT(($CB$18:$CW$18=BZ$18)*ABS($CB123:$CW123)),"-")</f>
        <v>0.99914240241362284</v>
      </c>
      <c r="CB123" s="117">
        <v>2.2497988999999999E-6</v>
      </c>
      <c r="CC123" s="111">
        <v>6.7817414000000002E-9</v>
      </c>
      <c r="CD123" s="111">
        <v>1.8528062999999999E-13</v>
      </c>
      <c r="CE123" s="111">
        <v>8.5439357999999997E-9</v>
      </c>
      <c r="CF123" s="111">
        <v>1.251868E-10</v>
      </c>
      <c r="CG123" s="111">
        <v>2.8299295999999998E-9</v>
      </c>
      <c r="CH123" s="111">
        <v>3.3091046E-6</v>
      </c>
      <c r="CI123" s="111">
        <v>4.0796321999999998E-10</v>
      </c>
      <c r="CJ123" s="111">
        <v>8.4292738000000002E-9</v>
      </c>
      <c r="CK123" s="111">
        <v>5.0109386999999997E-11</v>
      </c>
      <c r="CL123" s="111">
        <v>6.6711016999999999E-12</v>
      </c>
      <c r="CM123" s="111">
        <v>1.9567575E-12</v>
      </c>
      <c r="CN123" s="111">
        <v>4.9718870999999997E-12</v>
      </c>
      <c r="CO123" s="111">
        <v>5.1239442999999997E-13</v>
      </c>
      <c r="CP123" s="111">
        <v>1.3234382E-9</v>
      </c>
      <c r="CQ123" s="111">
        <v>1.0178205E-7</v>
      </c>
      <c r="CR123" s="111">
        <v>5.956046E-8</v>
      </c>
      <c r="CS123" s="111">
        <v>7.5555211999999997E-5</v>
      </c>
      <c r="CT123" s="111">
        <v>8.8025453000000004E-2</v>
      </c>
      <c r="CU123" s="111">
        <v>2.3497984000000002E-9</v>
      </c>
      <c r="CV123" s="111">
        <v>4.9745290999999999E-11</v>
      </c>
      <c r="CW123" s="112">
        <v>6.3384131000000002E-16</v>
      </c>
    </row>
    <row r="124" spans="2:101" ht="12" customHeight="1" outlineLevel="1" x14ac:dyDescent="0.2">
      <c r="B124" s="104" t="s">
        <v>113</v>
      </c>
      <c r="C124" s="104" t="s">
        <v>123</v>
      </c>
      <c r="D124" s="2" t="s">
        <v>151</v>
      </c>
      <c r="E124" s="2" t="s">
        <v>113</v>
      </c>
      <c r="F124" s="105" t="s">
        <v>94</v>
      </c>
      <c r="G124" s="27" t="s">
        <v>1580</v>
      </c>
      <c r="H124" s="106" t="s">
        <v>131</v>
      </c>
      <c r="I124" s="107" t="s">
        <v>129</v>
      </c>
      <c r="J124" s="108">
        <v>2.11</v>
      </c>
      <c r="K124" s="109"/>
      <c r="L124" s="109"/>
      <c r="M124" s="110"/>
      <c r="N124" s="161"/>
      <c r="O124" s="1056"/>
      <c r="P124" s="117">
        <v>5.1116872618900004E-6</v>
      </c>
      <c r="Q124" s="111">
        <v>5.4374031578550192E-8</v>
      </c>
      <c r="R124" s="112">
        <v>7.4747946323000011E-2</v>
      </c>
      <c r="S124" s="1032">
        <v>2.1403264000000002</v>
      </c>
      <c r="T124" s="1032">
        <v>1.2983194999999999E-5</v>
      </c>
      <c r="U124" s="1032">
        <v>1.3650712000000001E-2</v>
      </c>
      <c r="V124" s="1032">
        <v>2.3490311000000002E-3</v>
      </c>
      <c r="W124" s="1032">
        <v>4.9510569000000004E-3</v>
      </c>
      <c r="X124" s="1032">
        <v>2.3930167999999998E-3</v>
      </c>
      <c r="Y124" s="1032">
        <v>3.7973763000000001E-2</v>
      </c>
      <c r="Z124" s="1032">
        <v>5.1929289999999997E-5</v>
      </c>
      <c r="AA124" s="1032">
        <v>2.6719687000000001E-3</v>
      </c>
      <c r="AB124" s="1032">
        <v>0.15013844000000001</v>
      </c>
      <c r="AC124" s="1032">
        <v>6.0990356999999999E-3</v>
      </c>
      <c r="AD124" s="1032">
        <v>3.4576454999999998E-3</v>
      </c>
      <c r="AE124" s="1032">
        <v>2.9787587000000001E-4</v>
      </c>
      <c r="AF124" s="1032">
        <v>-1.4196214E-2</v>
      </c>
      <c r="AG124" s="1032">
        <v>4.4956142999999997</v>
      </c>
      <c r="AH124" s="1032">
        <v>2.440411E-4</v>
      </c>
      <c r="AI124" s="1032">
        <v>0.20901765999999999</v>
      </c>
      <c r="AJ124" s="1036">
        <v>1.2866828E-2</v>
      </c>
      <c r="AK124" s="1077">
        <v>1.8389344000000001</v>
      </c>
      <c r="AL124" s="1078">
        <v>2.2099451E-8</v>
      </c>
      <c r="AM124" s="1078">
        <v>2.7860339000000001E-2</v>
      </c>
      <c r="AN124" s="1078">
        <v>3.0080075000000002E-3</v>
      </c>
      <c r="AO124" s="1078">
        <v>6.9326116000000002E-3</v>
      </c>
      <c r="AP124" s="1078">
        <v>4.7601056000000003E-2</v>
      </c>
      <c r="AQ124" s="1078">
        <v>6.5411821999999996E-5</v>
      </c>
      <c r="AR124" s="1078">
        <v>1.0969591000000001E-2</v>
      </c>
      <c r="AS124" s="1078">
        <v>3.3041997000000001E-4</v>
      </c>
      <c r="AT124" s="1078">
        <v>3.8255979000000002E-4</v>
      </c>
      <c r="AU124" s="1078">
        <v>3.2879628999999999E-4</v>
      </c>
      <c r="AV124" s="1078">
        <v>1.682078E-2</v>
      </c>
      <c r="AW124" s="1078">
        <v>4.4948645000000003</v>
      </c>
      <c r="AX124" s="1078">
        <v>2.0059981999999998E-5</v>
      </c>
      <c r="AY124" s="1078">
        <v>1.3732477E-3</v>
      </c>
      <c r="AZ124" s="1078">
        <v>3.2958966000000002E-3</v>
      </c>
      <c r="BA124" s="1078">
        <v>0.21577551</v>
      </c>
      <c r="BB124" s="1079">
        <v>1.2915980000000001E-2</v>
      </c>
      <c r="BC124" s="1035"/>
      <c r="BE124" s="113">
        <f t="array" ref="BE124">IFERROR(SUMIFS($CB124:$CW124,$CB$17:$CW$17,BE$17,$CB$18:$CW$18,BE$18)/SUMPRODUCT(($CB$18:$CW$18=BE$18)*ABS($CB124:$CW124)),"-")</f>
        <v>0.38842241992798143</v>
      </c>
      <c r="BF124" s="114">
        <f t="array" ref="BF124">IFERROR(SUMIFS($CB124:$CW124,$CB$17:$CW$17,BF$17,$CB$18:$CW$18,BF$18)/SUMPRODUCT(($CB$18:$CW$18=BF$18)*ABS($CB124:$CW124)),"-")</f>
        <v>1.3467504962701494E-3</v>
      </c>
      <c r="BG124" s="114">
        <f t="array" ref="BG124">IFERROR(SUMIFS($CB124:$CW124,$CB$17:$CW$17,BG$17,$CB$18:$CW$18,BG$18)/SUMPRODUCT(($CB$18:$CW$18=BG$18)*ABS($CB124:$CW124)),"-")</f>
        <v>2.2664277858626175E-5</v>
      </c>
      <c r="BH124" s="114">
        <f t="array" ref="BH124">IFERROR(SUMIFS($CB124:$CW124,$CB$17:$CW$17,BH$17,$CB$18:$CW$18,BH$18)/SUMPRODUCT(($CB$18:$CW$18=BH$18)*ABS($CB124:$CW124)),"-")</f>
        <v>4.1766183040988842E-4</v>
      </c>
      <c r="BI124" s="114">
        <f t="array" ref="BI124">IFERROR(SUMIFS($CB124:$CW124,$CB$17:$CW$17,BI$17,$CB$18:$CW$18,BI$18)/SUMPRODUCT(($CB$18:$CW$18=BI$18)*ABS($CB124:$CW124)),"-")</f>
        <v>0.60857635263349696</v>
      </c>
      <c r="BJ124" s="114">
        <f t="array" ref="BJ124">IFERROR(SUMIFS($CB124:$CW124,$CB$17:$CW$17,BJ$17,$CB$18:$CW$18,BJ$18)/SUMPRODUCT(($CB$18:$CW$18=BJ$18)*ABS($CB124:$CW124)),"-")</f>
        <v>1.9314092845866955E-4</v>
      </c>
      <c r="BK124" s="114">
        <f t="array" ref="BK124">IFERROR(SUMIFS($CB124:$CW124,$CB$17:$CW$17,BK$17,$CB$18:$CW$18,BK$18)/SUMPRODUCT(($CB$18:$CW$18=BK$18)*ABS($CB124:$CW124)),"-")</f>
        <v>-6.3306083860916254E-4</v>
      </c>
      <c r="BL124" s="114">
        <f t="array" ref="BL124">IFERROR(SUMIFS($CB124:$CW124,$CB$17:$CW$17,BL$17,$CB$18:$CW$18,BL$18)/SUMPRODUCT(($CB$18:$CW$18=BL$18)*ABS($CB124:$CW124)),"-")</f>
        <v>3.8794906691496517E-4</v>
      </c>
      <c r="BM124" s="115"/>
      <c r="BN124" s="114">
        <f t="array" ref="BN124">IFERROR(SUMIFS($CB124:$CW124,$CB$17:$CW$17,BN$17,$CB$18:$CW$18,BN$18)/SUMPRODUCT(($CB$18:$CW$18=BN$18)*ABS($CB124:$CW124)),"-")</f>
        <v>0.11021080906595862</v>
      </c>
      <c r="BO124" s="114">
        <f t="array" ref="BO124">IFERROR(SUMIFS($CB124:$CW124,$CB$17:$CW$17,BO$17,$CB$18:$CW$18,BO$18)/SUMPRODUCT(($CB$18:$CW$18=BO$18)*ABS($CB124:$CW124)),"-")</f>
        <v>5.6773978503697909E-3</v>
      </c>
      <c r="BP124" s="114">
        <f t="array" ref="BP124">IFERROR(SUMIFS($CB124:$CW124,$CB$17:$CW$17,BP$17,$CB$18:$CW$18,BP$18)/SUMPRODUCT(($CB$18:$CW$18=BP$18)*ABS($CB124:$CW124)),"-")</f>
        <v>0.14822107292811657</v>
      </c>
      <c r="BQ124" s="114">
        <f t="array" ref="BQ124">IFERROR(SUMIFS($CB124:$CW124,$CB$17:$CW$17,BQ$17,$CB$18:$CW$18,BQ$18)/SUMPRODUCT(($CB$18:$CW$18=BQ$18)*ABS($CB124:$CW124)),"-")</f>
        <v>6.4073464829750889E-4</v>
      </c>
      <c r="BR124" s="114">
        <f t="array" ref="BR124">IFERROR(SUMIFS($CB124:$CW124,$CB$17:$CW$17,BR$17,$CB$18:$CW$18,BR$18)/SUMPRODUCT(($CB$18:$CW$18=BR$18)*ABS($CB124:$CW124)),"-")</f>
        <v>8.348777289839212E-5</v>
      </c>
      <c r="BS124" s="114">
        <f t="array" ref="BS124">IFERROR(SUMIFS($CB124:$CW124,$CB$17:$CW$17,BS$17,$CB$18:$CW$18,BS$18)/SUMPRODUCT(($CB$18:$CW$18=BS$18)*ABS($CB124:$CW124)),"-")</f>
        <v>3.1477362452468643E-5</v>
      </c>
      <c r="BT124" s="114">
        <f t="array" ref="BT124">IFERROR(SUMIFS($CB124:$CW124,$CB$17:$CW$17,BT$17,$CB$18:$CW$18,BT$18)/SUMPRODUCT(($CB$18:$CW$18=BT$18)*ABS($CB124:$CW124)),"-")</f>
        <v>7.7786122845974472E-5</v>
      </c>
      <c r="BU124" s="114">
        <f t="array" ref="BU124">IFERROR(SUMIFS($CB124:$CW124,$CB$17:$CW$17,BU$17,$CB$18:$CW$18,BU$18)/SUMPRODUCT(($CB$18:$CW$18=BU$18)*ABS($CB124:$CW124)),"-")</f>
        <v>6.677746149381286E-6</v>
      </c>
      <c r="BV124" s="114">
        <f t="array" ref="BV124">IFERROR(SUMIFS($CB124:$CW124,$CB$17:$CW$17,BV$17,$CB$18:$CW$18,BV$18)/SUMPRODUCT(($CB$18:$CW$18=BV$18)*ABS($CB124:$CW124)),"-")</f>
        <v>0.73419330590428955</v>
      </c>
      <c r="BW124" s="114">
        <f t="array" ref="BW124">IFERROR(SUMIFS($CB124:$CW124,$CB$17:$CW$17,BW$17,$CB$18:$CW$18,BW$18)/SUMPRODUCT(($CB$18:$CW$18=BW$18)*ABS($CB124:$CW124)),"-")</f>
        <v>8.5725059862174836E-4</v>
      </c>
      <c r="BX124" s="115"/>
      <c r="BY124" s="114">
        <f t="array" ref="BY124">IFERROR(SUMIFS($CB124:$CW124,$CB$17:$CW$17,BY$17,$CB$18:$CW$18,BY$18)/SUMPRODUCT(($CB$18:$CW$18=BY$18)*ABS($CB124:$CW124)),"-")</f>
        <v>7.5476753242437026E-4</v>
      </c>
      <c r="BZ124" s="116">
        <f t="array" ref="BZ124">IFERROR(SUMIFS($CB124:$CW124,$CB$17:$CW$17,BZ$17,$CB$18:$CW$18,BZ$18)/SUMPRODUCT(($CB$18:$CW$18=BZ$18)*ABS($CB124:$CW124)),"-")</f>
        <v>0.99924523246757557</v>
      </c>
      <c r="CB124" s="117">
        <v>1.9880109999999999E-6</v>
      </c>
      <c r="CC124" s="111">
        <v>5.9924423000000004E-9</v>
      </c>
      <c r="CD124" s="111">
        <v>1.6371244999999999E-13</v>
      </c>
      <c r="CE124" s="111">
        <v>6.8928946000000004E-9</v>
      </c>
      <c r="CF124" s="111">
        <v>1.1599957E-10</v>
      </c>
      <c r="CG124" s="111">
        <v>2.1376632E-9</v>
      </c>
      <c r="CH124" s="111">
        <v>3.1147956999999999E-6</v>
      </c>
      <c r="CI124" s="111">
        <v>3.0870301E-10</v>
      </c>
      <c r="CJ124" s="111">
        <v>8.0593773000000007E-9</v>
      </c>
      <c r="CK124" s="111">
        <v>3.4839325999999998E-11</v>
      </c>
      <c r="CL124" s="111">
        <v>4.5395668E-12</v>
      </c>
      <c r="CM124" s="111">
        <v>1.7115510999999999E-12</v>
      </c>
      <c r="CN124" s="111">
        <v>4.2295451000000003E-12</v>
      </c>
      <c r="CO124" s="111">
        <v>3.6309597999999998E-13</v>
      </c>
      <c r="CP124" s="111">
        <v>9.8852762000000005E-10</v>
      </c>
      <c r="CQ124" s="111">
        <v>-3.2401113999999999E-9</v>
      </c>
      <c r="CR124" s="111">
        <v>3.992105E-8</v>
      </c>
      <c r="CS124" s="111">
        <v>5.6417323000000002E-5</v>
      </c>
      <c r="CT124" s="111">
        <v>7.4691529000000006E-2</v>
      </c>
      <c r="CU124" s="111">
        <v>1.9855882999999998E-9</v>
      </c>
      <c r="CV124" s="111">
        <v>4.6611632E-11</v>
      </c>
      <c r="CW124" s="112">
        <v>5.3912019000000004E-16</v>
      </c>
    </row>
    <row r="125" spans="2:101" ht="12" customHeight="1" outlineLevel="1" x14ac:dyDescent="0.2">
      <c r="B125" s="104" t="s">
        <v>113</v>
      </c>
      <c r="C125" s="104" t="s">
        <v>123</v>
      </c>
      <c r="D125" s="2" t="s">
        <v>151</v>
      </c>
      <c r="E125" s="2" t="s">
        <v>113</v>
      </c>
      <c r="F125" s="105" t="s">
        <v>95</v>
      </c>
      <c r="G125" s="27" t="s">
        <v>1581</v>
      </c>
      <c r="H125" s="106" t="s">
        <v>128</v>
      </c>
      <c r="I125" s="107" t="s">
        <v>127</v>
      </c>
      <c r="J125" s="108">
        <v>2.11</v>
      </c>
      <c r="K125" s="109"/>
      <c r="L125" s="109"/>
      <c r="M125" s="110"/>
      <c r="N125" s="161"/>
      <c r="O125" s="1056"/>
      <c r="P125" s="117">
        <v>7.2994041583800001E-6</v>
      </c>
      <c r="Q125" s="111">
        <v>6.4656796374860025E-8</v>
      </c>
      <c r="R125" s="112">
        <v>8.2046103630999997E-2</v>
      </c>
      <c r="S125" s="1032">
        <v>2.3382065000000001</v>
      </c>
      <c r="T125" s="1032">
        <v>1.6824476999999998E-5</v>
      </c>
      <c r="U125" s="1032">
        <v>1.4115145000000001E-2</v>
      </c>
      <c r="V125" s="1032">
        <v>2.7895449E-3</v>
      </c>
      <c r="W125" s="1032">
        <v>5.9817057000000002E-3</v>
      </c>
      <c r="X125" s="1032">
        <v>2.8377296E-3</v>
      </c>
      <c r="Y125" s="1032">
        <v>4.5996190999999999E-2</v>
      </c>
      <c r="Z125" s="1032">
        <v>2.5886999000000001E-4</v>
      </c>
      <c r="AA125" s="1032">
        <v>4.2086181000000004E-3</v>
      </c>
      <c r="AB125" s="1032">
        <v>0.19111043</v>
      </c>
      <c r="AC125" s="1032">
        <v>8.3851340000000007E-3</v>
      </c>
      <c r="AD125" s="1032">
        <v>6.2484460000000004E-3</v>
      </c>
      <c r="AE125" s="1032">
        <v>5.3624510000000001E-4</v>
      </c>
      <c r="AF125" s="1032">
        <v>5.9130482000000004</v>
      </c>
      <c r="AG125" s="1032">
        <v>5.3766585999999998</v>
      </c>
      <c r="AH125" s="1032">
        <v>2.7760582999999999E-4</v>
      </c>
      <c r="AI125" s="1032">
        <v>0.22604625</v>
      </c>
      <c r="AJ125" s="1036">
        <v>1.3118090000000001E-2</v>
      </c>
      <c r="AK125" s="1077">
        <v>2.0339811999999999</v>
      </c>
      <c r="AL125" s="1078">
        <v>2.2872013999999999E-8</v>
      </c>
      <c r="AM125" s="1078">
        <v>2.8811397999999998E-2</v>
      </c>
      <c r="AN125" s="1078">
        <v>3.4912998000000001E-3</v>
      </c>
      <c r="AO125" s="1078">
        <v>8.3392472999999998E-3</v>
      </c>
      <c r="AP125" s="1078">
        <v>5.7666621000000001E-2</v>
      </c>
      <c r="AQ125" s="1078">
        <v>2.7448944999999998E-4</v>
      </c>
      <c r="AR125" s="1078">
        <v>1.6621025000000001E-2</v>
      </c>
      <c r="AS125" s="1078">
        <v>9.7884795999999999E-4</v>
      </c>
      <c r="AT125" s="1078">
        <v>5.4665588000000001E-4</v>
      </c>
      <c r="AU125" s="1078">
        <v>4.6482644999999999E-4</v>
      </c>
      <c r="AV125" s="1078">
        <v>0.10588814000000001</v>
      </c>
      <c r="AW125" s="1078">
        <v>5.3758511999999996</v>
      </c>
      <c r="AX125" s="1078">
        <v>2.0454426999999999E-5</v>
      </c>
      <c r="AY125" s="1078">
        <v>1.3874904E-3</v>
      </c>
      <c r="AZ125" s="1078">
        <v>3.6812607999999998E-3</v>
      </c>
      <c r="BA125" s="1078">
        <v>0.23357595</v>
      </c>
      <c r="BB125" s="1079">
        <v>1.3168232E-2</v>
      </c>
      <c r="BC125" s="1035"/>
      <c r="BE125" s="113">
        <f t="array" ref="BE125">IFERROR(SUMIFS($CB125:$CW125,$CB$17:$CW$17,BE$17,$CB$18:$CW$18,BE$18)/SUMPRODUCT(($CB$18:$CW$18=BE$18)*ABS($CB125:$CW125)),"-")</f>
        <v>0.29753324420414118</v>
      </c>
      <c r="BF125" s="114">
        <f t="array" ref="BF125">IFERROR(SUMIFS($CB125:$CW125,$CB$17:$CW$17,BF$17,$CB$18:$CW$18,BF$18)/SUMPRODUCT(($CB$18:$CW$18=BF$18)*ABS($CB125:$CW125)),"-")</f>
        <v>1.2236979219386573E-3</v>
      </c>
      <c r="BG125" s="114">
        <f t="array" ref="BG125">IFERROR(SUMIFS($CB125:$CW125,$CB$17:$CW$17,BG$17,$CB$18:$CW$18,BG$18)/SUMPRODUCT(($CB$18:$CW$18=BG$18)*ABS($CB125:$CW125)),"-")</f>
        <v>1.6432324803154941E-5</v>
      </c>
      <c r="BH125" s="114">
        <f t="array" ref="BH125">IFERROR(SUMIFS($CB125:$CW125,$CB$17:$CW$17,BH$17,$CB$18:$CW$18,BH$18)/SUMPRODUCT(($CB$18:$CW$18=BH$18)*ABS($CB125:$CW125)),"-")</f>
        <v>3.4777312571268728E-4</v>
      </c>
      <c r="BI125" s="114">
        <f t="array" ref="BI125">IFERROR(SUMIFS($CB125:$CW125,$CB$17:$CW$17,BI$17,$CB$18:$CW$18,BI$18)/SUMPRODUCT(($CB$18:$CW$18=BI$18)*ABS($CB125:$CW125)),"-")</f>
        <v>0.51555182016872925</v>
      </c>
      <c r="BJ125" s="114">
        <f t="array" ref="BJ125">IFERROR(SUMIFS($CB125:$CW125,$CB$17:$CW$17,BJ$17,$CB$18:$CW$18,BJ$18)/SUMPRODUCT(($CB$18:$CW$18=BJ$18)*ABS($CB125:$CW125)),"-")</f>
        <v>2.4398044845282937E-4</v>
      </c>
      <c r="BK125" s="114">
        <f t="array" ref="BK125">IFERROR(SUMIFS($CB125:$CW125,$CB$17:$CW$17,BK$17,$CB$18:$CW$18,BK$18)/SUMPRODUCT(($CB$18:$CW$18=BK$18)*ABS($CB125:$CW125)),"-")</f>
        <v>0.18479057615291175</v>
      </c>
      <c r="BL125" s="114">
        <f t="array" ref="BL125">IFERROR(SUMIFS($CB125:$CW125,$CB$17:$CW$17,BL$17,$CB$18:$CW$18,BL$18)/SUMPRODUCT(($CB$18:$CW$18=BL$18)*ABS($CB125:$CW125)),"-")</f>
        <v>2.9247565331055875E-4</v>
      </c>
      <c r="BM125" s="115"/>
      <c r="BN125" s="114">
        <f t="array" ref="BN125">IFERROR(SUMIFS($CB125:$CW125,$CB$17:$CW$17,BN$17,$CB$18:$CW$18,BN$18)/SUMPRODUCT(($CB$18:$CW$18=BN$18)*ABS($CB125:$CW125)),"-")</f>
        <v>0.10125070090258045</v>
      </c>
      <c r="BO125" s="114">
        <f t="array" ref="BO125">IFERROR(SUMIFS($CB125:$CW125,$CB$17:$CW$17,BO$17,$CB$18:$CW$18,BO$18)/SUMPRODUCT(($CB$18:$CW$18=BO$18)*ABS($CB125:$CW125)),"-")</f>
        <v>5.6617546882099523E-3</v>
      </c>
      <c r="BP125" s="114">
        <f t="array" ref="BP125">IFERROR(SUMIFS($CB125:$CW125,$CB$17:$CW$17,BP$17,$CB$18:$CW$18,BP$18)/SUMPRODUCT(($CB$18:$CW$18=BP$18)*ABS($CB125:$CW125)),"-")</f>
        <v>0.15098242176124418</v>
      </c>
      <c r="BQ125" s="114">
        <f t="array" ref="BQ125">IFERROR(SUMIFS($CB125:$CW125,$CB$17:$CW$17,BQ$17,$CB$18:$CW$18,BQ$18)/SUMPRODUCT(($CB$18:$CW$18=BQ$18)*ABS($CB125:$CW125)),"-")</f>
        <v>2.6864264816488293E-3</v>
      </c>
      <c r="BR125" s="114">
        <f t="array" ref="BR125">IFERROR(SUMIFS($CB125:$CW125,$CB$17:$CW$17,BR$17,$CB$18:$CW$18,BR$18)/SUMPRODUCT(($CB$18:$CW$18=BR$18)*ABS($CB125:$CW125)),"-")</f>
        <v>1.1058803097117538E-4</v>
      </c>
      <c r="BS125" s="114">
        <f t="array" ref="BS125">IFERROR(SUMIFS($CB125:$CW125,$CB$17:$CW$17,BS$17,$CB$18:$CW$18,BS$18)/SUMPRODUCT(($CB$18:$CW$18=BS$18)*ABS($CB125:$CW125)),"-")</f>
        <v>3.3696830374465278E-5</v>
      </c>
      <c r="BT125" s="114">
        <f t="array" ref="BT125">IFERROR(SUMIFS($CB125:$CW125,$CB$17:$CW$17,BT$17,$CB$18:$CW$18,BT$18)/SUMPRODUCT(($CB$18:$CW$18=BT$18)*ABS($CB125:$CW125)),"-")</f>
        <v>8.9915432343636365E-5</v>
      </c>
      <c r="BU125" s="114">
        <f t="array" ref="BU125">IFERROR(SUMIFS($CB125:$CW125,$CB$17:$CW$17,BU$17,$CB$18:$CW$18,BU$18)/SUMPRODUCT(($CB$18:$CW$18=BU$18)*ABS($CB125:$CW125)),"-")</f>
        <v>1.0149140798679428E-5</v>
      </c>
      <c r="BV125" s="114">
        <f t="array" ref="BV125">IFERROR(SUMIFS($CB125:$CW125,$CB$17:$CW$17,BV$17,$CB$18:$CW$18,BV$18)/SUMPRODUCT(($CB$18:$CW$18=BV$18)*ABS($CB125:$CW125)),"-")</f>
        <v>0.73843315284584976</v>
      </c>
      <c r="BW125" s="114">
        <f t="array" ref="BW125">IFERROR(SUMIFS($CB125:$CW125,$CB$17:$CW$17,BW$17,$CB$18:$CW$18,BW$18)/SUMPRODUCT(($CB$18:$CW$18=BW$18)*ABS($CB125:$CW125)),"-")</f>
        <v>7.4119388597876151E-4</v>
      </c>
      <c r="BX125" s="115"/>
      <c r="BY125" s="114">
        <f t="array" ref="BY125">IFERROR(SUMIFS($CB125:$CW125,$CB$17:$CW$17,BY$17,$CB$18:$CW$18,BY$18)/SUMPRODUCT(($CB$18:$CW$18=BY$18)*ABS($CB125:$CW125)),"-")</f>
        <v>7.8221424491572522E-4</v>
      </c>
      <c r="BZ125" s="116">
        <f t="array" ref="BZ125">IFERROR(SUMIFS($CB125:$CW125,$CB$17:$CW$17,BZ$17,$CB$18:$CW$18,BZ$18)/SUMPRODUCT(($CB$18:$CW$18=BZ$18)*ABS($CB125:$CW125)),"-")</f>
        <v>0.99921778575508424</v>
      </c>
      <c r="CB125" s="117">
        <v>2.1718154000000001E-6</v>
      </c>
      <c r="CC125" s="111">
        <v>6.5463670999999999E-9</v>
      </c>
      <c r="CD125" s="111">
        <v>1.7885107000000001E-13</v>
      </c>
      <c r="CE125" s="111">
        <v>8.9322657000000005E-9</v>
      </c>
      <c r="CF125" s="111">
        <v>1.1994618E-10</v>
      </c>
      <c r="CG125" s="111">
        <v>2.5385366E-9</v>
      </c>
      <c r="CH125" s="111">
        <v>3.7632211000000001E-6</v>
      </c>
      <c r="CI125" s="111">
        <v>3.6607092000000002E-10</v>
      </c>
      <c r="CJ125" s="111">
        <v>9.7620396999999994E-9</v>
      </c>
      <c r="CK125" s="111">
        <v>1.7369573000000001E-10</v>
      </c>
      <c r="CL125" s="111">
        <v>7.1502678000000003E-12</v>
      </c>
      <c r="CM125" s="111">
        <v>2.1787290999999998E-12</v>
      </c>
      <c r="CN125" s="111">
        <v>5.8136437999999996E-12</v>
      </c>
      <c r="CO125" s="111">
        <v>6.5621092999999996E-13</v>
      </c>
      <c r="CP125" s="111">
        <v>1.7809119E-9</v>
      </c>
      <c r="CQ125" s="111">
        <v>1.3488611E-6</v>
      </c>
      <c r="CR125" s="111">
        <v>4.7744721999999999E-8</v>
      </c>
      <c r="CS125" s="111">
        <v>6.4177631000000005E-5</v>
      </c>
      <c r="CT125" s="111">
        <v>8.1981925999999997E-2</v>
      </c>
      <c r="CU125" s="111">
        <v>2.1348979999999999E-9</v>
      </c>
      <c r="CV125" s="111">
        <v>4.7922644000000002E-11</v>
      </c>
      <c r="CW125" s="112">
        <v>5.7816002000000001E-16</v>
      </c>
    </row>
    <row r="126" spans="2:101" ht="12" customHeight="1" outlineLevel="1" x14ac:dyDescent="0.2">
      <c r="B126" s="104" t="s">
        <v>113</v>
      </c>
      <c r="C126" s="104" t="s">
        <v>123</v>
      </c>
      <c r="D126" s="2" t="s">
        <v>151</v>
      </c>
      <c r="E126" s="2" t="s">
        <v>113</v>
      </c>
      <c r="F126" s="105" t="s">
        <v>96</v>
      </c>
      <c r="G126" s="27" t="s">
        <v>1582</v>
      </c>
      <c r="H126" s="106" t="s">
        <v>128</v>
      </c>
      <c r="I126" s="107" t="s">
        <v>1577</v>
      </c>
      <c r="J126" s="108">
        <v>2.11</v>
      </c>
      <c r="K126" s="109"/>
      <c r="L126" s="109"/>
      <c r="M126" s="110"/>
      <c r="N126" s="161"/>
      <c r="O126" s="1056"/>
      <c r="P126" s="117">
        <v>8.8218249278800006E-6</v>
      </c>
      <c r="Q126" s="111">
        <v>6.6062074487865649E-8</v>
      </c>
      <c r="R126" s="112">
        <v>8.3286458347000006E-2</v>
      </c>
      <c r="S126" s="1032">
        <v>2.3982218</v>
      </c>
      <c r="T126" s="1032">
        <v>1.8710949000000001E-5</v>
      </c>
      <c r="U126" s="1032">
        <v>1.4126054000000001E-2</v>
      </c>
      <c r="V126" s="1032">
        <v>2.8781644E-3</v>
      </c>
      <c r="W126" s="1032">
        <v>6.6397015000000002E-3</v>
      </c>
      <c r="X126" s="1032">
        <v>2.9267900999999999E-3</v>
      </c>
      <c r="Y126" s="1032">
        <v>5.1316194000000002E-2</v>
      </c>
      <c r="Z126" s="1032">
        <v>3.9980887999999998E-4</v>
      </c>
      <c r="AA126" s="1032">
        <v>4.9625950000000002E-3</v>
      </c>
      <c r="AB126" s="1032">
        <v>0.2121422</v>
      </c>
      <c r="AC126" s="1032">
        <v>9.1051689999999998E-3</v>
      </c>
      <c r="AD126" s="1032">
        <v>6.9693595000000002E-3</v>
      </c>
      <c r="AE126" s="1032">
        <v>6.9797342999999997E-4</v>
      </c>
      <c r="AF126" s="1032">
        <v>10.520528000000001</v>
      </c>
      <c r="AG126" s="1032">
        <v>5.3766585999999998</v>
      </c>
      <c r="AH126" s="1032">
        <v>2.7789455999999998E-4</v>
      </c>
      <c r="AI126" s="1032">
        <v>0.22879598000000001</v>
      </c>
      <c r="AJ126" s="1036">
        <v>1.3118895E-2</v>
      </c>
      <c r="AK126" s="1077">
        <v>2.0939195000000002</v>
      </c>
      <c r="AL126" s="1078">
        <v>2.2890213E-8</v>
      </c>
      <c r="AM126" s="1078">
        <v>2.8833546000000002E-2</v>
      </c>
      <c r="AN126" s="1078">
        <v>3.5851251999999998E-3</v>
      </c>
      <c r="AO126" s="1078">
        <v>9.2242461999999994E-3</v>
      </c>
      <c r="AP126" s="1078">
        <v>6.4325190000000004E-2</v>
      </c>
      <c r="AQ126" s="1078">
        <v>4.1565056999999999E-4</v>
      </c>
      <c r="AR126" s="1078">
        <v>1.9456894999999998E-2</v>
      </c>
      <c r="AS126" s="1078">
        <v>1.4271816E-3</v>
      </c>
      <c r="AT126" s="1078">
        <v>5.9540658999999996E-4</v>
      </c>
      <c r="AU126" s="1078">
        <v>4.9893693000000003E-4</v>
      </c>
      <c r="AV126" s="1078">
        <v>0.17537948</v>
      </c>
      <c r="AW126" s="1078">
        <v>5.3758511999999996</v>
      </c>
      <c r="AX126" s="1078">
        <v>2.0454426999999999E-5</v>
      </c>
      <c r="AY126" s="1078">
        <v>1.3874904E-3</v>
      </c>
      <c r="AZ126" s="1078">
        <v>3.6833695999999999E-3</v>
      </c>
      <c r="BA126" s="1078">
        <v>0.23643302999999999</v>
      </c>
      <c r="BB126" s="1079">
        <v>1.3169036E-2</v>
      </c>
      <c r="BC126" s="1035"/>
      <c r="BE126" s="113">
        <f t="array" ref="BE126">IFERROR(SUMIFS($CB126:$CW126,$CB$17:$CW$17,BE$17,$CB$18:$CW$18,BE$18)/SUMPRODUCT(($CB$18:$CW$18=BE$18)*ABS($CB126:$CW126)),"-")</f>
        <v>0.25250877434214947</v>
      </c>
      <c r="BF126" s="114">
        <f t="array" ref="BF126">IFERROR(SUMIFS($CB126:$CW126,$CB$17:$CW$17,BF$17,$CB$18:$CW$18,BF$18)/SUMPRODUCT(($CB$18:$CW$18=BF$18)*ABS($CB126:$CW126)),"-")</f>
        <v>1.1260494264180806E-3</v>
      </c>
      <c r="BG126" s="114">
        <f t="array" ref="BG126">IFERROR(SUMIFS($CB126:$CW126,$CB$17:$CW$17,BG$17,$CB$18:$CW$18,BG$18)/SUMPRODUCT(($CB$18:$CW$18=BG$18)*ABS($CB126:$CW126)),"-")</f>
        <v>1.360703493680042E-5</v>
      </c>
      <c r="BH126" s="114">
        <f t="array" ref="BH126">IFERROR(SUMIFS($CB126:$CW126,$CB$17:$CW$17,BH$17,$CB$18:$CW$18,BH$18)/SUMPRODUCT(($CB$18:$CW$18=BH$18)*ABS($CB126:$CW126)),"-")</f>
        <v>2.968978098536606E-4</v>
      </c>
      <c r="BI126" s="114">
        <f t="array" ref="BI126">IFERROR(SUMIFS($CB126:$CW126,$CB$17:$CW$17,BI$17,$CB$18:$CW$18,BI$18)/SUMPRODUCT(($CB$18:$CW$18=BI$18)*ABS($CB126:$CW126)),"-")</f>
        <v>0.47350830855853737</v>
      </c>
      <c r="BJ126" s="114">
        <f t="array" ref="BJ126">IFERROR(SUMIFS($CB126:$CW126,$CB$17:$CW$17,BJ$17,$CB$18:$CW$18,BJ$18)/SUMPRODUCT(($CB$18:$CW$18=BJ$18)*ABS($CB126:$CW126)),"-")</f>
        <v>2.6282709291502494E-4</v>
      </c>
      <c r="BK126" s="114">
        <f t="array" ref="BK126">IFERROR(SUMIFS($CB126:$CW126,$CB$17:$CW$17,BK$17,$CB$18:$CW$18,BK$18)/SUMPRODUCT(($CB$18:$CW$18=BK$18)*ABS($CB126:$CW126)),"-")</f>
        <v>0.27204133154076626</v>
      </c>
      <c r="BL126" s="114">
        <f t="array" ref="BL126">IFERROR(SUMIFS($CB126:$CW126,$CB$17:$CW$17,BL$17,$CB$18:$CW$18,BL$18)/SUMPRODUCT(($CB$18:$CW$18=BL$18)*ABS($CB126:$CW126)),"-")</f>
        <v>2.4220419442323626E-4</v>
      </c>
      <c r="BM126" s="115"/>
      <c r="BN126" s="114">
        <f t="array" ref="BN126">IFERROR(SUMIFS($CB126:$CW126,$CB$17:$CW$17,BN$17,$CB$18:$CW$18,BN$18)/SUMPRODUCT(($CB$18:$CW$18=BN$18)*ABS($CB126:$CW126)),"-")</f>
        <v>0.10163962901245753</v>
      </c>
      <c r="BO126" s="114">
        <f t="array" ref="BO126">IFERROR(SUMIFS($CB126:$CW126,$CB$17:$CW$17,BO$17,$CB$18:$CW$18,BO$18)/SUMPRODUCT(($CB$18:$CW$18=BO$18)*ABS($CB126:$CW126)),"-")</f>
        <v>5.7152266701729236E-3</v>
      </c>
      <c r="BP126" s="114">
        <f t="array" ref="BP126">IFERROR(SUMIFS($CB126:$CW126,$CB$17:$CW$17,BP$17,$CB$18:$CW$18,BP$18)/SUMPRODUCT(($CB$18:$CW$18=BP$18)*ABS($CB126:$CW126)),"-")</f>
        <v>0.16486271562665661</v>
      </c>
      <c r="BQ126" s="114">
        <f t="array" ref="BQ126">IFERROR(SUMIFS($CB126:$CW126,$CB$17:$CW$17,BQ$17,$CB$18:$CW$18,BQ$18)/SUMPRODUCT(($CB$18:$CW$18=BQ$18)*ABS($CB126:$CW126)),"-")</f>
        <v>4.0608128351960144E-3</v>
      </c>
      <c r="BR126" s="114">
        <f t="array" ref="BR126">IFERROR(SUMIFS($CB126:$CW126,$CB$17:$CW$17,BR$17,$CB$18:$CW$18,BR$18)/SUMPRODUCT(($CB$18:$CW$18=BR$18)*ABS($CB126:$CW126)),"-")</f>
        <v>1.2762605875400808E-4</v>
      </c>
      <c r="BS126" s="114">
        <f t="array" ref="BS126">IFERROR(SUMIFS($CB126:$CW126,$CB$17:$CW$17,BS$17,$CB$18:$CW$18,BS$18)/SUMPRODUCT(($CB$18:$CW$18=BS$18)*ABS($CB126:$CW126)),"-")</f>
        <v>3.6610606293392224E-5</v>
      </c>
      <c r="BT126" s="114">
        <f t="array" ref="BT126">IFERROR(SUMIFS($CB126:$CW126,$CB$17:$CW$17,BT$17,$CB$18:$CW$18,BT$18)/SUMPRODUCT(($CB$18:$CW$18=BT$18)*ABS($CB126:$CW126)),"-")</f>
        <v>9.5568757853035105E-5</v>
      </c>
      <c r="BU126" s="114">
        <f t="array" ref="BU126">IFERROR(SUMIFS($CB126:$CW126,$CB$17:$CW$17,BU$17,$CB$18:$CW$18,BU$18)/SUMPRODUCT(($CB$18:$CW$18=BU$18)*ABS($CB126:$CW126)),"-")</f>
        <v>1.1079462546009543E-5</v>
      </c>
      <c r="BV126" s="114">
        <f t="array" ref="BV126">IFERROR(SUMIFS($CB126:$CW126,$CB$17:$CW$17,BV$17,$CB$18:$CW$18,BV$18)/SUMPRODUCT(($CB$18:$CW$18=BV$18)*ABS($CB126:$CW126)),"-")</f>
        <v>0.72272513950148209</v>
      </c>
      <c r="BW126" s="114">
        <f t="array" ref="BW126">IFERROR(SUMIFS($CB126:$CW126,$CB$17:$CW$17,BW$17,$CB$18:$CW$18,BW$18)/SUMPRODUCT(($CB$18:$CW$18=BW$18)*ABS($CB126:$CW126)),"-")</f>
        <v>7.2559146858860112E-4</v>
      </c>
      <c r="BX126" s="115"/>
      <c r="BY126" s="114">
        <f t="array" ref="BY126">IFERROR(SUMIFS($CB126:$CW126,$CB$17:$CW$17,BY$17,$CB$18:$CW$18,BY$18)/SUMPRODUCT(($CB$18:$CW$18=BY$18)*ABS($CB126:$CW126)),"-")</f>
        <v>7.713660572807163E-4</v>
      </c>
      <c r="BZ126" s="116">
        <f t="array" ref="BZ126">IFERROR(SUMIFS($CB126:$CW126,$CB$17:$CW$17,BZ$17,$CB$18:$CW$18,BZ$18)/SUMPRODUCT(($CB$18:$CW$18=BZ$18)*ABS($CB126:$CW126)),"-")</f>
        <v>0.99922863394271921</v>
      </c>
      <c r="CB126" s="117">
        <v>2.2275882E-6</v>
      </c>
      <c r="CC126" s="111">
        <v>6.7143413000000002E-9</v>
      </c>
      <c r="CD126" s="111">
        <v>1.8344274000000001E-13</v>
      </c>
      <c r="CE126" s="111">
        <v>9.9338109000000007E-9</v>
      </c>
      <c r="CF126" s="111">
        <v>1.2003888000000001E-10</v>
      </c>
      <c r="CG126" s="111">
        <v>2.6191804999999998E-9</v>
      </c>
      <c r="CH126" s="111">
        <v>4.1772074000000002E-6</v>
      </c>
      <c r="CI126" s="111">
        <v>3.7755973000000002E-10</v>
      </c>
      <c r="CJ126" s="111">
        <v>1.0891173E-8</v>
      </c>
      <c r="CK126" s="111">
        <v>2.6826572000000001E-10</v>
      </c>
      <c r="CL126" s="111">
        <v>8.4312422E-12</v>
      </c>
      <c r="CM126" s="111">
        <v>2.4185726000000002E-12</v>
      </c>
      <c r="CN126" s="111">
        <v>6.3134704000000004E-12</v>
      </c>
      <c r="CO126" s="111">
        <v>7.3193228000000004E-13</v>
      </c>
      <c r="CP126" s="111">
        <v>2.3186145999999999E-9</v>
      </c>
      <c r="CQ126" s="111">
        <v>2.3999009999999999E-6</v>
      </c>
      <c r="CR126" s="111">
        <v>4.7744721999999999E-8</v>
      </c>
      <c r="CS126" s="111">
        <v>6.4244346999999999E-5</v>
      </c>
      <c r="CT126" s="111">
        <v>8.3222214000000003E-2</v>
      </c>
      <c r="CU126" s="111">
        <v>2.1366829999999998E-9</v>
      </c>
      <c r="CV126" s="111">
        <v>4.7933499E-11</v>
      </c>
      <c r="CW126" s="112">
        <v>5.7864566000000004E-16</v>
      </c>
    </row>
    <row r="127" spans="2:101" ht="12" customHeight="1" outlineLevel="1" x14ac:dyDescent="0.2">
      <c r="B127" s="88" t="s">
        <v>114</v>
      </c>
      <c r="C127" s="88" t="s">
        <v>123</v>
      </c>
      <c r="D127" s="89" t="s">
        <v>152</v>
      </c>
      <c r="E127" s="89" t="s">
        <v>153</v>
      </c>
      <c r="F127" s="90" t="s">
        <v>92</v>
      </c>
      <c r="G127" s="18" t="s">
        <v>126</v>
      </c>
      <c r="H127" s="91" t="s">
        <v>127</v>
      </c>
      <c r="I127" s="92" t="s">
        <v>127</v>
      </c>
      <c r="J127" s="93">
        <v>1.91</v>
      </c>
      <c r="K127" s="94"/>
      <c r="L127" s="94"/>
      <c r="M127" s="95"/>
      <c r="N127" s="145"/>
      <c r="O127" s="1055"/>
      <c r="P127" s="103">
        <v>7.2543572222500005E-6</v>
      </c>
      <c r="Q127" s="97">
        <v>4.7561432640235005E-8</v>
      </c>
      <c r="R127" s="98">
        <v>0.1010742689</v>
      </c>
      <c r="S127" s="1033">
        <v>3.6619969999999999</v>
      </c>
      <c r="T127" s="1033">
        <v>1.5710993E-5</v>
      </c>
      <c r="U127" s="1033">
        <v>1.1859148E-2</v>
      </c>
      <c r="V127" s="1033">
        <v>3.7394727E-3</v>
      </c>
      <c r="W127" s="1033">
        <v>5.2785109E-3</v>
      </c>
      <c r="X127" s="1033">
        <v>3.7955862000000002E-3</v>
      </c>
      <c r="Y127" s="1033">
        <v>3.9507537000000002E-2</v>
      </c>
      <c r="Z127" s="1033">
        <v>3.8398441999999998E-4</v>
      </c>
      <c r="AA127" s="1033">
        <v>3.3824114999999998E-3</v>
      </c>
      <c r="AB127" s="1033">
        <v>2.6176870999999999</v>
      </c>
      <c r="AC127" s="1033">
        <v>0.17696414999999999</v>
      </c>
      <c r="AD127" s="1033">
        <v>3.5261609999999999E-2</v>
      </c>
      <c r="AE127" s="1033">
        <v>5.6583638000000001E-4</v>
      </c>
      <c r="AF127" s="1033">
        <v>2.2531170999999999</v>
      </c>
      <c r="AG127" s="1033">
        <v>3.1455896000000001</v>
      </c>
      <c r="AH127" s="1033">
        <v>1.2327594000000001E-3</v>
      </c>
      <c r="AI127" s="1033">
        <v>0.27060023999999999</v>
      </c>
      <c r="AJ127" s="1034">
        <v>2.1027674E-2</v>
      </c>
      <c r="AK127" s="1074">
        <v>3.6071624</v>
      </c>
      <c r="AL127" s="1075">
        <v>1.9286081000000001E-8</v>
      </c>
      <c r="AM127" s="1075">
        <v>2.4625172000000001E-2</v>
      </c>
      <c r="AN127" s="1075">
        <v>4.1191995999999998E-3</v>
      </c>
      <c r="AO127" s="1075">
        <v>8.4978074999999993E-3</v>
      </c>
      <c r="AP127" s="1075">
        <v>4.9440615E-2</v>
      </c>
      <c r="AQ127" s="1075">
        <v>4.3683653999999997E-4</v>
      </c>
      <c r="AR127" s="1075">
        <v>1.3486758999999999E-2</v>
      </c>
      <c r="AS127" s="1075">
        <v>2.7072155000000001E-2</v>
      </c>
      <c r="AT127" s="1075">
        <v>7.7345356000000001E-3</v>
      </c>
      <c r="AU127" s="1075">
        <v>2.0500230999999998E-3</v>
      </c>
      <c r="AV127" s="1075">
        <v>9.6858369999999999E-2</v>
      </c>
      <c r="AW127" s="1075">
        <v>2.7817205</v>
      </c>
      <c r="AX127" s="1075">
        <v>1.8459283000000001E-5</v>
      </c>
      <c r="AY127" s="1075">
        <v>3.4582244999999998E-2</v>
      </c>
      <c r="AZ127" s="1075">
        <v>2.9508795000000002E-3</v>
      </c>
      <c r="BA127" s="1075">
        <v>0.27611435000000001</v>
      </c>
      <c r="BB127" s="1076">
        <v>2.1074720000000002E-2</v>
      </c>
      <c r="BC127" s="1035"/>
      <c r="BE127" s="99">
        <f t="array" ref="BE127">IFERROR(SUMIFS($CB127:$CW127,$CB$17:$CW$17,BE$17,$CB$18:$CW$18,BE$18)/SUMPRODUCT(($CB$18:$CW$18=BE$18)*ABS($CB127:$CW127)),"-")</f>
        <v>0.4685788824369056</v>
      </c>
      <c r="BF127" s="100">
        <f t="array" ref="BF127">IFERROR(SUMIFS($CB127:$CW127,$CB$17:$CW$17,BF$17,$CB$18:$CW$18,BF$18)/SUMPRODUCT(($CB$18:$CW$18=BF$18)*ABS($CB127:$CW127)),"-")</f>
        <v>1.1498065292975654E-3</v>
      </c>
      <c r="BG127" s="100">
        <f t="array" ref="BG127">IFERROR(SUMIFS($CB127:$CW127,$CB$17:$CW$17,BG$17,$CB$18:$CW$18,BG$18)/SUMPRODUCT(($CB$18:$CW$18=BG$18)*ABS($CB127:$CW127)),"-")</f>
        <v>1.3891671848046068E-5</v>
      </c>
      <c r="BH127" s="100">
        <f t="array" ref="BH127">IFERROR(SUMIFS($CB127:$CW127,$CB$17:$CW$17,BH$17,$CB$18:$CW$18,BH$18)/SUMPRODUCT(($CB$18:$CW$18=BH$18)*ABS($CB127:$CW127)),"-")</f>
        <v>4.6904784197332954E-4</v>
      </c>
      <c r="BI127" s="100">
        <f t="array" ref="BI127">IFERROR(SUMIFS($CB127:$CW127,$CB$17:$CW$17,BI$17,$CB$18:$CW$18,BI$18)/SUMPRODUCT(($CB$18:$CW$18=BI$18)*ABS($CB127:$CW127)),"-")</f>
        <v>0.45774269149790764</v>
      </c>
      <c r="BJ127" s="100">
        <f t="array" ref="BJ127">IFERROR(SUMIFS($CB127:$CW127,$CB$17:$CW$17,BJ$17,$CB$18:$CW$18,BJ$18)/SUMPRODUCT(($CB$18:$CW$18=BJ$18)*ABS($CB127:$CW127)),"-")</f>
        <v>2.5874977513415214E-4</v>
      </c>
      <c r="BK127" s="100">
        <f t="array" ref="BK127">IFERROR(SUMIFS($CB127:$CW127,$CB$17:$CW$17,BK$17,$CB$18:$CW$18,BK$18)/SUMPRODUCT(($CB$18:$CW$18=BK$18)*ABS($CB127:$CW127)),"-")</f>
        <v>7.0848634035227523E-2</v>
      </c>
      <c r="BL127" s="100">
        <f t="array" ref="BL127">IFERROR(SUMIFS($CB127:$CW127,$CB$17:$CW$17,BL$17,$CB$18:$CW$18,BL$18)/SUMPRODUCT(($CB$18:$CW$18=BL$18)*ABS($CB127:$CW127)),"-")</f>
        <v>9.3829621170610526E-4</v>
      </c>
      <c r="BM127" s="101"/>
      <c r="BN127" s="100">
        <f t="array" ref="BN127">IFERROR(SUMIFS($CB127:$CW127,$CB$17:$CW$17,BN$17,$CB$18:$CW$18,BN$18)/SUMPRODUCT(($CB$18:$CW$18=BN$18)*ABS($CB127:$CW127)),"-")</f>
        <v>0.21558015754693921</v>
      </c>
      <c r="BO127" s="100">
        <f t="array" ref="BO127">IFERROR(SUMIFS($CB127:$CW127,$CB$17:$CW$17,BO$17,$CB$18:$CW$18,BO$18)/SUMPRODUCT(($CB$18:$CW$18=BO$18)*ABS($CB127:$CW127)),"-")</f>
        <v>1.0293746483696773E-2</v>
      </c>
      <c r="BP127" s="100">
        <f t="array" ref="BP127">IFERROR(SUMIFS($CB127:$CW127,$CB$17:$CW$17,BP$17,$CB$18:$CW$18,BP$18)/SUMPRODUCT(($CB$18:$CW$18=BP$18)*ABS($CB127:$CW127)),"-")</f>
        <v>0.17629122872356293</v>
      </c>
      <c r="BQ127" s="100">
        <f t="array" ref="BQ127">IFERROR(SUMIFS($CB127:$CW127,$CB$17:$CW$17,BQ$17,$CB$18:$CW$18,BQ$18)/SUMPRODUCT(($CB$18:$CW$18=BQ$18)*ABS($CB127:$CW127)),"-")</f>
        <v>5.4167878404498583E-3</v>
      </c>
      <c r="BR127" s="100">
        <f t="array" ref="BR127">IFERROR(SUMIFS($CB127:$CW127,$CB$17:$CW$17,BR$17,$CB$18:$CW$18,BR$18)/SUMPRODUCT(($CB$18:$CW$18=BR$18)*ABS($CB127:$CW127)),"-")</f>
        <v>1.2082601345230642E-4</v>
      </c>
      <c r="BS127" s="100">
        <f t="array" ref="BS127">IFERROR(SUMIFS($CB127:$CW127,$CB$17:$CW$17,BS$17,$CB$18:$CW$18,BS$18)/SUMPRODUCT(($CB$18:$CW$18=BS$18)*ABS($CB127:$CW127)),"-")</f>
        <v>6.2741762271382572E-4</v>
      </c>
      <c r="BT127" s="100">
        <f t="array" ref="BT127">IFERROR(SUMIFS($CB127:$CW127,$CB$17:$CW$17,BT$17,$CB$18:$CW$18,BT$18)/SUMPRODUCT(($CB$18:$CW$18=BT$18)*ABS($CB127:$CW127)),"-")</f>
        <v>2.5841557576637524E-3</v>
      </c>
      <c r="BU127" s="100">
        <f t="array" ref="BU127">IFERROR(SUMIFS($CB127:$CW127,$CB$17:$CW$17,BU$17,$CB$18:$CW$18,BU$18)/SUMPRODUCT(($CB$18:$CW$18=BU$18)*ABS($CB127:$CW127)),"-")</f>
        <v>7.7803690817958421E-5</v>
      </c>
      <c r="BV127" s="100">
        <f t="array" ref="BV127">IFERROR(SUMIFS($CB127:$CW127,$CB$17:$CW$17,BV$17,$CB$18:$CW$18,BV$18)/SUMPRODUCT(($CB$18:$CW$18=BV$18)*ABS($CB127:$CW127)),"-")</f>
        <v>0.58731065170584351</v>
      </c>
      <c r="BW127" s="100">
        <f t="array" ref="BW127">IFERROR(SUMIFS($CB127:$CW127,$CB$17:$CW$17,BW$17,$CB$18:$CW$18,BW$18)/SUMPRODUCT(($CB$18:$CW$18=BW$18)*ABS($CB127:$CW127)),"-")</f>
        <v>1.6972246148597332E-3</v>
      </c>
      <c r="BX127" s="101"/>
      <c r="BY127" s="100">
        <f t="array" ref="BY127">IFERROR(SUMIFS($CB127:$CW127,$CB$17:$CW$17,BY$17,$CB$18:$CW$18,BY$18)/SUMPRODUCT(($CB$18:$CW$18=BY$18)*ABS($CB127:$CW127)),"-")</f>
        <v>2.8197967999351019E-3</v>
      </c>
      <c r="BZ127" s="102">
        <f t="array" ref="BZ127">IFERROR(SUMIFS($CB127:$CW127,$CB$17:$CW$17,BZ$17,$CB$18:$CW$18,BZ$18)/SUMPRODUCT(($CB$18:$CW$18=BZ$18)*ABS($CB127:$CW127)),"-")</f>
        <v>0.99718020320006495</v>
      </c>
      <c r="CB127" s="103">
        <v>3.3992385999999998E-6</v>
      </c>
      <c r="CC127" s="97">
        <v>1.0253020999999999E-8</v>
      </c>
      <c r="CD127" s="97">
        <v>2.8014174000000002E-13</v>
      </c>
      <c r="CE127" s="97">
        <v>8.3411072999999995E-9</v>
      </c>
      <c r="CF127" s="97">
        <v>1.0077515E-10</v>
      </c>
      <c r="CG127" s="97">
        <v>3.4026405999999999E-9</v>
      </c>
      <c r="CH127" s="97">
        <v>3.3206290000000002E-6</v>
      </c>
      <c r="CI127" s="97">
        <v>4.8958533000000004E-10</v>
      </c>
      <c r="CJ127" s="97">
        <v>8.3846634000000005E-9</v>
      </c>
      <c r="CK127" s="97">
        <v>2.5763018999999999E-10</v>
      </c>
      <c r="CL127" s="97">
        <v>5.7466583000000003E-12</v>
      </c>
      <c r="CM127" s="97">
        <v>2.9840881000000002E-11</v>
      </c>
      <c r="CN127" s="97">
        <v>1.2290615000000001E-10</v>
      </c>
      <c r="CO127" s="97">
        <v>3.7004550000000001E-12</v>
      </c>
      <c r="CP127" s="97">
        <v>1.8770632999999999E-9</v>
      </c>
      <c r="CQ127" s="97">
        <v>5.1396129999999998E-7</v>
      </c>
      <c r="CR127" s="97">
        <v>2.7933336000000001E-8</v>
      </c>
      <c r="CS127" s="97">
        <v>2.8500889999999999E-4</v>
      </c>
      <c r="CT127" s="97">
        <v>0.10078926000000001</v>
      </c>
      <c r="CU127" s="97">
        <v>6.8067359000000004E-9</v>
      </c>
      <c r="CV127" s="97">
        <v>8.0704810000000001E-11</v>
      </c>
      <c r="CW127" s="98">
        <v>1.7624195E-14</v>
      </c>
    </row>
    <row r="128" spans="2:101" ht="12" customHeight="1" outlineLevel="1" x14ac:dyDescent="0.2">
      <c r="B128" s="104" t="s">
        <v>114</v>
      </c>
      <c r="C128" s="104" t="s">
        <v>123</v>
      </c>
      <c r="D128" s="2" t="s">
        <v>152</v>
      </c>
      <c r="E128" s="2" t="s">
        <v>153</v>
      </c>
      <c r="F128" s="105" t="s">
        <v>122</v>
      </c>
      <c r="G128" s="27" t="s">
        <v>1579</v>
      </c>
      <c r="H128" s="106" t="s">
        <v>128</v>
      </c>
      <c r="I128" s="107" t="s">
        <v>129</v>
      </c>
      <c r="J128" s="108">
        <v>1.91</v>
      </c>
      <c r="K128" s="109"/>
      <c r="L128" s="109"/>
      <c r="M128" s="110"/>
      <c r="N128" s="161"/>
      <c r="O128" s="1056"/>
      <c r="P128" s="117">
        <v>5.4107146176900004E-6</v>
      </c>
      <c r="Q128" s="111">
        <v>6.7392648147045972E-8</v>
      </c>
      <c r="R128" s="112">
        <v>9.7270499797999996E-2</v>
      </c>
      <c r="S128" s="1032">
        <v>1.5559384999999999</v>
      </c>
      <c r="T128" s="1032">
        <v>1.0914137000000001E-5</v>
      </c>
      <c r="U128" s="1032">
        <v>1.513542E-2</v>
      </c>
      <c r="V128" s="1032">
        <v>2.8630500999999998E-3</v>
      </c>
      <c r="W128" s="1032">
        <v>6.213517E-3</v>
      </c>
      <c r="X128" s="1032">
        <v>2.9326484000000001E-3</v>
      </c>
      <c r="Y128" s="1032">
        <v>4.7785181000000003E-2</v>
      </c>
      <c r="Z128" s="1032">
        <v>6.2785892999999999E-5</v>
      </c>
      <c r="AA128" s="1032">
        <v>2.8327831999999998E-3</v>
      </c>
      <c r="AB128" s="1032">
        <v>0.13569059</v>
      </c>
      <c r="AC128" s="1032">
        <v>2.5864528000000002E-3</v>
      </c>
      <c r="AD128" s="1032">
        <v>3.8278603999999999E-3</v>
      </c>
      <c r="AE128" s="1032">
        <v>3.5833887999999999E-4</v>
      </c>
      <c r="AF128" s="1032">
        <v>0.20002529999999999</v>
      </c>
      <c r="AG128" s="1032">
        <v>5.9049686000000001</v>
      </c>
      <c r="AH128" s="1032">
        <v>2.9536957999999998E-4</v>
      </c>
      <c r="AI128" s="1032">
        <v>0.27015777000000002</v>
      </c>
      <c r="AJ128" s="1036">
        <v>8.1662921999999995E-3</v>
      </c>
      <c r="AK128" s="1077">
        <v>1.5232728</v>
      </c>
      <c r="AL128" s="1078">
        <v>2.4513068000000001E-8</v>
      </c>
      <c r="AM128" s="1078">
        <v>3.0867228E-2</v>
      </c>
      <c r="AN128" s="1078">
        <v>3.4957119000000002E-3</v>
      </c>
      <c r="AO128" s="1078">
        <v>1.0179344999999999E-2</v>
      </c>
      <c r="AP128" s="1078">
        <v>5.9900967999999999E-2</v>
      </c>
      <c r="AQ128" s="1078">
        <v>8.5322306000000004E-5</v>
      </c>
      <c r="AR128" s="1078">
        <v>1.1988613E-2</v>
      </c>
      <c r="AS128" s="1078">
        <v>1.6866826E-5</v>
      </c>
      <c r="AT128" s="1078">
        <v>3.6130013999999998E-4</v>
      </c>
      <c r="AU128" s="1078">
        <v>3.9202766E-4</v>
      </c>
      <c r="AV128" s="1078">
        <v>1.3167618000000001E-2</v>
      </c>
      <c r="AW128" s="1078">
        <v>5.8986162000000002</v>
      </c>
      <c r="AX128" s="1078">
        <v>2.0220645000000001E-5</v>
      </c>
      <c r="AY128" s="1078">
        <v>1.0469352E-5</v>
      </c>
      <c r="AZ128" s="1078">
        <v>4.3473792000000002E-3</v>
      </c>
      <c r="BA128" s="1078">
        <v>0.277092</v>
      </c>
      <c r="BB128" s="1079">
        <v>8.2150881999999998E-3</v>
      </c>
      <c r="BC128" s="1035"/>
      <c r="BE128" s="113">
        <f t="array" ref="BE128">IFERROR(SUMIFS($CB128:$CW128,$CB$17:$CW$17,BE$17,$CB$18:$CW$18,BE$18)/SUMPRODUCT(($CB$18:$CW$18=BE$18)*ABS($CB128:$CW128)),"-")</f>
        <v>0.26697294203565064</v>
      </c>
      <c r="BF128" s="114">
        <f t="array" ref="BF128">IFERROR(SUMIFS($CB128:$CW128,$CB$17:$CW$17,BF$17,$CB$18:$CW$18,BF$18)/SUMPRODUCT(($CB$18:$CW$18=BF$18)*ABS($CB128:$CW128)),"-")</f>
        <v>1.0709144927096177E-3</v>
      </c>
      <c r="BG128" s="114">
        <f t="array" ref="BG128">IFERROR(SUMIFS($CB128:$CW128,$CB$17:$CW$17,BG$17,$CB$18:$CW$18,BG$18)/SUMPRODUCT(($CB$18:$CW$18=BG$18)*ABS($CB128:$CW128)),"-")</f>
        <v>2.3770647518443725E-5</v>
      </c>
      <c r="BH128" s="114">
        <f t="array" ref="BH128">IFERROR(SUMIFS($CB128:$CW128,$CB$17:$CW$17,BH$17,$CB$18:$CW$18,BH$18)/SUMPRODUCT(($CB$18:$CW$18=BH$18)*ABS($CB128:$CW128)),"-")</f>
        <v>4.8153373151148433E-4</v>
      </c>
      <c r="BI128" s="114">
        <f t="array" ref="BI128">IFERROR(SUMIFS($CB128:$CW128,$CB$17:$CW$17,BI$17,$CB$18:$CW$18,BI$18)/SUMPRODUCT(($CB$18:$CW$18=BI$18)*ABS($CB128:$CW128)),"-")</f>
        <v>0.7224657510524729</v>
      </c>
      <c r="BJ128" s="114">
        <f t="array" ref="BJ128">IFERROR(SUMIFS($CB128:$CW128,$CB$17:$CW$17,BJ$17,$CB$18:$CW$18,BJ$18)/SUMPRODUCT(($CB$18:$CW$18=BJ$18)*ABS($CB128:$CW128)),"-")</f>
        <v>2.197762927861982E-4</v>
      </c>
      <c r="BK128" s="114">
        <f t="array" ref="BK128">IFERROR(SUMIFS($CB128:$CW128,$CB$17:$CW$17,BK$17,$CB$18:$CW$18,BK$18)/SUMPRODUCT(($CB$18:$CW$18=BK$18)*ABS($CB128:$CW128)),"-")</f>
        <v>8.4329990073437333E-3</v>
      </c>
      <c r="BL128" s="114">
        <f t="array" ref="BL128">IFERROR(SUMIFS($CB128:$CW128,$CB$17:$CW$17,BL$17,$CB$18:$CW$18,BL$18)/SUMPRODUCT(($CB$18:$CW$18=BL$18)*ABS($CB128:$CW128)),"-")</f>
        <v>3.3231274000690918E-4</v>
      </c>
      <c r="BM128" s="115"/>
      <c r="BN128" s="114">
        <f t="array" ref="BN128">IFERROR(SUMIFS($CB128:$CW128,$CB$17:$CW$17,BN$17,$CB$18:$CW$18,BN$18)/SUMPRODUCT(($CB$18:$CW$18=BN$18)*ABS($CB128:$CW128)),"-")</f>
        <v>6.464133327413922E-2</v>
      </c>
      <c r="BO128" s="114">
        <f t="array" ref="BO128">IFERROR(SUMIFS($CB128:$CW128,$CB$17:$CW$17,BO$17,$CB$18:$CW$18,BO$18)/SUMPRODUCT(($CB$18:$CW$18=BO$18)*ABS($CB128:$CW128)),"-")</f>
        <v>5.6136492689014906E-3</v>
      </c>
      <c r="BP128" s="114">
        <f t="array" ref="BP128">IFERROR(SUMIFS($CB128:$CW128,$CB$17:$CW$17,BP$17,$CB$18:$CW$18,BP$18)/SUMPRODUCT(($CB$18:$CW$18=BP$18)*ABS($CB128:$CW128)),"-")</f>
        <v>0.15048723086042648</v>
      </c>
      <c r="BQ128" s="114">
        <f t="array" ref="BQ128">IFERROR(SUMIFS($CB128:$CW128,$CB$17:$CW$17,BQ$17,$CB$18:$CW$18,BQ$18)/SUMPRODUCT(($CB$18:$CW$18=BQ$18)*ABS($CB128:$CW128)),"-")</f>
        <v>6.2501372416905545E-4</v>
      </c>
      <c r="BR128" s="114">
        <f t="array" ref="BR128">IFERROR(SUMIFS($CB128:$CW128,$CB$17:$CW$17,BR$17,$CB$18:$CW$18,BR$18)/SUMPRODUCT(($CB$18:$CW$18=BR$18)*ABS($CB128:$CW128)),"-")</f>
        <v>7.1414184370657648E-5</v>
      </c>
      <c r="BS128" s="114">
        <f t="array" ref="BS128">IFERROR(SUMIFS($CB128:$CW128,$CB$17:$CW$17,BS$17,$CB$18:$CW$18,BS$18)/SUMPRODUCT(($CB$18:$CW$18=BS$18)*ABS($CB128:$CW128)),"-")</f>
        <v>2.2951401117598003E-5</v>
      </c>
      <c r="BT128" s="114">
        <f t="array" ref="BT128">IFERROR(SUMIFS($CB128:$CW128,$CB$17:$CW$17,BT$17,$CB$18:$CW$18,BT$18)/SUMPRODUCT(($CB$18:$CW$18=BT$18)*ABS($CB128:$CW128)),"-")</f>
        <v>2.6556105884057732E-5</v>
      </c>
      <c r="BU128" s="114">
        <f t="array" ref="BU128">IFERROR(SUMIFS($CB128:$CW128,$CB$17:$CW$17,BU$17,$CB$18:$CW$18,BU$18)/SUMPRODUCT(($CB$18:$CW$18=BU$18)*ABS($CB128:$CW128)),"-")</f>
        <v>5.9657439061121532E-6</v>
      </c>
      <c r="BV128" s="114">
        <f t="array" ref="BV128">IFERROR(SUMIFS($CB128:$CW128,$CB$17:$CW$17,BV$17,$CB$18:$CW$18,BV$18)/SUMPRODUCT(($CB$18:$CW$18=BV$18)*ABS($CB128:$CW128)),"-")</f>
        <v>0.77806819351553314</v>
      </c>
      <c r="BW128" s="114">
        <f t="array" ref="BW128">IFERROR(SUMIFS($CB128:$CW128,$CB$17:$CW$17,BW$17,$CB$18:$CW$18,BW$18)/SUMPRODUCT(($CB$18:$CW$18=BW$18)*ABS($CB128:$CW128)),"-")</f>
        <v>4.3769192155232076E-4</v>
      </c>
      <c r="BX128" s="115"/>
      <c r="BY128" s="114">
        <f t="array" ref="BY128">IFERROR(SUMIFS($CB128:$CW128,$CB$17:$CW$17,BY$17,$CB$18:$CW$18,BY$18)/SUMPRODUCT(($CB$18:$CW$18=BY$18)*ABS($CB128:$CW128)),"-")</f>
        <v>7.0207100962592296E-4</v>
      </c>
      <c r="BZ128" s="116">
        <f t="array" ref="BZ128">IFERROR(SUMIFS($CB128:$CW128,$CB$17:$CW$17,BZ$17,$CB$18:$CW$18,BZ$18)/SUMPRODUCT(($CB$18:$CW$18=BZ$18)*ABS($CB128:$CW128)),"-")</f>
        <v>0.99929792899037406</v>
      </c>
      <c r="CB128" s="117">
        <v>1.4445144E-6</v>
      </c>
      <c r="CC128" s="111">
        <v>4.3562315999999996E-9</v>
      </c>
      <c r="CD128" s="111">
        <v>1.1902910000000001E-13</v>
      </c>
      <c r="CE128" s="111">
        <v>5.7944126999999997E-9</v>
      </c>
      <c r="CF128" s="111">
        <v>1.2861619E-10</v>
      </c>
      <c r="CG128" s="111">
        <v>2.6054416000000001E-9</v>
      </c>
      <c r="CH128" s="111">
        <v>3.909056E-6</v>
      </c>
      <c r="CI128" s="111">
        <v>3.7831869E-10</v>
      </c>
      <c r="CJ128" s="111">
        <v>1.0141733E-8</v>
      </c>
      <c r="CK128" s="111">
        <v>4.2121329999999998E-11</v>
      </c>
      <c r="CL128" s="111">
        <v>4.8127910000000003E-12</v>
      </c>
      <c r="CM128" s="111">
        <v>1.5467556999999999E-12</v>
      </c>
      <c r="CN128" s="111">
        <v>1.7896862999999999E-12</v>
      </c>
      <c r="CO128" s="111">
        <v>4.0204728000000002E-13</v>
      </c>
      <c r="CP128" s="111">
        <v>1.1891468E-9</v>
      </c>
      <c r="CQ128" s="111">
        <v>4.5628550999999997E-8</v>
      </c>
      <c r="CR128" s="111">
        <v>5.2436075999999998E-8</v>
      </c>
      <c r="CS128" s="111">
        <v>6.8290797999999995E-5</v>
      </c>
      <c r="CT128" s="111">
        <v>9.7202208999999998E-2</v>
      </c>
      <c r="CU128" s="111">
        <v>1.7980494E-9</v>
      </c>
      <c r="CV128" s="111">
        <v>2.9496814999999998E-11</v>
      </c>
      <c r="CW128" s="112">
        <v>4.0266597999999998E-16</v>
      </c>
    </row>
    <row r="129" spans="2:101" ht="12" customHeight="1" outlineLevel="1" x14ac:dyDescent="0.2">
      <c r="B129" s="104" t="s">
        <v>114</v>
      </c>
      <c r="C129" s="104" t="s">
        <v>123</v>
      </c>
      <c r="D129" s="2" t="s">
        <v>152</v>
      </c>
      <c r="E129" s="2" t="s">
        <v>153</v>
      </c>
      <c r="F129" s="105" t="s">
        <v>93</v>
      </c>
      <c r="G129" s="27" t="s">
        <v>1578</v>
      </c>
      <c r="H129" s="106" t="s">
        <v>130</v>
      </c>
      <c r="I129" s="107" t="s">
        <v>129</v>
      </c>
      <c r="J129" s="108">
        <v>1.91</v>
      </c>
      <c r="K129" s="109"/>
      <c r="L129" s="109"/>
      <c r="M129" s="110"/>
      <c r="N129" s="161"/>
      <c r="O129" s="1056"/>
      <c r="P129" s="117">
        <v>4.9013142692099998E-6</v>
      </c>
      <c r="Q129" s="111">
        <v>7.0599570484057755E-8</v>
      </c>
      <c r="R129" s="112">
        <v>8.9894200038999991E-2</v>
      </c>
      <c r="S129" s="1032">
        <v>1.4881338</v>
      </c>
      <c r="T129" s="1032">
        <v>1.0781287000000001E-5</v>
      </c>
      <c r="U129" s="1032">
        <v>1.3347562E-2</v>
      </c>
      <c r="V129" s="1032">
        <v>2.8901161999999999E-3</v>
      </c>
      <c r="W129" s="1032">
        <v>5.3959315999999998E-3</v>
      </c>
      <c r="X129" s="1032">
        <v>2.9538756000000001E-3</v>
      </c>
      <c r="Y129" s="1032">
        <v>4.108357E-2</v>
      </c>
      <c r="Z129" s="1032">
        <v>6.7963609000000006E-5</v>
      </c>
      <c r="AA129" s="1032">
        <v>3.0454731E-3</v>
      </c>
      <c r="AB129" s="1032">
        <v>0.12669917</v>
      </c>
      <c r="AC129" s="1032">
        <v>2.8330934999999998E-3</v>
      </c>
      <c r="AD129" s="1032">
        <v>4.1598297000000001E-3</v>
      </c>
      <c r="AE129" s="1032">
        <v>3.6599492999999999E-4</v>
      </c>
      <c r="AF129" s="1032">
        <v>0.49815333000000001</v>
      </c>
      <c r="AG129" s="1032">
        <v>6.4472065000000001</v>
      </c>
      <c r="AH129" s="1032">
        <v>3.0185203000000001E-4</v>
      </c>
      <c r="AI129" s="1032">
        <v>0.24602145</v>
      </c>
      <c r="AJ129" s="1036">
        <v>7.3673360000000004E-3</v>
      </c>
      <c r="AK129" s="1077">
        <v>1.4595560999999999</v>
      </c>
      <c r="AL129" s="1078">
        <v>2.1652901E-8</v>
      </c>
      <c r="AM129" s="1078">
        <v>2.7227413999999998E-2</v>
      </c>
      <c r="AN129" s="1078">
        <v>3.4716740000000001E-3</v>
      </c>
      <c r="AO129" s="1078">
        <v>8.8164290000000006E-3</v>
      </c>
      <c r="AP129" s="1078">
        <v>5.1536171999999998E-2</v>
      </c>
      <c r="AQ129" s="1078">
        <v>9.0637944999999998E-5</v>
      </c>
      <c r="AR129" s="1078">
        <v>1.2405454E-2</v>
      </c>
      <c r="AS129" s="1078">
        <v>3.9787584000000001E-5</v>
      </c>
      <c r="AT129" s="1078">
        <v>3.8647142E-4</v>
      </c>
      <c r="AU129" s="1078">
        <v>4.1353472000000001E-4</v>
      </c>
      <c r="AV129" s="1078">
        <v>1.9236459000000001E-2</v>
      </c>
      <c r="AW129" s="1078">
        <v>6.441497</v>
      </c>
      <c r="AX129" s="1078">
        <v>1.7420365000000001E-5</v>
      </c>
      <c r="AY129" s="1078">
        <v>8.8128297000000003E-6</v>
      </c>
      <c r="AZ129" s="1078">
        <v>4.2656233000000002E-3</v>
      </c>
      <c r="BA129" s="1078">
        <v>0.25282885999999999</v>
      </c>
      <c r="BB129" s="1079">
        <v>7.4094336000000002E-3</v>
      </c>
      <c r="BC129" s="1035"/>
      <c r="BE129" s="113">
        <f t="array" ref="BE129">IFERROR(SUMIFS($CB129:$CW129,$CB$17:$CW$17,BE$17,$CB$18:$CW$18,BE$18)/SUMPRODUCT(($CB$18:$CW$18=BE$18)*ABS($CB129:$CW129)),"-")</f>
        <v>0.28187694649147299</v>
      </c>
      <c r="BF129" s="114">
        <f t="array" ref="BF129">IFERROR(SUMIFS($CB129:$CW129,$CB$17:$CW$17,BF$17,$CB$18:$CW$18,BF$18)/SUMPRODUCT(($CB$18:$CW$18=BF$18)*ABS($CB129:$CW129)),"-")</f>
        <v>1.1678258698809335E-3</v>
      </c>
      <c r="BG129" s="114">
        <f t="array" ref="BG129">IFERROR(SUMIFS($CB129:$CW129,$CB$17:$CW$17,BG$17,$CB$18:$CW$18,BG$18)/SUMPRODUCT(($CB$18:$CW$18=BG$18)*ABS($CB129:$CW129)),"-")</f>
        <v>2.3141448144332469E-5</v>
      </c>
      <c r="BH129" s="114">
        <f t="array" ref="BH129">IFERROR(SUMIFS($CB129:$CW129,$CB$17:$CW$17,BH$17,$CB$18:$CW$18,BH$18)/SUMPRODUCT(($CB$18:$CW$18=BH$18)*ABS($CB129:$CW129)),"-")</f>
        <v>5.366050523473E-4</v>
      </c>
      <c r="BI129" s="114">
        <f t="array" ref="BI129">IFERROR(SUMIFS($CB129:$CW129,$CB$17:$CW$17,BI$17,$CB$18:$CW$18,BI$18)/SUMPRODUCT(($CB$18:$CW$18=BI$18)*ABS($CB129:$CW129)),"-")</f>
        <v>0.69260447576791628</v>
      </c>
      <c r="BJ129" s="114">
        <f t="array" ref="BJ129">IFERROR(SUMIFS($CB129:$CW129,$CB$17:$CW$17,BJ$17,$CB$18:$CW$18,BJ$18)/SUMPRODUCT(($CB$18:$CW$18=BJ$18)*ABS($CB129:$CW129)),"-")</f>
        <v>2.478720468164999E-4</v>
      </c>
      <c r="BK129" s="114">
        <f t="array" ref="BK129">IFERROR(SUMIFS($CB129:$CW129,$CB$17:$CW$17,BK$17,$CB$18:$CW$18,BK$18)/SUMPRODUCT(($CB$18:$CW$18=BK$18)*ABS($CB129:$CW129)),"-")</f>
        <v>2.3184889553780046E-2</v>
      </c>
      <c r="BL129" s="114">
        <f t="array" ref="BL129">IFERROR(SUMIFS($CB129:$CW129,$CB$17:$CW$17,BL$17,$CB$18:$CW$18,BL$18)/SUMPRODUCT(($CB$18:$CW$18=BL$18)*ABS($CB129:$CW129)),"-")</f>
        <v>3.5824376964160935E-4</v>
      </c>
      <c r="BM129" s="115"/>
      <c r="BN129" s="114">
        <f t="array" ref="BN129">IFERROR(SUMIFS($CB129:$CW129,$CB$17:$CW$17,BN$17,$CB$18:$CW$18,BN$18)/SUMPRODUCT(($CB$18:$CW$18=BN$18)*ABS($CB129:$CW129)),"-")</f>
        <v>5.9015899301269062E-2</v>
      </c>
      <c r="BO129" s="114">
        <f t="array" ref="BO129">IFERROR(SUMIFS($CB129:$CW129,$CB$17:$CW$17,BO$17,$CB$18:$CW$18,BO$18)/SUMPRODUCT(($CB$18:$CW$18=BO$18)*ABS($CB129:$CW129)),"-")</f>
        <v>5.3974220719380586E-3</v>
      </c>
      <c r="BP129" s="114">
        <f t="array" ref="BP129">IFERROR(SUMIFS($CB129:$CW129,$CB$17:$CW$17,BP$17,$CB$18:$CW$18,BP$18)/SUMPRODUCT(($CB$18:$CW$18=BP$18)*ABS($CB129:$CW129)),"-")</f>
        <v>0.12350435760751459</v>
      </c>
      <c r="BQ129" s="114">
        <f t="array" ref="BQ129">IFERROR(SUMIFS($CB129:$CW129,$CB$17:$CW$17,BQ$17,$CB$18:$CW$18,BQ$18)/SUMPRODUCT(($CB$18:$CW$18=BQ$18)*ABS($CB129:$CW129)),"-")</f>
        <v>6.4583330588811492E-4</v>
      </c>
      <c r="BR129" s="114">
        <f t="array" ref="BR129">IFERROR(SUMIFS($CB129:$CW129,$CB$17:$CW$17,BR$17,$CB$18:$CW$18,BR$18)/SUMPRODUCT(($CB$18:$CW$18=BR$18)*ABS($CB129:$CW129)),"-")</f>
        <v>7.3288545022641243E-5</v>
      </c>
      <c r="BS129" s="114">
        <f t="array" ref="BS129">IFERROR(SUMIFS($CB129:$CW129,$CB$17:$CW$17,BS$17,$CB$18:$CW$18,BS$18)/SUMPRODUCT(($CB$18:$CW$18=BS$18)*ABS($CB129:$CW129)),"-")</f>
        <v>2.0456572045663136E-5</v>
      </c>
      <c r="BT129" s="114">
        <f t="array" ref="BT129">IFERROR(SUMIFS($CB129:$CW129,$CB$17:$CW$17,BT$17,$CB$18:$CW$18,BT$18)/SUMPRODUCT(($CB$18:$CW$18=BT$18)*ABS($CB129:$CW129)),"-")</f>
        <v>2.7768071201547682E-5</v>
      </c>
      <c r="BU129" s="114">
        <f t="array" ref="BU129">IFERROR(SUMIFS($CB129:$CW129,$CB$17:$CW$17,BU$17,$CB$18:$CW$18,BU$18)/SUMPRODUCT(($CB$18:$CW$18=BU$18)*ABS($CB129:$CW129)),"-")</f>
        <v>6.1886420413656885E-6</v>
      </c>
      <c r="BV129" s="114">
        <f t="array" ref="BV129">IFERROR(SUMIFS($CB129:$CW129,$CB$17:$CW$17,BV$17,$CB$18:$CW$18,BV$18)/SUMPRODUCT(($CB$18:$CW$18=BV$18)*ABS($CB129:$CW129)),"-")</f>
        <v>0.81092778054404746</v>
      </c>
      <c r="BW129" s="114">
        <f t="array" ref="BW129">IFERROR(SUMIFS($CB129:$CW129,$CB$17:$CW$17,BW$17,$CB$18:$CW$18,BW$18)/SUMPRODUCT(($CB$18:$CW$18=BW$18)*ABS($CB129:$CW129)),"-")</f>
        <v>3.8100533903154661E-4</v>
      </c>
      <c r="BX129" s="115"/>
      <c r="BY129" s="114">
        <f t="array" ref="BY129">IFERROR(SUMIFS($CB129:$CW129,$CB$17:$CW$17,BY$17,$CB$18:$CW$18,BY$18)/SUMPRODUCT(($CB$18:$CW$18=BY$18)*ABS($CB129:$CW129)),"-")</f>
        <v>7.763575288474903E-4</v>
      </c>
      <c r="BZ129" s="116">
        <f t="array" ref="BZ129">IFERROR(SUMIFS($CB129:$CW129,$CB$17:$CW$17,BZ$17,$CB$18:$CW$18,BZ$18)/SUMPRODUCT(($CB$18:$CW$18=BZ$18)*ABS($CB129:$CW129)),"-")</f>
        <v>0.99922364247115258</v>
      </c>
      <c r="CB129" s="117">
        <v>1.3815675000000001E-6</v>
      </c>
      <c r="CC129" s="111">
        <v>4.1663832999999996E-9</v>
      </c>
      <c r="CD129" s="111">
        <v>1.1384239999999999E-13</v>
      </c>
      <c r="CE129" s="111">
        <v>5.7238816E-9</v>
      </c>
      <c r="CF129" s="111">
        <v>1.1342351E-10</v>
      </c>
      <c r="CG129" s="111">
        <v>2.6300700000000002E-9</v>
      </c>
      <c r="CH129" s="111">
        <v>3.3946721999999998E-6</v>
      </c>
      <c r="CI129" s="111">
        <v>3.8105568000000001E-10</v>
      </c>
      <c r="CJ129" s="111">
        <v>8.7193546000000007E-9</v>
      </c>
      <c r="CK129" s="111">
        <v>4.5595554000000002E-11</v>
      </c>
      <c r="CL129" s="111">
        <v>5.1741398000000003E-12</v>
      </c>
      <c r="CM129" s="111">
        <v>1.4442252000000001E-12</v>
      </c>
      <c r="CN129" s="111">
        <v>1.9604139E-12</v>
      </c>
      <c r="CO129" s="111">
        <v>4.3691546999999999E-13</v>
      </c>
      <c r="CP129" s="111">
        <v>1.2148988E-9</v>
      </c>
      <c r="CQ129" s="111">
        <v>1.1363643E-7</v>
      </c>
      <c r="CR129" s="111">
        <v>5.7251153E-8</v>
      </c>
      <c r="CS129" s="111">
        <v>6.9790039000000001E-5</v>
      </c>
      <c r="CT129" s="111">
        <v>8.9824409999999993E-2</v>
      </c>
      <c r="CU129" s="111">
        <v>1.7558653E-9</v>
      </c>
      <c r="CV129" s="111">
        <v>2.6898415999999999E-11</v>
      </c>
      <c r="CW129" s="112">
        <v>3.9728776E-16</v>
      </c>
    </row>
    <row r="130" spans="2:101" ht="12" customHeight="1" outlineLevel="1" x14ac:dyDescent="0.2">
      <c r="B130" s="104" t="s">
        <v>114</v>
      </c>
      <c r="C130" s="104" t="s">
        <v>123</v>
      </c>
      <c r="D130" s="2" t="s">
        <v>152</v>
      </c>
      <c r="E130" s="2" t="s">
        <v>153</v>
      </c>
      <c r="F130" s="105" t="s">
        <v>94</v>
      </c>
      <c r="G130" s="27" t="s">
        <v>1580</v>
      </c>
      <c r="H130" s="106" t="s">
        <v>131</v>
      </c>
      <c r="I130" s="107" t="s">
        <v>129</v>
      </c>
      <c r="J130" s="108">
        <v>1.91</v>
      </c>
      <c r="K130" s="109"/>
      <c r="L130" s="109"/>
      <c r="M130" s="110"/>
      <c r="N130" s="161"/>
      <c r="O130" s="1056"/>
      <c r="P130" s="117">
        <v>5.8339302707000008E-6</v>
      </c>
      <c r="Q130" s="111">
        <v>6.4712240010591208E-8</v>
      </c>
      <c r="R130" s="112">
        <v>0.103414382986</v>
      </c>
      <c r="S130" s="1032">
        <v>1.6120475000000001</v>
      </c>
      <c r="T130" s="1032">
        <v>1.0988547E-5</v>
      </c>
      <c r="U130" s="1032">
        <v>1.6613409999999999E-2</v>
      </c>
      <c r="V130" s="1032">
        <v>2.8393982E-3</v>
      </c>
      <c r="W130" s="1032">
        <v>6.8940675E-3</v>
      </c>
      <c r="X130" s="1032">
        <v>2.9139474000000002E-3</v>
      </c>
      <c r="Y130" s="1032">
        <v>5.3365280000000001E-2</v>
      </c>
      <c r="Z130" s="1032">
        <v>5.8468855999999998E-5</v>
      </c>
      <c r="AA130" s="1032">
        <v>2.6404726999999998E-3</v>
      </c>
      <c r="AB130" s="1032">
        <v>0.14322339000000001</v>
      </c>
      <c r="AC130" s="1032">
        <v>2.3803542E-3</v>
      </c>
      <c r="AD130" s="1032">
        <v>3.5505212000000001E-3</v>
      </c>
      <c r="AE130" s="1032">
        <v>3.5192806000000003E-4</v>
      </c>
      <c r="AF130" s="1032">
        <v>-5.0209054000000003E-2</v>
      </c>
      <c r="AG130" s="1032">
        <v>5.4524618</v>
      </c>
      <c r="AH130" s="1032">
        <v>2.8988747999999999E-4</v>
      </c>
      <c r="AI130" s="1032">
        <v>0.29027175999999999</v>
      </c>
      <c r="AJ130" s="1036">
        <v>8.8085904E-3</v>
      </c>
      <c r="AK130" s="1077">
        <v>1.5761210000000001</v>
      </c>
      <c r="AL130" s="1078">
        <v>2.6876237999999998E-8</v>
      </c>
      <c r="AM130" s="1078">
        <v>3.3876192999999999E-2</v>
      </c>
      <c r="AN130" s="1078">
        <v>3.5151328000000001E-3</v>
      </c>
      <c r="AO130" s="1078">
        <v>1.1315660999999999E-2</v>
      </c>
      <c r="AP130" s="1078">
        <v>6.6865840999999995E-2</v>
      </c>
      <c r="AQ130" s="1078">
        <v>8.0861596999999997E-5</v>
      </c>
      <c r="AR130" s="1078">
        <v>1.1589364E-2</v>
      </c>
      <c r="AS130" s="1078">
        <v>-2.5166728999999999E-6</v>
      </c>
      <c r="AT130" s="1078">
        <v>3.4023050999999998E-4</v>
      </c>
      <c r="AU130" s="1078">
        <v>3.7402715000000003E-4</v>
      </c>
      <c r="AV130" s="1078">
        <v>8.0831229999999994E-3</v>
      </c>
      <c r="AW130" s="1078">
        <v>5.4456968999999997</v>
      </c>
      <c r="AX130" s="1078">
        <v>2.2560113E-5</v>
      </c>
      <c r="AY130" s="1078">
        <v>1.1846117E-5</v>
      </c>
      <c r="AZ130" s="1078">
        <v>4.4133651000000003E-3</v>
      </c>
      <c r="BA130" s="1078">
        <v>0.29729628000000002</v>
      </c>
      <c r="BB130" s="1079">
        <v>8.8629795999999993E-3</v>
      </c>
      <c r="BC130" s="1035"/>
      <c r="BE130" s="113">
        <f t="array" ref="BE130">IFERROR(SUMIFS($CB130:$CW130,$CB$17:$CW$17,BE$17,$CB$18:$CW$18,BE$18)/SUMPRODUCT(($CB$18:$CW$18=BE$18)*ABS($CB130:$CW130)),"-")</f>
        <v>0.25553063528756426</v>
      </c>
      <c r="BF130" s="114">
        <f t="array" ref="BF130">IFERROR(SUMIFS($CB130:$CW130,$CB$17:$CW$17,BF$17,$CB$18:$CW$18,BF$18)/SUMPRODUCT(($CB$18:$CW$18=BF$18)*ABS($CB130:$CW130)),"-")</f>
        <v>9.9608641152389588E-4</v>
      </c>
      <c r="BG130" s="114">
        <f t="array" ref="BG130">IFERROR(SUMIFS($CB130:$CW130,$CB$17:$CW$17,BG$17,$CB$18:$CW$18,BG$18)/SUMPRODUCT(($CB$18:$CW$18=BG$18)*ABS($CB130:$CW130)),"-")</f>
        <v>2.4104421850254993E-5</v>
      </c>
      <c r="BH130" s="114">
        <f t="array" ref="BH130">IFERROR(SUMIFS($CB130:$CW130,$CB$17:$CW$17,BH$17,$CB$18:$CW$18,BH$18)/SUMPRODUCT(($CB$18:$CW$18=BH$18)*ABS($CB130:$CW130)),"-")</f>
        <v>4.4117994857147613E-4</v>
      </c>
      <c r="BI130" s="114">
        <f t="array" ref="BI130">IFERROR(SUMIFS($CB130:$CW130,$CB$17:$CW$17,BI$17,$CB$18:$CW$18,BI$18)/SUMPRODUCT(($CB$18:$CW$18=BI$18)*ABS($CB130:$CW130)),"-")</f>
        <v>0.74054023884293896</v>
      </c>
      <c r="BJ130" s="114">
        <f t="array" ref="BJ130">IFERROR(SUMIFS($CB130:$CW130,$CB$17:$CW$17,BJ$17,$CB$18:$CW$18,BJ$18)/SUMPRODUCT(($CB$18:$CW$18=BJ$18)*ABS($CB130:$CW130)),"-")</f>
        <v>1.9935375525575378E-4</v>
      </c>
      <c r="BK130" s="114">
        <f t="array" ref="BK130">IFERROR(SUMIFS($CB130:$CW130,$CB$17:$CW$17,BK$17,$CB$18:$CW$18,BK$18)/SUMPRODUCT(($CB$18:$CW$18=BK$18)*ABS($CB130:$CW130)),"-")</f>
        <v>-1.9556613144999166E-3</v>
      </c>
      <c r="BL130" s="114">
        <f t="array" ref="BL130">IFERROR(SUMIFS($CB130:$CW130,$CB$17:$CW$17,BL$17,$CB$18:$CW$18,BL$18)/SUMPRODUCT(($CB$18:$CW$18=BL$18)*ABS($CB130:$CW130)),"-")</f>
        <v>3.1274001779545846E-4</v>
      </c>
      <c r="BM130" s="115"/>
      <c r="BN130" s="114">
        <f t="array" ref="BN130">IFERROR(SUMIFS($CB130:$CW130,$CB$17:$CW$17,BN$17,$CB$18:$CW$18,BN$18)/SUMPRODUCT(($CB$18:$CW$18=BN$18)*ABS($CB130:$CW130)),"-")</f>
        <v>6.9746581487695372E-2</v>
      </c>
      <c r="BO130" s="114">
        <f t="array" ref="BO130">IFERROR(SUMIFS($CB130:$CW130,$CB$17:$CW$17,BO$17,$CB$18:$CW$18,BO$18)/SUMPRODUCT(($CB$18:$CW$18=BO$18)*ABS($CB130:$CW130)),"-")</f>
        <v>5.8089069384474508E-3</v>
      </c>
      <c r="BP130" s="114">
        <f t="array" ref="BP130">IFERROR(SUMIFS($CB130:$CW130,$CB$17:$CW$17,BP$17,$CB$18:$CW$18,BP$18)/SUMPRODUCT(($CB$18:$CW$18=BP$18)*ABS($CB130:$CW130)),"-")</f>
        <v>0.17502219051830539</v>
      </c>
      <c r="BQ130" s="114">
        <f t="array" ref="BQ130">IFERROR(SUMIFS($CB130:$CW130,$CB$17:$CW$17,BQ$17,$CB$18:$CW$18,BQ$18)/SUMPRODUCT(($CB$18:$CW$18=BQ$18)*ABS($CB130:$CW130)),"-")</f>
        <v>6.0613890036228472E-4</v>
      </c>
      <c r="BR130" s="114">
        <f t="array" ref="BR130">IFERROR(SUMIFS($CB130:$CW130,$CB$17:$CW$17,BR$17,$CB$18:$CW$18,BR$18)/SUMPRODUCT(($CB$18:$CW$18=BR$18)*ABS($CB130:$CW130)),"-")</f>
        <v>6.932329493254727E-5</v>
      </c>
      <c r="BS130" s="114">
        <f t="array" ref="BS130">IFERROR(SUMIFS($CB130:$CW130,$CB$17:$CW$17,BS$17,$CB$18:$CW$18,BS$18)/SUMPRODUCT(($CB$18:$CW$18=BS$18)*ABS($CB130:$CW130)),"-")</f>
        <v>2.5229440361402876E-5</v>
      </c>
      <c r="BT130" s="114">
        <f t="array" ref="BT130">IFERROR(SUMIFS($CB130:$CW130,$CB$17:$CW$17,BT$17,$CB$18:$CW$18,BT$18)/SUMPRODUCT(($CB$18:$CW$18=BT$18)*ABS($CB130:$CW130)),"-")</f>
        <v>2.5451472545695191E-5</v>
      </c>
      <c r="BU130" s="114">
        <f t="array" ref="BU130">IFERROR(SUMIFS($CB130:$CW130,$CB$17:$CW$17,BU$17,$CB$18:$CW$18,BU$18)/SUMPRODUCT(($CB$18:$CW$18=BU$18)*ABS($CB130:$CW130)),"-")</f>
        <v>5.7626983695660368E-6</v>
      </c>
      <c r="BV130" s="114">
        <f t="array" ref="BV130">IFERROR(SUMIFS($CB130:$CW130,$CB$17:$CW$17,BV$17,$CB$18:$CW$18,BV$18)/SUMPRODUCT(($CB$18:$CW$18=BV$18)*ABS($CB130:$CW130)),"-")</f>
        <v>0.74820174656410654</v>
      </c>
      <c r="BW130" s="114">
        <f t="array" ref="BW130">IFERROR(SUMIFS($CB130:$CW130,$CB$17:$CW$17,BW$17,$CB$18:$CW$18,BW$18)/SUMPRODUCT(($CB$18:$CW$18=BW$18)*ABS($CB130:$CW130)),"-")</f>
        <v>4.8866868487390351E-4</v>
      </c>
      <c r="BX130" s="115"/>
      <c r="BY130" s="114">
        <f t="array" ref="BY130">IFERROR(SUMIFS($CB130:$CW130,$CB$17:$CW$17,BY$17,$CB$18:$CW$18,BY$18)/SUMPRODUCT(($CB$18:$CW$18=BY$18)*ABS($CB130:$CW130)),"-")</f>
        <v>6.481012027995508E-4</v>
      </c>
      <c r="BZ130" s="116">
        <f t="array" ref="BZ130">IFERROR(SUMIFS($CB130:$CW130,$CB$17:$CW$17,BZ$17,$CB$18:$CW$18,BZ$18)/SUMPRODUCT(($CB$18:$CW$18=BZ$18)*ABS($CB130:$CW130)),"-")</f>
        <v>0.99935189879720043</v>
      </c>
      <c r="CB130" s="117">
        <v>1.4966016000000001E-6</v>
      </c>
      <c r="CC130" s="111">
        <v>4.5133342000000003E-9</v>
      </c>
      <c r="CD130" s="111">
        <v>1.2332115000000001E-13</v>
      </c>
      <c r="CE130" s="111">
        <v>5.8339170000000003E-9</v>
      </c>
      <c r="CF130" s="111">
        <v>1.411757E-10</v>
      </c>
      <c r="CG130" s="111">
        <v>2.5839196000000002E-9</v>
      </c>
      <c r="CH130" s="111">
        <v>4.3372244000000002E-6</v>
      </c>
      <c r="CI130" s="111">
        <v>3.7590738000000001E-10</v>
      </c>
      <c r="CJ130" s="111">
        <v>1.1326078E-8</v>
      </c>
      <c r="CK130" s="111">
        <v>3.9224605999999998E-11</v>
      </c>
      <c r="CL130" s="111">
        <v>4.4860657E-12</v>
      </c>
      <c r="CM130" s="111">
        <v>1.6326536E-12</v>
      </c>
      <c r="CN130" s="111">
        <v>1.6470218E-12</v>
      </c>
      <c r="CO130" s="111">
        <v>3.7291712E-13</v>
      </c>
      <c r="CP130" s="111">
        <v>1.1675827E-9</v>
      </c>
      <c r="CQ130" s="111">
        <v>-1.1453992E-8</v>
      </c>
      <c r="CR130" s="111">
        <v>4.8417811E-8</v>
      </c>
      <c r="CS130" s="111">
        <v>6.7022986E-5</v>
      </c>
      <c r="CT130" s="111">
        <v>0.10334736</v>
      </c>
      <c r="CU130" s="111">
        <v>1.8316677E-9</v>
      </c>
      <c r="CV130" s="111">
        <v>3.1622438000000002E-11</v>
      </c>
      <c r="CW130" s="112">
        <v>4.0722122000000002E-16</v>
      </c>
    </row>
    <row r="131" spans="2:101" ht="12" customHeight="1" outlineLevel="1" x14ac:dyDescent="0.2">
      <c r="B131" s="104" t="s">
        <v>114</v>
      </c>
      <c r="C131" s="104" t="s">
        <v>123</v>
      </c>
      <c r="D131" s="2" t="s">
        <v>152</v>
      </c>
      <c r="E131" s="2" t="s">
        <v>153</v>
      </c>
      <c r="F131" s="105" t="s">
        <v>95</v>
      </c>
      <c r="G131" s="27" t="s">
        <v>1581</v>
      </c>
      <c r="H131" s="106" t="s">
        <v>128</v>
      </c>
      <c r="I131" s="107" t="s">
        <v>127</v>
      </c>
      <c r="J131" s="108">
        <v>1.91</v>
      </c>
      <c r="K131" s="109"/>
      <c r="L131" s="109"/>
      <c r="M131" s="110"/>
      <c r="N131" s="161"/>
      <c r="O131" s="1056"/>
      <c r="P131" s="117">
        <v>7.5911644581999996E-6</v>
      </c>
      <c r="Q131" s="111">
        <v>6.9530556434009008E-8</v>
      </c>
      <c r="R131" s="112">
        <v>9.9372529862E-2</v>
      </c>
      <c r="S131" s="1032">
        <v>1.6483329</v>
      </c>
      <c r="T131" s="1032">
        <v>1.3767355999999999E-5</v>
      </c>
      <c r="U131" s="1032">
        <v>1.5153909E-2</v>
      </c>
      <c r="V131" s="1032">
        <v>3.0132336999999999E-3</v>
      </c>
      <c r="W131" s="1032">
        <v>7.2105850999999999E-3</v>
      </c>
      <c r="X131" s="1032">
        <v>3.0835791E-3</v>
      </c>
      <c r="Y131" s="1032">
        <v>5.5837019000000002E-2</v>
      </c>
      <c r="Z131" s="1032">
        <v>2.8161708999999998E-4</v>
      </c>
      <c r="AA131" s="1032">
        <v>3.9729960999999999E-3</v>
      </c>
      <c r="AB131" s="1032">
        <v>0.17133314999999999</v>
      </c>
      <c r="AC131" s="1032">
        <v>4.6481633E-3</v>
      </c>
      <c r="AD131" s="1032">
        <v>6.3015457000000002E-3</v>
      </c>
      <c r="AE131" s="1032">
        <v>5.6946676000000002E-4</v>
      </c>
      <c r="AF131" s="1032">
        <v>6.6218098999999997</v>
      </c>
      <c r="AG131" s="1032">
        <v>5.9049686000000001</v>
      </c>
      <c r="AH131" s="1032">
        <v>2.9585888999999999E-4</v>
      </c>
      <c r="AI131" s="1032">
        <v>0.27481772999999998</v>
      </c>
      <c r="AJ131" s="1036">
        <v>8.1676548000000002E-3</v>
      </c>
      <c r="AK131" s="1077">
        <v>1.6155366</v>
      </c>
      <c r="AL131" s="1078">
        <v>2.4543910999999999E-8</v>
      </c>
      <c r="AM131" s="1078">
        <v>3.0904761999999999E-2</v>
      </c>
      <c r="AN131" s="1078">
        <v>3.6547178999999999E-3</v>
      </c>
      <c r="AO131" s="1078">
        <v>1.1521770000000001E-2</v>
      </c>
      <c r="AP131" s="1078">
        <v>6.9980280000000006E-2</v>
      </c>
      <c r="AQ131" s="1078">
        <v>3.0415633000000002E-4</v>
      </c>
      <c r="AR131" s="1078">
        <v>1.6277824999999999E-2</v>
      </c>
      <c r="AS131" s="1078">
        <v>7.2036428E-4</v>
      </c>
      <c r="AT131" s="1078">
        <v>4.8769485999999998E-4</v>
      </c>
      <c r="AU131" s="1078">
        <v>4.8661754999999998E-4</v>
      </c>
      <c r="AV131" s="1078">
        <v>0.10107627</v>
      </c>
      <c r="AW131" s="1078">
        <v>5.8986162000000002</v>
      </c>
      <c r="AX131" s="1078">
        <v>2.0220645000000001E-5</v>
      </c>
      <c r="AY131" s="1078">
        <v>1.0469352E-5</v>
      </c>
      <c r="AZ131" s="1078">
        <v>4.3509530000000003E-3</v>
      </c>
      <c r="BA131" s="1078">
        <v>0.28193390000000002</v>
      </c>
      <c r="BB131" s="1079">
        <v>8.2164508000000004E-3</v>
      </c>
      <c r="BC131" s="1035"/>
      <c r="BE131" s="113">
        <f t="array" ref="BE131">IFERROR(SUMIFS($CB131:$CW131,$CB$17:$CW$17,BE$17,$CB$18:$CW$18,BE$18)/SUMPRODUCT(($CB$18:$CW$18=BE$18)*ABS($CB131:$CW131)),"-")</f>
        <v>0.20159955806870758</v>
      </c>
      <c r="BF131" s="114">
        <f t="array" ref="BF131">IFERROR(SUMIFS($CB131:$CW131,$CB$17:$CW$17,BF$17,$CB$18:$CW$18,BF$18)/SUMPRODUCT(($CB$18:$CW$18=BF$18)*ABS($CB131:$CW131)),"-")</f>
        <v>9.6285786459343083E-4</v>
      </c>
      <c r="BG131" s="114">
        <f t="array" ref="BG131">IFERROR(SUMIFS($CB131:$CW131,$CB$17:$CW$17,BG$17,$CB$18:$CW$18,BG$18)/SUMPRODUCT(($CB$18:$CW$18=BG$18)*ABS($CB131:$CW131)),"-")</f>
        <v>1.6963576630315088E-5</v>
      </c>
      <c r="BH131" s="114">
        <f t="array" ref="BH131">IFERROR(SUMIFS($CB131:$CW131,$CB$17:$CW$17,BH$17,$CB$18:$CW$18,BH$18)/SUMPRODUCT(($CB$18:$CW$18=BH$18)*ABS($CB131:$CW131)),"-")</f>
        <v>3.6122373782035059E-4</v>
      </c>
      <c r="BI131" s="114">
        <f t="array" ref="BI131">IFERROR(SUMIFS($CB131:$CW131,$CB$17:$CW$17,BI$17,$CB$18:$CW$18,BI$18)/SUMPRODUCT(($CB$18:$CW$18=BI$18)*ABS($CB131:$CW131)),"-")</f>
        <v>0.59758595996425756</v>
      </c>
      <c r="BJ131" s="114">
        <f t="array" ref="BJ131">IFERROR(SUMIFS($CB131:$CW131,$CB$17:$CW$17,BJ$17,$CB$18:$CW$18,BJ$18)/SUMPRODUCT(($CB$18:$CW$18=BJ$18)*ABS($CB131:$CW131)),"-")</f>
        <v>2.4910398271734812E-4</v>
      </c>
      <c r="BK131" s="114">
        <f t="array" ref="BK131">IFERROR(SUMIFS($CB131:$CW131,$CB$17:$CW$17,BK$17,$CB$18:$CW$18,BK$18)/SUMPRODUCT(($CB$18:$CW$18=BK$18)*ABS($CB131:$CW131)),"-")</f>
        <v>0.19898707350073361</v>
      </c>
      <c r="BL131" s="114">
        <f t="array" ref="BL131">IFERROR(SUMIFS($CB131:$CW131,$CB$17:$CW$17,BL$17,$CB$18:$CW$18,BL$18)/SUMPRODUCT(($CB$18:$CW$18=BL$18)*ABS($CB131:$CW131)),"-")</f>
        <v>2.3725930453982904E-4</v>
      </c>
      <c r="BM131" s="115"/>
      <c r="BN131" s="114">
        <f t="array" ref="BN131">IFERROR(SUMIFS($CB131:$CW131,$CB$17:$CW$17,BN$17,$CB$18:$CW$18,BN$18)/SUMPRODUCT(($CB$18:$CW$18=BN$18)*ABS($CB131:$CW131)),"-")</f>
        <v>6.6373096013118013E-2</v>
      </c>
      <c r="BO131" s="114">
        <f t="array" ref="BO131">IFERROR(SUMIFS($CB131:$CW131,$CB$17:$CW$17,BO$17,$CB$18:$CW$18,BO$18)/SUMPRODUCT(($CB$18:$CW$18=BO$18)*ABS($CB131:$CW131)),"-")</f>
        <v>5.7210645276158361E-3</v>
      </c>
      <c r="BP131" s="114">
        <f t="array" ref="BP131">IFERROR(SUMIFS($CB131:$CW131,$CB$17:$CW$17,BP$17,$CB$18:$CW$18,BP$18)/SUMPRODUCT(($CB$18:$CW$18=BP$18)*ABS($CB131:$CW131)),"-")</f>
        <v>0.1704384030242502</v>
      </c>
      <c r="BQ131" s="114">
        <f t="array" ref="BQ131">IFERROR(SUMIFS($CB131:$CW131,$CB$17:$CW$17,BQ$17,$CB$18:$CW$18,BQ$18)/SUMPRODUCT(($CB$18:$CW$18=BQ$18)*ABS($CB131:$CW131)),"-")</f>
        <v>2.7176116471804433E-3</v>
      </c>
      <c r="BR131" s="114">
        <f t="array" ref="BR131">IFERROR(SUMIFS($CB131:$CW131,$CB$17:$CW$17,BR$17,$CB$18:$CW$18,BR$18)/SUMPRODUCT(($CB$18:$CW$18=BR$18)*ABS($CB131:$CW131)),"-")</f>
        <v>9.7079093655842464E-5</v>
      </c>
      <c r="BS131" s="114">
        <f t="array" ref="BS131">IFERROR(SUMIFS($CB131:$CW131,$CB$17:$CW$17,BS$17,$CB$18:$CW$18,BS$18)/SUMPRODUCT(($CB$18:$CW$18=BS$18)*ABS($CB131:$CW131)),"-")</f>
        <v>2.809151256906432E-5</v>
      </c>
      <c r="BT131" s="114">
        <f t="array" ref="BT131">IFERROR(SUMIFS($CB131:$CW131,$CB$17:$CW$17,BT$17,$CB$18:$CW$18,BT$18)/SUMPRODUCT(($CB$18:$CW$18=BT$18)*ABS($CB131:$CW131)),"-")</f>
        <v>4.6290959904150719E-5</v>
      </c>
      <c r="BU131" s="114">
        <f t="array" ref="BU131">IFERROR(SUMIFS($CB131:$CW131,$CB$17:$CW$17,BU$17,$CB$18:$CW$18,BU$18)/SUMPRODUCT(($CB$18:$CW$18=BU$18)*ABS($CB131:$CW131)),"-")</f>
        <v>9.5188995161884208E-6</v>
      </c>
      <c r="BV131" s="114">
        <f t="array" ref="BV131">IFERROR(SUMIFS($CB131:$CW131,$CB$17:$CW$17,BV$17,$CB$18:$CW$18,BV$18)/SUMPRODUCT(($CB$18:$CW$18=BV$18)*ABS($CB131:$CW131)),"-")</f>
        <v>0.75414434587139734</v>
      </c>
      <c r="BW131" s="114">
        <f t="array" ref="BW131">IFERROR(SUMIFS($CB131:$CW131,$CB$17:$CW$17,BW$17,$CB$18:$CW$18,BW$18)/SUMPRODUCT(($CB$18:$CW$18=BW$18)*ABS($CB131:$CW131)),"-")</f>
        <v>4.2449845079282623E-4</v>
      </c>
      <c r="BX131" s="115"/>
      <c r="BY131" s="114">
        <f t="array" ref="BY131">IFERROR(SUMIFS($CB131:$CW131,$CB$17:$CW$17,BY$17,$CB$18:$CW$18,BY$18)/SUMPRODUCT(($CB$18:$CW$18=BY$18)*ABS($CB131:$CW131)),"-")</f>
        <v>6.8835786001416471E-4</v>
      </c>
      <c r="BZ131" s="116">
        <f t="array" ref="BZ131">IFERROR(SUMIFS($CB131:$CW131,$CB$17:$CW$17,BZ$17,$CB$18:$CW$18,BZ$18)/SUMPRODUCT(($CB$18:$CW$18=BZ$18)*ABS($CB131:$CW131)),"-")</f>
        <v>0.99931164213998591</v>
      </c>
      <c r="CB131" s="117">
        <v>1.5303753999999999E-6</v>
      </c>
      <c r="CC131" s="111">
        <v>4.6148321999999997E-9</v>
      </c>
      <c r="CD131" s="111">
        <v>1.2609804000000001E-13</v>
      </c>
      <c r="CE131" s="111">
        <v>7.3092124000000002E-9</v>
      </c>
      <c r="CF131" s="111">
        <v>1.287733E-10</v>
      </c>
      <c r="CG131" s="111">
        <v>2.7421088000000002E-9</v>
      </c>
      <c r="CH131" s="111">
        <v>4.5363732999999996E-6</v>
      </c>
      <c r="CI131" s="111">
        <v>3.9778880000000001E-10</v>
      </c>
      <c r="CJ131" s="111">
        <v>1.1850676999999999E-8</v>
      </c>
      <c r="CK131" s="111">
        <v>1.8895705E-10</v>
      </c>
      <c r="CL131" s="111">
        <v>6.7499634E-12</v>
      </c>
      <c r="CM131" s="111">
        <v>1.9532185E-12</v>
      </c>
      <c r="CN131" s="111">
        <v>3.2186361999999999E-12</v>
      </c>
      <c r="CO131" s="111">
        <v>6.6185438E-13</v>
      </c>
      <c r="CP131" s="111">
        <v>1.8909893000000001E-9</v>
      </c>
      <c r="CQ131" s="111">
        <v>1.5105436E-6</v>
      </c>
      <c r="CR131" s="111">
        <v>5.2436075999999998E-8</v>
      </c>
      <c r="CS131" s="111">
        <v>6.8403862E-5</v>
      </c>
      <c r="CT131" s="111">
        <v>9.9304126000000006E-2</v>
      </c>
      <c r="CU131" s="111">
        <v>1.8010744E-9</v>
      </c>
      <c r="CV131" s="111">
        <v>2.9515209999999999E-11</v>
      </c>
      <c r="CW131" s="112">
        <v>4.0348900000000001E-16</v>
      </c>
    </row>
    <row r="132" spans="2:101" ht="12" customHeight="1" outlineLevel="1" x14ac:dyDescent="0.2">
      <c r="B132" s="104" t="s">
        <v>114</v>
      </c>
      <c r="C132" s="104" t="s">
        <v>123</v>
      </c>
      <c r="D132" s="2" t="s">
        <v>152</v>
      </c>
      <c r="E132" s="2" t="s">
        <v>153</v>
      </c>
      <c r="F132" s="105" t="s">
        <v>96</v>
      </c>
      <c r="G132" s="27" t="s">
        <v>1582</v>
      </c>
      <c r="H132" s="106" t="s">
        <v>128</v>
      </c>
      <c r="I132" s="107" t="s">
        <v>1577</v>
      </c>
      <c r="J132" s="108">
        <v>1.91</v>
      </c>
      <c r="K132" s="109"/>
      <c r="L132" s="109"/>
      <c r="M132" s="110"/>
      <c r="N132" s="161"/>
      <c r="O132" s="1056"/>
      <c r="P132" s="117">
        <v>9.3033530581399988E-6</v>
      </c>
      <c r="Q132" s="111">
        <v>7.1108030685146111E-8</v>
      </c>
      <c r="R132" s="112">
        <v>0.100744347649</v>
      </c>
      <c r="S132" s="1032">
        <v>1.7156423999999999</v>
      </c>
      <c r="T132" s="1032">
        <v>1.5888223000000001E-5</v>
      </c>
      <c r="U132" s="1032">
        <v>1.5165975E-2</v>
      </c>
      <c r="V132" s="1032">
        <v>3.1112458000000002E-3</v>
      </c>
      <c r="W132" s="1032">
        <v>7.9501516999999997E-3</v>
      </c>
      <c r="X132" s="1032">
        <v>3.1820788999999999E-3</v>
      </c>
      <c r="Y132" s="1032">
        <v>6.1817499999999997E-2</v>
      </c>
      <c r="Z132" s="1032">
        <v>4.3764686000000001E-4</v>
      </c>
      <c r="AA132" s="1032">
        <v>4.8206741999999997E-3</v>
      </c>
      <c r="AB132" s="1032">
        <v>0.19459404</v>
      </c>
      <c r="AC132" s="1032">
        <v>5.4550435000000003E-3</v>
      </c>
      <c r="AD132" s="1032">
        <v>7.1077865000000002E-3</v>
      </c>
      <c r="AE132" s="1032">
        <v>7.4859223000000002E-4</v>
      </c>
      <c r="AF132" s="1032">
        <v>11.805643999999999</v>
      </c>
      <c r="AG132" s="1032">
        <v>5.9049686000000001</v>
      </c>
      <c r="AH132" s="1032">
        <v>2.9617822000000001E-4</v>
      </c>
      <c r="AI132" s="1032">
        <v>0.27785889000000003</v>
      </c>
      <c r="AJ132" s="1036">
        <v>8.1685439999999998E-3</v>
      </c>
      <c r="AK132" s="1077">
        <v>1.6827608999999999</v>
      </c>
      <c r="AL132" s="1078">
        <v>2.4564039E-8</v>
      </c>
      <c r="AM132" s="1078">
        <v>3.0929255999999999E-2</v>
      </c>
      <c r="AN132" s="1078">
        <v>3.7584876999999998E-3</v>
      </c>
      <c r="AO132" s="1078">
        <v>1.2516342999999999E-2</v>
      </c>
      <c r="AP132" s="1078">
        <v>7.7465353000000001E-2</v>
      </c>
      <c r="AQ132" s="1078">
        <v>4.6180861999999998E-4</v>
      </c>
      <c r="AR132" s="1078">
        <v>1.9466061999999999E-2</v>
      </c>
      <c r="AS132" s="1078">
        <v>1.2243847E-3</v>
      </c>
      <c r="AT132" s="1078">
        <v>5.4235882999999999E-4</v>
      </c>
      <c r="AU132" s="1078">
        <v>5.2475831999999997E-4</v>
      </c>
      <c r="AV132" s="1078">
        <v>0.17572889999999999</v>
      </c>
      <c r="AW132" s="1078">
        <v>5.8986162000000002</v>
      </c>
      <c r="AX132" s="1078">
        <v>2.0220645000000001E-5</v>
      </c>
      <c r="AY132" s="1078">
        <v>1.0469352E-5</v>
      </c>
      <c r="AZ132" s="1078">
        <v>4.3532854000000003E-3</v>
      </c>
      <c r="BA132" s="1078">
        <v>0.28509381</v>
      </c>
      <c r="BB132" s="1079">
        <v>8.2173400999999997E-3</v>
      </c>
      <c r="BC132" s="1035"/>
      <c r="BE132" s="113">
        <f t="array" ref="BE132">IFERROR(SUMIFS($CB132:$CW132,$CB$17:$CW$17,BE$17,$CB$18:$CW$18,BE$18)/SUMPRODUCT(($CB$18:$CW$18=BE$18)*ABS($CB132:$CW132)),"-")</f>
        <v>0.17122074052712247</v>
      </c>
      <c r="BF132" s="114">
        <f t="array" ref="BF132">IFERROR(SUMIFS($CB132:$CW132,$CB$17:$CW$17,BF$17,$CB$18:$CW$18,BF$18)/SUMPRODUCT(($CB$18:$CW$18=BF$18)*ABS($CB132:$CW132)),"-")</f>
        <v>9.0668383187066028E-4</v>
      </c>
      <c r="BG132" s="114">
        <f t="array" ref="BG132">IFERROR(SUMIFS($CB132:$CW132,$CB$17:$CW$17,BG$17,$CB$18:$CW$18,BG$18)/SUMPRODUCT(($CB$18:$CW$18=BG$18)*ABS($CB132:$CW132)),"-")</f>
        <v>1.3852622725871901E-5</v>
      </c>
      <c r="BH132" s="114">
        <f t="array" ref="BH132">IFERROR(SUMIFS($CB132:$CW132,$CB$17:$CW$17,BH$17,$CB$18:$CW$18,BH$18)/SUMPRODUCT(($CB$18:$CW$18=BH$18)*ABS($CB132:$CW132)),"-")</f>
        <v>3.0433113548482878E-4</v>
      </c>
      <c r="BI132" s="114">
        <f t="array" ref="BI132">IFERROR(SUMIFS($CB132:$CW132,$CB$17:$CW$17,BI$17,$CB$18:$CW$18,BI$18)/SUMPRODUCT(($CB$18:$CW$18=BI$18)*ABS($CB132:$CW132)),"-")</f>
        <v>0.53762131445971117</v>
      </c>
      <c r="BJ132" s="114">
        <f t="array" ref="BJ132">IFERROR(SUMIFS($CB132:$CW132,$CB$17:$CW$17,BJ$17,$CB$18:$CW$18,BJ$18)/SUMPRODUCT(($CB$18:$CW$18=BJ$18)*ABS($CB132:$CW132)),"-")</f>
        <v>2.672728729588951E-4</v>
      </c>
      <c r="BK132" s="114">
        <f t="array" ref="BK132">IFERROR(SUMIFS($CB132:$CW132,$CB$17:$CW$17,BK$17,$CB$18:$CW$18,BK$18)/SUMPRODUCT(($CB$18:$CW$18=BK$18)*ABS($CB132:$CW132)),"-")</f>
        <v>0.28947199823226083</v>
      </c>
      <c r="BL132" s="114">
        <f t="array" ref="BL132">IFERROR(SUMIFS($CB132:$CW132,$CB$17:$CW$17,BL$17,$CB$18:$CW$18,BL$18)/SUMPRODUCT(($CB$18:$CW$18=BL$18)*ABS($CB132:$CW132)),"-")</f>
        <v>1.9380631786540843E-4</v>
      </c>
      <c r="BM132" s="115"/>
      <c r="BN132" s="114">
        <f t="array" ref="BN132">IFERROR(SUMIFS($CB132:$CW132,$CB$17:$CW$17,BN$17,$CB$18:$CW$18,BN$18)/SUMPRODUCT(($CB$18:$CW$18=BN$18)*ABS($CB132:$CW132)),"-")</f>
        <v>6.7550075589189129E-2</v>
      </c>
      <c r="BO132" s="114">
        <f t="array" ref="BO132">IFERROR(SUMIFS($CB132:$CW132,$CB$17:$CW$17,BO$17,$CB$18:$CW$18,BO$18)/SUMPRODUCT(($CB$18:$CW$18=BO$18)*ABS($CB132:$CW132)),"-")</f>
        <v>5.7728400863413182E-3</v>
      </c>
      <c r="BP132" s="114">
        <f t="array" ref="BP132">IFERROR(SUMIFS($CB132:$CW132,$CB$17:$CW$17,BP$17,$CB$18:$CW$18,BP$18)/SUMPRODUCT(($CB$18:$CW$18=BP$18)*ABS($CB132:$CW132)),"-")</f>
        <v>0.18450788010278366</v>
      </c>
      <c r="BQ132" s="114">
        <f t="array" ref="BQ132">IFERROR(SUMIFS($CB132:$CW132,$CB$17:$CW$17,BQ$17,$CB$18:$CW$18,BQ$18)/SUMPRODUCT(($CB$18:$CW$18=BQ$18)*ABS($CB132:$CW132)),"-")</f>
        <v>4.1296744850134303E-3</v>
      </c>
      <c r="BR132" s="114">
        <f t="array" ref="BR132">IFERROR(SUMIFS($CB132:$CW132,$CB$17:$CW$17,BR$17,$CB$18:$CW$18,BR$18)/SUMPRODUCT(($CB$18:$CW$18=BR$18)*ABS($CB132:$CW132)),"-")</f>
        <v>1.1517872061827261E-4</v>
      </c>
      <c r="BS132" s="114">
        <f t="array" ref="BS132">IFERROR(SUMIFS($CB132:$CW132,$CB$17:$CW$17,BS$17,$CB$18:$CW$18,BS$18)/SUMPRODUCT(($CB$18:$CW$18=BS$18)*ABS($CB132:$CW132)),"-")</f>
        <v>3.1198763045809157E-5</v>
      </c>
      <c r="BT132" s="114">
        <f t="array" ref="BT132">IFERROR(SUMIFS($CB132:$CW132,$CB$17:$CW$17,BT$17,$CB$18:$CW$18,BT$18)/SUMPRODUCT(($CB$18:$CW$18=BT$18)*ABS($CB132:$CW132)),"-")</f>
        <v>5.3141052615163357E-5</v>
      </c>
      <c r="BU132" s="114">
        <f t="array" ref="BU132">IFERROR(SUMIFS($CB132:$CW132,$CB$17:$CW$17,BU$17,$CB$18:$CW$18,BU$18)/SUMPRODUCT(($CB$18:$CW$18=BU$18)*ABS($CB132:$CW132)),"-")</f>
        <v>1.0498647379302909E-5</v>
      </c>
      <c r="BV132" s="114">
        <f t="array" ref="BV132">IFERROR(SUMIFS($CB132:$CW132,$CB$17:$CW$17,BV$17,$CB$18:$CW$18,BV$18)/SUMPRODUCT(($CB$18:$CW$18=BV$18)*ABS($CB132:$CW132)),"-")</f>
        <v>0.73741426242245056</v>
      </c>
      <c r="BW132" s="114">
        <f t="array" ref="BW132">IFERROR(SUMIFS($CB132:$CW132,$CB$17:$CW$17,BW$17,$CB$18:$CW$18,BW$18)/SUMPRODUCT(($CB$18:$CW$18=BW$18)*ABS($CB132:$CW132)),"-")</f>
        <v>4.1525013056335536E-4</v>
      </c>
      <c r="BX132" s="115"/>
      <c r="BY132" s="114">
        <f t="array" ref="BY132">IFERROR(SUMIFS($CB132:$CW132,$CB$17:$CW$17,BY$17,$CB$18:$CW$18,BY$18)/SUMPRODUCT(($CB$18:$CW$18=BY$18)*ABS($CB132:$CW132)),"-")</f>
        <v>6.7971703225059015E-4</v>
      </c>
      <c r="BZ132" s="116">
        <f t="array" ref="BZ132">IFERROR(SUMIFS($CB132:$CW132,$CB$17:$CW$17,BZ$17,$CB$18:$CW$18,BZ$18)/SUMPRODUCT(($CB$18:$CW$18=BZ$18)*ABS($CB132:$CW132)),"-")</f>
        <v>0.99932028296774933</v>
      </c>
      <c r="CB132" s="117">
        <v>1.5929269999999999E-6</v>
      </c>
      <c r="CC132" s="111">
        <v>4.8032216000000004E-9</v>
      </c>
      <c r="CD132" s="111">
        <v>1.3124777999999999E-13</v>
      </c>
      <c r="CE132" s="111">
        <v>8.4351997999999999E-9</v>
      </c>
      <c r="CF132" s="111">
        <v>1.2887584E-10</v>
      </c>
      <c r="CG132" s="111">
        <v>2.8312999999999999E-9</v>
      </c>
      <c r="CH132" s="111">
        <v>5.0016808999999996E-6</v>
      </c>
      <c r="CI132" s="111">
        <v>4.1049528999999999E-10</v>
      </c>
      <c r="CJ132" s="111">
        <v>1.3119992E-8</v>
      </c>
      <c r="CK132" s="111">
        <v>2.9365301999999997E-10</v>
      </c>
      <c r="CL132" s="111">
        <v>8.1901319999999999E-12</v>
      </c>
      <c r="CM132" s="111">
        <v>2.2184825999999999E-12</v>
      </c>
      <c r="CN132" s="111">
        <v>3.7787556000000002E-12</v>
      </c>
      <c r="CO132" s="111">
        <v>7.4653814000000002E-13</v>
      </c>
      <c r="CP132" s="111">
        <v>2.4865339000000001E-9</v>
      </c>
      <c r="CQ132" s="111">
        <v>2.6930602000000001E-6</v>
      </c>
      <c r="CR132" s="111">
        <v>5.2436075999999998E-8</v>
      </c>
      <c r="CS132" s="111">
        <v>6.8477648999999997E-5</v>
      </c>
      <c r="CT132" s="111">
        <v>0.10067587</v>
      </c>
      <c r="CU132" s="111">
        <v>1.8030486000000001E-9</v>
      </c>
      <c r="CV132" s="111">
        <v>2.9527215000000002E-11</v>
      </c>
      <c r="CW132" s="112">
        <v>4.0402610999999999E-16</v>
      </c>
    </row>
    <row r="133" spans="2:101" ht="12" customHeight="1" outlineLevel="1" x14ac:dyDescent="0.2">
      <c r="B133" s="88" t="s">
        <v>2366</v>
      </c>
      <c r="C133" s="88" t="s">
        <v>123</v>
      </c>
      <c r="D133" s="89" t="s">
        <v>154</v>
      </c>
      <c r="E133" s="89" t="s">
        <v>155</v>
      </c>
      <c r="F133" s="90" t="s">
        <v>92</v>
      </c>
      <c r="G133" s="18" t="s">
        <v>126</v>
      </c>
      <c r="H133" s="91" t="s">
        <v>127</v>
      </c>
      <c r="I133" s="92" t="s">
        <v>127</v>
      </c>
      <c r="J133" s="93">
        <v>2.15</v>
      </c>
      <c r="K133" s="94"/>
      <c r="L133" s="94"/>
      <c r="M133" s="95"/>
      <c r="N133" s="145"/>
      <c r="O133" s="1055"/>
      <c r="P133" s="103">
        <v>5.4820839601670008E-5</v>
      </c>
      <c r="Q133" s="97">
        <v>2.3869281676045398E-7</v>
      </c>
      <c r="R133" s="98">
        <v>0.39036766471999995</v>
      </c>
      <c r="S133" s="1033">
        <v>19.362470999999999</v>
      </c>
      <c r="T133" s="1033">
        <v>2.4153282999999999E-4</v>
      </c>
      <c r="U133" s="1033">
        <v>1.6419164E-2</v>
      </c>
      <c r="V133" s="1033">
        <v>1.4006004000000001E-2</v>
      </c>
      <c r="W133" s="1033">
        <v>4.9009601999999999E-2</v>
      </c>
      <c r="X133" s="1033">
        <v>1.4169569999999999E-2</v>
      </c>
      <c r="Y133" s="1033">
        <v>0.38335669999999999</v>
      </c>
      <c r="Z133" s="1033">
        <v>7.0858792000000001E-4</v>
      </c>
      <c r="AA133" s="1033">
        <v>5.9804892999999998E-2</v>
      </c>
      <c r="AB133" s="1033">
        <v>4.3228266</v>
      </c>
      <c r="AC133" s="1033">
        <v>0.22171262</v>
      </c>
      <c r="AD133" s="1033">
        <v>5.9475434000000001E-2</v>
      </c>
      <c r="AE133" s="1033">
        <v>4.0871706000000004E-3</v>
      </c>
      <c r="AF133" s="1033">
        <v>25.338726000000001</v>
      </c>
      <c r="AG133" s="1033">
        <v>11.284972</v>
      </c>
      <c r="AH133" s="1033">
        <v>3.7471098E-3</v>
      </c>
      <c r="AI133" s="1033">
        <v>1.0019186</v>
      </c>
      <c r="AJ133" s="1034">
        <v>8.6681960000000002E-2</v>
      </c>
      <c r="AK133" s="1074">
        <v>16.392799</v>
      </c>
      <c r="AL133" s="1075">
        <v>2.7437057000000001E-8</v>
      </c>
      <c r="AM133" s="1075">
        <v>3.5526613999999998E-2</v>
      </c>
      <c r="AN133" s="1075">
        <v>1.7898702999999998E-2</v>
      </c>
      <c r="AO133" s="1075">
        <v>6.6542068999999995E-2</v>
      </c>
      <c r="AP133" s="1075">
        <v>0.47946993999999998</v>
      </c>
      <c r="AQ133" s="1075">
        <v>2.8842828E-3</v>
      </c>
      <c r="AR133" s="1075">
        <v>0.22310223000000001</v>
      </c>
      <c r="AS133" s="1075">
        <v>3.3993592000000003E-2</v>
      </c>
      <c r="AT133" s="1075">
        <v>1.0033370999999999E-2</v>
      </c>
      <c r="AU133" s="1075">
        <v>3.8439437000000001E-3</v>
      </c>
      <c r="AV133" s="1075">
        <v>0.67646209000000002</v>
      </c>
      <c r="AW133" s="1075">
        <v>3.9261574000000001</v>
      </c>
      <c r="AX133" s="1075">
        <v>4.9584121000000003E-5</v>
      </c>
      <c r="AY133" s="1075">
        <v>1.6734929999999999E-2</v>
      </c>
      <c r="AZ133" s="1075">
        <v>9.9840182999999996E-3</v>
      </c>
      <c r="BA133" s="1075">
        <v>1.0331291</v>
      </c>
      <c r="BB133" s="1076">
        <v>8.6812115999999995E-2</v>
      </c>
      <c r="BC133" s="1035"/>
      <c r="BE133" s="99">
        <f t="array" ref="BE133">IFERROR(SUMIFS($CB133:$CW133,$CB$17:$CW$17,BE$17,$CB$18:$CW$18,BE$18)/SUMPRODUCT(($CB$18:$CW$18=BE$18)*ABS($CB133:$CW133)),"-")</f>
        <v>0.328171314608103</v>
      </c>
      <c r="BF133" s="100">
        <f t="array" ref="BF133">IFERROR(SUMIFS($CB133:$CW133,$CB$17:$CW$17,BF$17,$CB$18:$CW$18,BF$18)/SUMPRODUCT(($CB$18:$CW$18=BF$18)*ABS($CB133:$CW133)),"-")</f>
        <v>2.3391099248340165E-3</v>
      </c>
      <c r="BG133" s="100">
        <f t="array" ref="BG133">IFERROR(SUMIFS($CB133:$CW133,$CB$17:$CW$17,BG$17,$CB$18:$CW$18,BG$18)/SUMPRODUCT(($CB$18:$CW$18=BG$18)*ABS($CB133:$CW133)),"-")</f>
        <v>2.5450845155561917E-6</v>
      </c>
      <c r="BH133" s="100">
        <f t="array" ref="BH133">IFERROR(SUMIFS($CB133:$CW133,$CB$17:$CW$17,BH$17,$CB$18:$CW$18,BH$18)/SUMPRODUCT(($CB$18:$CW$18=BH$18)*ABS($CB133:$CW133)),"-")</f>
        <v>2.324865341831019E-4</v>
      </c>
      <c r="BI133" s="100">
        <f t="array" ref="BI133">IFERROR(SUMIFS($CB133:$CW133,$CB$17:$CW$17,BI$17,$CB$18:$CW$18,BI$18)/SUMPRODUCT(($CB$18:$CW$18=BI$18)*ABS($CB133:$CW133)),"-")</f>
        <v>0.56243529329420794</v>
      </c>
      <c r="BJ133" s="100">
        <f t="array" ref="BJ133">IFERROR(SUMIFS($CB133:$CW133,$CB$17:$CW$17,BJ$17,$CB$18:$CW$18,BJ$18)/SUMPRODUCT(($CB$18:$CW$18=BJ$18)*ABS($CB133:$CW133)),"-")</f>
        <v>2.4777913105121811E-4</v>
      </c>
      <c r="BK133" s="100">
        <f t="array" ref="BK133">IFERROR(SUMIFS($CB133:$CW133,$CB$17:$CW$17,BK$17,$CB$18:$CW$18,BK$18)/SUMPRODUCT(($CB$18:$CW$18=BK$18)*ABS($CB133:$CW133)),"-")</f>
        <v>0.10543648623404009</v>
      </c>
      <c r="BL133" s="100">
        <f t="array" ref="BL133">IFERROR(SUMIFS($CB133:$CW133,$CB$17:$CW$17,BL$17,$CB$18:$CW$18,BL$18)/SUMPRODUCT(($CB$18:$CW$18=BL$18)*ABS($CB133:$CW133)),"-")</f>
        <v>1.1349851890649367E-3</v>
      </c>
      <c r="BM133" s="101"/>
      <c r="BN133" s="100">
        <f t="array" ref="BN133">IFERROR(SUMIFS($CB133:$CW133,$CB$17:$CW$17,BN$17,$CB$18:$CW$18,BN$18)/SUMPRODUCT(($CB$18:$CW$18=BN$18)*ABS($CB133:$CW133)),"-")</f>
        <v>0.22710201243425512</v>
      </c>
      <c r="BO133" s="100">
        <f t="array" ref="BO133">IFERROR(SUMIFS($CB133:$CW133,$CB$17:$CW$17,BO$17,$CB$18:$CW$18,BO$18)/SUMPRODUCT(($CB$18:$CW$18=BO$18)*ABS($CB133:$CW133)),"-")</f>
        <v>7.6574554056828316E-3</v>
      </c>
      <c r="BP133" s="100">
        <f t="array" ref="BP133">IFERROR(SUMIFS($CB133:$CW133,$CB$17:$CW$17,BP$17,$CB$18:$CW$18,BP$18)/SUMPRODUCT(($CB$18:$CW$18=BP$18)*ABS($CB133:$CW133)),"-")</f>
        <v>0.3408692021161821</v>
      </c>
      <c r="BQ133" s="100">
        <f t="array" ref="BQ133">IFERROR(SUMIFS($CB133:$CW133,$CB$17:$CW$17,BQ$17,$CB$18:$CW$18,BQ$18)/SUMPRODUCT(($CB$18:$CW$18=BQ$18)*ABS($CB133:$CW133)),"-")</f>
        <v>1.9918945884205238E-3</v>
      </c>
      <c r="BR133" s="100">
        <f t="array" ref="BR133">IFERROR(SUMIFS($CB133:$CW133,$CB$17:$CW$17,BR$17,$CB$18:$CW$18,BR$18)/SUMPRODUCT(($CB$18:$CW$18=BR$18)*ABS($CB133:$CW133)),"-")</f>
        <v>4.2567657200161631E-4</v>
      </c>
      <c r="BS133" s="100">
        <f t="array" ref="BS133">IFERROR(SUMIFS($CB133:$CW133,$CB$17:$CW$17,BS$17,$CB$18:$CW$18,BS$18)/SUMPRODUCT(($CB$18:$CW$18=BS$18)*ABS($CB133:$CW133)),"-")</f>
        <v>2.0643659775254597E-4</v>
      </c>
      <c r="BT133" s="100">
        <f t="array" ref="BT133">IFERROR(SUMIFS($CB133:$CW133,$CB$17:$CW$17,BT$17,$CB$18:$CW$18,BT$18)/SUMPRODUCT(($CB$18:$CW$18=BT$18)*ABS($CB133:$CW133)),"-")</f>
        <v>6.4505602677821926E-4</v>
      </c>
      <c r="BU133" s="100">
        <f t="array" ref="BU133">IFERROR(SUMIFS($CB133:$CW133,$CB$17:$CW$17,BU$17,$CB$18:$CW$18,BU$18)/SUMPRODUCT(($CB$18:$CW$18=BU$18)*ABS($CB133:$CW133)),"-")</f>
        <v>2.6152802102397573E-5</v>
      </c>
      <c r="BV133" s="100">
        <f t="array" ref="BV133">IFERROR(SUMIFS($CB133:$CW133,$CB$17:$CW$17,BV$17,$CB$18:$CW$18,BV$18)/SUMPRODUCT(($CB$18:$CW$18=BV$18)*ABS($CB133:$CW133)),"-")</f>
        <v>0.4196247769806975</v>
      </c>
      <c r="BW133" s="100">
        <f t="array" ref="BW133">IFERROR(SUMIFS($CB133:$CW133,$CB$17:$CW$17,BW$17,$CB$18:$CW$18,BW$18)/SUMPRODUCT(($CB$18:$CW$18=BW$18)*ABS($CB133:$CW133)),"-")</f>
        <v>1.4513364761272302E-3</v>
      </c>
      <c r="BX133" s="101"/>
      <c r="BY133" s="100">
        <f t="array" ref="BY133">IFERROR(SUMIFS($CB133:$CW133,$CB$17:$CW$17,BY$17,$CB$18:$CW$18,BY$18)/SUMPRODUCT(($CB$18:$CW$18=BY$18)*ABS($CB133:$CW133)),"-")</f>
        <v>2.2184591559886719E-3</v>
      </c>
      <c r="BZ133" s="102">
        <f t="array" ref="BZ133">IFERROR(SUMIFS($CB133:$CW133,$CB$17:$CW$17,BZ$17,$CB$18:$CW$18,BZ$18)/SUMPRODUCT(($CB$18:$CW$18=BZ$18)*ABS($CB133:$CW133)),"-")</f>
        <v>0.99778154084401138</v>
      </c>
      <c r="CB133" s="103">
        <v>1.7990627000000001E-5</v>
      </c>
      <c r="CC133" s="97">
        <v>5.4206138E-8</v>
      </c>
      <c r="CD133" s="97">
        <v>1.4810399000000001E-12</v>
      </c>
      <c r="CE133" s="97">
        <v>1.2823197E-7</v>
      </c>
      <c r="CF133" s="97">
        <v>1.3952367000000001E-10</v>
      </c>
      <c r="CG133" s="97">
        <v>1.2745107E-8</v>
      </c>
      <c r="CH133" s="97">
        <v>3.0833175E-5</v>
      </c>
      <c r="CI133" s="97">
        <v>1.8277795999999999E-9</v>
      </c>
      <c r="CJ133" s="97">
        <v>8.1363030000000002E-8</v>
      </c>
      <c r="CK133" s="97">
        <v>4.7545092999999995E-10</v>
      </c>
      <c r="CL133" s="97">
        <v>1.0160593999999999E-10</v>
      </c>
      <c r="CM133" s="97">
        <v>4.9274932999999999E-11</v>
      </c>
      <c r="CN133" s="97">
        <v>1.5397024E-10</v>
      </c>
      <c r="CO133" s="97">
        <v>6.2424859999999997E-12</v>
      </c>
      <c r="CP133" s="97">
        <v>1.3583459999999999E-8</v>
      </c>
      <c r="CQ133" s="97">
        <v>5.7801167E-6</v>
      </c>
      <c r="CR133" s="97">
        <v>1.0016141999999999E-7</v>
      </c>
      <c r="CS133" s="97">
        <v>8.6601471999999996E-4</v>
      </c>
      <c r="CT133" s="97">
        <v>0.38950164999999998</v>
      </c>
      <c r="CU133" s="97">
        <v>6.2220841000000004E-8</v>
      </c>
      <c r="CV133" s="97">
        <v>3.4638023999999998E-10</v>
      </c>
      <c r="CW133" s="98">
        <v>4.3351553999999997E-14</v>
      </c>
    </row>
    <row r="134" spans="2:101" ht="12" customHeight="1" outlineLevel="1" x14ac:dyDescent="0.2">
      <c r="B134" s="104" t="s">
        <v>2366</v>
      </c>
      <c r="C134" s="104" t="s">
        <v>123</v>
      </c>
      <c r="D134" s="2" t="s">
        <v>154</v>
      </c>
      <c r="E134" s="2" t="s">
        <v>155</v>
      </c>
      <c r="F134" s="105" t="s">
        <v>122</v>
      </c>
      <c r="G134" s="27" t="s">
        <v>1579</v>
      </c>
      <c r="H134" s="106" t="s">
        <v>128</v>
      </c>
      <c r="I134" s="107" t="s">
        <v>129</v>
      </c>
      <c r="J134" s="108">
        <v>2.15</v>
      </c>
      <c r="K134" s="109"/>
      <c r="L134" s="109"/>
      <c r="M134" s="110"/>
      <c r="N134" s="161"/>
      <c r="O134" s="1056"/>
      <c r="P134" s="117">
        <v>5.7482598664820004E-5</v>
      </c>
      <c r="Q134" s="111">
        <v>2.8695142250252864E-7</v>
      </c>
      <c r="R134" s="112">
        <v>0.31599167121000005</v>
      </c>
      <c r="S134" s="1032">
        <v>18.445620000000002</v>
      </c>
      <c r="T134" s="1032">
        <v>1.5820879E-4</v>
      </c>
      <c r="U134" s="1032">
        <v>1.4907933E-2</v>
      </c>
      <c r="V134" s="1032">
        <v>1.5147486E-2</v>
      </c>
      <c r="W134" s="1032">
        <v>5.4828710000000003E-2</v>
      </c>
      <c r="X134" s="1032">
        <v>1.5341499999999999E-2</v>
      </c>
      <c r="Y134" s="1032">
        <v>0.4293168</v>
      </c>
      <c r="Z134" s="1032">
        <v>3.2393888000000002E-4</v>
      </c>
      <c r="AA134" s="1032">
        <v>5.5195028E-2</v>
      </c>
      <c r="AB134" s="1032">
        <v>0.49362205999999997</v>
      </c>
      <c r="AC134" s="1032">
        <v>1.7380204999999999E-2</v>
      </c>
      <c r="AD134" s="1032">
        <v>2.4300677E-2</v>
      </c>
      <c r="AE134" s="1032">
        <v>4.0598164999999997E-3</v>
      </c>
      <c r="AF134" s="1032">
        <v>24.887432</v>
      </c>
      <c r="AG134" s="1032">
        <v>15.967335</v>
      </c>
      <c r="AH134" s="1032">
        <v>9.4497543000000004E-4</v>
      </c>
      <c r="AI134" s="1032">
        <v>0.78415646999999999</v>
      </c>
      <c r="AJ134" s="1036">
        <v>7.3988057999999995E-2</v>
      </c>
      <c r="AK134" s="1077">
        <v>14.508058999999999</v>
      </c>
      <c r="AL134" s="1078">
        <v>2.4820699000000001E-8</v>
      </c>
      <c r="AM134" s="1078">
        <v>3.0692479000000002E-2</v>
      </c>
      <c r="AN134" s="1078">
        <v>2.0463437000000001E-2</v>
      </c>
      <c r="AO134" s="1078">
        <v>7.4645427E-2</v>
      </c>
      <c r="AP134" s="1078">
        <v>0.53734172000000002</v>
      </c>
      <c r="AQ134" s="1078">
        <v>2.6552456999999999E-3</v>
      </c>
      <c r="AR134" s="1078">
        <v>0.20949651999999999</v>
      </c>
      <c r="AS134" s="1078">
        <v>2.2750611000000001E-3</v>
      </c>
      <c r="AT134" s="1078">
        <v>1.752226E-3</v>
      </c>
      <c r="AU134" s="1078">
        <v>1.952732E-3</v>
      </c>
      <c r="AV134" s="1078">
        <v>0.39983948000000002</v>
      </c>
      <c r="AW134" s="1078">
        <v>6.4179940999999996</v>
      </c>
      <c r="AX134" s="1078">
        <v>2.4751882999999999E-5</v>
      </c>
      <c r="AY134" s="1078">
        <v>-1.3659991999999999E-7</v>
      </c>
      <c r="AZ134" s="1078">
        <v>1.2873895E-2</v>
      </c>
      <c r="BA134" s="1078">
        <v>0.82525389999999998</v>
      </c>
      <c r="BB134" s="1079">
        <v>7.4049772999999999E-2</v>
      </c>
      <c r="BC134" s="1035"/>
      <c r="BE134" s="113">
        <f t="array" ref="BE134">IFERROR(SUMIFS($CB134:$CW134,$CB$17:$CW$17,BE$17,$CB$18:$CW$18,BE$18)/SUMPRODUCT(($CB$18:$CW$18=BE$18)*ABS($CB134:$CW134)),"-")</f>
        <v>0.29818222206592843</v>
      </c>
      <c r="BF134" s="114">
        <f t="array" ref="BF134">IFERROR(SUMIFS($CB134:$CW134,$CB$17:$CW$17,BF$17,$CB$18:$CW$18,BF$18)/SUMPRODUCT(($CB$18:$CW$18=BF$18)*ABS($CB134:$CW134)),"-")</f>
        <v>1.4612158453338256E-3</v>
      </c>
      <c r="BG134" s="114">
        <f t="array" ref="BG134">IFERROR(SUMIFS($CB134:$CW134,$CB$17:$CW$17,BG$17,$CB$18:$CW$18,BG$18)/SUMPRODUCT(($CB$18:$CW$18=BG$18)*ABS($CB134:$CW134)),"-")</f>
        <v>2.2038464325296987E-6</v>
      </c>
      <c r="BH134" s="114">
        <f t="array" ref="BH134">IFERROR(SUMIFS($CB134:$CW134,$CB$17:$CW$17,BH$17,$CB$18:$CW$18,BH$18)/SUMPRODUCT(($CB$18:$CW$18=BH$18)*ABS($CB134:$CW134)),"-")</f>
        <v>2.3980342434372722E-4</v>
      </c>
      <c r="BI134" s="114">
        <f t="array" ref="BI134">IFERROR(SUMIFS($CB134:$CW134,$CB$17:$CW$17,BI$17,$CB$18:$CW$18,BI$18)/SUMPRODUCT(($CB$18:$CW$18=BI$18)*ABS($CB134:$CW134)),"-")</f>
        <v>0.60008506576288434</v>
      </c>
      <c r="BJ134" s="114">
        <f t="array" ref="BJ134">IFERROR(SUMIFS($CB134:$CW134,$CB$17:$CW$17,BJ$17,$CB$18:$CW$18,BJ$18)/SUMPRODUCT(($CB$18:$CW$18=BJ$18)*ABS($CB134:$CW134)),"-")</f>
        <v>2.3477868630632237E-4</v>
      </c>
      <c r="BK134" s="114">
        <f t="array" ref="BK134">IFERROR(SUMIFS($CB134:$CW134,$CB$17:$CW$17,BK$17,$CB$18:$CW$18,BK$18)/SUMPRODUCT(($CB$18:$CW$18=BK$18)*ABS($CB134:$CW134)),"-")</f>
        <v>9.8763970868883416E-2</v>
      </c>
      <c r="BL134" s="114">
        <f t="array" ref="BL134">IFERROR(SUMIFS($CB134:$CW134,$CB$17:$CW$17,BL$17,$CB$18:$CW$18,BL$18)/SUMPRODUCT(($CB$18:$CW$18=BL$18)*ABS($CB134:$CW134)),"-")</f>
        <v>1.0307394998873183E-3</v>
      </c>
      <c r="BM134" s="115"/>
      <c r="BN134" s="114">
        <f t="array" ref="BN134">IFERROR(SUMIFS($CB134:$CW134,$CB$17:$CW$17,BN$17,$CB$18:$CW$18,BN$18)/SUMPRODUCT(($CB$18:$CW$18=BN$18)*ABS($CB134:$CW134)),"-")</f>
        <v>0.17997260771636325</v>
      </c>
      <c r="BO134" s="114">
        <f t="array" ref="BO134">IFERROR(SUMIFS($CB134:$CW134,$CB$17:$CW$17,BO$17,$CB$18:$CW$18,BO$18)/SUMPRODUCT(($CB$18:$CW$18=BO$18)*ABS($CB134:$CW134)),"-")</f>
        <v>6.8968088143300989E-3</v>
      </c>
      <c r="BP134" s="114">
        <f t="array" ref="BP134">IFERROR(SUMIFS($CB134:$CW134,$CB$17:$CW$17,BP$17,$CB$18:$CW$18,BP$18)/SUMPRODUCT(($CB$18:$CW$18=BP$18)*ABS($CB134:$CW134)),"-")</f>
        <v>0.3175373002348405</v>
      </c>
      <c r="BQ134" s="114">
        <f t="array" ref="BQ134">IFERROR(SUMIFS($CB134:$CW134,$CB$17:$CW$17,BQ$17,$CB$18:$CW$18,BQ$18)/SUMPRODUCT(($CB$18:$CW$18=BQ$18)*ABS($CB134:$CW134)),"-")</f>
        <v>7.5746552536460991E-4</v>
      </c>
      <c r="BR134" s="114">
        <f t="array" ref="BR134">IFERROR(SUMIFS($CB134:$CW134,$CB$17:$CW$17,BR$17,$CB$18:$CW$18,BR$18)/SUMPRODUCT(($CB$18:$CW$18=BR$18)*ABS($CB134:$CW134)),"-")</f>
        <v>3.2679390881630376E-4</v>
      </c>
      <c r="BS134" s="114">
        <f t="array" ref="BS134">IFERROR(SUMIFS($CB134:$CW134,$CB$17:$CW$17,BS$17,$CB$18:$CW$18,BS$18)/SUMPRODUCT(($CB$18:$CW$18=BS$18)*ABS($CB134:$CW134)),"-")</f>
        <v>1.9603501355531457E-5</v>
      </c>
      <c r="BT134" s="114">
        <f t="array" ref="BT134">IFERROR(SUMIFS($CB134:$CW134,$CB$17:$CW$17,BT$17,$CB$18:$CW$18,BT$18)/SUMPRODUCT(($CB$18:$CW$18=BT$18)*ABS($CB134:$CW134)),"-")</f>
        <v>4.1936840371976054E-5</v>
      </c>
      <c r="BU134" s="114">
        <f t="array" ref="BU134">IFERROR(SUMIFS($CB134:$CW134,$CB$17:$CW$17,BU$17,$CB$18:$CW$18,BU$18)/SUMPRODUCT(($CB$18:$CW$18=BU$18)*ABS($CB134:$CW134)),"-")</f>
        <v>8.894375841532931E-6</v>
      </c>
      <c r="BV134" s="114">
        <f t="array" ref="BV134">IFERROR(SUMIFS($CB134:$CW134,$CB$17:$CW$17,BV$17,$CB$18:$CW$18,BV$18)/SUMPRODUCT(($CB$18:$CW$18=BV$18)*ABS($CB134:$CW134)),"-")</f>
        <v>0.49388321118621098</v>
      </c>
      <c r="BW134" s="114">
        <f t="array" ref="BW134">IFERROR(SUMIFS($CB134:$CW134,$CB$17:$CW$17,BW$17,$CB$18:$CW$18,BW$18)/SUMPRODUCT(($CB$18:$CW$18=BW$18)*ABS($CB134:$CW134)),"-")</f>
        <v>5.5537789650509804E-4</v>
      </c>
      <c r="BX134" s="115"/>
      <c r="BY134" s="114">
        <f t="array" ref="BY134">IFERROR(SUMIFS($CB134:$CW134,$CB$17:$CW$17,BY$17,$CB$18:$CW$18,BY$18)/SUMPRODUCT(($CB$18:$CW$18=BY$18)*ABS($CB134:$CW134)),"-")</f>
        <v>6.9068659045432815E-4</v>
      </c>
      <c r="BZ134" s="116">
        <f t="array" ref="BZ134">IFERROR(SUMIFS($CB134:$CW134,$CB$17:$CW$17,BZ$17,$CB$18:$CW$18,BZ$18)/SUMPRODUCT(($CB$18:$CW$18=BZ$18)*ABS($CB134:$CW134)),"-")</f>
        <v>0.99930931340954565</v>
      </c>
      <c r="CB134" s="117">
        <v>1.7140288999999999E-5</v>
      </c>
      <c r="CC134" s="111">
        <v>5.1641984999999999E-8</v>
      </c>
      <c r="CD134" s="111">
        <v>1.4107956999999999E-12</v>
      </c>
      <c r="CE134" s="111">
        <v>8.3994484E-8</v>
      </c>
      <c r="CF134" s="111">
        <v>1.2668282E-10</v>
      </c>
      <c r="CG134" s="111">
        <v>1.3784523999999999E-8</v>
      </c>
      <c r="CH134" s="111">
        <v>3.4494449E-5</v>
      </c>
      <c r="CI134" s="111">
        <v>1.9790490999999998E-9</v>
      </c>
      <c r="CJ134" s="111">
        <v>9.1117780000000005E-8</v>
      </c>
      <c r="CK134" s="111">
        <v>2.1735581000000001E-10</v>
      </c>
      <c r="CL134" s="111">
        <v>9.3773977000000005E-11</v>
      </c>
      <c r="CM134" s="111">
        <v>5.6252526000000004E-12</v>
      </c>
      <c r="CN134" s="111">
        <v>1.2033836E-11</v>
      </c>
      <c r="CO134" s="111">
        <v>2.5522537999999999E-12</v>
      </c>
      <c r="CP134" s="111">
        <v>1.3495689000000001E-8</v>
      </c>
      <c r="CQ134" s="111">
        <v>5.6772096999999997E-6</v>
      </c>
      <c r="CR134" s="111">
        <v>1.4172049000000001E-7</v>
      </c>
      <c r="CS134" s="111">
        <v>2.1825121000000001E-4</v>
      </c>
      <c r="CT134" s="111">
        <v>0.31577342000000003</v>
      </c>
      <c r="CU134" s="111">
        <v>5.9249585000000001E-8</v>
      </c>
      <c r="CV134" s="111">
        <v>1.5936431E-10</v>
      </c>
      <c r="CW134" s="112">
        <v>2.1674286000000001E-15</v>
      </c>
    </row>
    <row r="135" spans="2:101" ht="12" customHeight="1" outlineLevel="1" x14ac:dyDescent="0.2">
      <c r="B135" s="104" t="s">
        <v>2366</v>
      </c>
      <c r="C135" s="104" t="s">
        <v>123</v>
      </c>
      <c r="D135" s="2" t="s">
        <v>154</v>
      </c>
      <c r="E135" s="2" t="s">
        <v>155</v>
      </c>
      <c r="F135" s="105" t="s">
        <v>93</v>
      </c>
      <c r="G135" s="27" t="s">
        <v>1578</v>
      </c>
      <c r="H135" s="106" t="s">
        <v>130</v>
      </c>
      <c r="I135" s="107" t="s">
        <v>129</v>
      </c>
      <c r="J135" s="108">
        <v>2.15</v>
      </c>
      <c r="K135" s="109"/>
      <c r="L135" s="109"/>
      <c r="M135" s="110"/>
      <c r="N135" s="161"/>
      <c r="O135" s="1056"/>
      <c r="P135" s="117">
        <v>5.6180259129379996E-5</v>
      </c>
      <c r="Q135" s="111">
        <v>2.9260389528000353E-7</v>
      </c>
      <c r="R135" s="112">
        <v>0.31528406880999998</v>
      </c>
      <c r="S135" s="1032">
        <v>18.093084999999999</v>
      </c>
      <c r="T135" s="1032">
        <v>1.5546689000000001E-4</v>
      </c>
      <c r="U135" s="1032">
        <v>1.5076752000000001E-2</v>
      </c>
      <c r="V135" s="1032">
        <v>1.5210669E-2</v>
      </c>
      <c r="W135" s="1032">
        <v>5.3421006E-2</v>
      </c>
      <c r="X135" s="1032">
        <v>1.540468E-2</v>
      </c>
      <c r="Y135" s="1032">
        <v>0.41784014000000003</v>
      </c>
      <c r="Z135" s="1032">
        <v>3.2979267000000001E-4</v>
      </c>
      <c r="AA135" s="1032">
        <v>5.4359066999999997E-2</v>
      </c>
      <c r="AB135" s="1032">
        <v>0.49244501000000002</v>
      </c>
      <c r="AC135" s="1032">
        <v>1.7540487E-2</v>
      </c>
      <c r="AD135" s="1032">
        <v>2.4546027000000002E-2</v>
      </c>
      <c r="AE135" s="1032">
        <v>4.0101225000000002E-3</v>
      </c>
      <c r="AF135" s="1032">
        <v>24.510539999999999</v>
      </c>
      <c r="AG135" s="1032">
        <v>16.988092000000002</v>
      </c>
      <c r="AH135" s="1032">
        <v>9.7218395000000005E-4</v>
      </c>
      <c r="AI135" s="1032">
        <v>0.78107554000000001</v>
      </c>
      <c r="AJ135" s="1036">
        <v>7.2771609000000001E-2</v>
      </c>
      <c r="AK135" s="1077">
        <v>14.267467</v>
      </c>
      <c r="AL135" s="1078">
        <v>2.5109161999999999E-8</v>
      </c>
      <c r="AM135" s="1078">
        <v>3.1035223000000001E-2</v>
      </c>
      <c r="AN135" s="1078">
        <v>2.0426271999999999E-2</v>
      </c>
      <c r="AO135" s="1078">
        <v>7.2756967000000006E-2</v>
      </c>
      <c r="AP135" s="1078">
        <v>0.5230165</v>
      </c>
      <c r="AQ135" s="1078">
        <v>2.5978434E-3</v>
      </c>
      <c r="AR135" s="1078">
        <v>0.20609633999999999</v>
      </c>
      <c r="AS135" s="1078">
        <v>2.2377009999999999E-3</v>
      </c>
      <c r="AT135" s="1078">
        <v>1.7847080000000001E-3</v>
      </c>
      <c r="AU135" s="1078">
        <v>1.981118E-3</v>
      </c>
      <c r="AV135" s="1078">
        <v>0.39662273999999997</v>
      </c>
      <c r="AW135" s="1078">
        <v>7.7118973999999998</v>
      </c>
      <c r="AX135" s="1078">
        <v>2.4465026000000002E-5</v>
      </c>
      <c r="AY135" s="1078">
        <v>-1.3558700999999999E-7</v>
      </c>
      <c r="AZ135" s="1078">
        <v>1.3124274999999999E-2</v>
      </c>
      <c r="BA135" s="1078">
        <v>0.82196422000000002</v>
      </c>
      <c r="BB135" s="1079">
        <v>7.2832627999999996E-2</v>
      </c>
      <c r="BC135" s="1035"/>
      <c r="BE135" s="113">
        <f t="array" ref="BE135">IFERROR(SUMIFS($CB135:$CW135,$CB$17:$CW$17,BE$17,$CB$18:$CW$18,BE$18)/SUMPRODUCT(($CB$18:$CW$18=BE$18)*ABS($CB135:$CW135)),"-")</f>
        <v>0.29926104401337145</v>
      </c>
      <c r="BF135" s="114">
        <f t="array" ref="BF135">IFERROR(SUMIFS($CB135:$CW135,$CB$17:$CW$17,BF$17,$CB$18:$CW$18,BF$18)/SUMPRODUCT(($CB$18:$CW$18=BF$18)*ABS($CB135:$CW135)),"-")</f>
        <v>1.469177701902688E-3</v>
      </c>
      <c r="BG135" s="114">
        <f t="array" ref="BG135">IFERROR(SUMIFS($CB135:$CW135,$CB$17:$CW$17,BG$17,$CB$18:$CW$18,BG$18)/SUMPRODUCT(($CB$18:$CW$18=BG$18)*ABS($CB135:$CW135)),"-")</f>
        <v>2.280469723447748E-6</v>
      </c>
      <c r="BH135" s="114">
        <f t="array" ref="BH135">IFERROR(SUMIFS($CB135:$CW135,$CB$17:$CW$17,BH$17,$CB$18:$CW$18,BH$18)/SUMPRODUCT(($CB$18:$CW$18=BH$18)*ABS($CB135:$CW135)),"-")</f>
        <v>2.4638585180112107E-4</v>
      </c>
      <c r="BI135" s="114">
        <f t="array" ref="BI135">IFERROR(SUMIFS($CB135:$CW135,$CB$17:$CW$17,BI$17,$CB$18:$CW$18,BI$18)/SUMPRODUCT(($CB$18:$CW$18=BI$18)*ABS($CB135:$CW135)),"-")</f>
        <v>0.59823136313061187</v>
      </c>
      <c r="BJ135" s="114">
        <f t="array" ref="BJ135">IFERROR(SUMIFS($CB135:$CW135,$CB$17:$CW$17,BJ$17,$CB$18:$CW$18,BJ$18)/SUMPRODUCT(($CB$18:$CW$18=BJ$18)*ABS($CB135:$CW135)),"-")</f>
        <v>2.3728028682282645E-4</v>
      </c>
      <c r="BK135" s="114">
        <f t="array" ref="BK135">IFERROR(SUMIFS($CB135:$CW135,$CB$17:$CW$17,BK$17,$CB$18:$CW$18,BK$18)/SUMPRODUCT(($CB$18:$CW$18=BK$18)*ABS($CB135:$CW135)),"-")</f>
        <v>9.9523125856783579E-2</v>
      </c>
      <c r="BL135" s="114">
        <f t="array" ref="BL135">IFERROR(SUMIFS($CB135:$CW135,$CB$17:$CW$17,BL$17,$CB$18:$CW$18,BL$18)/SUMPRODUCT(($CB$18:$CW$18=BL$18)*ABS($CB135:$CW135)),"-")</f>
        <v>1.0293426889830403E-3</v>
      </c>
      <c r="BM135" s="115"/>
      <c r="BN135" s="114">
        <f t="array" ref="BN135">IFERROR(SUMIFS($CB135:$CW135,$CB$17:$CW$17,BN$17,$CB$18:$CW$18,BN$18)/SUMPRODUCT(($CB$18:$CW$18=BN$18)*ABS($CB135:$CW135)),"-")</f>
        <v>0.17312268104676132</v>
      </c>
      <c r="BO135" s="114">
        <f t="array" ref="BO135">IFERROR(SUMIFS($CB135:$CW135,$CB$17:$CW$17,BO$17,$CB$18:$CW$18,BO$18)/SUMPRODUCT(($CB$18:$CW$18=BO$18)*ABS($CB135:$CW135)),"-")</f>
        <v>6.7914311191871711E-3</v>
      </c>
      <c r="BP135" s="114">
        <f t="array" ref="BP135">IFERROR(SUMIFS($CB135:$CW135,$CB$17:$CW$17,BP$17,$CB$18:$CW$18,BP$18)/SUMPRODUCT(($CB$18:$CW$18=BP$18)*ABS($CB135:$CW135)),"-")</f>
        <v>0.3030784122512688</v>
      </c>
      <c r="BQ135" s="114">
        <f t="array" ref="BQ135">IFERROR(SUMIFS($CB135:$CW135,$CB$17:$CW$17,BQ$17,$CB$18:$CW$18,BQ$18)/SUMPRODUCT(($CB$18:$CW$18=BQ$18)*ABS($CB135:$CW135)),"-")</f>
        <v>7.5625309016561957E-4</v>
      </c>
      <c r="BR135" s="114">
        <f t="array" ref="BR135">IFERROR(SUMIFS($CB135:$CW135,$CB$17:$CW$17,BR$17,$CB$18:$CW$18,BR$18)/SUMPRODUCT(($CB$18:$CW$18=BR$18)*ABS($CB135:$CW135)),"-")</f>
        <v>3.1562708661695468E-4</v>
      </c>
      <c r="BS135" s="114">
        <f t="array" ref="BS135">IFERROR(SUMIFS($CB135:$CW135,$CB$17:$CW$17,BS$17,$CB$18:$CW$18,BS$18)/SUMPRODUCT(($CB$18:$CW$18=BS$18)*ABS($CB135:$CW135)),"-")</f>
        <v>1.917898322792257E-5</v>
      </c>
      <c r="BT135" s="114">
        <f t="array" ref="BT135">IFERROR(SUMIFS($CB135:$CW135,$CB$17:$CW$17,BT$17,$CB$18:$CW$18,BT$18)/SUMPRODUCT(($CB$18:$CW$18=BT$18)*ABS($CB135:$CW135)),"-")</f>
        <v>4.1505233511598976E-5</v>
      </c>
      <c r="BU135" s="114">
        <f t="array" ref="BU135">IFERROR(SUMIFS($CB135:$CW135,$CB$17:$CW$17,BU$17,$CB$18:$CW$18,BU$18)/SUMPRODUCT(($CB$18:$CW$18=BU$18)*ABS($CB135:$CW135)),"-")</f>
        <v>8.8106376626770135E-6</v>
      </c>
      <c r="BV135" s="114">
        <f t="array" ref="BV135">IFERROR(SUMIFS($CB135:$CW135,$CB$17:$CW$17,BV$17,$CB$18:$CW$18,BV$18)/SUMPRODUCT(($CB$18:$CW$18=BV$18)*ABS($CB135:$CW135)),"-")</f>
        <v>0.51532735015610953</v>
      </c>
      <c r="BW135" s="114">
        <f t="array" ref="BW135">IFERROR(SUMIFS($CB135:$CW135,$CB$17:$CW$17,BW$17,$CB$18:$CW$18,BW$18)/SUMPRODUCT(($CB$18:$CW$18=BW$18)*ABS($CB135:$CW135)),"-")</f>
        <v>5.3875039548857684E-4</v>
      </c>
      <c r="BX135" s="115"/>
      <c r="BY135" s="114">
        <f t="array" ref="BY135">IFERROR(SUMIFS($CB135:$CW135,$CB$17:$CW$17,BY$17,$CB$18:$CW$18,BY$18)/SUMPRODUCT(($CB$18:$CW$18=BY$18)*ABS($CB135:$CW135)),"-")</f>
        <v>7.1221108902689309E-4</v>
      </c>
      <c r="BZ135" s="116">
        <f t="array" ref="BZ135">IFERROR(SUMIFS($CB135:$CW135,$CB$17:$CW$17,BZ$17,$CB$18:$CW$18,BZ$18)/SUMPRODUCT(($CB$18:$CW$18=BZ$18)*ABS($CB135:$CW135)),"-")</f>
        <v>0.99928778891097314</v>
      </c>
      <c r="CB135" s="117">
        <v>1.6812563000000001E-5</v>
      </c>
      <c r="CC135" s="111">
        <v>5.0654986999999998E-8</v>
      </c>
      <c r="CD135" s="111">
        <v>1.3838356E-12</v>
      </c>
      <c r="CE135" s="111">
        <v>8.2538784000000006E-8</v>
      </c>
      <c r="CF135" s="111">
        <v>1.2811738000000001E-10</v>
      </c>
      <c r="CG135" s="111">
        <v>1.3842020999999999E-8</v>
      </c>
      <c r="CH135" s="111">
        <v>3.3608792999999997E-5</v>
      </c>
      <c r="CI135" s="111">
        <v>1.9871992000000001E-9</v>
      </c>
      <c r="CJ135" s="111">
        <v>8.8681924000000002E-8</v>
      </c>
      <c r="CK135" s="111">
        <v>2.2128260000000001E-10</v>
      </c>
      <c r="CL135" s="111">
        <v>9.2353715000000002E-11</v>
      </c>
      <c r="CM135" s="111">
        <v>5.6118452000000002E-12</v>
      </c>
      <c r="CN135" s="111">
        <v>1.2144593E-11</v>
      </c>
      <c r="CO135" s="111">
        <v>2.5780268999999999E-12</v>
      </c>
      <c r="CP135" s="111">
        <v>1.3330468E-8</v>
      </c>
      <c r="CQ135" s="111">
        <v>5.5912349999999998E-6</v>
      </c>
      <c r="CR135" s="111">
        <v>1.5078678999999999E-7</v>
      </c>
      <c r="CS135" s="111">
        <v>2.2454880999999999E-4</v>
      </c>
      <c r="CT135" s="111">
        <v>0.31505951999999998</v>
      </c>
      <c r="CU135" s="111">
        <v>5.7828739000000001E-8</v>
      </c>
      <c r="CV135" s="111">
        <v>1.5763830000000001E-10</v>
      </c>
      <c r="CW135" s="112">
        <v>2.1643035999999998E-15</v>
      </c>
    </row>
    <row r="136" spans="2:101" ht="12" customHeight="1" outlineLevel="1" x14ac:dyDescent="0.2">
      <c r="B136" s="104" t="s">
        <v>2366</v>
      </c>
      <c r="C136" s="104" t="s">
        <v>123</v>
      </c>
      <c r="D136" s="2" t="s">
        <v>154</v>
      </c>
      <c r="E136" s="2" t="s">
        <v>155</v>
      </c>
      <c r="F136" s="105" t="s">
        <v>94</v>
      </c>
      <c r="G136" s="27" t="s">
        <v>1580</v>
      </c>
      <c r="H136" s="106" t="s">
        <v>131</v>
      </c>
      <c r="I136" s="107" t="s">
        <v>129</v>
      </c>
      <c r="J136" s="108">
        <v>2.15</v>
      </c>
      <c r="K136" s="109"/>
      <c r="L136" s="109"/>
      <c r="M136" s="110"/>
      <c r="N136" s="161"/>
      <c r="O136" s="1056"/>
      <c r="P136" s="117">
        <v>5.8666097971939999E-5</v>
      </c>
      <c r="Q136" s="111">
        <v>2.8446756849384448E-7</v>
      </c>
      <c r="R136" s="112">
        <v>0.31801741311000004</v>
      </c>
      <c r="S136" s="1032">
        <v>18.780833000000001</v>
      </c>
      <c r="T136" s="1032">
        <v>1.6085057999999999E-4</v>
      </c>
      <c r="U136" s="1032">
        <v>1.4864054E-2</v>
      </c>
      <c r="V136" s="1032">
        <v>1.5177289E-2</v>
      </c>
      <c r="W136" s="1032">
        <v>5.6071137E-2</v>
      </c>
      <c r="X136" s="1032">
        <v>1.5372248999999999E-2</v>
      </c>
      <c r="Y136" s="1032">
        <v>0.43936002000000002</v>
      </c>
      <c r="Z136" s="1032">
        <v>3.2149682999999999E-4</v>
      </c>
      <c r="AA136" s="1032">
        <v>5.6031069000000003E-2</v>
      </c>
      <c r="AB136" s="1032">
        <v>0.49683493000000001</v>
      </c>
      <c r="AC136" s="1032">
        <v>1.7355191999999998E-2</v>
      </c>
      <c r="AD136" s="1032">
        <v>2.4250961000000001E-2</v>
      </c>
      <c r="AE136" s="1032">
        <v>4.1140346000000001E-3</v>
      </c>
      <c r="AF136" s="1032">
        <v>25.270408</v>
      </c>
      <c r="AG136" s="1032">
        <v>15.341428000000001</v>
      </c>
      <c r="AH136" s="1032">
        <v>9.3077918E-4</v>
      </c>
      <c r="AI136" s="1032">
        <v>0.79010283000000003</v>
      </c>
      <c r="AJ136" s="1036">
        <v>7.5216158000000005E-2</v>
      </c>
      <c r="AK136" s="1077">
        <v>14.746542</v>
      </c>
      <c r="AL136" s="1078">
        <v>2.4742528E-8</v>
      </c>
      <c r="AM136" s="1078">
        <v>3.0605460000000001E-2</v>
      </c>
      <c r="AN136" s="1078">
        <v>2.0588634000000001E-2</v>
      </c>
      <c r="AO136" s="1078">
        <v>7.6317494E-2</v>
      </c>
      <c r="AP136" s="1078">
        <v>0.54988484000000004</v>
      </c>
      <c r="AQ136" s="1078">
        <v>2.7079893000000002E-3</v>
      </c>
      <c r="AR136" s="1078">
        <v>0.21283163999999999</v>
      </c>
      <c r="AS136" s="1078">
        <v>2.3119333000000001E-3</v>
      </c>
      <c r="AT136" s="1078">
        <v>1.7384268E-3</v>
      </c>
      <c r="AU136" s="1078">
        <v>1.9427165999999999E-3</v>
      </c>
      <c r="AV136" s="1078">
        <v>0.40402106999999998</v>
      </c>
      <c r="AW136" s="1078">
        <v>5.5563435999999999</v>
      </c>
      <c r="AX136" s="1078">
        <v>2.5070970999999998E-5</v>
      </c>
      <c r="AY136" s="1078">
        <v>-1.3796560000000001E-7</v>
      </c>
      <c r="AZ136" s="1078">
        <v>1.2763527E-2</v>
      </c>
      <c r="BA136" s="1078">
        <v>0.83154534999999996</v>
      </c>
      <c r="BB136" s="1079">
        <v>7.5278655E-2</v>
      </c>
      <c r="BC136" s="1035"/>
      <c r="BE136" s="113">
        <f t="array" ref="BE136">IFERROR(SUMIFS($CB136:$CW136,$CB$17:$CW$17,BE$17,$CB$18:$CW$18,BE$18)/SUMPRODUCT(($CB$18:$CW$18=BE$18)*ABS($CB136:$CW136)),"-")</f>
        <v>0.29747799160508737</v>
      </c>
      <c r="BF136" s="114">
        <f t="array" ref="BF136">IFERROR(SUMIFS($CB136:$CW136,$CB$17:$CW$17,BF$17,$CB$18:$CW$18,BF$18)/SUMPRODUCT(($CB$18:$CW$18=BF$18)*ABS($CB136:$CW136)),"-")</f>
        <v>1.4556453718951176E-3</v>
      </c>
      <c r="BG136" s="114">
        <f t="array" ref="BG136">IFERROR(SUMIFS($CB136:$CW136,$CB$17:$CW$17,BG$17,$CB$18:$CW$18,BG$18)/SUMPRODUCT(($CB$18:$CW$18=BG$18)*ABS($CB136:$CW136)),"-")</f>
        <v>2.1530312116618709E-6</v>
      </c>
      <c r="BH136" s="114">
        <f t="array" ref="BH136">IFERROR(SUMIFS($CB136:$CW136,$CB$17:$CW$17,BH$17,$CB$18:$CW$18,BH$18)/SUMPRODUCT(($CB$18:$CW$18=BH$18)*ABS($CB136:$CW136)),"-")</f>
        <v>2.354280832961843E-4</v>
      </c>
      <c r="BI136" s="114">
        <f t="array" ref="BI136">IFERROR(SUMIFS($CB136:$CW136,$CB$17:$CW$17,BI$17,$CB$18:$CW$18,BI$18)/SUMPRODUCT(($CB$18:$CW$18=BI$18)*ABS($CB136:$CW136)),"-")</f>
        <v>0.60130327769323555</v>
      </c>
      <c r="BJ136" s="114">
        <f t="array" ref="BJ136">IFERROR(SUMIFS($CB136:$CW136,$CB$17:$CW$17,BJ$17,$CB$18:$CW$18,BJ$18)/SUMPRODUCT(($CB$18:$CW$18=BJ$18)*ABS($CB136:$CW136)),"-")</f>
        <v>2.3311489041833334E-4</v>
      </c>
      <c r="BK136" s="114">
        <f t="array" ref="BK136">IFERROR(SUMIFS($CB136:$CW136,$CB$17:$CW$17,BK$17,$CB$18:$CW$18,BK$18)/SUMPRODUCT(($CB$18:$CW$18=BK$18)*ABS($CB136:$CW136)),"-")</f>
        <v>9.8260709324100526E-2</v>
      </c>
      <c r="BL136" s="114">
        <f t="array" ref="BL136">IFERROR(SUMIFS($CB136:$CW136,$CB$17:$CW$17,BL$17,$CB$18:$CW$18,BL$18)/SUMPRODUCT(($CB$18:$CW$18=BL$18)*ABS($CB136:$CW136)),"-")</f>
        <v>1.0316800007552733E-3</v>
      </c>
      <c r="BM136" s="115"/>
      <c r="BN136" s="114">
        <f t="array" ref="BN136">IFERROR(SUMIFS($CB136:$CW136,$CB$17:$CW$17,BN$17,$CB$18:$CW$18,BN$18)/SUMPRODUCT(($CB$18:$CW$18=BN$18)*ABS($CB136:$CW136)),"-")</f>
        <v>0.18484329060884777</v>
      </c>
      <c r="BO136" s="114">
        <f t="array" ref="BO136">IFERROR(SUMIFS($CB136:$CW136,$CB$17:$CW$17,BO$17,$CB$18:$CW$18,BO$18)/SUMPRODUCT(($CB$18:$CW$18=BO$18)*ABS($CB136:$CW136)),"-")</f>
        <v>6.9709728616846175E-3</v>
      </c>
      <c r="BP136" s="114">
        <f t="array" ref="BP136">IFERROR(SUMIFS($CB136:$CW136,$CB$17:$CW$17,BP$17,$CB$18:$CW$18,BP$18)/SUMPRODUCT(($CB$18:$CW$18=BP$18)*ABS($CB136:$CW136)),"-")</f>
        <v>0.32780322373380782</v>
      </c>
      <c r="BQ136" s="114">
        <f t="array" ref="BQ136">IFERROR(SUMIFS($CB136:$CW136,$CB$17:$CW$17,BQ$17,$CB$18:$CW$18,BQ$18)/SUMPRODUCT(($CB$18:$CW$18=BQ$18)*ABS($CB136:$CW136)),"-")</f>
        <v>7.5832169952501241E-4</v>
      </c>
      <c r="BR136" s="114">
        <f t="array" ref="BR136">IFERROR(SUMIFS($CB136:$CW136,$CB$17:$CW$17,BR$17,$CB$18:$CW$18,BR$18)/SUMPRODUCT(($CB$18:$CW$18=BR$18)*ABS($CB136:$CW136)),"-")</f>
        <v>3.3464051281494283E-4</v>
      </c>
      <c r="BS136" s="114">
        <f t="array" ref="BS136">IFERROR(SUMIFS($CB136:$CW136,$CB$17:$CW$17,BS$17,$CB$18:$CW$18,BS$18)/SUMPRODUCT(($CB$18:$CW$18=BS$18)*ABS($CB136:$CW136)),"-")</f>
        <v>1.9903364133836283E-5</v>
      </c>
      <c r="BT136" s="114">
        <f t="array" ref="BT136">IFERROR(SUMIFS($CB136:$CW136,$CB$17:$CW$17,BT$17,$CB$18:$CW$18,BT$18)/SUMPRODUCT(($CB$18:$CW$18=BT$18)*ABS($CB136:$CW136)),"-")</f>
        <v>4.2242664299568566E-5</v>
      </c>
      <c r="BU136" s="114">
        <f t="array" ref="BU136">IFERROR(SUMIFS($CB136:$CW136,$CB$17:$CW$17,BU$17,$CB$18:$CW$18,BU$18)/SUMPRODUCT(($CB$18:$CW$18=BU$18)*ABS($CB136:$CW136)),"-")</f>
        <v>8.9536712866272293E-6</v>
      </c>
      <c r="BV136" s="114">
        <f t="array" ref="BV136">IFERROR(SUMIFS($CB136:$CW136,$CB$17:$CW$17,BV$17,$CB$18:$CW$18,BV$18)/SUMPRODUCT(($CB$18:$CW$18=BV$18)*ABS($CB136:$CW136)),"-")</f>
        <v>0.47865111907456803</v>
      </c>
      <c r="BW136" s="114">
        <f t="array" ref="BW136">IFERROR(SUMIFS($CB136:$CW136,$CB$17:$CW$17,BW$17,$CB$18:$CW$18,BW$18)/SUMPRODUCT(($CB$18:$CW$18=BW$18)*ABS($CB136:$CW136)),"-")</f>
        <v>5.6733180903183428E-4</v>
      </c>
      <c r="BX136" s="115"/>
      <c r="BY136" s="114">
        <f t="array" ref="BY136">IFERROR(SUMIFS($CB136:$CW136,$CB$17:$CW$17,BY$17,$CB$18:$CW$18,BY$18)/SUMPRODUCT(($CB$18:$CW$18=BY$18)*ABS($CB136:$CW136)),"-")</f>
        <v>6.7594760896204679E-4</v>
      </c>
      <c r="BZ136" s="116">
        <f t="array" ref="BZ136">IFERROR(SUMIFS($CB136:$CW136,$CB$17:$CW$17,BZ$17,$CB$18:$CW$18,BZ$18)/SUMPRODUCT(($CB$18:$CW$18=BZ$18)*ABS($CB136:$CW136)),"-")</f>
        <v>0.99932405239103783</v>
      </c>
      <c r="CB136" s="117">
        <v>1.7451873000000001E-5</v>
      </c>
      <c r="CC136" s="111">
        <v>5.2580484999999997E-8</v>
      </c>
      <c r="CD136" s="111">
        <v>1.4364319000000001E-12</v>
      </c>
      <c r="CE136" s="111">
        <v>8.5397033999999998E-8</v>
      </c>
      <c r="CF136" s="111">
        <v>1.2630993999999999E-10</v>
      </c>
      <c r="CG136" s="111">
        <v>1.3811647E-8</v>
      </c>
      <c r="CH136" s="111">
        <v>3.5276116999999999E-5</v>
      </c>
      <c r="CI136" s="111">
        <v>1.9830156999999999E-9</v>
      </c>
      <c r="CJ136" s="111">
        <v>9.3249386000000001E-8</v>
      </c>
      <c r="CK136" s="111">
        <v>2.1571793000000001E-10</v>
      </c>
      <c r="CL136" s="111">
        <v>9.5194372999999994E-11</v>
      </c>
      <c r="CM136" s="111">
        <v>5.6618616E-12</v>
      </c>
      <c r="CN136" s="111">
        <v>1.2016668E-11</v>
      </c>
      <c r="CO136" s="111">
        <v>2.5470291000000002E-12</v>
      </c>
      <c r="CP136" s="111">
        <v>1.3675941000000001E-8</v>
      </c>
      <c r="CQ136" s="111">
        <v>5.7645723999999997E-6</v>
      </c>
      <c r="CR136" s="111">
        <v>1.3616071999999999E-7</v>
      </c>
      <c r="CS136" s="111">
        <v>2.1496311E-4</v>
      </c>
      <c r="CT136" s="111">
        <v>0.31780245000000001</v>
      </c>
      <c r="CU136" s="111">
        <v>6.0524639999999999E-8</v>
      </c>
      <c r="CV136" s="111">
        <v>1.6138532000000001E-10</v>
      </c>
      <c r="CW136" s="112">
        <v>2.1802445000000001E-15</v>
      </c>
    </row>
    <row r="137" spans="2:101" ht="12" customHeight="1" outlineLevel="1" x14ac:dyDescent="0.2">
      <c r="B137" s="104" t="s">
        <v>2366</v>
      </c>
      <c r="C137" s="104" t="s">
        <v>123</v>
      </c>
      <c r="D137" s="2" t="s">
        <v>154</v>
      </c>
      <c r="E137" s="2" t="s">
        <v>155</v>
      </c>
      <c r="F137" s="105" t="s">
        <v>95</v>
      </c>
      <c r="G137" s="27" t="s">
        <v>1581</v>
      </c>
      <c r="H137" s="106" t="s">
        <v>128</v>
      </c>
      <c r="I137" s="107" t="s">
        <v>127</v>
      </c>
      <c r="J137" s="108">
        <v>2.15</v>
      </c>
      <c r="K137" s="109"/>
      <c r="L137" s="109"/>
      <c r="M137" s="110"/>
      <c r="N137" s="161"/>
      <c r="O137" s="1056"/>
      <c r="P137" s="117">
        <v>5.9506692241900001E-5</v>
      </c>
      <c r="Q137" s="111">
        <v>2.8876580106432477E-7</v>
      </c>
      <c r="R137" s="112">
        <v>0.31828057432000001</v>
      </c>
      <c r="S137" s="1032">
        <v>18.525621999999998</v>
      </c>
      <c r="T137" s="1032">
        <v>1.60555E-4</v>
      </c>
      <c r="U137" s="1032">
        <v>1.4928066E-2</v>
      </c>
      <c r="V137" s="1032">
        <v>1.5311022000000001E-2</v>
      </c>
      <c r="W137" s="1032">
        <v>5.5653040000000001E-2</v>
      </c>
      <c r="X137" s="1032">
        <v>1.5505849E-2</v>
      </c>
      <c r="Y137" s="1032">
        <v>0.43594986000000002</v>
      </c>
      <c r="Z137" s="1032">
        <v>5.5884054999999998E-4</v>
      </c>
      <c r="AA137" s="1032">
        <v>5.6131996000000003E-2</v>
      </c>
      <c r="AB137" s="1032">
        <v>0.53243341</v>
      </c>
      <c r="AC137" s="1032">
        <v>1.9531739999999999E-2</v>
      </c>
      <c r="AD137" s="1032">
        <v>2.6907170000000001E-2</v>
      </c>
      <c r="AE137" s="1032">
        <v>4.2129995E-3</v>
      </c>
      <c r="AF137" s="1032">
        <v>31.152701</v>
      </c>
      <c r="AG137" s="1032">
        <v>15.967335</v>
      </c>
      <c r="AH137" s="1032">
        <v>9.4550823999999998E-4</v>
      </c>
      <c r="AI137" s="1032">
        <v>0.78923072999999999</v>
      </c>
      <c r="AJ137" s="1036">
        <v>7.3989542000000005E-2</v>
      </c>
      <c r="AK137" s="1077">
        <v>14.587918999999999</v>
      </c>
      <c r="AL137" s="1078">
        <v>2.4854284E-8</v>
      </c>
      <c r="AM137" s="1078">
        <v>3.0733349E-2</v>
      </c>
      <c r="AN137" s="1078">
        <v>2.0636580000000002E-2</v>
      </c>
      <c r="AO137" s="1078">
        <v>7.5758690000000004E-2</v>
      </c>
      <c r="AP137" s="1078">
        <v>0.54564884999999996</v>
      </c>
      <c r="AQ137" s="1078">
        <v>2.8596887999999998E-3</v>
      </c>
      <c r="AR137" s="1078">
        <v>0.21302272999999999</v>
      </c>
      <c r="AS137" s="1078">
        <v>2.9794381000000001E-3</v>
      </c>
      <c r="AT137" s="1078">
        <v>1.8835379999999999E-3</v>
      </c>
      <c r="AU137" s="1078">
        <v>2.0517717000000002E-3</v>
      </c>
      <c r="AV137" s="1078">
        <v>0.48506935000000001</v>
      </c>
      <c r="AW137" s="1078">
        <v>6.4179940999999996</v>
      </c>
      <c r="AX137" s="1078">
        <v>2.4751882999999999E-5</v>
      </c>
      <c r="AY137" s="1078">
        <v>-1.3659991999999999E-7</v>
      </c>
      <c r="AZ137" s="1078">
        <v>1.2877786E-2</v>
      </c>
      <c r="BA137" s="1078">
        <v>0.83052627999999995</v>
      </c>
      <c r="BB137" s="1079">
        <v>7.4051256999999995E-2</v>
      </c>
      <c r="BC137" s="1035"/>
      <c r="BE137" s="113">
        <f t="array" ref="BE137">IFERROR(SUMIFS($CB137:$CW137,$CB$17:$CW$17,BE$17,$CB$18:$CW$18,BE$18)/SUMPRODUCT(($CB$18:$CW$18=BE$18)*ABS($CB137:$CW137)),"-")</f>
        <v>0.28928894131807903</v>
      </c>
      <c r="BF137" s="114">
        <f t="array" ref="BF137">IFERROR(SUMIFS($CB137:$CW137,$CB$17:$CW$17,BF$17,$CB$18:$CW$18,BF$18)/SUMPRODUCT(($CB$18:$CW$18=BF$18)*ABS($CB137:$CW137)),"-")</f>
        <v>1.4324457769134835E-3</v>
      </c>
      <c r="BG137" s="114">
        <f t="array" ref="BG137">IFERROR(SUMIFS($CB137:$CW137,$CB$17:$CW$17,BG$17,$CB$18:$CW$18,BG$18)/SUMPRODUCT(($CB$18:$CW$18=BG$18)*ABS($CB137:$CW137)),"-")</f>
        <v>2.1317585505228153E-6</v>
      </c>
      <c r="BH137" s="114">
        <f t="array" ref="BH137">IFERROR(SUMIFS($CB137:$CW137,$CB$17:$CW$17,BH$17,$CB$18:$CW$18,BH$18)/SUMPRODUCT(($CB$18:$CW$18=BH$18)*ABS($CB137:$CW137)),"-")</f>
        <v>2.3414747946936328E-4</v>
      </c>
      <c r="BI137" s="114">
        <f t="array" ref="BI137">IFERROR(SUMIFS($CB137:$CW137,$CB$17:$CW$17,BI$17,$CB$18:$CW$18,BI$18)/SUMPRODUCT(($CB$18:$CW$18=BI$18)*ABS($CB137:$CW137)),"-")</f>
        <v>0.58838903123145692</v>
      </c>
      <c r="BJ137" s="114">
        <f t="array" ref="BJ137">IFERROR(SUMIFS($CB137:$CW137,$CB$17:$CW$17,BJ$17,$CB$18:$CW$18,BJ$18)/SUMPRODUCT(($CB$18:$CW$18=BJ$18)*ABS($CB137:$CW137)),"-")</f>
        <v>2.3534759658744628E-4</v>
      </c>
      <c r="BK137" s="114">
        <f t="array" ref="BK137">IFERROR(SUMIFS($CB137:$CW137,$CB$17:$CW$17,BK$17,$CB$18:$CW$18,BK$18)/SUMPRODUCT(($CB$18:$CW$18=BK$18)*ABS($CB137:$CW137)),"-")</f>
        <v>0.11942222012797762</v>
      </c>
      <c r="BL137" s="114">
        <f t="array" ref="BL137">IFERROR(SUMIFS($CB137:$CW137,$CB$17:$CW$17,BL$17,$CB$18:$CW$18,BL$18)/SUMPRODUCT(($CB$18:$CW$18=BL$18)*ABS($CB137:$CW137)),"-")</f>
        <v>9.9573471096547884E-4</v>
      </c>
      <c r="BM137" s="115"/>
      <c r="BN137" s="114">
        <f t="array" ref="BN137">IFERROR(SUMIFS($CB137:$CW137,$CB$17:$CW$17,BN$17,$CB$18:$CW$18,BN$18)/SUMPRODUCT(($CB$18:$CW$18=BN$18)*ABS($CB137:$CW137)),"-")</f>
        <v>0.17961725635525017</v>
      </c>
      <c r="BO137" s="114">
        <f t="array" ref="BO137">IFERROR(SUMIFS($CB137:$CW137,$CB$17:$CW$17,BO$17,$CB$18:$CW$18,BO$18)/SUMPRODUCT(($CB$18:$CW$18=BO$18)*ABS($CB137:$CW137)),"-")</f>
        <v>6.9268943643171557E-3</v>
      </c>
      <c r="BP137" s="114">
        <f t="array" ref="BP137">IFERROR(SUMIFS($CB137:$CW137,$CB$17:$CW$17,BP$17,$CB$18:$CW$18,BP$18)/SUMPRODUCT(($CB$18:$CW$18=BP$18)*ABS($CB137:$CW137)),"-")</f>
        <v>0.32041742359715658</v>
      </c>
      <c r="BQ137" s="114">
        <f t="array" ref="BQ137">IFERROR(SUMIFS($CB137:$CW137,$CB$17:$CW$17,BQ$17,$CB$18:$CW$18,BQ$18)/SUMPRODUCT(($CB$18:$CW$18=BQ$18)*ABS($CB137:$CW137)),"-")</f>
        <v>1.2985430359756193E-3</v>
      </c>
      <c r="BR137" s="114">
        <f t="array" ref="BR137">IFERROR(SUMIFS($CB137:$CW137,$CB$17:$CW$17,BR$17,$CB$18:$CW$18,BR$18)/SUMPRODUCT(($CB$18:$CW$18=BR$18)*ABS($CB137:$CW137)),"-")</f>
        <v>3.3025324899452527E-4</v>
      </c>
      <c r="BS137" s="114">
        <f t="array" ref="BS137">IFERROR(SUMIFS($CB137:$CW137,$CB$17:$CW$17,BS$17,$CB$18:$CW$18,BS$18)/SUMPRODUCT(($CB$18:$CW$18=BS$18)*ABS($CB137:$CW137)),"-")</f>
        <v>2.1013055831526045E-5</v>
      </c>
      <c r="BT137" s="114">
        <f t="array" ref="BT137">IFERROR(SUMIFS($CB137:$CW137,$CB$17:$CW$17,BT$17,$CB$18:$CW$18,BT$18)/SUMPRODUCT(($CB$18:$CW$18=BT$18)*ABS($CB137:$CW137)),"-")</f>
        <v>4.6836965977793276E-5</v>
      </c>
      <c r="BU137" s="114">
        <f t="array" ref="BU137">IFERROR(SUMIFS($CB137:$CW137,$CB$17:$CW$17,BU$17,$CB$18:$CW$18,BU$18)/SUMPRODUCT(($CB$18:$CW$18=BU$18)*ABS($CB137:$CW137)),"-")</f>
        <v>9.7865110396867414E-6</v>
      </c>
      <c r="BV137" s="114">
        <f t="array" ref="BV137">IFERROR(SUMIFS($CB137:$CW137,$CB$17:$CW$17,BV$17,$CB$18:$CW$18,BV$18)/SUMPRODUCT(($CB$18:$CW$18=BV$18)*ABS($CB137:$CW137)),"-")</f>
        <v>0.49078003516223412</v>
      </c>
      <c r="BW137" s="114">
        <f t="array" ref="BW137">IFERROR(SUMIFS($CB137:$CW137,$CB$17:$CW$17,BW$17,$CB$18:$CW$18,BW$18)/SUMPRODUCT(($CB$18:$CW$18=BW$18)*ABS($CB137:$CW137)),"-")</f>
        <v>5.5195770322294998E-4</v>
      </c>
      <c r="BX137" s="115"/>
      <c r="BY137" s="114">
        <f t="array" ref="BY137">IFERROR(SUMIFS($CB137:$CW137,$CB$17:$CW$17,BY$17,$CB$18:$CW$18,BY$18)/SUMPRODUCT(($CB$18:$CW$18=BY$18)*ABS($CB137:$CW137)),"-")</f>
        <v>6.8610634018916267E-4</v>
      </c>
      <c r="BZ137" s="116">
        <f t="array" ref="BZ137">IFERROR(SUMIFS($CB137:$CW137,$CB$17:$CW$17,BZ$17,$CB$18:$CW$18,BZ$18)/SUMPRODUCT(($CB$18:$CW$18=BZ$18)*ABS($CB137:$CW137)),"-")</f>
        <v>0.99931389365981083</v>
      </c>
      <c r="CB137" s="117">
        <v>1.7214627999999999E-5</v>
      </c>
      <c r="CC137" s="111">
        <v>5.1865903999999999E-8</v>
      </c>
      <c r="CD137" s="111">
        <v>1.4169163999999999E-12</v>
      </c>
      <c r="CE137" s="111">
        <v>8.5240110000000003E-8</v>
      </c>
      <c r="CF137" s="111">
        <v>1.2685390000000001E-10</v>
      </c>
      <c r="CG137" s="111">
        <v>1.3933342E-8</v>
      </c>
      <c r="CH137" s="111">
        <v>3.5013084999999998E-5</v>
      </c>
      <c r="CI137" s="111">
        <v>2.0002502000000001E-9</v>
      </c>
      <c r="CJ137" s="111">
        <v>9.2525594E-8</v>
      </c>
      <c r="CK137" s="111">
        <v>3.7497482000000002E-10</v>
      </c>
      <c r="CL137" s="111">
        <v>9.5365843999999995E-11</v>
      </c>
      <c r="CM137" s="111">
        <v>6.0678518999999997E-12</v>
      </c>
      <c r="CN137" s="111">
        <v>1.3524914E-11</v>
      </c>
      <c r="CO137" s="111">
        <v>2.8260096999999998E-12</v>
      </c>
      <c r="CP137" s="111">
        <v>1.4004757000000001E-8</v>
      </c>
      <c r="CQ137" s="111">
        <v>7.1064213E-6</v>
      </c>
      <c r="CR137" s="111">
        <v>1.4172049000000001E-7</v>
      </c>
      <c r="CS137" s="111">
        <v>2.1837431999999999E-4</v>
      </c>
      <c r="CT137" s="111">
        <v>0.31806220000000002</v>
      </c>
      <c r="CU137" s="111">
        <v>5.9252878999999999E-8</v>
      </c>
      <c r="CV137" s="111">
        <v>1.5938433999999999E-10</v>
      </c>
      <c r="CW137" s="112">
        <v>2.1683248E-15</v>
      </c>
    </row>
    <row r="138" spans="2:101" ht="12" customHeight="1" outlineLevel="1" x14ac:dyDescent="0.2">
      <c r="B138" s="104" t="s">
        <v>2366</v>
      </c>
      <c r="C138" s="104" t="s">
        <v>123</v>
      </c>
      <c r="D138" s="2" t="s">
        <v>154</v>
      </c>
      <c r="E138" s="2" t="s">
        <v>155</v>
      </c>
      <c r="F138" s="105" t="s">
        <v>96</v>
      </c>
      <c r="G138" s="27" t="s">
        <v>1582</v>
      </c>
      <c r="H138" s="106" t="s">
        <v>128</v>
      </c>
      <c r="I138" s="107" t="s">
        <v>1577</v>
      </c>
      <c r="J138" s="108">
        <v>2.15</v>
      </c>
      <c r="K138" s="109"/>
      <c r="L138" s="109"/>
      <c r="M138" s="110"/>
      <c r="N138" s="161"/>
      <c r="O138" s="1056"/>
      <c r="P138" s="117">
        <v>7.5884892694549989E-5</v>
      </c>
      <c r="Q138" s="111">
        <v>3.1224755512520977E-7</v>
      </c>
      <c r="R138" s="112">
        <v>0.31977435466999998</v>
      </c>
      <c r="S138" s="1032">
        <v>19.472176999999999</v>
      </c>
      <c r="T138" s="1032">
        <v>1.9509890999999999E-4</v>
      </c>
      <c r="U138" s="1032">
        <v>1.4941205000000001E-2</v>
      </c>
      <c r="V138" s="1032">
        <v>1.5417747000000001E-2</v>
      </c>
      <c r="W138" s="1032">
        <v>6.7534811E-2</v>
      </c>
      <c r="X138" s="1032">
        <v>1.5613106E-2</v>
      </c>
      <c r="Y138" s="1032">
        <v>0.53291973999999998</v>
      </c>
      <c r="Z138" s="1032">
        <v>8.7217043000000004E-4</v>
      </c>
      <c r="AA138" s="1032">
        <v>6.9963559999999994E-2</v>
      </c>
      <c r="AB138" s="1032">
        <v>0.55776230999999998</v>
      </c>
      <c r="AC138" s="1032">
        <v>2.3778506000000001E-2</v>
      </c>
      <c r="AD138" s="1032">
        <v>3.0775868000000001E-2</v>
      </c>
      <c r="AE138" s="1032">
        <v>7.8814478999999996E-3</v>
      </c>
      <c r="AF138" s="1032">
        <v>66.188090000000003</v>
      </c>
      <c r="AG138" s="1032">
        <v>15.967335</v>
      </c>
      <c r="AH138" s="1032">
        <v>9.4585595999999996E-4</v>
      </c>
      <c r="AI138" s="1032">
        <v>0.79254226000000005</v>
      </c>
      <c r="AJ138" s="1036">
        <v>7.3990509999999995E-2</v>
      </c>
      <c r="AK138" s="1077">
        <v>15.534381</v>
      </c>
      <c r="AL138" s="1078">
        <v>2.4876201999999999E-8</v>
      </c>
      <c r="AM138" s="1078">
        <v>3.0760020999999999E-2</v>
      </c>
      <c r="AN138" s="1078">
        <v>2.0749574999999999E-2</v>
      </c>
      <c r="AO138" s="1078">
        <v>9.1610289999999997E-2</v>
      </c>
      <c r="AP138" s="1078">
        <v>0.66687152000000005</v>
      </c>
      <c r="AQ138" s="1078">
        <v>4.4656406000000001E-3</v>
      </c>
      <c r="AR138" s="1078">
        <v>0.26498718999999998</v>
      </c>
      <c r="AS138" s="1078">
        <v>5.9086989000000003E-3</v>
      </c>
      <c r="AT138" s="1078">
        <v>2.1761278000000002E-3</v>
      </c>
      <c r="AU138" s="1078">
        <v>2.2387611000000002E-3</v>
      </c>
      <c r="AV138" s="1078">
        <v>1.0803503000000001</v>
      </c>
      <c r="AW138" s="1078">
        <v>6.4179940999999996</v>
      </c>
      <c r="AX138" s="1078">
        <v>2.4751882999999999E-5</v>
      </c>
      <c r="AY138" s="1078">
        <v>-1.3659991999999999E-7</v>
      </c>
      <c r="AZ138" s="1078">
        <v>1.2880325999999999E-2</v>
      </c>
      <c r="BA138" s="1078">
        <v>0.83396711000000001</v>
      </c>
      <c r="BB138" s="1079">
        <v>7.4052224999999999E-2</v>
      </c>
      <c r="BC138" s="1035"/>
      <c r="BE138" s="113">
        <f t="array" ref="BE138">IFERROR(SUMIFS($CB138:$CW138,$CB$17:$CW$17,BE$17,$CB$18:$CW$18,BE$18)/SUMPRODUCT(($CB$18:$CW$18=BE$18)*ABS($CB138:$CW138)),"-")</f>
        <v>0.23844619604106698</v>
      </c>
      <c r="BF138" s="114">
        <f t="array" ref="BF138">IFERROR(SUMIFS($CB138:$CW138,$CB$17:$CW$17,BF$17,$CB$18:$CW$18,BF$18)/SUMPRODUCT(($CB$18:$CW$18=BF$18)*ABS($CB138:$CW138)),"-")</f>
        <v>1.3649591680511006E-3</v>
      </c>
      <c r="BG138" s="114">
        <f t="array" ref="BG138">IFERROR(SUMIFS($CB138:$CW138,$CB$17:$CW$17,BG$17,$CB$18:$CW$18,BG$18)/SUMPRODUCT(($CB$18:$CW$18=BG$18)*ABS($CB138:$CW138)),"-")</f>
        <v>1.6731334194680703E-6</v>
      </c>
      <c r="BH138" s="114">
        <f t="array" ref="BH138">IFERROR(SUMIFS($CB138:$CW138,$CB$17:$CW$17,BH$17,$CB$18:$CW$18,BH$18)/SUMPRODUCT(($CB$18:$CW$18=BH$18)*ABS($CB138:$CW138)),"-")</f>
        <v>1.8489138617451927E-4</v>
      </c>
      <c r="BI138" s="114">
        <f t="array" ref="BI138">IFERROR(SUMIFS($CB138:$CW138,$CB$17:$CW$17,BI$17,$CB$18:$CW$18,BI$18)/SUMPRODUCT(($CB$18:$CW$18=BI$18)*ABS($CB138:$CW138)),"-")</f>
        <v>0.55990981197040701</v>
      </c>
      <c r="BJ138" s="114">
        <f t="array" ref="BJ138">IFERROR(SUMIFS($CB138:$CW138,$CB$17:$CW$17,BJ$17,$CB$18:$CW$18,BJ$18)/SUMPRODUCT(($CB$18:$CW$18=BJ$18)*ABS($CB138:$CW138)),"-")</f>
        <v>3.4534485151722607E-4</v>
      </c>
      <c r="BK138" s="114">
        <f t="array" ref="BK138">IFERROR(SUMIFS($CB138:$CW138,$CB$17:$CW$17,BK$17,$CB$18:$CW$18,BK$18)/SUMPRODUCT(($CB$18:$CW$18=BK$18)*ABS($CB138:$CW138)),"-")</f>
        <v>0.19896626935712025</v>
      </c>
      <c r="BL138" s="114">
        <f t="array" ref="BL138">IFERROR(SUMIFS($CB138:$CW138,$CB$17:$CW$17,BL$17,$CB$18:$CW$18,BL$18)/SUMPRODUCT(($CB$18:$CW$18=BL$18)*ABS($CB138:$CW138)),"-")</f>
        <v>7.8085409224352325E-4</v>
      </c>
      <c r="BM138" s="115"/>
      <c r="BN138" s="114">
        <f t="array" ref="BN138">IFERROR(SUMIFS($CB138:$CW138,$CB$17:$CW$17,BN$17,$CB$18:$CW$18,BN$18)/SUMPRODUCT(($CB$18:$CW$18=BN$18)*ABS($CB138:$CW138)),"-")</f>
        <v>0.17459381328202603</v>
      </c>
      <c r="BO138" s="114">
        <f t="array" ref="BO138">IFERROR(SUMIFS($CB138:$CW138,$CB$17:$CW$17,BO$17,$CB$18:$CW$18,BO$18)/SUMPRODUCT(($CB$18:$CW$18=BO$18)*ABS($CB138:$CW138)),"-")</f>
        <v>6.4502868539430555E-3</v>
      </c>
      <c r="BP138" s="114">
        <f t="array" ref="BP138">IFERROR(SUMIFS($CB138:$CW138,$CB$17:$CW$17,BP$17,$CB$18:$CW$18,BP$18)/SUMPRODUCT(($CB$18:$CW$18=BP$18)*ABS($CB138:$CW138)),"-")</f>
        <v>0.36223482984404687</v>
      </c>
      <c r="BQ138" s="114">
        <f t="array" ref="BQ138">IFERROR(SUMIFS($CB138:$CW138,$CB$17:$CW$17,BQ$17,$CB$18:$CW$18,BQ$18)/SUMPRODUCT(($CB$18:$CW$18=BQ$18)*ABS($CB138:$CW138)),"-")</f>
        <v>1.8742153473878438E-3</v>
      </c>
      <c r="BR138" s="114">
        <f t="array" ref="BR138">IFERROR(SUMIFS($CB138:$CW138,$CB$17:$CW$17,BR$17,$CB$18:$CW$18,BR$18)/SUMPRODUCT(($CB$18:$CW$18=BR$18)*ABS($CB138:$CW138)),"-")</f>
        <v>3.8067574284876527E-4</v>
      </c>
      <c r="BS138" s="114">
        <f t="array" ref="BS138">IFERROR(SUMIFS($CB138:$CW138,$CB$17:$CW$17,BS$17,$CB$18:$CW$18,BS$18)/SUMPRODUCT(($CB$18:$CW$18=BS$18)*ABS($CB138:$CW138)),"-")</f>
        <v>2.0357883018334584E-5</v>
      </c>
      <c r="BT138" s="114">
        <f t="array" ref="BT138">IFERROR(SUMIFS($CB138:$CW138,$CB$17:$CW$17,BT$17,$CB$18:$CW$18,BT$18)/SUMPRODUCT(($CB$18:$CW$18=BT$18)*ABS($CB138:$CW138)),"-")</f>
        <v>5.2761482770917927E-5</v>
      </c>
      <c r="BU138" s="114">
        <f t="array" ref="BU138">IFERROR(SUMIFS($CB138:$CW138,$CB$17:$CW$17,BU$17,$CB$18:$CW$18,BU$18)/SUMPRODUCT(($CB$18:$CW$18=BU$18)*ABS($CB138:$CW138)),"-")</f>
        <v>1.0351804992368484E-5</v>
      </c>
      <c r="BV138" s="114">
        <f t="array" ref="BV138">IFERROR(SUMIFS($CB138:$CW138,$CB$17:$CW$17,BV$17,$CB$18:$CW$18,BV$18)/SUMPRODUCT(($CB$18:$CW$18=BV$18)*ABS($CB138:$CW138)),"-")</f>
        <v>0.45387221668771999</v>
      </c>
      <c r="BW138" s="114">
        <f t="array" ref="BW138">IFERROR(SUMIFS($CB138:$CW138,$CB$17:$CW$17,BW$17,$CB$18:$CW$18,BW$18)/SUMPRODUCT(($CB$18:$CW$18=BW$18)*ABS($CB138:$CW138)),"-")</f>
        <v>5.104910712456388E-4</v>
      </c>
      <c r="BX138" s="115"/>
      <c r="BY138" s="114">
        <f t="array" ref="BY138">IFERROR(SUMIFS($CB138:$CW138,$CB$17:$CW$17,BY$17,$CB$18:$CW$18,BY$18)/SUMPRODUCT(($CB$18:$CW$18=BY$18)*ABS($CB138:$CW138)),"-")</f>
        <v>6.8315256307980156E-4</v>
      </c>
      <c r="BZ138" s="116">
        <f t="array" ref="BZ138">IFERROR(SUMIFS($CB138:$CW138,$CB$17:$CW$17,BZ$17,$CB$18:$CW$18,BZ$18)/SUMPRODUCT(($CB$18:$CW$18=BZ$18)*ABS($CB138:$CW138)),"-")</f>
        <v>0.99931684743692029</v>
      </c>
      <c r="CB138" s="117">
        <v>1.8094463999999999E-5</v>
      </c>
      <c r="CC138" s="111">
        <v>5.4515002000000003E-8</v>
      </c>
      <c r="CD138" s="111">
        <v>1.4893373000000001E-12</v>
      </c>
      <c r="CE138" s="111">
        <v>1.0357978E-7</v>
      </c>
      <c r="CF138" s="111">
        <v>1.2696555000000001E-10</v>
      </c>
      <c r="CG138" s="111">
        <v>1.4030462999999999E-8</v>
      </c>
      <c r="CH138" s="111">
        <v>4.2488696000000001E-5</v>
      </c>
      <c r="CI138" s="111">
        <v>2.0140863000000001E-9</v>
      </c>
      <c r="CJ138" s="111">
        <v>1.1310694E-7</v>
      </c>
      <c r="CK138" s="111">
        <v>5.8521915999999995E-10</v>
      </c>
      <c r="CL138" s="111">
        <v>1.1886507000000001E-10</v>
      </c>
      <c r="CM138" s="111">
        <v>6.3566991999999997E-12</v>
      </c>
      <c r="CN138" s="111">
        <v>1.6474644000000001E-11</v>
      </c>
      <c r="CO138" s="111">
        <v>3.2323257999999998E-12</v>
      </c>
      <c r="CP138" s="111">
        <v>2.6206457E-8</v>
      </c>
      <c r="CQ138" s="111">
        <v>1.5098533999999999E-5</v>
      </c>
      <c r="CR138" s="111">
        <v>1.4172049000000001E-7</v>
      </c>
      <c r="CS138" s="111">
        <v>2.1845467000000001E-4</v>
      </c>
      <c r="CT138" s="111">
        <v>0.3195559</v>
      </c>
      <c r="CU138" s="111">
        <v>5.9255029000000003E-8</v>
      </c>
      <c r="CV138" s="111">
        <v>1.5939742E-10</v>
      </c>
      <c r="CW138" s="112">
        <v>2.1689097E-15</v>
      </c>
    </row>
    <row r="139" spans="2:101" ht="12" customHeight="1" outlineLevel="1" x14ac:dyDescent="0.2">
      <c r="B139" s="88" t="s">
        <v>115</v>
      </c>
      <c r="C139" s="88" t="s">
        <v>124</v>
      </c>
      <c r="D139" s="89" t="s">
        <v>154</v>
      </c>
      <c r="E139" s="89" t="s">
        <v>115</v>
      </c>
      <c r="F139" s="90" t="s">
        <v>92</v>
      </c>
      <c r="G139" s="18" t="s">
        <v>126</v>
      </c>
      <c r="H139" s="91" t="s">
        <v>127</v>
      </c>
      <c r="I139" s="92" t="s">
        <v>127</v>
      </c>
      <c r="J139" s="93">
        <v>0.64</v>
      </c>
      <c r="K139" s="94"/>
      <c r="L139" s="94"/>
      <c r="M139" s="95"/>
      <c r="N139" s="94"/>
      <c r="O139" s="1057"/>
      <c r="P139" s="103">
        <v>4.3453689447170006E-6</v>
      </c>
      <c r="Q139" s="97">
        <v>1.7616713789401698E-8</v>
      </c>
      <c r="R139" s="98">
        <v>2.7883000818000003E-2</v>
      </c>
      <c r="S139" s="1033">
        <v>1.7017058</v>
      </c>
      <c r="T139" s="1033">
        <v>1.4606524E-5</v>
      </c>
      <c r="U139" s="1033">
        <v>3.1850773999999998E-3</v>
      </c>
      <c r="V139" s="1033">
        <v>8.7662535000000003E-4</v>
      </c>
      <c r="W139" s="1033">
        <v>3.6130696999999998E-3</v>
      </c>
      <c r="X139" s="1033">
        <v>8.8957342999999996E-4</v>
      </c>
      <c r="Y139" s="1033">
        <v>2.8537247000000002E-2</v>
      </c>
      <c r="Z139" s="1033">
        <v>5.2943184000000001E-5</v>
      </c>
      <c r="AA139" s="1033">
        <v>3.1892910999999999E-3</v>
      </c>
      <c r="AB139" s="1033">
        <v>0.32194982</v>
      </c>
      <c r="AC139" s="1033">
        <v>1.8848924E-2</v>
      </c>
      <c r="AD139" s="1033">
        <v>4.5772664999999997E-3</v>
      </c>
      <c r="AE139" s="1033">
        <v>3.3721701999999998E-4</v>
      </c>
      <c r="AF139" s="1033">
        <v>2.1023925000000001</v>
      </c>
      <c r="AG139" s="1033">
        <v>0.74157987999999997</v>
      </c>
      <c r="AH139" s="1033">
        <v>2.3001531999999999E-4</v>
      </c>
      <c r="AI139" s="1033">
        <v>7.5298561999999999E-2</v>
      </c>
      <c r="AJ139" s="1034">
        <v>9.0954932000000006E-3</v>
      </c>
      <c r="AK139" s="1074">
        <v>1.3993031</v>
      </c>
      <c r="AL139" s="1075">
        <v>5.1446064000000002E-9</v>
      </c>
      <c r="AM139" s="1075">
        <v>6.6084239000000003E-3</v>
      </c>
      <c r="AN139" s="1075">
        <v>1.2417317000000001E-3</v>
      </c>
      <c r="AO139" s="1075">
        <v>4.8710063999999999E-3</v>
      </c>
      <c r="AP139" s="1075">
        <v>3.5688106999999997E-2</v>
      </c>
      <c r="AQ139" s="1075">
        <v>1.9960537000000001E-4</v>
      </c>
      <c r="AR139" s="1075">
        <v>1.2278898E-2</v>
      </c>
      <c r="AS139" s="1075">
        <v>2.9899409999999999E-3</v>
      </c>
      <c r="AT139" s="1075">
        <v>8.7345737000000005E-4</v>
      </c>
      <c r="AU139" s="1075">
        <v>2.8853532E-4</v>
      </c>
      <c r="AV139" s="1075">
        <v>4.4288897000000001E-2</v>
      </c>
      <c r="AW139" s="1075">
        <v>0.43123431000000001</v>
      </c>
      <c r="AX139" s="1075">
        <v>4.7827771999999996E-6</v>
      </c>
      <c r="AY139" s="1075">
        <v>2.8505511999999998E-3</v>
      </c>
      <c r="AZ139" s="1075">
        <v>5.5842583999999998E-4</v>
      </c>
      <c r="BA139" s="1075">
        <v>7.6692973999999997E-2</v>
      </c>
      <c r="BB139" s="1076">
        <v>9.1076977999999999E-3</v>
      </c>
      <c r="BC139" s="1035"/>
      <c r="BE139" s="99">
        <f t="array" ref="BE139">IFERROR(SUMIFS($CB139:$CW139,$CB$17:$CW$17,BE$17,$CB$18:$CW$18,BE$18)/SUMPRODUCT(($CB$18:$CW$18=BE$18)*ABS($CB139:$CW139)),"-")</f>
        <v>0.3638436045625506</v>
      </c>
      <c r="BF139" s="100">
        <f t="array" ref="BF139">IFERROR(SUMIFS($CB139:$CW139,$CB$17:$CW$17,BF$17,$CB$18:$CW$18,BF$18)/SUMPRODUCT(($CB$18:$CW$18=BF$18)*ABS($CB139:$CW139)),"-")</f>
        <v>1.7845978554773879E-3</v>
      </c>
      <c r="BG139" s="100">
        <f t="array" ref="BG139">IFERROR(SUMIFS($CB139:$CW139,$CB$17:$CW$17,BG$17,$CB$18:$CW$18,BG$18)/SUMPRODUCT(($CB$18:$CW$18=BG$18)*ABS($CB139:$CW139)),"-")</f>
        <v>6.2286418815842814E-6</v>
      </c>
      <c r="BH139" s="100">
        <f t="array" ref="BH139">IFERROR(SUMIFS($CB139:$CW139,$CB$17:$CW$17,BH$17,$CB$18:$CW$18,BH$18)/SUMPRODUCT(($CB$18:$CW$18=BH$18)*ABS($CB139:$CW139)),"-")</f>
        <v>1.8357674115792533E-4</v>
      </c>
      <c r="BI139" s="100">
        <f t="array" ref="BI139">IFERROR(SUMIFS($CB139:$CW139,$CB$17:$CW$17,BI$17,$CB$18:$CW$18,BI$18)/SUMPRODUCT(($CB$18:$CW$18=BI$18)*ABS($CB139:$CW139)),"-")</f>
        <v>0.52310945950023113</v>
      </c>
      <c r="BJ139" s="100">
        <f t="array" ref="BJ139">IFERROR(SUMIFS($CB139:$CW139,$CB$17:$CW$17,BJ$17,$CB$18:$CW$18,BJ$18)/SUMPRODUCT(($CB$18:$CW$18=BJ$18)*ABS($CB139:$CW139)),"-")</f>
        <v>2.5789764097303478E-4</v>
      </c>
      <c r="BK139" s="100">
        <f t="array" ref="BK139">IFERROR(SUMIFS($CB139:$CW139,$CB$17:$CW$17,BK$17,$CB$18:$CW$18,BK$18)/SUMPRODUCT(($CB$18:$CW$18=BK$18)*ABS($CB139:$CW139)),"-")</f>
        <v>0.11036728436674412</v>
      </c>
      <c r="BL139" s="100">
        <f t="array" ref="BL139">IFERROR(SUMIFS($CB139:$CW139,$CB$17:$CW$17,BL$17,$CB$18:$CW$18,BL$18)/SUMPRODUCT(($CB$18:$CW$18=BL$18)*ABS($CB139:$CW139)),"-")</f>
        <v>4.4735069098410002E-4</v>
      </c>
      <c r="BM139" s="101"/>
      <c r="BN139" s="100">
        <f t="array" ref="BN139">IFERROR(SUMIFS($CB139:$CW139,$CB$17:$CW$17,BN$17,$CB$18:$CW$18,BN$18)/SUMPRODUCT(($CB$18:$CW$18=BN$18)*ABS($CB139:$CW139)),"-")</f>
        <v>0.2704463224785017</v>
      </c>
      <c r="BO139" s="100">
        <f t="array" ref="BO139">IFERROR(SUMIFS($CB139:$CW139,$CB$17:$CW$17,BO$17,$CB$18:$CW$18,BO$18)/SUMPRODUCT(($CB$18:$CW$18=BO$18)*ABS($CB139:$CW139)),"-")</f>
        <v>6.5136790761188357E-3</v>
      </c>
      <c r="BP139" s="100">
        <f t="array" ref="BP139">IFERROR(SUMIFS($CB139:$CW139,$CB$17:$CW$17,BP$17,$CB$18:$CW$18,BP$18)/SUMPRODUCT(($CB$18:$CW$18=BP$18)*ABS($CB139:$CW139)),"-")</f>
        <v>0.3438060794087352</v>
      </c>
      <c r="BQ139" s="100">
        <f t="array" ref="BQ139">IFERROR(SUMIFS($CB139:$CW139,$CB$17:$CW$17,BQ$17,$CB$18:$CW$18,BQ$18)/SUMPRODUCT(($CB$18:$CW$18=BQ$18)*ABS($CB139:$CW139)),"-")</f>
        <v>2.016428627078605E-3</v>
      </c>
      <c r="BR139" s="100">
        <f t="array" ref="BR139">IFERROR(SUMIFS($CB139:$CW139,$CB$17:$CW$17,BR$17,$CB$18:$CW$18,BR$18)/SUMPRODUCT(($CB$18:$CW$18=BR$18)*ABS($CB139:$CW139)),"-")</f>
        <v>3.0757577518570917E-4</v>
      </c>
      <c r="BS139" s="100">
        <f t="array" ref="BS139">IFERROR(SUMIFS($CB139:$CW139,$CB$17:$CW$17,BS$17,$CB$18:$CW$18,BS$18)/SUMPRODUCT(($CB$18:$CW$18=BS$18)*ABS($CB139:$CW139)),"-")</f>
        <v>2.0832366035303796E-4</v>
      </c>
      <c r="BT139" s="100">
        <f t="array" ref="BT139">IFERROR(SUMIFS($CB139:$CW139,$CB$17:$CW$17,BT$17,$CB$18:$CW$18,BT$18)/SUMPRODUCT(($CB$18:$CW$18=BT$18)*ABS($CB139:$CW139)),"-")</f>
        <v>7.4306758663895956E-4</v>
      </c>
      <c r="BU139" s="100">
        <f t="array" ref="BU139">IFERROR(SUMIFS($CB139:$CW139,$CB$17:$CW$17,BU$17,$CB$18:$CW$18,BU$18)/SUMPRODUCT(($CB$18:$CW$18=BU$18)*ABS($CB139:$CW139)),"-")</f>
        <v>2.7270112674988048E-5</v>
      </c>
      <c r="BV139" s="100">
        <f t="array" ref="BV139">IFERROR(SUMIFS($CB139:$CW139,$CB$17:$CW$17,BV$17,$CB$18:$CW$18,BV$18)/SUMPRODUCT(($CB$18:$CW$18=BV$18)*ABS($CB139:$CW139)),"-")</f>
        <v>0.37369159644067651</v>
      </c>
      <c r="BW139" s="100">
        <f t="array" ref="BW139">IFERROR(SUMIFS($CB139:$CW139,$CB$17:$CW$17,BW$17,$CB$18:$CW$18,BW$18)/SUMPRODUCT(($CB$18:$CW$18=BW$18)*ABS($CB139:$CW139)),"-")</f>
        <v>2.2396568340365816E-3</v>
      </c>
      <c r="BX139" s="101"/>
      <c r="BY139" s="100">
        <f t="array" ref="BY139">IFERROR(SUMIFS($CB139:$CW139,$CB$17:$CW$17,BY$17,$CB$18:$CW$18,BY$18)/SUMPRODUCT(($CB$18:$CW$18=BY$18)*ABS($CB139:$CW139)),"-")</f>
        <v>1.9067824997400535E-3</v>
      </c>
      <c r="BZ139" s="102">
        <f t="array" ref="BZ139">IFERROR(SUMIFS($CB139:$CW139,$CB$17:$CW$17,BZ$17,$CB$18:$CW$18,BZ$18)/SUMPRODUCT(($CB$18:$CW$18=BZ$18)*ABS($CB139:$CW139)),"-")</f>
        <v>0.99809321750025992</v>
      </c>
      <c r="CB139" s="103">
        <v>1.5810347000000001E-6</v>
      </c>
      <c r="CC139" s="97">
        <v>4.7642453000000001E-9</v>
      </c>
      <c r="CD139" s="97">
        <v>1.3015849999999999E-13</v>
      </c>
      <c r="CE139" s="97">
        <v>7.7547360999999992E-9</v>
      </c>
      <c r="CF139" s="97">
        <v>2.7065747000000001E-11</v>
      </c>
      <c r="CG139" s="97">
        <v>7.9770867E-10</v>
      </c>
      <c r="CH139" s="97">
        <v>2.2731035999999998E-6</v>
      </c>
      <c r="CI139" s="97">
        <v>1.1474962E-10</v>
      </c>
      <c r="CJ139" s="97">
        <v>6.0567333000000003E-9</v>
      </c>
      <c r="CK139" s="97">
        <v>3.5522845999999999E-11</v>
      </c>
      <c r="CL139" s="97">
        <v>5.4184743999999997E-12</v>
      </c>
      <c r="CM139" s="97">
        <v>3.6699782999999999E-12</v>
      </c>
      <c r="CN139" s="97">
        <v>1.3090409E-11</v>
      </c>
      <c r="CO139" s="97">
        <v>4.8040977E-13</v>
      </c>
      <c r="CP139" s="97">
        <v>1.1206604000000001E-9</v>
      </c>
      <c r="CQ139" s="97">
        <v>4.7958657000000002E-7</v>
      </c>
      <c r="CR139" s="97">
        <v>6.5832179000000001E-9</v>
      </c>
      <c r="CS139" s="97">
        <v>5.3166818000000003E-5</v>
      </c>
      <c r="CT139" s="97">
        <v>2.7829834000000001E-2</v>
      </c>
      <c r="CU139" s="97">
        <v>1.9439037999999998E-9</v>
      </c>
      <c r="CV139" s="97">
        <v>3.9452559000000001E-11</v>
      </c>
      <c r="CW139" s="98">
        <v>2.8344316999999999E-15</v>
      </c>
    </row>
    <row r="140" spans="2:101" ht="12" customHeight="1" outlineLevel="1" x14ac:dyDescent="0.2">
      <c r="B140" s="104" t="s">
        <v>115</v>
      </c>
      <c r="C140" s="104" t="s">
        <v>124</v>
      </c>
      <c r="D140" s="2" t="s">
        <v>154</v>
      </c>
      <c r="E140" s="2" t="s">
        <v>115</v>
      </c>
      <c r="F140" s="105" t="s">
        <v>122</v>
      </c>
      <c r="G140" s="27" t="s">
        <v>1579</v>
      </c>
      <c r="H140" s="106" t="s">
        <v>128</v>
      </c>
      <c r="I140" s="107" t="s">
        <v>129</v>
      </c>
      <c r="J140" s="108">
        <v>0.64</v>
      </c>
      <c r="K140" s="109"/>
      <c r="L140" s="109"/>
      <c r="M140" s="110"/>
      <c r="N140" s="161"/>
      <c r="O140" s="1056"/>
      <c r="P140" s="117">
        <v>4.2916894733210002E-6</v>
      </c>
      <c r="Q140" s="111">
        <v>2.0274487757852137E-8</v>
      </c>
      <c r="R140" s="112">
        <v>2.3057566452000001E-2</v>
      </c>
      <c r="S140" s="1032">
        <v>1.5301241000000001</v>
      </c>
      <c r="T140" s="1032">
        <v>1.0153858E-5</v>
      </c>
      <c r="U140" s="1032">
        <v>3.6701288999999998E-3</v>
      </c>
      <c r="V140" s="1032">
        <v>7.8666909000000001E-4</v>
      </c>
      <c r="W140" s="1032">
        <v>3.7432953999999999E-3</v>
      </c>
      <c r="X140" s="1032">
        <v>8.0170511999999995E-4</v>
      </c>
      <c r="Y140" s="1032">
        <v>2.9710721999999998E-2</v>
      </c>
      <c r="Z140" s="1032">
        <v>2.1902870000000001E-5</v>
      </c>
      <c r="AA140" s="1032">
        <v>2.7548006000000002E-3</v>
      </c>
      <c r="AB140" s="1032">
        <v>2.4968908000000001E-2</v>
      </c>
      <c r="AC140" s="1032">
        <v>1.0344159E-3</v>
      </c>
      <c r="AD140" s="1032">
        <v>1.3811387999999999E-3</v>
      </c>
      <c r="AE140" s="1032">
        <v>3.2925404999999998E-4</v>
      </c>
      <c r="AF140" s="1032">
        <v>2.2200177999999999</v>
      </c>
      <c r="AG140" s="1032">
        <v>1.0734410999999999</v>
      </c>
      <c r="AH140" s="1032">
        <v>5.3196414999999999E-5</v>
      </c>
      <c r="AI140" s="1032">
        <v>6.2343849999999999E-2</v>
      </c>
      <c r="AJ140" s="1036">
        <v>8.8285108999999994E-3</v>
      </c>
      <c r="AK140" s="1077">
        <v>1.1802994</v>
      </c>
      <c r="AL140" s="1078">
        <v>5.9252820999999999E-9</v>
      </c>
      <c r="AM140" s="1078">
        <v>7.4817731999999998E-3</v>
      </c>
      <c r="AN140" s="1078">
        <v>1.2231640999999999E-3</v>
      </c>
      <c r="AO140" s="1078">
        <v>5.0463558999999996E-3</v>
      </c>
      <c r="AP140" s="1078">
        <v>3.7183572999999998E-2</v>
      </c>
      <c r="AQ140" s="1078">
        <v>1.7014212999999999E-4</v>
      </c>
      <c r="AR140" s="1078">
        <v>1.084683E-2</v>
      </c>
      <c r="AS140" s="1078">
        <v>1.9424705E-4</v>
      </c>
      <c r="AT140" s="1078">
        <v>1.103721E-4</v>
      </c>
      <c r="AU140" s="1078">
        <v>1.1009366E-4</v>
      </c>
      <c r="AV140" s="1078">
        <v>3.0847019E-2</v>
      </c>
      <c r="AW140" s="1078">
        <v>0.74882647000000002</v>
      </c>
      <c r="AX140" s="1078">
        <v>3.1988124999999998E-6</v>
      </c>
      <c r="AY140" s="1078">
        <v>-1.4814066999999999E-8</v>
      </c>
      <c r="AZ140" s="1078">
        <v>7.1927394999999998E-4</v>
      </c>
      <c r="BA140" s="1078">
        <v>6.4417182000000003E-2</v>
      </c>
      <c r="BB140" s="1079">
        <v>8.8363901000000009E-3</v>
      </c>
      <c r="BC140" s="1035"/>
      <c r="BE140" s="113">
        <f t="array" ref="BE140">IFERROR(SUMIFS($CB140:$CW140,$CB$17:$CW$17,BE$17,$CB$18:$CW$18,BE$18)/SUMPRODUCT(($CB$18:$CW$18=BE$18)*ABS($CB140:$CW140)),"-")</f>
        <v>0.33129503167426722</v>
      </c>
      <c r="BF140" s="114">
        <f t="array" ref="BF140">IFERROR(SUMIFS($CB140:$CW140,$CB$17:$CW$17,BF$17,$CB$18:$CW$18,BF$18)/SUMPRODUCT(($CB$18:$CW$18=BF$18)*ABS($CB140:$CW140)),"-")</f>
        <v>1.2560962841117449E-3</v>
      </c>
      <c r="BG140" s="114">
        <f t="array" ref="BG140">IFERROR(SUMIFS($CB140:$CW140,$CB$17:$CW$17,BG$17,$CB$18:$CW$18,BG$18)/SUMPRODUCT(($CB$18:$CW$18=BG$18)*ABS($CB140:$CW140)),"-")</f>
        <v>7.2669845276262127E-6</v>
      </c>
      <c r="BH140" s="114">
        <f t="array" ref="BH140">IFERROR(SUMIFS($CB140:$CW140,$CB$17:$CW$17,BH$17,$CB$18:$CW$18,BH$18)/SUMPRODUCT(($CB$18:$CW$18=BH$18)*ABS($CB140:$CW140)),"-")</f>
        <v>1.6680835937694938E-4</v>
      </c>
      <c r="BI140" s="114">
        <f t="array" ref="BI140">IFERROR(SUMIFS($CB140:$CW140,$CB$17:$CW$17,BI$17,$CB$18:$CW$18,BI$18)/SUMPRODUCT(($CB$18:$CW$18=BI$18)*ABS($CB140:$CW140)),"-")</f>
        <v>0.54875235373858333</v>
      </c>
      <c r="BJ140" s="114">
        <f t="array" ref="BJ140">IFERROR(SUMIFS($CB140:$CW140,$CB$17:$CW$17,BJ$17,$CB$18:$CW$18,BJ$18)/SUMPRODUCT(($CB$18:$CW$18=BJ$18)*ABS($CB140:$CW140)),"-")</f>
        <v>2.5506206979903858E-4</v>
      </c>
      <c r="BK140" s="114">
        <f t="array" ref="BK140">IFERROR(SUMIFS($CB140:$CW140,$CB$17:$CW$17,BK$17,$CB$18:$CW$18,BK$18)/SUMPRODUCT(($CB$18:$CW$18=BK$18)*ABS($CB140:$CW140)),"-")</f>
        <v>0.11800043389628574</v>
      </c>
      <c r="BL140" s="114">
        <f t="array" ref="BL140">IFERROR(SUMIFS($CB140:$CW140,$CB$17:$CW$17,BL$17,$CB$18:$CW$18,BL$18)/SUMPRODUCT(($CB$18:$CW$18=BL$18)*ABS($CB140:$CW140)),"-")</f>
        <v>2.669469930482806E-4</v>
      </c>
      <c r="BM140" s="115"/>
      <c r="BN140" s="114">
        <f t="array" ref="BN140">IFERROR(SUMIFS($CB140:$CW140,$CB$17:$CW$17,BN$17,$CB$18:$CW$18,BN$18)/SUMPRODUCT(($CB$18:$CW$18=BN$18)*ABS($CB140:$CW140)),"-")</f>
        <v>0.21130473817326439</v>
      </c>
      <c r="BO140" s="114">
        <f t="array" ref="BO140">IFERROR(SUMIFS($CB140:$CW140,$CB$17:$CW$17,BO$17,$CB$18:$CW$18,BO$18)/SUMPRODUCT(($CB$18:$CW$18=BO$18)*ABS($CB140:$CW140)),"-")</f>
        <v>5.1010013784415454E-3</v>
      </c>
      <c r="BP140" s="114">
        <f t="array" ref="BP140">IFERROR(SUMIFS($CB140:$CW140,$CB$17:$CW$17,BP$17,$CB$18:$CW$18,BP$18)/SUMPRODUCT(($CB$18:$CW$18=BP$18)*ABS($CB140:$CW140)),"-")</f>
        <v>0.31102284680695846</v>
      </c>
      <c r="BQ140" s="114">
        <f t="array" ref="BQ140">IFERROR(SUMIFS($CB140:$CW140,$CB$17:$CW$17,BQ$17,$CB$18:$CW$18,BQ$18)/SUMPRODUCT(($CB$18:$CW$18=BQ$18)*ABS($CB140:$CW140)),"-")</f>
        <v>7.2485505801784514E-4</v>
      </c>
      <c r="BR140" s="114">
        <f t="array" ref="BR140">IFERROR(SUMIFS($CB140:$CW140,$CB$17:$CW$17,BR$17,$CB$18:$CW$18,BR$18)/SUMPRODUCT(($CB$18:$CW$18=BR$18)*ABS($CB140:$CW140)),"-")</f>
        <v>2.3084622190700546E-4</v>
      </c>
      <c r="BS140" s="114">
        <f t="array" ref="BS140">IFERROR(SUMIFS($CB140:$CW140,$CB$17:$CW$17,BS$17,$CB$18:$CW$18,BS$18)/SUMPRODUCT(($CB$18:$CW$18=BS$18)*ABS($CB140:$CW140)),"-")</f>
        <v>1.4036104556564523E-5</v>
      </c>
      <c r="BT140" s="114">
        <f t="array" ref="BT140">IFERROR(SUMIFS($CB140:$CW140,$CB$17:$CW$17,BT$17,$CB$18:$CW$18,BT$18)/SUMPRODUCT(($CB$18:$CW$18=BT$18)*ABS($CB140:$CW140)),"-")</f>
        <v>3.5337777632508764E-5</v>
      </c>
      <c r="BU140" s="114">
        <f t="array" ref="BU140">IFERROR(SUMIFS($CB140:$CW140,$CB$17:$CW$17,BU$17,$CB$18:$CW$18,BU$18)/SUMPRODUCT(($CB$18:$CW$18=BU$18)*ABS($CB140:$CW140)),"-")</f>
        <v>7.1547612809018976E-6</v>
      </c>
      <c r="BV140" s="114">
        <f t="array" ref="BV140">IFERROR(SUMIFS($CB140:$CW140,$CB$17:$CW$17,BV$17,$CB$18:$CW$18,BV$18)/SUMPRODUCT(($CB$18:$CW$18=BV$18)*ABS($CB140:$CW140)),"-")</f>
        <v>0.47003882484326592</v>
      </c>
      <c r="BW140" s="114">
        <f t="array" ref="BW140">IFERROR(SUMIFS($CB140:$CW140,$CB$17:$CW$17,BW$17,$CB$18:$CW$18,BW$18)/SUMPRODUCT(($CB$18:$CW$18=BW$18)*ABS($CB140:$CW140)),"-")</f>
        <v>1.5203588746749933E-3</v>
      </c>
      <c r="BX140" s="115"/>
      <c r="BY140" s="114">
        <f t="array" ref="BY140">IFERROR(SUMIFS($CB140:$CW140,$CB$17:$CW$17,BY$17,$CB$18:$CW$18,BY$18)/SUMPRODUCT(($CB$18:$CW$18=BY$18)*ABS($CB140:$CW140)),"-")</f>
        <v>5.3303335482456928E-4</v>
      </c>
      <c r="BZ140" s="116">
        <f t="array" ref="BZ140">IFERROR(SUMIFS($CB140:$CW140,$CB$17:$CW$17,BZ$17,$CB$18:$CW$18,BZ$18)/SUMPRODUCT(($CB$18:$CW$18=BZ$18)*ABS($CB140:$CW140)),"-")</f>
        <v>0.99946696664517531</v>
      </c>
      <c r="CB140" s="117">
        <v>1.4218154000000001E-6</v>
      </c>
      <c r="CC140" s="111">
        <v>4.2839783000000002E-9</v>
      </c>
      <c r="CD140" s="111">
        <v>1.1702727000000001E-13</v>
      </c>
      <c r="CE140" s="111">
        <v>5.3907752000000004E-9</v>
      </c>
      <c r="CF140" s="111">
        <v>3.1187641E-11</v>
      </c>
      <c r="CG140" s="111">
        <v>7.1588968000000002E-10</v>
      </c>
      <c r="CH140" s="111">
        <v>2.3550746999999998E-6</v>
      </c>
      <c r="CI140" s="111">
        <v>1.0342019E-10</v>
      </c>
      <c r="CJ140" s="111">
        <v>6.3058289000000004E-9</v>
      </c>
      <c r="CK140" s="111">
        <v>1.4696065000000002E-11</v>
      </c>
      <c r="CL140" s="111">
        <v>4.6802888999999998E-12</v>
      </c>
      <c r="CM140" s="111">
        <v>2.8457483000000002E-13</v>
      </c>
      <c r="CN140" s="111">
        <v>7.1645534000000001E-13</v>
      </c>
      <c r="CO140" s="111">
        <v>1.4505912E-13</v>
      </c>
      <c r="CP140" s="111">
        <v>1.0946472000000001E-9</v>
      </c>
      <c r="CQ140" s="111">
        <v>5.0642122000000004E-7</v>
      </c>
      <c r="CR140" s="111">
        <v>9.5297963999999996E-9</v>
      </c>
      <c r="CS140" s="111">
        <v>1.2290452000000001E-5</v>
      </c>
      <c r="CT140" s="111">
        <v>2.3045276E-2</v>
      </c>
      <c r="CU140" s="111">
        <v>1.1456536E-9</v>
      </c>
      <c r="CV140" s="111">
        <v>3.0824261000000001E-11</v>
      </c>
      <c r="CW140" s="112">
        <v>2.3639213999999999E-16</v>
      </c>
    </row>
    <row r="141" spans="2:101" ht="12" customHeight="1" outlineLevel="1" x14ac:dyDescent="0.2">
      <c r="B141" s="104" t="s">
        <v>115</v>
      </c>
      <c r="C141" s="104" t="s">
        <v>124</v>
      </c>
      <c r="D141" s="2" t="s">
        <v>154</v>
      </c>
      <c r="E141" s="2" t="s">
        <v>115</v>
      </c>
      <c r="F141" s="105" t="s">
        <v>93</v>
      </c>
      <c r="G141" s="27" t="s">
        <v>1578</v>
      </c>
      <c r="H141" s="106" t="s">
        <v>130</v>
      </c>
      <c r="I141" s="107" t="s">
        <v>129</v>
      </c>
      <c r="J141" s="108">
        <v>0.64</v>
      </c>
      <c r="K141" s="109"/>
      <c r="L141" s="109"/>
      <c r="M141" s="110"/>
      <c r="N141" s="161"/>
      <c r="O141" s="1056"/>
      <c r="P141" s="117">
        <v>4.8743851883500011E-6</v>
      </c>
      <c r="Q141" s="111">
        <v>2.4510198991829831E-8</v>
      </c>
      <c r="R141" s="112">
        <v>2.7783797195000001E-2</v>
      </c>
      <c r="S141" s="1032">
        <v>1.7134744</v>
      </c>
      <c r="T141" s="1032">
        <v>1.1585159999999999E-5</v>
      </c>
      <c r="U141" s="1032">
        <v>4.1350431999999998E-3</v>
      </c>
      <c r="V141" s="1032">
        <v>9.871875E-4</v>
      </c>
      <c r="W141" s="1032">
        <v>4.2194054E-3</v>
      </c>
      <c r="X141" s="1032">
        <v>1.0054629E-3</v>
      </c>
      <c r="Y141" s="1032">
        <v>3.3384891999999999E-2</v>
      </c>
      <c r="Z141" s="1032">
        <v>2.6843419999999999E-5</v>
      </c>
      <c r="AA141" s="1032">
        <v>3.2087474000000002E-3</v>
      </c>
      <c r="AB141" s="1032">
        <v>2.9889589000000001E-2</v>
      </c>
      <c r="AC141" s="1032">
        <v>1.2715832E-3</v>
      </c>
      <c r="AD141" s="1032">
        <v>1.7011674000000001E-3</v>
      </c>
      <c r="AE141" s="1032">
        <v>4.0049645000000001E-4</v>
      </c>
      <c r="AF141" s="1032">
        <v>2.7083583999999998</v>
      </c>
      <c r="AG141" s="1032">
        <v>1.4006913999999999</v>
      </c>
      <c r="AH141" s="1032">
        <v>6.8320921999999999E-5</v>
      </c>
      <c r="AI141" s="1032">
        <v>7.4201673999999995E-2</v>
      </c>
      <c r="AJ141" s="1036">
        <v>1.0619543E-2</v>
      </c>
      <c r="AK141" s="1077">
        <v>1.3311966</v>
      </c>
      <c r="AL141" s="1078">
        <v>6.6839165000000003E-9</v>
      </c>
      <c r="AM141" s="1078">
        <v>8.4316435000000006E-3</v>
      </c>
      <c r="AN141" s="1078">
        <v>1.4806909000000001E-3</v>
      </c>
      <c r="AO141" s="1078">
        <v>5.6930237E-3</v>
      </c>
      <c r="AP141" s="1078">
        <v>4.1790052000000001E-2</v>
      </c>
      <c r="AQ141" s="1078">
        <v>1.9980226E-4</v>
      </c>
      <c r="AR141" s="1078">
        <v>1.2578157E-2</v>
      </c>
      <c r="AS141" s="1078">
        <v>2.3483560000000001E-4</v>
      </c>
      <c r="AT141" s="1078">
        <v>1.3605293999999999E-4</v>
      </c>
      <c r="AU141" s="1078">
        <v>1.3653451E-4</v>
      </c>
      <c r="AV141" s="1078">
        <v>3.9185431999999999E-2</v>
      </c>
      <c r="AW141" s="1078">
        <v>1.0462347000000001</v>
      </c>
      <c r="AX141" s="1078">
        <v>3.6025290999999999E-6</v>
      </c>
      <c r="AY141" s="1078">
        <v>-1.6929511E-8</v>
      </c>
      <c r="AZ141" s="1078">
        <v>9.1222945000000001E-4</v>
      </c>
      <c r="BA141" s="1078">
        <v>7.6704562000000004E-2</v>
      </c>
      <c r="BB141" s="1079">
        <v>1.0628425E-2</v>
      </c>
      <c r="BC141" s="1035"/>
      <c r="BE141" s="113">
        <f t="array" ref="BE141">IFERROR(SUMIFS($CB141:$CW141,$CB$17:$CW$17,BE$17,$CB$18:$CW$18,BE$18)/SUMPRODUCT(($CB$18:$CW$18=BE$18)*ABS($CB141:$CW141)),"-")</f>
        <v>0.3266376452573605</v>
      </c>
      <c r="BF141" s="114">
        <f t="array" ref="BF141">IFERROR(SUMIFS($CB141:$CW141,$CB$17:$CW$17,BF$17,$CB$18:$CW$18,BF$18)/SUMPRODUCT(($CB$18:$CW$18=BF$18)*ABS($CB141:$CW141)),"-")</f>
        <v>1.2618342134102097E-3</v>
      </c>
      <c r="BG141" s="114">
        <f t="array" ref="BG141">IFERROR(SUMIFS($CB141:$CW141,$CB$17:$CW$17,BG$17,$CB$18:$CW$18,BG$18)/SUMPRODUCT(($CB$18:$CW$18=BG$18)*ABS($CB141:$CW141)),"-")</f>
        <v>7.2087737514019625E-6</v>
      </c>
      <c r="BH141" s="114">
        <f t="array" ref="BH141">IFERROR(SUMIFS($CB141:$CW141,$CB$17:$CW$17,BH$17,$CB$18:$CW$18,BH$18)/SUMPRODUCT(($CB$18:$CW$18=BH$18)*ABS($CB141:$CW141)),"-")</f>
        <v>1.8430355322495567E-4</v>
      </c>
      <c r="BI141" s="114">
        <f t="array" ref="BI141">IFERROR(SUMIFS($CB141:$CW141,$CB$17:$CW$17,BI$17,$CB$18:$CW$18,BI$18)/SUMPRODUCT(($CB$18:$CW$18=BI$18)*ABS($CB141:$CW141)),"-")</f>
        <v>0.544604087987268</v>
      </c>
      <c r="BJ141" s="114">
        <f t="array" ref="BJ141">IFERROR(SUMIFS($CB141:$CW141,$CB$17:$CW$17,BJ$17,$CB$18:$CW$18,BJ$18)/SUMPRODUCT(($CB$18:$CW$18=BJ$18)*ABS($CB141:$CW141)),"-")</f>
        <v>2.7316917899357249E-4</v>
      </c>
      <c r="BK141" s="114">
        <f t="array" ref="BK141">IFERROR(SUMIFS($CB141:$CW141,$CB$17:$CW$17,BK$17,$CB$18:$CW$18,BK$18)/SUMPRODUCT(($CB$18:$CW$18=BK$18)*ABS($CB141:$CW141)),"-")</f>
        <v>0.12674814897202127</v>
      </c>
      <c r="BL141" s="114">
        <f t="array" ref="BL141">IFERROR(SUMIFS($CB141:$CW141,$CB$17:$CW$17,BL$17,$CB$18:$CW$18,BL$18)/SUMPRODUCT(($CB$18:$CW$18=BL$18)*ABS($CB141:$CW141)),"-")</f>
        <v>2.8360206396982411E-4</v>
      </c>
      <c r="BM141" s="115"/>
      <c r="BN141" s="114">
        <f t="array" ref="BN141">IFERROR(SUMIFS($CB141:$CW141,$CB$17:$CW$17,BN$17,$CB$18:$CW$18,BN$18)/SUMPRODUCT(($CB$18:$CW$18=BN$18)*ABS($CB141:$CW141)),"-")</f>
        <v>0.19573232566447815</v>
      </c>
      <c r="BO141" s="114">
        <f t="array" ref="BO141">IFERROR(SUMIFS($CB141:$CW141,$CB$17:$CW$17,BO$17,$CB$18:$CW$18,BO$18)/SUMPRODUCT(($CB$18:$CW$18=BO$18)*ABS($CB141:$CW141)),"-")</f>
        <v>5.2918733969983481E-3</v>
      </c>
      <c r="BP141" s="114">
        <f t="array" ref="BP141">IFERROR(SUMIFS($CB141:$CW141,$CB$17:$CW$17,BP$17,$CB$18:$CW$18,BP$18)/SUMPRODUCT(($CB$18:$CW$18=BP$18)*ABS($CB141:$CW141)),"-")</f>
        <v>0.28908880349612437</v>
      </c>
      <c r="BQ141" s="114">
        <f t="array" ref="BQ141">IFERROR(SUMIFS($CB141:$CW141,$CB$17:$CW$17,BQ$17,$CB$18:$CW$18,BQ$18)/SUMPRODUCT(($CB$18:$CW$18=BQ$18)*ABS($CB141:$CW141)),"-")</f>
        <v>7.3483475209661596E-4</v>
      </c>
      <c r="BR141" s="114">
        <f t="array" ref="BR141">IFERROR(SUMIFS($CB141:$CW141,$CB$17:$CW$17,BR$17,$CB$18:$CW$18,BR$18)/SUMPRODUCT(($CB$18:$CW$18=BR$18)*ABS($CB141:$CW141)),"-")</f>
        <v>2.2241864302355107E-4</v>
      </c>
      <c r="BS141" s="114">
        <f t="array" ref="BS141">IFERROR(SUMIFS($CB141:$CW141,$CB$17:$CW$17,BS$17,$CB$18:$CW$18,BS$18)/SUMPRODUCT(($CB$18:$CW$18=BS$18)*ABS($CB141:$CW141)),"-")</f>
        <v>1.3898349422358908E-5</v>
      </c>
      <c r="BT141" s="114">
        <f t="array" ref="BT141">IFERROR(SUMIFS($CB141:$CW141,$CB$17:$CW$17,BT$17,$CB$18:$CW$18,BT$18)/SUMPRODUCT(($CB$18:$CW$18=BT$18)*ABS($CB141:$CW141)),"-")</f>
        <v>3.5932382690714737E-5</v>
      </c>
      <c r="BU141" s="114">
        <f t="array" ref="BU141">IFERROR(SUMIFS($CB141:$CW141,$CB$17:$CW$17,BU$17,$CB$18:$CW$18,BU$18)/SUMPRODUCT(($CB$18:$CW$18=BU$18)*ABS($CB141:$CW141)),"-")</f>
        <v>7.2896796986249643E-6</v>
      </c>
      <c r="BV141" s="114">
        <f t="array" ref="BV141">IFERROR(SUMIFS($CB141:$CW141,$CB$17:$CW$17,BV$17,$CB$18:$CW$18,BV$18)/SUMPRODUCT(($CB$18:$CW$18=BV$18)*ABS($CB141:$CW141)),"-")</f>
        <v>0.50736275148746202</v>
      </c>
      <c r="BW141" s="114">
        <f t="array" ref="BW141">IFERROR(SUMIFS($CB141:$CW141,$CB$17:$CW$17,BW$17,$CB$18:$CW$18,BW$18)/SUMPRODUCT(($CB$18:$CW$18=BW$18)*ABS($CB141:$CW141)),"-")</f>
        <v>1.5098721480052409E-3</v>
      </c>
      <c r="BX141" s="115"/>
      <c r="BY141" s="114">
        <f t="array" ref="BY141">IFERROR(SUMIFS($CB141:$CW141,$CB$17:$CW$17,BY$17,$CB$18:$CW$18,BY$18)/SUMPRODUCT(($CB$18:$CW$18=BY$18)*ABS($CB141:$CW141)),"-")</f>
        <v>5.6814390377283338E-4</v>
      </c>
      <c r="BZ141" s="116">
        <f t="array" ref="BZ141">IFERROR(SUMIFS($CB141:$CW141,$CB$17:$CW$17,BZ$17,$CB$18:$CW$18,BZ$18)/SUMPRODUCT(($CB$18:$CW$18=BZ$18)*ABS($CB141:$CW141)),"-")</f>
        <v>0.9994318560962272</v>
      </c>
      <c r="CB141" s="117">
        <v>1.5921577000000001E-6</v>
      </c>
      <c r="CC141" s="111">
        <v>4.7973072000000002E-9</v>
      </c>
      <c r="CD141" s="111">
        <v>1.3105117000000001E-13</v>
      </c>
      <c r="CE141" s="111">
        <v>6.1506660000000002E-9</v>
      </c>
      <c r="CF141" s="111">
        <v>3.5138339999999999E-11</v>
      </c>
      <c r="CG141" s="111">
        <v>8.9836651000000004E-10</v>
      </c>
      <c r="CH141" s="111">
        <v>2.6546101000000002E-6</v>
      </c>
      <c r="CI141" s="111">
        <v>1.2970487000000001E-10</v>
      </c>
      <c r="CJ141" s="111">
        <v>7.0856240999999998E-9</v>
      </c>
      <c r="CK141" s="111">
        <v>1.8010946000000001E-11</v>
      </c>
      <c r="CL141" s="111">
        <v>5.4515252000000004E-12</v>
      </c>
      <c r="CM141" s="111">
        <v>3.4065131E-13</v>
      </c>
      <c r="CN141" s="111">
        <v>8.8070985E-13</v>
      </c>
      <c r="CO141" s="111">
        <v>1.7867149999999999E-13</v>
      </c>
      <c r="CP141" s="111">
        <v>1.3315318E-9</v>
      </c>
      <c r="CQ141" s="111">
        <v>6.1781929999999996E-7</v>
      </c>
      <c r="CR141" s="111">
        <v>1.2435562000000001E-8</v>
      </c>
      <c r="CS141" s="111">
        <v>1.5785194999999999E-5</v>
      </c>
      <c r="CT141" s="111">
        <v>2.7768012000000002E-2</v>
      </c>
      <c r="CU141" s="111">
        <v>1.3823857000000001E-9</v>
      </c>
      <c r="CV141" s="111">
        <v>3.7006981999999999E-11</v>
      </c>
      <c r="CW141" s="112">
        <v>2.8479982999999999E-16</v>
      </c>
    </row>
    <row r="142" spans="2:101" ht="12" customHeight="1" outlineLevel="1" x14ac:dyDescent="0.2">
      <c r="B142" s="104" t="s">
        <v>115</v>
      </c>
      <c r="C142" s="104" t="s">
        <v>124</v>
      </c>
      <c r="D142" s="2" t="s">
        <v>154</v>
      </c>
      <c r="E142" s="2" t="s">
        <v>115</v>
      </c>
      <c r="F142" s="105" t="s">
        <v>94</v>
      </c>
      <c r="G142" s="27" t="s">
        <v>1580</v>
      </c>
      <c r="H142" s="106" t="s">
        <v>131</v>
      </c>
      <c r="I142" s="107" t="s">
        <v>129</v>
      </c>
      <c r="J142" s="108">
        <v>0.64</v>
      </c>
      <c r="K142" s="109"/>
      <c r="L142" s="109"/>
      <c r="M142" s="110"/>
      <c r="N142" s="161"/>
      <c r="O142" s="1056"/>
      <c r="P142" s="117">
        <v>3.8533821616660002E-6</v>
      </c>
      <c r="Q142" s="111">
        <v>1.7417056119963061E-8</v>
      </c>
      <c r="R142" s="112">
        <v>1.9825772057E-2</v>
      </c>
      <c r="S142" s="1032">
        <v>1.3879178999999999</v>
      </c>
      <c r="T142" s="1032">
        <v>9.0885792000000005E-6</v>
      </c>
      <c r="U142" s="1032">
        <v>3.3154485000000001E-3</v>
      </c>
      <c r="V142" s="1032">
        <v>6.5505328000000002E-4</v>
      </c>
      <c r="W142" s="1032">
        <v>3.3785644999999999E-3</v>
      </c>
      <c r="X142" s="1032">
        <v>6.6789319000000002E-4</v>
      </c>
      <c r="Y142" s="1032">
        <v>2.6873187E-2</v>
      </c>
      <c r="Z142" s="1032">
        <v>1.8610048000000001E-5</v>
      </c>
      <c r="AA142" s="1032">
        <v>2.4293534000000001E-3</v>
      </c>
      <c r="AB142" s="1032">
        <v>2.1597878000000001E-2</v>
      </c>
      <c r="AC142" s="1032">
        <v>8.7648274999999997E-4</v>
      </c>
      <c r="AD142" s="1032">
        <v>1.1686298000000001E-3</v>
      </c>
      <c r="AE142" s="1032">
        <v>2.8076809E-4</v>
      </c>
      <c r="AF142" s="1032">
        <v>1.8881391000000001</v>
      </c>
      <c r="AG142" s="1032">
        <v>0.86704868000000002</v>
      </c>
      <c r="AH142" s="1032">
        <v>4.3500154000000002E-5</v>
      </c>
      <c r="AI142" s="1032">
        <v>5.4114043000000001E-2</v>
      </c>
      <c r="AJ142" s="1036">
        <v>7.5945631E-3</v>
      </c>
      <c r="AK142" s="1077">
        <v>1.0654216000000001</v>
      </c>
      <c r="AL142" s="1078">
        <v>5.3482655999999996E-9</v>
      </c>
      <c r="AM142" s="1078">
        <v>6.7575682999999999E-3</v>
      </c>
      <c r="AN142" s="1078">
        <v>1.0483091999999999E-3</v>
      </c>
      <c r="AO142" s="1078">
        <v>4.552057E-3</v>
      </c>
      <c r="AP142" s="1078">
        <v>3.3627870999999997E-2</v>
      </c>
      <c r="AQ142" s="1078">
        <v>1.4907268999999999E-4</v>
      </c>
      <c r="AR142" s="1078">
        <v>9.5962666000000002E-3</v>
      </c>
      <c r="AS142" s="1078">
        <v>1.6639851E-4</v>
      </c>
      <c r="AT142" s="1078">
        <v>9.3360807999999997E-5</v>
      </c>
      <c r="AU142" s="1078">
        <v>9.2664445000000003E-5</v>
      </c>
      <c r="AV142" s="1078">
        <v>2.5372441999999999E-2</v>
      </c>
      <c r="AW142" s="1078">
        <v>0.56764139000000002</v>
      </c>
      <c r="AX142" s="1078">
        <v>2.8900727000000002E-6</v>
      </c>
      <c r="AY142" s="1078">
        <v>-1.3248997000000001E-8</v>
      </c>
      <c r="AZ142" s="1078">
        <v>5.9420906000000003E-4</v>
      </c>
      <c r="BA142" s="1078">
        <v>5.5895135999999998E-2</v>
      </c>
      <c r="BB142" s="1079">
        <v>7.6016772999999999E-3</v>
      </c>
      <c r="BC142" s="1035"/>
      <c r="BE142" s="113">
        <f t="array" ref="BE142">IFERROR(SUMIFS($CB142:$CW142,$CB$17:$CW$17,BE$17,$CB$18:$CW$18,BE$18)/SUMPRODUCT(($CB$18:$CW$18=BE$18)*ABS($CB142:$CW142)),"-")</f>
        <v>0.33469073294365514</v>
      </c>
      <c r="BF142" s="114">
        <f t="array" ref="BF142">IFERROR(SUMIFS($CB142:$CW142,$CB$17:$CW$17,BF$17,$CB$18:$CW$18,BF$18)/SUMPRODUCT(($CB$18:$CW$18=BF$18)*ABS($CB142:$CW142)),"-")</f>
        <v>1.2522009750296431E-3</v>
      </c>
      <c r="BG142" s="114">
        <f t="array" ref="BG142">IFERROR(SUMIFS($CB142:$CW142,$CB$17:$CW$17,BG$17,$CB$18:$CW$18,BG$18)/SUMPRODUCT(($CB$18:$CW$18=BG$18)*ABS($CB142:$CW142)),"-")</f>
        <v>7.3114149643074023E-6</v>
      </c>
      <c r="BH142" s="114">
        <f t="array" ref="BH142">IFERROR(SUMIFS($CB142:$CW142,$CB$17:$CW$17,BH$17,$CB$18:$CW$18,BH$18)/SUMPRODUCT(($CB$18:$CW$18=BH$18)*ABS($CB142:$CW142)),"-")</f>
        <v>1.546994030154203E-4</v>
      </c>
      <c r="BI142" s="114">
        <f t="array" ref="BI142">IFERROR(SUMIFS($CB142:$CW142,$CB$17:$CW$17,BI$17,$CB$18:$CW$18,BI$18)/SUMPRODUCT(($CB$18:$CW$18=BI$18)*ABS($CB142:$CW142)),"-")</f>
        <v>0.55162185083687565</v>
      </c>
      <c r="BJ142" s="114">
        <f t="array" ref="BJ142">IFERROR(SUMIFS($CB142:$CW142,$CB$17:$CW$17,BJ$17,$CB$18:$CW$18,BJ$18)/SUMPRODUCT(($CB$18:$CW$18=BJ$18)*ABS($CB142:$CW142)),"-")</f>
        <v>2.4223711296686773E-4</v>
      </c>
      <c r="BK142" s="114">
        <f t="array" ref="BK142">IFERROR(SUMIFS($CB142:$CW142,$CB$17:$CW$17,BK$17,$CB$18:$CW$18,BK$18)/SUMPRODUCT(($CB$18:$CW$18=BK$18)*ABS($CB142:$CW142)),"-")</f>
        <v>0.11177570558269821</v>
      </c>
      <c r="BL142" s="114">
        <f t="array" ref="BL142">IFERROR(SUMIFS($CB142:$CW142,$CB$17:$CW$17,BL$17,$CB$18:$CW$18,BL$18)/SUMPRODUCT(($CB$18:$CW$18=BL$18)*ABS($CB142:$CW142)),"-")</f>
        <v>2.5526173079462589E-4</v>
      </c>
      <c r="BM142" s="115"/>
      <c r="BN142" s="114">
        <f t="array" ref="BN142">IFERROR(SUMIFS($CB142:$CW142,$CB$17:$CW$17,BN$17,$CB$18:$CW$18,BN$18)/SUMPRODUCT(($CB$18:$CW$18=BN$18)*ABS($CB142:$CW142)),"-")</f>
        <v>0.22311153066252176</v>
      </c>
      <c r="BO142" s="114">
        <f t="array" ref="BO142">IFERROR(SUMIFS($CB142:$CW142,$CB$17:$CW$17,BO$17,$CB$18:$CW$18,BO$18)/SUMPRODUCT(($CB$18:$CW$18=BO$18)*ABS($CB142:$CW142)),"-")</f>
        <v>4.9467877008932048E-3</v>
      </c>
      <c r="BP142" s="114">
        <f t="array" ref="BP142">IFERROR(SUMIFS($CB142:$CW142,$CB$17:$CW$17,BP$17,$CB$18:$CW$18,BP$18)/SUMPRODUCT(($CB$18:$CW$18=BP$18)*ABS($CB142:$CW142)),"-")</f>
        <v>0.32747185062248607</v>
      </c>
      <c r="BQ142" s="114">
        <f t="array" ref="BQ142">IFERROR(SUMIFS($CB142:$CW142,$CB$17:$CW$17,BQ$17,$CB$18:$CW$18,BQ$18)/SUMPRODUCT(($CB$18:$CW$18=BQ$18)*ABS($CB142:$CW142)),"-")</f>
        <v>7.1692500236523798E-4</v>
      </c>
      <c r="BR142" s="114">
        <f t="array" ref="BR142">IFERROR(SUMIFS($CB142:$CW142,$CB$17:$CW$17,BR$17,$CB$18:$CW$18,BR$18)/SUMPRODUCT(($CB$18:$CW$18=BR$18)*ABS($CB142:$CW142)),"-")</f>
        <v>2.3697277378978516E-4</v>
      </c>
      <c r="BS142" s="114">
        <f t="array" ref="BS142">IFERROR(SUMIFS($CB142:$CW142,$CB$17:$CW$17,BS$17,$CB$18:$CW$18,BS$18)/SUMPRODUCT(($CB$18:$CW$18=BS$18)*ABS($CB142:$CW142)),"-")</f>
        <v>1.4133135835616867E-5</v>
      </c>
      <c r="BT142" s="114">
        <f t="array" ref="BT142">IFERROR(SUMIFS($CB142:$CW142,$CB$17:$CW$17,BT$17,$CB$18:$CW$18,BT$18)/SUMPRODUCT(($CB$18:$CW$18=BT$18)*ABS($CB142:$CW142)),"-")</f>
        <v>3.4855087783990422E-5</v>
      </c>
      <c r="BU142" s="114">
        <f t="array" ref="BU142">IFERROR(SUMIFS($CB142:$CW142,$CB$17:$CW$17,BU$17,$CB$18:$CW$18,BU$18)/SUMPRODUCT(($CB$18:$CW$18=BU$18)*ABS($CB142:$CW142)),"-")</f>
        <v>7.0470852912576089E-6</v>
      </c>
      <c r="BV142" s="114">
        <f t="array" ref="BV142">IFERROR(SUMIFS($CB142:$CW142,$CB$17:$CW$17,BV$17,$CB$18:$CW$18,BV$18)/SUMPRODUCT(($CB$18:$CW$18=BV$18)*ABS($CB142:$CW142)),"-")</f>
        <v>0.44193546526945021</v>
      </c>
      <c r="BW142" s="114">
        <f t="array" ref="BW142">IFERROR(SUMIFS($CB142:$CW142,$CB$17:$CW$17,BW$17,$CB$18:$CW$18,BW$18)/SUMPRODUCT(($CB$18:$CW$18=BW$18)*ABS($CB142:$CW142)),"-")</f>
        <v>1.524432659582905E-3</v>
      </c>
      <c r="BX142" s="115"/>
      <c r="BY142" s="114">
        <f t="array" ref="BY142">IFERROR(SUMIFS($CB142:$CW142,$CB$17:$CW$17,BY$17,$CB$18:$CW$18,BY$18)/SUMPRODUCT(($CB$18:$CW$18=BY$18)*ABS($CB142:$CW142)),"-")</f>
        <v>5.06918821174057E-4</v>
      </c>
      <c r="BZ142" s="116">
        <f t="array" ref="BZ142">IFERROR(SUMIFS($CB142:$CW142,$CB$17:$CW$17,BZ$17,$CB$18:$CW$18,BZ$18)/SUMPRODUCT(($CB$18:$CW$18=BZ$18)*ABS($CB142:$CW142)),"-")</f>
        <v>0.99949308117882596</v>
      </c>
      <c r="CB142" s="117">
        <v>1.2896912999999999E-6</v>
      </c>
      <c r="CC142" s="111">
        <v>3.8858399000000003E-9</v>
      </c>
      <c r="CD142" s="111">
        <v>1.0615055999999999E-13</v>
      </c>
      <c r="CE142" s="111">
        <v>4.8252088999999998E-9</v>
      </c>
      <c r="CF142" s="111">
        <v>2.8173676E-11</v>
      </c>
      <c r="CG142" s="111">
        <v>5.9611592000000003E-10</v>
      </c>
      <c r="CH142" s="111">
        <v>2.1256098E-6</v>
      </c>
      <c r="CI142" s="111">
        <v>8.6158478999999997E-11</v>
      </c>
      <c r="CJ142" s="111">
        <v>5.7035956000000003E-9</v>
      </c>
      <c r="CK142" s="111">
        <v>1.2486723E-11</v>
      </c>
      <c r="CL142" s="111">
        <v>4.1273680999999997E-12</v>
      </c>
      <c r="CM142" s="111">
        <v>2.4615761999999998E-13</v>
      </c>
      <c r="CN142" s="111">
        <v>6.0707302000000004E-13</v>
      </c>
      <c r="CO142" s="111">
        <v>1.2273948000000001E-13</v>
      </c>
      <c r="CP142" s="111">
        <v>9.334321699999999E-10</v>
      </c>
      <c r="CQ142" s="111">
        <v>4.3071451000000002E-7</v>
      </c>
      <c r="CR142" s="111">
        <v>7.6972148E-9</v>
      </c>
      <c r="CS142" s="111">
        <v>1.0050057E-5</v>
      </c>
      <c r="CT142" s="111">
        <v>1.9815722000000001E-2</v>
      </c>
      <c r="CU142" s="111">
        <v>9.8362100000000007E-10</v>
      </c>
      <c r="CV142" s="111">
        <v>2.6550926E-11</v>
      </c>
      <c r="CW142" s="112">
        <v>2.0318306E-16</v>
      </c>
    </row>
    <row r="143" spans="2:101" ht="12" customHeight="1" outlineLevel="1" x14ac:dyDescent="0.2">
      <c r="B143" s="104" t="s">
        <v>115</v>
      </c>
      <c r="C143" s="104" t="s">
        <v>124</v>
      </c>
      <c r="D143" s="2" t="s">
        <v>154</v>
      </c>
      <c r="E143" s="2" t="s">
        <v>115</v>
      </c>
      <c r="F143" s="105" t="s">
        <v>95</v>
      </c>
      <c r="G143" s="27" t="s">
        <v>1581</v>
      </c>
      <c r="H143" s="106" t="s">
        <v>128</v>
      </c>
      <c r="I143" s="107" t="s">
        <v>127</v>
      </c>
      <c r="J143" s="108">
        <v>0.64</v>
      </c>
      <c r="K143" s="109"/>
      <c r="L143" s="109"/>
      <c r="M143" s="110"/>
      <c r="N143" s="161"/>
      <c r="O143" s="1056"/>
      <c r="P143" s="117">
        <v>4.4640895946230007E-6</v>
      </c>
      <c r="Q143" s="111">
        <v>2.0433688806725961E-8</v>
      </c>
      <c r="R143" s="112">
        <v>2.3246096593000001E-2</v>
      </c>
      <c r="S143" s="1032">
        <v>1.5371043</v>
      </c>
      <c r="T143" s="1032">
        <v>1.0361532E-5</v>
      </c>
      <c r="U143" s="1032">
        <v>3.6717871000000002E-3</v>
      </c>
      <c r="V143" s="1032">
        <v>8.0013898000000003E-4</v>
      </c>
      <c r="W143" s="1032">
        <v>3.8161587999999999E-3</v>
      </c>
      <c r="X143" s="1032">
        <v>8.1524202000000001E-4</v>
      </c>
      <c r="Y143" s="1032">
        <v>3.0297622E-2</v>
      </c>
      <c r="Z143" s="1032">
        <v>4.1315575E-5</v>
      </c>
      <c r="AA143" s="1032">
        <v>2.8377621999999998E-3</v>
      </c>
      <c r="AB143" s="1032">
        <v>2.8165671E-2</v>
      </c>
      <c r="AC143" s="1032">
        <v>1.2141233E-3</v>
      </c>
      <c r="AD143" s="1032">
        <v>1.5985474E-3</v>
      </c>
      <c r="AE143" s="1032">
        <v>3.4271367E-4</v>
      </c>
      <c r="AF143" s="1032">
        <v>2.7456413999999998</v>
      </c>
      <c r="AG143" s="1032">
        <v>1.0734410999999999</v>
      </c>
      <c r="AH143" s="1032">
        <v>5.3240301000000002E-5</v>
      </c>
      <c r="AI143" s="1032">
        <v>6.2761800000000006E-2</v>
      </c>
      <c r="AJ143" s="1036">
        <v>8.8286331000000003E-3</v>
      </c>
      <c r="AK143" s="1077">
        <v>1.1872678999999999</v>
      </c>
      <c r="AL143" s="1078">
        <v>5.9280482999999999E-9</v>
      </c>
      <c r="AM143" s="1078">
        <v>7.4851396000000002E-3</v>
      </c>
      <c r="AN143" s="1078">
        <v>1.2374252E-3</v>
      </c>
      <c r="AO143" s="1078">
        <v>5.1446731000000002E-3</v>
      </c>
      <c r="AP143" s="1078">
        <v>3.7918500000000001E-2</v>
      </c>
      <c r="AQ143" s="1078">
        <v>1.8762767E-4</v>
      </c>
      <c r="AR143" s="1078">
        <v>1.1159011E-2</v>
      </c>
      <c r="AS143" s="1078">
        <v>2.5359630999999998E-4</v>
      </c>
      <c r="AT143" s="1078">
        <v>1.2136705E-4</v>
      </c>
      <c r="AU143" s="1078">
        <v>1.1836726E-4</v>
      </c>
      <c r="AV143" s="1078">
        <v>3.7799096999999997E-2</v>
      </c>
      <c r="AW143" s="1078">
        <v>0.74882647000000002</v>
      </c>
      <c r="AX143" s="1078">
        <v>3.1988124999999998E-6</v>
      </c>
      <c r="AY143" s="1078">
        <v>-1.4814066999999999E-8</v>
      </c>
      <c r="AZ143" s="1078">
        <v>7.1959449000000004E-4</v>
      </c>
      <c r="BA143" s="1078">
        <v>6.4851450000000005E-2</v>
      </c>
      <c r="BB143" s="1079">
        <v>8.8365123E-3</v>
      </c>
      <c r="BC143" s="1035"/>
      <c r="BE143" s="113">
        <f t="array" ref="BE143">IFERROR(SUMIFS($CB143:$CW143,$CB$17:$CW$17,BE$17,$CB$18:$CW$18,BE$18)/SUMPRODUCT(($CB$18:$CW$18=BE$18)*ABS($CB143:$CW143)),"-")</f>
        <v>0.31995363662064275</v>
      </c>
      <c r="BF143" s="114">
        <f t="array" ref="BF143">IFERROR(SUMIFS($CB143:$CW143,$CB$17:$CW$17,BF$17,$CB$18:$CW$18,BF$18)/SUMPRODUCT(($CB$18:$CW$18=BF$18)*ABS($CB143:$CW143)),"-")</f>
        <v>1.2322850792748415E-3</v>
      </c>
      <c r="BG143" s="114">
        <f t="array" ref="BG143">IFERROR(SUMIFS($CB143:$CW143,$CB$17:$CW$17,BG$17,$CB$18:$CW$18,BG$18)/SUMPRODUCT(($CB$18:$CW$18=BG$18)*ABS($CB143:$CW143)),"-")</f>
        <v>6.9894952461488471E-6</v>
      </c>
      <c r="BH143" s="114">
        <f t="array" ref="BH143">IFERROR(SUMIFS($CB143:$CW143,$CB$17:$CW$17,BH$17,$CB$18:$CW$18,BH$18)/SUMPRODUCT(($CB$18:$CW$18=BH$18)*ABS($CB143:$CW143)),"-")</f>
        <v>1.6311215860834291E-4</v>
      </c>
      <c r="BI143" s="114">
        <f t="array" ref="BI143">IFERROR(SUMIFS($CB143:$CW143,$CB$17:$CW$17,BI$17,$CB$18:$CW$18,BI$18)/SUMPRODUCT(($CB$18:$CW$18=BI$18)*ABS($CB143:$CW143)),"-")</f>
        <v>0.53782914726709496</v>
      </c>
      <c r="BJ143" s="114">
        <f t="array" ref="BJ143">IFERROR(SUMIFS($CB143:$CW143,$CB$17:$CW$17,BJ$17,$CB$18:$CW$18,BJ$18)/SUMPRODUCT(($CB$18:$CW$18=BJ$18)*ABS($CB143:$CW143)),"-")</f>
        <v>2.5523224295775416E-4</v>
      </c>
      <c r="BK143" s="114">
        <f t="array" ref="BK143">IFERROR(SUMIFS($CB143:$CW143,$CB$17:$CW$17,BK$17,$CB$18:$CW$18,BK$18)/SUMPRODUCT(($CB$18:$CW$18=BK$18)*ABS($CB143:$CW143)),"-")</f>
        <v>0.14030289865920445</v>
      </c>
      <c r="BL143" s="114">
        <f t="array" ref="BL143">IFERROR(SUMIFS($CB143:$CW143,$CB$17:$CW$17,BL$17,$CB$18:$CW$18,BL$18)/SUMPRODUCT(($CB$18:$CW$18=BL$18)*ABS($CB143:$CW143)),"-")</f>
        <v>2.5669847697059385E-4</v>
      </c>
      <c r="BM143" s="115"/>
      <c r="BN143" s="114">
        <f t="array" ref="BN143">IFERROR(SUMIFS($CB143:$CW143,$CB$17:$CW$17,BN$17,$CB$18:$CW$18,BN$18)/SUMPRODUCT(($CB$18:$CW$18=BN$18)*ABS($CB143:$CW143)),"-")</f>
        <v>0.21061458369148769</v>
      </c>
      <c r="BO143" s="114">
        <f t="array" ref="BO143">IFERROR(SUMIFS($CB143:$CW143,$CB$17:$CW$17,BO$17,$CB$18:$CW$18,BO$18)/SUMPRODUCT(($CB$18:$CW$18=BO$18)*ABS($CB143:$CW143)),"-")</f>
        <v>5.1467187836091235E-3</v>
      </c>
      <c r="BP143" s="114">
        <f t="array" ref="BP143">IFERROR(SUMIFS($CB143:$CW143,$CB$17:$CW$17,BP$17,$CB$18:$CW$18,BP$18)/SUMPRODUCT(($CB$18:$CW$18=BP$18)*ABS($CB143:$CW143)),"-")</f>
        <v>0.31469569008427734</v>
      </c>
      <c r="BQ143" s="114">
        <f t="array" ref="BQ143">IFERROR(SUMIFS($CB143:$CW143,$CB$17:$CW$17,BQ$17,$CB$18:$CW$18,BQ$18)/SUMPRODUCT(($CB$18:$CW$18=BQ$18)*ABS($CB143:$CW143)),"-")</f>
        <v>1.3566805417372814E-3</v>
      </c>
      <c r="BR143" s="114">
        <f t="array" ref="BR143">IFERROR(SUMIFS($CB143:$CW143,$CB$17:$CW$17,BR$17,$CB$18:$CW$18,BR$18)/SUMPRODUCT(($CB$18:$CW$18=BR$18)*ABS($CB143:$CW143)),"-")</f>
        <v>2.359455086941052E-4</v>
      </c>
      <c r="BS143" s="114">
        <f t="array" ref="BS143">IFERROR(SUMIFS($CB143:$CW143,$CB$17:$CW$17,BS$17,$CB$18:$CW$18,BS$18)/SUMPRODUCT(($CB$18:$CW$18=BS$18)*ABS($CB143:$CW143)),"-")</f>
        <v>1.5710833371130206E-5</v>
      </c>
      <c r="BT143" s="114">
        <f t="array" ref="BT143">IFERROR(SUMIFS($CB143:$CW143,$CB$17:$CW$17,BT$17,$CB$18:$CW$18,BT$18)/SUMPRODUCT(($CB$18:$CW$18=BT$18)*ABS($CB143:$CW143)),"-")</f>
        <v>4.115748986659601E-5</v>
      </c>
      <c r="BU143" s="114">
        <f t="array" ref="BU143">IFERROR(SUMIFS($CB143:$CW143,$CB$17:$CW$17,BU$17,$CB$18:$CW$18,BU$18)/SUMPRODUCT(($CB$18:$CW$18=BU$18)*ABS($CB143:$CW143)),"-")</f>
        <v>8.2164914807127821E-6</v>
      </c>
      <c r="BV143" s="114">
        <f t="array" ref="BV143">IFERROR(SUMIFS($CB143:$CW143,$CB$17:$CW$17,BV$17,$CB$18:$CW$18,BV$18)/SUMPRODUCT(($CB$18:$CW$18=BV$18)*ABS($CB143:$CW143)),"-")</f>
        <v>0.46637670222633359</v>
      </c>
      <c r="BW143" s="114">
        <f t="array" ref="BW143">IFERROR(SUMIFS($CB143:$CW143,$CB$17:$CW$17,BW$17,$CB$18:$CW$18,BW$18)/SUMPRODUCT(($CB$18:$CW$18=BW$18)*ABS($CB143:$CW143)),"-")</f>
        <v>1.5085943491423464E-3</v>
      </c>
      <c r="BX143" s="115"/>
      <c r="BY143" s="114">
        <f t="array" ref="BY143">IFERROR(SUMIFS($CB143:$CW143,$CB$17:$CW$17,BY$17,$CB$18:$CW$18,BY$18)/SUMPRODUCT(($CB$18:$CW$18=BY$18)*ABS($CB143:$CW143)),"-")</f>
        <v>5.291466010557672E-4</v>
      </c>
      <c r="BZ143" s="116">
        <f t="array" ref="BZ143">IFERROR(SUMIFS($CB143:$CW143,$CB$17:$CW$17,BZ$17,$CB$18:$CW$18,BZ$18)/SUMPRODUCT(($CB$18:$CW$18=BZ$18)*ABS($CB143:$CW143)),"-")</f>
        <v>0.99947085339894426</v>
      </c>
      <c r="CB143" s="117">
        <v>1.4283017E-6</v>
      </c>
      <c r="CC143" s="111">
        <v>4.3035153000000002E-9</v>
      </c>
      <c r="CD143" s="111">
        <v>1.1756131000000001E-13</v>
      </c>
      <c r="CE143" s="111">
        <v>5.5010309999999999E-9</v>
      </c>
      <c r="CF143" s="111">
        <v>3.1201732999999998E-11</v>
      </c>
      <c r="CG143" s="111">
        <v>7.2814729000000004E-10</v>
      </c>
      <c r="CH143" s="111">
        <v>2.4009175000000001E-6</v>
      </c>
      <c r="CI143" s="111">
        <v>1.0516645E-10</v>
      </c>
      <c r="CJ143" s="111">
        <v>6.4303938000000001E-9</v>
      </c>
      <c r="CK143" s="111">
        <v>2.7721988E-11</v>
      </c>
      <c r="CL143" s="111">
        <v>4.8212371000000001E-12</v>
      </c>
      <c r="CM143" s="111">
        <v>3.2103028E-13</v>
      </c>
      <c r="CN143" s="111">
        <v>8.4099933999999999E-13</v>
      </c>
      <c r="CO143" s="111">
        <v>1.6789322999999999E-13</v>
      </c>
      <c r="CP143" s="111">
        <v>1.1393795999999999E-9</v>
      </c>
      <c r="CQ143" s="111">
        <v>6.2632471E-7</v>
      </c>
      <c r="CR143" s="111">
        <v>9.5297963999999996E-9</v>
      </c>
      <c r="CS143" s="111">
        <v>1.2300593E-5</v>
      </c>
      <c r="CT143" s="111">
        <v>2.3233796000000001E-2</v>
      </c>
      <c r="CU143" s="111">
        <v>1.1459250000000001E-9</v>
      </c>
      <c r="CV143" s="111">
        <v>3.0825910999999997E-11</v>
      </c>
      <c r="CW143" s="112">
        <v>2.3646596000000001E-16</v>
      </c>
    </row>
    <row r="144" spans="2:101" ht="12" customHeight="1" outlineLevel="1" x14ac:dyDescent="0.2">
      <c r="B144" s="104" t="s">
        <v>115</v>
      </c>
      <c r="C144" s="104" t="s">
        <v>124</v>
      </c>
      <c r="D144" s="2" t="s">
        <v>154</v>
      </c>
      <c r="E144" s="2" t="s">
        <v>115</v>
      </c>
      <c r="F144" s="105" t="s">
        <v>96</v>
      </c>
      <c r="G144" s="27" t="s">
        <v>1582</v>
      </c>
      <c r="H144" s="106" t="s">
        <v>128</v>
      </c>
      <c r="I144" s="107" t="s">
        <v>1577</v>
      </c>
      <c r="J144" s="108">
        <v>0.64</v>
      </c>
      <c r="K144" s="109"/>
      <c r="L144" s="109"/>
      <c r="M144" s="110"/>
      <c r="N144" s="161"/>
      <c r="O144" s="1056"/>
      <c r="P144" s="117">
        <v>5.5460876256389987E-6</v>
      </c>
      <c r="Q144" s="111">
        <v>2.1954378740734131E-8</v>
      </c>
      <c r="R144" s="112">
        <v>2.3369134210999998E-2</v>
      </c>
      <c r="S144" s="1032">
        <v>1.5985103000000001</v>
      </c>
      <c r="T144" s="1032">
        <v>1.2595575999999999E-5</v>
      </c>
      <c r="U144" s="1032">
        <v>3.6728693000000001E-3</v>
      </c>
      <c r="V144" s="1032">
        <v>8.0892964000000005E-4</v>
      </c>
      <c r="W144" s="1032">
        <v>4.5843767000000001E-3</v>
      </c>
      <c r="X144" s="1032">
        <v>8.2407642000000003E-4</v>
      </c>
      <c r="Y144" s="1032">
        <v>3.6566082E-2</v>
      </c>
      <c r="Z144" s="1032">
        <v>6.4385085999999996E-5</v>
      </c>
      <c r="AA144" s="1032">
        <v>3.7318051E-3</v>
      </c>
      <c r="AB144" s="1032">
        <v>3.025193E-2</v>
      </c>
      <c r="AC144" s="1032">
        <v>1.4918621000000001E-3</v>
      </c>
      <c r="AD144" s="1032">
        <v>1.8471399999999999E-3</v>
      </c>
      <c r="AE144" s="1032">
        <v>5.8115244999999997E-4</v>
      </c>
      <c r="AF144" s="1032">
        <v>5.1110949999999997</v>
      </c>
      <c r="AG144" s="1032">
        <v>1.0734410999999999</v>
      </c>
      <c r="AH144" s="1032">
        <v>5.3268941E-5</v>
      </c>
      <c r="AI144" s="1032">
        <v>6.3034560000000003E-2</v>
      </c>
      <c r="AJ144" s="1036">
        <v>8.8287127999999993E-3</v>
      </c>
      <c r="AK144" s="1077">
        <v>1.2486663</v>
      </c>
      <c r="AL144" s="1078">
        <v>5.9298535999999996E-9</v>
      </c>
      <c r="AM144" s="1078">
        <v>7.4873365000000004E-3</v>
      </c>
      <c r="AN144" s="1078">
        <v>1.2467323000000001E-3</v>
      </c>
      <c r="AO144" s="1078">
        <v>6.1697245999999999E-3</v>
      </c>
      <c r="AP144" s="1078">
        <v>4.5754924000000002E-2</v>
      </c>
      <c r="AQ144" s="1078">
        <v>2.9252020000000001E-4</v>
      </c>
      <c r="AR144" s="1078">
        <v>1.4517946E-2</v>
      </c>
      <c r="AS144" s="1078">
        <v>4.4233152E-4</v>
      </c>
      <c r="AT144" s="1078">
        <v>1.4051840000000001E-4</v>
      </c>
      <c r="AU144" s="1078">
        <v>1.2965428000000001E-4</v>
      </c>
      <c r="AV144" s="1078">
        <v>7.7277696000000007E-2</v>
      </c>
      <c r="AW144" s="1078">
        <v>0.74882647000000002</v>
      </c>
      <c r="AX144" s="1078">
        <v>3.1988124999999998E-6</v>
      </c>
      <c r="AY144" s="1078">
        <v>-1.4814066999999999E-8</v>
      </c>
      <c r="AZ144" s="1078">
        <v>7.1980367000000001E-4</v>
      </c>
      <c r="BA144" s="1078">
        <v>6.5134860000000003E-2</v>
      </c>
      <c r="BB144" s="1079">
        <v>8.8365921000000004E-3</v>
      </c>
      <c r="BC144" s="1035"/>
      <c r="BE144" s="113">
        <f t="array" ref="BE144">IFERROR(SUMIFS($CB144:$CW144,$CB$17:$CW$17,BE$17,$CB$18:$CW$18,BE$18)/SUMPRODUCT(($CB$18:$CW$18=BE$18)*ABS($CB144:$CW144)),"-")</f>
        <v>0.26782467214063543</v>
      </c>
      <c r="BF144" s="114">
        <f t="array" ref="BF144">IFERROR(SUMIFS($CB144:$CW144,$CB$17:$CW$17,BF$17,$CB$18:$CW$18,BF$18)/SUMPRODUCT(($CB$18:$CW$18=BF$18)*ABS($CB144:$CW144)),"-")</f>
        <v>1.2057338165892282E-3</v>
      </c>
      <c r="BG144" s="114">
        <f t="array" ref="BG144">IFERROR(SUMIFS($CB144:$CW144,$CB$17:$CW$17,BG$17,$CB$18:$CW$18,BG$18)/SUMPRODUCT(($CB$18:$CW$18=BG$18)*ABS($CB144:$CW144)),"-")</f>
        <v>5.6275578582125269E-6</v>
      </c>
      <c r="BH144" s="114">
        <f t="array" ref="BH144">IFERROR(SUMIFS($CB144:$CW144,$CB$17:$CW$17,BH$17,$CB$18:$CW$18,BH$18)/SUMPRODUCT(($CB$18:$CW$18=BH$18)*ABS($CB144:$CW144)),"-")</f>
        <v>1.3273263238699443E-4</v>
      </c>
      <c r="BI144" s="114">
        <f t="array" ref="BI144">IFERROR(SUMIFS($CB144:$CW144,$CB$17:$CW$17,BI$17,$CB$18:$CW$18,BI$18)/SUMPRODUCT(($CB$18:$CW$18=BI$18)*ABS($CB144:$CW144)),"-")</f>
        <v>0.5200520609639101</v>
      </c>
      <c r="BJ144" s="114">
        <f t="array" ref="BJ144">IFERROR(SUMIFS($CB144:$CW144,$CB$17:$CW$17,BJ$17,$CB$18:$CW$18,BJ$18)/SUMPRODUCT(($CB$18:$CW$18=BJ$18)*ABS($CB144:$CW144)),"-")</f>
        <v>3.4843670537523276E-4</v>
      </c>
      <c r="BK144" s="114">
        <f t="array" ref="BK144">IFERROR(SUMIFS($CB144:$CW144,$CB$17:$CW$17,BK$17,$CB$18:$CW$18,BK$18)/SUMPRODUCT(($CB$18:$CW$18=BK$18)*ABS($CB144:$CW144)),"-")</f>
        <v>0.21022408564373649</v>
      </c>
      <c r="BL144" s="114">
        <f t="array" ref="BL144">IFERROR(SUMIFS($CB144:$CW144,$CB$17:$CW$17,BL$17,$CB$18:$CW$18,BL$18)/SUMPRODUCT(($CB$18:$CW$18=BL$18)*ABS($CB144:$CW144)),"-")</f>
        <v>2.0665053950855142E-4</v>
      </c>
      <c r="BM144" s="115"/>
      <c r="BN144" s="114">
        <f t="array" ref="BN144">IFERROR(SUMIFS($CB144:$CW144,$CB$17:$CW$17,BN$17,$CB$18:$CW$18,BN$18)/SUMPRODUCT(($CB$18:$CW$18=BN$18)*ABS($CB144:$CW144)),"-")</f>
        <v>0.20385423847936882</v>
      </c>
      <c r="BO144" s="114">
        <f t="array" ref="BO144">IFERROR(SUMIFS($CB144:$CW144,$CB$17:$CW$17,BO$17,$CB$18:$CW$18,BO$18)/SUMPRODUCT(($CB$18:$CW$18=BO$18)*ABS($CB144:$CW144)),"-")</f>
        <v>4.8421361066692259E-3</v>
      </c>
      <c r="BP144" s="114">
        <f t="array" ref="BP144">IFERROR(SUMIFS($CB144:$CW144,$CB$17:$CW$17,BP$17,$CB$18:$CW$18,BP$18)/SUMPRODUCT(($CB$18:$CW$18=BP$18)*ABS($CB144:$CW144)),"-")</f>
        <v>0.3534985613416855</v>
      </c>
      <c r="BQ144" s="114">
        <f t="array" ref="BQ144">IFERROR(SUMIFS($CB144:$CW144,$CB$17:$CW$17,BQ$17,$CB$18:$CW$18,BQ$18)/SUMPRODUCT(($CB$18:$CW$18=BQ$18)*ABS($CB144:$CW144)),"-")</f>
        <v>1.9677910502584042E-3</v>
      </c>
      <c r="BR144" s="114">
        <f t="array" ref="BR144">IFERROR(SUMIFS($CB144:$CW144,$CB$17:$CW$17,BR$17,$CB$18:$CW$18,BR$18)/SUMPRODUCT(($CB$18:$CW$18=BR$18)*ABS($CB144:$CW144)),"-")</f>
        <v>2.8878874118339049E-4</v>
      </c>
      <c r="BS144" s="114">
        <f t="array" ref="BS144">IFERROR(SUMIFS($CB144:$CW144,$CB$17:$CW$17,BS$17,$CB$18:$CW$18,BS$18)/SUMPRODUCT(($CB$18:$CW$18=BS$18)*ABS($CB144:$CW144)),"-")</f>
        <v>1.5706283200818531E-5</v>
      </c>
      <c r="BT144" s="114">
        <f t="array" ref="BT144">IFERROR(SUMIFS($CB144:$CW144,$CB$17:$CW$17,BT$17,$CB$18:$CW$18,BT$18)/SUMPRODUCT(($CB$18:$CW$18=BT$18)*ABS($CB144:$CW144)),"-")</f>
        <v>4.7094769212559662E-5</v>
      </c>
      <c r="BU144" s="114">
        <f t="array" ref="BU144">IFERROR(SUMIFS($CB144:$CW144,$CB$17:$CW$17,BU$17,$CB$18:$CW$18,BU$18)/SUMPRODUCT(($CB$18:$CW$18=BU$18)*ABS($CB144:$CW144)),"-")</f>
        <v>8.8366085094472949E-6</v>
      </c>
      <c r="BV144" s="114">
        <f t="array" ref="BV144">IFERROR(SUMIFS($CB144:$CW144,$CB$17:$CW$17,BV$17,$CB$18:$CW$18,BV$18)/SUMPRODUCT(($CB$18:$CW$18=BV$18)*ABS($CB144:$CW144)),"-")</f>
        <v>0.43407269741222171</v>
      </c>
      <c r="BW144" s="114">
        <f t="array" ref="BW144">IFERROR(SUMIFS($CB144:$CW144,$CB$17:$CW$17,BW$17,$CB$18:$CW$18,BW$18)/SUMPRODUCT(($CB$18:$CW$18=BW$18)*ABS($CB144:$CW144)),"-")</f>
        <v>1.4041492076900905E-3</v>
      </c>
      <c r="BX144" s="115"/>
      <c r="BY144" s="114">
        <f t="array" ref="BY144">IFERROR(SUMIFS($CB144:$CW144,$CB$17:$CW$17,BY$17,$CB$18:$CW$18,BY$18)/SUMPRODUCT(($CB$18:$CW$18=BY$18)*ABS($CB144:$CW144)),"-")</f>
        <v>5.2664385804275613E-4</v>
      </c>
      <c r="BZ144" s="116">
        <f t="array" ref="BZ144">IFERROR(SUMIFS($CB144:$CW144,$CB$17:$CW$17,BZ$17,$CB$18:$CW$18,BZ$18)/SUMPRODUCT(($CB$18:$CW$18=BZ$18)*ABS($CB144:$CW144)),"-")</f>
        <v>0.99947335614195731</v>
      </c>
      <c r="CB144" s="117">
        <v>1.4853791E-6</v>
      </c>
      <c r="CC144" s="111">
        <v>4.4753709000000003E-9</v>
      </c>
      <c r="CD144" s="111">
        <v>1.2225947999999999E-13</v>
      </c>
      <c r="CE144" s="111">
        <v>6.6871054000000003E-9</v>
      </c>
      <c r="CF144" s="111">
        <v>3.1210929000000001E-11</v>
      </c>
      <c r="CG144" s="111">
        <v>7.3614681000000004E-10</v>
      </c>
      <c r="CH144" s="111">
        <v>2.8842542999999999E-6</v>
      </c>
      <c r="CI144" s="111">
        <v>1.0630609E-10</v>
      </c>
      <c r="CJ144" s="111">
        <v>7.7608412999999998E-9</v>
      </c>
      <c r="CK144" s="111">
        <v>4.3201630000000001E-11</v>
      </c>
      <c r="CL144" s="111">
        <v>6.3401773999999999E-12</v>
      </c>
      <c r="CM144" s="111">
        <v>3.4482168999999997E-13</v>
      </c>
      <c r="CN144" s="111">
        <v>1.0339364000000001E-12</v>
      </c>
      <c r="CO144" s="111">
        <v>1.9400224999999999E-13</v>
      </c>
      <c r="CP144" s="111">
        <v>1.9324604999999999E-9</v>
      </c>
      <c r="CQ144" s="111">
        <v>1.1659212E-6</v>
      </c>
      <c r="CR144" s="111">
        <v>9.5297963999999996E-9</v>
      </c>
      <c r="CS144" s="111">
        <v>1.2307211E-5</v>
      </c>
      <c r="CT144" s="111">
        <v>2.3356827E-2</v>
      </c>
      <c r="CU144" s="111">
        <v>1.146102E-9</v>
      </c>
      <c r="CV144" s="111">
        <v>3.0826986999999998E-11</v>
      </c>
      <c r="CW144" s="112">
        <v>2.3651413000000002E-16</v>
      </c>
    </row>
    <row r="145" spans="1:101" ht="12" customHeight="1" outlineLevel="1" x14ac:dyDescent="0.2">
      <c r="B145" s="88" t="s">
        <v>116</v>
      </c>
      <c r="C145" s="88" t="s">
        <v>124</v>
      </c>
      <c r="D145" s="89" t="s">
        <v>152</v>
      </c>
      <c r="E145" s="89" t="s">
        <v>156</v>
      </c>
      <c r="F145" s="90" t="s">
        <v>92</v>
      </c>
      <c r="G145" s="18" t="s">
        <v>126</v>
      </c>
      <c r="H145" s="91" t="s">
        <v>127</v>
      </c>
      <c r="I145" s="92" t="s">
        <v>127</v>
      </c>
      <c r="J145" s="93">
        <v>1.55</v>
      </c>
      <c r="K145" s="94"/>
      <c r="L145" s="94"/>
      <c r="M145" s="95"/>
      <c r="N145" s="145"/>
      <c r="O145" s="1055"/>
      <c r="P145" s="103">
        <v>7.49706469451E-6</v>
      </c>
      <c r="Q145" s="97">
        <v>4.8166318020816997E-8</v>
      </c>
      <c r="R145" s="98">
        <v>9.6148289900000003E-2</v>
      </c>
      <c r="S145" s="1033">
        <v>2.8232795999999998</v>
      </c>
      <c r="T145" s="1033">
        <v>1.8324925E-5</v>
      </c>
      <c r="U145" s="1033">
        <v>1.4782078000000001E-2</v>
      </c>
      <c r="V145" s="1033">
        <v>3.6726694000000001E-3</v>
      </c>
      <c r="W145" s="1033">
        <v>6.7530202999999999E-3</v>
      </c>
      <c r="X145" s="1033">
        <v>3.7154321999999999E-3</v>
      </c>
      <c r="Y145" s="1033">
        <v>5.1570833000000003E-2</v>
      </c>
      <c r="Z145" s="1033">
        <v>3.6807619E-4</v>
      </c>
      <c r="AA145" s="1033">
        <v>3.9278285000000001E-3</v>
      </c>
      <c r="AB145" s="1033">
        <v>2.9268041999999999</v>
      </c>
      <c r="AC145" s="1033">
        <v>0.17145500999999999</v>
      </c>
      <c r="AD145" s="1033">
        <v>3.7010574999999997E-2</v>
      </c>
      <c r="AE145" s="1033">
        <v>5.7990077000000001E-4</v>
      </c>
      <c r="AF145" s="1033">
        <v>2.6488716999999999</v>
      </c>
      <c r="AG145" s="1033">
        <v>3.1887398</v>
      </c>
      <c r="AH145" s="1033">
        <v>1.0734431999999999E-3</v>
      </c>
      <c r="AI145" s="1033">
        <v>0.26133307</v>
      </c>
      <c r="AJ145" s="1034">
        <v>2.8995369999999999E-2</v>
      </c>
      <c r="AK145" s="1074">
        <v>2.7861593</v>
      </c>
      <c r="AL145" s="1075">
        <v>2.3962315000000001E-8</v>
      </c>
      <c r="AM145" s="1075">
        <v>3.0609217000000001E-2</v>
      </c>
      <c r="AN145" s="1075">
        <v>3.8891590000000001E-3</v>
      </c>
      <c r="AO145" s="1075">
        <v>1.061555E-2</v>
      </c>
      <c r="AP145" s="1075">
        <v>6.4507061000000004E-2</v>
      </c>
      <c r="AQ145" s="1075">
        <v>3.9170205999999999E-4</v>
      </c>
      <c r="AR145" s="1075">
        <v>1.5924810000000001E-2</v>
      </c>
      <c r="AS145" s="1075">
        <v>2.9292986999999999E-2</v>
      </c>
      <c r="AT145" s="1075">
        <v>8.2307448000000002E-3</v>
      </c>
      <c r="AU145" s="1075">
        <v>2.2397496999999999E-3</v>
      </c>
      <c r="AV145" s="1075">
        <v>9.2656334000000007E-2</v>
      </c>
      <c r="AW145" s="1075">
        <v>2.8072973999999999</v>
      </c>
      <c r="AX145" s="1075">
        <v>1.9789078999999999E-5</v>
      </c>
      <c r="AY145" s="1075">
        <v>2.2256235999999999E-2</v>
      </c>
      <c r="AZ145" s="1075">
        <v>2.1536678E-3</v>
      </c>
      <c r="BA145" s="1075">
        <v>0.26768846000000002</v>
      </c>
      <c r="BB145" s="1076">
        <v>2.9045679000000001E-2</v>
      </c>
      <c r="BC145" s="1035"/>
      <c r="BE145" s="99">
        <f t="array" ref="BE145">IFERROR(SUMIFS($CB145:$CW145,$CB$17:$CW$17,BE$17,$CB$18:$CW$18,BE$18)/SUMPRODUCT(($CB$18:$CW$18=BE$18)*ABS($CB145:$CW145)),"-")</f>
        <v>0.34959436883601569</v>
      </c>
      <c r="BF145" s="100">
        <f t="array" ref="BF145">IFERROR(SUMIFS($CB145:$CW145,$CB$17:$CW$17,BF$17,$CB$18:$CW$18,BF$18)/SUMPRODUCT(($CB$18:$CW$18=BF$18)*ABS($CB145:$CW145)),"-")</f>
        <v>1.2976901889514597E-3</v>
      </c>
      <c r="BG145" s="100">
        <f t="array" ref="BG145">IFERROR(SUMIFS($CB145:$CW145,$CB$17:$CW$17,BG$17,$CB$18:$CW$18,BG$18)/SUMPRODUCT(($CB$18:$CW$18=BG$18)*ABS($CB145:$CW145)),"-")</f>
        <v>1.6754998805330431E-5</v>
      </c>
      <c r="BH145" s="100">
        <f t="array" ref="BH145">IFERROR(SUMIFS($CB145:$CW145,$CB$17:$CW$17,BH$17,$CB$18:$CW$18,BH$18)/SUMPRODUCT(($CB$18:$CW$18=BH$18)*ABS($CB145:$CW145)),"-")</f>
        <v>4.4574664034140572E-4</v>
      </c>
      <c r="BI145" s="100">
        <f t="array" ref="BI145">IFERROR(SUMIFS($CB145:$CW145,$CB$17:$CW$17,BI$17,$CB$18:$CW$18,BI$18)/SUMPRODUCT(($CB$18:$CW$18=BI$18)*ABS($CB145:$CW145)),"-")</f>
        <v>0.56667103367949112</v>
      </c>
      <c r="BJ145" s="100">
        <f t="array" ref="BJ145">IFERROR(SUMIFS($CB145:$CW145,$CB$17:$CW$17,BJ$17,$CB$18:$CW$18,BJ$18)/SUMPRODUCT(($CB$18:$CW$18=BJ$18)*ABS($CB145:$CW145)),"-")</f>
        <v>2.5662861111614674E-4</v>
      </c>
      <c r="BK145" s="100">
        <f t="array" ref="BK145">IFERROR(SUMIFS($CB145:$CW145,$CB$17:$CW$17,BK$17,$CB$18:$CW$18,BK$18)/SUMPRODUCT(($CB$18:$CW$18=BK$18)*ABS($CB145:$CW145)),"-")</f>
        <v>8.0597047594170801E-2</v>
      </c>
      <c r="BL145" s="100">
        <f t="array" ref="BL145">IFERROR(SUMIFS($CB145:$CW145,$CB$17:$CW$17,BL$17,$CB$18:$CW$18,BL$18)/SUMPRODUCT(($CB$18:$CW$18=BL$18)*ABS($CB145:$CW145)),"-")</f>
        <v>1.1207294511080856E-3</v>
      </c>
      <c r="BM145" s="101"/>
      <c r="BN145" s="100">
        <f t="array" ref="BN145">IFERROR(SUMIFS($CB145:$CW145,$CB$17:$CW$17,BN$17,$CB$18:$CW$18,BN$18)/SUMPRODUCT(($CB$18:$CW$18=BN$18)*ABS($CB145:$CW145)),"-")</f>
        <v>0.16411329757287352</v>
      </c>
      <c r="BO145" s="100">
        <f t="array" ref="BO145">IFERROR(SUMIFS($CB145:$CW145,$CB$17:$CW$17,BO$17,$CB$18:$CW$18,BO$18)/SUMPRODUCT(($CB$18:$CW$18=BO$18)*ABS($CB145:$CW145)),"-")</f>
        <v>9.9495757552586789E-3</v>
      </c>
      <c r="BP145" s="100">
        <f t="array" ref="BP145">IFERROR(SUMIFS($CB145:$CW145,$CB$17:$CW$17,BP$17,$CB$18:$CW$18,BP$18)/SUMPRODUCT(($CB$18:$CW$18=BP$18)*ABS($CB145:$CW145)),"-")</f>
        <v>0.2272346413373274</v>
      </c>
      <c r="BQ145" s="100">
        <f t="array" ref="BQ145">IFERROR(SUMIFS($CB145:$CW145,$CB$17:$CW$17,BQ$17,$CB$18:$CW$18,BQ$18)/SUMPRODUCT(($CB$18:$CW$18=BQ$18)*ABS($CB145:$CW145)),"-")</f>
        <v>5.1274425812091774E-3</v>
      </c>
      <c r="BR145" s="100">
        <f t="array" ref="BR145">IFERROR(SUMIFS($CB145:$CW145,$CB$17:$CW$17,BR$17,$CB$18:$CW$18,BR$18)/SUMPRODUCT(($CB$18:$CW$18=BR$18)*ABS($CB145:$CW145)),"-")</f>
        <v>1.38545663737799E-4</v>
      </c>
      <c r="BS145" s="100">
        <f t="array" ref="BS145">IFERROR(SUMIFS($CB145:$CW145,$CB$17:$CW$17,BS$17,$CB$18:$CW$18,BS$18)/SUMPRODUCT(($CB$18:$CW$18=BS$18)*ABS($CB145:$CW145)),"-")</f>
        <v>6.9267580273793333E-4</v>
      </c>
      <c r="BT145" s="100">
        <f t="array" ref="BT145">IFERROR(SUMIFS($CB145:$CW145,$CB$17:$CW$17,BT$17,$CB$18:$CW$18,BT$18)/SUMPRODUCT(($CB$18:$CW$18=BT$18)*ABS($CB145:$CW145)),"-")</f>
        <v>2.4725643332033113E-3</v>
      </c>
      <c r="BU145" s="100">
        <f t="array" ref="BU145">IFERROR(SUMIFS($CB145:$CW145,$CB$17:$CW$17,BU$17,$CB$18:$CW$18,BU$18)/SUMPRODUCT(($CB$18:$CW$18=BU$18)*ABS($CB145:$CW145)),"-")</f>
        <v>8.0639221754947804E-5</v>
      </c>
      <c r="BV145" s="100">
        <f t="array" ref="BV145">IFERROR(SUMIFS($CB145:$CW145,$CB$17:$CW$17,BV$17,$CB$18:$CW$18,BV$18)/SUMPRODUCT(($CB$18:$CW$18=BV$18)*ABS($CB145:$CW145)),"-")</f>
        <v>0.587879459413155</v>
      </c>
      <c r="BW145" s="100">
        <f t="array" ref="BW145">IFERROR(SUMIFS($CB145:$CW145,$CB$17:$CW$17,BW$17,$CB$18:$CW$18,BW$18)/SUMPRODUCT(($CB$18:$CW$18=BW$18)*ABS($CB145:$CW145)),"-")</f>
        <v>2.3111583187423344E-3</v>
      </c>
      <c r="BX145" s="101"/>
      <c r="BY145" s="100">
        <f t="array" ref="BY145">IFERROR(SUMIFS($CB145:$CW145,$CB$17:$CW$17,BY$17,$CB$18:$CW$18,BY$18)/SUMPRODUCT(($CB$18:$CW$18=BY$18)*ABS($CB145:$CW145)),"-")</f>
        <v>2.5808144924686794E-3</v>
      </c>
      <c r="BZ145" s="102">
        <f t="array" ref="BZ145">IFERROR(SUMIFS($CB145:$CW145,$CB$17:$CW$17,BZ$17,$CB$18:$CW$18,BZ$18)/SUMPRODUCT(($CB$18:$CW$18=BZ$18)*ABS($CB145:$CW145)),"-")</f>
        <v>0.99741918550753128</v>
      </c>
      <c r="CB145" s="103">
        <v>2.6209316E-6</v>
      </c>
      <c r="CC145" s="97">
        <v>7.9045173000000003E-9</v>
      </c>
      <c r="CD145" s="97">
        <v>2.1598234000000001E-13</v>
      </c>
      <c r="CE145" s="97">
        <v>9.7288672999999997E-9</v>
      </c>
      <c r="CF145" s="97">
        <v>1.2561331E-10</v>
      </c>
      <c r="CG145" s="97">
        <v>3.3417913999999999E-9</v>
      </c>
      <c r="CH145" s="97">
        <v>4.2483693999999998E-6</v>
      </c>
      <c r="CI145" s="97">
        <v>4.7923442999999999E-10</v>
      </c>
      <c r="CJ145" s="97">
        <v>1.0945055999999999E-8</v>
      </c>
      <c r="CK145" s="97">
        <v>2.4697003000000001E-10</v>
      </c>
      <c r="CL145" s="97">
        <v>6.6732345E-12</v>
      </c>
      <c r="CM145" s="97">
        <v>3.3363642999999998E-11</v>
      </c>
      <c r="CN145" s="97">
        <v>1.1909432000000001E-10</v>
      </c>
      <c r="CO145" s="97">
        <v>3.8840944000000004E-12</v>
      </c>
      <c r="CP145" s="97">
        <v>1.9239613E-9</v>
      </c>
      <c r="CQ145" s="97">
        <v>6.0424128E-7</v>
      </c>
      <c r="CR145" s="97">
        <v>2.8315989E-8</v>
      </c>
      <c r="CS145" s="97">
        <v>2.4814089999999997E-4</v>
      </c>
      <c r="CT145" s="97">
        <v>9.5900149000000004E-2</v>
      </c>
      <c r="CU145" s="97">
        <v>8.4021811999999996E-9</v>
      </c>
      <c r="CV145" s="97">
        <v>1.113019E-10</v>
      </c>
      <c r="CW145" s="98">
        <v>1.8086576999999999E-14</v>
      </c>
    </row>
    <row r="146" spans="1:101" ht="12" customHeight="1" outlineLevel="1" x14ac:dyDescent="0.2">
      <c r="B146" s="104" t="s">
        <v>116</v>
      </c>
      <c r="C146" s="104" t="s">
        <v>124</v>
      </c>
      <c r="D146" s="2" t="s">
        <v>152</v>
      </c>
      <c r="E146" s="2" t="s">
        <v>156</v>
      </c>
      <c r="F146" s="105" t="s">
        <v>122</v>
      </c>
      <c r="G146" s="27" t="s">
        <v>1579</v>
      </c>
      <c r="H146" s="106" t="s">
        <v>128</v>
      </c>
      <c r="I146" s="107" t="s">
        <v>129</v>
      </c>
      <c r="J146" s="108">
        <v>1.55</v>
      </c>
      <c r="K146" s="109"/>
      <c r="L146" s="109"/>
      <c r="M146" s="110"/>
      <c r="N146" s="161"/>
      <c r="O146" s="1056"/>
      <c r="P146" s="117">
        <v>5.6262494905300006E-6</v>
      </c>
      <c r="Q146" s="111">
        <v>6.0028989950132713E-8</v>
      </c>
      <c r="R146" s="112">
        <v>7.8721125954999999E-2</v>
      </c>
      <c r="S146" s="1032">
        <v>1.3788431999999999</v>
      </c>
      <c r="T146" s="1032">
        <v>1.0996604E-5</v>
      </c>
      <c r="U146" s="1032">
        <v>1.6021628E-2</v>
      </c>
      <c r="V146" s="1032">
        <v>2.6633016000000001E-3</v>
      </c>
      <c r="W146" s="1032">
        <v>6.8254218999999998E-3</v>
      </c>
      <c r="X146" s="1032">
        <v>2.7087309000000002E-3</v>
      </c>
      <c r="Y146" s="1032">
        <v>5.2947981999999998E-2</v>
      </c>
      <c r="Z146" s="1032">
        <v>5.2464615E-5</v>
      </c>
      <c r="AA146" s="1032">
        <v>2.6534254000000002E-3</v>
      </c>
      <c r="AB146" s="1032">
        <v>0.12562249</v>
      </c>
      <c r="AC146" s="1032">
        <v>2.2010609000000002E-3</v>
      </c>
      <c r="AD146" s="1032">
        <v>3.2770884999999998E-3</v>
      </c>
      <c r="AE146" s="1032">
        <v>3.2017504999999998E-4</v>
      </c>
      <c r="AF146" s="1032">
        <v>0.17643788999999999</v>
      </c>
      <c r="AG146" s="1032">
        <v>5.0120322000000002</v>
      </c>
      <c r="AH146" s="1032">
        <v>2.3280819000000001E-4</v>
      </c>
      <c r="AI146" s="1032">
        <v>0.2212394</v>
      </c>
      <c r="AJ146" s="1036">
        <v>8.4383840000000002E-3</v>
      </c>
      <c r="AK146" s="1077">
        <v>1.3411128000000001</v>
      </c>
      <c r="AL146" s="1078">
        <v>2.5932375000000001E-8</v>
      </c>
      <c r="AM146" s="1078">
        <v>3.2658254999999997E-2</v>
      </c>
      <c r="AN146" s="1078">
        <v>3.1093724000000001E-3</v>
      </c>
      <c r="AO146" s="1078">
        <v>1.102501E-2</v>
      </c>
      <c r="AP146" s="1078">
        <v>6.6345197999999994E-2</v>
      </c>
      <c r="AQ146" s="1078">
        <v>6.9268034999999997E-5</v>
      </c>
      <c r="AR146" s="1078">
        <v>1.1614241000000001E-2</v>
      </c>
      <c r="AS146" s="1078">
        <v>1.9554276000000001E-5</v>
      </c>
      <c r="AT146" s="1078">
        <v>3.1378956000000001E-4</v>
      </c>
      <c r="AU146" s="1078">
        <v>3.4286473000000003E-4</v>
      </c>
      <c r="AV146" s="1078">
        <v>6.777E-3</v>
      </c>
      <c r="AW146" s="1078">
        <v>5.0065609999999996</v>
      </c>
      <c r="AX146" s="1078">
        <v>1.8720400000000001E-5</v>
      </c>
      <c r="AY146" s="1078">
        <v>9.0089151000000004E-6</v>
      </c>
      <c r="AZ146" s="1078">
        <v>2.9317801999999998E-3</v>
      </c>
      <c r="BA146" s="1078">
        <v>0.22896347</v>
      </c>
      <c r="BB146" s="1079">
        <v>8.4836149999999999E-3</v>
      </c>
      <c r="BC146" s="1035"/>
      <c r="BE146" s="113">
        <f t="array" ref="BE146">IFERROR(SUMIFS($CB146:$CW146,$CB$17:$CW$17,BE$17,$CB$18:$CW$18,BE$18)/SUMPRODUCT(($CB$18:$CW$18=BE$18)*ABS($CB146:$CW146)),"-")</f>
        <v>0.22753868312359612</v>
      </c>
      <c r="BF146" s="114">
        <f t="array" ref="BF146">IFERROR(SUMIFS($CB146:$CW146,$CB$17:$CW$17,BF$17,$CB$18:$CW$18,BF$18)/SUMPRODUCT(($CB$18:$CW$18=BF$18)*ABS($CB146:$CW146)),"-")</f>
        <v>1.0376708515729249E-3</v>
      </c>
      <c r="BG146" s="114">
        <f t="array" ref="BG146">IFERROR(SUMIFS($CB146:$CW146,$CB$17:$CW$17,BG$17,$CB$18:$CW$18,BG$18)/SUMPRODUCT(($CB$18:$CW$18=BG$18)*ABS($CB146:$CW146)),"-")</f>
        <v>2.4198523408739694E-5</v>
      </c>
      <c r="BH146" s="114">
        <f t="array" ref="BH146">IFERROR(SUMIFS($CB146:$CW146,$CB$17:$CW$17,BH$17,$CB$18:$CW$18,BH$18)/SUMPRODUCT(($CB$18:$CW$18=BH$18)*ABS($CB146:$CW146)),"-")</f>
        <v>4.3077618653055653E-4</v>
      </c>
      <c r="BI146" s="114">
        <f t="array" ref="BI146">IFERROR(SUMIFS($CB146:$CW146,$CB$17:$CW$17,BI$17,$CB$18:$CW$18,BI$18)/SUMPRODUCT(($CB$18:$CW$18=BI$18)*ABS($CB146:$CW146)),"-")</f>
        <v>0.76321953145300236</v>
      </c>
      <c r="BJ146" s="114">
        <f t="array" ref="BJ146">IFERROR(SUMIFS($CB146:$CW146,$CB$17:$CW$17,BJ$17,$CB$18:$CW$18,BJ$18)/SUMPRODUCT(($CB$18:$CW$18=BJ$18)*ABS($CB146:$CW146)),"-")</f>
        <v>1.8881716884188986E-4</v>
      </c>
      <c r="BK146" s="114">
        <f t="array" ref="BK146">IFERROR(SUMIFS($CB146:$CW146,$CB$17:$CW$17,BK$17,$CB$18:$CW$18,BK$18)/SUMPRODUCT(($CB$18:$CW$18=BK$18)*ABS($CB146:$CW146)),"-")</f>
        <v>7.1536641003469882E-3</v>
      </c>
      <c r="BL146" s="114">
        <f t="array" ref="BL146">IFERROR(SUMIFS($CB146:$CW146,$CB$17:$CW$17,BL$17,$CB$18:$CW$18,BL$18)/SUMPRODUCT(($CB$18:$CW$18=BL$18)*ABS($CB146:$CW146)),"-")</f>
        <v>4.0665859270035159E-4</v>
      </c>
      <c r="BM146" s="115"/>
      <c r="BN146" s="114">
        <f t="array" ref="BN146">IFERROR(SUMIFS($CB146:$CW146,$CB$17:$CW$17,BN$17,$CB$18:$CW$18,BN$18)/SUMPRODUCT(($CB$18:$CW$18=BN$18)*ABS($CB146:$CW146)),"-")</f>
        <v>6.4310047265612291E-2</v>
      </c>
      <c r="BO146" s="114">
        <f t="array" ref="BO146">IFERROR(SUMIFS($CB146:$CW146,$CB$17:$CW$17,BO$17,$CB$18:$CW$18,BO$18)/SUMPRODUCT(($CB$18:$CW$18=BO$18)*ABS($CB146:$CW146)),"-")</f>
        <v>5.8210151510175038E-3</v>
      </c>
      <c r="BP146" s="114">
        <f t="array" ref="BP146">IFERROR(SUMIFS($CB146:$CW146,$CB$17:$CW$17,BP$17,$CB$18:$CW$18,BP$18)/SUMPRODUCT(($CB$18:$CW$18=BP$18)*ABS($CB146:$CW146)),"-")</f>
        <v>0.18720183380288838</v>
      </c>
      <c r="BQ146" s="114">
        <f t="array" ref="BQ146">IFERROR(SUMIFS($CB146:$CW146,$CB$17:$CW$17,BQ$17,$CB$18:$CW$18,BQ$18)/SUMPRODUCT(($CB$18:$CW$18=BQ$18)*ABS($CB146:$CW146)),"-")</f>
        <v>5.86350845303906E-4</v>
      </c>
      <c r="BR146" s="114">
        <f t="array" ref="BR146">IFERROR(SUMIFS($CB146:$CW146,$CB$17:$CW$17,BR$17,$CB$18:$CW$18,BR$18)/SUMPRODUCT(($CB$18:$CW$18=BR$18)*ABS($CB146:$CW146)),"-")</f>
        <v>7.5098106827133678E-5</v>
      </c>
      <c r="BS146" s="114">
        <f t="array" ref="BS146">IFERROR(SUMIFS($CB146:$CW146,$CB$17:$CW$17,BS$17,$CB$18:$CW$18,BS$18)/SUMPRODUCT(($CB$18:$CW$18=BS$18)*ABS($CB146:$CW146)),"-")</f>
        <v>2.3854490991595209E-5</v>
      </c>
      <c r="BT146" s="114">
        <f t="array" ref="BT146">IFERROR(SUMIFS($CB146:$CW146,$CB$17:$CW$17,BT$17,$CB$18:$CW$18,BT$18)/SUMPRODUCT(($CB$18:$CW$18=BT$18)*ABS($CB146:$CW146)),"-")</f>
        <v>2.5371589648021936E-5</v>
      </c>
      <c r="BU146" s="114">
        <f t="array" ref="BU146">IFERROR(SUMIFS($CB146:$CW146,$CB$17:$CW$17,BU$17,$CB$18:$CW$18,BU$18)/SUMPRODUCT(($CB$18:$CW$18=BU$18)*ABS($CB146:$CW146)),"-")</f>
        <v>5.7338710893841886E-6</v>
      </c>
      <c r="BV146" s="114">
        <f t="array" ref="BV146">IFERROR(SUMIFS($CB146:$CW146,$CB$17:$CW$17,BV$17,$CB$18:$CW$18,BV$18)/SUMPRODUCT(($CB$18:$CW$18=BV$18)*ABS($CB146:$CW146)),"-")</f>
        <v>0.74142187028255346</v>
      </c>
      <c r="BW146" s="114">
        <f t="array" ref="BW146">IFERROR(SUMIFS($CB146:$CW146,$CB$17:$CW$17,BW$17,$CB$18:$CW$18,BW$18)/SUMPRODUCT(($CB$18:$CW$18=BW$18)*ABS($CB146:$CW146)),"-")</f>
        <v>5.2882459406831679E-4</v>
      </c>
      <c r="BX146" s="115"/>
      <c r="BY146" s="114">
        <f t="array" ref="BY146">IFERROR(SUMIFS($CB146:$CW146,$CB$17:$CW$17,BY$17,$CB$18:$CW$18,BY$18)/SUMPRODUCT(($CB$18:$CW$18=BY$18)*ABS($CB146:$CW146)),"-")</f>
        <v>6.8370408003013935E-4</v>
      </c>
      <c r="BZ146" s="116">
        <f t="array" ref="BZ146">IFERROR(SUMIFS($CB146:$CW146,$CB$17:$CW$17,BZ$17,$CB$18:$CW$18,BZ$18)/SUMPRODUCT(($CB$18:$CW$18=BZ$18)*ABS($CB146:$CW146)),"-")</f>
        <v>0.99931629591996984</v>
      </c>
      <c r="CB146" s="117">
        <v>1.2801893999999999E-6</v>
      </c>
      <c r="CC146" s="111">
        <v>3.8603616999999998E-9</v>
      </c>
      <c r="CD146" s="111">
        <v>1.0548100000000001E-13</v>
      </c>
      <c r="CE146" s="111">
        <v>5.8381951000000001E-9</v>
      </c>
      <c r="CF146" s="111">
        <v>1.3614692999999999E-10</v>
      </c>
      <c r="CG146" s="111">
        <v>2.4236543000000001E-9</v>
      </c>
      <c r="CH146" s="111">
        <v>4.2940635000000003E-6</v>
      </c>
      <c r="CI146" s="111">
        <v>3.4942965999999999E-10</v>
      </c>
      <c r="CJ146" s="111">
        <v>1.1237537000000001E-8</v>
      </c>
      <c r="CK146" s="111">
        <v>3.5198048999999997E-11</v>
      </c>
      <c r="CL146" s="111">
        <v>4.5080635000000001E-12</v>
      </c>
      <c r="CM146" s="111">
        <v>1.4319610000000001E-12</v>
      </c>
      <c r="CN146" s="111">
        <v>1.5230308999999999E-12</v>
      </c>
      <c r="CO146" s="111">
        <v>3.4419848999999999E-13</v>
      </c>
      <c r="CP146" s="111">
        <v>1.0623325E-9</v>
      </c>
      <c r="CQ146" s="111">
        <v>4.0248298999999997E-8</v>
      </c>
      <c r="CR146" s="111">
        <v>4.4506806E-8</v>
      </c>
      <c r="CS146" s="111">
        <v>5.3821954999999998E-5</v>
      </c>
      <c r="CT146" s="111">
        <v>7.8667303999999993E-2</v>
      </c>
      <c r="CU146" s="111">
        <v>2.2879627000000001E-9</v>
      </c>
      <c r="CV146" s="111">
        <v>3.1744277999999999E-11</v>
      </c>
      <c r="CW146" s="112">
        <v>5.2824270999999999E-16</v>
      </c>
    </row>
    <row r="147" spans="1:101" ht="12" customHeight="1" outlineLevel="1" x14ac:dyDescent="0.2">
      <c r="B147" s="104" t="s">
        <v>116</v>
      </c>
      <c r="C147" s="104" t="s">
        <v>124</v>
      </c>
      <c r="D147" s="2" t="s">
        <v>152</v>
      </c>
      <c r="E147" s="2" t="s">
        <v>156</v>
      </c>
      <c r="F147" s="105" t="s">
        <v>93</v>
      </c>
      <c r="G147" s="27" t="s">
        <v>1578</v>
      </c>
      <c r="H147" s="106" t="s">
        <v>130</v>
      </c>
      <c r="I147" s="107" t="s">
        <v>129</v>
      </c>
      <c r="J147" s="108">
        <v>1.55</v>
      </c>
      <c r="K147" s="109"/>
      <c r="L147" s="109"/>
      <c r="M147" s="110"/>
      <c r="N147" s="161"/>
      <c r="O147" s="1056"/>
      <c r="P147" s="117">
        <v>6.0251192795700001E-6</v>
      </c>
      <c r="Q147" s="111">
        <v>7.4553485767828807E-8</v>
      </c>
      <c r="R147" s="112">
        <v>8.7667892232E-2</v>
      </c>
      <c r="S147" s="1032">
        <v>1.5696882999999999</v>
      </c>
      <c r="T147" s="1032">
        <v>1.2875724E-5</v>
      </c>
      <c r="U147" s="1032">
        <v>1.6750866E-2</v>
      </c>
      <c r="V147" s="1032">
        <v>3.1786399999999999E-3</v>
      </c>
      <c r="W147" s="1032">
        <v>7.0507143999999997E-3</v>
      </c>
      <c r="X147" s="1032">
        <v>3.2299323000000001E-3</v>
      </c>
      <c r="Y147" s="1032">
        <v>5.4259763000000003E-2</v>
      </c>
      <c r="Z147" s="1032">
        <v>6.8201768999999997E-5</v>
      </c>
      <c r="AA147" s="1032">
        <v>3.417167E-3</v>
      </c>
      <c r="AB147" s="1032">
        <v>0.13965253999999999</v>
      </c>
      <c r="AC147" s="1032">
        <v>2.8840318999999999E-3</v>
      </c>
      <c r="AD147" s="1032">
        <v>4.2542923000000003E-3</v>
      </c>
      <c r="AE147" s="1032">
        <v>3.8816722999999997E-4</v>
      </c>
      <c r="AF147" s="1032">
        <v>0.51829811999999997</v>
      </c>
      <c r="AG147" s="1032">
        <v>6.5468444999999997</v>
      </c>
      <c r="AH147" s="1032">
        <v>2.8895283000000003E-4</v>
      </c>
      <c r="AI147" s="1032">
        <v>0.24233294</v>
      </c>
      <c r="AJ147" s="1036">
        <v>9.2719434999999992E-3</v>
      </c>
      <c r="AK147" s="1077">
        <v>1.5303747999999999</v>
      </c>
      <c r="AL147" s="1078">
        <v>2.7149095000000001E-8</v>
      </c>
      <c r="AM147" s="1078">
        <v>3.4152283999999998E-2</v>
      </c>
      <c r="AN147" s="1078">
        <v>3.6801496E-3</v>
      </c>
      <c r="AO147" s="1078">
        <v>1.1311874E-2</v>
      </c>
      <c r="AP147" s="1078">
        <v>6.8026418000000005E-2</v>
      </c>
      <c r="AQ147" s="1078">
        <v>8.8974504999999994E-5</v>
      </c>
      <c r="AR147" s="1078">
        <v>1.4302219999999999E-2</v>
      </c>
      <c r="AS147" s="1078">
        <v>4.6560353E-5</v>
      </c>
      <c r="AT147" s="1078">
        <v>3.9975105000000002E-4</v>
      </c>
      <c r="AU147" s="1078">
        <v>4.3053759000000002E-4</v>
      </c>
      <c r="AV147" s="1078">
        <v>1.4899447E-2</v>
      </c>
      <c r="AW147" s="1078">
        <v>6.5408800999999999</v>
      </c>
      <c r="AX147" s="1078">
        <v>1.9362963E-5</v>
      </c>
      <c r="AY147" s="1078">
        <v>9.1991993000000004E-6</v>
      </c>
      <c r="AZ147" s="1078">
        <v>3.5725014000000002E-3</v>
      </c>
      <c r="BA147" s="1078">
        <v>0.25109546999999999</v>
      </c>
      <c r="BB147" s="1079">
        <v>9.3187792000000002E-3</v>
      </c>
      <c r="BC147" s="1035"/>
      <c r="BE147" s="113">
        <f t="array" ref="BE147">IFERROR(SUMIFS($CB147:$CW147,$CB$17:$CW$17,BE$17,$CB$18:$CW$18,BE$18)/SUMPRODUCT(($CB$18:$CW$18=BE$18)*ABS($CB147:$CW147)),"-")</f>
        <v>0.24188382542760381</v>
      </c>
      <c r="BF147" s="114">
        <f t="array" ref="BF147">IFERROR(SUMIFS($CB147:$CW147,$CB$17:$CW$17,BF$17,$CB$18:$CW$18,BF$18)/SUMPRODUCT(($CB$18:$CW$18=BF$18)*ABS($CB147:$CW147)),"-")</f>
        <v>1.1345561942946063E-3</v>
      </c>
      <c r="BG147" s="114">
        <f t="array" ref="BG147">IFERROR(SUMIFS($CB147:$CW147,$CB$17:$CW$17,BG$17,$CB$18:$CW$18,BG$18)/SUMPRODUCT(($CB$18:$CW$18=BG$18)*ABS($CB147:$CW147)),"-")</f>
        <v>2.362505427613024E-5</v>
      </c>
      <c r="BH147" s="114">
        <f t="array" ref="BH147">IFERROR(SUMIFS($CB147:$CW147,$CB$17:$CW$17,BH$17,$CB$18:$CW$18,BH$18)/SUMPRODUCT(($CB$18:$CW$18=BH$18)*ABS($CB147:$CW147)),"-")</f>
        <v>4.8009369869378589E-4</v>
      </c>
      <c r="BI147" s="114">
        <f t="array" ref="BI147">IFERROR(SUMIFS($CB147:$CW147,$CB$17:$CW$17,BI$17,$CB$18:$CW$18,BI$18)/SUMPRODUCT(($CB$18:$CW$18=BI$18)*ABS($CB147:$CW147)),"-")</f>
        <v>0.7362138397891721</v>
      </c>
      <c r="BJ147" s="114">
        <f t="array" ref="BJ147">IFERROR(SUMIFS($CB147:$CW147,$CB$17:$CW$17,BJ$17,$CB$18:$CW$18,BJ$18)/SUMPRODUCT(($CB$18:$CW$18=BJ$18)*ABS($CB147:$CW147)),"-")</f>
        <v>2.1382237267374789E-4</v>
      </c>
      <c r="BK147" s="114">
        <f t="array" ref="BK147">IFERROR(SUMIFS($CB147:$CW147,$CB$17:$CW$17,BK$17,$CB$18:$CW$18,BK$18)/SUMPRODUCT(($CB$18:$CW$18=BK$18)*ABS($CB147:$CW147)),"-")</f>
        <v>1.9623206531512512E-2</v>
      </c>
      <c r="BL147" s="114">
        <f t="array" ref="BL147">IFERROR(SUMIFS($CB147:$CW147,$CB$17:$CW$17,BL$17,$CB$18:$CW$18,BL$18)/SUMPRODUCT(($CB$18:$CW$18=BL$18)*ABS($CB147:$CW147)),"-")</f>
        <v>4.2703093177329151E-4</v>
      </c>
      <c r="BM147" s="115"/>
      <c r="BN147" s="114">
        <f t="array" ref="BN147">IFERROR(SUMIFS($CB147:$CW147,$CB$17:$CW$17,BN$17,$CB$18:$CW$18,BN$18)/SUMPRODUCT(($CB$18:$CW$18=BN$18)*ABS($CB147:$CW147)),"-")</f>
        <v>5.8948010756814641E-2</v>
      </c>
      <c r="BO147" s="114">
        <f t="array" ref="BO147">IFERROR(SUMIFS($CB147:$CW147,$CB$17:$CW$17,BO$17,$CB$18:$CW$18,BO$18)/SUMPRODUCT(($CB$18:$CW$18=BO$18)*ABS($CB147:$CW147)),"-")</f>
        <v>5.5887994465819912E-3</v>
      </c>
      <c r="BP147" s="114">
        <f t="array" ref="BP147">IFERROR(SUMIFS($CB147:$CW147,$CB$17:$CW$17,BP$17,$CB$18:$CW$18,BP$18)/SUMPRODUCT(($CB$18:$CW$18=BP$18)*ABS($CB147:$CW147)),"-")</f>
        <v>0.15446476957311253</v>
      </c>
      <c r="BQ147" s="114">
        <f t="array" ref="BQ147">IFERROR(SUMIFS($CB147:$CW147,$CB$17:$CW$17,BQ$17,$CB$18:$CW$18,BQ$18)/SUMPRODUCT(($CB$18:$CW$18=BQ$18)*ABS($CB147:$CW147)),"-")</f>
        <v>6.1373801008436125E-4</v>
      </c>
      <c r="BR147" s="114">
        <f t="array" ref="BR147">IFERROR(SUMIFS($CB147:$CW147,$CB$17:$CW$17,BR$17,$CB$18:$CW$18,BR$18)/SUMPRODUCT(($CB$18:$CW$18=BR$18)*ABS($CB147:$CW147)),"-")</f>
        <v>7.7871981976532003E-5</v>
      </c>
      <c r="BS147" s="114">
        <f t="array" ref="BS147">IFERROR(SUMIFS($CB147:$CW147,$CB$17:$CW$17,BS$17,$CB$18:$CW$18,BS$18)/SUMPRODUCT(($CB$18:$CW$18=BS$18)*ABS($CB147:$CW147)),"-")</f>
        <v>2.1351862808364017E-5</v>
      </c>
      <c r="BT147" s="114">
        <f t="array" ref="BT147">IFERROR(SUMIFS($CB147:$CW147,$CB$17:$CW$17,BT$17,$CB$18:$CW$18,BT$18)/SUMPRODUCT(($CB$18:$CW$18=BT$18)*ABS($CB147:$CW147)),"-")</f>
        <v>2.6768435834306387E-5</v>
      </c>
      <c r="BU147" s="114">
        <f t="array" ref="BU147">IFERROR(SUMIFS($CB147:$CW147,$CB$17:$CW$17,BU$17,$CB$18:$CW$18,BU$18)/SUMPRODUCT(($CB$18:$CW$18=BU$18)*ABS($CB147:$CW147)),"-")</f>
        <v>5.9935074181711607E-6</v>
      </c>
      <c r="BV147" s="114">
        <f t="array" ref="BV147">IFERROR(SUMIFS($CB147:$CW147,$CB$17:$CW$17,BV$17,$CB$18:$CW$18,BV$18)/SUMPRODUCT(($CB$18:$CW$18=BV$18)*ABS($CB147:$CW147)),"-")</f>
        <v>0.77978830099298613</v>
      </c>
      <c r="BW147" s="114">
        <f t="array" ref="BW147">IFERROR(SUMIFS($CB147:$CW147,$CB$17:$CW$17,BW$17,$CB$18:$CW$18,BW$18)/SUMPRODUCT(($CB$18:$CW$18=BW$18)*ABS($CB147:$CW147)),"-")</f>
        <v>4.643954323828565E-4</v>
      </c>
      <c r="BX147" s="115"/>
      <c r="BY147" s="114">
        <f t="array" ref="BY147">IFERROR(SUMIFS($CB147:$CW147,$CB$17:$CW$17,BY$17,$CB$18:$CW$18,BY$18)/SUMPRODUCT(($CB$18:$CW$18=BY$18)*ABS($CB147:$CW147)),"-")</f>
        <v>7.6200340055188292E-4</v>
      </c>
      <c r="BZ147" s="116">
        <f t="array" ref="BZ147">IFERROR(SUMIFS($CB147:$CW147,$CB$17:$CW$17,BZ$17,$CB$18:$CW$18,BZ$18)/SUMPRODUCT(($CB$18:$CW$18=BZ$18)*ABS($CB147:$CW147)),"-")</f>
        <v>0.99923799659944801</v>
      </c>
      <c r="CB147" s="117">
        <v>1.4573788999999999E-6</v>
      </c>
      <c r="CC147" s="111">
        <v>4.3946595999999997E-9</v>
      </c>
      <c r="CD147" s="111">
        <v>1.20081E-13</v>
      </c>
      <c r="CE147" s="111">
        <v>6.8358363999999999E-9</v>
      </c>
      <c r="CF147" s="111">
        <v>1.4234376999999999E-10</v>
      </c>
      <c r="CG147" s="111">
        <v>2.8926218E-9</v>
      </c>
      <c r="CH147" s="111">
        <v>4.4357762E-6</v>
      </c>
      <c r="CI147" s="111">
        <v>4.1666447999999999E-10</v>
      </c>
      <c r="CJ147" s="111">
        <v>1.1515887000000001E-8</v>
      </c>
      <c r="CK147" s="111">
        <v>4.5756308E-11</v>
      </c>
      <c r="CL147" s="111">
        <v>5.8056277000000001E-12</v>
      </c>
      <c r="CM147" s="111">
        <v>1.5918558E-12</v>
      </c>
      <c r="CN147" s="111">
        <v>1.9956801999999999E-12</v>
      </c>
      <c r="CO147" s="111">
        <v>4.4683687000000001E-13</v>
      </c>
      <c r="CP147" s="111">
        <v>1.2883053E-9</v>
      </c>
      <c r="CQ147" s="111">
        <v>1.1823215999999999E-7</v>
      </c>
      <c r="CR147" s="111">
        <v>5.8135935999999998E-8</v>
      </c>
      <c r="CS147" s="111">
        <v>6.6803231999999999E-5</v>
      </c>
      <c r="CT147" s="111">
        <v>8.7601088999999993E-2</v>
      </c>
      <c r="CU147" s="111">
        <v>2.5729122999999999E-9</v>
      </c>
      <c r="CV147" s="111">
        <v>3.4621706000000002E-11</v>
      </c>
      <c r="CW147" s="112">
        <v>5.922588E-16</v>
      </c>
    </row>
    <row r="148" spans="1:101" ht="12" customHeight="1" outlineLevel="1" x14ac:dyDescent="0.2">
      <c r="B148" s="104" t="s">
        <v>116</v>
      </c>
      <c r="C148" s="104" t="s">
        <v>124</v>
      </c>
      <c r="D148" s="2" t="s">
        <v>152</v>
      </c>
      <c r="E148" s="2" t="s">
        <v>156</v>
      </c>
      <c r="F148" s="105" t="s">
        <v>94</v>
      </c>
      <c r="G148" s="27" t="s">
        <v>1580</v>
      </c>
      <c r="H148" s="106" t="s">
        <v>131</v>
      </c>
      <c r="I148" s="107" t="s">
        <v>129</v>
      </c>
      <c r="J148" s="108">
        <v>1.55</v>
      </c>
      <c r="K148" s="109"/>
      <c r="L148" s="109"/>
      <c r="M148" s="110"/>
      <c r="N148" s="161"/>
      <c r="O148" s="1056"/>
      <c r="P148" s="117">
        <v>5.3449541606399997E-6</v>
      </c>
      <c r="Q148" s="111">
        <v>5.0741176483291338E-8</v>
      </c>
      <c r="R148" s="112">
        <v>7.2715818309000008E-2</v>
      </c>
      <c r="S148" s="1032">
        <v>1.2526272000000001</v>
      </c>
      <c r="T148" s="1032">
        <v>9.7482136999999994E-6</v>
      </c>
      <c r="U148" s="1032">
        <v>1.5471709E-2</v>
      </c>
      <c r="V148" s="1032">
        <v>2.3291486999999999E-3</v>
      </c>
      <c r="W148" s="1032">
        <v>6.6430578999999998E-3</v>
      </c>
      <c r="X148" s="1032">
        <v>2.3706891000000001E-3</v>
      </c>
      <c r="Y148" s="1032">
        <v>5.1801514E-2</v>
      </c>
      <c r="Z148" s="1032">
        <v>4.2482024999999999E-5</v>
      </c>
      <c r="AA148" s="1032">
        <v>2.157614E-3</v>
      </c>
      <c r="AB148" s="1032">
        <v>0.11619003999999999</v>
      </c>
      <c r="AC148" s="1032">
        <v>1.7682120999999999E-3</v>
      </c>
      <c r="AD148" s="1032">
        <v>2.6569877000000002E-3</v>
      </c>
      <c r="AE148" s="1032">
        <v>2.7640036000000002E-4</v>
      </c>
      <c r="AF148" s="1032">
        <v>-3.4357836000000003E-2</v>
      </c>
      <c r="AG148" s="1032">
        <v>4.0393378000000002</v>
      </c>
      <c r="AH148" s="1032">
        <v>1.9685098E-4</v>
      </c>
      <c r="AI148" s="1032">
        <v>0.20686114999999999</v>
      </c>
      <c r="AJ148" s="1036">
        <v>7.8484990000000001E-3</v>
      </c>
      <c r="AK148" s="1077">
        <v>1.2162363</v>
      </c>
      <c r="AL148" s="1078">
        <v>2.5019572000000001E-8</v>
      </c>
      <c r="AM148" s="1078">
        <v>3.1532590999999999E-2</v>
      </c>
      <c r="AN148" s="1078">
        <v>2.7382190000000001E-3</v>
      </c>
      <c r="AO148" s="1078">
        <v>1.0789685E-2</v>
      </c>
      <c r="AP148" s="1078">
        <v>6.4885549000000001E-2</v>
      </c>
      <c r="AQ148" s="1078">
        <v>5.6710413000000001E-5</v>
      </c>
      <c r="AR148" s="1078">
        <v>9.8554681000000005E-3</v>
      </c>
      <c r="AS148" s="1078">
        <v>2.7743821999999999E-6</v>
      </c>
      <c r="AT148" s="1078">
        <v>2.5907756000000001E-4</v>
      </c>
      <c r="AU148" s="1078">
        <v>2.8688569999999998E-4</v>
      </c>
      <c r="AV148" s="1078">
        <v>1.7727666E-3</v>
      </c>
      <c r="AW148" s="1078">
        <v>4.0343052999999998</v>
      </c>
      <c r="AX148" s="1078">
        <v>1.8195106000000001E-5</v>
      </c>
      <c r="AY148" s="1078">
        <v>8.8037203999999996E-6</v>
      </c>
      <c r="AZ148" s="1078">
        <v>2.5196492000000002E-3</v>
      </c>
      <c r="BA148" s="1078">
        <v>0.21389496999999999</v>
      </c>
      <c r="BB148" s="1079">
        <v>7.8924284000000001E-3</v>
      </c>
      <c r="BC148" s="1035"/>
      <c r="BE148" s="113">
        <f t="array" ref="BE148">IFERROR(SUMIFS($CB148:$CW148,$CB$17:$CW$17,BE$17,$CB$18:$CW$18,BE$18)/SUMPRODUCT(($CB$18:$CW$18=BE$18)*ABS($CB148:$CW148)),"-")</f>
        <v>0.21695271430060162</v>
      </c>
      <c r="BF148" s="114">
        <f t="array" ref="BF148">IFERROR(SUMIFS($CB148:$CW148,$CB$17:$CW$17,BF$17,$CB$18:$CW$18,BF$18)/SUMPRODUCT(($CB$18:$CW$18=BF$18)*ABS($CB148:$CW148)),"-")</f>
        <v>9.6544879490618942E-4</v>
      </c>
      <c r="BG148" s="114">
        <f t="array" ref="BG148">IFERROR(SUMIFS($CB148:$CW148,$CB$17:$CW$17,BG$17,$CB$18:$CW$18,BG$18)/SUMPRODUCT(($CB$18:$CW$18=BG$18)*ABS($CB148:$CW148)),"-")</f>
        <v>2.4525830838420571E-5</v>
      </c>
      <c r="BH148" s="114">
        <f t="array" ref="BH148">IFERROR(SUMIFS($CB148:$CW148,$CB$17:$CW$17,BH$17,$CB$18:$CW$18,BH$18)/SUMPRODUCT(($CB$18:$CW$18=BH$18)*ABS($CB148:$CW148)),"-")</f>
        <v>3.9539554769665869E-4</v>
      </c>
      <c r="BI148" s="114">
        <f t="array" ref="BI148">IFERROR(SUMIFS($CB148:$CW148,$CB$17:$CW$17,BI$17,$CB$18:$CW$18,BI$18)/SUMPRODUCT(($CB$18:$CW$18=BI$18)*ABS($CB148:$CW148)),"-")</f>
        <v>0.77963766629548914</v>
      </c>
      <c r="BJ148" s="114">
        <f t="array" ref="BJ148">IFERROR(SUMIFS($CB148:$CW148,$CB$17:$CW$17,BJ$17,$CB$18:$CW$18,BJ$18)/SUMPRODUCT(($CB$18:$CW$18=BJ$18)*ABS($CB148:$CW148)),"-")</f>
        <v>1.7103559685863472E-4</v>
      </c>
      <c r="BK148" s="114">
        <f t="array" ref="BK148">IFERROR(SUMIFS($CB148:$CW148,$CB$17:$CW$17,BK$17,$CB$18:$CW$18,BK$18)/SUMPRODUCT(($CB$18:$CW$18=BK$18)*ABS($CB148:$CW148)),"-")</f>
        <v>-1.4620713551227935E-3</v>
      </c>
      <c r="BL148" s="114">
        <f t="array" ref="BL148">IFERROR(SUMIFS($CB148:$CW148,$CB$17:$CW$17,BL$17,$CB$18:$CW$18,BL$18)/SUMPRODUCT(($CB$18:$CW$18=BL$18)*ABS($CB148:$CW148)),"-")</f>
        <v>3.9114227848645918E-4</v>
      </c>
      <c r="BM148" s="115"/>
      <c r="BN148" s="114">
        <f t="array" ref="BN148">IFERROR(SUMIFS($CB148:$CW148,$CB$17:$CW$17,BN$17,$CB$18:$CW$18,BN$18)/SUMPRODUCT(($CB$18:$CW$18=BN$18)*ABS($CB148:$CW148)),"-")</f>
        <v>6.9117398695275806E-2</v>
      </c>
      <c r="BO148" s="114">
        <f t="array" ref="BO148">IFERROR(SUMIFS($CB148:$CW148,$CB$17:$CW$17,BO$17,$CB$18:$CW$18,BO$18)/SUMPRODUCT(($CB$18:$CW$18=BO$18)*ABS($CB148:$CW148)),"-")</f>
        <v>6.0271038473202303E-3</v>
      </c>
      <c r="BP148" s="114">
        <f t="array" ref="BP148">IFERROR(SUMIFS($CB148:$CW148,$CB$17:$CW$17,BP$17,$CB$18:$CW$18,BP$18)/SUMPRODUCT(($CB$18:$CW$18=BP$18)*ABS($CB148:$CW148)),"-")</f>
        <v>0.21667313929191842</v>
      </c>
      <c r="BQ148" s="114">
        <f t="array" ref="BQ148">IFERROR(SUMIFS($CB148:$CW148,$CB$17:$CW$17,BQ$17,$CB$18:$CW$18,BQ$18)/SUMPRODUCT(($CB$18:$CW$18=BQ$18)*ABS($CB148:$CW148)),"-")</f>
        <v>5.6168597134094867E-4</v>
      </c>
      <c r="BR148" s="114">
        <f t="array" ref="BR148">IFERROR(SUMIFS($CB148:$CW148,$CB$17:$CW$17,BR$17,$CB$18:$CW$18,BR$18)/SUMPRODUCT(($CB$18:$CW$18=BR$18)*ABS($CB148:$CW148)),"-")</f>
        <v>7.2243123909574434E-5</v>
      </c>
      <c r="BS148" s="114">
        <f t="array" ref="BS148">IFERROR(SUMIFS($CB148:$CW148,$CB$17:$CW$17,BS$17,$CB$18:$CW$18,BS$18)/SUMPRODUCT(($CB$18:$CW$18=BS$18)*ABS($CB148:$CW148)),"-")</f>
        <v>2.6102297814007808E-5</v>
      </c>
      <c r="BT148" s="114">
        <f t="array" ref="BT148">IFERROR(SUMIFS($CB148:$CW148,$CB$17:$CW$17,BT$17,$CB$18:$CW$18,BT$18)/SUMPRODUCT(($CB$18:$CW$18=BT$18)*ABS($CB148:$CW148)),"-")</f>
        <v>2.4112160670986453E-5</v>
      </c>
      <c r="BU148" s="114">
        <f t="array" ref="BU148">IFERROR(SUMIFS($CB148:$CW148,$CB$17:$CW$17,BU$17,$CB$18:$CW$18,BU$18)/SUMPRODUCT(($CB$18:$CW$18=BU$18)*ABS($CB148:$CW148)),"-")</f>
        <v>5.4998259666268228E-6</v>
      </c>
      <c r="BV148" s="114">
        <f t="array" ref="BV148">IFERROR(SUMIFS($CB148:$CW148,$CB$17:$CW$17,BV$17,$CB$18:$CW$18,BV$18)/SUMPRODUCT(($CB$18:$CW$18=BV$18)*ABS($CB148:$CW148)),"-")</f>
        <v>0.7069068059904261</v>
      </c>
      <c r="BW148" s="114">
        <f t="array" ref="BW148">IFERROR(SUMIFS($CB148:$CW148,$CB$17:$CW$17,BW$17,$CB$18:$CW$18,BW$18)/SUMPRODUCT(($CB$18:$CW$18=BW$18)*ABS($CB148:$CW148)),"-")</f>
        <v>5.8590879535715438E-4</v>
      </c>
      <c r="BX148" s="115"/>
      <c r="BY148" s="114">
        <f t="array" ref="BY148">IFERROR(SUMIFS($CB148:$CW148,$CB$17:$CW$17,BY$17,$CB$18:$CW$18,BY$18)/SUMPRODUCT(($CB$18:$CW$18=BY$18)*ABS($CB148:$CW148)),"-")</f>
        <v>6.2583781711176114E-4</v>
      </c>
      <c r="BZ148" s="116">
        <f t="array" ref="BZ148">IFERROR(SUMIFS($CB148:$CW148,$CB$17:$CW$17,BZ$17,$CB$18:$CW$18,BZ$18)/SUMPRODUCT(($CB$18:$CW$18=BZ$18)*ABS($CB148:$CW148)),"-")</f>
        <v>0.9993741621828881</v>
      </c>
      <c r="CB148" s="117">
        <v>1.1630030999999999E-6</v>
      </c>
      <c r="CC148" s="111">
        <v>3.5070022999999999E-9</v>
      </c>
      <c r="CD148" s="111">
        <v>9.5825262999999995E-14</v>
      </c>
      <c r="CE148" s="111">
        <v>5.1754132000000002E-9</v>
      </c>
      <c r="CF148" s="111">
        <v>1.3147389E-10</v>
      </c>
      <c r="CG148" s="111">
        <v>2.119569E-9</v>
      </c>
      <c r="CH148" s="111">
        <v>4.1793486000000001E-6</v>
      </c>
      <c r="CI148" s="111">
        <v>3.0582234000000002E-10</v>
      </c>
      <c r="CJ148" s="111">
        <v>1.0994249999999999E-8</v>
      </c>
      <c r="CK148" s="111">
        <v>2.8500607E-11</v>
      </c>
      <c r="CL148" s="111">
        <v>3.6657011000000003E-12</v>
      </c>
      <c r="CM148" s="111">
        <v>1.3244612999999999E-12</v>
      </c>
      <c r="CN148" s="111">
        <v>1.2234794E-12</v>
      </c>
      <c r="CO148" s="111">
        <v>2.7906764000000001E-13</v>
      </c>
      <c r="CP148" s="111">
        <v>9.1685845E-10</v>
      </c>
      <c r="CQ148" s="111">
        <v>-7.8376226999999993E-9</v>
      </c>
      <c r="CR148" s="111">
        <v>3.5869283000000003E-8</v>
      </c>
      <c r="CS148" s="111">
        <v>4.5508308999999997E-5</v>
      </c>
      <c r="CT148" s="111">
        <v>7.2670310000000002E-2</v>
      </c>
      <c r="CU148" s="111">
        <v>2.0967688E-9</v>
      </c>
      <c r="CV148" s="111">
        <v>2.9729215999999997E-11</v>
      </c>
      <c r="CW148" s="112">
        <v>4.8558832999999997E-16</v>
      </c>
    </row>
    <row r="149" spans="1:101" ht="12" customHeight="1" outlineLevel="1" x14ac:dyDescent="0.2">
      <c r="B149" s="104" t="s">
        <v>116</v>
      </c>
      <c r="C149" s="104" t="s">
        <v>124</v>
      </c>
      <c r="D149" s="2" t="s">
        <v>152</v>
      </c>
      <c r="E149" s="2" t="s">
        <v>156</v>
      </c>
      <c r="F149" s="105" t="s">
        <v>95</v>
      </c>
      <c r="G149" s="27" t="s">
        <v>1581</v>
      </c>
      <c r="H149" s="106" t="s">
        <v>128</v>
      </c>
      <c r="I149" s="107" t="s">
        <v>127</v>
      </c>
      <c r="J149" s="108">
        <v>1.55</v>
      </c>
      <c r="K149" s="109"/>
      <c r="L149" s="109"/>
      <c r="M149" s="110"/>
      <c r="N149" s="161"/>
      <c r="O149" s="1056"/>
      <c r="P149" s="117">
        <v>7.4775023009799996E-6</v>
      </c>
      <c r="Q149" s="111">
        <v>6.1843549809131253E-8</v>
      </c>
      <c r="R149" s="112">
        <v>8.0505241919000006E-2</v>
      </c>
      <c r="S149" s="1032">
        <v>1.4572634</v>
      </c>
      <c r="T149" s="1032">
        <v>1.3418286E-5</v>
      </c>
      <c r="U149" s="1032">
        <v>1.6037320000000001E-2</v>
      </c>
      <c r="V149" s="1032">
        <v>2.7907711000000001E-3</v>
      </c>
      <c r="W149" s="1032">
        <v>7.6716878000000002E-3</v>
      </c>
      <c r="X149" s="1032">
        <v>2.8368347000000001E-3</v>
      </c>
      <c r="Y149" s="1032">
        <v>5.9782014000000001E-2</v>
      </c>
      <c r="Z149" s="1032">
        <v>2.3819937000000001E-4</v>
      </c>
      <c r="AA149" s="1032">
        <v>3.6211860000000002E-3</v>
      </c>
      <c r="AB149" s="1032">
        <v>0.15587440999999999</v>
      </c>
      <c r="AC149" s="1032">
        <v>3.9519432000000004E-3</v>
      </c>
      <c r="AD149" s="1032">
        <v>5.3777974000000003E-3</v>
      </c>
      <c r="AE149" s="1032">
        <v>4.9399825999999999E-4</v>
      </c>
      <c r="AF149" s="1032">
        <v>5.6296032</v>
      </c>
      <c r="AG149" s="1032">
        <v>5.0120322000000002</v>
      </c>
      <c r="AH149" s="1032">
        <v>2.3322349000000001E-4</v>
      </c>
      <c r="AI149" s="1032">
        <v>0.22519458000000001</v>
      </c>
      <c r="AJ149" s="1036">
        <v>8.4395405000000003E-3</v>
      </c>
      <c r="AK149" s="1077">
        <v>1.4194222000000001</v>
      </c>
      <c r="AL149" s="1078">
        <v>2.5958553000000001E-8</v>
      </c>
      <c r="AM149" s="1078">
        <v>3.2690111000000001E-2</v>
      </c>
      <c r="AN149" s="1078">
        <v>3.2443301000000002E-3</v>
      </c>
      <c r="AO149" s="1078">
        <v>1.2164398E-2</v>
      </c>
      <c r="AP149" s="1078">
        <v>7.4900058000000005E-2</v>
      </c>
      <c r="AQ149" s="1078">
        <v>2.5500472999999998E-4</v>
      </c>
      <c r="AR149" s="1078">
        <v>1.5254728E-2</v>
      </c>
      <c r="AS149" s="1078">
        <v>6.1669736999999997E-4</v>
      </c>
      <c r="AT149" s="1078">
        <v>4.2109785999999998E-4</v>
      </c>
      <c r="AU149" s="1078">
        <v>4.2315929999999999E-4</v>
      </c>
      <c r="AV149" s="1078">
        <v>7.8631898000000006E-2</v>
      </c>
      <c r="AW149" s="1078">
        <v>5.0065609999999996</v>
      </c>
      <c r="AX149" s="1078">
        <v>1.8720400000000001E-5</v>
      </c>
      <c r="AY149" s="1078">
        <v>9.0089151000000004E-6</v>
      </c>
      <c r="AZ149" s="1078">
        <v>2.9348135999999999E-3</v>
      </c>
      <c r="BA149" s="1078">
        <v>0.23307306999999999</v>
      </c>
      <c r="BB149" s="1079">
        <v>8.4847715000000001E-3</v>
      </c>
      <c r="BC149" s="1035"/>
      <c r="BE149" s="113">
        <f t="array" ref="BE149">IFERROR(SUMIFS($CB149:$CW149,$CB$17:$CW$17,BE$17,$CB$18:$CW$18,BE$18)/SUMPRODUCT(($CB$18:$CW$18=BE$18)*ABS($CB149:$CW149)),"-")</f>
        <v>0.18095137193373617</v>
      </c>
      <c r="BF149" s="114">
        <f t="array" ref="BF149">IFERROR(SUMIFS($CB149:$CW149,$CB$17:$CW$17,BF$17,$CB$18:$CW$18,BF$18)/SUMPRODUCT(($CB$18:$CW$18=BF$18)*ABS($CB149:$CW149)),"-")</f>
        <v>9.5270954300694024E-4</v>
      </c>
      <c r="BG149" s="114">
        <f t="array" ref="BG149">IFERROR(SUMIFS($CB149:$CW149,$CB$17:$CW$17,BG$17,$CB$18:$CW$18,BG$18)/SUMPRODUCT(($CB$18:$CW$18=BG$18)*ABS($CB149:$CW149)),"-")</f>
        <v>1.8225374532099994E-5</v>
      </c>
      <c r="BH149" s="114">
        <f t="array" ref="BH149">IFERROR(SUMIFS($CB149:$CW149,$CB$17:$CW$17,BH$17,$CB$18:$CW$18,BH$18)/SUMPRODUCT(($CB$18:$CW$18=BH$18)*ABS($CB149:$CW149)),"-")</f>
        <v>3.3963903958507028E-4</v>
      </c>
      <c r="BI149" s="114">
        <f t="array" ref="BI149">IFERROR(SUMIFS($CB149:$CW149,$CB$17:$CW$17,BI$17,$CB$18:$CW$18,BI$18)/SUMPRODUCT(($CB$18:$CW$18=BI$18)*ABS($CB149:$CW149)),"-")</f>
        <v>0.64546978465890137</v>
      </c>
      <c r="BJ149" s="114">
        <f t="array" ref="BJ149">IFERROR(SUMIFS($CB149:$CW149,$CB$17:$CW$17,BJ$17,$CB$18:$CW$18,BJ$18)/SUMPRODUCT(($CB$18:$CW$18=BJ$18)*ABS($CB149:$CW149)),"-")</f>
        <v>2.1934476700663031E-4</v>
      </c>
      <c r="BK149" s="114">
        <f t="array" ref="BK149">IFERROR(SUMIFS($CB149:$CW149,$CB$17:$CW$17,BK$17,$CB$18:$CW$18,BK$18)/SUMPRODUCT(($CB$18:$CW$18=BK$18)*ABS($CB149:$CW149)),"-")</f>
        <v>0.17174260178183995</v>
      </c>
      <c r="BL149" s="114">
        <f t="array" ref="BL149">IFERROR(SUMIFS($CB149:$CW149,$CB$17:$CW$17,BL$17,$CB$18:$CW$18,BL$18)/SUMPRODUCT(($CB$18:$CW$18=BL$18)*ABS($CB149:$CW149)),"-")</f>
        <v>3.0632290139179279E-4</v>
      </c>
      <c r="BM149" s="115"/>
      <c r="BN149" s="114">
        <f t="array" ref="BN149">IFERROR(SUMIFS($CB149:$CW149,$CB$17:$CW$17,BN$17,$CB$18:$CW$18,BN$18)/SUMPRODUCT(($CB$18:$CW$18=BN$18)*ABS($CB149:$CW149)),"-")</f>
        <v>6.5972307433548885E-2</v>
      </c>
      <c r="BO149" s="114">
        <f t="array" ref="BO149">IFERROR(SUMIFS($CB149:$CW149,$CB$17:$CW$17,BO$17,$CB$18:$CW$18,BO$18)/SUMPRODUCT(($CB$18:$CW$18=BO$18)*ABS($CB149:$CW149)),"-")</f>
        <v>5.9174331216343993E-3</v>
      </c>
      <c r="BP149" s="114">
        <f t="array" ref="BP149">IFERROR(SUMIFS($CB149:$CW149,$CB$17:$CW$17,BP$17,$CB$18:$CW$18,BP$18)/SUMPRODUCT(($CB$18:$CW$18=BP$18)*ABS($CB149:$CW149)),"-")</f>
        <v>0.20516302895223854</v>
      </c>
      <c r="BQ149" s="114">
        <f t="array" ref="BQ149">IFERROR(SUMIFS($CB149:$CW149,$CB$17:$CW$17,BQ$17,$CB$18:$CW$18,BQ$18)/SUMPRODUCT(($CB$18:$CW$18=BQ$18)*ABS($CB149:$CW149)),"-")</f>
        <v>2.584361028648481E-3</v>
      </c>
      <c r="BR149" s="114">
        <f t="array" ref="BR149">IFERROR(SUMIFS($CB149:$CW149,$CB$17:$CW$17,BR$17,$CB$18:$CW$18,BR$18)/SUMPRODUCT(($CB$18:$CW$18=BR$18)*ABS($CB149:$CW149)),"-")</f>
        <v>9.9480817627509727E-5</v>
      </c>
      <c r="BS149" s="114">
        <f t="array" ref="BS149">IFERROR(SUMIFS($CB149:$CW149,$CB$17:$CW$17,BS$17,$CB$18:$CW$18,BS$18)/SUMPRODUCT(($CB$18:$CW$18=BS$18)*ABS($CB149:$CW149)),"-")</f>
        <v>2.873298517766572E-5</v>
      </c>
      <c r="BT149" s="114">
        <f t="array" ref="BT149">IFERROR(SUMIFS($CB149:$CW149,$CB$17:$CW$17,BT$17,$CB$18:$CW$18,BT$18)/SUMPRODUCT(($CB$18:$CW$18=BT$18)*ABS($CB149:$CW149)),"-")</f>
        <v>4.4249549200294226E-5</v>
      </c>
      <c r="BU149" s="114">
        <f t="array" ref="BU149">IFERROR(SUMIFS($CB149:$CW149,$CB$17:$CW$17,BU$17,$CB$18:$CW$18,BU$18)/SUMPRODUCT(($CB$18:$CW$18=BU$18)*ABS($CB149:$CW149)),"-")</f>
        <v>9.1332483620887165E-6</v>
      </c>
      <c r="BV149" s="114">
        <f t="array" ref="BV149">IFERROR(SUMIFS($CB149:$CW149,$CB$17:$CW$17,BV$17,$CB$18:$CW$18,BV$18)/SUMPRODUCT(($CB$18:$CW$18=BV$18)*ABS($CB149:$CW149)),"-")</f>
        <v>0.71966771211164426</v>
      </c>
      <c r="BW149" s="114">
        <f t="array" ref="BW149">IFERROR(SUMIFS($CB149:$CW149,$CB$17:$CW$17,BW$17,$CB$18:$CW$18,BW$18)/SUMPRODUCT(($CB$18:$CW$18=BW$18)*ABS($CB149:$CW149)),"-")</f>
        <v>5.1356075191790731E-4</v>
      </c>
      <c r="BX149" s="115"/>
      <c r="BY149" s="114">
        <f t="array" ref="BY149">IFERROR(SUMIFS($CB149:$CW149,$CB$17:$CW$17,BY$17,$CB$18:$CW$18,BY$18)/SUMPRODUCT(($CB$18:$CW$18=BY$18)*ABS($CB149:$CW149)),"-")</f>
        <v>6.6974420192723936E-4</v>
      </c>
      <c r="BZ149" s="116">
        <f t="array" ref="BZ149">IFERROR(SUMIFS($CB149:$CW149,$CB$17:$CW$17,BZ$17,$CB$18:$CW$18,BZ$18)/SUMPRODUCT(($CB$18:$CW$18=BZ$18)*ABS($CB149:$CW149)),"-")</f>
        <v>0.99933025579807278</v>
      </c>
      <c r="CB149" s="117">
        <v>1.3530642999999999E-6</v>
      </c>
      <c r="CC149" s="111">
        <v>4.0798502000000002E-9</v>
      </c>
      <c r="CD149" s="111">
        <v>1.1148079E-13</v>
      </c>
      <c r="CE149" s="111">
        <v>7.1238877999999996E-9</v>
      </c>
      <c r="CF149" s="111">
        <v>1.3628028E-10</v>
      </c>
      <c r="CG149" s="111">
        <v>2.5396517000000001E-9</v>
      </c>
      <c r="CH149" s="111">
        <v>4.8265018E-6</v>
      </c>
      <c r="CI149" s="111">
        <v>3.6595507000000001E-10</v>
      </c>
      <c r="CJ149" s="111">
        <v>1.2688010000000001E-8</v>
      </c>
      <c r="CK149" s="111">
        <v>1.5982606000000001E-10</v>
      </c>
      <c r="CL149" s="111">
        <v>6.1522469E-12</v>
      </c>
      <c r="CM149" s="111">
        <v>1.7769497999999999E-12</v>
      </c>
      <c r="CN149" s="111">
        <v>2.7365492E-12</v>
      </c>
      <c r="CO149" s="111">
        <v>5.6483249999999996E-13</v>
      </c>
      <c r="CP149" s="111">
        <v>1.6401510000000001E-9</v>
      </c>
      <c r="CQ149" s="111">
        <v>1.2842057000000001E-6</v>
      </c>
      <c r="CR149" s="111">
        <v>4.4506806E-8</v>
      </c>
      <c r="CS149" s="111">
        <v>5.3917919E-5</v>
      </c>
      <c r="CT149" s="111">
        <v>8.0451324000000005E-2</v>
      </c>
      <c r="CU149" s="111">
        <v>2.2905302E-9</v>
      </c>
      <c r="CV149" s="111">
        <v>3.1759890999999997E-11</v>
      </c>
      <c r="CW149" s="112">
        <v>5.2894125000000004E-16</v>
      </c>
    </row>
    <row r="150" spans="1:101" ht="12" customHeight="1" outlineLevel="1" x14ac:dyDescent="0.2">
      <c r="B150" s="104" t="s">
        <v>116</v>
      </c>
      <c r="C150" s="104" t="s">
        <v>124</v>
      </c>
      <c r="D150" s="2" t="s">
        <v>152</v>
      </c>
      <c r="E150" s="2" t="s">
        <v>156</v>
      </c>
      <c r="F150" s="105" t="s">
        <v>96</v>
      </c>
      <c r="G150" s="27" t="s">
        <v>1582</v>
      </c>
      <c r="H150" s="106" t="s">
        <v>128</v>
      </c>
      <c r="I150" s="107" t="s">
        <v>1577</v>
      </c>
      <c r="J150" s="108">
        <v>1.55</v>
      </c>
      <c r="K150" s="109"/>
      <c r="L150" s="109"/>
      <c r="M150" s="110"/>
      <c r="N150" s="161"/>
      <c r="O150" s="1056"/>
      <c r="P150" s="117">
        <v>8.9306306334100005E-6</v>
      </c>
      <c r="Q150" s="111">
        <v>6.3182775718277118E-8</v>
      </c>
      <c r="R150" s="112">
        <v>8.1669584545999999E-2</v>
      </c>
      <c r="S150" s="1032">
        <v>1.5144062</v>
      </c>
      <c r="T150" s="1032">
        <v>1.5218881000000001E-5</v>
      </c>
      <c r="U150" s="1032">
        <v>1.6047562000000001E-2</v>
      </c>
      <c r="V150" s="1032">
        <v>2.8739598E-3</v>
      </c>
      <c r="W150" s="1032">
        <v>8.2995698999999996E-3</v>
      </c>
      <c r="X150" s="1032">
        <v>2.9204372000000002E-3</v>
      </c>
      <c r="Y150" s="1032">
        <v>6.4859375999999996E-2</v>
      </c>
      <c r="Z150" s="1032">
        <v>3.7063313000000001E-4</v>
      </c>
      <c r="AA150" s="1032">
        <v>4.3408565999999999E-3</v>
      </c>
      <c r="AB150" s="1032">
        <v>0.17561729000000001</v>
      </c>
      <c r="AC150" s="1032">
        <v>4.6368251000000003E-3</v>
      </c>
      <c r="AD150" s="1032">
        <v>6.0621642000000002E-3</v>
      </c>
      <c r="AE150" s="1032">
        <v>6.4352037E-4</v>
      </c>
      <c r="AF150" s="1032">
        <v>10.028476</v>
      </c>
      <c r="AG150" s="1032">
        <v>5.0120322000000002</v>
      </c>
      <c r="AH150" s="1032">
        <v>2.3349452999999999E-4</v>
      </c>
      <c r="AI150" s="1032">
        <v>0.2277758</v>
      </c>
      <c r="AJ150" s="1036">
        <v>8.4402952999999992E-3</v>
      </c>
      <c r="AK150" s="1077">
        <v>1.4764927000000001</v>
      </c>
      <c r="AL150" s="1078">
        <v>2.5975637000000001E-8</v>
      </c>
      <c r="AM150" s="1078">
        <v>3.2710901000000001E-2</v>
      </c>
      <c r="AN150" s="1078">
        <v>3.3324055999999999E-3</v>
      </c>
      <c r="AO150" s="1078">
        <v>1.3008776E-2</v>
      </c>
      <c r="AP150" s="1078">
        <v>8.1254799000000003E-2</v>
      </c>
      <c r="AQ150" s="1078">
        <v>3.8883526000000002E-4</v>
      </c>
      <c r="AR150" s="1078">
        <v>1.7961509000000001E-2</v>
      </c>
      <c r="AS150" s="1078">
        <v>1.0443168000000001E-3</v>
      </c>
      <c r="AT150" s="1078">
        <v>4.6748029000000002E-4</v>
      </c>
      <c r="AU150" s="1078">
        <v>4.5551855E-4</v>
      </c>
      <c r="AV150" s="1078">
        <v>0.14045456000000001</v>
      </c>
      <c r="AW150" s="1078">
        <v>5.0065609999999996</v>
      </c>
      <c r="AX150" s="1078">
        <v>1.8720400000000001E-5</v>
      </c>
      <c r="AY150" s="1078">
        <v>9.0089151000000004E-6</v>
      </c>
      <c r="AZ150" s="1078">
        <v>2.9367932000000001E-3</v>
      </c>
      <c r="BA150" s="1078">
        <v>0.23575507000000001</v>
      </c>
      <c r="BB150" s="1079">
        <v>8.4855263000000007E-3</v>
      </c>
      <c r="BC150" s="1035"/>
      <c r="BE150" s="113">
        <f t="array" ref="BE150">IFERROR(SUMIFS($CB150:$CW150,$CB$17:$CW$17,BE$17,$CB$18:$CW$18,BE$18)/SUMPRODUCT(($CB$18:$CW$18=BE$18)*ABS($CB150:$CW150)),"-")</f>
        <v>0.15745449092244901</v>
      </c>
      <c r="BF150" s="114">
        <f t="array" ref="BF150">IFERROR(SUMIFS($CB150:$CW150,$CB$17:$CW$17,BF$17,$CB$18:$CW$18,BF$18)/SUMPRODUCT(($CB$18:$CW$18=BF$18)*ABS($CB150:$CW150)),"-")</f>
        <v>9.047334204790484E-4</v>
      </c>
      <c r="BG150" s="114">
        <f t="array" ref="BG150">IFERROR(SUMIFS($CB150:$CW150,$CB$17:$CW$17,BG$17,$CB$18:$CW$18,BG$18)/SUMPRODUCT(($CB$18:$CW$18=BG$18)*ABS($CB150:$CW150)),"-")</f>
        <v>1.5269617073831505E-5</v>
      </c>
      <c r="BH150" s="114">
        <f t="array" ref="BH150">IFERROR(SUMIFS($CB150:$CW150,$CB$17:$CW$17,BH$17,$CB$18:$CW$18,BH$18)/SUMPRODUCT(($CB$18:$CW$18=BH$18)*ABS($CB150:$CW150)),"-")</f>
        <v>2.9285205125557571E-4</v>
      </c>
      <c r="BI150" s="114">
        <f t="array" ref="BI150">IFERROR(SUMIFS($CB150:$CW150,$CB$17:$CW$17,BI$17,$CB$18:$CW$18,BI$18)/SUMPRODUCT(($CB$18:$CW$18=BI$18)*ABS($CB150:$CW150)),"-")</f>
        <v>0.58467782560236159</v>
      </c>
      <c r="BJ150" s="114">
        <f t="array" ref="BJ150">IFERROR(SUMIFS($CB150:$CW150,$CB$17:$CW$17,BJ$17,$CB$18:$CW$18,BJ$18)/SUMPRODUCT(($CB$18:$CW$18=BJ$18)*ABS($CB150:$CW150)),"-")</f>
        <v>2.3931868730572758E-4</v>
      </c>
      <c r="BK150" s="114">
        <f t="array" ref="BK150">IFERROR(SUMIFS($CB150:$CW150,$CB$17:$CW$17,BK$17,$CB$18:$CW$18,BK$18)/SUMPRODUCT(($CB$18:$CW$18=BK$18)*ABS($CB150:$CW150)),"-")</f>
        <v>0.25615884184502413</v>
      </c>
      <c r="BL150" s="114">
        <f t="array" ref="BL150">IFERROR(SUMIFS($CB150:$CW150,$CB$17:$CW$17,BL$17,$CB$18:$CW$18,BL$18)/SUMPRODUCT(($CB$18:$CW$18=BL$18)*ABS($CB150:$CW150)),"-")</f>
        <v>2.5666785405105961E-4</v>
      </c>
      <c r="BM150" s="115"/>
      <c r="BN150" s="114">
        <f t="array" ref="BN150">IFERROR(SUMIFS($CB150:$CW150,$CB$17:$CW$17,BN$17,$CB$18:$CW$18,BN$18)/SUMPRODUCT(($CB$18:$CW$18=BN$18)*ABS($CB150:$CW150)),"-")</f>
        <v>6.710532110214823E-2</v>
      </c>
      <c r="BO150" s="114">
        <f t="array" ref="BO150">IFERROR(SUMIFS($CB150:$CW150,$CB$17:$CW$17,BO$17,$CB$18:$CW$18,BO$18)/SUMPRODUCT(($CB$18:$CW$18=BO$18)*ABS($CB150:$CW150)),"-")</f>
        <v>5.9626981517847287E-3</v>
      </c>
      <c r="BP150" s="114">
        <f t="array" ref="BP150">IFERROR(SUMIFS($CB150:$CW150,$CB$17:$CW$17,BP$17,$CB$18:$CW$18,BP$18)/SUMPRODUCT(($CB$18:$CW$18=BP$18)*ABS($CB150:$CW150)),"-")</f>
        <v>0.2178702002802001</v>
      </c>
      <c r="BQ150" s="114">
        <f t="array" ref="BQ150">IFERROR(SUMIFS($CB150:$CW150,$CB$17:$CW$17,BQ$17,$CB$18:$CW$18,BQ$18)/SUMPRODUCT(($CB$18:$CW$18=BQ$18)*ABS($CB150:$CW150)),"-")</f>
        <v>3.936026981607596E-3</v>
      </c>
      <c r="BR150" s="114">
        <f t="array" ref="BR150">IFERROR(SUMIFS($CB150:$CW150,$CB$17:$CW$17,BR$17,$CB$18:$CW$18,BR$18)/SUMPRODUCT(($CB$18:$CW$18=BR$18)*ABS($CB150:$CW150)),"-")</f>
        <v>1.1672383994150205E-4</v>
      </c>
      <c r="BS150" s="114">
        <f t="array" ref="BS150">IFERROR(SUMIFS($CB150:$CW150,$CB$17:$CW$17,BS$17,$CB$18:$CW$18,BS$18)/SUMPRODUCT(($CB$18:$CW$18=BS$18)*ABS($CB150:$CW150)),"-")</f>
        <v>3.1687352719783194E-5</v>
      </c>
      <c r="BT150" s="114">
        <f t="array" ref="BT150">IFERROR(SUMIFS($CB150:$CW150,$CB$17:$CW$17,BT$17,$CB$18:$CW$18,BT$18)/SUMPRODUCT(($CB$18:$CW$18=BT$18)*ABS($CB150:$CW150)),"-")</f>
        <v>5.0836321505116447E-5</v>
      </c>
      <c r="BU150" s="114">
        <f t="array" ref="BU150">IFERROR(SUMIFS($CB150:$CW150,$CB$17:$CW$17,BU$17,$CB$18:$CW$18,BU$18)/SUMPRODUCT(($CB$18:$CW$18=BU$18)*ABS($CB150:$CW150)),"-")</f>
        <v>1.0077353721194857E-5</v>
      </c>
      <c r="BV150" s="114">
        <f t="array" ref="BV150">IFERROR(SUMIFS($CB150:$CW150,$CB$17:$CW$17,BV$17,$CB$18:$CW$18,BV$18)/SUMPRODUCT(($CB$18:$CW$18=BV$18)*ABS($CB150:$CW150)),"-")</f>
        <v>0.70441359205947884</v>
      </c>
      <c r="BW150" s="114">
        <f t="array" ref="BW150">IFERROR(SUMIFS($CB150:$CW150,$CB$17:$CW$17,BW$17,$CB$18:$CW$18,BW$18)/SUMPRODUCT(($CB$18:$CW$18=BW$18)*ABS($CB150:$CW150)),"-")</f>
        <v>5.0283655689314065E-4</v>
      </c>
      <c r="BX150" s="115"/>
      <c r="BY150" s="114">
        <f t="array" ref="BY150">IFERROR(SUMIFS($CB150:$CW150,$CB$17:$CW$17,BY$17,$CB$18:$CW$18,BY$18)/SUMPRODUCT(($CB$18:$CW$18=BY$18)*ABS($CB150:$CW150)),"-")</f>
        <v>6.6096266192704482E-4</v>
      </c>
      <c r="BZ150" s="116">
        <f t="array" ref="BZ150">IFERROR(SUMIFS($CB150:$CW150,$CB$17:$CW$17,BZ$17,$CB$18:$CW$18,BZ$18)/SUMPRODUCT(($CB$18:$CW$18=BZ$18)*ABS($CB150:$CW150)),"-")</f>
        <v>0.99933903733807294</v>
      </c>
      <c r="CB150" s="117">
        <v>1.4061679E-6</v>
      </c>
      <c r="CC150" s="111">
        <v>4.2397846000000002E-9</v>
      </c>
      <c r="CD150" s="111">
        <v>1.158527E-13</v>
      </c>
      <c r="CE150" s="111">
        <v>8.0798400000000005E-9</v>
      </c>
      <c r="CF150" s="111">
        <v>1.3636731E-10</v>
      </c>
      <c r="CG150" s="111">
        <v>2.6153534999999999E-9</v>
      </c>
      <c r="CH150" s="111">
        <v>5.2215417E-6</v>
      </c>
      <c r="CI150" s="111">
        <v>3.7673982000000001E-10</v>
      </c>
      <c r="CJ150" s="111">
        <v>1.3765644E-8</v>
      </c>
      <c r="CK150" s="111">
        <v>2.4868911000000001E-10</v>
      </c>
      <c r="CL150" s="111">
        <v>7.3749362000000007E-12</v>
      </c>
      <c r="CM150" s="111">
        <v>2.0020949E-12</v>
      </c>
      <c r="CN150" s="111">
        <v>3.2119799000000002E-12</v>
      </c>
      <c r="CO150" s="111">
        <v>6.3671518000000002E-13</v>
      </c>
      <c r="CP150" s="111">
        <v>2.1372667999999998E-9</v>
      </c>
      <c r="CQ150" s="111">
        <v>2.2876599999999999E-6</v>
      </c>
      <c r="CR150" s="111">
        <v>4.4506806E-8</v>
      </c>
      <c r="CS150" s="111">
        <v>5.3980546000000002E-5</v>
      </c>
      <c r="CT150" s="111">
        <v>8.1615603999999994E-2</v>
      </c>
      <c r="CU150" s="111">
        <v>2.2922058000000002E-9</v>
      </c>
      <c r="CV150" s="111">
        <v>3.1770079999999998E-11</v>
      </c>
      <c r="CW150" s="112">
        <v>5.2939713000000001E-16</v>
      </c>
    </row>
    <row r="151" spans="1:101" ht="12" customHeight="1" x14ac:dyDescent="0.2">
      <c r="A151" s="119"/>
      <c r="B151" s="70" t="s">
        <v>117</v>
      </c>
      <c r="C151" s="70" t="s">
        <v>125</v>
      </c>
      <c r="D151" s="71" t="s">
        <v>125</v>
      </c>
      <c r="E151" s="71" t="s">
        <v>125</v>
      </c>
      <c r="F151" s="72" t="s">
        <v>125</v>
      </c>
      <c r="G151" s="70" t="s">
        <v>125</v>
      </c>
      <c r="H151" s="120" t="s">
        <v>125</v>
      </c>
      <c r="I151" s="121" t="s">
        <v>125</v>
      </c>
      <c r="J151" s="122" t="s">
        <v>125</v>
      </c>
      <c r="K151" s="35"/>
      <c r="L151" s="35"/>
      <c r="M151" s="35"/>
      <c r="N151" s="35"/>
      <c r="O151" s="36"/>
      <c r="P151" s="34"/>
      <c r="Q151" s="35"/>
      <c r="R151" s="36"/>
      <c r="S151" s="1037" t="s">
        <v>118</v>
      </c>
      <c r="T151" s="1038"/>
      <c r="U151" s="1038"/>
      <c r="V151" s="1038"/>
      <c r="W151" s="1038"/>
      <c r="X151" s="1038"/>
      <c r="Y151" s="1038"/>
      <c r="Z151" s="1038"/>
      <c r="AA151" s="1038"/>
      <c r="AB151" s="1038"/>
      <c r="AC151" s="1038"/>
      <c r="AD151" s="1038"/>
      <c r="AE151" s="1038"/>
      <c r="AF151" s="1038"/>
      <c r="AG151" s="1038"/>
      <c r="AH151" s="1038"/>
      <c r="AI151" s="1038"/>
      <c r="AJ151" s="1039"/>
      <c r="AK151" s="1080" t="s">
        <v>118</v>
      </c>
      <c r="AL151" s="1081"/>
      <c r="AM151" s="1081"/>
      <c r="AN151" s="1081"/>
      <c r="AO151" s="1081"/>
      <c r="AP151" s="1081"/>
      <c r="AQ151" s="1081"/>
      <c r="AR151" s="1081"/>
      <c r="AS151" s="1081"/>
      <c r="AT151" s="1081"/>
      <c r="AU151" s="1081"/>
      <c r="AV151" s="1081"/>
      <c r="AW151" s="1081"/>
      <c r="AX151" s="1081"/>
      <c r="AY151" s="1081"/>
      <c r="AZ151" s="1081"/>
      <c r="BA151" s="1081"/>
      <c r="BB151" s="1082"/>
      <c r="BC151" s="1040"/>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row>
    <row r="152" spans="1:101" ht="12" customHeight="1" outlineLevel="1" x14ac:dyDescent="0.2">
      <c r="A152" s="123"/>
      <c r="B152" s="88" t="s">
        <v>91</v>
      </c>
      <c r="C152" s="88" t="s">
        <v>121</v>
      </c>
      <c r="D152" s="89" t="s">
        <v>132</v>
      </c>
      <c r="E152" s="89" t="s">
        <v>133</v>
      </c>
      <c r="F152" s="90" t="s">
        <v>92</v>
      </c>
      <c r="G152" s="18" t="s">
        <v>126</v>
      </c>
      <c r="H152" s="91" t="s">
        <v>127</v>
      </c>
      <c r="I152" s="92" t="s">
        <v>127</v>
      </c>
      <c r="J152" s="124">
        <v>3.8217059399999997</v>
      </c>
      <c r="K152" s="125"/>
      <c r="L152" s="125"/>
      <c r="M152" s="126">
        <f t="shared" ref="M152:N171" ca="1" si="23">IFERROR(M285/_xlfn.MAXIFS(M$285:M$416,$B$19:$B$150,$B152,$F$152:$F$283,"C"),"?")</f>
        <v>1</v>
      </c>
      <c r="N152" s="128">
        <f t="shared" ca="1" si="23"/>
        <v>1</v>
      </c>
      <c r="O152" s="1058" t="s">
        <v>1583</v>
      </c>
      <c r="P152" s="126">
        <f t="shared" ref="P152:BB152" si="24">IFERROR(P19/_xlfn.MAXIFS(P$19:P$150,$B$19:$B$150,$B152,$F$152:$F$283,"C"),"?")</f>
        <v>1</v>
      </c>
      <c r="Q152" s="128">
        <f t="shared" si="24"/>
        <v>1</v>
      </c>
      <c r="R152" s="127">
        <f t="shared" si="24"/>
        <v>1</v>
      </c>
      <c r="S152" s="1041">
        <f t="shared" si="24"/>
        <v>1</v>
      </c>
      <c r="T152" s="1041">
        <f t="shared" si="24"/>
        <v>1</v>
      </c>
      <c r="U152" s="1041">
        <f t="shared" si="24"/>
        <v>1</v>
      </c>
      <c r="V152" s="1041">
        <f t="shared" si="24"/>
        <v>1</v>
      </c>
      <c r="W152" s="1041">
        <f t="shared" si="24"/>
        <v>1</v>
      </c>
      <c r="X152" s="1041">
        <f t="shared" si="24"/>
        <v>1</v>
      </c>
      <c r="Y152" s="1041">
        <f t="shared" si="24"/>
        <v>1</v>
      </c>
      <c r="Z152" s="1041">
        <f t="shared" si="24"/>
        <v>1</v>
      </c>
      <c r="AA152" s="1041">
        <f t="shared" si="24"/>
        <v>1</v>
      </c>
      <c r="AB152" s="1041">
        <f t="shared" si="24"/>
        <v>1</v>
      </c>
      <c r="AC152" s="1041">
        <f t="shared" si="24"/>
        <v>1</v>
      </c>
      <c r="AD152" s="1041">
        <f t="shared" si="24"/>
        <v>1</v>
      </c>
      <c r="AE152" s="1041">
        <f t="shared" si="24"/>
        <v>1</v>
      </c>
      <c r="AF152" s="1041">
        <f t="shared" si="24"/>
        <v>1</v>
      </c>
      <c r="AG152" s="1041">
        <f t="shared" si="24"/>
        <v>1</v>
      </c>
      <c r="AH152" s="1041">
        <f t="shared" si="24"/>
        <v>1</v>
      </c>
      <c r="AI152" s="1041">
        <f t="shared" si="24"/>
        <v>1</v>
      </c>
      <c r="AJ152" s="1042">
        <f t="shared" si="24"/>
        <v>1</v>
      </c>
      <c r="AK152" s="1083">
        <f t="shared" si="24"/>
        <v>1</v>
      </c>
      <c r="AL152" s="1084">
        <f t="shared" si="24"/>
        <v>1</v>
      </c>
      <c r="AM152" s="1084">
        <f t="shared" si="24"/>
        <v>1</v>
      </c>
      <c r="AN152" s="1084">
        <f t="shared" si="24"/>
        <v>1</v>
      </c>
      <c r="AO152" s="1084">
        <f t="shared" si="24"/>
        <v>1</v>
      </c>
      <c r="AP152" s="1084">
        <f t="shared" si="24"/>
        <v>1</v>
      </c>
      <c r="AQ152" s="1084">
        <f t="shared" si="24"/>
        <v>1</v>
      </c>
      <c r="AR152" s="1084">
        <f t="shared" si="24"/>
        <v>1</v>
      </c>
      <c r="AS152" s="1084">
        <f t="shared" si="24"/>
        <v>1</v>
      </c>
      <c r="AT152" s="1084">
        <f t="shared" si="24"/>
        <v>1</v>
      </c>
      <c r="AU152" s="1084">
        <f t="shared" si="24"/>
        <v>1</v>
      </c>
      <c r="AV152" s="1084">
        <f t="shared" si="24"/>
        <v>1</v>
      </c>
      <c r="AW152" s="1084">
        <f t="shared" si="24"/>
        <v>1</v>
      </c>
      <c r="AX152" s="1084">
        <f t="shared" si="24"/>
        <v>1</v>
      </c>
      <c r="AY152" s="1084">
        <f t="shared" si="24"/>
        <v>1</v>
      </c>
      <c r="AZ152" s="1084">
        <f t="shared" si="24"/>
        <v>1</v>
      </c>
      <c r="BA152" s="1084">
        <f t="shared" si="24"/>
        <v>1</v>
      </c>
      <c r="BB152" s="1085">
        <f t="shared" si="24"/>
        <v>1</v>
      </c>
      <c r="BC152" s="1043"/>
    </row>
    <row r="153" spans="1:101" ht="12" customHeight="1" outlineLevel="1" x14ac:dyDescent="0.2">
      <c r="A153" s="123"/>
      <c r="B153" s="104" t="s">
        <v>91</v>
      </c>
      <c r="C153" s="104" t="s">
        <v>121</v>
      </c>
      <c r="D153" s="2" t="s">
        <v>132</v>
      </c>
      <c r="E153" s="2" t="s">
        <v>133</v>
      </c>
      <c r="F153" s="105" t="s">
        <v>122</v>
      </c>
      <c r="G153" s="27" t="s">
        <v>1579</v>
      </c>
      <c r="H153" s="106" t="s">
        <v>128</v>
      </c>
      <c r="I153" s="107" t="s">
        <v>129</v>
      </c>
      <c r="J153" s="129">
        <v>3.8217059399999997</v>
      </c>
      <c r="K153" s="130"/>
      <c r="L153" s="130"/>
      <c r="M153" s="131">
        <f t="shared" ca="1" si="23"/>
        <v>1.1329938801538215</v>
      </c>
      <c r="N153" s="133">
        <f t="shared" ca="1" si="23"/>
        <v>0.62732513997712935</v>
      </c>
      <c r="O153" s="1059" t="s">
        <v>1583</v>
      </c>
      <c r="P153" s="131">
        <f t="shared" ref="P153:BB153" si="25">IFERROR(P20/_xlfn.MAXIFS(P$19:P$150,$B$19:$B$150,$B153,$F$152:$F$283,"C"),"?")</f>
        <v>0.29470977796916981</v>
      </c>
      <c r="Q153" s="133">
        <f t="shared" si="25"/>
        <v>1.2966925809534906</v>
      </c>
      <c r="R153" s="132">
        <f t="shared" si="25"/>
        <v>0.69429684259279134</v>
      </c>
      <c r="S153" s="1044">
        <f t="shared" si="25"/>
        <v>0.48563000760026165</v>
      </c>
      <c r="T153" s="1044">
        <f t="shared" si="25"/>
        <v>0.28706566598831734</v>
      </c>
      <c r="U153" s="1044">
        <f t="shared" si="25"/>
        <v>0.72983682347476264</v>
      </c>
      <c r="V153" s="1044">
        <f t="shared" si="25"/>
        <v>0.9770441196650983</v>
      </c>
      <c r="W153" s="1044">
        <f t="shared" si="25"/>
        <v>0.28593921079044626</v>
      </c>
      <c r="X153" s="1044">
        <f t="shared" si="25"/>
        <v>0.97973200161013974</v>
      </c>
      <c r="Y153" s="1044">
        <f t="shared" si="25"/>
        <v>0.19364418178507087</v>
      </c>
      <c r="Z153" s="1044">
        <f t="shared" si="25"/>
        <v>0.16493403861217046</v>
      </c>
      <c r="AA153" s="1044">
        <f t="shared" si="25"/>
        <v>0.52922789973804829</v>
      </c>
      <c r="AB153" s="1044">
        <f t="shared" si="25"/>
        <v>1.8928127167360469E-2</v>
      </c>
      <c r="AC153" s="1044">
        <f t="shared" si="25"/>
        <v>1.3792439214874285E-2</v>
      </c>
      <c r="AD153" s="1044">
        <f t="shared" si="25"/>
        <v>9.3757467124584645E-2</v>
      </c>
      <c r="AE153" s="1044">
        <f t="shared" si="25"/>
        <v>0.52211626626533347</v>
      </c>
      <c r="AF153" s="1044">
        <f t="shared" si="25"/>
        <v>8.2358238881372475E-2</v>
      </c>
      <c r="AG153" s="1044">
        <f t="shared" si="25"/>
        <v>1.5136962782943055</v>
      </c>
      <c r="AH153" s="1044">
        <f t="shared" si="25"/>
        <v>0.29870380085767873</v>
      </c>
      <c r="AI153" s="1044">
        <f t="shared" si="25"/>
        <v>0.63366724812656428</v>
      </c>
      <c r="AJ153" s="1045">
        <f t="shared" si="25"/>
        <v>0.95177372583145736</v>
      </c>
      <c r="AK153" s="1086">
        <f t="shared" si="25"/>
        <v>0.48572326779190689</v>
      </c>
      <c r="AL153" s="1087">
        <f t="shared" si="25"/>
        <v>0.72986473805539065</v>
      </c>
      <c r="AM153" s="1087">
        <f t="shared" si="25"/>
        <v>0.71212742699380982</v>
      </c>
      <c r="AN153" s="1087">
        <f t="shared" si="25"/>
        <v>1.3478842929805313</v>
      </c>
      <c r="AO153" s="1087">
        <f t="shared" si="25"/>
        <v>0.32987682405191904</v>
      </c>
      <c r="AP153" s="1087">
        <f t="shared" si="25"/>
        <v>0.2034883406913876</v>
      </c>
      <c r="AQ153" s="1087">
        <f t="shared" si="25"/>
        <v>0.19535666690318662</v>
      </c>
      <c r="AR153" s="1087">
        <f t="shared" si="25"/>
        <v>0.51974627955295427</v>
      </c>
      <c r="AS153" s="1087">
        <f t="shared" si="25"/>
        <v>1.5412476053223946E-3</v>
      </c>
      <c r="AT153" s="1087">
        <f t="shared" si="25"/>
        <v>4.0790343652058157E-2</v>
      </c>
      <c r="AU153" s="1087">
        <f t="shared" si="25"/>
        <v>0.15410201961167441</v>
      </c>
      <c r="AV153" s="1087">
        <f t="shared" si="25"/>
        <v>0.14492335623564695</v>
      </c>
      <c r="AW153" s="1087">
        <f t="shared" si="25"/>
        <v>1.5136987927784564</v>
      </c>
      <c r="AX153" s="1087">
        <f t="shared" si="25"/>
        <v>0.23502255288912058</v>
      </c>
      <c r="AY153" s="1087">
        <f t="shared" si="25"/>
        <v>0.2295376372818631</v>
      </c>
      <c r="AZ153" s="1087">
        <f t="shared" si="25"/>
        <v>1.4506399458018273</v>
      </c>
      <c r="BA153" s="1087">
        <f t="shared" si="25"/>
        <v>0.65236033756115053</v>
      </c>
      <c r="BB153" s="1088">
        <f t="shared" si="25"/>
        <v>0.91937667339752727</v>
      </c>
      <c r="BC153" s="1043"/>
    </row>
    <row r="154" spans="1:101" ht="12" customHeight="1" outlineLevel="1" x14ac:dyDescent="0.2">
      <c r="A154" s="123"/>
      <c r="B154" s="104" t="s">
        <v>91</v>
      </c>
      <c r="C154" s="104" t="s">
        <v>121</v>
      </c>
      <c r="D154" s="2" t="s">
        <v>132</v>
      </c>
      <c r="E154" s="2" t="s">
        <v>133</v>
      </c>
      <c r="F154" s="105" t="s">
        <v>93</v>
      </c>
      <c r="G154" s="27" t="s">
        <v>1578</v>
      </c>
      <c r="H154" s="106" t="s">
        <v>130</v>
      </c>
      <c r="I154" s="107" t="s">
        <v>129</v>
      </c>
      <c r="J154" s="129">
        <v>3.8217059399999997</v>
      </c>
      <c r="K154" s="130"/>
      <c r="L154" s="130"/>
      <c r="M154" s="131">
        <f t="shared" ca="1" si="23"/>
        <v>1.19568237058492</v>
      </c>
      <c r="N154" s="133">
        <f t="shared" ca="1" si="23"/>
        <v>0.72332649529590953</v>
      </c>
      <c r="O154" s="1059" t="s">
        <v>1583</v>
      </c>
      <c r="P154" s="131">
        <f t="shared" ref="P154:BB154" si="26">IFERROR(P21/_xlfn.MAXIFS(P$19:P$150,$B$19:$B$150,$B154,$F$152:$F$283,"C"),"?")</f>
        <v>0.35065533988259578</v>
      </c>
      <c r="Q154" s="133">
        <f t="shared" si="26"/>
        <v>1.4944449545275265</v>
      </c>
      <c r="R154" s="132">
        <f t="shared" si="26"/>
        <v>0.80018054629644009</v>
      </c>
      <c r="S154" s="1044">
        <f t="shared" si="26"/>
        <v>0.55969096795325035</v>
      </c>
      <c r="T154" s="1044">
        <f t="shared" si="26"/>
        <v>0.33084460191171833</v>
      </c>
      <c r="U154" s="1044">
        <f t="shared" si="26"/>
        <v>0.84114055200103088</v>
      </c>
      <c r="V154" s="1044">
        <f t="shared" si="26"/>
        <v>1.1260481757929428</v>
      </c>
      <c r="W154" s="1044">
        <f t="shared" si="26"/>
        <v>0.3295463500566585</v>
      </c>
      <c r="X154" s="1044">
        <f t="shared" si="26"/>
        <v>1.1291459621375279</v>
      </c>
      <c r="Y154" s="1044">
        <f t="shared" si="26"/>
        <v>0.22317587565547989</v>
      </c>
      <c r="Z154" s="1044">
        <f t="shared" si="26"/>
        <v>0.19008730112870295</v>
      </c>
      <c r="AA154" s="1044">
        <f t="shared" si="26"/>
        <v>0.60993776719277293</v>
      </c>
      <c r="AB154" s="1044">
        <f t="shared" si="26"/>
        <v>2.1814759813449429E-2</v>
      </c>
      <c r="AC154" s="1044">
        <f t="shared" si="26"/>
        <v>1.5999576207947425E-2</v>
      </c>
      <c r="AD154" s="1044">
        <f t="shared" si="26"/>
        <v>0.10844726098345045</v>
      </c>
      <c r="AE154" s="1044">
        <f t="shared" si="26"/>
        <v>0.60900967233294623</v>
      </c>
      <c r="AF154" s="1044">
        <f t="shared" si="26"/>
        <v>0.13408534148186585</v>
      </c>
      <c r="AG154" s="1044">
        <f t="shared" si="26"/>
        <v>1.7445424112014141</v>
      </c>
      <c r="AH154" s="1044">
        <f t="shared" si="26"/>
        <v>0.34425760764168384</v>
      </c>
      <c r="AI154" s="1044">
        <f t="shared" si="26"/>
        <v>0.73030462301237098</v>
      </c>
      <c r="AJ154" s="1045">
        <f t="shared" si="26"/>
        <v>1.0969239303539819</v>
      </c>
      <c r="AK154" s="1086">
        <f t="shared" si="26"/>
        <v>0.55979845171101561</v>
      </c>
      <c r="AL154" s="1087">
        <f t="shared" si="26"/>
        <v>0.8411727456685969</v>
      </c>
      <c r="AM154" s="1087">
        <f t="shared" si="26"/>
        <v>0.82073036940074828</v>
      </c>
      <c r="AN154" s="1087">
        <f t="shared" si="26"/>
        <v>1.5534433039919933</v>
      </c>
      <c r="AO154" s="1087">
        <f t="shared" si="26"/>
        <v>0.38018467036931103</v>
      </c>
      <c r="AP154" s="1087">
        <f t="shared" si="26"/>
        <v>0.23452131389701905</v>
      </c>
      <c r="AQ154" s="1087">
        <f t="shared" si="26"/>
        <v>0.22514952656248016</v>
      </c>
      <c r="AR154" s="1087">
        <f t="shared" si="26"/>
        <v>0.59901014991067336</v>
      </c>
      <c r="AS154" s="1087">
        <f t="shared" si="26"/>
        <v>2.3092021420027076E-3</v>
      </c>
      <c r="AT154" s="1087">
        <f t="shared" si="26"/>
        <v>4.7178125565988382E-2</v>
      </c>
      <c r="AU154" s="1087">
        <f t="shared" si="26"/>
        <v>0.17791884582841766</v>
      </c>
      <c r="AV154" s="1087">
        <f t="shared" si="26"/>
        <v>0.18320596075539006</v>
      </c>
      <c r="AW154" s="1087">
        <f t="shared" si="26"/>
        <v>1.7445453027514428</v>
      </c>
      <c r="AX154" s="1087">
        <f t="shared" si="26"/>
        <v>0.27086465460728359</v>
      </c>
      <c r="AY154" s="1087">
        <f t="shared" si="26"/>
        <v>0.26454325657862587</v>
      </c>
      <c r="AZ154" s="1087">
        <f t="shared" si="26"/>
        <v>1.6718696984196391</v>
      </c>
      <c r="BA154" s="1087">
        <f t="shared" si="26"/>
        <v>0.75184848877347399</v>
      </c>
      <c r="BB154" s="1088">
        <f t="shared" si="26"/>
        <v>1.0595862030772563</v>
      </c>
      <c r="BC154" s="1043"/>
    </row>
    <row r="155" spans="1:101" ht="12" customHeight="1" outlineLevel="1" x14ac:dyDescent="0.2">
      <c r="A155" s="123"/>
      <c r="B155" s="104" t="s">
        <v>91</v>
      </c>
      <c r="C155" s="104" t="s">
        <v>121</v>
      </c>
      <c r="D155" s="2" t="s">
        <v>132</v>
      </c>
      <c r="E155" s="2" t="s">
        <v>133</v>
      </c>
      <c r="F155" s="105" t="s">
        <v>94</v>
      </c>
      <c r="G155" s="27" t="s">
        <v>1580</v>
      </c>
      <c r="H155" s="106" t="s">
        <v>131</v>
      </c>
      <c r="I155" s="107" t="s">
        <v>129</v>
      </c>
      <c r="J155" s="129">
        <v>3.8217059399999997</v>
      </c>
      <c r="K155" s="130"/>
      <c r="L155" s="130"/>
      <c r="M155" s="131">
        <f t="shared" ca="1" si="23"/>
        <v>1.0849472674253084</v>
      </c>
      <c r="N155" s="133">
        <f t="shared" ca="1" si="23"/>
        <v>0.55374640313573942</v>
      </c>
      <c r="O155" s="1059" t="s">
        <v>1583</v>
      </c>
      <c r="P155" s="131">
        <f t="shared" ref="P155:BB155" si="27">IFERROR(P22/_xlfn.MAXIFS(P$19:P$150,$B$19:$B$150,$B155,$F$152:$F$283,"C"),"?")</f>
        <v>0.25200377803152896</v>
      </c>
      <c r="Q155" s="133">
        <f t="shared" si="27"/>
        <v>1.1451146714221807</v>
      </c>
      <c r="R155" s="132">
        <f t="shared" si="27"/>
        <v>0.61313660416115034</v>
      </c>
      <c r="S155" s="1044">
        <f t="shared" si="27"/>
        <v>0.42886198519189911</v>
      </c>
      <c r="T155" s="1044">
        <f t="shared" si="27"/>
        <v>0.25350896048981558</v>
      </c>
      <c r="U155" s="1044">
        <f t="shared" si="27"/>
        <v>0.6445221258903765</v>
      </c>
      <c r="V155" s="1044">
        <f t="shared" si="27"/>
        <v>0.86283197332209205</v>
      </c>
      <c r="W155" s="1044">
        <f t="shared" si="27"/>
        <v>0.25251416935899984</v>
      </c>
      <c r="X155" s="1044">
        <f t="shared" si="27"/>
        <v>0.86520565769797575</v>
      </c>
      <c r="Y155" s="1044">
        <f t="shared" si="27"/>
        <v>0.17100803817997953</v>
      </c>
      <c r="Z155" s="1044">
        <f t="shared" si="27"/>
        <v>0.14565397999409324</v>
      </c>
      <c r="AA155" s="1044">
        <f t="shared" si="27"/>
        <v>0.46736347582522458</v>
      </c>
      <c r="AB155" s="1044">
        <f t="shared" si="27"/>
        <v>1.6715512540338484E-2</v>
      </c>
      <c r="AC155" s="1044">
        <f t="shared" si="27"/>
        <v>1.2103108810137594E-2</v>
      </c>
      <c r="AD155" s="1044">
        <f t="shared" si="27"/>
        <v>8.2506532421748616E-2</v>
      </c>
      <c r="AE155" s="1044">
        <f t="shared" si="27"/>
        <v>0.45608801312419339</v>
      </c>
      <c r="AF155" s="1044">
        <f t="shared" si="27"/>
        <v>4.3336782377927374E-2</v>
      </c>
      <c r="AG155" s="1044">
        <f t="shared" si="27"/>
        <v>1.3367518465602526</v>
      </c>
      <c r="AH155" s="1044">
        <f t="shared" si="27"/>
        <v>0.26378664638361138</v>
      </c>
      <c r="AI155" s="1044">
        <f t="shared" si="27"/>
        <v>0.55959434679184061</v>
      </c>
      <c r="AJ155" s="1045">
        <f t="shared" si="27"/>
        <v>0.84051556146863415</v>
      </c>
      <c r="AK155" s="1086">
        <f t="shared" si="27"/>
        <v>0.42894435283129212</v>
      </c>
      <c r="AL155" s="1087">
        <f t="shared" si="27"/>
        <v>0.64454678695163314</v>
      </c>
      <c r="AM155" s="1087">
        <f t="shared" si="27"/>
        <v>0.62888286236356916</v>
      </c>
      <c r="AN155" s="1087">
        <f t="shared" si="27"/>
        <v>1.1903225631049967</v>
      </c>
      <c r="AO155" s="1087">
        <f t="shared" si="27"/>
        <v>0.2913156797101033</v>
      </c>
      <c r="AP155" s="1087">
        <f t="shared" si="27"/>
        <v>0.17970145537085083</v>
      </c>
      <c r="AQ155" s="1087">
        <f t="shared" si="27"/>
        <v>0.17252033632515565</v>
      </c>
      <c r="AR155" s="1087">
        <f t="shared" si="27"/>
        <v>0.45899023310823184</v>
      </c>
      <c r="AS155" s="1087">
        <f t="shared" si="27"/>
        <v>9.6981579280886626E-4</v>
      </c>
      <c r="AT155" s="1087">
        <f t="shared" si="27"/>
        <v>3.5900569183202342E-2</v>
      </c>
      <c r="AU155" s="1087">
        <f t="shared" si="27"/>
        <v>0.13585826028161962</v>
      </c>
      <c r="AV155" s="1087">
        <f t="shared" si="27"/>
        <v>0.11579625389348384</v>
      </c>
      <c r="AW155" s="1087">
        <f t="shared" si="27"/>
        <v>1.336754089623639</v>
      </c>
      <c r="AX155" s="1087">
        <f t="shared" si="27"/>
        <v>0.20754945496365942</v>
      </c>
      <c r="AY155" s="1087">
        <f t="shared" si="27"/>
        <v>0.20270570046593395</v>
      </c>
      <c r="AZ155" s="1087">
        <f t="shared" si="27"/>
        <v>1.281066537768617</v>
      </c>
      <c r="BA155" s="1087">
        <f t="shared" si="27"/>
        <v>0.57610227284049353</v>
      </c>
      <c r="BB155" s="1088">
        <f t="shared" si="27"/>
        <v>0.81190562171984226</v>
      </c>
      <c r="BC155" s="1043"/>
    </row>
    <row r="156" spans="1:101" ht="12" customHeight="1" outlineLevel="1" x14ac:dyDescent="0.2">
      <c r="A156" s="123"/>
      <c r="B156" s="104" t="s">
        <v>91</v>
      </c>
      <c r="C156" s="104" t="s">
        <v>121</v>
      </c>
      <c r="D156" s="2" t="s">
        <v>132</v>
      </c>
      <c r="E156" s="2" t="s">
        <v>133</v>
      </c>
      <c r="F156" s="105" t="s">
        <v>95</v>
      </c>
      <c r="G156" s="27" t="s">
        <v>1581</v>
      </c>
      <c r="H156" s="106" t="s">
        <v>128</v>
      </c>
      <c r="I156" s="107" t="s">
        <v>127</v>
      </c>
      <c r="J156" s="129">
        <v>3.8217059399999997</v>
      </c>
      <c r="K156" s="130"/>
      <c r="L156" s="130"/>
      <c r="M156" s="131">
        <f t="shared" ca="1" si="23"/>
        <v>1.2171141869236632</v>
      </c>
      <c r="N156" s="133">
        <f t="shared" ca="1" si="23"/>
        <v>0.75614724757935936</v>
      </c>
      <c r="O156" s="1059" t="s">
        <v>1583</v>
      </c>
      <c r="P156" s="131">
        <f t="shared" ref="P156:BB156" si="28">IFERROR(P23/_xlfn.MAXIFS(P$19:P$150,$B$19:$B$150,$B156,$F$152:$F$283,"C"),"?")</f>
        <v>0.87198064033200395</v>
      </c>
      <c r="Q156" s="133">
        <f t="shared" si="28"/>
        <v>1.3469770632700826</v>
      </c>
      <c r="R156" s="132">
        <f t="shared" si="28"/>
        <v>0.73632067993775119</v>
      </c>
      <c r="S156" s="1044">
        <f t="shared" si="28"/>
        <v>0.55571552695944915</v>
      </c>
      <c r="T156" s="1044">
        <f t="shared" si="28"/>
        <v>0.37503830981909297</v>
      </c>
      <c r="U156" s="1044">
        <f t="shared" si="28"/>
        <v>0.73541866898529473</v>
      </c>
      <c r="V156" s="1044">
        <f t="shared" si="28"/>
        <v>1.0479527684130634</v>
      </c>
      <c r="W156" s="1044">
        <f t="shared" si="28"/>
        <v>0.72048766704527678</v>
      </c>
      <c r="X156" s="1044">
        <f t="shared" si="28"/>
        <v>1.0504000680557535</v>
      </c>
      <c r="Y156" s="1044">
        <f t="shared" si="28"/>
        <v>0.67440507337685029</v>
      </c>
      <c r="Z156" s="1044">
        <f t="shared" si="28"/>
        <v>0.76327610366346932</v>
      </c>
      <c r="AA156" s="1044">
        <f t="shared" si="28"/>
        <v>0.68448796197644923</v>
      </c>
      <c r="AB156" s="1044">
        <f t="shared" si="28"/>
        <v>3.13045687652872E-2</v>
      </c>
      <c r="AC156" s="1044">
        <f t="shared" si="28"/>
        <v>2.4827385600340663E-2</v>
      </c>
      <c r="AD156" s="1044">
        <f t="shared" si="28"/>
        <v>0.15569520820470834</v>
      </c>
      <c r="AE156" s="1044">
        <f t="shared" si="28"/>
        <v>0.95437827640312667</v>
      </c>
      <c r="AF156" s="1044">
        <f t="shared" si="28"/>
        <v>1.4569077953358101</v>
      </c>
      <c r="AG156" s="1044">
        <f t="shared" si="28"/>
        <v>1.5136962782943055</v>
      </c>
      <c r="AH156" s="1044">
        <f t="shared" si="28"/>
        <v>0.29936441090195204</v>
      </c>
      <c r="AI156" s="1044">
        <f t="shared" si="28"/>
        <v>0.6703071838237955</v>
      </c>
      <c r="AJ156" s="1045">
        <f t="shared" si="28"/>
        <v>0.95507233411761983</v>
      </c>
      <c r="AK156" s="1086">
        <f t="shared" si="28"/>
        <v>0.55603604225725689</v>
      </c>
      <c r="AL156" s="1087">
        <f t="shared" si="28"/>
        <v>0.73541620153081944</v>
      </c>
      <c r="AM156" s="1087">
        <f t="shared" si="28"/>
        <v>0.71751749383810803</v>
      </c>
      <c r="AN156" s="1087">
        <f t="shared" si="28"/>
        <v>1.4416924111504044</v>
      </c>
      <c r="AO156" s="1087">
        <f t="shared" si="28"/>
        <v>0.76883418133758641</v>
      </c>
      <c r="AP156" s="1087">
        <f t="shared" si="28"/>
        <v>0.6891466316948065</v>
      </c>
      <c r="AQ156" s="1087">
        <f t="shared" si="28"/>
        <v>0.77299049716594381</v>
      </c>
      <c r="AR156" s="1087">
        <f t="shared" si="28"/>
        <v>0.68476843048182034</v>
      </c>
      <c r="AS156" s="1087">
        <f t="shared" si="28"/>
        <v>2.4700164976328386E-2</v>
      </c>
      <c r="AT156" s="1087">
        <f t="shared" si="28"/>
        <v>5.6366884588475302E-2</v>
      </c>
      <c r="AU156" s="1087">
        <f t="shared" si="28"/>
        <v>0.19679113786323912</v>
      </c>
      <c r="AV156" s="1087">
        <f t="shared" si="28"/>
        <v>0.7558087333317195</v>
      </c>
      <c r="AW156" s="1087">
        <f t="shared" si="28"/>
        <v>1.5136987927784564</v>
      </c>
      <c r="AX156" s="1087">
        <f t="shared" si="28"/>
        <v>0.23502255288912058</v>
      </c>
      <c r="AY156" s="1087">
        <f t="shared" si="28"/>
        <v>0.2295376372818631</v>
      </c>
      <c r="AZ156" s="1087">
        <f t="shared" si="28"/>
        <v>1.4526846193272076</v>
      </c>
      <c r="BA156" s="1087">
        <f t="shared" si="28"/>
        <v>0.68971404490972676</v>
      </c>
      <c r="BB156" s="1088">
        <f t="shared" si="28"/>
        <v>0.92252728082076629</v>
      </c>
      <c r="BC156" s="1043"/>
    </row>
    <row r="157" spans="1:101" ht="12" customHeight="1" outlineLevel="1" x14ac:dyDescent="0.2">
      <c r="A157" s="123"/>
      <c r="B157" s="104" t="s">
        <v>91</v>
      </c>
      <c r="C157" s="104" t="s">
        <v>121</v>
      </c>
      <c r="D157" s="2" t="s">
        <v>132</v>
      </c>
      <c r="E157" s="2" t="s">
        <v>133</v>
      </c>
      <c r="F157" s="105" t="s">
        <v>96</v>
      </c>
      <c r="G157" s="27" t="s">
        <v>1582</v>
      </c>
      <c r="H157" s="106" t="s">
        <v>128</v>
      </c>
      <c r="I157" s="107" t="s">
        <v>1577</v>
      </c>
      <c r="J157" s="129">
        <v>3.8217059399999997</v>
      </c>
      <c r="K157" s="130"/>
      <c r="L157" s="130"/>
      <c r="M157" s="131">
        <f t="shared" ca="1" si="23"/>
        <v>1.2785990973280004</v>
      </c>
      <c r="N157" s="133">
        <f t="shared" ca="1" si="23"/>
        <v>0.85030543658468827</v>
      </c>
      <c r="O157" s="1059" t="s">
        <v>1583</v>
      </c>
      <c r="P157" s="131">
        <f t="shared" ref="P157:BB157" si="29">IFERROR(P24/_xlfn.MAXIFS(P$19:P$150,$B$19:$B$150,$B157,$F$152:$F$283,"C"),"?")</f>
        <v>1.3151233414783352</v>
      </c>
      <c r="Q157" s="133">
        <f t="shared" si="29"/>
        <v>1.3834351461365284</v>
      </c>
      <c r="R157" s="132">
        <f t="shared" si="29"/>
        <v>0.76374613322837182</v>
      </c>
      <c r="S157" s="1044">
        <f t="shared" si="29"/>
        <v>0.60593833181769563</v>
      </c>
      <c r="T157" s="1044">
        <f t="shared" si="29"/>
        <v>0.43917788548616515</v>
      </c>
      <c r="U157" s="1044">
        <f t="shared" si="29"/>
        <v>0.73906146071798662</v>
      </c>
      <c r="V157" s="1044">
        <f t="shared" si="29"/>
        <v>1.0942288685401429</v>
      </c>
      <c r="W157" s="1044">
        <f t="shared" si="29"/>
        <v>1.0367297864507654</v>
      </c>
      <c r="X157" s="1044">
        <f t="shared" si="29"/>
        <v>1.0965191653495066</v>
      </c>
      <c r="Y157" s="1044">
        <f t="shared" si="29"/>
        <v>1.0246858372749934</v>
      </c>
      <c r="Z157" s="1044">
        <f t="shared" si="29"/>
        <v>1.1894095015216304</v>
      </c>
      <c r="AA157" s="1044">
        <f t="shared" si="29"/>
        <v>0.79770018536632847</v>
      </c>
      <c r="AB157" s="1044">
        <f t="shared" si="29"/>
        <v>3.9381630706319178E-2</v>
      </c>
      <c r="AC157" s="1044">
        <f t="shared" si="29"/>
        <v>2.9074280508570836E-2</v>
      </c>
      <c r="AD157" s="1044">
        <f t="shared" si="29"/>
        <v>0.17561017393704006</v>
      </c>
      <c r="AE157" s="1044">
        <f t="shared" si="29"/>
        <v>1.2951989663495707</v>
      </c>
      <c r="AF157" s="1044">
        <f t="shared" si="29"/>
        <v>2.5401470256706946</v>
      </c>
      <c r="AG157" s="1044">
        <f t="shared" si="29"/>
        <v>1.5136962782943055</v>
      </c>
      <c r="AH157" s="1044">
        <f t="shared" si="29"/>
        <v>0.29979553678469423</v>
      </c>
      <c r="AI157" s="1044">
        <f t="shared" si="29"/>
        <v>0.69421899128770226</v>
      </c>
      <c r="AJ157" s="1045">
        <f t="shared" si="29"/>
        <v>0.95722503076879684</v>
      </c>
      <c r="AK157" s="1086">
        <f t="shared" si="29"/>
        <v>0.60642807898926454</v>
      </c>
      <c r="AL157" s="1087">
        <f t="shared" si="29"/>
        <v>0.73903911008369438</v>
      </c>
      <c r="AM157" s="1087">
        <f t="shared" si="29"/>
        <v>0.72103516665381728</v>
      </c>
      <c r="AN157" s="1087">
        <f t="shared" si="29"/>
        <v>1.5029130884400035</v>
      </c>
      <c r="AO157" s="1087">
        <f t="shared" si="29"/>
        <v>1.0879655487697519</v>
      </c>
      <c r="AP157" s="1087">
        <f t="shared" si="29"/>
        <v>1.0429424847898057</v>
      </c>
      <c r="AQ157" s="1087">
        <f t="shared" si="29"/>
        <v>1.1843693577987906</v>
      </c>
      <c r="AR157" s="1087">
        <f t="shared" si="29"/>
        <v>0.8050818168932109</v>
      </c>
      <c r="AS157" s="1087">
        <f t="shared" si="29"/>
        <v>4.1068037873396274E-2</v>
      </c>
      <c r="AT157" s="1087">
        <f t="shared" si="29"/>
        <v>6.299244552031398E-2</v>
      </c>
      <c r="AU157" s="1087">
        <f t="shared" si="29"/>
        <v>0.21378932720669769</v>
      </c>
      <c r="AV157" s="1087">
        <f t="shared" si="29"/>
        <v>1.2527369771675338</v>
      </c>
      <c r="AW157" s="1087">
        <f t="shared" si="29"/>
        <v>1.5136987927784564</v>
      </c>
      <c r="AX157" s="1087">
        <f t="shared" si="29"/>
        <v>0.23502255288912058</v>
      </c>
      <c r="AY157" s="1087">
        <f t="shared" si="29"/>
        <v>0.2295376372818631</v>
      </c>
      <c r="AZ157" s="1087">
        <f t="shared" si="29"/>
        <v>1.4540190191011346</v>
      </c>
      <c r="BA157" s="1087">
        <f t="shared" si="29"/>
        <v>0.71409166993497497</v>
      </c>
      <c r="BB157" s="1088">
        <f t="shared" si="29"/>
        <v>0.92458339099232911</v>
      </c>
      <c r="BC157" s="1043"/>
    </row>
    <row r="158" spans="1:101" ht="12" customHeight="1" outlineLevel="1" x14ac:dyDescent="0.2">
      <c r="A158" s="123"/>
      <c r="B158" s="88" t="s">
        <v>97</v>
      </c>
      <c r="C158" s="88" t="s">
        <v>121</v>
      </c>
      <c r="D158" s="89" t="s">
        <v>132</v>
      </c>
      <c r="E158" s="89" t="s">
        <v>134</v>
      </c>
      <c r="F158" s="90" t="s">
        <v>92</v>
      </c>
      <c r="G158" s="18" t="s">
        <v>126</v>
      </c>
      <c r="H158" s="91" t="s">
        <v>127</v>
      </c>
      <c r="I158" s="92" t="s">
        <v>127</v>
      </c>
      <c r="J158" s="124">
        <v>4.0702721800000008</v>
      </c>
      <c r="K158" s="125"/>
      <c r="L158" s="125"/>
      <c r="M158" s="126">
        <f t="shared" ca="1" si="23"/>
        <v>1</v>
      </c>
      <c r="N158" s="128">
        <f t="shared" ca="1" si="23"/>
        <v>1</v>
      </c>
      <c r="O158" s="1058" t="s">
        <v>1583</v>
      </c>
      <c r="P158" s="126">
        <f t="shared" ref="P158:BB158" si="30">IFERROR(P25/_xlfn.MAXIFS(P$19:P$150,$B$19:$B$150,$B158,$F$152:$F$283,"C"),"?")</f>
        <v>1</v>
      </c>
      <c r="Q158" s="128">
        <f t="shared" si="30"/>
        <v>1</v>
      </c>
      <c r="R158" s="127">
        <f t="shared" si="30"/>
        <v>1</v>
      </c>
      <c r="S158" s="1041">
        <f t="shared" si="30"/>
        <v>1</v>
      </c>
      <c r="T158" s="1041">
        <f t="shared" si="30"/>
        <v>1</v>
      </c>
      <c r="U158" s="1041">
        <f t="shared" si="30"/>
        <v>1</v>
      </c>
      <c r="V158" s="1041">
        <f t="shared" si="30"/>
        <v>1</v>
      </c>
      <c r="W158" s="1041">
        <f t="shared" si="30"/>
        <v>1</v>
      </c>
      <c r="X158" s="1041">
        <f t="shared" si="30"/>
        <v>1</v>
      </c>
      <c r="Y158" s="1041">
        <f t="shared" si="30"/>
        <v>1</v>
      </c>
      <c r="Z158" s="1041">
        <f t="shared" si="30"/>
        <v>1</v>
      </c>
      <c r="AA158" s="1041">
        <f t="shared" si="30"/>
        <v>1</v>
      </c>
      <c r="AB158" s="1041">
        <f t="shared" si="30"/>
        <v>1</v>
      </c>
      <c r="AC158" s="1041">
        <f t="shared" si="30"/>
        <v>1</v>
      </c>
      <c r="AD158" s="1041">
        <f t="shared" si="30"/>
        <v>1</v>
      </c>
      <c r="AE158" s="1041">
        <f t="shared" si="30"/>
        <v>1</v>
      </c>
      <c r="AF158" s="1041">
        <f t="shared" si="30"/>
        <v>1</v>
      </c>
      <c r="AG158" s="1041">
        <f t="shared" si="30"/>
        <v>1</v>
      </c>
      <c r="AH158" s="1041">
        <f t="shared" si="30"/>
        <v>1</v>
      </c>
      <c r="AI158" s="1041">
        <f t="shared" si="30"/>
        <v>1</v>
      </c>
      <c r="AJ158" s="1042">
        <f t="shared" si="30"/>
        <v>1</v>
      </c>
      <c r="AK158" s="1083">
        <f t="shared" si="30"/>
        <v>1</v>
      </c>
      <c r="AL158" s="1084">
        <f t="shared" si="30"/>
        <v>1</v>
      </c>
      <c r="AM158" s="1084">
        <f t="shared" si="30"/>
        <v>1</v>
      </c>
      <c r="AN158" s="1084">
        <f t="shared" si="30"/>
        <v>1</v>
      </c>
      <c r="AO158" s="1084">
        <f t="shared" si="30"/>
        <v>1</v>
      </c>
      <c r="AP158" s="1084">
        <f t="shared" si="30"/>
        <v>1</v>
      </c>
      <c r="AQ158" s="1084">
        <f t="shared" si="30"/>
        <v>1</v>
      </c>
      <c r="AR158" s="1084">
        <f t="shared" si="30"/>
        <v>1</v>
      </c>
      <c r="AS158" s="1084">
        <f t="shared" si="30"/>
        <v>1</v>
      </c>
      <c r="AT158" s="1084">
        <f t="shared" si="30"/>
        <v>1</v>
      </c>
      <c r="AU158" s="1084">
        <f t="shared" si="30"/>
        <v>1</v>
      </c>
      <c r="AV158" s="1084">
        <f t="shared" si="30"/>
        <v>1</v>
      </c>
      <c r="AW158" s="1084">
        <f t="shared" si="30"/>
        <v>1</v>
      </c>
      <c r="AX158" s="1084">
        <f t="shared" si="30"/>
        <v>1</v>
      </c>
      <c r="AY158" s="1084">
        <f t="shared" si="30"/>
        <v>1</v>
      </c>
      <c r="AZ158" s="1084">
        <f t="shared" si="30"/>
        <v>1</v>
      </c>
      <c r="BA158" s="1084">
        <f t="shared" si="30"/>
        <v>1</v>
      </c>
      <c r="BB158" s="1085">
        <f t="shared" si="30"/>
        <v>1</v>
      </c>
      <c r="BC158" s="1043"/>
      <c r="BG158" s="134"/>
    </row>
    <row r="159" spans="1:101" ht="12" customHeight="1" outlineLevel="1" x14ac:dyDescent="0.2">
      <c r="A159" s="123"/>
      <c r="B159" s="104" t="s">
        <v>97</v>
      </c>
      <c r="C159" s="104" t="s">
        <v>121</v>
      </c>
      <c r="D159" s="2" t="s">
        <v>132</v>
      </c>
      <c r="E159" s="2" t="s">
        <v>134</v>
      </c>
      <c r="F159" s="105" t="s">
        <v>122</v>
      </c>
      <c r="G159" s="27" t="s">
        <v>1579</v>
      </c>
      <c r="H159" s="106" t="s">
        <v>128</v>
      </c>
      <c r="I159" s="107" t="s">
        <v>129</v>
      </c>
      <c r="J159" s="129">
        <v>4.0702721800000008</v>
      </c>
      <c r="K159" s="130"/>
      <c r="L159" s="130"/>
      <c r="M159" s="131">
        <f t="shared" ca="1" si="23"/>
        <v>1.1340956846933277</v>
      </c>
      <c r="N159" s="133">
        <f t="shared" ca="1" si="23"/>
        <v>0.45544717859275019</v>
      </c>
      <c r="O159" s="1059" t="s">
        <v>1583</v>
      </c>
      <c r="P159" s="131">
        <f t="shared" ref="P159:BB159" si="31">IFERROR(P26/_xlfn.MAXIFS(P$19:P$150,$B$19:$B$150,$B159,$F$152:$F$283,"C"),"?")</f>
        <v>0.25353874897311685</v>
      </c>
      <c r="Q159" s="133">
        <f t="shared" si="31"/>
        <v>1.1263710518212184</v>
      </c>
      <c r="R159" s="132">
        <f t="shared" si="31"/>
        <v>0.57732872292419612</v>
      </c>
      <c r="S159" s="1044">
        <f t="shared" si="31"/>
        <v>0.47044714804214971</v>
      </c>
      <c r="T159" s="1044">
        <f t="shared" si="31"/>
        <v>0.28164716539754991</v>
      </c>
      <c r="U159" s="1044">
        <f t="shared" si="31"/>
        <v>0.53968562954882016</v>
      </c>
      <c r="V159" s="1044">
        <f t="shared" si="31"/>
        <v>0.84815362173008935</v>
      </c>
      <c r="W159" s="1044">
        <f t="shared" si="31"/>
        <v>0.26124832908062473</v>
      </c>
      <c r="X159" s="1044">
        <f t="shared" si="31"/>
        <v>0.8501847000349203</v>
      </c>
      <c r="Y159" s="1044">
        <f t="shared" si="31"/>
        <v>0.17774402068503711</v>
      </c>
      <c r="Z159" s="1044">
        <f t="shared" si="31"/>
        <v>8.8415243194120932E-2</v>
      </c>
      <c r="AA159" s="1044">
        <f t="shared" si="31"/>
        <v>0.50213139708988641</v>
      </c>
      <c r="AB159" s="1044">
        <f t="shared" si="31"/>
        <v>7.1900887735293472E-3</v>
      </c>
      <c r="AC159" s="1044">
        <f t="shared" si="31"/>
        <v>7.7767328467390059E-3</v>
      </c>
      <c r="AD159" s="1044">
        <f t="shared" si="31"/>
        <v>4.4499621964391868E-2</v>
      </c>
      <c r="AE159" s="1044">
        <f t="shared" si="31"/>
        <v>0.28108133703813359</v>
      </c>
      <c r="AF159" s="1044">
        <f t="shared" si="31"/>
        <v>-2.1464506104305236E-2</v>
      </c>
      <c r="AG159" s="1044">
        <f t="shared" si="31"/>
        <v>1.3137851309641719</v>
      </c>
      <c r="AH159" s="1044">
        <f t="shared" si="31"/>
        <v>0.13198520649158574</v>
      </c>
      <c r="AI159" s="1044">
        <f t="shared" si="31"/>
        <v>0.5309364606590975</v>
      </c>
      <c r="AJ159" s="1045">
        <f t="shared" si="31"/>
        <v>1.283938039681656</v>
      </c>
      <c r="AK159" s="1086">
        <f t="shared" si="31"/>
        <v>0.47082426850908166</v>
      </c>
      <c r="AL159" s="1087">
        <f t="shared" si="31"/>
        <v>0.53959047336404098</v>
      </c>
      <c r="AM159" s="1087">
        <f t="shared" si="31"/>
        <v>0.52659696248965071</v>
      </c>
      <c r="AN159" s="1087">
        <f t="shared" si="31"/>
        <v>1.1263019468425985</v>
      </c>
      <c r="AO159" s="1087">
        <f t="shared" si="31"/>
        <v>0.2996053206637474</v>
      </c>
      <c r="AP159" s="1087">
        <f t="shared" si="31"/>
        <v>0.1868351777883826</v>
      </c>
      <c r="AQ159" s="1087">
        <f t="shared" si="31"/>
        <v>0.10537101836622853</v>
      </c>
      <c r="AR159" s="1087">
        <f t="shared" si="31"/>
        <v>0.49328218328126688</v>
      </c>
      <c r="AS159" s="1087">
        <f t="shared" si="31"/>
        <v>6.2613497336714175E-4</v>
      </c>
      <c r="AT159" s="1087">
        <f t="shared" si="31"/>
        <v>1.7443011505761444E-2</v>
      </c>
      <c r="AU159" s="1087">
        <f t="shared" si="31"/>
        <v>6.5437961808922335E-2</v>
      </c>
      <c r="AV159" s="1087">
        <f t="shared" si="31"/>
        <v>-0.80263804466934097</v>
      </c>
      <c r="AW159" s="1087">
        <f t="shared" si="31"/>
        <v>1.3137876848091432</v>
      </c>
      <c r="AX159" s="1087">
        <f t="shared" si="31"/>
        <v>0.17956177812024832</v>
      </c>
      <c r="AY159" s="1087">
        <f t="shared" si="31"/>
        <v>0.1706761367633646</v>
      </c>
      <c r="AZ159" s="1087">
        <f t="shared" si="31"/>
        <v>1.2196508235903516</v>
      </c>
      <c r="BA159" s="1087">
        <f t="shared" si="31"/>
        <v>0.54522983462074692</v>
      </c>
      <c r="BB159" s="1088">
        <f t="shared" si="31"/>
        <v>1.2808506870646261</v>
      </c>
      <c r="BC159" s="1043"/>
    </row>
    <row r="160" spans="1:101" ht="12" customHeight="1" outlineLevel="1" x14ac:dyDescent="0.2">
      <c r="A160" s="123"/>
      <c r="B160" s="104" t="s">
        <v>97</v>
      </c>
      <c r="C160" s="104" t="s">
        <v>121</v>
      </c>
      <c r="D160" s="2" t="s">
        <v>132</v>
      </c>
      <c r="E160" s="2" t="s">
        <v>134</v>
      </c>
      <c r="F160" s="105" t="s">
        <v>93</v>
      </c>
      <c r="G160" s="27" t="s">
        <v>1578</v>
      </c>
      <c r="H160" s="106" t="s">
        <v>130</v>
      </c>
      <c r="I160" s="107" t="s">
        <v>129</v>
      </c>
      <c r="J160" s="129">
        <v>4.0702721800000008</v>
      </c>
      <c r="K160" s="130"/>
      <c r="L160" s="130"/>
      <c r="M160" s="131">
        <f t="shared" ca="1" si="23"/>
        <v>1.2094066445957261</v>
      </c>
      <c r="N160" s="133">
        <f t="shared" ca="1" si="23"/>
        <v>0.57084347883428588</v>
      </c>
      <c r="O160" s="1059" t="s">
        <v>1583</v>
      </c>
      <c r="P160" s="131">
        <f t="shared" ref="P160:BB160" si="32">IFERROR(P27/_xlfn.MAXIFS(P$19:P$150,$B$19:$B$150,$B160,$F$152:$F$283,"C"),"?")</f>
        <v>0.33879640896903002</v>
      </c>
      <c r="Q160" s="133">
        <f t="shared" si="32"/>
        <v>1.4086542668884154</v>
      </c>
      <c r="R160" s="132">
        <f t="shared" si="32"/>
        <v>0.72201453145874306</v>
      </c>
      <c r="S160" s="1044">
        <f t="shared" si="32"/>
        <v>0.58834708940103886</v>
      </c>
      <c r="T160" s="1044">
        <f t="shared" si="32"/>
        <v>0.35223147067751037</v>
      </c>
      <c r="U160" s="1044">
        <f t="shared" si="32"/>
        <v>0.67493761713143663</v>
      </c>
      <c r="V160" s="1044">
        <f t="shared" si="32"/>
        <v>1.0607115605286612</v>
      </c>
      <c r="W160" s="1044">
        <f t="shared" si="32"/>
        <v>0.32672042327268852</v>
      </c>
      <c r="X160" s="1044">
        <f t="shared" si="32"/>
        <v>1.0632516354401693</v>
      </c>
      <c r="Y160" s="1044">
        <f t="shared" si="32"/>
        <v>0.22228889939134</v>
      </c>
      <c r="Z160" s="1044">
        <f t="shared" si="32"/>
        <v>0.11057320777906257</v>
      </c>
      <c r="AA160" s="1044">
        <f t="shared" si="32"/>
        <v>0.6279718413889932</v>
      </c>
      <c r="AB160" s="1044">
        <f t="shared" si="32"/>
        <v>8.9920153898284463E-3</v>
      </c>
      <c r="AC160" s="1044">
        <f t="shared" si="32"/>
        <v>9.8330677850283679E-3</v>
      </c>
      <c r="AD160" s="1044">
        <f t="shared" si="32"/>
        <v>5.6001000898516194E-2</v>
      </c>
      <c r="AE160" s="1044">
        <f t="shared" si="32"/>
        <v>0.43421460914436261</v>
      </c>
      <c r="AF160" s="1044">
        <f t="shared" si="32"/>
        <v>5.0819796671192775E-2</v>
      </c>
      <c r="AG160" s="1044">
        <f t="shared" si="32"/>
        <v>1.6430361724825195</v>
      </c>
      <c r="AH160" s="1044">
        <f t="shared" si="32"/>
        <v>0.16506235106576259</v>
      </c>
      <c r="AI160" s="1044">
        <f t="shared" si="32"/>
        <v>0.66399580207069275</v>
      </c>
      <c r="AJ160" s="1045">
        <f t="shared" si="32"/>
        <v>1.6057090041760156</v>
      </c>
      <c r="AK160" s="1086">
        <f t="shared" si="32"/>
        <v>0.58881874325280525</v>
      </c>
      <c r="AL160" s="1087">
        <f t="shared" si="32"/>
        <v>0.67481858224260327</v>
      </c>
      <c r="AM160" s="1087">
        <f t="shared" si="32"/>
        <v>0.65856871602344769</v>
      </c>
      <c r="AN160" s="1087">
        <f t="shared" si="32"/>
        <v>1.4085673209419041</v>
      </c>
      <c r="AO160" s="1087">
        <f t="shared" si="32"/>
        <v>0.37469016943874217</v>
      </c>
      <c r="AP160" s="1087">
        <f t="shared" si="32"/>
        <v>0.23365842356169172</v>
      </c>
      <c r="AQ160" s="1087">
        <f t="shared" si="32"/>
        <v>0.1317783131580961</v>
      </c>
      <c r="AR160" s="1087">
        <f t="shared" si="32"/>
        <v>0.61690488008335209</v>
      </c>
      <c r="AS160" s="1087">
        <f t="shared" si="32"/>
        <v>1.103202113111769E-3</v>
      </c>
      <c r="AT160" s="1087">
        <f t="shared" si="32"/>
        <v>2.1904964849384471E-2</v>
      </c>
      <c r="AU160" s="1087">
        <f t="shared" si="32"/>
        <v>8.2019163397015774E-2</v>
      </c>
      <c r="AV160" s="1087">
        <f t="shared" si="32"/>
        <v>-0.70164377853835658</v>
      </c>
      <c r="AW160" s="1087">
        <f t="shared" si="32"/>
        <v>1.6430393666017367</v>
      </c>
      <c r="AX160" s="1087">
        <f t="shared" si="32"/>
        <v>0.22456220961869619</v>
      </c>
      <c r="AY160" s="1087">
        <f t="shared" si="32"/>
        <v>0.21344971134075064</v>
      </c>
      <c r="AZ160" s="1087">
        <f t="shared" si="32"/>
        <v>1.5253106134118937</v>
      </c>
      <c r="BA160" s="1087">
        <f t="shared" si="32"/>
        <v>0.68187127447918006</v>
      </c>
      <c r="BB160" s="1088">
        <f t="shared" si="32"/>
        <v>1.6018478892737618</v>
      </c>
      <c r="BC160" s="1043"/>
    </row>
    <row r="161" spans="1:55" ht="12" customHeight="1" outlineLevel="1" x14ac:dyDescent="0.2">
      <c r="A161" s="123"/>
      <c r="B161" s="104" t="s">
        <v>97</v>
      </c>
      <c r="C161" s="104" t="s">
        <v>121</v>
      </c>
      <c r="D161" s="2" t="s">
        <v>132</v>
      </c>
      <c r="E161" s="2" t="s">
        <v>134</v>
      </c>
      <c r="F161" s="105" t="s">
        <v>94</v>
      </c>
      <c r="G161" s="27" t="s">
        <v>1580</v>
      </c>
      <c r="H161" s="106" t="s">
        <v>131</v>
      </c>
      <c r="I161" s="107" t="s">
        <v>129</v>
      </c>
      <c r="J161" s="129">
        <v>4.0702721800000008</v>
      </c>
      <c r="K161" s="130"/>
      <c r="L161" s="130"/>
      <c r="M161" s="131">
        <f t="shared" ca="1" si="23"/>
        <v>1.0839254741416469</v>
      </c>
      <c r="N161" s="133">
        <f t="shared" ca="1" si="23"/>
        <v>0.37857315272047576</v>
      </c>
      <c r="O161" s="1059" t="s">
        <v>1583</v>
      </c>
      <c r="P161" s="131">
        <f t="shared" ref="P161:BB161" si="33">IFERROR(P28/_xlfn.MAXIFS(P$19:P$150,$B$19:$B$150,$B161,$F$152:$F$283,"C"),"?")</f>
        <v>0.19674361012048494</v>
      </c>
      <c r="Q161" s="133">
        <f t="shared" si="33"/>
        <v>0.9383210575745301</v>
      </c>
      <c r="R161" s="132">
        <f t="shared" si="33"/>
        <v>0.48094267936385854</v>
      </c>
      <c r="S161" s="1044">
        <f t="shared" si="33"/>
        <v>0.391905170461256</v>
      </c>
      <c r="T161" s="1044">
        <f t="shared" si="33"/>
        <v>0.23462567894566763</v>
      </c>
      <c r="U161" s="1044">
        <f t="shared" si="33"/>
        <v>0.44958417447828392</v>
      </c>
      <c r="V161" s="1044">
        <f t="shared" si="33"/>
        <v>0.7065528908602684</v>
      </c>
      <c r="W161" s="1044">
        <f t="shared" si="33"/>
        <v>0.21763245277152229</v>
      </c>
      <c r="X161" s="1044">
        <f t="shared" si="33"/>
        <v>0.70824487538442749</v>
      </c>
      <c r="Y161" s="1044">
        <f t="shared" si="33"/>
        <v>0.14806934446493028</v>
      </c>
      <c r="Z161" s="1044">
        <f t="shared" si="33"/>
        <v>7.3654160391955645E-2</v>
      </c>
      <c r="AA161" s="1044">
        <f t="shared" si="33"/>
        <v>0.41829968063696904</v>
      </c>
      <c r="AB161" s="1044">
        <f t="shared" si="33"/>
        <v>5.9896910022527476E-3</v>
      </c>
      <c r="AC161" s="1044">
        <f t="shared" si="33"/>
        <v>6.4068609771750808E-3</v>
      </c>
      <c r="AD161" s="1044">
        <f t="shared" si="33"/>
        <v>3.6837713775964766E-2</v>
      </c>
      <c r="AE161" s="1044">
        <f t="shared" si="33"/>
        <v>0.17907298162249902</v>
      </c>
      <c r="AF161" s="1044">
        <f t="shared" si="33"/>
        <v>-6.9613625086241471E-2</v>
      </c>
      <c r="AG161" s="1044">
        <f t="shared" si="33"/>
        <v>1.0944463642697717</v>
      </c>
      <c r="AH161" s="1044">
        <f t="shared" si="33"/>
        <v>0.10995004581111709</v>
      </c>
      <c r="AI161" s="1044">
        <f t="shared" si="33"/>
        <v>0.44229569675460995</v>
      </c>
      <c r="AJ161" s="1045">
        <f t="shared" si="33"/>
        <v>1.0695823132354858</v>
      </c>
      <c r="AK161" s="1086">
        <f t="shared" si="33"/>
        <v>0.3922193235041575</v>
      </c>
      <c r="AL161" s="1087">
        <f t="shared" si="33"/>
        <v>0.44950489736620647</v>
      </c>
      <c r="AM161" s="1087">
        <f t="shared" si="33"/>
        <v>0.43868066057309829</v>
      </c>
      <c r="AN161" s="1087">
        <f t="shared" si="33"/>
        <v>0.9382638560756309</v>
      </c>
      <c r="AO161" s="1087">
        <f t="shared" si="33"/>
        <v>0.24958568108725293</v>
      </c>
      <c r="AP161" s="1087">
        <f t="shared" si="33"/>
        <v>0.15564271798793808</v>
      </c>
      <c r="AQ161" s="1087">
        <f t="shared" si="33"/>
        <v>8.7779142683015551E-2</v>
      </c>
      <c r="AR161" s="1087">
        <f t="shared" si="33"/>
        <v>0.41092785124415904</v>
      </c>
      <c r="AS161" s="1087">
        <f t="shared" si="33"/>
        <v>3.0834490123286205E-4</v>
      </c>
      <c r="AT161" s="1087">
        <f t="shared" si="33"/>
        <v>1.4470576090438423E-2</v>
      </c>
      <c r="AU161" s="1087">
        <f t="shared" si="33"/>
        <v>5.4391995138244255E-2</v>
      </c>
      <c r="AV161" s="1087">
        <f t="shared" si="33"/>
        <v>-0.86989900995776759</v>
      </c>
      <c r="AW161" s="1087">
        <f t="shared" si="33"/>
        <v>1.094448525456662</v>
      </c>
      <c r="AX161" s="1087">
        <f t="shared" si="33"/>
        <v>0.1495836265657165</v>
      </c>
      <c r="AY161" s="1087">
        <f t="shared" si="33"/>
        <v>0.142181455281085</v>
      </c>
      <c r="AZ161" s="1087">
        <f t="shared" si="33"/>
        <v>1.0160279945877473</v>
      </c>
      <c r="BA161" s="1087">
        <f t="shared" si="33"/>
        <v>0.45420276059726056</v>
      </c>
      <c r="BB161" s="1088">
        <f t="shared" si="33"/>
        <v>1.0670104258510518</v>
      </c>
      <c r="BC161" s="1043"/>
    </row>
    <row r="162" spans="1:55" ht="12" customHeight="1" outlineLevel="1" x14ac:dyDescent="0.2">
      <c r="A162" s="123"/>
      <c r="B162" s="104" t="s">
        <v>97</v>
      </c>
      <c r="C162" s="104" t="s">
        <v>121</v>
      </c>
      <c r="D162" s="2" t="s">
        <v>132</v>
      </c>
      <c r="E162" s="2" t="s">
        <v>134</v>
      </c>
      <c r="F162" s="105" t="s">
        <v>95</v>
      </c>
      <c r="G162" s="27" t="s">
        <v>1581</v>
      </c>
      <c r="H162" s="106" t="s">
        <v>128</v>
      </c>
      <c r="I162" s="107" t="s">
        <v>127</v>
      </c>
      <c r="J162" s="129">
        <v>4.0702721800000008</v>
      </c>
      <c r="K162" s="130"/>
      <c r="L162" s="130"/>
      <c r="M162" s="131">
        <f t="shared" ca="1" si="23"/>
        <v>1.1924891304008411</v>
      </c>
      <c r="N162" s="133">
        <f t="shared" ca="1" si="23"/>
        <v>0.54492137466905677</v>
      </c>
      <c r="O162" s="1059" t="s">
        <v>1583</v>
      </c>
      <c r="P162" s="131">
        <f t="shared" ref="P162:BB162" si="34">IFERROR(P29/_xlfn.MAXIFS(P$19:P$150,$B$19:$B$150,$B162,$F$152:$F$283,"C"),"?")</f>
        <v>0.75786117345011739</v>
      </c>
      <c r="Q162" s="133">
        <f t="shared" si="34"/>
        <v>1.1698322996054422</v>
      </c>
      <c r="R162" s="132">
        <f t="shared" si="34"/>
        <v>0.61136900486225143</v>
      </c>
      <c r="S162" s="1044">
        <f t="shared" si="34"/>
        <v>0.53023834327522523</v>
      </c>
      <c r="T162" s="1044">
        <f t="shared" si="34"/>
        <v>0.3612952806825408</v>
      </c>
      <c r="U162" s="1044">
        <f t="shared" si="34"/>
        <v>0.54355029369574737</v>
      </c>
      <c r="V162" s="1044">
        <f t="shared" si="34"/>
        <v>0.90820126151130887</v>
      </c>
      <c r="W162" s="1044">
        <f t="shared" si="34"/>
        <v>0.65218189753055478</v>
      </c>
      <c r="X162" s="1044">
        <f t="shared" si="34"/>
        <v>0.91000503587117676</v>
      </c>
      <c r="Y162" s="1044">
        <f t="shared" si="34"/>
        <v>0.61570130692307123</v>
      </c>
      <c r="Z162" s="1044">
        <f t="shared" si="34"/>
        <v>0.40913935763417431</v>
      </c>
      <c r="AA162" s="1044">
        <f t="shared" si="34"/>
        <v>0.63799818111121409</v>
      </c>
      <c r="AB162" s="1044">
        <f t="shared" si="34"/>
        <v>1.2000367419251479E-2</v>
      </c>
      <c r="AC162" s="1044">
        <f t="shared" si="34"/>
        <v>1.4245604510437193E-2</v>
      </c>
      <c r="AD162" s="1044">
        <f t="shared" si="34"/>
        <v>7.4927965131250815E-2</v>
      </c>
      <c r="AE162" s="1044">
        <f t="shared" si="34"/>
        <v>0.6640972320917945</v>
      </c>
      <c r="AF162" s="1044">
        <f t="shared" si="34"/>
        <v>1.181868536697692</v>
      </c>
      <c r="AG162" s="1044">
        <f t="shared" si="34"/>
        <v>1.3137851309641719</v>
      </c>
      <c r="AH162" s="1044">
        <f t="shared" si="34"/>
        <v>0.13227245537164412</v>
      </c>
      <c r="AI162" s="1044">
        <f t="shared" si="34"/>
        <v>0.56081941015636616</v>
      </c>
      <c r="AJ162" s="1045">
        <f t="shared" si="34"/>
        <v>1.2840821497935297</v>
      </c>
      <c r="AK162" s="1086">
        <f t="shared" si="34"/>
        <v>0.530821132495224</v>
      </c>
      <c r="AL162" s="1087">
        <f t="shared" si="34"/>
        <v>0.54343332155760049</v>
      </c>
      <c r="AM162" s="1087">
        <f t="shared" si="34"/>
        <v>0.53033018330515869</v>
      </c>
      <c r="AN162" s="1087">
        <f t="shared" si="34"/>
        <v>1.2027512887671217</v>
      </c>
      <c r="AO162" s="1087">
        <f t="shared" si="34"/>
        <v>0.69227809714869881</v>
      </c>
      <c r="AP162" s="1087">
        <f t="shared" si="34"/>
        <v>0.62910095617482775</v>
      </c>
      <c r="AQ162" s="1087">
        <f t="shared" si="34"/>
        <v>0.416845393956635</v>
      </c>
      <c r="AR162" s="1087">
        <f t="shared" si="34"/>
        <v>0.63787052760434715</v>
      </c>
      <c r="AS162" s="1087">
        <f t="shared" si="34"/>
        <v>1.0677353187896981E-2</v>
      </c>
      <c r="AT162" s="1087">
        <f t="shared" si="34"/>
        <v>2.4276047763789232E-2</v>
      </c>
      <c r="AU162" s="1087">
        <f t="shared" si="34"/>
        <v>8.390082032408995E-2</v>
      </c>
      <c r="AV162" s="1087">
        <f t="shared" si="34"/>
        <v>9.4932062330956982E-2</v>
      </c>
      <c r="AW162" s="1087">
        <f t="shared" si="34"/>
        <v>1.3137876848091432</v>
      </c>
      <c r="AX162" s="1087">
        <f t="shared" si="34"/>
        <v>0.17956177812024832</v>
      </c>
      <c r="AY162" s="1087">
        <f t="shared" si="34"/>
        <v>0.1706761367633646</v>
      </c>
      <c r="AZ162" s="1087">
        <f t="shared" si="34"/>
        <v>1.2213366923860693</v>
      </c>
      <c r="BA162" s="1087">
        <f t="shared" si="34"/>
        <v>0.57559115750632617</v>
      </c>
      <c r="BB162" s="1088">
        <f t="shared" si="34"/>
        <v>1.280994396207692</v>
      </c>
      <c r="BC162" s="1043"/>
    </row>
    <row r="163" spans="1:55" ht="12" customHeight="1" outlineLevel="1" x14ac:dyDescent="0.2">
      <c r="A163" s="123"/>
      <c r="B163" s="104" t="s">
        <v>97</v>
      </c>
      <c r="C163" s="104" t="s">
        <v>121</v>
      </c>
      <c r="D163" s="2" t="s">
        <v>132</v>
      </c>
      <c r="E163" s="2" t="s">
        <v>134</v>
      </c>
      <c r="F163" s="105" t="s">
        <v>96</v>
      </c>
      <c r="G163" s="27" t="s">
        <v>1582</v>
      </c>
      <c r="H163" s="106" t="s">
        <v>128</v>
      </c>
      <c r="I163" s="107" t="s">
        <v>1577</v>
      </c>
      <c r="J163" s="129">
        <v>4.0702721800000008</v>
      </c>
      <c r="K163" s="130"/>
      <c r="L163" s="130"/>
      <c r="M163" s="131">
        <f t="shared" ca="1" si="23"/>
        <v>1.2355130442760043</v>
      </c>
      <c r="N163" s="133">
        <f t="shared" ca="1" si="23"/>
        <v>0.61084538479372619</v>
      </c>
      <c r="O163" s="1059" t="s">
        <v>1583</v>
      </c>
      <c r="P163" s="131">
        <f t="shared" ref="P163:BB163" si="35">IFERROR(P30/_xlfn.MAXIFS(P$19:P$150,$B$19:$B$150,$B163,$F$152:$F$283,"C"),"?")</f>
        <v>1.154179354076651</v>
      </c>
      <c r="Q163" s="133">
        <f t="shared" si="35"/>
        <v>1.2013431753336019</v>
      </c>
      <c r="R163" s="132">
        <f t="shared" si="35"/>
        <v>0.63358422818625848</v>
      </c>
      <c r="S163" s="1044">
        <f t="shared" si="35"/>
        <v>0.57308431920203318</v>
      </c>
      <c r="T163" s="1044">
        <f t="shared" si="35"/>
        <v>0.41936557357280202</v>
      </c>
      <c r="U163" s="1044">
        <f t="shared" si="35"/>
        <v>0.54607243435643571</v>
      </c>
      <c r="V163" s="1044">
        <f t="shared" si="35"/>
        <v>0.94738929557488116</v>
      </c>
      <c r="W163" s="1044">
        <f t="shared" si="35"/>
        <v>0.93668333559013484</v>
      </c>
      <c r="X163" s="1044">
        <f t="shared" si="35"/>
        <v>0.9490447209142352</v>
      </c>
      <c r="Y163" s="1044">
        <f t="shared" si="35"/>
        <v>0.93479549832190034</v>
      </c>
      <c r="Z163" s="1044">
        <f t="shared" si="35"/>
        <v>0.63755594862621368</v>
      </c>
      <c r="AA163" s="1044">
        <f t="shared" si="35"/>
        <v>0.73706926799216699</v>
      </c>
      <c r="AB163" s="1044">
        <f t="shared" si="35"/>
        <v>1.5139631911037846E-2</v>
      </c>
      <c r="AC163" s="1044">
        <f t="shared" si="35"/>
        <v>1.6753710740571755E-2</v>
      </c>
      <c r="AD163" s="1044">
        <f t="shared" si="35"/>
        <v>8.4745350673931658E-2</v>
      </c>
      <c r="AE163" s="1044">
        <f t="shared" si="35"/>
        <v>1.0231416037035392</v>
      </c>
      <c r="AF163" s="1044">
        <f t="shared" si="35"/>
        <v>2.1632128406341495</v>
      </c>
      <c r="AG163" s="1044">
        <f t="shared" si="35"/>
        <v>1.3137851309641719</v>
      </c>
      <c r="AH163" s="1044">
        <f t="shared" si="35"/>
        <v>0.13245991988279451</v>
      </c>
      <c r="AI163" s="1044">
        <f t="shared" si="35"/>
        <v>0.58032148234970293</v>
      </c>
      <c r="AJ163" s="1045">
        <f t="shared" si="35"/>
        <v>1.2841761848915885</v>
      </c>
      <c r="AK163" s="1086">
        <f t="shared" si="35"/>
        <v>0.57381988980977805</v>
      </c>
      <c r="AL163" s="1087">
        <f t="shared" si="35"/>
        <v>0.54594122933659506</v>
      </c>
      <c r="AM163" s="1087">
        <f t="shared" si="35"/>
        <v>0.53276656010801127</v>
      </c>
      <c r="AN163" s="1087">
        <f t="shared" si="35"/>
        <v>1.2526433370849801</v>
      </c>
      <c r="AO163" s="1087">
        <f t="shared" si="35"/>
        <v>0.97775961744149886</v>
      </c>
      <c r="AP163" s="1087">
        <f t="shared" si="35"/>
        <v>0.95128595281418049</v>
      </c>
      <c r="AQ163" s="1087">
        <f t="shared" si="35"/>
        <v>0.63867098239034692</v>
      </c>
      <c r="AR163" s="1087">
        <f t="shared" si="35"/>
        <v>0.74328616828831273</v>
      </c>
      <c r="AS163" s="1087">
        <f t="shared" si="35"/>
        <v>1.7844539195407544E-2</v>
      </c>
      <c r="AT163" s="1087">
        <f t="shared" si="35"/>
        <v>2.7194884621316744E-2</v>
      </c>
      <c r="AU163" s="1087">
        <f t="shared" si="35"/>
        <v>9.1255696155109672E-2</v>
      </c>
      <c r="AV163" s="1087">
        <f t="shared" si="35"/>
        <v>1.0109671767146444</v>
      </c>
      <c r="AW163" s="1087">
        <f t="shared" si="35"/>
        <v>1.3137876848091432</v>
      </c>
      <c r="AX163" s="1087">
        <f t="shared" si="35"/>
        <v>0.17956177812024832</v>
      </c>
      <c r="AY163" s="1087">
        <f t="shared" si="35"/>
        <v>0.1706761367633646</v>
      </c>
      <c r="AZ163" s="1087">
        <f t="shared" si="35"/>
        <v>1.2224369031357756</v>
      </c>
      <c r="BA163" s="1087">
        <f t="shared" si="35"/>
        <v>0.5954054486274577</v>
      </c>
      <c r="BB163" s="1088">
        <f t="shared" si="35"/>
        <v>1.2810881696645604</v>
      </c>
      <c r="BC163" s="1043"/>
    </row>
    <row r="164" spans="1:55" ht="12" customHeight="1" outlineLevel="1" x14ac:dyDescent="0.2">
      <c r="A164" s="123"/>
      <c r="B164" s="88" t="s">
        <v>98</v>
      </c>
      <c r="C164" s="88" t="s">
        <v>121</v>
      </c>
      <c r="D164" s="89" t="s">
        <v>132</v>
      </c>
      <c r="E164" s="89" t="s">
        <v>98</v>
      </c>
      <c r="F164" s="90" t="s">
        <v>92</v>
      </c>
      <c r="G164" s="18" t="s">
        <v>126</v>
      </c>
      <c r="H164" s="91" t="s">
        <v>127</v>
      </c>
      <c r="I164" s="92" t="s">
        <v>127</v>
      </c>
      <c r="J164" s="93">
        <v>3.8217059399999997</v>
      </c>
      <c r="K164" s="94"/>
      <c r="L164" s="94"/>
      <c r="M164" s="126">
        <f t="shared" ca="1" si="23"/>
        <v>1</v>
      </c>
      <c r="N164" s="128">
        <f t="shared" ca="1" si="23"/>
        <v>1</v>
      </c>
      <c r="O164" s="1058" t="s">
        <v>1583</v>
      </c>
      <c r="P164" s="126">
        <f t="shared" ref="P164:BB164" si="36">IFERROR(P31/_xlfn.MAXIFS(P$19:P$150,$B$19:$B$150,$B164,$F$152:$F$283,"C"),"?")</f>
        <v>1</v>
      </c>
      <c r="Q164" s="128">
        <f t="shared" si="36"/>
        <v>1</v>
      </c>
      <c r="R164" s="127">
        <f t="shared" si="36"/>
        <v>1</v>
      </c>
      <c r="S164" s="1041">
        <f t="shared" si="36"/>
        <v>1</v>
      </c>
      <c r="T164" s="1041">
        <f t="shared" si="36"/>
        <v>1</v>
      </c>
      <c r="U164" s="1041">
        <f t="shared" si="36"/>
        <v>1</v>
      </c>
      <c r="V164" s="1041">
        <f t="shared" si="36"/>
        <v>1</v>
      </c>
      <c r="W164" s="1041">
        <f t="shared" si="36"/>
        <v>1</v>
      </c>
      <c r="X164" s="1041">
        <f t="shared" si="36"/>
        <v>1</v>
      </c>
      <c r="Y164" s="1041">
        <f t="shared" si="36"/>
        <v>1</v>
      </c>
      <c r="Z164" s="1041">
        <f t="shared" si="36"/>
        <v>1</v>
      </c>
      <c r="AA164" s="1041">
        <f t="shared" si="36"/>
        <v>1</v>
      </c>
      <c r="AB164" s="1041">
        <f t="shared" si="36"/>
        <v>1</v>
      </c>
      <c r="AC164" s="1041">
        <f t="shared" si="36"/>
        <v>1</v>
      </c>
      <c r="AD164" s="1041">
        <f t="shared" si="36"/>
        <v>1</v>
      </c>
      <c r="AE164" s="1041">
        <f t="shared" si="36"/>
        <v>1</v>
      </c>
      <c r="AF164" s="1041">
        <f t="shared" si="36"/>
        <v>1</v>
      </c>
      <c r="AG164" s="1041">
        <f t="shared" si="36"/>
        <v>1</v>
      </c>
      <c r="AH164" s="1041">
        <f t="shared" si="36"/>
        <v>1</v>
      </c>
      <c r="AI164" s="1041">
        <f t="shared" si="36"/>
        <v>1</v>
      </c>
      <c r="AJ164" s="1042">
        <f t="shared" si="36"/>
        <v>1</v>
      </c>
      <c r="AK164" s="1083">
        <f t="shared" si="36"/>
        <v>1</v>
      </c>
      <c r="AL164" s="1084">
        <f t="shared" si="36"/>
        <v>1</v>
      </c>
      <c r="AM164" s="1084">
        <f t="shared" si="36"/>
        <v>1</v>
      </c>
      <c r="AN164" s="1084">
        <f t="shared" si="36"/>
        <v>1</v>
      </c>
      <c r="AO164" s="1084">
        <f t="shared" si="36"/>
        <v>1</v>
      </c>
      <c r="AP164" s="1084">
        <f t="shared" si="36"/>
        <v>1</v>
      </c>
      <c r="AQ164" s="1084">
        <f t="shared" si="36"/>
        <v>1</v>
      </c>
      <c r="AR164" s="1084">
        <f t="shared" si="36"/>
        <v>1</v>
      </c>
      <c r="AS164" s="1084">
        <f t="shared" si="36"/>
        <v>1</v>
      </c>
      <c r="AT164" s="1084">
        <f t="shared" si="36"/>
        <v>1</v>
      </c>
      <c r="AU164" s="1084">
        <f t="shared" si="36"/>
        <v>1</v>
      </c>
      <c r="AV164" s="1084">
        <f t="shared" si="36"/>
        <v>1</v>
      </c>
      <c r="AW164" s="1084">
        <f t="shared" si="36"/>
        <v>1</v>
      </c>
      <c r="AX164" s="1084">
        <f t="shared" si="36"/>
        <v>1</v>
      </c>
      <c r="AY164" s="1084">
        <f t="shared" si="36"/>
        <v>1</v>
      </c>
      <c r="AZ164" s="1084">
        <f t="shared" si="36"/>
        <v>1</v>
      </c>
      <c r="BA164" s="1084">
        <f t="shared" si="36"/>
        <v>1</v>
      </c>
      <c r="BB164" s="1085">
        <f t="shared" si="36"/>
        <v>1</v>
      </c>
      <c r="BC164" s="1043"/>
    </row>
    <row r="165" spans="1:55" ht="12" customHeight="1" outlineLevel="1" x14ac:dyDescent="0.2">
      <c r="A165" s="123"/>
      <c r="B165" s="104" t="s">
        <v>98</v>
      </c>
      <c r="C165" s="104" t="s">
        <v>121</v>
      </c>
      <c r="D165" s="2" t="s">
        <v>132</v>
      </c>
      <c r="E165" s="2" t="s">
        <v>98</v>
      </c>
      <c r="F165" s="105" t="s">
        <v>122</v>
      </c>
      <c r="G165" s="27" t="s">
        <v>1579</v>
      </c>
      <c r="H165" s="106" t="s">
        <v>128</v>
      </c>
      <c r="I165" s="107" t="s">
        <v>129</v>
      </c>
      <c r="J165" s="108">
        <v>3.8217059399999997</v>
      </c>
      <c r="K165" s="109"/>
      <c r="L165" s="109"/>
      <c r="M165" s="131">
        <f t="shared" ca="1" si="23"/>
        <v>0.86520882217962625</v>
      </c>
      <c r="N165" s="133">
        <f t="shared" ca="1" si="23"/>
        <v>0.44610566753668129</v>
      </c>
      <c r="O165" s="1059" t="s">
        <v>1583</v>
      </c>
      <c r="P165" s="131">
        <f t="shared" ref="P165:BB165" si="37">IFERROR(P32/_xlfn.MAXIFS(P$19:P$150,$B$19:$B$150,$B165,$F$152:$F$283,"C"),"?")</f>
        <v>0.20284531045350904</v>
      </c>
      <c r="Q165" s="133">
        <f t="shared" si="37"/>
        <v>0.90438347156569387</v>
      </c>
      <c r="R165" s="132">
        <f t="shared" si="37"/>
        <v>0.55194666542798587</v>
      </c>
      <c r="S165" s="1044">
        <f t="shared" si="37"/>
        <v>0.36874841587557217</v>
      </c>
      <c r="T165" s="1044">
        <f t="shared" si="37"/>
        <v>0.17519755502397333</v>
      </c>
      <c r="U165" s="1044">
        <f t="shared" si="37"/>
        <v>0.54487932304268449</v>
      </c>
      <c r="V165" s="1044">
        <f t="shared" si="37"/>
        <v>0.73513785685082056</v>
      </c>
      <c r="W165" s="1044">
        <f t="shared" si="37"/>
        <v>0.22972285850862736</v>
      </c>
      <c r="X165" s="1044">
        <f t="shared" si="37"/>
        <v>0.73677163768224863</v>
      </c>
      <c r="Y165" s="1044">
        <f t="shared" si="37"/>
        <v>0.1577821927583046</v>
      </c>
      <c r="Z165" s="1044">
        <f t="shared" si="37"/>
        <v>0.11711690891033355</v>
      </c>
      <c r="AA165" s="1044">
        <f t="shared" si="37"/>
        <v>0.31940383890103946</v>
      </c>
      <c r="AB165" s="1044">
        <f t="shared" si="37"/>
        <v>1.2057396870303059E-2</v>
      </c>
      <c r="AC165" s="1044">
        <f t="shared" si="37"/>
        <v>1.0446987812873058E-2</v>
      </c>
      <c r="AD165" s="1044">
        <f t="shared" si="37"/>
        <v>6.3862728489015461E-2</v>
      </c>
      <c r="AE165" s="1044">
        <f t="shared" si="37"/>
        <v>0.33469139090752831</v>
      </c>
      <c r="AF165" s="1044">
        <f t="shared" si="37"/>
        <v>4.1138849174973131E-2</v>
      </c>
      <c r="AG165" s="1044">
        <f t="shared" si="37"/>
        <v>1.0215248422059822</v>
      </c>
      <c r="AH165" s="1044">
        <f t="shared" si="37"/>
        <v>0.21863614898964059</v>
      </c>
      <c r="AI165" s="1044">
        <f t="shared" si="37"/>
        <v>0.51143438803302943</v>
      </c>
      <c r="AJ165" s="1045">
        <f t="shared" si="37"/>
        <v>1.0005278130727964</v>
      </c>
      <c r="AK165" s="1086">
        <f t="shared" si="37"/>
        <v>0.3686379160099455</v>
      </c>
      <c r="AL165" s="1087">
        <f t="shared" si="37"/>
        <v>0.54488094177649227</v>
      </c>
      <c r="AM165" s="1087">
        <f t="shared" si="37"/>
        <v>0.53449224448195787</v>
      </c>
      <c r="AN165" s="1087">
        <f t="shared" si="37"/>
        <v>0.93545691111907936</v>
      </c>
      <c r="AO165" s="1087">
        <f t="shared" si="37"/>
        <v>0.26208126420526667</v>
      </c>
      <c r="AP165" s="1087">
        <f t="shared" si="37"/>
        <v>0.16520316623494163</v>
      </c>
      <c r="AQ165" s="1087">
        <f t="shared" si="37"/>
        <v>0.13864862865768615</v>
      </c>
      <c r="AR165" s="1087">
        <f t="shared" si="37"/>
        <v>0.31442443963726524</v>
      </c>
      <c r="AS165" s="1087">
        <f t="shared" si="37"/>
        <v>7.6925133149553684E-4</v>
      </c>
      <c r="AT165" s="1087">
        <f t="shared" si="37"/>
        <v>2.6293718103108633E-2</v>
      </c>
      <c r="AU165" s="1087">
        <f t="shared" si="37"/>
        <v>9.7264759299745776E-2</v>
      </c>
      <c r="AV165" s="1087">
        <f t="shared" si="37"/>
        <v>9.9478759440328829E-2</v>
      </c>
      <c r="AW165" s="1087">
        <f t="shared" si="37"/>
        <v>1.0215260284152454</v>
      </c>
      <c r="AX165" s="1087">
        <f t="shared" si="37"/>
        <v>0.20567202249940628</v>
      </c>
      <c r="AY165" s="1087">
        <f t="shared" si="37"/>
        <v>0.2000116138419018</v>
      </c>
      <c r="AZ165" s="1087">
        <f t="shared" si="37"/>
        <v>1.0012649958757489</v>
      </c>
      <c r="BA165" s="1087">
        <f t="shared" si="37"/>
        <v>0.52394891676151445</v>
      </c>
      <c r="BB165" s="1088">
        <f t="shared" si="37"/>
        <v>0.99835899161447972</v>
      </c>
      <c r="BC165" s="1043"/>
    </row>
    <row r="166" spans="1:55" ht="12" customHeight="1" outlineLevel="1" x14ac:dyDescent="0.2">
      <c r="A166" s="123"/>
      <c r="B166" s="104" t="s">
        <v>98</v>
      </c>
      <c r="C166" s="104" t="s">
        <v>121</v>
      </c>
      <c r="D166" s="2" t="s">
        <v>132</v>
      </c>
      <c r="E166" s="2" t="s">
        <v>98</v>
      </c>
      <c r="F166" s="105" t="s">
        <v>93</v>
      </c>
      <c r="G166" s="27" t="s">
        <v>1578</v>
      </c>
      <c r="H166" s="106" t="s">
        <v>130</v>
      </c>
      <c r="I166" s="107" t="s">
        <v>129</v>
      </c>
      <c r="J166" s="108">
        <v>3.8217059399999997</v>
      </c>
      <c r="K166" s="109"/>
      <c r="L166" s="109"/>
      <c r="M166" s="131">
        <f t="shared" ca="1" si="23"/>
        <v>0.88642287853911217</v>
      </c>
      <c r="N166" s="133">
        <f t="shared" ca="1" si="23"/>
        <v>0.47496697570105539</v>
      </c>
      <c r="O166" s="1059" t="s">
        <v>1583</v>
      </c>
      <c r="P166" s="131">
        <f t="shared" ref="P166:BB166" si="38">IFERROR(P33/_xlfn.MAXIFS(P$19:P$150,$B$19:$B$150,$B166,$F$152:$F$283,"C"),"?")</f>
        <v>0.21939915856572142</v>
      </c>
      <c r="Q166" s="133">
        <f t="shared" si="38"/>
        <v>0.96271048513755642</v>
      </c>
      <c r="R166" s="132">
        <f t="shared" si="38"/>
        <v>0.58754367531470852</v>
      </c>
      <c r="S166" s="1044">
        <f t="shared" si="38"/>
        <v>0.392530298500533</v>
      </c>
      <c r="T166" s="1044">
        <f t="shared" si="38"/>
        <v>0.18649666612722704</v>
      </c>
      <c r="U166" s="1044">
        <f t="shared" si="38"/>
        <v>0.58002051706597513</v>
      </c>
      <c r="V166" s="1044">
        <f t="shared" si="38"/>
        <v>0.78254949187180467</v>
      </c>
      <c r="W166" s="1044">
        <f t="shared" si="38"/>
        <v>0.24453849734991201</v>
      </c>
      <c r="X166" s="1044">
        <f t="shared" si="38"/>
        <v>0.784288652781574</v>
      </c>
      <c r="Y166" s="1044">
        <f t="shared" si="38"/>
        <v>0.16795812210905386</v>
      </c>
      <c r="Z166" s="1044">
        <f t="shared" si="38"/>
        <v>0.12467019270866189</v>
      </c>
      <c r="AA166" s="1044">
        <f t="shared" si="38"/>
        <v>0.3400033231486822</v>
      </c>
      <c r="AB166" s="1044">
        <f t="shared" si="38"/>
        <v>1.2835021190014655E-2</v>
      </c>
      <c r="AC166" s="1044">
        <f t="shared" si="38"/>
        <v>1.1150946446776267E-2</v>
      </c>
      <c r="AD166" s="1044">
        <f t="shared" si="38"/>
        <v>6.8084818561031671E-2</v>
      </c>
      <c r="AE166" s="1044">
        <f t="shared" si="38"/>
        <v>0.36092271015376193</v>
      </c>
      <c r="AF166" s="1044">
        <f t="shared" si="38"/>
        <v>5.3697002078399662E-2</v>
      </c>
      <c r="AG166" s="1044">
        <f t="shared" si="38"/>
        <v>1.0874065605616874</v>
      </c>
      <c r="AH166" s="1044">
        <f t="shared" si="38"/>
        <v>0.23273676799808379</v>
      </c>
      <c r="AI166" s="1044">
        <f t="shared" si="38"/>
        <v>0.54441860522122909</v>
      </c>
      <c r="AJ166" s="1045">
        <f t="shared" si="38"/>
        <v>1.0650553795342221</v>
      </c>
      <c r="AK166" s="1086">
        <f t="shared" si="38"/>
        <v>0.39241268986429556</v>
      </c>
      <c r="AL166" s="1087">
        <f t="shared" si="38"/>
        <v>0.58002224140472369</v>
      </c>
      <c r="AM166" s="1087">
        <f t="shared" si="38"/>
        <v>0.5689635427011922</v>
      </c>
      <c r="AN166" s="1087">
        <f t="shared" si="38"/>
        <v>0.99578783190885323</v>
      </c>
      <c r="AO166" s="1087">
        <f t="shared" si="38"/>
        <v>0.27898381364987257</v>
      </c>
      <c r="AP166" s="1087">
        <f t="shared" si="38"/>
        <v>0.17585770580427276</v>
      </c>
      <c r="AQ166" s="1087">
        <f t="shared" si="38"/>
        <v>0.14759056762982775</v>
      </c>
      <c r="AR166" s="1087">
        <f t="shared" si="38"/>
        <v>0.3347027837822818</v>
      </c>
      <c r="AS166" s="1087">
        <f t="shared" si="38"/>
        <v>9.3946088281584607E-4</v>
      </c>
      <c r="AT166" s="1087">
        <f t="shared" si="38"/>
        <v>2.8027107045110425E-2</v>
      </c>
      <c r="AU166" s="1087">
        <f t="shared" si="38"/>
        <v>0.10360862935426825</v>
      </c>
      <c r="AV166" s="1087">
        <f t="shared" si="38"/>
        <v>0.1101431153095434</v>
      </c>
      <c r="AW166" s="1087">
        <f t="shared" si="38"/>
        <v>1.0874078435817989</v>
      </c>
      <c r="AX166" s="1087">
        <f t="shared" si="38"/>
        <v>0.21893653706359936</v>
      </c>
      <c r="AY166" s="1087">
        <f t="shared" si="38"/>
        <v>0.2129110733130665</v>
      </c>
      <c r="AZ166" s="1087">
        <f t="shared" si="38"/>
        <v>1.0658401206847925</v>
      </c>
      <c r="BA166" s="1087">
        <f t="shared" si="38"/>
        <v>0.55774023343086665</v>
      </c>
      <c r="BB166" s="1088">
        <f t="shared" si="38"/>
        <v>1.0627467147831933</v>
      </c>
      <c r="BC166" s="1043"/>
    </row>
    <row r="167" spans="1:55" ht="12" customHeight="1" outlineLevel="1" x14ac:dyDescent="0.2">
      <c r="A167" s="123"/>
      <c r="B167" s="104" t="s">
        <v>98</v>
      </c>
      <c r="C167" s="104" t="s">
        <v>121</v>
      </c>
      <c r="D167" s="2" t="s">
        <v>132</v>
      </c>
      <c r="E167" s="2" t="s">
        <v>98</v>
      </c>
      <c r="F167" s="105" t="s">
        <v>94</v>
      </c>
      <c r="G167" s="27" t="s">
        <v>1580</v>
      </c>
      <c r="H167" s="106" t="s">
        <v>131</v>
      </c>
      <c r="I167" s="107" t="s">
        <v>129</v>
      </c>
      <c r="J167" s="108">
        <v>3.8217059399999997</v>
      </c>
      <c r="K167" s="109"/>
      <c r="L167" s="109"/>
      <c r="M167" s="131">
        <f t="shared" ca="1" si="23"/>
        <v>0.84641300914089579</v>
      </c>
      <c r="N167" s="133">
        <f t="shared" ca="1" si="23"/>
        <v>0.42053433204486257</v>
      </c>
      <c r="O167" s="1059" t="s">
        <v>1583</v>
      </c>
      <c r="P167" s="131">
        <f t="shared" ref="P167:BB167" si="39">IFERROR(P34/_xlfn.MAXIFS(P$19:P$150,$B$19:$B$150,$B167,$F$152:$F$283,"C"),"?")</f>
        <v>0.18817941512697259</v>
      </c>
      <c r="Q167" s="133">
        <f t="shared" si="39"/>
        <v>0.85270528559664505</v>
      </c>
      <c r="R167" s="132">
        <f t="shared" si="39"/>
        <v>0.5204074474432614</v>
      </c>
      <c r="S167" s="1044">
        <f t="shared" si="39"/>
        <v>0.34767746387806142</v>
      </c>
      <c r="T167" s="1044">
        <f t="shared" si="39"/>
        <v>0.16518645344749508</v>
      </c>
      <c r="U167" s="1044">
        <f t="shared" si="39"/>
        <v>0.51374394176374671</v>
      </c>
      <c r="V167" s="1044">
        <f t="shared" si="39"/>
        <v>0.69313074938966335</v>
      </c>
      <c r="W167" s="1044">
        <f t="shared" si="39"/>
        <v>0.21659607413645854</v>
      </c>
      <c r="X167" s="1044">
        <f t="shared" si="39"/>
        <v>0.69467118734633959</v>
      </c>
      <c r="Y167" s="1044">
        <f t="shared" si="39"/>
        <v>0.14876623633684097</v>
      </c>
      <c r="Z167" s="1044">
        <f t="shared" si="39"/>
        <v>0.11042463892149043</v>
      </c>
      <c r="AA167" s="1044">
        <f t="shared" si="39"/>
        <v>0.3011525287454947</v>
      </c>
      <c r="AB167" s="1044">
        <f t="shared" si="39"/>
        <v>1.1368415664816474E-2</v>
      </c>
      <c r="AC167" s="1044">
        <f t="shared" si="39"/>
        <v>9.8232830762410538E-3</v>
      </c>
      <c r="AD167" s="1044">
        <f t="shared" si="39"/>
        <v>6.0121954245459755E-2</v>
      </c>
      <c r="AE167" s="1044">
        <f t="shared" si="39"/>
        <v>0.31145149925960525</v>
      </c>
      <c r="AF167" s="1044">
        <f t="shared" si="39"/>
        <v>3.0014937968489495E-2</v>
      </c>
      <c r="AG167" s="1044">
        <f t="shared" si="39"/>
        <v>0.96315307368493097</v>
      </c>
      <c r="AH167" s="1044">
        <f t="shared" si="39"/>
        <v>0.20614288629837391</v>
      </c>
      <c r="AI167" s="1044">
        <f t="shared" si="39"/>
        <v>0.48221011114553725</v>
      </c>
      <c r="AJ167" s="1045">
        <f t="shared" si="39"/>
        <v>0.94335582972041898</v>
      </c>
      <c r="AK167" s="1086">
        <f t="shared" si="39"/>
        <v>0.34757328490502309</v>
      </c>
      <c r="AL167" s="1087">
        <f t="shared" si="39"/>
        <v>0.51374545175656361</v>
      </c>
      <c r="AM167" s="1087">
        <f t="shared" si="39"/>
        <v>0.50395038181334895</v>
      </c>
      <c r="AN167" s="1087">
        <f t="shared" si="39"/>
        <v>0.88200321824229</v>
      </c>
      <c r="AO167" s="1087">
        <f t="shared" si="39"/>
        <v>0.24710547034012792</v>
      </c>
      <c r="AP167" s="1087">
        <f t="shared" si="39"/>
        <v>0.1557631652992548</v>
      </c>
      <c r="AQ167" s="1087">
        <f t="shared" si="39"/>
        <v>0.13072599314289138</v>
      </c>
      <c r="AR167" s="1087">
        <f t="shared" si="39"/>
        <v>0.29645766053302652</v>
      </c>
      <c r="AS167" s="1087">
        <f t="shared" si="39"/>
        <v>6.1847727651827874E-4</v>
      </c>
      <c r="AT167" s="1087">
        <f t="shared" si="39"/>
        <v>2.4757935794530655E-2</v>
      </c>
      <c r="AU167" s="1087">
        <f t="shared" si="39"/>
        <v>9.1644049941369016E-2</v>
      </c>
      <c r="AV167" s="1087">
        <f t="shared" si="39"/>
        <v>9.0031218693268619E-2</v>
      </c>
      <c r="AW167" s="1087">
        <f t="shared" si="39"/>
        <v>0.96315417411895099</v>
      </c>
      <c r="AX167" s="1087">
        <f t="shared" si="39"/>
        <v>0.19391955134012523</v>
      </c>
      <c r="AY167" s="1087">
        <f t="shared" si="39"/>
        <v>0.18858259239337277</v>
      </c>
      <c r="AZ167" s="1087">
        <f t="shared" si="39"/>
        <v>0.94405091595107549</v>
      </c>
      <c r="BA167" s="1087">
        <f t="shared" si="39"/>
        <v>0.49400953013767973</v>
      </c>
      <c r="BB167" s="1088">
        <f t="shared" si="39"/>
        <v>0.94131096814239568</v>
      </c>
      <c r="BC167" s="1043"/>
    </row>
    <row r="168" spans="1:55" ht="12" customHeight="1" outlineLevel="1" x14ac:dyDescent="0.2">
      <c r="A168" s="123"/>
      <c r="B168" s="104" t="s">
        <v>98</v>
      </c>
      <c r="C168" s="104" t="s">
        <v>121</v>
      </c>
      <c r="D168" s="2" t="s">
        <v>132</v>
      </c>
      <c r="E168" s="2" t="s">
        <v>98</v>
      </c>
      <c r="F168" s="105" t="s">
        <v>95</v>
      </c>
      <c r="G168" s="27" t="s">
        <v>1581</v>
      </c>
      <c r="H168" s="106" t="s">
        <v>128</v>
      </c>
      <c r="I168" s="107" t="s">
        <v>127</v>
      </c>
      <c r="J168" s="108">
        <v>3.8217059399999997</v>
      </c>
      <c r="K168" s="109"/>
      <c r="L168" s="109"/>
      <c r="M168" s="131">
        <f t="shared" ca="1" si="23"/>
        <v>0.93607912694160578</v>
      </c>
      <c r="N168" s="133">
        <f t="shared" ca="1" si="23"/>
        <v>0.54252332905213174</v>
      </c>
      <c r="O168" s="1059" t="s">
        <v>1583</v>
      </c>
      <c r="P168" s="131">
        <f t="shared" ref="P168:BB168" si="40">IFERROR(P35/_xlfn.MAXIFS(P$19:P$150,$B$19:$B$150,$B168,$F$152:$F$283,"C"),"?")</f>
        <v>0.6531842533457809</v>
      </c>
      <c r="Q168" s="133">
        <f t="shared" si="40"/>
        <v>0.93962337327590273</v>
      </c>
      <c r="R168" s="132">
        <f t="shared" si="40"/>
        <v>0.58579188693375961</v>
      </c>
      <c r="S168" s="1044">
        <f t="shared" si="40"/>
        <v>0.43142394014773122</v>
      </c>
      <c r="T168" s="1044">
        <f t="shared" si="40"/>
        <v>0.26065462583063498</v>
      </c>
      <c r="U168" s="1044">
        <f t="shared" si="40"/>
        <v>0.54897039464163011</v>
      </c>
      <c r="V168" s="1044">
        <f t="shared" si="40"/>
        <v>0.78914992907174908</v>
      </c>
      <c r="W168" s="1044">
        <f t="shared" si="40"/>
        <v>0.58139470399658899</v>
      </c>
      <c r="X168" s="1044">
        <f t="shared" si="40"/>
        <v>0.79057373654415664</v>
      </c>
      <c r="Y168" s="1044">
        <f t="shared" si="40"/>
        <v>0.55082876245226475</v>
      </c>
      <c r="Z168" s="1044">
        <f t="shared" si="40"/>
        <v>0.54200644108314944</v>
      </c>
      <c r="AA168" s="1044">
        <f t="shared" si="40"/>
        <v>0.46924410778569503</v>
      </c>
      <c r="AB168" s="1044">
        <f t="shared" si="40"/>
        <v>1.9771719584795511E-2</v>
      </c>
      <c r="AC168" s="1044">
        <f t="shared" si="40"/>
        <v>1.8780529345902977E-2</v>
      </c>
      <c r="AD168" s="1044">
        <f t="shared" si="40"/>
        <v>0.10564150509902423</v>
      </c>
      <c r="AE168" s="1044">
        <f t="shared" si="40"/>
        <v>0.6608906501572458</v>
      </c>
      <c r="AF168" s="1044">
        <f t="shared" si="40"/>
        <v>0.90906169031079076</v>
      </c>
      <c r="AG168" s="1044">
        <f t="shared" si="40"/>
        <v>1.0215248422059822</v>
      </c>
      <c r="AH168" s="1044">
        <f t="shared" si="40"/>
        <v>0.21912387008036119</v>
      </c>
      <c r="AI168" s="1044">
        <f t="shared" si="40"/>
        <v>0.54137420665428915</v>
      </c>
      <c r="AJ168" s="1045">
        <f t="shared" si="40"/>
        <v>1.0006971890142915</v>
      </c>
      <c r="AK168" s="1086">
        <f t="shared" si="40"/>
        <v>0.43153259229725816</v>
      </c>
      <c r="AL168" s="1087">
        <f t="shared" si="40"/>
        <v>0.54894966484104468</v>
      </c>
      <c r="AM168" s="1087">
        <f t="shared" si="40"/>
        <v>0.53846527133679756</v>
      </c>
      <c r="AN168" s="1087">
        <f t="shared" si="40"/>
        <v>1.0013761460519215</v>
      </c>
      <c r="AO168" s="1087">
        <f t="shared" si="40"/>
        <v>0.61335528151746332</v>
      </c>
      <c r="AP168" s="1087">
        <f t="shared" si="40"/>
        <v>0.56097181252905592</v>
      </c>
      <c r="AQ168" s="1087">
        <f t="shared" si="40"/>
        <v>0.54866331533102186</v>
      </c>
      <c r="AR168" s="1087">
        <f t="shared" si="40"/>
        <v>0.47276890782929548</v>
      </c>
      <c r="AS168" s="1087">
        <f t="shared" si="40"/>
        <v>1.6212323599210696E-2</v>
      </c>
      <c r="AT168" s="1087">
        <f t="shared" si="40"/>
        <v>3.643992412607041E-2</v>
      </c>
      <c r="AU168" s="1087">
        <f t="shared" si="40"/>
        <v>0.1243283639675824</v>
      </c>
      <c r="AV168" s="1087">
        <f t="shared" si="40"/>
        <v>0.53497362700697737</v>
      </c>
      <c r="AW168" s="1087">
        <f t="shared" si="40"/>
        <v>1.0215260284152454</v>
      </c>
      <c r="AX168" s="1087">
        <f t="shared" si="40"/>
        <v>0.20567202249940628</v>
      </c>
      <c r="AY168" s="1087">
        <f t="shared" si="40"/>
        <v>0.2000116138419018</v>
      </c>
      <c r="AZ168" s="1087">
        <f t="shared" si="40"/>
        <v>1.0026912278522404</v>
      </c>
      <c r="BA168" s="1087">
        <f t="shared" si="40"/>
        <v>0.55429720691087769</v>
      </c>
      <c r="BB168" s="1088">
        <f t="shared" si="40"/>
        <v>0.99852790845998252</v>
      </c>
      <c r="BC168" s="1043"/>
    </row>
    <row r="169" spans="1:55" ht="12" customHeight="1" outlineLevel="1" x14ac:dyDescent="0.2">
      <c r="A169" s="123"/>
      <c r="B169" s="104" t="s">
        <v>98</v>
      </c>
      <c r="C169" s="104" t="s">
        <v>121</v>
      </c>
      <c r="D169" s="2" t="s">
        <v>132</v>
      </c>
      <c r="E169" s="2" t="s">
        <v>98</v>
      </c>
      <c r="F169" s="105" t="s">
        <v>96</v>
      </c>
      <c r="G169" s="27" t="s">
        <v>1582</v>
      </c>
      <c r="H169" s="106" t="s">
        <v>128</v>
      </c>
      <c r="I169" s="107" t="s">
        <v>1577</v>
      </c>
      <c r="J169" s="129">
        <v>3.8217059399999997</v>
      </c>
      <c r="K169" s="130"/>
      <c r="L169" s="130"/>
      <c r="M169" s="131">
        <f t="shared" ca="1" si="23"/>
        <v>0.98788352463440954</v>
      </c>
      <c r="N169" s="133">
        <f t="shared" ca="1" si="23"/>
        <v>0.61300219743758555</v>
      </c>
      <c r="O169" s="1059" t="s">
        <v>1583</v>
      </c>
      <c r="P169" s="131">
        <f t="shared" ref="P169:BB169" si="41">IFERROR(P36/_xlfn.MAXIFS(P$19:P$150,$B$19:$B$150,$B169,$F$152:$F$283,"C"),"?")</f>
        <v>1.0003412871665487</v>
      </c>
      <c r="Q169" s="133">
        <f t="shared" si="41"/>
        <v>0.96517379874400122</v>
      </c>
      <c r="R169" s="132">
        <f t="shared" si="41"/>
        <v>0.60787977503164503</v>
      </c>
      <c r="S169" s="1044">
        <f t="shared" si="41"/>
        <v>0.4763367771887807</v>
      </c>
      <c r="T169" s="1044">
        <f t="shared" si="41"/>
        <v>0.32296014538577411</v>
      </c>
      <c r="U169" s="1044">
        <f t="shared" si="41"/>
        <v>0.55164028656087294</v>
      </c>
      <c r="V169" s="1044">
        <f t="shared" si="41"/>
        <v>0.82439906569681887</v>
      </c>
      <c r="W169" s="1044">
        <f t="shared" si="41"/>
        <v>0.83732346915993205</v>
      </c>
      <c r="X169" s="1044">
        <f t="shared" si="41"/>
        <v>0.82568583846656229</v>
      </c>
      <c r="Y169" s="1044">
        <f t="shared" si="41"/>
        <v>0.83720114856219674</v>
      </c>
      <c r="Z169" s="1044">
        <f t="shared" si="41"/>
        <v>0.84460861915671659</v>
      </c>
      <c r="AA169" s="1044">
        <f t="shared" si="41"/>
        <v>0.57850433566681703</v>
      </c>
      <c r="AB169" s="1044">
        <f t="shared" si="41"/>
        <v>2.4806208982972356E-2</v>
      </c>
      <c r="AC169" s="1044">
        <f t="shared" si="41"/>
        <v>2.2056827266586431E-2</v>
      </c>
      <c r="AD169" s="1044">
        <f t="shared" si="41"/>
        <v>0.11936210521092049</v>
      </c>
      <c r="AE169" s="1044">
        <f t="shared" si="41"/>
        <v>0.93114621736132841</v>
      </c>
      <c r="AF169" s="1044">
        <f t="shared" si="41"/>
        <v>1.5966637247060116</v>
      </c>
      <c r="AG169" s="1044">
        <f t="shared" si="41"/>
        <v>1.0215248422059822</v>
      </c>
      <c r="AH169" s="1044">
        <f t="shared" si="41"/>
        <v>0.21944216321137572</v>
      </c>
      <c r="AI169" s="1044">
        <f t="shared" si="41"/>
        <v>0.56091341801057071</v>
      </c>
      <c r="AJ169" s="1045">
        <f t="shared" si="41"/>
        <v>1.0008077350454405</v>
      </c>
      <c r="AK169" s="1086">
        <f t="shared" si="41"/>
        <v>0.47660817235164921</v>
      </c>
      <c r="AL169" s="1087">
        <f t="shared" si="41"/>
        <v>0.55160497220024141</v>
      </c>
      <c r="AM169" s="1087">
        <f t="shared" si="41"/>
        <v>0.54105812057438074</v>
      </c>
      <c r="AN169" s="1087">
        <f t="shared" si="41"/>
        <v>1.044396084722945</v>
      </c>
      <c r="AO169" s="1087">
        <f t="shared" si="41"/>
        <v>0.86873903848291045</v>
      </c>
      <c r="AP169" s="1087">
        <f t="shared" si="41"/>
        <v>0.84928421858595471</v>
      </c>
      <c r="AQ169" s="1087">
        <f t="shared" si="41"/>
        <v>0.84066729182780664</v>
      </c>
      <c r="AR169" s="1087">
        <f t="shared" si="41"/>
        <v>0.58821376617747712</v>
      </c>
      <c r="AS169" s="1087">
        <f t="shared" si="41"/>
        <v>2.7154316657881816E-2</v>
      </c>
      <c r="AT169" s="1087">
        <f t="shared" si="41"/>
        <v>4.0834994491610342E-2</v>
      </c>
      <c r="AU169" s="1087">
        <f t="shared" si="41"/>
        <v>0.13527712206942402</v>
      </c>
      <c r="AV169" s="1087">
        <f t="shared" si="41"/>
        <v>0.88886068313184219</v>
      </c>
      <c r="AW169" s="1087">
        <f t="shared" si="41"/>
        <v>1.0215260284152454</v>
      </c>
      <c r="AX169" s="1087">
        <f t="shared" si="41"/>
        <v>0.20567202249940628</v>
      </c>
      <c r="AY169" s="1087">
        <f t="shared" si="41"/>
        <v>0.2000116138419018</v>
      </c>
      <c r="AZ169" s="1087">
        <f t="shared" si="41"/>
        <v>1.0036220059303176</v>
      </c>
      <c r="BA169" s="1087">
        <f t="shared" si="41"/>
        <v>0.57410297915968</v>
      </c>
      <c r="BB169" s="1088">
        <f t="shared" si="41"/>
        <v>0.9986381548544806</v>
      </c>
      <c r="BC169" s="1043"/>
    </row>
    <row r="170" spans="1:55" ht="12" customHeight="1" outlineLevel="1" x14ac:dyDescent="0.2">
      <c r="A170" s="123"/>
      <c r="B170" s="88" t="s">
        <v>99</v>
      </c>
      <c r="C170" s="88" t="s">
        <v>121</v>
      </c>
      <c r="D170" s="89" t="s">
        <v>132</v>
      </c>
      <c r="E170" s="89" t="s">
        <v>99</v>
      </c>
      <c r="F170" s="90" t="s">
        <v>92</v>
      </c>
      <c r="G170" s="18" t="s">
        <v>126</v>
      </c>
      <c r="H170" s="91" t="s">
        <v>127</v>
      </c>
      <c r="I170" s="92" t="s">
        <v>127</v>
      </c>
      <c r="J170" s="93">
        <v>3.72132342</v>
      </c>
      <c r="K170" s="94"/>
      <c r="L170" s="94"/>
      <c r="M170" s="126">
        <f t="shared" ca="1" si="23"/>
        <v>1</v>
      </c>
      <c r="N170" s="128">
        <f t="shared" ca="1" si="23"/>
        <v>1</v>
      </c>
      <c r="O170" s="1058" t="s">
        <v>1583</v>
      </c>
      <c r="P170" s="126">
        <f t="shared" ref="P170:BB170" si="42">IFERROR(P37/_xlfn.MAXIFS(P$19:P$150,$B$19:$B$150,$B170,$F$152:$F$283,"C"),"?")</f>
        <v>1</v>
      </c>
      <c r="Q170" s="128">
        <f t="shared" si="42"/>
        <v>1</v>
      </c>
      <c r="R170" s="127">
        <f t="shared" si="42"/>
        <v>1</v>
      </c>
      <c r="S170" s="1041">
        <f t="shared" si="42"/>
        <v>1</v>
      </c>
      <c r="T170" s="1041">
        <f t="shared" si="42"/>
        <v>1</v>
      </c>
      <c r="U170" s="1041">
        <f t="shared" si="42"/>
        <v>1</v>
      </c>
      <c r="V170" s="1041">
        <f t="shared" si="42"/>
        <v>1</v>
      </c>
      <c r="W170" s="1041">
        <f t="shared" si="42"/>
        <v>1</v>
      </c>
      <c r="X170" s="1041">
        <f t="shared" si="42"/>
        <v>1</v>
      </c>
      <c r="Y170" s="1041">
        <f t="shared" si="42"/>
        <v>1</v>
      </c>
      <c r="Z170" s="1041">
        <f t="shared" si="42"/>
        <v>1</v>
      </c>
      <c r="AA170" s="1041">
        <f t="shared" si="42"/>
        <v>1</v>
      </c>
      <c r="AB170" s="1041">
        <f t="shared" si="42"/>
        <v>1</v>
      </c>
      <c r="AC170" s="1041">
        <f t="shared" si="42"/>
        <v>1</v>
      </c>
      <c r="AD170" s="1041">
        <f t="shared" si="42"/>
        <v>1</v>
      </c>
      <c r="AE170" s="1041">
        <f t="shared" si="42"/>
        <v>1</v>
      </c>
      <c r="AF170" s="1041">
        <f t="shared" si="42"/>
        <v>1</v>
      </c>
      <c r="AG170" s="1041">
        <f t="shared" si="42"/>
        <v>1</v>
      </c>
      <c r="AH170" s="1041">
        <f t="shared" si="42"/>
        <v>1</v>
      </c>
      <c r="AI170" s="1041">
        <f t="shared" si="42"/>
        <v>1</v>
      </c>
      <c r="AJ170" s="1042">
        <f t="shared" si="42"/>
        <v>1</v>
      </c>
      <c r="AK170" s="1083">
        <f t="shared" si="42"/>
        <v>1</v>
      </c>
      <c r="AL170" s="1084">
        <f t="shared" si="42"/>
        <v>1</v>
      </c>
      <c r="AM170" s="1084">
        <f t="shared" si="42"/>
        <v>1</v>
      </c>
      <c r="AN170" s="1084">
        <f t="shared" si="42"/>
        <v>1</v>
      </c>
      <c r="AO170" s="1084">
        <f t="shared" si="42"/>
        <v>1</v>
      </c>
      <c r="AP170" s="1084">
        <f t="shared" si="42"/>
        <v>1</v>
      </c>
      <c r="AQ170" s="1084">
        <f t="shared" si="42"/>
        <v>1</v>
      </c>
      <c r="AR170" s="1084">
        <f t="shared" si="42"/>
        <v>1</v>
      </c>
      <c r="AS170" s="1084">
        <f t="shared" si="42"/>
        <v>1</v>
      </c>
      <c r="AT170" s="1084">
        <f t="shared" si="42"/>
        <v>1</v>
      </c>
      <c r="AU170" s="1084">
        <f t="shared" si="42"/>
        <v>1</v>
      </c>
      <c r="AV170" s="1084">
        <f t="shared" si="42"/>
        <v>1</v>
      </c>
      <c r="AW170" s="1084">
        <f t="shared" si="42"/>
        <v>1</v>
      </c>
      <c r="AX170" s="1084">
        <f t="shared" si="42"/>
        <v>1</v>
      </c>
      <c r="AY170" s="1084">
        <f t="shared" si="42"/>
        <v>1</v>
      </c>
      <c r="AZ170" s="1084">
        <f t="shared" si="42"/>
        <v>1</v>
      </c>
      <c r="BA170" s="1084">
        <f t="shared" si="42"/>
        <v>1</v>
      </c>
      <c r="BB170" s="1085">
        <f t="shared" si="42"/>
        <v>1</v>
      </c>
      <c r="BC170" s="1043"/>
    </row>
    <row r="171" spans="1:55" ht="12" customHeight="1" outlineLevel="1" x14ac:dyDescent="0.2">
      <c r="A171" s="123"/>
      <c r="B171" s="104" t="s">
        <v>99</v>
      </c>
      <c r="C171" s="104" t="s">
        <v>121</v>
      </c>
      <c r="D171" s="2" t="s">
        <v>132</v>
      </c>
      <c r="E171" s="2" t="s">
        <v>99</v>
      </c>
      <c r="F171" s="105" t="s">
        <v>122</v>
      </c>
      <c r="G171" s="27" t="s">
        <v>1579</v>
      </c>
      <c r="H171" s="106" t="s">
        <v>128</v>
      </c>
      <c r="I171" s="107" t="s">
        <v>129</v>
      </c>
      <c r="J171" s="108">
        <v>3.72132342</v>
      </c>
      <c r="K171" s="109"/>
      <c r="L171" s="109"/>
      <c r="M171" s="131">
        <f t="shared" ca="1" si="23"/>
        <v>1.022106366897535</v>
      </c>
      <c r="N171" s="133">
        <f t="shared" ca="1" si="23"/>
        <v>0.57794412292168451</v>
      </c>
      <c r="O171" s="1059" t="s">
        <v>1583</v>
      </c>
      <c r="P171" s="131">
        <f t="shared" ref="P171:BB171" si="43">IFERROR(P38/_xlfn.MAXIFS(P$19:P$150,$B$19:$B$150,$B171,$F$152:$F$283,"C"),"?")</f>
        <v>0.28907041456085941</v>
      </c>
      <c r="Q171" s="133">
        <f t="shared" si="43"/>
        <v>1.2659873192885827</v>
      </c>
      <c r="R171" s="132">
        <f t="shared" si="43"/>
        <v>0.7724318035986999</v>
      </c>
      <c r="S171" s="1044">
        <f t="shared" si="43"/>
        <v>0.53295342165349058</v>
      </c>
      <c r="T171" s="1044">
        <f t="shared" si="43"/>
        <v>0.28068077928078899</v>
      </c>
      <c r="U171" s="1044">
        <f t="shared" si="43"/>
        <v>0.71502023713133955</v>
      </c>
      <c r="V171" s="1044">
        <f t="shared" si="43"/>
        <v>1.0300818920323149</v>
      </c>
      <c r="W171" s="1044">
        <f t="shared" si="43"/>
        <v>0.32211855009925072</v>
      </c>
      <c r="X171" s="1044">
        <f t="shared" si="43"/>
        <v>1.0323698691966681</v>
      </c>
      <c r="Y171" s="1044">
        <f t="shared" si="43"/>
        <v>0.22115916255607154</v>
      </c>
      <c r="Z171" s="1044">
        <f t="shared" si="43"/>
        <v>0.16407290609499489</v>
      </c>
      <c r="AA171" s="1044">
        <f t="shared" si="43"/>
        <v>0.50013692531378851</v>
      </c>
      <c r="AB171" s="1044">
        <f t="shared" si="43"/>
        <v>1.3276049558375679E-2</v>
      </c>
      <c r="AC171" s="1044">
        <f t="shared" si="43"/>
        <v>1.2304136361130882E-2</v>
      </c>
      <c r="AD171" s="1044">
        <f t="shared" si="43"/>
        <v>7.0969118492106964E-2</v>
      </c>
      <c r="AE171" s="1044">
        <f t="shared" si="43"/>
        <v>0.48438582139261038</v>
      </c>
      <c r="AF171" s="1044">
        <f t="shared" si="43"/>
        <v>1.338103668826301E-2</v>
      </c>
      <c r="AG171" s="1044">
        <f t="shared" si="43"/>
        <v>1.4311048799020072</v>
      </c>
      <c r="AH171" s="1044">
        <f t="shared" si="43"/>
        <v>0.30707735433199956</v>
      </c>
      <c r="AI171" s="1044">
        <f t="shared" si="43"/>
        <v>0.71514515742371387</v>
      </c>
      <c r="AJ171" s="1045">
        <f t="shared" si="43"/>
        <v>0.98674771178807541</v>
      </c>
      <c r="AK171" s="1086">
        <f t="shared" si="43"/>
        <v>0.53289667474497693</v>
      </c>
      <c r="AL171" s="1087">
        <f t="shared" si="43"/>
        <v>0.71502778139508572</v>
      </c>
      <c r="AM171" s="1087">
        <f t="shared" si="43"/>
        <v>0.70206648444521158</v>
      </c>
      <c r="AN171" s="1087">
        <f t="shared" si="43"/>
        <v>1.3086330424754649</v>
      </c>
      <c r="AO171" s="1087">
        <f t="shared" si="43"/>
        <v>0.3676314787077134</v>
      </c>
      <c r="AP171" s="1087">
        <f t="shared" si="43"/>
        <v>0.23161516631287282</v>
      </c>
      <c r="AQ171" s="1087">
        <f t="shared" si="43"/>
        <v>0.19423485941933066</v>
      </c>
      <c r="AR171" s="1087">
        <f t="shared" si="43"/>
        <v>0.49167986622220022</v>
      </c>
      <c r="AS171" s="1087">
        <f t="shared" si="43"/>
        <v>8.4573778451252693E-4</v>
      </c>
      <c r="AT171" s="1087">
        <f t="shared" si="43"/>
        <v>2.7386507950392523E-2</v>
      </c>
      <c r="AU171" s="1087">
        <f t="shared" si="43"/>
        <v>0.10475174025620486</v>
      </c>
      <c r="AV171" s="1087">
        <f t="shared" si="43"/>
        <v>0.12426522176859307</v>
      </c>
      <c r="AW171" s="1087">
        <f t="shared" si="43"/>
        <v>1.4311065483610763</v>
      </c>
      <c r="AX171" s="1087">
        <f t="shared" si="43"/>
        <v>0.28622679603996931</v>
      </c>
      <c r="AY171" s="1087">
        <f t="shared" si="43"/>
        <v>0.27898378191535822</v>
      </c>
      <c r="AZ171" s="1087">
        <f t="shared" si="43"/>
        <v>1.4025623186874181</v>
      </c>
      <c r="BA171" s="1087">
        <f t="shared" si="43"/>
        <v>0.73195052190448273</v>
      </c>
      <c r="BB171" s="1088">
        <f t="shared" si="43"/>
        <v>0.95954480420106492</v>
      </c>
      <c r="BC171" s="1043"/>
    </row>
    <row r="172" spans="1:55" ht="12" customHeight="1" outlineLevel="1" x14ac:dyDescent="0.2">
      <c r="A172" s="123"/>
      <c r="B172" s="104" t="s">
        <v>99</v>
      </c>
      <c r="C172" s="104" t="s">
        <v>121</v>
      </c>
      <c r="D172" s="2" t="s">
        <v>132</v>
      </c>
      <c r="E172" s="2" t="s">
        <v>99</v>
      </c>
      <c r="F172" s="105" t="s">
        <v>93</v>
      </c>
      <c r="G172" s="27" t="s">
        <v>1578</v>
      </c>
      <c r="H172" s="106" t="s">
        <v>130</v>
      </c>
      <c r="I172" s="107" t="s">
        <v>129</v>
      </c>
      <c r="J172" s="108">
        <v>3.72132342</v>
      </c>
      <c r="K172" s="109"/>
      <c r="L172" s="109"/>
      <c r="M172" s="131">
        <f t="shared" ref="M172:N191" ca="1" si="44">IFERROR(M305/_xlfn.MAXIFS(M$285:M$416,$B$19:$B$150,$B172,$F$152:$F$283,"C"),"?")</f>
        <v>1.1396287694323599</v>
      </c>
      <c r="N172" s="133">
        <f t="shared" ca="1" si="44"/>
        <v>0.7388481262181833</v>
      </c>
      <c r="O172" s="1059" t="s">
        <v>1583</v>
      </c>
      <c r="P172" s="131">
        <f t="shared" ref="P172:BB172" si="45">IFERROR(P39/_xlfn.MAXIFS(P$19:P$150,$B$19:$B$150,$B172,$F$152:$F$283,"C"),"?")</f>
        <v>0.39110211216089069</v>
      </c>
      <c r="Q172" s="133">
        <f t="shared" si="45"/>
        <v>1.6174274833410223</v>
      </c>
      <c r="R172" s="132">
        <f t="shared" si="45"/>
        <v>0.98685980257480299</v>
      </c>
      <c r="S172" s="1044">
        <f t="shared" si="45"/>
        <v>0.68090194125925163</v>
      </c>
      <c r="T172" s="1044">
        <f t="shared" si="45"/>
        <v>0.35859809894333833</v>
      </c>
      <c r="U172" s="1044">
        <f t="shared" si="45"/>
        <v>0.91351073421226969</v>
      </c>
      <c r="V172" s="1044">
        <f t="shared" si="45"/>
        <v>1.3160338656865163</v>
      </c>
      <c r="W172" s="1044">
        <f t="shared" si="45"/>
        <v>0.41153903652101631</v>
      </c>
      <c r="X172" s="1044">
        <f t="shared" si="45"/>
        <v>1.318957041042421</v>
      </c>
      <c r="Y172" s="1044">
        <f t="shared" si="45"/>
        <v>0.28255321163874114</v>
      </c>
      <c r="Z172" s="1044">
        <f t="shared" si="45"/>
        <v>0.20961974291617458</v>
      </c>
      <c r="AA172" s="1044">
        <f t="shared" si="45"/>
        <v>0.63897554461702921</v>
      </c>
      <c r="AB172" s="1044">
        <f t="shared" si="45"/>
        <v>1.696149685732606E-2</v>
      </c>
      <c r="AC172" s="1044">
        <f t="shared" si="45"/>
        <v>1.5862368453431648E-2</v>
      </c>
      <c r="AD172" s="1044">
        <f t="shared" si="45"/>
        <v>9.1134726178256686E-2</v>
      </c>
      <c r="AE172" s="1044">
        <f t="shared" si="45"/>
        <v>0.64343836329684756</v>
      </c>
      <c r="AF172" s="1044">
        <f t="shared" si="45"/>
        <v>8.6719324971456693E-2</v>
      </c>
      <c r="AG172" s="1044">
        <f t="shared" si="45"/>
        <v>1.8283813505122075</v>
      </c>
      <c r="AH172" s="1044">
        <f t="shared" si="45"/>
        <v>0.39232241444020322</v>
      </c>
      <c r="AI172" s="1044">
        <f t="shared" si="45"/>
        <v>0.91367033343300341</v>
      </c>
      <c r="AJ172" s="1045">
        <f t="shared" si="45"/>
        <v>1.2606700911760953</v>
      </c>
      <c r="AK172" s="1086">
        <f t="shared" si="45"/>
        <v>0.68082945251445059</v>
      </c>
      <c r="AL172" s="1087">
        <f t="shared" si="45"/>
        <v>0.91352038565617699</v>
      </c>
      <c r="AM172" s="1087">
        <f t="shared" si="45"/>
        <v>0.8969609949161409</v>
      </c>
      <c r="AN172" s="1087">
        <f t="shared" si="45"/>
        <v>1.6719110819699741</v>
      </c>
      <c r="AO172" s="1087">
        <f t="shared" si="45"/>
        <v>0.46968642686951373</v>
      </c>
      <c r="AP172" s="1087">
        <f t="shared" si="45"/>
        <v>0.29591182161662766</v>
      </c>
      <c r="AQ172" s="1087">
        <f t="shared" si="45"/>
        <v>0.24815469606955248</v>
      </c>
      <c r="AR172" s="1087">
        <f t="shared" si="45"/>
        <v>0.62817078926941328</v>
      </c>
      <c r="AS172" s="1087">
        <f t="shared" si="45"/>
        <v>1.5339137239241899E-3</v>
      </c>
      <c r="AT172" s="1087">
        <f t="shared" si="45"/>
        <v>3.512394862949629E-2</v>
      </c>
      <c r="AU172" s="1087">
        <f t="shared" si="45"/>
        <v>0.13409405911144806</v>
      </c>
      <c r="AV172" s="1087">
        <f t="shared" si="45"/>
        <v>0.18483277996319922</v>
      </c>
      <c r="AW172" s="1087">
        <f t="shared" si="45"/>
        <v>1.8283834784812762</v>
      </c>
      <c r="AX172" s="1087">
        <f t="shared" si="45"/>
        <v>0.36568370002613743</v>
      </c>
      <c r="AY172" s="1087">
        <f t="shared" si="45"/>
        <v>0.35643002052271283</v>
      </c>
      <c r="AZ172" s="1087">
        <f t="shared" si="45"/>
        <v>1.7919153508939274</v>
      </c>
      <c r="BA172" s="1087">
        <f t="shared" si="45"/>
        <v>0.93514088081245861</v>
      </c>
      <c r="BB172" s="1088">
        <f t="shared" si="45"/>
        <v>1.2259155687406085</v>
      </c>
      <c r="BC172" s="1043"/>
    </row>
    <row r="173" spans="1:55" ht="12" customHeight="1" outlineLevel="1" x14ac:dyDescent="0.2">
      <c r="A173" s="123"/>
      <c r="B173" s="104" t="s">
        <v>99</v>
      </c>
      <c r="C173" s="104" t="s">
        <v>121</v>
      </c>
      <c r="D173" s="2" t="s">
        <v>132</v>
      </c>
      <c r="E173" s="2" t="s">
        <v>99</v>
      </c>
      <c r="F173" s="105" t="s">
        <v>94</v>
      </c>
      <c r="G173" s="27" t="s">
        <v>1580</v>
      </c>
      <c r="H173" s="106" t="s">
        <v>131</v>
      </c>
      <c r="I173" s="107" t="s">
        <v>129</v>
      </c>
      <c r="J173" s="108">
        <v>3.72132342</v>
      </c>
      <c r="K173" s="109"/>
      <c r="L173" s="109"/>
      <c r="M173" s="131">
        <f t="shared" ca="1" si="44"/>
        <v>0.9464646258436018</v>
      </c>
      <c r="N173" s="133">
        <f t="shared" ca="1" si="44"/>
        <v>0.4743803879283639</v>
      </c>
      <c r="O173" s="1059" t="s">
        <v>1583</v>
      </c>
      <c r="P173" s="131">
        <f t="shared" ref="P173:BB173" si="46">IFERROR(P40/_xlfn.MAXIFS(P$19:P$150,$B$19:$B$150,$B173,$F$152:$F$283,"C"),"?")</f>
        <v>0.22341568223725394</v>
      </c>
      <c r="Q173" s="133">
        <f t="shared" si="46"/>
        <v>1.0397866948353178</v>
      </c>
      <c r="R173" s="132">
        <f t="shared" si="46"/>
        <v>0.63441753460821293</v>
      </c>
      <c r="S173" s="1044">
        <f t="shared" si="46"/>
        <v>0.43772798382599304</v>
      </c>
      <c r="T173" s="1044">
        <f t="shared" si="46"/>
        <v>0.23053014511878547</v>
      </c>
      <c r="U173" s="1044">
        <f t="shared" si="46"/>
        <v>0.58726400443998394</v>
      </c>
      <c r="V173" s="1044">
        <f t="shared" si="46"/>
        <v>0.84603200856787253</v>
      </c>
      <c r="W173" s="1044">
        <f t="shared" si="46"/>
        <v>0.26456401219940512</v>
      </c>
      <c r="X173" s="1044">
        <f t="shared" si="46"/>
        <v>0.8479111898331364</v>
      </c>
      <c r="Y173" s="1044">
        <f t="shared" si="46"/>
        <v>0.18164354088770596</v>
      </c>
      <c r="Z173" s="1044">
        <f t="shared" si="46"/>
        <v>0.1347571830633236</v>
      </c>
      <c r="AA173" s="1044">
        <f t="shared" si="46"/>
        <v>0.41077498064824308</v>
      </c>
      <c r="AB173" s="1044">
        <f t="shared" si="46"/>
        <v>1.0903951540330043E-2</v>
      </c>
      <c r="AC173" s="1044">
        <f t="shared" si="46"/>
        <v>1.0014029718801068E-2</v>
      </c>
      <c r="AD173" s="1044">
        <f t="shared" si="46"/>
        <v>5.7990102337304103E-2</v>
      </c>
      <c r="AE173" s="1044">
        <f t="shared" si="46"/>
        <v>0.38203241342098082</v>
      </c>
      <c r="AF173" s="1044">
        <f t="shared" si="46"/>
        <v>-3.3768453099221669E-2</v>
      </c>
      <c r="AG173" s="1044">
        <f t="shared" si="46"/>
        <v>1.1754022484114988</v>
      </c>
      <c r="AH173" s="1044">
        <f t="shared" si="46"/>
        <v>0.2522103103153388</v>
      </c>
      <c r="AI173" s="1044">
        <f t="shared" si="46"/>
        <v>0.58736662217478741</v>
      </c>
      <c r="AJ173" s="1045">
        <f t="shared" si="46"/>
        <v>0.81044060259406325</v>
      </c>
      <c r="AK173" s="1086">
        <f t="shared" si="46"/>
        <v>0.43768138488747421</v>
      </c>
      <c r="AL173" s="1087">
        <f t="shared" si="46"/>
        <v>0.58727018050538804</v>
      </c>
      <c r="AM173" s="1087">
        <f t="shared" si="46"/>
        <v>0.57662475694166448</v>
      </c>
      <c r="AN173" s="1087">
        <f t="shared" si="46"/>
        <v>1.0748130339297735</v>
      </c>
      <c r="AO173" s="1087">
        <f t="shared" si="46"/>
        <v>0.3019449342468204</v>
      </c>
      <c r="AP173" s="1087">
        <f t="shared" si="46"/>
        <v>0.19023133568475728</v>
      </c>
      <c r="AQ173" s="1087">
        <f t="shared" si="46"/>
        <v>0.15952994773764509</v>
      </c>
      <c r="AR173" s="1087">
        <f t="shared" si="46"/>
        <v>0.40382896621042924</v>
      </c>
      <c r="AS173" s="1087">
        <f t="shared" si="46"/>
        <v>4.0315174653427638E-4</v>
      </c>
      <c r="AT173" s="1087">
        <f t="shared" si="46"/>
        <v>2.240649371908994E-2</v>
      </c>
      <c r="AU173" s="1087">
        <f t="shared" si="46"/>
        <v>8.5866077680113201E-2</v>
      </c>
      <c r="AV173" s="1087">
        <f t="shared" si="46"/>
        <v>8.5301752186218868E-2</v>
      </c>
      <c r="AW173" s="1087">
        <f t="shared" si="46"/>
        <v>1.1754036026167769</v>
      </c>
      <c r="AX173" s="1087">
        <f t="shared" si="46"/>
        <v>0.23508522707418697</v>
      </c>
      <c r="AY173" s="1087">
        <f t="shared" si="46"/>
        <v>0.22913636113036601</v>
      </c>
      <c r="AZ173" s="1087">
        <f t="shared" si="46"/>
        <v>1.1519595098179365</v>
      </c>
      <c r="BA173" s="1087">
        <f t="shared" si="46"/>
        <v>0.60116926383833713</v>
      </c>
      <c r="BB173" s="1088">
        <f t="shared" si="46"/>
        <v>0.78809814224839847</v>
      </c>
      <c r="BC173" s="1043"/>
    </row>
    <row r="174" spans="1:55" ht="12" customHeight="1" outlineLevel="1" x14ac:dyDescent="0.2">
      <c r="A174" s="123"/>
      <c r="B174" s="104" t="s">
        <v>99</v>
      </c>
      <c r="C174" s="104" t="s">
        <v>121</v>
      </c>
      <c r="D174" s="2" t="s">
        <v>132</v>
      </c>
      <c r="E174" s="2" t="s">
        <v>99</v>
      </c>
      <c r="F174" s="105" t="s">
        <v>95</v>
      </c>
      <c r="G174" s="27" t="s">
        <v>1581</v>
      </c>
      <c r="H174" s="106" t="s">
        <v>128</v>
      </c>
      <c r="I174" s="107" t="s">
        <v>127</v>
      </c>
      <c r="J174" s="108">
        <v>3.72132342</v>
      </c>
      <c r="K174" s="109"/>
      <c r="L174" s="109"/>
      <c r="M174" s="131">
        <f t="shared" ca="1" si="44"/>
        <v>1.1118984932139473</v>
      </c>
      <c r="N174" s="133">
        <f t="shared" ca="1" si="44"/>
        <v>0.70088164187288504</v>
      </c>
      <c r="O174" s="1059" t="s">
        <v>1583</v>
      </c>
      <c r="P174" s="131">
        <f t="shared" ref="P174:BB174" si="47">IFERROR(P41/_xlfn.MAXIFS(P$19:P$150,$B$19:$B$150,$B174,$F$152:$F$283,"C"),"?")</f>
        <v>0.94010069036994348</v>
      </c>
      <c r="Q174" s="133">
        <f t="shared" si="47"/>
        <v>1.3152544376742976</v>
      </c>
      <c r="R174" s="132">
        <f t="shared" si="47"/>
        <v>0.81955050996709666</v>
      </c>
      <c r="S174" s="1044">
        <f t="shared" si="47"/>
        <v>0.6189383706167142</v>
      </c>
      <c r="T174" s="1044">
        <f t="shared" si="47"/>
        <v>0.39684559700815963</v>
      </c>
      <c r="U174" s="1044">
        <f t="shared" si="47"/>
        <v>0.72052680743725728</v>
      </c>
      <c r="V174" s="1044">
        <f t="shared" si="47"/>
        <v>1.105383898490206</v>
      </c>
      <c r="W174" s="1044">
        <f t="shared" si="47"/>
        <v>0.81387123113077331</v>
      </c>
      <c r="X174" s="1044">
        <f t="shared" si="47"/>
        <v>1.1073781223724362</v>
      </c>
      <c r="Y174" s="1044">
        <f t="shared" si="47"/>
        <v>0.77139694213349486</v>
      </c>
      <c r="Z174" s="1044">
        <f t="shared" si="47"/>
        <v>0.75930521073915502</v>
      </c>
      <c r="AA174" s="1044">
        <f t="shared" si="47"/>
        <v>0.69882500113507828</v>
      </c>
      <c r="AB174" s="1044">
        <f t="shared" si="47"/>
        <v>2.1833005896535914E-2</v>
      </c>
      <c r="AC174" s="1044">
        <f t="shared" si="47"/>
        <v>2.2114937402979474E-2</v>
      </c>
      <c r="AD174" s="1044">
        <f t="shared" si="47"/>
        <v>0.11734316565656412</v>
      </c>
      <c r="AE174" s="1044">
        <f t="shared" si="47"/>
        <v>0.95569789195814248</v>
      </c>
      <c r="AF174" s="1044">
        <f t="shared" si="47"/>
        <v>1.4087272193671665</v>
      </c>
      <c r="AG174" s="1044">
        <f t="shared" si="47"/>
        <v>1.4311048799020072</v>
      </c>
      <c r="AH174" s="1044">
        <f t="shared" si="47"/>
        <v>0.30776000679463777</v>
      </c>
      <c r="AI174" s="1044">
        <f t="shared" si="47"/>
        <v>0.75681895946860145</v>
      </c>
      <c r="AJ174" s="1045">
        <f t="shared" si="47"/>
        <v>0.99017742685543642</v>
      </c>
      <c r="AK174" s="1086">
        <f t="shared" si="47"/>
        <v>0.6191768908517381</v>
      </c>
      <c r="AL174" s="1087">
        <f t="shared" si="47"/>
        <v>0.72050421285325372</v>
      </c>
      <c r="AM174" s="1087">
        <f t="shared" si="47"/>
        <v>0.7074175669436279</v>
      </c>
      <c r="AN174" s="1087">
        <f t="shared" si="47"/>
        <v>1.4003819246018365</v>
      </c>
      <c r="AO174" s="1087">
        <f t="shared" si="47"/>
        <v>0.85898226407647393</v>
      </c>
      <c r="AP174" s="1087">
        <f t="shared" si="47"/>
        <v>0.78568777285242941</v>
      </c>
      <c r="AQ174" s="1087">
        <f t="shared" si="47"/>
        <v>0.76859908611849725</v>
      </c>
      <c r="AR174" s="1087">
        <f t="shared" si="47"/>
        <v>0.70205820760224191</v>
      </c>
      <c r="AS174" s="1087">
        <f t="shared" si="47"/>
        <v>1.6741626075035456E-2</v>
      </c>
      <c r="AT174" s="1087">
        <f t="shared" si="47"/>
        <v>3.7937125651762243E-2</v>
      </c>
      <c r="AU174" s="1087">
        <f t="shared" si="47"/>
        <v>0.13386883882235864</v>
      </c>
      <c r="AV174" s="1087">
        <f t="shared" si="47"/>
        <v>0.7421959285080556</v>
      </c>
      <c r="AW174" s="1087">
        <f t="shared" si="47"/>
        <v>1.4311065483610763</v>
      </c>
      <c r="AX174" s="1087">
        <f t="shared" si="47"/>
        <v>0.28622679603996931</v>
      </c>
      <c r="AY174" s="1087">
        <f t="shared" si="47"/>
        <v>0.27898378191535822</v>
      </c>
      <c r="AZ174" s="1087">
        <f t="shared" si="47"/>
        <v>1.4045517728255239</v>
      </c>
      <c r="BA174" s="1087">
        <f t="shared" si="47"/>
        <v>0.77418606288461922</v>
      </c>
      <c r="BB174" s="1088">
        <f t="shared" si="47"/>
        <v>0.96284285013291648</v>
      </c>
      <c r="BC174" s="1043"/>
    </row>
    <row r="175" spans="1:55" ht="12" customHeight="1" outlineLevel="1" x14ac:dyDescent="0.2">
      <c r="A175" s="123"/>
      <c r="B175" s="104" t="s">
        <v>99</v>
      </c>
      <c r="C175" s="104" t="s">
        <v>121</v>
      </c>
      <c r="D175" s="2" t="s">
        <v>132</v>
      </c>
      <c r="E175" s="2" t="s">
        <v>99</v>
      </c>
      <c r="F175" s="105" t="s">
        <v>96</v>
      </c>
      <c r="G175" s="27" t="s">
        <v>1582</v>
      </c>
      <c r="H175" s="106" t="s">
        <v>128</v>
      </c>
      <c r="I175" s="107" t="s">
        <v>1577</v>
      </c>
      <c r="J175" s="129">
        <v>3.72132342</v>
      </c>
      <c r="K175" s="130"/>
      <c r="L175" s="130"/>
      <c r="M175" s="131">
        <f t="shared" ca="1" si="44"/>
        <v>1.1775989731327794</v>
      </c>
      <c r="N175" s="133">
        <f t="shared" ca="1" si="44"/>
        <v>0.79083445094950966</v>
      </c>
      <c r="O175" s="1059" t="s">
        <v>1583</v>
      </c>
      <c r="P175" s="131">
        <f t="shared" ref="P175:BB175" si="48">IFERROR(P42/_xlfn.MAXIFS(P$19:P$150,$B$19:$B$150,$B175,$F$152:$F$283,"C"),"?")</f>
        <v>1.4476945710991764</v>
      </c>
      <c r="Q175" s="133">
        <f t="shared" si="48"/>
        <v>1.3509752974365301</v>
      </c>
      <c r="R175" s="132">
        <f t="shared" si="48"/>
        <v>0.85030091488885062</v>
      </c>
      <c r="S175" s="1044">
        <f t="shared" si="48"/>
        <v>0.68055460546662627</v>
      </c>
      <c r="T175" s="1044">
        <f t="shared" si="48"/>
        <v>0.48153968143876691</v>
      </c>
      <c r="U175" s="1044">
        <f t="shared" si="48"/>
        <v>0.72412047467963836</v>
      </c>
      <c r="V175" s="1044">
        <f t="shared" si="48"/>
        <v>1.1545271743892638</v>
      </c>
      <c r="W175" s="1044">
        <f t="shared" si="48"/>
        <v>1.1717436577023208</v>
      </c>
      <c r="X175" s="1044">
        <f t="shared" si="48"/>
        <v>1.1563296900238558</v>
      </c>
      <c r="Y175" s="1044">
        <f t="shared" si="48"/>
        <v>1.1722983219236465</v>
      </c>
      <c r="Z175" s="1044">
        <f t="shared" si="48"/>
        <v>1.1832238639425483</v>
      </c>
      <c r="AA175" s="1044">
        <f t="shared" si="48"/>
        <v>0.84370389971330439</v>
      </c>
      <c r="AB175" s="1044">
        <f t="shared" si="48"/>
        <v>2.7417411353831429E-2</v>
      </c>
      <c r="AC175" s="1044">
        <f t="shared" si="48"/>
        <v>2.5983585295691242E-2</v>
      </c>
      <c r="AD175" s="1044">
        <f t="shared" si="48"/>
        <v>0.1326033243605533</v>
      </c>
      <c r="AE175" s="1044">
        <f t="shared" si="48"/>
        <v>1.3459522732124398</v>
      </c>
      <c r="AF175" s="1044">
        <f t="shared" si="48"/>
        <v>2.5331465729616802</v>
      </c>
      <c r="AG175" s="1044">
        <f t="shared" si="48"/>
        <v>1.4311048799020072</v>
      </c>
      <c r="AH175" s="1044">
        <f t="shared" si="48"/>
        <v>0.30820551648531974</v>
      </c>
      <c r="AI175" s="1044">
        <f t="shared" si="48"/>
        <v>0.78401593076434417</v>
      </c>
      <c r="AJ175" s="1045">
        <f t="shared" si="48"/>
        <v>0.99241571803911321</v>
      </c>
      <c r="AK175" s="1086">
        <f t="shared" si="48"/>
        <v>0.68101251527061923</v>
      </c>
      <c r="AL175" s="1087">
        <f t="shared" si="48"/>
        <v>0.72407823855531661</v>
      </c>
      <c r="AM175" s="1087">
        <f t="shared" si="48"/>
        <v>0.71090980461357034</v>
      </c>
      <c r="AN175" s="1087">
        <f t="shared" si="48"/>
        <v>1.4602586944332689</v>
      </c>
      <c r="AO175" s="1087">
        <f t="shared" si="48"/>
        <v>1.2162047518171846</v>
      </c>
      <c r="AP175" s="1087">
        <f t="shared" si="48"/>
        <v>1.1893225834837853</v>
      </c>
      <c r="AQ175" s="1087">
        <f t="shared" si="48"/>
        <v>1.1776494241900837</v>
      </c>
      <c r="AR175" s="1087">
        <f t="shared" si="48"/>
        <v>0.85543962573958954</v>
      </c>
      <c r="AS175" s="1087">
        <f t="shared" si="48"/>
        <v>2.8045788185468101E-2</v>
      </c>
      <c r="AT175" s="1087">
        <f t="shared" si="48"/>
        <v>4.2505986090740445E-2</v>
      </c>
      <c r="AU175" s="1087">
        <f t="shared" si="48"/>
        <v>0.1456409018830509</v>
      </c>
      <c r="AV175" s="1087">
        <f t="shared" si="48"/>
        <v>1.2512998384583307</v>
      </c>
      <c r="AW175" s="1087">
        <f t="shared" si="48"/>
        <v>1.4311065483610763</v>
      </c>
      <c r="AX175" s="1087">
        <f t="shared" si="48"/>
        <v>0.28622679603996931</v>
      </c>
      <c r="AY175" s="1087">
        <f t="shared" si="48"/>
        <v>0.27898378191535822</v>
      </c>
      <c r="AZ175" s="1087">
        <f t="shared" si="48"/>
        <v>1.4058501201721103</v>
      </c>
      <c r="BA175" s="1087">
        <f t="shared" si="48"/>
        <v>0.80174963775778585</v>
      </c>
      <c r="BB175" s="1088">
        <f t="shared" si="48"/>
        <v>0.96499521176869096</v>
      </c>
      <c r="BC175" s="1043"/>
    </row>
    <row r="176" spans="1:55" ht="12" customHeight="1" outlineLevel="1" x14ac:dyDescent="0.2">
      <c r="A176" s="123"/>
      <c r="B176" s="88" t="s">
        <v>100</v>
      </c>
      <c r="C176" s="88" t="s">
        <v>121</v>
      </c>
      <c r="D176" s="89" t="s">
        <v>132</v>
      </c>
      <c r="E176" s="89" t="s">
        <v>135</v>
      </c>
      <c r="F176" s="90" t="s">
        <v>92</v>
      </c>
      <c r="G176" s="18" t="s">
        <v>126</v>
      </c>
      <c r="H176" s="91" t="s">
        <v>127</v>
      </c>
      <c r="I176" s="92" t="s">
        <v>127</v>
      </c>
      <c r="J176" s="93">
        <v>3.7523941999999999</v>
      </c>
      <c r="K176" s="94"/>
      <c r="L176" s="94"/>
      <c r="M176" s="126">
        <f t="shared" ca="1" si="44"/>
        <v>1</v>
      </c>
      <c r="N176" s="128">
        <f t="shared" ca="1" si="44"/>
        <v>1</v>
      </c>
      <c r="O176" s="1058" t="s">
        <v>1583</v>
      </c>
      <c r="P176" s="126">
        <f t="shared" ref="P176:BB176" si="49">IFERROR(P43/_xlfn.MAXIFS(P$19:P$150,$B$19:$B$150,$B176,$F$152:$F$283,"C"),"?")</f>
        <v>1</v>
      </c>
      <c r="Q176" s="128">
        <f t="shared" si="49"/>
        <v>1</v>
      </c>
      <c r="R176" s="127">
        <f t="shared" si="49"/>
        <v>1</v>
      </c>
      <c r="S176" s="1041">
        <f t="shared" si="49"/>
        <v>1</v>
      </c>
      <c r="T176" s="1041">
        <f t="shared" si="49"/>
        <v>1</v>
      </c>
      <c r="U176" s="1041">
        <f t="shared" si="49"/>
        <v>1</v>
      </c>
      <c r="V176" s="1041">
        <f t="shared" si="49"/>
        <v>1</v>
      </c>
      <c r="W176" s="1041">
        <f t="shared" si="49"/>
        <v>1</v>
      </c>
      <c r="X176" s="1041">
        <f t="shared" si="49"/>
        <v>1</v>
      </c>
      <c r="Y176" s="1041">
        <f t="shared" si="49"/>
        <v>1</v>
      </c>
      <c r="Z176" s="1041">
        <f t="shared" si="49"/>
        <v>1</v>
      </c>
      <c r="AA176" s="1041">
        <f t="shared" si="49"/>
        <v>1</v>
      </c>
      <c r="AB176" s="1041">
        <f t="shared" si="49"/>
        <v>1</v>
      </c>
      <c r="AC176" s="1041">
        <f t="shared" si="49"/>
        <v>1</v>
      </c>
      <c r="AD176" s="1041">
        <f t="shared" si="49"/>
        <v>1</v>
      </c>
      <c r="AE176" s="1041">
        <f t="shared" si="49"/>
        <v>1</v>
      </c>
      <c r="AF176" s="1041">
        <f t="shared" si="49"/>
        <v>1</v>
      </c>
      <c r="AG176" s="1041">
        <f t="shared" si="49"/>
        <v>1</v>
      </c>
      <c r="AH176" s="1041">
        <f t="shared" si="49"/>
        <v>1</v>
      </c>
      <c r="AI176" s="1041">
        <f t="shared" si="49"/>
        <v>1</v>
      </c>
      <c r="AJ176" s="1042">
        <f t="shared" si="49"/>
        <v>1</v>
      </c>
      <c r="AK176" s="1083">
        <f t="shared" si="49"/>
        <v>1</v>
      </c>
      <c r="AL176" s="1084">
        <f t="shared" si="49"/>
        <v>1</v>
      </c>
      <c r="AM176" s="1084">
        <f t="shared" si="49"/>
        <v>1</v>
      </c>
      <c r="AN176" s="1084">
        <f t="shared" si="49"/>
        <v>1</v>
      </c>
      <c r="AO176" s="1084">
        <f t="shared" si="49"/>
        <v>1</v>
      </c>
      <c r="AP176" s="1084">
        <f t="shared" si="49"/>
        <v>1</v>
      </c>
      <c r="AQ176" s="1084">
        <f t="shared" si="49"/>
        <v>1</v>
      </c>
      <c r="AR176" s="1084">
        <f t="shared" si="49"/>
        <v>1</v>
      </c>
      <c r="AS176" s="1084">
        <f t="shared" si="49"/>
        <v>1</v>
      </c>
      <c r="AT176" s="1084">
        <f t="shared" si="49"/>
        <v>1</v>
      </c>
      <c r="AU176" s="1084">
        <f t="shared" si="49"/>
        <v>1</v>
      </c>
      <c r="AV176" s="1084">
        <f t="shared" si="49"/>
        <v>1</v>
      </c>
      <c r="AW176" s="1084">
        <f t="shared" si="49"/>
        <v>1</v>
      </c>
      <c r="AX176" s="1084">
        <f t="shared" si="49"/>
        <v>1</v>
      </c>
      <c r="AY176" s="1084">
        <f t="shared" si="49"/>
        <v>1</v>
      </c>
      <c r="AZ176" s="1084">
        <f t="shared" si="49"/>
        <v>1</v>
      </c>
      <c r="BA176" s="1084">
        <f t="shared" si="49"/>
        <v>1</v>
      </c>
      <c r="BB176" s="1085">
        <f t="shared" si="49"/>
        <v>1</v>
      </c>
      <c r="BC176" s="1043"/>
    </row>
    <row r="177" spans="1:57" ht="12" customHeight="1" outlineLevel="1" x14ac:dyDescent="0.2">
      <c r="A177" s="123"/>
      <c r="B177" s="104" t="s">
        <v>100</v>
      </c>
      <c r="C177" s="104" t="s">
        <v>121</v>
      </c>
      <c r="D177" s="2" t="s">
        <v>132</v>
      </c>
      <c r="E177" s="2" t="s">
        <v>135</v>
      </c>
      <c r="F177" s="105" t="s">
        <v>122</v>
      </c>
      <c r="G177" s="27" t="s">
        <v>1579</v>
      </c>
      <c r="H177" s="106" t="s">
        <v>128</v>
      </c>
      <c r="I177" s="107" t="s">
        <v>129</v>
      </c>
      <c r="J177" s="108">
        <v>3.7523941999999999</v>
      </c>
      <c r="K177" s="109"/>
      <c r="L177" s="109"/>
      <c r="M177" s="131">
        <f t="shared" ca="1" si="44"/>
        <v>1.0767838375765304</v>
      </c>
      <c r="N177" s="133">
        <f t="shared" ca="1" si="44"/>
        <v>0.58622466418134</v>
      </c>
      <c r="O177" s="1059" t="s">
        <v>1583</v>
      </c>
      <c r="P177" s="131">
        <f t="shared" ref="P177:BB177" si="50">IFERROR(P44/_xlfn.MAXIFS(P$19:P$150,$B$19:$B$150,$B177,$F$152:$F$283,"C"),"?")</f>
        <v>0.28260826427480196</v>
      </c>
      <c r="Q177" s="133">
        <f t="shared" si="50"/>
        <v>1.2595105109792972</v>
      </c>
      <c r="R177" s="132">
        <f t="shared" si="50"/>
        <v>0.77059851503152688</v>
      </c>
      <c r="S177" s="1044">
        <f t="shared" si="50"/>
        <v>0.57990745949736044</v>
      </c>
      <c r="T177" s="1044">
        <f t="shared" si="50"/>
        <v>0.297318725828357</v>
      </c>
      <c r="U177" s="1044">
        <f t="shared" si="50"/>
        <v>0.72087807906777568</v>
      </c>
      <c r="V177" s="1044">
        <f t="shared" si="50"/>
        <v>1.0264539390261092</v>
      </c>
      <c r="W177" s="1044">
        <f t="shared" si="50"/>
        <v>0.32132177572330389</v>
      </c>
      <c r="X177" s="1044">
        <f t="shared" si="50"/>
        <v>1.0287305169814736</v>
      </c>
      <c r="Y177" s="1044">
        <f t="shared" si="50"/>
        <v>0.22026516962368561</v>
      </c>
      <c r="Z177" s="1044">
        <f t="shared" si="50"/>
        <v>0.16314061197656521</v>
      </c>
      <c r="AA177" s="1044">
        <f t="shared" si="50"/>
        <v>0.52352941415860943</v>
      </c>
      <c r="AB177" s="1044">
        <f t="shared" si="50"/>
        <v>1.3299524490216113E-2</v>
      </c>
      <c r="AC177" s="1044">
        <f t="shared" si="50"/>
        <v>1.1804854306348983E-2</v>
      </c>
      <c r="AD177" s="1044">
        <f t="shared" si="50"/>
        <v>6.9867092349930215E-2</v>
      </c>
      <c r="AE177" s="1044">
        <f t="shared" si="50"/>
        <v>0.47456807805196216</v>
      </c>
      <c r="AF177" s="1044">
        <f t="shared" si="50"/>
        <v>-0.15218233916108018</v>
      </c>
      <c r="AG177" s="1044">
        <f t="shared" si="50"/>
        <v>1.4229468141794022</v>
      </c>
      <c r="AH177" s="1044">
        <f t="shared" si="50"/>
        <v>0.30643944344907142</v>
      </c>
      <c r="AI177" s="1044">
        <f t="shared" si="50"/>
        <v>0.71377567078817183</v>
      </c>
      <c r="AJ177" s="1045">
        <f t="shared" si="50"/>
        <v>1.387726299037392</v>
      </c>
      <c r="AK177" s="1086">
        <f t="shared" si="50"/>
        <v>0.58006938417782861</v>
      </c>
      <c r="AL177" s="1087">
        <f t="shared" si="50"/>
        <v>0.7208820079396806</v>
      </c>
      <c r="AM177" s="1087">
        <f t="shared" si="50"/>
        <v>0.70796653260746112</v>
      </c>
      <c r="AN177" s="1087">
        <f t="shared" si="50"/>
        <v>1.3026800149516289</v>
      </c>
      <c r="AO177" s="1087">
        <f t="shared" si="50"/>
        <v>0.36661167004740164</v>
      </c>
      <c r="AP177" s="1087">
        <f t="shared" si="50"/>
        <v>0.23070114492295918</v>
      </c>
      <c r="AQ177" s="1087">
        <f t="shared" si="50"/>
        <v>0.19313965731962665</v>
      </c>
      <c r="AR177" s="1087">
        <f t="shared" si="50"/>
        <v>0.5144678991148105</v>
      </c>
      <c r="AS177" s="1087">
        <f t="shared" si="50"/>
        <v>-5.0520289759084307E-4</v>
      </c>
      <c r="AT177" s="1087">
        <f t="shared" si="50"/>
        <v>2.7085875482754752E-2</v>
      </c>
      <c r="AU177" s="1087">
        <f t="shared" si="50"/>
        <v>0.1049833570258797</v>
      </c>
      <c r="AV177" s="1087">
        <f t="shared" si="50"/>
        <v>8.008098708064347E-2</v>
      </c>
      <c r="AW177" s="1087">
        <f t="shared" si="50"/>
        <v>1.4229484531237526</v>
      </c>
      <c r="AX177" s="1087">
        <f t="shared" si="50"/>
        <v>0.28649486749836506</v>
      </c>
      <c r="AY177" s="1087">
        <f t="shared" si="50"/>
        <v>0.27929629938457379</v>
      </c>
      <c r="AZ177" s="1087">
        <f t="shared" si="50"/>
        <v>1.395405257719514</v>
      </c>
      <c r="BA177" s="1087">
        <f t="shared" si="50"/>
        <v>0.73067543070656504</v>
      </c>
      <c r="BB177" s="1088">
        <f t="shared" si="50"/>
        <v>1.3841586616615478</v>
      </c>
      <c r="BC177" s="1043"/>
    </row>
    <row r="178" spans="1:57" ht="12" customHeight="1" outlineLevel="1" x14ac:dyDescent="0.2">
      <c r="A178" s="123"/>
      <c r="B178" s="104" t="s">
        <v>100</v>
      </c>
      <c r="C178" s="104" t="s">
        <v>121</v>
      </c>
      <c r="D178" s="2" t="s">
        <v>132</v>
      </c>
      <c r="E178" s="2" t="s">
        <v>135</v>
      </c>
      <c r="F178" s="105" t="s">
        <v>93</v>
      </c>
      <c r="G178" s="27" t="s">
        <v>1578</v>
      </c>
      <c r="H178" s="106" t="s">
        <v>130</v>
      </c>
      <c r="I178" s="107" t="s">
        <v>129</v>
      </c>
      <c r="J178" s="108">
        <v>3.7523941999999999</v>
      </c>
      <c r="K178" s="109"/>
      <c r="L178" s="109"/>
      <c r="M178" s="131">
        <f t="shared" ca="1" si="44"/>
        <v>1.185751347399014</v>
      </c>
      <c r="N178" s="133">
        <f t="shared" ca="1" si="44"/>
        <v>0.74585648606186761</v>
      </c>
      <c r="O178" s="1059" t="s">
        <v>1583</v>
      </c>
      <c r="P178" s="131">
        <f t="shared" ref="P178:BB178" si="51">IFERROR(P45/_xlfn.MAXIFS(P$19:P$150,$B$19:$B$150,$B178,$F$152:$F$283,"C"),"?")</f>
        <v>0.38899172094776169</v>
      </c>
      <c r="Q178" s="133">
        <f t="shared" si="51"/>
        <v>1.6011391315578858</v>
      </c>
      <c r="R178" s="132">
        <f t="shared" si="51"/>
        <v>0.97961462434456159</v>
      </c>
      <c r="S178" s="1044">
        <f t="shared" si="51"/>
        <v>0.73720075935271812</v>
      </c>
      <c r="T178" s="1044">
        <f t="shared" si="51"/>
        <v>0.37796304024192307</v>
      </c>
      <c r="U178" s="1044">
        <f t="shared" si="51"/>
        <v>0.9164080360576814</v>
      </c>
      <c r="V178" s="1044">
        <f t="shared" si="51"/>
        <v>1.3048678624821679</v>
      </c>
      <c r="W178" s="1044">
        <f t="shared" si="51"/>
        <v>0.40847664638096437</v>
      </c>
      <c r="X178" s="1044">
        <f t="shared" si="51"/>
        <v>1.3077619263828151</v>
      </c>
      <c r="Y178" s="1044">
        <f t="shared" si="51"/>
        <v>0.2800095793694522</v>
      </c>
      <c r="Z178" s="1044">
        <f t="shared" si="51"/>
        <v>0.20739064034302657</v>
      </c>
      <c r="AA178" s="1044">
        <f t="shared" si="51"/>
        <v>0.66553076344640782</v>
      </c>
      <c r="AB178" s="1044">
        <f t="shared" si="51"/>
        <v>1.6906868970276281E-2</v>
      </c>
      <c r="AC178" s="1044">
        <f t="shared" si="51"/>
        <v>1.5202412269754308E-2</v>
      </c>
      <c r="AD178" s="1044">
        <f t="shared" si="51"/>
        <v>8.9457984333130361E-2</v>
      </c>
      <c r="AE178" s="1044">
        <f t="shared" si="51"/>
        <v>0.63120242689422768</v>
      </c>
      <c r="AF178" s="1044">
        <f t="shared" si="51"/>
        <v>-8.077151804258928E-2</v>
      </c>
      <c r="AG178" s="1044">
        <f t="shared" si="51"/>
        <v>1.808904911614811</v>
      </c>
      <c r="AH178" s="1044">
        <f t="shared" si="51"/>
        <v>0.38955764466590659</v>
      </c>
      <c r="AI178" s="1044">
        <f t="shared" si="51"/>
        <v>0.90737917214344954</v>
      </c>
      <c r="AJ178" s="1045">
        <f t="shared" si="51"/>
        <v>1.7641312042387862</v>
      </c>
      <c r="AK178" s="1086">
        <f t="shared" si="51"/>
        <v>0.73740660411282566</v>
      </c>
      <c r="AL178" s="1087">
        <f t="shared" si="51"/>
        <v>0.91641302953449133</v>
      </c>
      <c r="AM178" s="1087">
        <f t="shared" si="51"/>
        <v>0.8999943800286947</v>
      </c>
      <c r="AN178" s="1087">
        <f t="shared" si="51"/>
        <v>1.6560171109252184</v>
      </c>
      <c r="AO178" s="1087">
        <f t="shared" si="51"/>
        <v>0.46605089835093755</v>
      </c>
      <c r="AP178" s="1087">
        <f t="shared" si="51"/>
        <v>0.29327620108727304</v>
      </c>
      <c r="AQ178" s="1087">
        <f t="shared" si="51"/>
        <v>0.24552658441347144</v>
      </c>
      <c r="AR178" s="1087">
        <f t="shared" si="51"/>
        <v>0.65401145954184625</v>
      </c>
      <c r="AS178" s="1087">
        <f t="shared" si="51"/>
        <v>3.6082730755279589E-5</v>
      </c>
      <c r="AT178" s="1087">
        <f t="shared" si="51"/>
        <v>3.4640073588351909E-2</v>
      </c>
      <c r="AU178" s="1087">
        <f t="shared" si="51"/>
        <v>0.13385799443883772</v>
      </c>
      <c r="AV178" s="1087">
        <f t="shared" si="51"/>
        <v>0.13811356966875371</v>
      </c>
      <c r="AW178" s="1087">
        <f t="shared" si="51"/>
        <v>1.8089070408910441</v>
      </c>
      <c r="AX178" s="1087">
        <f t="shared" si="51"/>
        <v>0.36420332966847802</v>
      </c>
      <c r="AY178" s="1087">
        <f t="shared" si="51"/>
        <v>0.35505223380170564</v>
      </c>
      <c r="AZ178" s="1087">
        <f t="shared" si="51"/>
        <v>1.7738929523641518</v>
      </c>
      <c r="BA178" s="1087">
        <f t="shared" si="51"/>
        <v>0.92886277942735695</v>
      </c>
      <c r="BB178" s="1088">
        <f t="shared" si="51"/>
        <v>1.7595959145232511</v>
      </c>
      <c r="BC178" s="1043"/>
    </row>
    <row r="179" spans="1:57" ht="12" customHeight="1" outlineLevel="1" x14ac:dyDescent="0.2">
      <c r="A179" s="123"/>
      <c r="B179" s="104" t="s">
        <v>100</v>
      </c>
      <c r="C179" s="104" t="s">
        <v>121</v>
      </c>
      <c r="D179" s="2" t="s">
        <v>132</v>
      </c>
      <c r="E179" s="2" t="s">
        <v>135</v>
      </c>
      <c r="F179" s="105" t="s">
        <v>94</v>
      </c>
      <c r="G179" s="27" t="s">
        <v>1580</v>
      </c>
      <c r="H179" s="106" t="s">
        <v>131</v>
      </c>
      <c r="I179" s="107" t="s">
        <v>129</v>
      </c>
      <c r="J179" s="108">
        <v>3.7523941999999999</v>
      </c>
      <c r="K179" s="109"/>
      <c r="L179" s="109"/>
      <c r="M179" s="131">
        <f t="shared" ca="1" si="44"/>
        <v>1.0061099763264383</v>
      </c>
      <c r="N179" s="133">
        <f t="shared" ca="1" si="44"/>
        <v>0.4826910765177998</v>
      </c>
      <c r="O179" s="1059" t="s">
        <v>1583</v>
      </c>
      <c r="P179" s="131">
        <f t="shared" ref="P179:BB179" si="52">IFERROR(P46/_xlfn.MAXIFS(P$19:P$150,$B$19:$B$150,$B179,$F$152:$F$283,"C"),"?")</f>
        <v>0.21361997603462435</v>
      </c>
      <c r="Q179" s="133">
        <f t="shared" si="52"/>
        <v>1.037937461703492</v>
      </c>
      <c r="R179" s="132">
        <f t="shared" si="52"/>
        <v>0.63503513464580807</v>
      </c>
      <c r="S179" s="1044">
        <f t="shared" si="52"/>
        <v>0.4778903595415267</v>
      </c>
      <c r="T179" s="1044">
        <f t="shared" si="52"/>
        <v>0.24501453205567375</v>
      </c>
      <c r="U179" s="1044">
        <f t="shared" si="52"/>
        <v>0.59406148933931668</v>
      </c>
      <c r="V179" s="1044">
        <f t="shared" si="52"/>
        <v>0.84588056426271108</v>
      </c>
      <c r="W179" s="1044">
        <f t="shared" si="52"/>
        <v>0.2647949822594739</v>
      </c>
      <c r="X179" s="1044">
        <f t="shared" si="52"/>
        <v>0.84775663372338794</v>
      </c>
      <c r="Y179" s="1044">
        <f t="shared" si="52"/>
        <v>0.18151620760423928</v>
      </c>
      <c r="Z179" s="1044">
        <f t="shared" si="52"/>
        <v>0.13444097961244383</v>
      </c>
      <c r="AA179" s="1044">
        <f t="shared" si="52"/>
        <v>0.43143031221534806</v>
      </c>
      <c r="AB179" s="1044">
        <f t="shared" si="52"/>
        <v>1.0959877218806875E-2</v>
      </c>
      <c r="AC179" s="1044">
        <f t="shared" si="52"/>
        <v>9.6013344766789164E-3</v>
      </c>
      <c r="AD179" s="1044">
        <f t="shared" si="52"/>
        <v>5.7161062725929648E-2</v>
      </c>
      <c r="AE179" s="1044">
        <f t="shared" si="52"/>
        <v>0.37298752581802369</v>
      </c>
      <c r="AF179" s="1044">
        <f t="shared" si="52"/>
        <v>-0.19846082446717828</v>
      </c>
      <c r="AG179" s="1044">
        <f t="shared" si="52"/>
        <v>1.1726225495526119</v>
      </c>
      <c r="AH179" s="1044">
        <f t="shared" si="52"/>
        <v>0.25253073591245545</v>
      </c>
      <c r="AI179" s="1044">
        <f t="shared" si="52"/>
        <v>0.58820853411150742</v>
      </c>
      <c r="AJ179" s="1045">
        <f t="shared" si="52"/>
        <v>1.1435980027556063</v>
      </c>
      <c r="AK179" s="1086">
        <f t="shared" si="52"/>
        <v>0.47802381305549252</v>
      </c>
      <c r="AL179" s="1087">
        <f t="shared" si="52"/>
        <v>0.59406471803561145</v>
      </c>
      <c r="AM179" s="1087">
        <f t="shared" si="52"/>
        <v>0.58342131214449677</v>
      </c>
      <c r="AN179" s="1087">
        <f t="shared" si="52"/>
        <v>1.0735130499069456</v>
      </c>
      <c r="AO179" s="1087">
        <f t="shared" si="52"/>
        <v>0.30211748063263694</v>
      </c>
      <c r="AP179" s="1087">
        <f t="shared" si="52"/>
        <v>0.1901162828040566</v>
      </c>
      <c r="AQ179" s="1087">
        <f t="shared" si="52"/>
        <v>0.15916259852713358</v>
      </c>
      <c r="AR179" s="1087">
        <f t="shared" si="52"/>
        <v>0.42396291633608552</v>
      </c>
      <c r="AS179" s="1087">
        <f t="shared" si="52"/>
        <v>-8.5604612480340639E-4</v>
      </c>
      <c r="AT179" s="1087">
        <f t="shared" si="52"/>
        <v>2.2186452778096357E-2</v>
      </c>
      <c r="AU179" s="1087">
        <f t="shared" si="52"/>
        <v>8.6256000185201298E-2</v>
      </c>
      <c r="AV179" s="1087">
        <f t="shared" si="52"/>
        <v>4.2454224873134536E-2</v>
      </c>
      <c r="AW179" s="1087">
        <f t="shared" si="52"/>
        <v>1.172623969098233</v>
      </c>
      <c r="AX179" s="1087">
        <f t="shared" si="52"/>
        <v>0.23609479857794327</v>
      </c>
      <c r="AY179" s="1087">
        <f t="shared" si="52"/>
        <v>0.23016260481620246</v>
      </c>
      <c r="AZ179" s="1087">
        <f t="shared" si="52"/>
        <v>1.1499260969639331</v>
      </c>
      <c r="BA179" s="1087">
        <f t="shared" si="52"/>
        <v>0.60213528797533344</v>
      </c>
      <c r="BB179" s="1088">
        <f t="shared" si="52"/>
        <v>1.1406580295370767</v>
      </c>
      <c r="BC179" s="1043"/>
    </row>
    <row r="180" spans="1:57" ht="12" customHeight="1" outlineLevel="1" x14ac:dyDescent="0.2">
      <c r="A180" s="123"/>
      <c r="B180" s="104" t="s">
        <v>100</v>
      </c>
      <c r="C180" s="104" t="s">
        <v>121</v>
      </c>
      <c r="D180" s="2" t="s">
        <v>132</v>
      </c>
      <c r="E180" s="2" t="s">
        <v>135</v>
      </c>
      <c r="F180" s="105" t="s">
        <v>95</v>
      </c>
      <c r="G180" s="27" t="s">
        <v>1581</v>
      </c>
      <c r="H180" s="106" t="s">
        <v>128</v>
      </c>
      <c r="I180" s="107" t="s">
        <v>127</v>
      </c>
      <c r="J180" s="108">
        <v>3.7523941999999999</v>
      </c>
      <c r="K180" s="109"/>
      <c r="L180" s="109"/>
      <c r="M180" s="131">
        <f t="shared" ca="1" si="44"/>
        <v>1.1593413806540711</v>
      </c>
      <c r="N180" s="133">
        <f t="shared" ca="1" si="44"/>
        <v>0.70716723718238639</v>
      </c>
      <c r="O180" s="1059" t="s">
        <v>1583</v>
      </c>
      <c r="P180" s="131">
        <f t="shared" ref="P180:BB180" si="53">IFERROR(P47/_xlfn.MAXIFS(P$19:P$150,$B$19:$B$150,$B180,$F$152:$F$283,"C"),"?")</f>
        <v>0.93259480975357767</v>
      </c>
      <c r="Q180" s="133">
        <f t="shared" si="53"/>
        <v>1.3082848838446042</v>
      </c>
      <c r="R180" s="132">
        <f t="shared" si="53"/>
        <v>0.81729310749165751</v>
      </c>
      <c r="S180" s="1044">
        <f t="shared" si="53"/>
        <v>0.66062530177829093</v>
      </c>
      <c r="T180" s="1044">
        <f t="shared" si="53"/>
        <v>0.41098043985258154</v>
      </c>
      <c r="U180" s="1044">
        <f t="shared" si="53"/>
        <v>0.72625896806035128</v>
      </c>
      <c r="V180" s="1044">
        <f t="shared" si="53"/>
        <v>1.101040290132548</v>
      </c>
      <c r="W180" s="1044">
        <f t="shared" si="53"/>
        <v>0.80984819880381109</v>
      </c>
      <c r="X180" s="1044">
        <f t="shared" si="53"/>
        <v>1.1030243712891348</v>
      </c>
      <c r="Y180" s="1044">
        <f t="shared" si="53"/>
        <v>0.76721034056271786</v>
      </c>
      <c r="Z180" s="1044">
        <f t="shared" si="53"/>
        <v>0.75497841206020944</v>
      </c>
      <c r="AA180" s="1044">
        <f t="shared" si="53"/>
        <v>0.71548671472431924</v>
      </c>
      <c r="AB180" s="1044">
        <f t="shared" si="53"/>
        <v>2.2007813993168517E-2</v>
      </c>
      <c r="AC180" s="1044">
        <f t="shared" si="53"/>
        <v>2.1424242370263084E-2</v>
      </c>
      <c r="AD180" s="1044">
        <f t="shared" si="53"/>
        <v>0.11615057726707938</v>
      </c>
      <c r="AE180" s="1044">
        <f t="shared" si="53"/>
        <v>0.94781341721926304</v>
      </c>
      <c r="AF180" s="1044">
        <f t="shared" si="53"/>
        <v>1.4679517596965659</v>
      </c>
      <c r="AG180" s="1044">
        <f t="shared" si="53"/>
        <v>1.4229468141794022</v>
      </c>
      <c r="AH180" s="1044">
        <f t="shared" si="53"/>
        <v>0.30711760416059225</v>
      </c>
      <c r="AI180" s="1044">
        <f t="shared" si="53"/>
        <v>0.75507209263515873</v>
      </c>
      <c r="AJ180" s="1045">
        <f t="shared" si="53"/>
        <v>1.3880012375894182</v>
      </c>
      <c r="AK180" s="1086">
        <f t="shared" si="53"/>
        <v>0.66104374996734627</v>
      </c>
      <c r="AL180" s="1087">
        <f t="shared" si="53"/>
        <v>0.72623348308037461</v>
      </c>
      <c r="AM180" s="1087">
        <f t="shared" si="53"/>
        <v>0.7131977822093446</v>
      </c>
      <c r="AN180" s="1087">
        <f t="shared" si="53"/>
        <v>1.3934522501590705</v>
      </c>
      <c r="AO180" s="1087">
        <f t="shared" si="53"/>
        <v>0.85472255216250481</v>
      </c>
      <c r="AP180" s="1087">
        <f t="shared" si="53"/>
        <v>0.78144356597891218</v>
      </c>
      <c r="AQ180" s="1087">
        <f t="shared" si="53"/>
        <v>0.76422474190688072</v>
      </c>
      <c r="AR180" s="1087">
        <f t="shared" si="53"/>
        <v>0.71791949253692189</v>
      </c>
      <c r="AS180" s="1087">
        <f t="shared" si="53"/>
        <v>1.5174702737502004E-2</v>
      </c>
      <c r="AT180" s="1087">
        <f t="shared" si="53"/>
        <v>3.7647491557770509E-2</v>
      </c>
      <c r="AU180" s="1087">
        <f t="shared" si="53"/>
        <v>0.13433350256354837</v>
      </c>
      <c r="AV180" s="1087">
        <f t="shared" si="53"/>
        <v>0.71119904776602949</v>
      </c>
      <c r="AW180" s="1087">
        <f t="shared" si="53"/>
        <v>1.4229484531237526</v>
      </c>
      <c r="AX180" s="1087">
        <f t="shared" si="53"/>
        <v>0.28649486749836506</v>
      </c>
      <c r="AY180" s="1087">
        <f t="shared" si="53"/>
        <v>0.27929629938457379</v>
      </c>
      <c r="AZ180" s="1087">
        <f t="shared" si="53"/>
        <v>1.3973736357804867</v>
      </c>
      <c r="BA180" s="1087">
        <f t="shared" si="53"/>
        <v>0.77251169510359496</v>
      </c>
      <c r="BB180" s="1088">
        <f t="shared" si="53"/>
        <v>1.3844327160099048</v>
      </c>
      <c r="BC180" s="1043"/>
    </row>
    <row r="181" spans="1:57" ht="12" customHeight="1" outlineLevel="1" x14ac:dyDescent="0.2">
      <c r="A181" s="123"/>
      <c r="B181" s="104" t="s">
        <v>100</v>
      </c>
      <c r="C181" s="104" t="s">
        <v>121</v>
      </c>
      <c r="D181" s="2" t="s">
        <v>132</v>
      </c>
      <c r="E181" s="2" t="s">
        <v>135</v>
      </c>
      <c r="F181" s="105" t="s">
        <v>96</v>
      </c>
      <c r="G181" s="27" t="s">
        <v>1582</v>
      </c>
      <c r="H181" s="106" t="s">
        <v>128</v>
      </c>
      <c r="I181" s="107" t="s">
        <v>1577</v>
      </c>
      <c r="J181" s="129">
        <v>3.7523941999999999</v>
      </c>
      <c r="K181" s="130"/>
      <c r="L181" s="130"/>
      <c r="M181" s="131">
        <f t="shared" ca="1" si="44"/>
        <v>1.2199173445150053</v>
      </c>
      <c r="N181" s="133">
        <f t="shared" ca="1" si="44"/>
        <v>0.79590792226404805</v>
      </c>
      <c r="O181" s="1059" t="s">
        <v>1583</v>
      </c>
      <c r="P181" s="131">
        <f t="shared" ref="P181:BB181" si="54">IFERROR(P48/_xlfn.MAXIFS(P$19:P$150,$B$19:$B$150,$B181,$F$152:$F$283,"C"),"?")</f>
        <v>1.4549797526249555</v>
      </c>
      <c r="Q181" s="133">
        <f t="shared" si="54"/>
        <v>1.3436486699271712</v>
      </c>
      <c r="R181" s="132">
        <f t="shared" si="54"/>
        <v>0.84776672026932898</v>
      </c>
      <c r="S181" s="1044">
        <f t="shared" si="54"/>
        <v>0.71846712863879614</v>
      </c>
      <c r="T181" s="1044">
        <f t="shared" si="54"/>
        <v>0.49384954571286416</v>
      </c>
      <c r="U181" s="1044">
        <f t="shared" si="54"/>
        <v>0.72977060872496513</v>
      </c>
      <c r="V181" s="1044">
        <f t="shared" si="54"/>
        <v>1.1497165281069281</v>
      </c>
      <c r="W181" s="1044">
        <f t="shared" si="54"/>
        <v>1.1653727186506038</v>
      </c>
      <c r="X181" s="1044">
        <f t="shared" si="54"/>
        <v>1.1515097261916176</v>
      </c>
      <c r="Y181" s="1044">
        <f t="shared" si="54"/>
        <v>1.1657127460994572</v>
      </c>
      <c r="Z181" s="1044">
        <f t="shared" si="54"/>
        <v>1.1764795275896944</v>
      </c>
      <c r="AA181" s="1044">
        <f t="shared" si="54"/>
        <v>0.85545772263782816</v>
      </c>
      <c r="AB181" s="1044">
        <f t="shared" si="54"/>
        <v>2.7690981561256628E-2</v>
      </c>
      <c r="AC181" s="1044">
        <f t="shared" si="54"/>
        <v>2.5235962021659408E-2</v>
      </c>
      <c r="AD181" s="1044">
        <f t="shared" si="54"/>
        <v>0.13139837149040565</v>
      </c>
      <c r="AE181" s="1044">
        <f t="shared" si="54"/>
        <v>1.3434952168713992</v>
      </c>
      <c r="AF181" s="1044">
        <f t="shared" si="54"/>
        <v>2.8352257011227748</v>
      </c>
      <c r="AG181" s="1044">
        <f t="shared" si="54"/>
        <v>1.4229468141794022</v>
      </c>
      <c r="AH181" s="1044">
        <f t="shared" si="54"/>
        <v>0.30756018487797132</v>
      </c>
      <c r="AI181" s="1044">
        <f t="shared" si="54"/>
        <v>0.78202279395357788</v>
      </c>
      <c r="AJ181" s="1045">
        <f t="shared" si="54"/>
        <v>1.388180667318802</v>
      </c>
      <c r="AK181" s="1086">
        <f t="shared" si="54"/>
        <v>0.71907674504501118</v>
      </c>
      <c r="AL181" s="1087">
        <f t="shared" si="54"/>
        <v>0.7297259607119343</v>
      </c>
      <c r="AM181" s="1087">
        <f t="shared" si="54"/>
        <v>0.71661176732678433</v>
      </c>
      <c r="AN181" s="1087">
        <f t="shared" si="54"/>
        <v>1.4526916434978652</v>
      </c>
      <c r="AO181" s="1087">
        <f t="shared" si="54"/>
        <v>1.2095895518956505</v>
      </c>
      <c r="AP181" s="1087">
        <f t="shared" si="54"/>
        <v>1.1826523868304</v>
      </c>
      <c r="AQ181" s="1087">
        <f t="shared" si="54"/>
        <v>1.1709397017846501</v>
      </c>
      <c r="AR181" s="1087">
        <f t="shared" si="54"/>
        <v>0.86625077997566424</v>
      </c>
      <c r="AS181" s="1087">
        <f t="shared" si="54"/>
        <v>2.6501672782529347E-2</v>
      </c>
      <c r="AT181" s="1087">
        <f t="shared" si="54"/>
        <v>4.2232616864529317E-2</v>
      </c>
      <c r="AU181" s="1087">
        <f t="shared" si="54"/>
        <v>0.1462087861886133</v>
      </c>
      <c r="AV181" s="1087">
        <f t="shared" si="54"/>
        <v>1.2506373086893046</v>
      </c>
      <c r="AW181" s="1087">
        <f t="shared" si="54"/>
        <v>1.4229484531237526</v>
      </c>
      <c r="AX181" s="1087">
        <f t="shared" si="54"/>
        <v>0.28649486749836506</v>
      </c>
      <c r="AY181" s="1087">
        <f t="shared" si="54"/>
        <v>0.27929629938457379</v>
      </c>
      <c r="AZ181" s="1087">
        <f t="shared" si="54"/>
        <v>1.3986582299187771</v>
      </c>
      <c r="BA181" s="1087">
        <f t="shared" si="54"/>
        <v>0.79981470863856663</v>
      </c>
      <c r="BB181" s="1088">
        <f t="shared" si="54"/>
        <v>1.3846115686924398</v>
      </c>
      <c r="BC181" s="1043"/>
    </row>
    <row r="182" spans="1:57" ht="12" customHeight="1" outlineLevel="1" x14ac:dyDescent="0.2">
      <c r="A182" s="123"/>
      <c r="B182" s="88" t="s">
        <v>101</v>
      </c>
      <c r="C182" s="88" t="s">
        <v>121</v>
      </c>
      <c r="D182" s="89" t="s">
        <v>132</v>
      </c>
      <c r="E182" s="89" t="s">
        <v>136</v>
      </c>
      <c r="F182" s="90" t="s">
        <v>92</v>
      </c>
      <c r="G182" s="18" t="s">
        <v>126</v>
      </c>
      <c r="H182" s="91" t="s">
        <v>127</v>
      </c>
      <c r="I182" s="92" t="s">
        <v>127</v>
      </c>
      <c r="J182" s="93">
        <v>3.7906351599999999</v>
      </c>
      <c r="K182" s="94"/>
      <c r="L182" s="94"/>
      <c r="M182" s="126">
        <f t="shared" ca="1" si="44"/>
        <v>1</v>
      </c>
      <c r="N182" s="128">
        <f t="shared" ca="1" si="44"/>
        <v>1</v>
      </c>
      <c r="O182" s="1058" t="s">
        <v>1583</v>
      </c>
      <c r="P182" s="126">
        <f t="shared" ref="P182:BB182" si="55">IFERROR(P49/_xlfn.MAXIFS(P$19:P$150,$B$19:$B$150,$B182,$F$152:$F$283,"C"),"?")</f>
        <v>1</v>
      </c>
      <c r="Q182" s="128">
        <f t="shared" si="55"/>
        <v>1</v>
      </c>
      <c r="R182" s="127">
        <f t="shared" si="55"/>
        <v>1</v>
      </c>
      <c r="S182" s="1041">
        <f t="shared" si="55"/>
        <v>1</v>
      </c>
      <c r="T182" s="1041">
        <f t="shared" si="55"/>
        <v>1</v>
      </c>
      <c r="U182" s="1041">
        <f t="shared" si="55"/>
        <v>1</v>
      </c>
      <c r="V182" s="1041">
        <f t="shared" si="55"/>
        <v>1</v>
      </c>
      <c r="W182" s="1041">
        <f t="shared" si="55"/>
        <v>1</v>
      </c>
      <c r="X182" s="1041">
        <f t="shared" si="55"/>
        <v>1</v>
      </c>
      <c r="Y182" s="1041">
        <f t="shared" si="55"/>
        <v>1</v>
      </c>
      <c r="Z182" s="1041">
        <f t="shared" si="55"/>
        <v>1</v>
      </c>
      <c r="AA182" s="1041">
        <f t="shared" si="55"/>
        <v>1</v>
      </c>
      <c r="AB182" s="1041">
        <f t="shared" si="55"/>
        <v>1</v>
      </c>
      <c r="AC182" s="1041">
        <f t="shared" si="55"/>
        <v>1</v>
      </c>
      <c r="AD182" s="1041">
        <f t="shared" si="55"/>
        <v>1</v>
      </c>
      <c r="AE182" s="1041">
        <f t="shared" si="55"/>
        <v>1</v>
      </c>
      <c r="AF182" s="1041">
        <f t="shared" si="55"/>
        <v>1</v>
      </c>
      <c r="AG182" s="1041">
        <f t="shared" si="55"/>
        <v>1</v>
      </c>
      <c r="AH182" s="1041">
        <f t="shared" si="55"/>
        <v>1</v>
      </c>
      <c r="AI182" s="1041">
        <f t="shared" si="55"/>
        <v>1</v>
      </c>
      <c r="AJ182" s="1042">
        <f t="shared" si="55"/>
        <v>1</v>
      </c>
      <c r="AK182" s="1083">
        <f t="shared" si="55"/>
        <v>1</v>
      </c>
      <c r="AL182" s="1084">
        <f t="shared" si="55"/>
        <v>1</v>
      </c>
      <c r="AM182" s="1084">
        <f t="shared" si="55"/>
        <v>1</v>
      </c>
      <c r="AN182" s="1084">
        <f t="shared" si="55"/>
        <v>1</v>
      </c>
      <c r="AO182" s="1084">
        <f t="shared" si="55"/>
        <v>1</v>
      </c>
      <c r="AP182" s="1084">
        <f t="shared" si="55"/>
        <v>1</v>
      </c>
      <c r="AQ182" s="1084">
        <f t="shared" si="55"/>
        <v>1</v>
      </c>
      <c r="AR182" s="1084">
        <f t="shared" si="55"/>
        <v>1</v>
      </c>
      <c r="AS182" s="1084">
        <f t="shared" si="55"/>
        <v>1</v>
      </c>
      <c r="AT182" s="1084">
        <f t="shared" si="55"/>
        <v>1</v>
      </c>
      <c r="AU182" s="1084">
        <f t="shared" si="55"/>
        <v>1</v>
      </c>
      <c r="AV182" s="1084">
        <f t="shared" si="55"/>
        <v>1</v>
      </c>
      <c r="AW182" s="1084">
        <f t="shared" si="55"/>
        <v>1</v>
      </c>
      <c r="AX182" s="1084">
        <f t="shared" si="55"/>
        <v>1</v>
      </c>
      <c r="AY182" s="1084">
        <f t="shared" si="55"/>
        <v>1</v>
      </c>
      <c r="AZ182" s="1084">
        <f t="shared" si="55"/>
        <v>1</v>
      </c>
      <c r="BA182" s="1084">
        <f t="shared" si="55"/>
        <v>1</v>
      </c>
      <c r="BB182" s="1085">
        <f t="shared" si="55"/>
        <v>1</v>
      </c>
      <c r="BC182" s="1043"/>
    </row>
    <row r="183" spans="1:57" ht="12" customHeight="1" outlineLevel="1" x14ac:dyDescent="0.2">
      <c r="A183" s="123"/>
      <c r="B183" s="104" t="s">
        <v>101</v>
      </c>
      <c r="C183" s="104" t="s">
        <v>121</v>
      </c>
      <c r="D183" s="2" t="s">
        <v>132</v>
      </c>
      <c r="E183" s="2" t="s">
        <v>136</v>
      </c>
      <c r="F183" s="105" t="s">
        <v>122</v>
      </c>
      <c r="G183" s="27" t="s">
        <v>1579</v>
      </c>
      <c r="H183" s="106" t="s">
        <v>128</v>
      </c>
      <c r="I183" s="107" t="s">
        <v>129</v>
      </c>
      <c r="J183" s="108">
        <v>3.7906351599999999</v>
      </c>
      <c r="K183" s="109"/>
      <c r="L183" s="109"/>
      <c r="M183" s="131">
        <f t="shared" ca="1" si="44"/>
        <v>1.2221523327014072</v>
      </c>
      <c r="N183" s="133">
        <f t="shared" ca="1" si="44"/>
        <v>0.64410794222411782</v>
      </c>
      <c r="O183" s="1059" t="s">
        <v>1583</v>
      </c>
      <c r="P183" s="131">
        <f t="shared" ref="P183:BB183" si="56">IFERROR(P50/_xlfn.MAXIFS(P$19:P$150,$B$19:$B$150,$B183,$F$152:$F$283,"C"),"?")</f>
        <v>0.2883686712131342</v>
      </c>
      <c r="Q183" s="133">
        <f t="shared" si="56"/>
        <v>1.3375131209257889</v>
      </c>
      <c r="R183" s="132">
        <f t="shared" si="56"/>
        <v>0.71358620426648323</v>
      </c>
      <c r="S183" s="1044">
        <f t="shared" si="56"/>
        <v>0.5456217857491642</v>
      </c>
      <c r="T183" s="1044">
        <f t="shared" si="56"/>
        <v>0.33279777217965695</v>
      </c>
      <c r="U183" s="1044">
        <f t="shared" si="56"/>
        <v>0.87256064813657352</v>
      </c>
      <c r="V183" s="1044">
        <f t="shared" si="56"/>
        <v>1.0047578163290189</v>
      </c>
      <c r="W183" s="1044">
        <f t="shared" si="56"/>
        <v>0.29243862555680039</v>
      </c>
      <c r="X183" s="1044">
        <f t="shared" si="56"/>
        <v>1.0075517502466838</v>
      </c>
      <c r="Y183" s="1044">
        <f t="shared" si="56"/>
        <v>0.19708108061125221</v>
      </c>
      <c r="Z183" s="1044">
        <f t="shared" si="56"/>
        <v>0.16625444190807898</v>
      </c>
      <c r="AA183" s="1044">
        <f t="shared" si="56"/>
        <v>0.60080051723111216</v>
      </c>
      <c r="AB183" s="1044">
        <f t="shared" si="56"/>
        <v>2.9524350004483543E-2</v>
      </c>
      <c r="AC183" s="1044">
        <f t="shared" si="56"/>
        <v>1.8956581056837341E-2</v>
      </c>
      <c r="AD183" s="1044">
        <f t="shared" si="56"/>
        <v>0.10547175197881824</v>
      </c>
      <c r="AE183" s="1044">
        <f t="shared" si="56"/>
        <v>0.45955175975304829</v>
      </c>
      <c r="AF183" s="1044">
        <f t="shared" si="56"/>
        <v>-0.1132893775276342</v>
      </c>
      <c r="AG183" s="1044">
        <f t="shared" si="56"/>
        <v>1.5634202738239753</v>
      </c>
      <c r="AH183" s="1044">
        <f t="shared" si="56"/>
        <v>0.29812182883426369</v>
      </c>
      <c r="AI183" s="1044">
        <f t="shared" si="56"/>
        <v>0.65156296175608253</v>
      </c>
      <c r="AJ183" s="1045">
        <f t="shared" si="56"/>
        <v>0.9955209659085239</v>
      </c>
      <c r="AK183" s="1086">
        <f t="shared" si="56"/>
        <v>0.54590866432702001</v>
      </c>
      <c r="AL183" s="1087">
        <f t="shared" si="56"/>
        <v>0.87258590102167111</v>
      </c>
      <c r="AM183" s="1087">
        <f t="shared" si="56"/>
        <v>0.84700688607188379</v>
      </c>
      <c r="AN183" s="1087">
        <f t="shared" si="56"/>
        <v>1.3977428231758029</v>
      </c>
      <c r="AO183" s="1087">
        <f t="shared" si="56"/>
        <v>0.33734987950396383</v>
      </c>
      <c r="AP183" s="1087">
        <f t="shared" si="56"/>
        <v>0.2071763324052284</v>
      </c>
      <c r="AQ183" s="1087">
        <f t="shared" si="56"/>
        <v>0.19702800863110806</v>
      </c>
      <c r="AR183" s="1087">
        <f t="shared" si="56"/>
        <v>0.5899060209024497</v>
      </c>
      <c r="AS183" s="1087">
        <f t="shared" si="56"/>
        <v>-1.0079443374976138E-3</v>
      </c>
      <c r="AT183" s="1087">
        <f t="shared" si="56"/>
        <v>3.7982601023621151E-2</v>
      </c>
      <c r="AU183" s="1087">
        <f t="shared" si="56"/>
        <v>0.15988226269344699</v>
      </c>
      <c r="AV183" s="1087">
        <f t="shared" si="56"/>
        <v>8.8875233122796923E-2</v>
      </c>
      <c r="AW183" s="1087">
        <f t="shared" si="56"/>
        <v>1.5634226194592706</v>
      </c>
      <c r="AX183" s="1087">
        <f t="shared" si="56"/>
        <v>0.2435861788783385</v>
      </c>
      <c r="AY183" s="1087">
        <f t="shared" si="56"/>
        <v>0.23637937781925925</v>
      </c>
      <c r="AZ183" s="1087">
        <f t="shared" si="56"/>
        <v>1.4965463427880483</v>
      </c>
      <c r="BA183" s="1087">
        <f t="shared" si="56"/>
        <v>0.67190247122207958</v>
      </c>
      <c r="BB183" s="1088">
        <f t="shared" si="56"/>
        <v>0.96130122389717088</v>
      </c>
      <c r="BC183" s="1043"/>
    </row>
    <row r="184" spans="1:57" ht="12" customHeight="1" outlineLevel="1" x14ac:dyDescent="0.2">
      <c r="A184" s="123"/>
      <c r="B184" s="104" t="s">
        <v>101</v>
      </c>
      <c r="C184" s="104" t="s">
        <v>121</v>
      </c>
      <c r="D184" s="2" t="s">
        <v>132</v>
      </c>
      <c r="E184" s="2" t="s">
        <v>136</v>
      </c>
      <c r="F184" s="105" t="s">
        <v>93</v>
      </c>
      <c r="G184" s="27" t="s">
        <v>1578</v>
      </c>
      <c r="H184" s="106" t="s">
        <v>130</v>
      </c>
      <c r="I184" s="107" t="s">
        <v>129</v>
      </c>
      <c r="J184" s="108">
        <v>3.7906351599999999</v>
      </c>
      <c r="K184" s="109"/>
      <c r="L184" s="109"/>
      <c r="M184" s="131">
        <f t="shared" ca="1" si="44"/>
        <v>1.331666423969035</v>
      </c>
      <c r="N184" s="133">
        <f t="shared" ca="1" si="44"/>
        <v>0.81288162355722082</v>
      </c>
      <c r="O184" s="1059" t="s">
        <v>1583</v>
      </c>
      <c r="P184" s="131">
        <f t="shared" ref="P184:BB184" si="57">IFERROR(P51/_xlfn.MAXIFS(P$19:P$150,$B$19:$B$150,$B184,$F$152:$F$283,"C"),"?")</f>
        <v>0.38475991477896698</v>
      </c>
      <c r="Q184" s="133">
        <f t="shared" si="57"/>
        <v>1.686852607066728</v>
      </c>
      <c r="R184" s="132">
        <f t="shared" si="57"/>
        <v>0.89996453171116542</v>
      </c>
      <c r="S184" s="1044">
        <f t="shared" si="57"/>
        <v>0.68813024601463102</v>
      </c>
      <c r="T184" s="1044">
        <f t="shared" si="57"/>
        <v>0.41971968917073921</v>
      </c>
      <c r="U184" s="1044">
        <f t="shared" si="57"/>
        <v>1.1004607428090667</v>
      </c>
      <c r="V184" s="1044">
        <f t="shared" si="57"/>
        <v>1.2671858661573241</v>
      </c>
      <c r="W184" s="1044">
        <f t="shared" si="57"/>
        <v>0.36881932474181522</v>
      </c>
      <c r="X184" s="1044">
        <f t="shared" si="57"/>
        <v>1.2707095589253554</v>
      </c>
      <c r="Y184" s="1044">
        <f t="shared" si="57"/>
        <v>0.24855578811512485</v>
      </c>
      <c r="Z184" s="1044">
        <f t="shared" si="57"/>
        <v>0.20967766918601444</v>
      </c>
      <c r="AA184" s="1044">
        <f t="shared" si="57"/>
        <v>0.75772081828076032</v>
      </c>
      <c r="AB184" s="1044">
        <f t="shared" si="57"/>
        <v>3.723567877126762E-2</v>
      </c>
      <c r="AC184" s="1044">
        <f t="shared" si="57"/>
        <v>2.4167407809440926E-2</v>
      </c>
      <c r="AD184" s="1044">
        <f t="shared" si="57"/>
        <v>0.1338121601783662</v>
      </c>
      <c r="AE184" s="1044">
        <f t="shared" si="57"/>
        <v>0.61181874616432341</v>
      </c>
      <c r="AF184" s="1044">
        <f t="shared" si="57"/>
        <v>-5.3373703421704076E-2</v>
      </c>
      <c r="AG184" s="1044">
        <f t="shared" si="57"/>
        <v>1.9717627438131822</v>
      </c>
      <c r="AH184" s="1044">
        <f t="shared" si="57"/>
        <v>0.37598689274936281</v>
      </c>
      <c r="AI184" s="1044">
        <f t="shared" si="57"/>
        <v>0.82174170203444297</v>
      </c>
      <c r="AJ184" s="1045">
        <f t="shared" si="57"/>
        <v>1.255536507757633</v>
      </c>
      <c r="AK184" s="1086">
        <f t="shared" si="57"/>
        <v>0.68849203319717522</v>
      </c>
      <c r="AL184" s="1087">
        <f t="shared" si="57"/>
        <v>1.1004925493735451</v>
      </c>
      <c r="AM184" s="1087">
        <f t="shared" si="57"/>
        <v>1.0682327013959718</v>
      </c>
      <c r="AN184" s="1087">
        <f t="shared" si="57"/>
        <v>1.7628128343910119</v>
      </c>
      <c r="AO184" s="1087">
        <f t="shared" si="57"/>
        <v>0.4254607282971431</v>
      </c>
      <c r="AP184" s="1087">
        <f t="shared" si="57"/>
        <v>0.26128775505940777</v>
      </c>
      <c r="AQ184" s="1087">
        <f t="shared" si="57"/>
        <v>0.24848883894310653</v>
      </c>
      <c r="AR184" s="1087">
        <f t="shared" si="57"/>
        <v>0.74398085585116713</v>
      </c>
      <c r="AS184" s="1087">
        <f t="shared" si="57"/>
        <v>-4.2792462677231015E-4</v>
      </c>
      <c r="AT184" s="1087">
        <f t="shared" si="57"/>
        <v>4.8171867735544487E-2</v>
      </c>
      <c r="AU184" s="1087">
        <f t="shared" si="57"/>
        <v>0.20220722206473782</v>
      </c>
      <c r="AV184" s="1087">
        <f t="shared" si="57"/>
        <v>0.14087394188738517</v>
      </c>
      <c r="AW184" s="1087">
        <f t="shared" si="57"/>
        <v>1.9717658475671571</v>
      </c>
      <c r="AX184" s="1087">
        <f t="shared" si="57"/>
        <v>0.30720733238029463</v>
      </c>
      <c r="AY184" s="1087">
        <f t="shared" si="57"/>
        <v>0.29811821722859949</v>
      </c>
      <c r="AZ184" s="1087">
        <f t="shared" si="57"/>
        <v>1.8874223895959477</v>
      </c>
      <c r="BA184" s="1087">
        <f t="shared" si="57"/>
        <v>0.84739357945199123</v>
      </c>
      <c r="BB184" s="1088">
        <f t="shared" si="57"/>
        <v>1.2123791058480708</v>
      </c>
      <c r="BC184" s="1043"/>
    </row>
    <row r="185" spans="1:57" ht="12" customHeight="1" outlineLevel="1" x14ac:dyDescent="0.2">
      <c r="A185" s="123"/>
      <c r="B185" s="104" t="s">
        <v>101</v>
      </c>
      <c r="C185" s="104" t="s">
        <v>121</v>
      </c>
      <c r="D185" s="2" t="s">
        <v>132</v>
      </c>
      <c r="E185" s="2" t="s">
        <v>136</v>
      </c>
      <c r="F185" s="105" t="s">
        <v>94</v>
      </c>
      <c r="G185" s="27" t="s">
        <v>1580</v>
      </c>
      <c r="H185" s="106" t="s">
        <v>131</v>
      </c>
      <c r="I185" s="107" t="s">
        <v>129</v>
      </c>
      <c r="J185" s="108">
        <v>3.7906351599999999</v>
      </c>
      <c r="K185" s="109"/>
      <c r="L185" s="109"/>
      <c r="M185" s="131">
        <f t="shared" ca="1" si="44"/>
        <v>1.1501955762074281</v>
      </c>
      <c r="N185" s="133">
        <f t="shared" ca="1" si="44"/>
        <v>0.53321438916891928</v>
      </c>
      <c r="O185" s="1059" t="s">
        <v>1583</v>
      </c>
      <c r="P185" s="131">
        <f t="shared" ref="P185:BB185" si="58">IFERROR(P52/_xlfn.MAXIFS(P$19:P$150,$B$19:$B$150,$B185,$F$152:$F$283,"C"),"?")</f>
        <v>0.22503899293365373</v>
      </c>
      <c r="Q185" s="133">
        <f t="shared" si="58"/>
        <v>1.1079776407472575</v>
      </c>
      <c r="R185" s="132">
        <f t="shared" si="58"/>
        <v>0.59112532418173236</v>
      </c>
      <c r="S185" s="1044">
        <f t="shared" si="58"/>
        <v>0.45198583093636902</v>
      </c>
      <c r="T185" s="1044">
        <f t="shared" si="58"/>
        <v>0.27568524057910632</v>
      </c>
      <c r="U185" s="1044">
        <f t="shared" si="58"/>
        <v>0.7228176248363879</v>
      </c>
      <c r="V185" s="1044">
        <f t="shared" si="58"/>
        <v>0.83232798831962651</v>
      </c>
      <c r="W185" s="1044">
        <f t="shared" si="58"/>
        <v>0.24225227009521147</v>
      </c>
      <c r="X185" s="1044">
        <f t="shared" si="58"/>
        <v>0.83464245754315758</v>
      </c>
      <c r="Y185" s="1044">
        <f t="shared" si="58"/>
        <v>0.16325934250300664</v>
      </c>
      <c r="Z185" s="1044">
        <f t="shared" si="58"/>
        <v>0.13772296343505758</v>
      </c>
      <c r="AA185" s="1044">
        <f t="shared" si="58"/>
        <v>0.49769512143690914</v>
      </c>
      <c r="AB185" s="1044">
        <f t="shared" si="58"/>
        <v>2.4457579155719188E-2</v>
      </c>
      <c r="AC185" s="1044">
        <f t="shared" si="58"/>
        <v>1.5532836290573086E-2</v>
      </c>
      <c r="AD185" s="1044">
        <f t="shared" si="58"/>
        <v>8.6850701185572185E-2</v>
      </c>
      <c r="AE185" s="1044">
        <f t="shared" si="58"/>
        <v>0.35951110126573432</v>
      </c>
      <c r="AF185" s="1044">
        <f t="shared" si="58"/>
        <v>-0.15263728138475136</v>
      </c>
      <c r="AG185" s="1044">
        <f t="shared" si="58"/>
        <v>1.2951165375002982</v>
      </c>
      <c r="AH185" s="1044">
        <f t="shared" si="58"/>
        <v>0.24696015336548388</v>
      </c>
      <c r="AI185" s="1044">
        <f t="shared" si="58"/>
        <v>0.53974608696928417</v>
      </c>
      <c r="AJ185" s="1045">
        <f t="shared" si="58"/>
        <v>0.82467630200079012</v>
      </c>
      <c r="AK185" s="1086">
        <f t="shared" si="58"/>
        <v>0.45222347404372532</v>
      </c>
      <c r="AL185" s="1087">
        <f t="shared" si="58"/>
        <v>0.72283851889263995</v>
      </c>
      <c r="AM185" s="1087">
        <f t="shared" si="58"/>
        <v>0.70164919515028212</v>
      </c>
      <c r="AN185" s="1087">
        <f t="shared" si="58"/>
        <v>1.1578715413643124</v>
      </c>
      <c r="AO185" s="1087">
        <f t="shared" si="58"/>
        <v>0.2794561396789349</v>
      </c>
      <c r="AP185" s="1087">
        <f t="shared" si="58"/>
        <v>0.17162212109120148</v>
      </c>
      <c r="AQ185" s="1087">
        <f t="shared" si="58"/>
        <v>0.16321537833371333</v>
      </c>
      <c r="AR185" s="1087">
        <f t="shared" si="58"/>
        <v>0.48867028451741495</v>
      </c>
      <c r="AS185" s="1087">
        <f t="shared" si="58"/>
        <v>-1.3888608770138307E-3</v>
      </c>
      <c r="AT185" s="1087">
        <f t="shared" si="58"/>
        <v>3.1287746118681688E-2</v>
      </c>
      <c r="AU185" s="1087">
        <f t="shared" si="58"/>
        <v>0.13207254466794488</v>
      </c>
      <c r="AV185" s="1087">
        <f t="shared" si="58"/>
        <v>5.4715630048230934E-2</v>
      </c>
      <c r="AW185" s="1087">
        <f t="shared" si="58"/>
        <v>1.2951184778381959</v>
      </c>
      <c r="AX185" s="1087">
        <f t="shared" si="58"/>
        <v>0.20178354833035156</v>
      </c>
      <c r="AY185" s="1087">
        <f t="shared" si="58"/>
        <v>0.19581352650592618</v>
      </c>
      <c r="AZ185" s="1087">
        <f t="shared" si="58"/>
        <v>1.2397190730263077</v>
      </c>
      <c r="BA185" s="1087">
        <f t="shared" si="58"/>
        <v>0.55659505341537041</v>
      </c>
      <c r="BB185" s="1088">
        <f t="shared" si="58"/>
        <v>0.79632913478973344</v>
      </c>
      <c r="BC185" s="1043"/>
    </row>
    <row r="186" spans="1:57" ht="12" customHeight="1" outlineLevel="1" x14ac:dyDescent="0.2">
      <c r="A186" s="123"/>
      <c r="B186" s="104" t="s">
        <v>101</v>
      </c>
      <c r="C186" s="104" t="s">
        <v>121</v>
      </c>
      <c r="D186" s="2" t="s">
        <v>132</v>
      </c>
      <c r="E186" s="2" t="s">
        <v>136</v>
      </c>
      <c r="F186" s="105" t="s">
        <v>95</v>
      </c>
      <c r="G186" s="27" t="s">
        <v>1581</v>
      </c>
      <c r="H186" s="106" t="s">
        <v>128</v>
      </c>
      <c r="I186" s="107" t="s">
        <v>127</v>
      </c>
      <c r="J186" s="108">
        <v>3.7906351599999999</v>
      </c>
      <c r="K186" s="109"/>
      <c r="L186" s="109"/>
      <c r="M186" s="131">
        <f t="shared" ca="1" si="44"/>
        <v>1.3046883627776547</v>
      </c>
      <c r="N186" s="133">
        <f t="shared" ca="1" si="44"/>
        <v>0.77130536017599027</v>
      </c>
      <c r="O186" s="1059" t="s">
        <v>1583</v>
      </c>
      <c r="P186" s="131">
        <f t="shared" ref="P186:BB186" si="59">IFERROR(P53/_xlfn.MAXIFS(P$19:P$150,$B$19:$B$150,$B186,$F$152:$F$283,"C"),"?")</f>
        <v>0.88218986792748888</v>
      </c>
      <c r="Q186" s="133">
        <f t="shared" si="59"/>
        <v>1.3890981088052423</v>
      </c>
      <c r="R186" s="132">
        <f t="shared" si="59"/>
        <v>0.75634052403244723</v>
      </c>
      <c r="S186" s="1044">
        <f t="shared" si="59"/>
        <v>0.61320862976764545</v>
      </c>
      <c r="T186" s="1044">
        <f t="shared" si="59"/>
        <v>0.41829611420233581</v>
      </c>
      <c r="U186" s="1044">
        <f t="shared" si="59"/>
        <v>0.87918156948559367</v>
      </c>
      <c r="V186" s="1044">
        <f t="shared" si="59"/>
        <v>1.0769605153114616</v>
      </c>
      <c r="W186" s="1044">
        <f t="shared" si="59"/>
        <v>0.7343112045196033</v>
      </c>
      <c r="X186" s="1044">
        <f t="shared" si="59"/>
        <v>1.0795109800653975</v>
      </c>
      <c r="Y186" s="1044">
        <f t="shared" si="59"/>
        <v>0.68498379608871696</v>
      </c>
      <c r="Z186" s="1044">
        <f t="shared" si="59"/>
        <v>0.76936840706260978</v>
      </c>
      <c r="AA186" s="1044">
        <f t="shared" si="59"/>
        <v>0.7482834682069206</v>
      </c>
      <c r="AB186" s="1044">
        <f t="shared" si="59"/>
        <v>4.8820584297951455E-2</v>
      </c>
      <c r="AC186" s="1044">
        <f t="shared" si="59"/>
        <v>3.4637316916530256E-2</v>
      </c>
      <c r="AD186" s="1044">
        <f t="shared" si="59"/>
        <v>0.17640102397145802</v>
      </c>
      <c r="AE186" s="1044">
        <f t="shared" si="59"/>
        <v>0.94402431796839925</v>
      </c>
      <c r="AF186" s="1044">
        <f t="shared" si="59"/>
        <v>1.5527841759099483</v>
      </c>
      <c r="AG186" s="1044">
        <f t="shared" si="59"/>
        <v>1.5634202738239753</v>
      </c>
      <c r="AH186" s="1044">
        <f t="shared" si="59"/>
        <v>0.29877732732178047</v>
      </c>
      <c r="AI186" s="1044">
        <f t="shared" si="59"/>
        <v>0.68885966794049203</v>
      </c>
      <c r="AJ186" s="1045">
        <f t="shared" si="59"/>
        <v>0.99895972587421134</v>
      </c>
      <c r="AK186" s="1086">
        <f t="shared" si="59"/>
        <v>0.61369690651001152</v>
      </c>
      <c r="AL186" s="1087">
        <f t="shared" si="59"/>
        <v>0.87917063426985576</v>
      </c>
      <c r="AM186" s="1087">
        <f t="shared" si="59"/>
        <v>0.85336723797276914</v>
      </c>
      <c r="AN186" s="1087">
        <f t="shared" si="59"/>
        <v>1.4940602807825638</v>
      </c>
      <c r="AO186" s="1087">
        <f t="shared" si="59"/>
        <v>0.78363570327344989</v>
      </c>
      <c r="AP186" s="1087">
        <f t="shared" si="59"/>
        <v>0.70008678239443356</v>
      </c>
      <c r="AQ186" s="1087">
        <f t="shared" si="59"/>
        <v>0.77954013308775216</v>
      </c>
      <c r="AR186" s="1087">
        <f t="shared" si="59"/>
        <v>0.74697448952107148</v>
      </c>
      <c r="AS186" s="1087">
        <f t="shared" si="59"/>
        <v>2.1177330235251153E-2</v>
      </c>
      <c r="AT186" s="1087">
        <f t="shared" si="59"/>
        <v>5.294595060139947E-2</v>
      </c>
      <c r="AU186" s="1087">
        <f t="shared" si="59"/>
        <v>0.20483985145207562</v>
      </c>
      <c r="AV186" s="1087">
        <f t="shared" si="59"/>
        <v>0.72091028049531913</v>
      </c>
      <c r="AW186" s="1087">
        <f t="shared" si="59"/>
        <v>1.5634226194592706</v>
      </c>
      <c r="AX186" s="1087">
        <f t="shared" si="59"/>
        <v>0.2435861788783385</v>
      </c>
      <c r="AY186" s="1087">
        <f t="shared" si="59"/>
        <v>0.23637937781925925</v>
      </c>
      <c r="AZ186" s="1087">
        <f t="shared" si="59"/>
        <v>1.4986408866555074</v>
      </c>
      <c r="BA186" s="1087">
        <f t="shared" si="59"/>
        <v>0.70999212760048513</v>
      </c>
      <c r="BB186" s="1088">
        <f t="shared" si="59"/>
        <v>0.96458425818070981</v>
      </c>
      <c r="BC186" s="1043"/>
    </row>
    <row r="187" spans="1:57" ht="12" customHeight="1" outlineLevel="1" x14ac:dyDescent="0.2">
      <c r="A187" s="123"/>
      <c r="B187" s="104" t="s">
        <v>101</v>
      </c>
      <c r="C187" s="104" t="s">
        <v>121</v>
      </c>
      <c r="D187" s="2" t="s">
        <v>132</v>
      </c>
      <c r="E187" s="2" t="s">
        <v>136</v>
      </c>
      <c r="F187" s="105" t="s">
        <v>96</v>
      </c>
      <c r="G187" s="27" t="s">
        <v>1582</v>
      </c>
      <c r="H187" s="106" t="s">
        <v>128</v>
      </c>
      <c r="I187" s="107" t="s">
        <v>1577</v>
      </c>
      <c r="J187" s="129">
        <v>3.7906351599999999</v>
      </c>
      <c r="K187" s="130"/>
      <c r="L187" s="130"/>
      <c r="M187" s="131">
        <f t="shared" ca="1" si="44"/>
        <v>1.3652224016179033</v>
      </c>
      <c r="N187" s="133">
        <f t="shared" ca="1" si="44"/>
        <v>0.86459520500575626</v>
      </c>
      <c r="O187" s="1059" t="s">
        <v>1583</v>
      </c>
      <c r="P187" s="131">
        <f t="shared" ref="P187:BB187" si="60">IFERROR(P54/_xlfn.MAXIFS(P$19:P$150,$B$19:$B$150,$B187,$F$152:$F$283,"C"),"?")</f>
        <v>1.3563950495909558</v>
      </c>
      <c r="Q187" s="133">
        <f t="shared" si="60"/>
        <v>1.4264994873339498</v>
      </c>
      <c r="R187" s="132">
        <f t="shared" si="60"/>
        <v>0.78424269206081754</v>
      </c>
      <c r="S187" s="1044">
        <f t="shared" si="60"/>
        <v>0.6616408984045421</v>
      </c>
      <c r="T187" s="1044">
        <f t="shared" si="60"/>
        <v>0.48063171937249693</v>
      </c>
      <c r="U187" s="1044">
        <f t="shared" si="60"/>
        <v>0.8835024925076268</v>
      </c>
      <c r="V187" s="1044">
        <f t="shared" si="60"/>
        <v>1.1240811532304353</v>
      </c>
      <c r="W187" s="1044">
        <f t="shared" si="60"/>
        <v>1.0558834279630778</v>
      </c>
      <c r="X187" s="1044">
        <f t="shared" si="60"/>
        <v>1.1264727209385903</v>
      </c>
      <c r="Y187" s="1044">
        <f t="shared" si="60"/>
        <v>1.0404680786021665</v>
      </c>
      <c r="Z187" s="1044">
        <f t="shared" si="60"/>
        <v>1.1989002624540281</v>
      </c>
      <c r="AA187" s="1044">
        <f t="shared" si="60"/>
        <v>0.85582476877456071</v>
      </c>
      <c r="AB187" s="1044">
        <f t="shared" si="60"/>
        <v>6.1413613038595917E-2</v>
      </c>
      <c r="AC187" s="1044">
        <f t="shared" si="60"/>
        <v>4.0807033761867478E-2</v>
      </c>
      <c r="AD187" s="1044">
        <f t="shared" si="60"/>
        <v>0.19959914319293948</v>
      </c>
      <c r="AE187" s="1044">
        <f t="shared" si="60"/>
        <v>1.3594867011215563</v>
      </c>
      <c r="AF187" s="1044">
        <f t="shared" si="60"/>
        <v>2.9450360803639413</v>
      </c>
      <c r="AG187" s="1044">
        <f t="shared" si="60"/>
        <v>1.5634202738239753</v>
      </c>
      <c r="AH187" s="1044">
        <f t="shared" si="60"/>
        <v>0.29920511883368428</v>
      </c>
      <c r="AI187" s="1044">
        <f t="shared" si="60"/>
        <v>0.71320007001151764</v>
      </c>
      <c r="AJ187" s="1045">
        <f t="shared" si="60"/>
        <v>1.0012038353517807</v>
      </c>
      <c r="AK187" s="1086">
        <f t="shared" si="60"/>
        <v>0.66227963635999099</v>
      </c>
      <c r="AL187" s="1087">
        <f t="shared" si="60"/>
        <v>0.8834680108140458</v>
      </c>
      <c r="AM187" s="1087">
        <f t="shared" si="60"/>
        <v>0.85751814267666726</v>
      </c>
      <c r="AN187" s="1087">
        <f t="shared" si="60"/>
        <v>1.5569185941530406</v>
      </c>
      <c r="AO187" s="1087">
        <f t="shared" si="60"/>
        <v>1.1080950383807897</v>
      </c>
      <c r="AP187" s="1087">
        <f t="shared" si="60"/>
        <v>1.0591657533126049</v>
      </c>
      <c r="AQ187" s="1087">
        <f t="shared" si="60"/>
        <v>1.1943931885476879</v>
      </c>
      <c r="AR187" s="1087">
        <f t="shared" si="60"/>
        <v>0.86148904187849817</v>
      </c>
      <c r="AS187" s="1087">
        <f t="shared" si="60"/>
        <v>3.71898605254233E-2</v>
      </c>
      <c r="AT187" s="1087">
        <f t="shared" si="60"/>
        <v>5.9417998810497176E-2</v>
      </c>
      <c r="AU187" s="1087">
        <f t="shared" si="60"/>
        <v>0.22295493111948</v>
      </c>
      <c r="AV187" s="1087">
        <f t="shared" si="60"/>
        <v>1.2575085543980338</v>
      </c>
      <c r="AW187" s="1087">
        <f t="shared" si="60"/>
        <v>1.5634226194592706</v>
      </c>
      <c r="AX187" s="1087">
        <f t="shared" si="60"/>
        <v>0.2435861788783385</v>
      </c>
      <c r="AY187" s="1087">
        <f t="shared" si="60"/>
        <v>0.23637937781925925</v>
      </c>
      <c r="AZ187" s="1087">
        <f t="shared" si="60"/>
        <v>1.5000078039828206</v>
      </c>
      <c r="BA187" s="1087">
        <f t="shared" si="60"/>
        <v>0.73485006321925528</v>
      </c>
      <c r="BB187" s="1088">
        <f t="shared" si="60"/>
        <v>0.96672674222274502</v>
      </c>
      <c r="BC187" s="1043"/>
    </row>
    <row r="188" spans="1:57" ht="12" customHeight="1" outlineLevel="1" x14ac:dyDescent="0.2">
      <c r="A188" s="123"/>
      <c r="B188" s="88" t="s">
        <v>102</v>
      </c>
      <c r="C188" s="88" t="s">
        <v>121</v>
      </c>
      <c r="D188" s="89" t="s">
        <v>137</v>
      </c>
      <c r="E188" s="89" t="s">
        <v>138</v>
      </c>
      <c r="F188" s="90" t="s">
        <v>92</v>
      </c>
      <c r="G188" s="18" t="s">
        <v>126</v>
      </c>
      <c r="H188" s="91" t="s">
        <v>127</v>
      </c>
      <c r="I188" s="92" t="s">
        <v>127</v>
      </c>
      <c r="J188" s="93">
        <v>3.8814574399999997</v>
      </c>
      <c r="K188" s="94"/>
      <c r="L188" s="94"/>
      <c r="M188" s="126">
        <f t="shared" ca="1" si="44"/>
        <v>1</v>
      </c>
      <c r="N188" s="128">
        <f t="shared" ca="1" si="44"/>
        <v>1</v>
      </c>
      <c r="O188" s="1058" t="s">
        <v>1583</v>
      </c>
      <c r="P188" s="126">
        <f t="shared" ref="P188:BB188" si="61">IFERROR(P55/_xlfn.MAXIFS(P$19:P$150,$B$19:$B$150,$B188,$F$152:$F$283,"C"),"?")</f>
        <v>1</v>
      </c>
      <c r="Q188" s="128">
        <f t="shared" si="61"/>
        <v>1</v>
      </c>
      <c r="R188" s="127">
        <f t="shared" si="61"/>
        <v>1</v>
      </c>
      <c r="S188" s="1041">
        <f t="shared" si="61"/>
        <v>1</v>
      </c>
      <c r="T188" s="1041">
        <f t="shared" si="61"/>
        <v>1</v>
      </c>
      <c r="U188" s="1041">
        <f t="shared" si="61"/>
        <v>1</v>
      </c>
      <c r="V188" s="1041">
        <f t="shared" si="61"/>
        <v>1</v>
      </c>
      <c r="W188" s="1041">
        <f t="shared" si="61"/>
        <v>1</v>
      </c>
      <c r="X188" s="1041">
        <f t="shared" si="61"/>
        <v>1</v>
      </c>
      <c r="Y188" s="1041">
        <f t="shared" si="61"/>
        <v>1</v>
      </c>
      <c r="Z188" s="1041">
        <f t="shared" si="61"/>
        <v>1</v>
      </c>
      <c r="AA188" s="1041">
        <f t="shared" si="61"/>
        <v>1</v>
      </c>
      <c r="AB188" s="1041">
        <f t="shared" si="61"/>
        <v>1</v>
      </c>
      <c r="AC188" s="1041">
        <f t="shared" si="61"/>
        <v>1</v>
      </c>
      <c r="AD188" s="1041">
        <f t="shared" si="61"/>
        <v>1</v>
      </c>
      <c r="AE188" s="1041">
        <f t="shared" si="61"/>
        <v>1</v>
      </c>
      <c r="AF188" s="1041">
        <f t="shared" si="61"/>
        <v>1</v>
      </c>
      <c r="AG188" s="1041">
        <f t="shared" si="61"/>
        <v>1</v>
      </c>
      <c r="AH188" s="1041">
        <f t="shared" si="61"/>
        <v>1</v>
      </c>
      <c r="AI188" s="1041">
        <f t="shared" si="61"/>
        <v>1</v>
      </c>
      <c r="AJ188" s="1042">
        <f t="shared" si="61"/>
        <v>1</v>
      </c>
      <c r="AK188" s="1083">
        <f t="shared" si="61"/>
        <v>1</v>
      </c>
      <c r="AL188" s="1084">
        <f t="shared" si="61"/>
        <v>1</v>
      </c>
      <c r="AM188" s="1084">
        <f t="shared" si="61"/>
        <v>1</v>
      </c>
      <c r="AN188" s="1084">
        <f t="shared" si="61"/>
        <v>1</v>
      </c>
      <c r="AO188" s="1084">
        <f t="shared" si="61"/>
        <v>1</v>
      </c>
      <c r="AP188" s="1084">
        <f t="shared" si="61"/>
        <v>1</v>
      </c>
      <c r="AQ188" s="1084">
        <f t="shared" si="61"/>
        <v>1</v>
      </c>
      <c r="AR188" s="1084">
        <f t="shared" si="61"/>
        <v>1</v>
      </c>
      <c r="AS188" s="1084">
        <f t="shared" si="61"/>
        <v>1</v>
      </c>
      <c r="AT188" s="1084">
        <f t="shared" si="61"/>
        <v>1</v>
      </c>
      <c r="AU188" s="1084">
        <f t="shared" si="61"/>
        <v>1</v>
      </c>
      <c r="AV188" s="1084">
        <f t="shared" si="61"/>
        <v>1</v>
      </c>
      <c r="AW188" s="1084">
        <f t="shared" si="61"/>
        <v>1</v>
      </c>
      <c r="AX188" s="1084">
        <f t="shared" si="61"/>
        <v>1</v>
      </c>
      <c r="AY188" s="1084">
        <f t="shared" si="61"/>
        <v>1</v>
      </c>
      <c r="AZ188" s="1084">
        <f t="shared" si="61"/>
        <v>1</v>
      </c>
      <c r="BA188" s="1084">
        <f t="shared" si="61"/>
        <v>1</v>
      </c>
      <c r="BB188" s="1085">
        <f t="shared" si="61"/>
        <v>1</v>
      </c>
      <c r="BC188" s="1043"/>
      <c r="BE188" s="135"/>
    </row>
    <row r="189" spans="1:57" ht="12" customHeight="1" outlineLevel="1" x14ac:dyDescent="0.2">
      <c r="A189" s="123"/>
      <c r="B189" s="104" t="s">
        <v>102</v>
      </c>
      <c r="C189" s="104" t="s">
        <v>121</v>
      </c>
      <c r="D189" s="2" t="s">
        <v>137</v>
      </c>
      <c r="E189" s="2" t="s">
        <v>138</v>
      </c>
      <c r="F189" s="105" t="s">
        <v>122</v>
      </c>
      <c r="G189" s="27" t="s">
        <v>1579</v>
      </c>
      <c r="H189" s="106" t="s">
        <v>128</v>
      </c>
      <c r="I189" s="107" t="s">
        <v>129</v>
      </c>
      <c r="J189" s="108">
        <v>3.8814574399999997</v>
      </c>
      <c r="K189" s="109"/>
      <c r="L189" s="109"/>
      <c r="M189" s="131">
        <f t="shared" ca="1" si="44"/>
        <v>1.7768132615463712</v>
      </c>
      <c r="N189" s="133">
        <f t="shared" ca="1" si="44"/>
        <v>0.47900192134903646</v>
      </c>
      <c r="O189" s="1059" t="s">
        <v>1583</v>
      </c>
      <c r="P189" s="131">
        <f t="shared" ref="P189:BB189" si="62">IFERROR(P56/_xlfn.MAXIFS(P$19:P$150,$B$19:$B$150,$B189,$F$152:$F$283,"C"),"?")</f>
        <v>0.31339854697683334</v>
      </c>
      <c r="Q189" s="133">
        <f t="shared" si="62"/>
        <v>1.0637898774879506</v>
      </c>
      <c r="R189" s="132">
        <f t="shared" si="62"/>
        <v>0.76205073763867082</v>
      </c>
      <c r="S189" s="1044">
        <f t="shared" si="62"/>
        <v>0.70805531045995207</v>
      </c>
      <c r="T189" s="1044">
        <f t="shared" si="62"/>
        <v>0.47830609880331038</v>
      </c>
      <c r="U189" s="1044">
        <f t="shared" si="62"/>
        <v>0.42160615936412882</v>
      </c>
      <c r="V189" s="1044">
        <f t="shared" si="62"/>
        <v>0.96113525360549312</v>
      </c>
      <c r="W189" s="1044">
        <f t="shared" si="62"/>
        <v>0.3540727630096896</v>
      </c>
      <c r="X189" s="1044">
        <f t="shared" si="62"/>
        <v>0.96214547351533153</v>
      </c>
      <c r="Y189" s="1044">
        <f t="shared" si="62"/>
        <v>0.2620788840874631</v>
      </c>
      <c r="Z189" s="1044">
        <f t="shared" si="62"/>
        <v>0.12140338151077391</v>
      </c>
      <c r="AA189" s="1044">
        <f t="shared" si="62"/>
        <v>0.63174380329545621</v>
      </c>
      <c r="AB189" s="1044">
        <f t="shared" si="62"/>
        <v>5.2456101136799521E-3</v>
      </c>
      <c r="AC189" s="1044">
        <f t="shared" si="62"/>
        <v>5.8627262247183268E-3</v>
      </c>
      <c r="AD189" s="1044">
        <f t="shared" si="62"/>
        <v>3.838477244496645E-2</v>
      </c>
      <c r="AE189" s="1044">
        <f t="shared" si="62"/>
        <v>0.39852290609262092</v>
      </c>
      <c r="AF189" s="1044">
        <f t="shared" si="62"/>
        <v>8.7896985111830014E-2</v>
      </c>
      <c r="AG189" s="1044">
        <f t="shared" si="62"/>
        <v>1.1421942243571457</v>
      </c>
      <c r="AH189" s="1044">
        <f t="shared" si="62"/>
        <v>0.202971175229853</v>
      </c>
      <c r="AI189" s="1044">
        <f t="shared" si="62"/>
        <v>0.72676908192230139</v>
      </c>
      <c r="AJ189" s="1045">
        <f t="shared" si="62"/>
        <v>0.83437271495419785</v>
      </c>
      <c r="AK189" s="1086">
        <f t="shared" si="62"/>
        <v>0.70866481907627332</v>
      </c>
      <c r="AL189" s="1087">
        <f t="shared" si="62"/>
        <v>0.42154509979114807</v>
      </c>
      <c r="AM189" s="1087">
        <f t="shared" si="62"/>
        <v>0.4180903028050324</v>
      </c>
      <c r="AN189" s="1087">
        <f t="shared" si="62"/>
        <v>1.0333459597363899</v>
      </c>
      <c r="AO189" s="1087">
        <f t="shared" si="62"/>
        <v>0.39233818251817509</v>
      </c>
      <c r="AP189" s="1087">
        <f t="shared" si="62"/>
        <v>0.27098923662443336</v>
      </c>
      <c r="AQ189" s="1087">
        <f t="shared" si="62"/>
        <v>0.14378545670675325</v>
      </c>
      <c r="AR189" s="1087">
        <f t="shared" si="62"/>
        <v>0.61927040453062354</v>
      </c>
      <c r="AS189" s="1087">
        <f t="shared" si="62"/>
        <v>3.0724695982658459E-4</v>
      </c>
      <c r="AT189" s="1087">
        <f t="shared" si="62"/>
        <v>1.6446247480746114E-2</v>
      </c>
      <c r="AU189" s="1087">
        <f t="shared" si="62"/>
        <v>5.8165838897341428E-2</v>
      </c>
      <c r="AV189" s="1087">
        <f t="shared" si="62"/>
        <v>0.12770433638030965</v>
      </c>
      <c r="AW189" s="1087">
        <f t="shared" si="62"/>
        <v>1.1421951384199089</v>
      </c>
      <c r="AX189" s="1087">
        <f t="shared" si="62"/>
        <v>0.27420205961951188</v>
      </c>
      <c r="AY189" s="1087">
        <f t="shared" si="62"/>
        <v>0.26771130519898689</v>
      </c>
      <c r="AZ189" s="1087">
        <f t="shared" si="62"/>
        <v>1.1344770875146006</v>
      </c>
      <c r="BA189" s="1087">
        <f t="shared" si="62"/>
        <v>0.73040048556313264</v>
      </c>
      <c r="BB189" s="1088">
        <f t="shared" si="62"/>
        <v>0.81628995504860868</v>
      </c>
      <c r="BC189" s="1043"/>
      <c r="BE189" s="135"/>
    </row>
    <row r="190" spans="1:57" ht="12" customHeight="1" outlineLevel="1" x14ac:dyDescent="0.2">
      <c r="A190" s="123"/>
      <c r="B190" s="104" t="s">
        <v>102</v>
      </c>
      <c r="C190" s="104" t="s">
        <v>121</v>
      </c>
      <c r="D190" s="2" t="s">
        <v>137</v>
      </c>
      <c r="E190" s="2" t="s">
        <v>138</v>
      </c>
      <c r="F190" s="105" t="s">
        <v>93</v>
      </c>
      <c r="G190" s="27" t="s">
        <v>1578</v>
      </c>
      <c r="H190" s="106" t="s">
        <v>130</v>
      </c>
      <c r="I190" s="107" t="s">
        <v>129</v>
      </c>
      <c r="J190" s="108">
        <v>3.8814574399999997</v>
      </c>
      <c r="K190" s="109"/>
      <c r="L190" s="109"/>
      <c r="M190" s="131">
        <f t="shared" ca="1" si="44"/>
        <v>1.8317491555524719</v>
      </c>
      <c r="N190" s="133">
        <f t="shared" ca="1" si="44"/>
        <v>0.63998209912186566</v>
      </c>
      <c r="O190" s="1059" t="s">
        <v>1583</v>
      </c>
      <c r="P190" s="131">
        <f t="shared" ref="P190:BB190" si="63">IFERROR(P57/_xlfn.MAXIFS(P$19:P$150,$B$19:$B$150,$B190,$F$152:$F$283,"C"),"?")</f>
        <v>0.44409785528292817</v>
      </c>
      <c r="Q190" s="133">
        <f t="shared" si="63"/>
        <v>1.4200755940639445</v>
      </c>
      <c r="R190" s="132">
        <f t="shared" si="63"/>
        <v>1.017277190413729</v>
      </c>
      <c r="S190" s="1044">
        <f t="shared" si="63"/>
        <v>0.94519761493885945</v>
      </c>
      <c r="T190" s="1044">
        <f t="shared" si="63"/>
        <v>0.63850065140145362</v>
      </c>
      <c r="U190" s="1044">
        <f t="shared" si="63"/>
        <v>0.5628107200248007</v>
      </c>
      <c r="V190" s="1044">
        <f t="shared" si="63"/>
        <v>1.2830392304509541</v>
      </c>
      <c r="W190" s="1044">
        <f t="shared" si="63"/>
        <v>0.47265901875130928</v>
      </c>
      <c r="X190" s="1044">
        <f t="shared" si="63"/>
        <v>1.2843877673344155</v>
      </c>
      <c r="Y190" s="1044">
        <f t="shared" si="63"/>
        <v>0.34985448432286831</v>
      </c>
      <c r="Z190" s="1044">
        <f t="shared" si="63"/>
        <v>0.16206386997122707</v>
      </c>
      <c r="AA190" s="1044">
        <f t="shared" si="63"/>
        <v>0.84332779262810487</v>
      </c>
      <c r="AB190" s="1044">
        <f t="shared" si="63"/>
        <v>7.0024726516215597E-3</v>
      </c>
      <c r="AC190" s="1044">
        <f t="shared" si="63"/>
        <v>7.9246924128753785E-3</v>
      </c>
      <c r="AD190" s="1044">
        <f t="shared" si="63"/>
        <v>5.1598467437346085E-2</v>
      </c>
      <c r="AE190" s="1044">
        <f t="shared" si="63"/>
        <v>0.55245884391371292</v>
      </c>
      <c r="AF190" s="1044">
        <f t="shared" si="63"/>
        <v>0.17392530636872686</v>
      </c>
      <c r="AG190" s="1044">
        <f t="shared" si="63"/>
        <v>1.5247385408902263</v>
      </c>
      <c r="AH190" s="1044">
        <f t="shared" si="63"/>
        <v>0.2709504149109821</v>
      </c>
      <c r="AI190" s="1044">
        <f t="shared" si="63"/>
        <v>0.97017898821929738</v>
      </c>
      <c r="AJ190" s="1045">
        <f t="shared" si="63"/>
        <v>1.1138212662274189</v>
      </c>
      <c r="AK190" s="1086">
        <f t="shared" si="63"/>
        <v>0.94601122487121303</v>
      </c>
      <c r="AL190" s="1087">
        <f t="shared" si="63"/>
        <v>0.5627292413445576</v>
      </c>
      <c r="AM190" s="1087">
        <f t="shared" si="63"/>
        <v>0.55811734035504013</v>
      </c>
      <c r="AN190" s="1087">
        <f t="shared" si="63"/>
        <v>1.3794348190995058</v>
      </c>
      <c r="AO190" s="1087">
        <f t="shared" si="63"/>
        <v>0.52374031047298775</v>
      </c>
      <c r="AP190" s="1087">
        <f t="shared" si="63"/>
        <v>0.36174910081092893</v>
      </c>
      <c r="AQ190" s="1087">
        <f t="shared" si="63"/>
        <v>0.19194216417608773</v>
      </c>
      <c r="AR190" s="1087">
        <f t="shared" si="63"/>
        <v>0.826676798503308</v>
      </c>
      <c r="AS190" s="1087">
        <f t="shared" si="63"/>
        <v>9.3102375285541625E-4</v>
      </c>
      <c r="AT190" s="1087">
        <f t="shared" si="63"/>
        <v>2.2126341282968205E-2</v>
      </c>
      <c r="AU190" s="1087">
        <f t="shared" si="63"/>
        <v>7.7959815571554111E-2</v>
      </c>
      <c r="AV190" s="1087">
        <f t="shared" si="63"/>
        <v>0.19533254441780393</v>
      </c>
      <c r="AW190" s="1087">
        <f t="shared" si="63"/>
        <v>1.5247397742983244</v>
      </c>
      <c r="AX190" s="1087">
        <f t="shared" si="63"/>
        <v>0.36603796431076785</v>
      </c>
      <c r="AY190" s="1087">
        <f t="shared" si="63"/>
        <v>0.35737332876260897</v>
      </c>
      <c r="AZ190" s="1087">
        <f t="shared" si="63"/>
        <v>1.5144368204738634</v>
      </c>
      <c r="BA190" s="1087">
        <f t="shared" si="63"/>
        <v>0.97502663454435434</v>
      </c>
      <c r="BB190" s="1088">
        <f t="shared" si="63"/>
        <v>1.0896822440654579</v>
      </c>
      <c r="BC190" s="1043"/>
      <c r="BE190" s="135"/>
    </row>
    <row r="191" spans="1:57" ht="12" customHeight="1" outlineLevel="1" x14ac:dyDescent="0.2">
      <c r="A191" s="123"/>
      <c r="B191" s="104" t="s">
        <v>102</v>
      </c>
      <c r="C191" s="104" t="s">
        <v>121</v>
      </c>
      <c r="D191" s="2" t="s">
        <v>137</v>
      </c>
      <c r="E191" s="2" t="s">
        <v>138</v>
      </c>
      <c r="F191" s="105" t="s">
        <v>94</v>
      </c>
      <c r="G191" s="27" t="s">
        <v>1580</v>
      </c>
      <c r="H191" s="106" t="s">
        <v>131</v>
      </c>
      <c r="I191" s="107" t="s">
        <v>129</v>
      </c>
      <c r="J191" s="108">
        <v>3.8814574399999997</v>
      </c>
      <c r="K191" s="109"/>
      <c r="L191" s="109"/>
      <c r="M191" s="131">
        <f t="shared" ca="1" si="44"/>
        <v>1.7439057944342424</v>
      </c>
      <c r="N191" s="133">
        <f t="shared" ca="1" si="44"/>
        <v>0.3825722554337847</v>
      </c>
      <c r="O191" s="1059" t="s">
        <v>1583</v>
      </c>
      <c r="P191" s="131">
        <f t="shared" ref="P191:BB191" si="64">IFERROR(P58/_xlfn.MAXIFS(P$19:P$150,$B$19:$B$150,$B191,$F$152:$F$283,"C"),"?")</f>
        <v>0.23511257386370391</v>
      </c>
      <c r="Q191" s="133">
        <f t="shared" si="64"/>
        <v>0.8503688580987504</v>
      </c>
      <c r="R191" s="132">
        <f t="shared" si="64"/>
        <v>0.60916591460117975</v>
      </c>
      <c r="S191" s="1044">
        <f t="shared" si="64"/>
        <v>0.56600320590511477</v>
      </c>
      <c r="T191" s="1044">
        <f t="shared" si="64"/>
        <v>0.38234694070551478</v>
      </c>
      <c r="U191" s="1044">
        <f t="shared" si="64"/>
        <v>0.33702228727610201</v>
      </c>
      <c r="V191" s="1044">
        <f t="shared" si="64"/>
        <v>0.76830949152351036</v>
      </c>
      <c r="W191" s="1044">
        <f t="shared" si="64"/>
        <v>0.28303764744569332</v>
      </c>
      <c r="X191" s="1044">
        <f t="shared" si="64"/>
        <v>0.76911703811768906</v>
      </c>
      <c r="Y191" s="1044">
        <f t="shared" si="64"/>
        <v>0.20949984635094729</v>
      </c>
      <c r="Z191" s="1044">
        <f t="shared" si="64"/>
        <v>9.704708121726803E-2</v>
      </c>
      <c r="AA191" s="1044">
        <f t="shared" si="64"/>
        <v>0.50500154212276183</v>
      </c>
      <c r="AB191" s="1044">
        <f t="shared" si="64"/>
        <v>4.1932204816727643E-3</v>
      </c>
      <c r="AC191" s="1044">
        <f t="shared" si="64"/>
        <v>4.6275934553558521E-3</v>
      </c>
      <c r="AD191" s="1044">
        <f t="shared" si="64"/>
        <v>3.0469622089234843E-2</v>
      </c>
      <c r="AE191" s="1044">
        <f t="shared" si="64"/>
        <v>0.30631674140634457</v>
      </c>
      <c r="AF191" s="1044">
        <f t="shared" si="64"/>
        <v>3.6375727548980615E-2</v>
      </c>
      <c r="AG191" s="1044">
        <f t="shared" si="64"/>
        <v>0.91304389169557709</v>
      </c>
      <c r="AH191" s="1044">
        <f t="shared" si="64"/>
        <v>0.16225051138820593</v>
      </c>
      <c r="AI191" s="1044">
        <f t="shared" si="64"/>
        <v>0.58096254893430166</v>
      </c>
      <c r="AJ191" s="1045">
        <f t="shared" si="64"/>
        <v>0.66697838679503818</v>
      </c>
      <c r="AK191" s="1086">
        <f t="shared" si="64"/>
        <v>0.56649041779826292</v>
      </c>
      <c r="AL191" s="1087">
        <f t="shared" si="64"/>
        <v>0.33697349857248399</v>
      </c>
      <c r="AM191" s="1087">
        <f t="shared" si="64"/>
        <v>0.33421180598681449</v>
      </c>
      <c r="AN191" s="1087">
        <f t="shared" si="64"/>
        <v>0.82603306934098308</v>
      </c>
      <c r="AO191" s="1087">
        <f t="shared" si="64"/>
        <v>0.31362614818684431</v>
      </c>
      <c r="AP191" s="1087">
        <f t="shared" si="64"/>
        <v>0.21662258509159565</v>
      </c>
      <c r="AQ191" s="1087">
        <f t="shared" si="64"/>
        <v>0.1149387998482499</v>
      </c>
      <c r="AR191" s="1087">
        <f t="shared" si="64"/>
        <v>0.49503057525899613</v>
      </c>
      <c r="AS191" s="1087">
        <f t="shared" si="64"/>
        <v>-6.6303243668976346E-5</v>
      </c>
      <c r="AT191" s="1087">
        <f t="shared" si="64"/>
        <v>1.3043811316774576E-2</v>
      </c>
      <c r="AU191" s="1087">
        <f t="shared" si="64"/>
        <v>4.6308980677607879E-2</v>
      </c>
      <c r="AV191" s="1087">
        <f t="shared" si="64"/>
        <v>8.7198815790399634E-2</v>
      </c>
      <c r="AW191" s="1087">
        <f t="shared" si="64"/>
        <v>0.91304460687210653</v>
      </c>
      <c r="AX191" s="1087">
        <f t="shared" si="64"/>
        <v>0.21919083987473184</v>
      </c>
      <c r="AY191" s="1087">
        <f t="shared" si="64"/>
        <v>0.21400228165047691</v>
      </c>
      <c r="AZ191" s="1087">
        <f t="shared" si="64"/>
        <v>0.90687499454832798</v>
      </c>
      <c r="BA191" s="1087">
        <f t="shared" si="64"/>
        <v>0.58386539533365467</v>
      </c>
      <c r="BB191" s="1088">
        <f t="shared" si="64"/>
        <v>0.65252350415439053</v>
      </c>
      <c r="BC191" s="1043"/>
      <c r="BE191" s="135"/>
    </row>
    <row r="192" spans="1:57" ht="12" customHeight="1" outlineLevel="1" x14ac:dyDescent="0.2">
      <c r="A192" s="123"/>
      <c r="B192" s="104" t="s">
        <v>102</v>
      </c>
      <c r="C192" s="104" t="s">
        <v>121</v>
      </c>
      <c r="D192" s="2" t="s">
        <v>137</v>
      </c>
      <c r="E192" s="2" t="s">
        <v>138</v>
      </c>
      <c r="F192" s="105" t="s">
        <v>95</v>
      </c>
      <c r="G192" s="27" t="s">
        <v>1581</v>
      </c>
      <c r="H192" s="106" t="s">
        <v>128</v>
      </c>
      <c r="I192" s="107" t="s">
        <v>127</v>
      </c>
      <c r="J192" s="108">
        <v>3.8814574399999997</v>
      </c>
      <c r="K192" s="109"/>
      <c r="L192" s="109"/>
      <c r="M192" s="131">
        <f t="shared" ref="M192:N211" ca="1" si="65">IFERROR(M325/_xlfn.MAXIFS(M$285:M$416,$B$19:$B$150,$B192,$F$152:$F$283,"C"),"?")</f>
        <v>1.8119945535044217</v>
      </c>
      <c r="N192" s="133">
        <f t="shared" ca="1" si="65"/>
        <v>0.58209463943706508</v>
      </c>
      <c r="O192" s="1059" t="s">
        <v>1583</v>
      </c>
      <c r="P192" s="131">
        <f t="shared" ref="P192:BB192" si="66">IFERROR(P59/_xlfn.MAXIFS(P$19:P$150,$B$19:$B$150,$B192,$F$152:$F$283,"C"),"?")</f>
        <v>0.98410405392168898</v>
      </c>
      <c r="Q192" s="133">
        <f t="shared" si="66"/>
        <v>1.1052444173298661</v>
      </c>
      <c r="R192" s="132">
        <f t="shared" si="66"/>
        <v>0.81730612070824982</v>
      </c>
      <c r="S192" s="1044">
        <f t="shared" si="66"/>
        <v>0.82229724836627416</v>
      </c>
      <c r="T192" s="1044">
        <f t="shared" si="66"/>
        <v>0.68786402817966086</v>
      </c>
      <c r="U192" s="1044">
        <f t="shared" si="66"/>
        <v>0.42527313146137735</v>
      </c>
      <c r="V192" s="1044">
        <f t="shared" si="66"/>
        <v>1.0444908115823384</v>
      </c>
      <c r="W192" s="1044">
        <f t="shared" si="66"/>
        <v>0.94687894823725383</v>
      </c>
      <c r="X192" s="1044">
        <f t="shared" si="66"/>
        <v>1.0450825627799316</v>
      </c>
      <c r="Y192" s="1044">
        <f t="shared" si="66"/>
        <v>0.94444710043820324</v>
      </c>
      <c r="Z192" s="1044">
        <f t="shared" si="66"/>
        <v>0.56203755630894658</v>
      </c>
      <c r="AA192" s="1044">
        <f t="shared" si="66"/>
        <v>0.89739383787743821</v>
      </c>
      <c r="AB192" s="1044">
        <f t="shared" si="66"/>
        <v>9.1909307460876187E-3</v>
      </c>
      <c r="AC192" s="1044">
        <f t="shared" si="66"/>
        <v>1.0681308140238601E-2</v>
      </c>
      <c r="AD192" s="1044">
        <f t="shared" si="66"/>
        <v>6.4520327784636108E-2</v>
      </c>
      <c r="AE192" s="1044">
        <f t="shared" si="66"/>
        <v>0.79882285007305065</v>
      </c>
      <c r="AF192" s="1044">
        <f t="shared" si="66"/>
        <v>1.0918408371003256</v>
      </c>
      <c r="AG192" s="1044">
        <f t="shared" si="66"/>
        <v>1.1421942243571457</v>
      </c>
      <c r="AH192" s="1044">
        <f t="shared" si="66"/>
        <v>0.20346345430501248</v>
      </c>
      <c r="AI192" s="1044">
        <f t="shared" si="66"/>
        <v>0.77700060256855485</v>
      </c>
      <c r="AJ192" s="1045">
        <f t="shared" si="66"/>
        <v>0.83741876449315045</v>
      </c>
      <c r="AK192" s="1086">
        <f t="shared" si="66"/>
        <v>0.82332568040684817</v>
      </c>
      <c r="AL192" s="1087">
        <f t="shared" si="66"/>
        <v>0.42519158090354081</v>
      </c>
      <c r="AM192" s="1087">
        <f t="shared" si="66"/>
        <v>0.42169130416287043</v>
      </c>
      <c r="AN192" s="1087">
        <f t="shared" si="66"/>
        <v>1.1192904203886394</v>
      </c>
      <c r="AO192" s="1087">
        <f t="shared" si="66"/>
        <v>0.9693852268893387</v>
      </c>
      <c r="AP192" s="1087">
        <f t="shared" si="66"/>
        <v>0.9527817980564931</v>
      </c>
      <c r="AQ192" s="1087">
        <f t="shared" si="66"/>
        <v>0.56968435162134601</v>
      </c>
      <c r="AR192" s="1087">
        <f t="shared" si="66"/>
        <v>0.8998004545976287</v>
      </c>
      <c r="AS192" s="1087">
        <f t="shared" si="66"/>
        <v>1.0101236017376706E-2</v>
      </c>
      <c r="AT192" s="1087">
        <f t="shared" si="66"/>
        <v>2.2956656104963762E-2</v>
      </c>
      <c r="AU192" s="1087">
        <f t="shared" si="66"/>
        <v>7.520454649880251E-2</v>
      </c>
      <c r="AV192" s="1087">
        <f t="shared" si="66"/>
        <v>0.63254700831339372</v>
      </c>
      <c r="AW192" s="1087">
        <f t="shared" si="66"/>
        <v>1.1421951384199089</v>
      </c>
      <c r="AX192" s="1087">
        <f t="shared" si="66"/>
        <v>0.27420205961951188</v>
      </c>
      <c r="AY192" s="1087">
        <f t="shared" si="66"/>
        <v>0.26771130519898689</v>
      </c>
      <c r="AZ192" s="1087">
        <f t="shared" si="66"/>
        <v>1.1362675157265869</v>
      </c>
      <c r="BA192" s="1087">
        <f t="shared" si="66"/>
        <v>0.78031425600907423</v>
      </c>
      <c r="BB192" s="1088">
        <f t="shared" si="66"/>
        <v>0.8192408528445555</v>
      </c>
      <c r="BC192" s="1043"/>
      <c r="BE192" s="135"/>
    </row>
    <row r="193" spans="1:57" ht="12" customHeight="1" outlineLevel="1" x14ac:dyDescent="0.2">
      <c r="A193" s="123"/>
      <c r="B193" s="104" t="s">
        <v>102</v>
      </c>
      <c r="C193" s="104" t="s">
        <v>121</v>
      </c>
      <c r="D193" s="2" t="s">
        <v>137</v>
      </c>
      <c r="E193" s="2" t="s">
        <v>138</v>
      </c>
      <c r="F193" s="105" t="s">
        <v>96</v>
      </c>
      <c r="G193" s="27" t="s">
        <v>1582</v>
      </c>
      <c r="H193" s="106" t="s">
        <v>128</v>
      </c>
      <c r="I193" s="107" t="s">
        <v>1577</v>
      </c>
      <c r="J193" s="129">
        <v>3.8814574399999997</v>
      </c>
      <c r="K193" s="130"/>
      <c r="L193" s="130"/>
      <c r="M193" s="131">
        <f t="shared" ca="1" si="65"/>
        <v>1.8376837724572022</v>
      </c>
      <c r="N193" s="133">
        <f t="shared" ca="1" si="65"/>
        <v>0.65737247205783689</v>
      </c>
      <c r="O193" s="1059" t="s">
        <v>1583</v>
      </c>
      <c r="P193" s="131">
        <f t="shared" ref="P193:BB193" si="67">IFERROR(P60/_xlfn.MAXIFS(P$19:P$150,$B$19:$B$150,$B193,$F$152:$F$283,"C"),"?")</f>
        <v>1.49468751294768</v>
      </c>
      <c r="Q193" s="133">
        <f t="shared" si="67"/>
        <v>1.1353003256573637</v>
      </c>
      <c r="R193" s="132">
        <f t="shared" si="67"/>
        <v>0.85336668818954431</v>
      </c>
      <c r="S193" s="1044">
        <f t="shared" si="67"/>
        <v>0.90416221534544161</v>
      </c>
      <c r="T193" s="1044">
        <f t="shared" si="67"/>
        <v>0.84064966461563073</v>
      </c>
      <c r="U193" s="1044">
        <f t="shared" si="67"/>
        <v>0.42766628144479785</v>
      </c>
      <c r="V193" s="1044">
        <f t="shared" si="67"/>
        <v>1.0988899303948982</v>
      </c>
      <c r="W193" s="1044">
        <f t="shared" si="67"/>
        <v>1.3782929518085274</v>
      </c>
      <c r="X193" s="1044">
        <f t="shared" si="67"/>
        <v>1.0992085860394274</v>
      </c>
      <c r="Y193" s="1044">
        <f t="shared" si="67"/>
        <v>1.4416182882804898</v>
      </c>
      <c r="Z193" s="1044">
        <f t="shared" si="67"/>
        <v>0.87585293814050413</v>
      </c>
      <c r="AA193" s="1044">
        <f t="shared" si="67"/>
        <v>1.0910999862814896</v>
      </c>
      <c r="AB193" s="1044">
        <f t="shared" si="67"/>
        <v>1.1765709611944243E-2</v>
      </c>
      <c r="AC193" s="1044">
        <f t="shared" si="67"/>
        <v>1.2549582652027486E-2</v>
      </c>
      <c r="AD193" s="1044">
        <f t="shared" si="67"/>
        <v>7.2983127186546246E-2</v>
      </c>
      <c r="AE193" s="1044">
        <f t="shared" si="67"/>
        <v>1.1212937353793144</v>
      </c>
      <c r="AF193" s="1044">
        <f t="shared" si="67"/>
        <v>1.872507099848135</v>
      </c>
      <c r="AG193" s="1044">
        <f t="shared" si="67"/>
        <v>1.1421942243571457</v>
      </c>
      <c r="AH193" s="1044">
        <f t="shared" si="67"/>
        <v>0.20378472656545782</v>
      </c>
      <c r="AI193" s="1044">
        <f t="shared" si="67"/>
        <v>0.80978250310087241</v>
      </c>
      <c r="AJ193" s="1045">
        <f t="shared" si="67"/>
        <v>0.83940669352445996</v>
      </c>
      <c r="AK193" s="1086">
        <f t="shared" si="67"/>
        <v>0.90550126258783825</v>
      </c>
      <c r="AL193" s="1087">
        <f t="shared" si="67"/>
        <v>0.42757135515692096</v>
      </c>
      <c r="AM193" s="1087">
        <f t="shared" si="67"/>
        <v>0.42404137701490102</v>
      </c>
      <c r="AN193" s="1087">
        <f t="shared" si="67"/>
        <v>1.1753792412522768</v>
      </c>
      <c r="AO193" s="1087">
        <f t="shared" si="67"/>
        <v>1.3889107971736101</v>
      </c>
      <c r="AP193" s="1087">
        <f t="shared" si="67"/>
        <v>1.4494590254892561</v>
      </c>
      <c r="AQ193" s="1087">
        <f t="shared" si="67"/>
        <v>0.87300072433186027</v>
      </c>
      <c r="AR193" s="1087">
        <f t="shared" si="67"/>
        <v>1.1043276681608842</v>
      </c>
      <c r="AS193" s="1087">
        <f t="shared" si="67"/>
        <v>1.7016746450090964E-2</v>
      </c>
      <c r="AT193" s="1087">
        <f t="shared" si="67"/>
        <v>2.5755179643305672E-2</v>
      </c>
      <c r="AU193" s="1087">
        <f t="shared" si="67"/>
        <v>8.2042627359021583E-2</v>
      </c>
      <c r="AV193" s="1087">
        <f t="shared" si="67"/>
        <v>1.0367153726646787</v>
      </c>
      <c r="AW193" s="1087">
        <f t="shared" si="67"/>
        <v>1.1421951384199089</v>
      </c>
      <c r="AX193" s="1087">
        <f t="shared" si="67"/>
        <v>0.27420205961951188</v>
      </c>
      <c r="AY193" s="1087">
        <f t="shared" si="67"/>
        <v>0.26771130519898689</v>
      </c>
      <c r="AZ193" s="1087">
        <f t="shared" si="67"/>
        <v>1.1374359577219861</v>
      </c>
      <c r="BA193" s="1087">
        <f t="shared" si="67"/>
        <v>0.81288876165206492</v>
      </c>
      <c r="BB193" s="1088">
        <f t="shared" si="67"/>
        <v>0.8211666554762016</v>
      </c>
      <c r="BC193" s="1043"/>
      <c r="BE193" s="135"/>
    </row>
    <row r="194" spans="1:57" ht="12" customHeight="1" outlineLevel="1" x14ac:dyDescent="0.2">
      <c r="A194" s="123"/>
      <c r="B194" s="88" t="s">
        <v>103</v>
      </c>
      <c r="C194" s="88" t="s">
        <v>121</v>
      </c>
      <c r="D194" s="89" t="s">
        <v>137</v>
      </c>
      <c r="E194" s="89" t="s">
        <v>139</v>
      </c>
      <c r="F194" s="90" t="s">
        <v>92</v>
      </c>
      <c r="G194" s="18" t="s">
        <v>126</v>
      </c>
      <c r="H194" s="91" t="s">
        <v>127</v>
      </c>
      <c r="I194" s="92" t="s">
        <v>127</v>
      </c>
      <c r="J194" s="93">
        <v>0.31070780000000003</v>
      </c>
      <c r="K194" s="94"/>
      <c r="L194" s="94"/>
      <c r="M194" s="126">
        <f t="shared" ca="1" si="65"/>
        <v>1</v>
      </c>
      <c r="N194" s="128">
        <f t="shared" ca="1" si="65"/>
        <v>1</v>
      </c>
      <c r="O194" s="1058" t="s">
        <v>1583</v>
      </c>
      <c r="P194" s="126">
        <f t="shared" ref="P194:BB194" si="68">IFERROR(P61/_xlfn.MAXIFS(P$19:P$150,$B$19:$B$150,$B194,$F$152:$F$283,"C"),"?")</f>
        <v>1</v>
      </c>
      <c r="Q194" s="128">
        <f t="shared" si="68"/>
        <v>1</v>
      </c>
      <c r="R194" s="127">
        <f t="shared" si="68"/>
        <v>1</v>
      </c>
      <c r="S194" s="1041">
        <f t="shared" si="68"/>
        <v>1</v>
      </c>
      <c r="T194" s="1041">
        <f t="shared" si="68"/>
        <v>1</v>
      </c>
      <c r="U194" s="1041">
        <f t="shared" si="68"/>
        <v>1</v>
      </c>
      <c r="V194" s="1041">
        <f t="shared" si="68"/>
        <v>1</v>
      </c>
      <c r="W194" s="1041">
        <f t="shared" si="68"/>
        <v>1</v>
      </c>
      <c r="X194" s="1041">
        <f t="shared" si="68"/>
        <v>1</v>
      </c>
      <c r="Y194" s="1041">
        <f t="shared" si="68"/>
        <v>1</v>
      </c>
      <c r="Z194" s="1041">
        <f t="shared" si="68"/>
        <v>1</v>
      </c>
      <c r="AA194" s="1041">
        <f t="shared" si="68"/>
        <v>1</v>
      </c>
      <c r="AB194" s="1041">
        <f t="shared" si="68"/>
        <v>1</v>
      </c>
      <c r="AC194" s="1041">
        <f t="shared" si="68"/>
        <v>1</v>
      </c>
      <c r="AD194" s="1041">
        <f t="shared" si="68"/>
        <v>1</v>
      </c>
      <c r="AE194" s="1041">
        <f t="shared" si="68"/>
        <v>1</v>
      </c>
      <c r="AF194" s="1041">
        <f t="shared" si="68"/>
        <v>1</v>
      </c>
      <c r="AG194" s="1041">
        <f t="shared" si="68"/>
        <v>1</v>
      </c>
      <c r="AH194" s="1041">
        <f t="shared" si="68"/>
        <v>1</v>
      </c>
      <c r="AI194" s="1041">
        <f t="shared" si="68"/>
        <v>1</v>
      </c>
      <c r="AJ194" s="1042">
        <f t="shared" si="68"/>
        <v>1</v>
      </c>
      <c r="AK194" s="1083">
        <f t="shared" si="68"/>
        <v>1</v>
      </c>
      <c r="AL194" s="1084">
        <f t="shared" si="68"/>
        <v>1</v>
      </c>
      <c r="AM194" s="1084">
        <f t="shared" si="68"/>
        <v>1</v>
      </c>
      <c r="AN194" s="1084">
        <f t="shared" si="68"/>
        <v>1</v>
      </c>
      <c r="AO194" s="1084">
        <f t="shared" si="68"/>
        <v>1</v>
      </c>
      <c r="AP194" s="1084">
        <f t="shared" si="68"/>
        <v>1</v>
      </c>
      <c r="AQ194" s="1084">
        <f t="shared" si="68"/>
        <v>1</v>
      </c>
      <c r="AR194" s="1084">
        <f t="shared" si="68"/>
        <v>1</v>
      </c>
      <c r="AS194" s="1084">
        <f t="shared" si="68"/>
        <v>1</v>
      </c>
      <c r="AT194" s="1084">
        <f t="shared" si="68"/>
        <v>1</v>
      </c>
      <c r="AU194" s="1084">
        <f t="shared" si="68"/>
        <v>1</v>
      </c>
      <c r="AV194" s="1084">
        <f t="shared" si="68"/>
        <v>1</v>
      </c>
      <c r="AW194" s="1084">
        <f t="shared" si="68"/>
        <v>1</v>
      </c>
      <c r="AX194" s="1084">
        <f t="shared" si="68"/>
        <v>1</v>
      </c>
      <c r="AY194" s="1084">
        <f t="shared" si="68"/>
        <v>1</v>
      </c>
      <c r="AZ194" s="1084">
        <f t="shared" si="68"/>
        <v>1</v>
      </c>
      <c r="BA194" s="1084">
        <f t="shared" si="68"/>
        <v>1</v>
      </c>
      <c r="BB194" s="1085">
        <f t="shared" si="68"/>
        <v>1</v>
      </c>
      <c r="BC194" s="1043"/>
    </row>
    <row r="195" spans="1:57" ht="12" customHeight="1" outlineLevel="1" x14ac:dyDescent="0.2">
      <c r="A195" s="123"/>
      <c r="B195" s="104" t="s">
        <v>103</v>
      </c>
      <c r="C195" s="104" t="s">
        <v>121</v>
      </c>
      <c r="D195" s="2" t="s">
        <v>137</v>
      </c>
      <c r="E195" s="2" t="s">
        <v>139</v>
      </c>
      <c r="F195" s="105" t="s">
        <v>122</v>
      </c>
      <c r="G195" s="27" t="s">
        <v>1579</v>
      </c>
      <c r="H195" s="106" t="s">
        <v>128</v>
      </c>
      <c r="I195" s="107" t="s">
        <v>129</v>
      </c>
      <c r="J195" s="108">
        <v>0.31070780000000003</v>
      </c>
      <c r="K195" s="109"/>
      <c r="L195" s="109"/>
      <c r="M195" s="131">
        <f t="shared" ca="1" si="65"/>
        <v>2.0823412988892658</v>
      </c>
      <c r="N195" s="133">
        <f t="shared" ca="1" si="65"/>
        <v>0.33466898112695331</v>
      </c>
      <c r="O195" s="1059" t="s">
        <v>1583</v>
      </c>
      <c r="P195" s="131">
        <f t="shared" ref="P195:BB195" si="69">IFERROR(P62/_xlfn.MAXIFS(P$19:P$150,$B$19:$B$150,$B195,$F$152:$F$283,"C"),"?")</f>
        <v>0.22746046173693088</v>
      </c>
      <c r="Q195" s="133">
        <f t="shared" si="69"/>
        <v>0.97576788637213541</v>
      </c>
      <c r="R195" s="132">
        <f t="shared" si="69"/>
        <v>0.50094128213391831</v>
      </c>
      <c r="S195" s="1044">
        <f t="shared" si="69"/>
        <v>0.2822100770683304</v>
      </c>
      <c r="T195" s="1044">
        <f t="shared" si="69"/>
        <v>6.1518555417886089E-2</v>
      </c>
      <c r="U195" s="1044">
        <f t="shared" si="69"/>
        <v>0.32648005955942111</v>
      </c>
      <c r="V195" s="1044">
        <f t="shared" si="69"/>
        <v>0.71988535412634092</v>
      </c>
      <c r="W195" s="1044">
        <f t="shared" si="69"/>
        <v>0.21374559879837687</v>
      </c>
      <c r="X195" s="1044">
        <f t="shared" si="69"/>
        <v>0.72190926028404778</v>
      </c>
      <c r="Y195" s="1044">
        <f t="shared" si="69"/>
        <v>0.1494771888238082</v>
      </c>
      <c r="Z195" s="1044">
        <f t="shared" si="69"/>
        <v>0.16058866213865158</v>
      </c>
      <c r="AA195" s="1044">
        <f t="shared" si="69"/>
        <v>0.12809212779062376</v>
      </c>
      <c r="AB195" s="1044">
        <f t="shared" si="69"/>
        <v>2.8578945462377939E-3</v>
      </c>
      <c r="AC195" s="1044">
        <f t="shared" si="69"/>
        <v>4.4075832389511953E-3</v>
      </c>
      <c r="AD195" s="1044">
        <f t="shared" si="69"/>
        <v>2.7269297340251387E-2</v>
      </c>
      <c r="AE195" s="1044">
        <f t="shared" si="69"/>
        <v>0.36768282705812877</v>
      </c>
      <c r="AF195" s="1044">
        <f t="shared" si="69"/>
        <v>0.20317365123311576</v>
      </c>
      <c r="AG195" s="1044">
        <f t="shared" si="69"/>
        <v>1.1388940445635487</v>
      </c>
      <c r="AH195" s="1044">
        <f t="shared" si="69"/>
        <v>0.34032779201380875</v>
      </c>
      <c r="AI195" s="1044">
        <f t="shared" si="69"/>
        <v>0.45297587445494791</v>
      </c>
      <c r="AJ195" s="1045">
        <f t="shared" si="69"/>
        <v>1.1011617441986707</v>
      </c>
      <c r="AK195" s="1086">
        <f t="shared" si="69"/>
        <v>0.28199177548251886</v>
      </c>
      <c r="AL195" s="1087">
        <f t="shared" si="69"/>
        <v>0.32647417796933803</v>
      </c>
      <c r="AM195" s="1087">
        <f t="shared" si="69"/>
        <v>0.32189917495680404</v>
      </c>
      <c r="AN195" s="1087">
        <f t="shared" si="69"/>
        <v>0.97870769674387981</v>
      </c>
      <c r="AO195" s="1087">
        <f t="shared" si="69"/>
        <v>0.24716291868643073</v>
      </c>
      <c r="AP195" s="1087">
        <f t="shared" si="69"/>
        <v>0.15666273421773219</v>
      </c>
      <c r="AQ195" s="1087">
        <f t="shared" si="69"/>
        <v>0.18911361389258488</v>
      </c>
      <c r="AR195" s="1087">
        <f t="shared" si="69"/>
        <v>0.13014000245239615</v>
      </c>
      <c r="AS195" s="1087">
        <f t="shared" si="69"/>
        <v>1.5340092150447134E-3</v>
      </c>
      <c r="AT195" s="1087">
        <f t="shared" si="69"/>
        <v>1.2656428280012592E-2</v>
      </c>
      <c r="AU195" s="1087">
        <f t="shared" si="69"/>
        <v>3.8960221023884557E-2</v>
      </c>
      <c r="AV195" s="1087">
        <f t="shared" si="69"/>
        <v>0.16102435880444746</v>
      </c>
      <c r="AW195" s="1087">
        <f t="shared" si="69"/>
        <v>1.1388960765586993</v>
      </c>
      <c r="AX195" s="1087">
        <f t="shared" si="69"/>
        <v>0.14751023020979515</v>
      </c>
      <c r="AY195" s="1087">
        <f t="shared" si="69"/>
        <v>0.1493231010277361</v>
      </c>
      <c r="AZ195" s="1087">
        <f t="shared" si="69"/>
        <v>1.0927910581818787</v>
      </c>
      <c r="BA195" s="1087">
        <f t="shared" si="69"/>
        <v>0.46390258795242256</v>
      </c>
      <c r="BB195" s="1088">
        <f t="shared" si="69"/>
        <v>1.0974455534376535</v>
      </c>
      <c r="BC195" s="1043"/>
    </row>
    <row r="196" spans="1:57" ht="12" customHeight="1" outlineLevel="1" x14ac:dyDescent="0.2">
      <c r="A196" s="123"/>
      <c r="B196" s="104" t="s">
        <v>103</v>
      </c>
      <c r="C196" s="104" t="s">
        <v>121</v>
      </c>
      <c r="D196" s="2" t="s">
        <v>137</v>
      </c>
      <c r="E196" s="2" t="s">
        <v>139</v>
      </c>
      <c r="F196" s="105" t="s">
        <v>93</v>
      </c>
      <c r="G196" s="27" t="s">
        <v>1578</v>
      </c>
      <c r="H196" s="106" t="s">
        <v>130</v>
      </c>
      <c r="I196" s="107" t="s">
        <v>129</v>
      </c>
      <c r="J196" s="108">
        <v>0.31070780000000003</v>
      </c>
      <c r="K196" s="109"/>
      <c r="L196" s="109"/>
      <c r="M196" s="131">
        <f t="shared" ca="1" si="65"/>
        <v>2.1000411549911462</v>
      </c>
      <c r="N196" s="133">
        <f t="shared" ca="1" si="65"/>
        <v>0.44376255036021095</v>
      </c>
      <c r="O196" s="1059" t="s">
        <v>1583</v>
      </c>
      <c r="P196" s="131">
        <f t="shared" ref="P196:BB196" si="70">IFERROR(P63/_xlfn.MAXIFS(P$19:P$150,$B$19:$B$150,$B196,$F$152:$F$283,"C"),"?")</f>
        <v>0.30222633800348436</v>
      </c>
      <c r="Q196" s="133">
        <f t="shared" si="70"/>
        <v>1.2937798909587586</v>
      </c>
      <c r="R196" s="132">
        <f t="shared" si="70"/>
        <v>0.66420276881659268</v>
      </c>
      <c r="S196" s="1044">
        <f t="shared" si="70"/>
        <v>0.37418500090669532</v>
      </c>
      <c r="T196" s="1044">
        <f t="shared" si="70"/>
        <v>8.1568032895661502E-2</v>
      </c>
      <c r="U196" s="1044">
        <f t="shared" si="70"/>
        <v>0.4328829942588911</v>
      </c>
      <c r="V196" s="1044">
        <f t="shared" si="70"/>
        <v>0.95450276499479392</v>
      </c>
      <c r="W196" s="1044">
        <f t="shared" si="70"/>
        <v>0.28340730503806633</v>
      </c>
      <c r="X196" s="1044">
        <f t="shared" si="70"/>
        <v>0.95718627938768408</v>
      </c>
      <c r="Y196" s="1044">
        <f t="shared" si="70"/>
        <v>0.19819321438774537</v>
      </c>
      <c r="Z196" s="1044">
        <f t="shared" si="70"/>
        <v>0.2129260102080574</v>
      </c>
      <c r="AA196" s="1044">
        <f t="shared" si="70"/>
        <v>0.16983856362337155</v>
      </c>
      <c r="AB196" s="1044">
        <f t="shared" si="70"/>
        <v>3.7893091659108608E-3</v>
      </c>
      <c r="AC196" s="1044">
        <f t="shared" si="70"/>
        <v>5.8464029502456475E-3</v>
      </c>
      <c r="AD196" s="1044">
        <f t="shared" si="70"/>
        <v>3.616501675061122E-2</v>
      </c>
      <c r="AE196" s="1044">
        <f t="shared" si="70"/>
        <v>0.48859480419581292</v>
      </c>
      <c r="AF196" s="1044">
        <f t="shared" si="70"/>
        <v>0.27102591656602776</v>
      </c>
      <c r="AG196" s="1044">
        <f t="shared" si="70"/>
        <v>1.5100702825174943</v>
      </c>
      <c r="AH196" s="1044">
        <f t="shared" si="70"/>
        <v>0.45124382694118276</v>
      </c>
      <c r="AI196" s="1044">
        <f t="shared" si="70"/>
        <v>0.60060497649321243</v>
      </c>
      <c r="AJ196" s="1045">
        <f t="shared" si="70"/>
        <v>1.46004073814786</v>
      </c>
      <c r="AK196" s="1086">
        <f t="shared" si="70"/>
        <v>0.37389555441184386</v>
      </c>
      <c r="AL196" s="1087">
        <f t="shared" si="70"/>
        <v>0.43287518851873197</v>
      </c>
      <c r="AM196" s="1087">
        <f t="shared" si="70"/>
        <v>0.42680916392833401</v>
      </c>
      <c r="AN196" s="1087">
        <f t="shared" si="70"/>
        <v>1.2976777663767658</v>
      </c>
      <c r="AO196" s="1087">
        <f t="shared" si="70"/>
        <v>0.32771564289644461</v>
      </c>
      <c r="AP196" s="1087">
        <f t="shared" si="70"/>
        <v>0.20772059646424618</v>
      </c>
      <c r="AQ196" s="1087">
        <f t="shared" si="70"/>
        <v>0.25074751891991226</v>
      </c>
      <c r="AR196" s="1087">
        <f t="shared" si="70"/>
        <v>0.17255385496357398</v>
      </c>
      <c r="AS196" s="1087">
        <f t="shared" si="70"/>
        <v>2.0444973924783469E-3</v>
      </c>
      <c r="AT196" s="1087">
        <f t="shared" si="70"/>
        <v>1.6784477519044327E-2</v>
      </c>
      <c r="AU196" s="1087">
        <f t="shared" si="70"/>
        <v>5.1663048381809476E-2</v>
      </c>
      <c r="AV196" s="1087">
        <f t="shared" si="70"/>
        <v>0.21486340062658205</v>
      </c>
      <c r="AW196" s="1087">
        <f t="shared" si="70"/>
        <v>1.5100730846681014</v>
      </c>
      <c r="AX196" s="1087">
        <f t="shared" si="70"/>
        <v>0.19558520057683926</v>
      </c>
      <c r="AY196" s="1087">
        <f t="shared" si="70"/>
        <v>0.19798890379937145</v>
      </c>
      <c r="AZ196" s="1087">
        <f t="shared" si="70"/>
        <v>1.4489419691386713</v>
      </c>
      <c r="BA196" s="1087">
        <f t="shared" si="70"/>
        <v>0.61509282698161949</v>
      </c>
      <c r="BB196" s="1088">
        <f t="shared" si="70"/>
        <v>1.4551133729552896</v>
      </c>
      <c r="BC196" s="1043"/>
    </row>
    <row r="197" spans="1:57" ht="12" customHeight="1" outlineLevel="1" x14ac:dyDescent="0.2">
      <c r="A197" s="123"/>
      <c r="B197" s="104" t="s">
        <v>103</v>
      </c>
      <c r="C197" s="104" t="s">
        <v>121</v>
      </c>
      <c r="D197" s="2" t="s">
        <v>137</v>
      </c>
      <c r="E197" s="2" t="s">
        <v>139</v>
      </c>
      <c r="F197" s="105" t="s">
        <v>94</v>
      </c>
      <c r="G197" s="27" t="s">
        <v>1580</v>
      </c>
      <c r="H197" s="106" t="s">
        <v>131</v>
      </c>
      <c r="I197" s="107" t="s">
        <v>129</v>
      </c>
      <c r="J197" s="108">
        <v>0.31070780000000003</v>
      </c>
      <c r="K197" s="109"/>
      <c r="L197" s="109"/>
      <c r="M197" s="131">
        <f t="shared" ca="1" si="65"/>
        <v>2.0716258377413719</v>
      </c>
      <c r="N197" s="133">
        <f t="shared" ca="1" si="65"/>
        <v>0.26862392992002043</v>
      </c>
      <c r="O197" s="1059" t="s">
        <v>1583</v>
      </c>
      <c r="P197" s="131">
        <f t="shared" ref="P197:BB197" si="71">IFERROR(P64/_xlfn.MAXIFS(P$19:P$150,$B$19:$B$150,$B197,$F$152:$F$283,"C"),"?")</f>
        <v>0.18219733451990955</v>
      </c>
      <c r="Q197" s="133">
        <f t="shared" si="71"/>
        <v>0.78324399918182452</v>
      </c>
      <c r="R197" s="132">
        <f t="shared" si="71"/>
        <v>0.40210306354525771</v>
      </c>
      <c r="S197" s="1044">
        <f t="shared" si="71"/>
        <v>0.22652861980982317</v>
      </c>
      <c r="T197" s="1044">
        <f t="shared" si="71"/>
        <v>4.9380636586348933E-2</v>
      </c>
      <c r="U197" s="1044">
        <f t="shared" si="71"/>
        <v>0.26206391659369804</v>
      </c>
      <c r="V197" s="1044">
        <f t="shared" si="71"/>
        <v>0.57784836309174192</v>
      </c>
      <c r="W197" s="1044">
        <f t="shared" si="71"/>
        <v>0.17157252538985274</v>
      </c>
      <c r="X197" s="1044">
        <f t="shared" si="71"/>
        <v>0.57947294450201936</v>
      </c>
      <c r="Y197" s="1044">
        <f t="shared" si="71"/>
        <v>0.11998459421098724</v>
      </c>
      <c r="Z197" s="1044">
        <f t="shared" si="71"/>
        <v>0.12890371333263176</v>
      </c>
      <c r="AA197" s="1044">
        <f t="shared" si="71"/>
        <v>0.10281891081860862</v>
      </c>
      <c r="AB197" s="1044">
        <f t="shared" si="71"/>
        <v>2.2940176743614675E-3</v>
      </c>
      <c r="AC197" s="1044">
        <f t="shared" si="71"/>
        <v>3.5365242208974337E-3</v>
      </c>
      <c r="AD197" s="1044">
        <f t="shared" si="71"/>
        <v>2.1883844277765397E-2</v>
      </c>
      <c r="AE197" s="1044">
        <f t="shared" si="71"/>
        <v>0.29448292567177015</v>
      </c>
      <c r="AF197" s="1044">
        <f t="shared" si="71"/>
        <v>0.16209601292766279</v>
      </c>
      <c r="AG197" s="1044">
        <f t="shared" si="71"/>
        <v>0.91418454363821466</v>
      </c>
      <c r="AH197" s="1044">
        <f t="shared" si="71"/>
        <v>0.27317941951041869</v>
      </c>
      <c r="AI197" s="1044">
        <f t="shared" si="71"/>
        <v>0.36360146165475543</v>
      </c>
      <c r="AJ197" s="1045">
        <f t="shared" si="71"/>
        <v>0.88389705465224222</v>
      </c>
      <c r="AK197" s="1086">
        <f t="shared" si="71"/>
        <v>0.22635338717369938</v>
      </c>
      <c r="AL197" s="1087">
        <f t="shared" si="71"/>
        <v>0.26205918959503866</v>
      </c>
      <c r="AM197" s="1087">
        <f t="shared" si="71"/>
        <v>0.2583868596775018</v>
      </c>
      <c r="AN197" s="1087">
        <f t="shared" si="71"/>
        <v>0.78560378975304679</v>
      </c>
      <c r="AO197" s="1087">
        <f t="shared" si="71"/>
        <v>0.19839644064176803</v>
      </c>
      <c r="AP197" s="1087">
        <f t="shared" si="71"/>
        <v>0.12575239503609573</v>
      </c>
      <c r="AQ197" s="1087">
        <f t="shared" si="71"/>
        <v>0.15180055789291069</v>
      </c>
      <c r="AR197" s="1087">
        <f t="shared" si="71"/>
        <v>0.10446272924958556</v>
      </c>
      <c r="AS197" s="1087">
        <f t="shared" si="71"/>
        <v>1.2249605996520177E-3</v>
      </c>
      <c r="AT197" s="1087">
        <f t="shared" si="71"/>
        <v>1.0157314455115288E-2</v>
      </c>
      <c r="AU197" s="1087">
        <f t="shared" si="71"/>
        <v>3.1269951780424854E-2</v>
      </c>
      <c r="AV197" s="1087">
        <f t="shared" si="71"/>
        <v>0.12843030116166768</v>
      </c>
      <c r="AW197" s="1087">
        <f t="shared" si="71"/>
        <v>0.91418618663958695</v>
      </c>
      <c r="AX197" s="1087">
        <f t="shared" si="71"/>
        <v>0.11840572248734145</v>
      </c>
      <c r="AY197" s="1087">
        <f t="shared" si="71"/>
        <v>0.11986090390976269</v>
      </c>
      <c r="AZ197" s="1087">
        <f t="shared" si="71"/>
        <v>0.87717791982376292</v>
      </c>
      <c r="BA197" s="1087">
        <f t="shared" si="71"/>
        <v>0.3723722865530591</v>
      </c>
      <c r="BB197" s="1088">
        <f t="shared" si="71"/>
        <v>0.88091404314413146</v>
      </c>
      <c r="BC197" s="1043"/>
    </row>
    <row r="198" spans="1:57" ht="12" customHeight="1" outlineLevel="1" x14ac:dyDescent="0.2">
      <c r="A198" s="123"/>
      <c r="B198" s="104" t="s">
        <v>103</v>
      </c>
      <c r="C198" s="104" t="s">
        <v>121</v>
      </c>
      <c r="D198" s="2" t="s">
        <v>137</v>
      </c>
      <c r="E198" s="2" t="s">
        <v>139</v>
      </c>
      <c r="F198" s="105" t="s">
        <v>95</v>
      </c>
      <c r="G198" s="27" t="s">
        <v>1581</v>
      </c>
      <c r="H198" s="106" t="s">
        <v>128</v>
      </c>
      <c r="I198" s="107" t="s">
        <v>127</v>
      </c>
      <c r="J198" s="108">
        <v>0.31070780000000003</v>
      </c>
      <c r="K198" s="109"/>
      <c r="L198" s="109"/>
      <c r="M198" s="131">
        <f t="shared" ca="1" si="65"/>
        <v>2.0949320249743386</v>
      </c>
      <c r="N198" s="133">
        <f t="shared" ca="1" si="65"/>
        <v>0.41227228139971434</v>
      </c>
      <c r="O198" s="1059" t="s">
        <v>1583</v>
      </c>
      <c r="P198" s="131">
        <f t="shared" ref="P198:BB198" si="72">IFERROR(P65/_xlfn.MAXIFS(P$19:P$150,$B$19:$B$150,$B198,$F$152:$F$283,"C"),"?")</f>
        <v>0.68457565201240078</v>
      </c>
      <c r="Q198" s="133">
        <f t="shared" si="72"/>
        <v>1.0140634343831718</v>
      </c>
      <c r="R198" s="132">
        <f t="shared" si="72"/>
        <v>0.53450051286696854</v>
      </c>
      <c r="S198" s="1044">
        <f t="shared" si="72"/>
        <v>0.34442898038077513</v>
      </c>
      <c r="T198" s="1044">
        <f t="shared" si="72"/>
        <v>0.14670154665487503</v>
      </c>
      <c r="U198" s="1044">
        <f t="shared" si="72"/>
        <v>0.3290778473638159</v>
      </c>
      <c r="V198" s="1044">
        <f t="shared" si="72"/>
        <v>0.77767397498360968</v>
      </c>
      <c r="W198" s="1044">
        <f t="shared" si="72"/>
        <v>0.55692505084770616</v>
      </c>
      <c r="X198" s="1044">
        <f t="shared" si="72"/>
        <v>0.77950617947526357</v>
      </c>
      <c r="Y198" s="1044">
        <f t="shared" si="72"/>
        <v>0.53089426553341779</v>
      </c>
      <c r="Z198" s="1044">
        <f t="shared" si="72"/>
        <v>0.74332882920749355</v>
      </c>
      <c r="AA198" s="1044">
        <f t="shared" si="72"/>
        <v>0.3027072753746568</v>
      </c>
      <c r="AB198" s="1044">
        <f t="shared" si="72"/>
        <v>4.9331251297157286E-3</v>
      </c>
      <c r="AC198" s="1044">
        <f t="shared" si="72"/>
        <v>8.0155927163334771E-3</v>
      </c>
      <c r="AD198" s="1044">
        <f t="shared" si="72"/>
        <v>4.6024639834382264E-2</v>
      </c>
      <c r="AE198" s="1044">
        <f t="shared" si="72"/>
        <v>0.6996255048228528</v>
      </c>
      <c r="AF198" s="1044">
        <f t="shared" si="72"/>
        <v>1.0328902672346161</v>
      </c>
      <c r="AG198" s="1044">
        <f t="shared" si="72"/>
        <v>1.1388940445635487</v>
      </c>
      <c r="AH198" s="1044">
        <f t="shared" si="72"/>
        <v>0.34112041757708184</v>
      </c>
      <c r="AI198" s="1044">
        <f t="shared" si="72"/>
        <v>0.48190905947280582</v>
      </c>
      <c r="AJ198" s="1045">
        <f t="shared" si="72"/>
        <v>1.1013469105430038</v>
      </c>
      <c r="AK198" s="1086">
        <f t="shared" si="72"/>
        <v>0.34446252371535024</v>
      </c>
      <c r="AL198" s="1087">
        <f t="shared" si="72"/>
        <v>0.32905775895304296</v>
      </c>
      <c r="AM198" s="1087">
        <f t="shared" si="72"/>
        <v>0.32443564973406147</v>
      </c>
      <c r="AN198" s="1087">
        <f t="shared" si="72"/>
        <v>1.0540400844718207</v>
      </c>
      <c r="AO198" s="1087">
        <f t="shared" si="72"/>
        <v>0.59542866643923731</v>
      </c>
      <c r="AP198" s="1087">
        <f t="shared" si="72"/>
        <v>0.54212414914161067</v>
      </c>
      <c r="AQ198" s="1087">
        <f t="shared" si="72"/>
        <v>0.74886471177984471</v>
      </c>
      <c r="AR198" s="1087">
        <f t="shared" si="72"/>
        <v>0.31337564037871501</v>
      </c>
      <c r="AS198" s="1087">
        <f t="shared" si="72"/>
        <v>9.1578173420618445E-3</v>
      </c>
      <c r="AT198" s="1087">
        <f t="shared" si="72"/>
        <v>1.7623553908463031E-2</v>
      </c>
      <c r="AU198" s="1087">
        <f t="shared" si="72"/>
        <v>5.0291729566465181E-2</v>
      </c>
      <c r="AV198" s="1087">
        <f t="shared" si="72"/>
        <v>0.59018771019641492</v>
      </c>
      <c r="AW198" s="1087">
        <f t="shared" si="72"/>
        <v>1.1388960765586993</v>
      </c>
      <c r="AX198" s="1087">
        <f t="shared" si="72"/>
        <v>0.14751023020979515</v>
      </c>
      <c r="AY198" s="1087">
        <f t="shared" si="72"/>
        <v>0.1493231010277361</v>
      </c>
      <c r="AZ198" s="1087">
        <f t="shared" si="72"/>
        <v>1.0944315884560489</v>
      </c>
      <c r="BA198" s="1087">
        <f t="shared" si="72"/>
        <v>0.49319662740123327</v>
      </c>
      <c r="BB198" s="1088">
        <f t="shared" si="72"/>
        <v>1.0976299261032809</v>
      </c>
      <c r="BC198" s="1043"/>
    </row>
    <row r="199" spans="1:57" ht="12" customHeight="1" outlineLevel="1" x14ac:dyDescent="0.2">
      <c r="A199" s="123"/>
      <c r="B199" s="104" t="s">
        <v>103</v>
      </c>
      <c r="C199" s="104" t="s">
        <v>121</v>
      </c>
      <c r="D199" s="2" t="s">
        <v>137</v>
      </c>
      <c r="E199" s="2" t="s">
        <v>139</v>
      </c>
      <c r="F199" s="105" t="s">
        <v>96</v>
      </c>
      <c r="G199" s="27" t="s">
        <v>1582</v>
      </c>
      <c r="H199" s="106" t="s">
        <v>128</v>
      </c>
      <c r="I199" s="107" t="s">
        <v>1577</v>
      </c>
      <c r="J199" s="129">
        <v>0.31070780000000003</v>
      </c>
      <c r="K199" s="130"/>
      <c r="L199" s="130"/>
      <c r="M199" s="131">
        <f t="shared" ca="1" si="65"/>
        <v>2.1040719457867332</v>
      </c>
      <c r="N199" s="133">
        <f t="shared" ca="1" si="65"/>
        <v>0.46860644469426593</v>
      </c>
      <c r="O199" s="1059" t="s">
        <v>1583</v>
      </c>
      <c r="P199" s="131">
        <f t="shared" ref="P199:BB199" si="73">IFERROR(P66/_xlfn.MAXIFS(P$19:P$150,$B$19:$B$150,$B199,$F$152:$F$283,"C"),"?")</f>
        <v>1.0133198785530044</v>
      </c>
      <c r="Q199" s="133">
        <f t="shared" si="73"/>
        <v>1.0418282607797658</v>
      </c>
      <c r="R199" s="132">
        <f t="shared" si="73"/>
        <v>0.55640180623465618</v>
      </c>
      <c r="S199" s="1044">
        <f t="shared" si="73"/>
        <v>0.38901461371320095</v>
      </c>
      <c r="T199" s="1044">
        <f t="shared" si="73"/>
        <v>0.20880722969507809</v>
      </c>
      <c r="U199" s="1044">
        <f t="shared" si="73"/>
        <v>0.33077320753756995</v>
      </c>
      <c r="V199" s="1044">
        <f t="shared" si="73"/>
        <v>0.81538774398494762</v>
      </c>
      <c r="W199" s="1044">
        <f t="shared" si="73"/>
        <v>0.80667349254625076</v>
      </c>
      <c r="X199" s="1044">
        <f t="shared" si="73"/>
        <v>0.81709485138868809</v>
      </c>
      <c r="Y199" s="1044">
        <f t="shared" si="73"/>
        <v>0.80879345536895098</v>
      </c>
      <c r="Z199" s="1044">
        <f t="shared" si="73"/>
        <v>1.158350718814954</v>
      </c>
      <c r="AA199" s="1044">
        <f t="shared" si="73"/>
        <v>0.43003276749922964</v>
      </c>
      <c r="AB199" s="1044">
        <f t="shared" si="73"/>
        <v>6.2874536136885775E-3</v>
      </c>
      <c r="AC199" s="1044">
        <f t="shared" si="73"/>
        <v>9.3798359379121381E-3</v>
      </c>
      <c r="AD199" s="1044">
        <f t="shared" si="73"/>
        <v>5.1978321455203307E-2</v>
      </c>
      <c r="AE199" s="1044">
        <f t="shared" si="73"/>
        <v>0.95685990154935641</v>
      </c>
      <c r="AF199" s="1044">
        <f t="shared" si="73"/>
        <v>1.6270498904522306</v>
      </c>
      <c r="AG199" s="1044">
        <f t="shared" si="73"/>
        <v>1.1388940445635487</v>
      </c>
      <c r="AH199" s="1044">
        <f t="shared" si="73"/>
        <v>0.34163769807080813</v>
      </c>
      <c r="AI199" s="1044">
        <f t="shared" si="73"/>
        <v>0.50079130233075575</v>
      </c>
      <c r="AJ199" s="1045">
        <f t="shared" si="73"/>
        <v>1.1014676644540606</v>
      </c>
      <c r="AK199" s="1086">
        <f t="shared" si="73"/>
        <v>0.38923427487475015</v>
      </c>
      <c r="AL199" s="1087">
        <f t="shared" si="73"/>
        <v>0.3307438467610278</v>
      </c>
      <c r="AM199" s="1087">
        <f t="shared" si="73"/>
        <v>0.32609099715248391</v>
      </c>
      <c r="AN199" s="1087">
        <f t="shared" si="73"/>
        <v>1.1032031852742088</v>
      </c>
      <c r="AO199" s="1087">
        <f t="shared" si="73"/>
        <v>0.84862531262960583</v>
      </c>
      <c r="AP199" s="1087">
        <f t="shared" si="73"/>
        <v>0.82292788420016982</v>
      </c>
      <c r="AQ199" s="1087">
        <f t="shared" si="73"/>
        <v>1.1475078245131458</v>
      </c>
      <c r="AR199" s="1087">
        <f t="shared" si="73"/>
        <v>0.4469680063285188</v>
      </c>
      <c r="AS199" s="1087">
        <f t="shared" si="73"/>
        <v>1.4371287917449366E-2</v>
      </c>
      <c r="AT199" s="1087">
        <f t="shared" si="73"/>
        <v>1.9722191285785742E-2</v>
      </c>
      <c r="AU199" s="1087">
        <f t="shared" si="73"/>
        <v>5.4774951687471131E-2</v>
      </c>
      <c r="AV199" s="1087">
        <f t="shared" si="73"/>
        <v>0.91103986417709515</v>
      </c>
      <c r="AW199" s="1087">
        <f t="shared" si="73"/>
        <v>1.1388960765586993</v>
      </c>
      <c r="AX199" s="1087">
        <f t="shared" si="73"/>
        <v>0.14751023020979515</v>
      </c>
      <c r="AY199" s="1087">
        <f t="shared" si="73"/>
        <v>0.1493231010277361</v>
      </c>
      <c r="AZ199" s="1087">
        <f t="shared" si="73"/>
        <v>1.0955022119577069</v>
      </c>
      <c r="BA199" s="1087">
        <f t="shared" si="73"/>
        <v>0.51231436720232526</v>
      </c>
      <c r="BB199" s="1088">
        <f t="shared" si="73"/>
        <v>1.09775029014537</v>
      </c>
      <c r="BC199" s="1043"/>
    </row>
    <row r="200" spans="1:57" ht="12" customHeight="1" outlineLevel="1" x14ac:dyDescent="0.2">
      <c r="A200" s="123"/>
      <c r="B200" s="88" t="s">
        <v>104</v>
      </c>
      <c r="C200" s="88" t="s">
        <v>121</v>
      </c>
      <c r="D200" s="89" t="s">
        <v>137</v>
      </c>
      <c r="E200" s="89" t="s">
        <v>140</v>
      </c>
      <c r="F200" s="90" t="s">
        <v>92</v>
      </c>
      <c r="G200" s="18" t="s">
        <v>126</v>
      </c>
      <c r="H200" s="91" t="s">
        <v>127</v>
      </c>
      <c r="I200" s="92" t="s">
        <v>127</v>
      </c>
      <c r="J200" s="93">
        <v>4.4622420200000006</v>
      </c>
      <c r="K200" s="94"/>
      <c r="L200" s="94"/>
      <c r="M200" s="126">
        <f t="shared" ca="1" si="65"/>
        <v>1</v>
      </c>
      <c r="N200" s="128">
        <f t="shared" ca="1" si="65"/>
        <v>1</v>
      </c>
      <c r="O200" s="1058" t="s">
        <v>1583</v>
      </c>
      <c r="P200" s="126">
        <f t="shared" ref="P200:BB200" si="74">IFERROR(P67/_xlfn.MAXIFS(P$19:P$150,$B$19:$B$150,$B200,$F$152:$F$283,"C"),"?")</f>
        <v>1</v>
      </c>
      <c r="Q200" s="128">
        <f t="shared" si="74"/>
        <v>1</v>
      </c>
      <c r="R200" s="127">
        <f t="shared" si="74"/>
        <v>1</v>
      </c>
      <c r="S200" s="1041">
        <f t="shared" si="74"/>
        <v>1</v>
      </c>
      <c r="T200" s="1041">
        <f t="shared" si="74"/>
        <v>1</v>
      </c>
      <c r="U200" s="1041">
        <f t="shared" si="74"/>
        <v>1</v>
      </c>
      <c r="V200" s="1041">
        <f t="shared" si="74"/>
        <v>1</v>
      </c>
      <c r="W200" s="1041">
        <f t="shared" si="74"/>
        <v>1</v>
      </c>
      <c r="X200" s="1041">
        <f t="shared" si="74"/>
        <v>1</v>
      </c>
      <c r="Y200" s="1041">
        <f t="shared" si="74"/>
        <v>1</v>
      </c>
      <c r="Z200" s="1041">
        <f t="shared" si="74"/>
        <v>1</v>
      </c>
      <c r="AA200" s="1041">
        <f t="shared" si="74"/>
        <v>1</v>
      </c>
      <c r="AB200" s="1041">
        <f t="shared" si="74"/>
        <v>1</v>
      </c>
      <c r="AC200" s="1041">
        <f t="shared" si="74"/>
        <v>1</v>
      </c>
      <c r="AD200" s="1041">
        <f t="shared" si="74"/>
        <v>1</v>
      </c>
      <c r="AE200" s="1041">
        <f t="shared" si="74"/>
        <v>1</v>
      </c>
      <c r="AF200" s="1041">
        <f t="shared" si="74"/>
        <v>1</v>
      </c>
      <c r="AG200" s="1041">
        <f t="shared" si="74"/>
        <v>1</v>
      </c>
      <c r="AH200" s="1041">
        <f t="shared" si="74"/>
        <v>1</v>
      </c>
      <c r="AI200" s="1041">
        <f t="shared" si="74"/>
        <v>1</v>
      </c>
      <c r="AJ200" s="1042">
        <f t="shared" si="74"/>
        <v>1</v>
      </c>
      <c r="AK200" s="1083">
        <f t="shared" si="74"/>
        <v>1</v>
      </c>
      <c r="AL200" s="1084">
        <f t="shared" si="74"/>
        <v>1</v>
      </c>
      <c r="AM200" s="1084">
        <f t="shared" si="74"/>
        <v>1</v>
      </c>
      <c r="AN200" s="1084">
        <f t="shared" si="74"/>
        <v>1</v>
      </c>
      <c r="AO200" s="1084">
        <f t="shared" si="74"/>
        <v>1</v>
      </c>
      <c r="AP200" s="1084">
        <f t="shared" si="74"/>
        <v>1</v>
      </c>
      <c r="AQ200" s="1084">
        <f t="shared" si="74"/>
        <v>1</v>
      </c>
      <c r="AR200" s="1084">
        <f t="shared" si="74"/>
        <v>1</v>
      </c>
      <c r="AS200" s="1084">
        <f t="shared" si="74"/>
        <v>1</v>
      </c>
      <c r="AT200" s="1084">
        <f t="shared" si="74"/>
        <v>1</v>
      </c>
      <c r="AU200" s="1084">
        <f t="shared" si="74"/>
        <v>1</v>
      </c>
      <c r="AV200" s="1084">
        <f t="shared" si="74"/>
        <v>1</v>
      </c>
      <c r="AW200" s="1084">
        <f t="shared" si="74"/>
        <v>1</v>
      </c>
      <c r="AX200" s="1084">
        <f t="shared" si="74"/>
        <v>1</v>
      </c>
      <c r="AY200" s="1084">
        <f t="shared" si="74"/>
        <v>1</v>
      </c>
      <c r="AZ200" s="1084">
        <f t="shared" si="74"/>
        <v>1</v>
      </c>
      <c r="BA200" s="1084">
        <f t="shared" si="74"/>
        <v>1</v>
      </c>
      <c r="BB200" s="1085">
        <f t="shared" si="74"/>
        <v>1</v>
      </c>
      <c r="BC200" s="1043"/>
    </row>
    <row r="201" spans="1:57" ht="12" customHeight="1" outlineLevel="1" x14ac:dyDescent="0.2">
      <c r="A201" s="123"/>
      <c r="B201" s="104" t="s">
        <v>104</v>
      </c>
      <c r="C201" s="104" t="s">
        <v>121</v>
      </c>
      <c r="D201" s="2" t="s">
        <v>137</v>
      </c>
      <c r="E201" s="2" t="s">
        <v>140</v>
      </c>
      <c r="F201" s="105" t="s">
        <v>122</v>
      </c>
      <c r="G201" s="27" t="s">
        <v>1579</v>
      </c>
      <c r="H201" s="106" t="s">
        <v>128</v>
      </c>
      <c r="I201" s="107" t="s">
        <v>129</v>
      </c>
      <c r="J201" s="108">
        <v>4.4622420200000006</v>
      </c>
      <c r="K201" s="109"/>
      <c r="L201" s="109"/>
      <c r="M201" s="131">
        <f t="shared" ca="1" si="65"/>
        <v>1.4365168424103421</v>
      </c>
      <c r="N201" s="133">
        <f t="shared" ca="1" si="65"/>
        <v>0.50355904844963184</v>
      </c>
      <c r="O201" s="1059" t="s">
        <v>1583</v>
      </c>
      <c r="P201" s="131">
        <f t="shared" ref="P201:BB201" si="75">IFERROR(P68/_xlfn.MAXIFS(P$19:P$150,$B$19:$B$150,$B201,$F$152:$F$283,"C"),"?")</f>
        <v>0.37838503552459318</v>
      </c>
      <c r="Q201" s="133">
        <f t="shared" si="75"/>
        <v>1.08107410731037</v>
      </c>
      <c r="R201" s="132">
        <f t="shared" si="75"/>
        <v>0.80388323038876519</v>
      </c>
      <c r="S201" s="1044">
        <f t="shared" si="75"/>
        <v>0.92078111375169291</v>
      </c>
      <c r="T201" s="1044">
        <f t="shared" si="75"/>
        <v>0.65875822469185219</v>
      </c>
      <c r="U201" s="1044">
        <f t="shared" si="75"/>
        <v>0.42166287405314667</v>
      </c>
      <c r="V201" s="1044">
        <f t="shared" si="75"/>
        <v>1.0167496937721181</v>
      </c>
      <c r="W201" s="1044">
        <f t="shared" si="75"/>
        <v>0.40780445570009033</v>
      </c>
      <c r="X201" s="1044">
        <f t="shared" si="75"/>
        <v>1.0170688188480002</v>
      </c>
      <c r="Y201" s="1044">
        <f t="shared" si="75"/>
        <v>0.3100224657075567</v>
      </c>
      <c r="Z201" s="1044">
        <f t="shared" si="75"/>
        <v>8.3439372677520732E-2</v>
      </c>
      <c r="AA201" s="1044">
        <f t="shared" si="75"/>
        <v>0.66975611340728169</v>
      </c>
      <c r="AB201" s="1044">
        <f t="shared" si="75"/>
        <v>5.116014924584124E-3</v>
      </c>
      <c r="AC201" s="1044">
        <f t="shared" si="75"/>
        <v>6.038198308022851E-3</v>
      </c>
      <c r="AD201" s="1044">
        <f t="shared" si="75"/>
        <v>3.8906679415580923E-2</v>
      </c>
      <c r="AE201" s="1044">
        <f t="shared" si="75"/>
        <v>0.3696298699221669</v>
      </c>
      <c r="AF201" s="1044">
        <f t="shared" si="75"/>
        <v>0.16172912160262981</v>
      </c>
      <c r="AG201" s="1044">
        <f t="shared" si="75"/>
        <v>1.144291213108479</v>
      </c>
      <c r="AH201" s="1044">
        <f t="shared" si="75"/>
        <v>0.11579261545833772</v>
      </c>
      <c r="AI201" s="1044">
        <f t="shared" si="75"/>
        <v>0.78412414601039726</v>
      </c>
      <c r="AJ201" s="1045">
        <f t="shared" si="75"/>
        <v>0.81932044046655361</v>
      </c>
      <c r="AK201" s="1086">
        <f t="shared" si="75"/>
        <v>0.92203659154388873</v>
      </c>
      <c r="AL201" s="1087">
        <f t="shared" si="75"/>
        <v>0.42153199585408058</v>
      </c>
      <c r="AM201" s="1087">
        <f t="shared" si="75"/>
        <v>0.41748029652093344</v>
      </c>
      <c r="AN201" s="1087">
        <f t="shared" si="75"/>
        <v>1.0104969736570411</v>
      </c>
      <c r="AO201" s="1087">
        <f t="shared" si="75"/>
        <v>0.44290367631814237</v>
      </c>
      <c r="AP201" s="1087">
        <f t="shared" si="75"/>
        <v>0.31858020702263262</v>
      </c>
      <c r="AQ201" s="1087">
        <f t="shared" si="75"/>
        <v>9.9601235284886319E-2</v>
      </c>
      <c r="AR201" s="1087">
        <f t="shared" si="75"/>
        <v>0.65225515391430644</v>
      </c>
      <c r="AS201" s="1087">
        <f t="shared" si="75"/>
        <v>1.2907003903828318E-3</v>
      </c>
      <c r="AT201" s="1087">
        <f t="shared" si="75"/>
        <v>1.6761762651737712E-2</v>
      </c>
      <c r="AU201" s="1087">
        <f t="shared" si="75"/>
        <v>5.8431491363091913E-2</v>
      </c>
      <c r="AV201" s="1087">
        <f t="shared" si="75"/>
        <v>0.1408033466981527</v>
      </c>
      <c r="AW201" s="1087">
        <f t="shared" si="75"/>
        <v>1.1442921160714472</v>
      </c>
      <c r="AX201" s="1087">
        <f t="shared" si="75"/>
        <v>0.26476064556110407</v>
      </c>
      <c r="AY201" s="1087">
        <f t="shared" si="75"/>
        <v>0.24854580622814262</v>
      </c>
      <c r="AZ201" s="1087">
        <f t="shared" si="75"/>
        <v>1.1217771437932582</v>
      </c>
      <c r="BA201" s="1087">
        <f t="shared" si="75"/>
        <v>0.78269122562292093</v>
      </c>
      <c r="BB201" s="1088">
        <f t="shared" si="75"/>
        <v>0.80144469807375807</v>
      </c>
      <c r="BC201" s="1043"/>
    </row>
    <row r="202" spans="1:57" ht="12" customHeight="1" outlineLevel="1" x14ac:dyDescent="0.2">
      <c r="A202" s="123"/>
      <c r="B202" s="104" t="s">
        <v>104</v>
      </c>
      <c r="C202" s="104" t="s">
        <v>121</v>
      </c>
      <c r="D202" s="2" t="s">
        <v>137</v>
      </c>
      <c r="E202" s="2" t="s">
        <v>140</v>
      </c>
      <c r="F202" s="105" t="s">
        <v>93</v>
      </c>
      <c r="G202" s="27" t="s">
        <v>1578</v>
      </c>
      <c r="H202" s="106" t="s">
        <v>130</v>
      </c>
      <c r="I202" s="107" t="s">
        <v>129</v>
      </c>
      <c r="J202" s="108">
        <v>4.4622420200000006</v>
      </c>
      <c r="K202" s="109"/>
      <c r="L202" s="109"/>
      <c r="M202" s="131">
        <f t="shared" ca="1" si="65"/>
        <v>1.5260721282453842</v>
      </c>
      <c r="N202" s="133">
        <f t="shared" ca="1" si="65"/>
        <v>0.67562408795290163</v>
      </c>
      <c r="O202" s="1059" t="s">
        <v>1583</v>
      </c>
      <c r="P202" s="131">
        <f t="shared" ref="P202:BB202" si="76">IFERROR(P69/_xlfn.MAXIFS(P$19:P$150,$B$19:$B$150,$B202,$F$152:$F$283,"C"),"?")</f>
        <v>0.51860971614617257</v>
      </c>
      <c r="Q202" s="133">
        <f t="shared" si="76"/>
        <v>1.4500499555949462</v>
      </c>
      <c r="R202" s="132">
        <f t="shared" si="76"/>
        <v>1.0770737570951068</v>
      </c>
      <c r="S202" s="1044">
        <f t="shared" si="76"/>
        <v>1.2346334304095485</v>
      </c>
      <c r="T202" s="1044">
        <f t="shared" si="76"/>
        <v>0.88360625606375842</v>
      </c>
      <c r="U202" s="1044">
        <f t="shared" si="76"/>
        <v>0.56515159027726181</v>
      </c>
      <c r="V202" s="1044">
        <f t="shared" si="76"/>
        <v>1.3623087045802775</v>
      </c>
      <c r="W202" s="1044">
        <f t="shared" si="76"/>
        <v>0.54669174710660873</v>
      </c>
      <c r="X202" s="1044">
        <f t="shared" si="76"/>
        <v>1.3627354465764072</v>
      </c>
      <c r="Y202" s="1044">
        <f t="shared" si="76"/>
        <v>0.41573147727733517</v>
      </c>
      <c r="Z202" s="1044">
        <f t="shared" si="76"/>
        <v>0.11191951560798663</v>
      </c>
      <c r="AA202" s="1044">
        <f t="shared" si="76"/>
        <v>0.89836440359660807</v>
      </c>
      <c r="AB202" s="1044">
        <f t="shared" si="76"/>
        <v>6.8576324644787842E-3</v>
      </c>
      <c r="AC202" s="1044">
        <f t="shared" si="76"/>
        <v>8.1432305197666754E-3</v>
      </c>
      <c r="AD202" s="1044">
        <f t="shared" si="76"/>
        <v>5.2344022057119841E-2</v>
      </c>
      <c r="AE202" s="1044">
        <f t="shared" si="76"/>
        <v>0.50342011034419154</v>
      </c>
      <c r="AF202" s="1044">
        <f t="shared" si="76"/>
        <v>0.23795326343028023</v>
      </c>
      <c r="AG202" s="1044">
        <f t="shared" si="76"/>
        <v>1.5348731777852018</v>
      </c>
      <c r="AH202" s="1044">
        <f t="shared" si="76"/>
        <v>0.15523189593518905</v>
      </c>
      <c r="AI202" s="1044">
        <f t="shared" si="76"/>
        <v>1.0506151178288836</v>
      </c>
      <c r="AJ202" s="1045">
        <f t="shared" si="76"/>
        <v>1.0986529137669157</v>
      </c>
      <c r="AK202" s="1086">
        <f t="shared" si="76"/>
        <v>1.2363198686765022</v>
      </c>
      <c r="AL202" s="1087">
        <f t="shared" si="76"/>
        <v>0.56497603294332988</v>
      </c>
      <c r="AM202" s="1087">
        <f t="shared" si="76"/>
        <v>0.55954349254485725</v>
      </c>
      <c r="AN202" s="1087">
        <f t="shared" si="76"/>
        <v>1.3539293227529643</v>
      </c>
      <c r="AO202" s="1087">
        <f t="shared" si="76"/>
        <v>0.5937339287050496</v>
      </c>
      <c r="AP202" s="1087">
        <f t="shared" si="76"/>
        <v>0.42719439051491087</v>
      </c>
      <c r="AQ202" s="1087">
        <f t="shared" si="76"/>
        <v>0.13359693154120214</v>
      </c>
      <c r="AR202" s="1087">
        <f t="shared" si="76"/>
        <v>0.87487902835050069</v>
      </c>
      <c r="AS202" s="1087">
        <f t="shared" si="76"/>
        <v>1.9642983406736544E-3</v>
      </c>
      <c r="AT202" s="1087">
        <f t="shared" si="76"/>
        <v>2.2559453688819914E-2</v>
      </c>
      <c r="AU202" s="1087">
        <f t="shared" si="76"/>
        <v>7.8500871598913322E-2</v>
      </c>
      <c r="AV202" s="1087">
        <f t="shared" si="76"/>
        <v>0.19782708908283253</v>
      </c>
      <c r="AW202" s="1087">
        <f t="shared" si="76"/>
        <v>1.534874402391897</v>
      </c>
      <c r="AX202" s="1087">
        <f t="shared" si="76"/>
        <v>0.3547100843392425</v>
      </c>
      <c r="AY202" s="1087">
        <f t="shared" si="76"/>
        <v>0.3329864461173791</v>
      </c>
      <c r="AZ202" s="1087">
        <f t="shared" si="76"/>
        <v>1.5036589769930144</v>
      </c>
      <c r="BA202" s="1087">
        <f t="shared" si="76"/>
        <v>1.0487064523586551</v>
      </c>
      <c r="BB202" s="1088">
        <f t="shared" si="76"/>
        <v>1.0746736235605137</v>
      </c>
      <c r="BC202" s="1043"/>
    </row>
    <row r="203" spans="1:57" ht="12" customHeight="1" outlineLevel="1" x14ac:dyDescent="0.2">
      <c r="A203" s="123"/>
      <c r="B203" s="104" t="s">
        <v>104</v>
      </c>
      <c r="C203" s="104" t="s">
        <v>121</v>
      </c>
      <c r="D203" s="2" t="s">
        <v>137</v>
      </c>
      <c r="E203" s="2" t="s">
        <v>140</v>
      </c>
      <c r="F203" s="105" t="s">
        <v>94</v>
      </c>
      <c r="G203" s="27" t="s">
        <v>1580</v>
      </c>
      <c r="H203" s="106" t="s">
        <v>131</v>
      </c>
      <c r="I203" s="107" t="s">
        <v>129</v>
      </c>
      <c r="J203" s="108">
        <v>4.4622420200000006</v>
      </c>
      <c r="K203" s="109"/>
      <c r="L203" s="109"/>
      <c r="M203" s="131">
        <f t="shared" ca="1" si="65"/>
        <v>1.383251557677418</v>
      </c>
      <c r="N203" s="133">
        <f t="shared" ca="1" si="65"/>
        <v>0.40121898849375931</v>
      </c>
      <c r="O203" s="1059" t="s">
        <v>1583</v>
      </c>
      <c r="P203" s="131">
        <f t="shared" ref="P203:BB203" si="77">IFERROR(P70/_xlfn.MAXIFS(P$19:P$150,$B$19:$B$150,$B203,$F$152:$F$283,"C"),"?")</f>
        <v>0.29496294810251472</v>
      </c>
      <c r="Q203" s="133">
        <f t="shared" si="77"/>
        <v>0.86164450329177111</v>
      </c>
      <c r="R203" s="132">
        <f t="shared" si="77"/>
        <v>0.64115014404741444</v>
      </c>
      <c r="S203" s="1044">
        <f t="shared" si="77"/>
        <v>0.73403951279702639</v>
      </c>
      <c r="T203" s="1044">
        <f t="shared" si="77"/>
        <v>0.52504375632676314</v>
      </c>
      <c r="U203" s="1044">
        <f t="shared" si="77"/>
        <v>0.33623359250722323</v>
      </c>
      <c r="V203" s="1044">
        <f t="shared" si="77"/>
        <v>0.81091486901342602</v>
      </c>
      <c r="W203" s="1044">
        <f t="shared" si="77"/>
        <v>0.32514075629786543</v>
      </c>
      <c r="X203" s="1044">
        <f t="shared" si="77"/>
        <v>0.81116965705458466</v>
      </c>
      <c r="Y203" s="1044">
        <f t="shared" si="77"/>
        <v>0.24713406035511795</v>
      </c>
      <c r="Z203" s="1044">
        <f t="shared" si="77"/>
        <v>6.6502687343996739E-2</v>
      </c>
      <c r="AA203" s="1044">
        <f t="shared" si="77"/>
        <v>0.53380694232628823</v>
      </c>
      <c r="AB203" s="1044">
        <f t="shared" si="77"/>
        <v>4.0792569560000845E-3</v>
      </c>
      <c r="AC203" s="1044">
        <f t="shared" si="77"/>
        <v>4.7863886001997648E-3</v>
      </c>
      <c r="AD203" s="1044">
        <f t="shared" si="77"/>
        <v>3.0915214253073503E-2</v>
      </c>
      <c r="AE203" s="1044">
        <f t="shared" si="77"/>
        <v>0.29002281667404362</v>
      </c>
      <c r="AF203" s="1044">
        <f t="shared" si="77"/>
        <v>0.11641008614697872</v>
      </c>
      <c r="AG203" s="1044">
        <f t="shared" si="77"/>
        <v>0.91201929008536953</v>
      </c>
      <c r="AH203" s="1044">
        <f t="shared" si="77"/>
        <v>9.2319703830109665E-2</v>
      </c>
      <c r="AI203" s="1044">
        <f t="shared" si="77"/>
        <v>0.62538528907611823</v>
      </c>
      <c r="AJ203" s="1045">
        <f t="shared" si="77"/>
        <v>0.65313249370469217</v>
      </c>
      <c r="AK203" s="1086">
        <f t="shared" si="77"/>
        <v>0.73503929763941978</v>
      </c>
      <c r="AL203" s="1087">
        <f t="shared" si="77"/>
        <v>0.33612928118600577</v>
      </c>
      <c r="AM203" s="1087">
        <f t="shared" si="77"/>
        <v>0.33289923342599609</v>
      </c>
      <c r="AN203" s="1087">
        <f t="shared" si="77"/>
        <v>0.80592854893639609</v>
      </c>
      <c r="AO203" s="1087">
        <f t="shared" si="77"/>
        <v>0.35312921357237553</v>
      </c>
      <c r="AP203" s="1087">
        <f t="shared" si="77"/>
        <v>0.25396056767679626</v>
      </c>
      <c r="AQ203" s="1087">
        <f t="shared" si="77"/>
        <v>7.9384330341404588E-2</v>
      </c>
      <c r="AR203" s="1087">
        <f t="shared" si="77"/>
        <v>0.51986234386481256</v>
      </c>
      <c r="AS203" s="1087">
        <f t="shared" si="77"/>
        <v>8.9023166428822806E-4</v>
      </c>
      <c r="AT203" s="1087">
        <f t="shared" si="77"/>
        <v>1.3313872623468765E-2</v>
      </c>
      <c r="AU203" s="1087">
        <f t="shared" si="77"/>
        <v>4.6493210903344635E-2</v>
      </c>
      <c r="AV203" s="1087">
        <f t="shared" si="77"/>
        <v>0.10689443637377403</v>
      </c>
      <c r="AW203" s="1087">
        <f t="shared" si="77"/>
        <v>0.91202001895607676</v>
      </c>
      <c r="AX203" s="1087">
        <f t="shared" si="77"/>
        <v>0.21117389801270434</v>
      </c>
      <c r="AY203" s="1087">
        <f t="shared" si="77"/>
        <v>0.19824089265260525</v>
      </c>
      <c r="AZ203" s="1087">
        <f t="shared" si="77"/>
        <v>0.89444904954959437</v>
      </c>
      <c r="BA203" s="1087">
        <f t="shared" si="77"/>
        <v>0.62423833015293351</v>
      </c>
      <c r="BB203" s="1088">
        <f t="shared" si="77"/>
        <v>0.63888598630342586</v>
      </c>
      <c r="BC203" s="1043"/>
    </row>
    <row r="204" spans="1:57" ht="12" customHeight="1" outlineLevel="1" x14ac:dyDescent="0.2">
      <c r="A204" s="123"/>
      <c r="B204" s="104" t="s">
        <v>104</v>
      </c>
      <c r="C204" s="104" t="s">
        <v>121</v>
      </c>
      <c r="D204" s="2" t="s">
        <v>137</v>
      </c>
      <c r="E204" s="2" t="s">
        <v>140</v>
      </c>
      <c r="F204" s="105" t="s">
        <v>95</v>
      </c>
      <c r="G204" s="27" t="s">
        <v>1581</v>
      </c>
      <c r="H204" s="106" t="s">
        <v>128</v>
      </c>
      <c r="I204" s="107" t="s">
        <v>127</v>
      </c>
      <c r="J204" s="108">
        <v>4.4622420200000006</v>
      </c>
      <c r="K204" s="109"/>
      <c r="L204" s="109"/>
      <c r="M204" s="131">
        <f t="shared" ca="1" si="65"/>
        <v>1.4925412807814173</v>
      </c>
      <c r="N204" s="133">
        <f t="shared" ca="1" si="65"/>
        <v>0.61120034635385412</v>
      </c>
      <c r="O204" s="1059" t="s">
        <v>1583</v>
      </c>
      <c r="P204" s="131">
        <f t="shared" ref="P204:BB204" si="78">IFERROR(P71/_xlfn.MAXIFS(P$19:P$150,$B$19:$B$150,$B204,$F$152:$F$283,"C"),"?")</f>
        <v>1.0629017460067178</v>
      </c>
      <c r="Q204" s="133">
        <f t="shared" si="78"/>
        <v>1.1230046726541654</v>
      </c>
      <c r="R204" s="132">
        <f t="shared" si="78"/>
        <v>0.86387775490104834</v>
      </c>
      <c r="S204" s="1044">
        <f t="shared" si="78"/>
        <v>1.0477999881131166</v>
      </c>
      <c r="T204" s="1044">
        <f t="shared" si="78"/>
        <v>1.1408015787179897</v>
      </c>
      <c r="U204" s="1044">
        <f t="shared" si="78"/>
        <v>0.42540301529125196</v>
      </c>
      <c r="V204" s="1044">
        <f t="shared" si="78"/>
        <v>1.1074792416611172</v>
      </c>
      <c r="W204" s="1044">
        <f t="shared" si="78"/>
        <v>1.1006620524614541</v>
      </c>
      <c r="X204" s="1044">
        <f t="shared" si="78"/>
        <v>1.107277035136824</v>
      </c>
      <c r="Y204" s="1044">
        <f t="shared" si="78"/>
        <v>1.1229206951299588</v>
      </c>
      <c r="Z204" s="1044">
        <f t="shared" si="78"/>
        <v>0.38630376656752397</v>
      </c>
      <c r="AA204" s="1044">
        <f t="shared" si="78"/>
        <v>1.1435901847668899</v>
      </c>
      <c r="AB204" s="1044">
        <f t="shared" si="78"/>
        <v>9.0680747024551814E-3</v>
      </c>
      <c r="AC204" s="1044">
        <f t="shared" si="78"/>
        <v>1.0958170201441372E-2</v>
      </c>
      <c r="AD204" s="1044">
        <f t="shared" si="78"/>
        <v>6.5456184019316924E-2</v>
      </c>
      <c r="AE204" s="1044">
        <f t="shared" si="78"/>
        <v>0.72739464898781092</v>
      </c>
      <c r="AF204" s="1044">
        <f t="shared" si="78"/>
        <v>1.0500657390396737</v>
      </c>
      <c r="AG204" s="1044">
        <f t="shared" si="78"/>
        <v>1.144291213108479</v>
      </c>
      <c r="AH204" s="1044">
        <f t="shared" si="78"/>
        <v>0.1160773382435451</v>
      </c>
      <c r="AI204" s="1044">
        <f t="shared" si="78"/>
        <v>0.83988333574332696</v>
      </c>
      <c r="AJ204" s="1045">
        <f t="shared" si="78"/>
        <v>0.82233435068940886</v>
      </c>
      <c r="AK204" s="1086">
        <f t="shared" si="78"/>
        <v>1.0494952115529264</v>
      </c>
      <c r="AL204" s="1087">
        <f t="shared" si="78"/>
        <v>0.42525062312954459</v>
      </c>
      <c r="AM204" s="1087">
        <f t="shared" si="78"/>
        <v>0.42114763709881226</v>
      </c>
      <c r="AN204" s="1087">
        <f t="shared" si="78"/>
        <v>1.0969707406939933</v>
      </c>
      <c r="AO204" s="1087">
        <f t="shared" si="78"/>
        <v>1.1043395076266962</v>
      </c>
      <c r="AP204" s="1087">
        <f t="shared" si="78"/>
        <v>1.1264100822073757</v>
      </c>
      <c r="AQ204" s="1087">
        <f t="shared" si="78"/>
        <v>0.3946994677398869</v>
      </c>
      <c r="AR204" s="1087">
        <f t="shared" si="78"/>
        <v>1.1433749654359666</v>
      </c>
      <c r="AS204" s="1087">
        <f t="shared" si="78"/>
        <v>1.1325315760031677E-2</v>
      </c>
      <c r="AT204" s="1087">
        <f t="shared" si="78"/>
        <v>2.3353600354747522E-2</v>
      </c>
      <c r="AU204" s="1087">
        <f t="shared" si="78"/>
        <v>7.5641157970105025E-2</v>
      </c>
      <c r="AV204" s="1087">
        <f t="shared" si="78"/>
        <v>0.57139784674210159</v>
      </c>
      <c r="AW204" s="1087">
        <f t="shared" si="78"/>
        <v>1.1442921160714472</v>
      </c>
      <c r="AX204" s="1087">
        <f t="shared" si="78"/>
        <v>0.26476064556110407</v>
      </c>
      <c r="AY204" s="1087">
        <f t="shared" si="78"/>
        <v>0.24854580622814262</v>
      </c>
      <c r="AZ204" s="1087">
        <f t="shared" si="78"/>
        <v>1.1235779496357357</v>
      </c>
      <c r="BA204" s="1087">
        <f t="shared" si="78"/>
        <v>0.83770637986904861</v>
      </c>
      <c r="BB204" s="1088">
        <f t="shared" si="78"/>
        <v>0.80436461078139465</v>
      </c>
      <c r="BC204" s="1043"/>
    </row>
    <row r="205" spans="1:57" ht="12" customHeight="1" outlineLevel="1" x14ac:dyDescent="0.2">
      <c r="A205" s="123"/>
      <c r="B205" s="104" t="s">
        <v>104</v>
      </c>
      <c r="C205" s="104" t="s">
        <v>121</v>
      </c>
      <c r="D205" s="2" t="s">
        <v>137</v>
      </c>
      <c r="E205" s="2" t="s">
        <v>140</v>
      </c>
      <c r="F205" s="105" t="s">
        <v>96</v>
      </c>
      <c r="G205" s="27" t="s">
        <v>1582</v>
      </c>
      <c r="H205" s="106" t="s">
        <v>128</v>
      </c>
      <c r="I205" s="107" t="s">
        <v>1577</v>
      </c>
      <c r="J205" s="129">
        <v>4.4622420200000006</v>
      </c>
      <c r="K205" s="130"/>
      <c r="L205" s="130"/>
      <c r="M205" s="131">
        <f t="shared" ca="1" si="65"/>
        <v>1.5333149923713609</v>
      </c>
      <c r="N205" s="133">
        <f t="shared" ca="1" si="65"/>
        <v>0.68954000246685365</v>
      </c>
      <c r="O205" s="1059" t="s">
        <v>1583</v>
      </c>
      <c r="P205" s="131">
        <f t="shared" ref="P205:BB205" si="79">IFERROR(P72/_xlfn.MAXIFS(P$19:P$150,$B$19:$B$150,$B205,$F$152:$F$283,"C"),"?")</f>
        <v>1.5673840136859787</v>
      </c>
      <c r="Q205" s="133">
        <f t="shared" si="79"/>
        <v>1.1534053533330526</v>
      </c>
      <c r="R205" s="132">
        <f t="shared" si="79"/>
        <v>0.90303113743599983</v>
      </c>
      <c r="S205" s="1044">
        <f t="shared" si="79"/>
        <v>1.1388208363228276</v>
      </c>
      <c r="T205" s="1044">
        <f t="shared" si="79"/>
        <v>1.4922524040152483</v>
      </c>
      <c r="U205" s="1044">
        <f t="shared" si="79"/>
        <v>0.42784390073990625</v>
      </c>
      <c r="V205" s="1044">
        <f t="shared" si="79"/>
        <v>1.1666907815589722</v>
      </c>
      <c r="W205" s="1044">
        <f t="shared" si="79"/>
        <v>1.6048883200108095</v>
      </c>
      <c r="X205" s="1044">
        <f t="shared" si="79"/>
        <v>1.1661483343639862</v>
      </c>
      <c r="Y205" s="1044">
        <f t="shared" si="79"/>
        <v>1.7151955999304571</v>
      </c>
      <c r="Z205" s="1044">
        <f t="shared" si="79"/>
        <v>0.60200083895380208</v>
      </c>
      <c r="AA205" s="1044">
        <f t="shared" si="79"/>
        <v>1.4890994802017619</v>
      </c>
      <c r="AB205" s="1044">
        <f t="shared" si="79"/>
        <v>1.1647251598123711E-2</v>
      </c>
      <c r="AC205" s="1044">
        <f t="shared" si="79"/>
        <v>1.2843735342189466E-2</v>
      </c>
      <c r="AD205" s="1044">
        <f t="shared" si="79"/>
        <v>7.3981913806912852E-2</v>
      </c>
      <c r="AE205" s="1044">
        <f t="shared" si="79"/>
        <v>1.0091400158512798</v>
      </c>
      <c r="AF205" s="1044">
        <f t="shared" si="79"/>
        <v>1.7088923230855058</v>
      </c>
      <c r="AG205" s="1044">
        <f t="shared" si="79"/>
        <v>1.144291213108479</v>
      </c>
      <c r="AH205" s="1044">
        <f t="shared" si="79"/>
        <v>0.11626315679634366</v>
      </c>
      <c r="AI205" s="1044">
        <f t="shared" si="79"/>
        <v>0.87627267549663457</v>
      </c>
      <c r="AJ205" s="1045">
        <f t="shared" si="79"/>
        <v>0.82430127088464211</v>
      </c>
      <c r="AK205" s="1086">
        <f t="shared" si="79"/>
        <v>1.1408427153904601</v>
      </c>
      <c r="AL205" s="1087">
        <f t="shared" si="79"/>
        <v>0.42767746802920731</v>
      </c>
      <c r="AM205" s="1087">
        <f t="shared" si="79"/>
        <v>0.42354100749726226</v>
      </c>
      <c r="AN205" s="1087">
        <f t="shared" si="79"/>
        <v>1.1534049148042214</v>
      </c>
      <c r="AO205" s="1087">
        <f t="shared" si="79"/>
        <v>1.5852174960328984</v>
      </c>
      <c r="AP205" s="1087">
        <f t="shared" si="79"/>
        <v>1.7149038818556948</v>
      </c>
      <c r="AQ205" s="1087">
        <f t="shared" si="79"/>
        <v>0.60486231650310884</v>
      </c>
      <c r="AR205" s="1087">
        <f t="shared" si="79"/>
        <v>1.5014377256283844</v>
      </c>
      <c r="AS205" s="1087">
        <f t="shared" si="79"/>
        <v>1.828410102992277E-2</v>
      </c>
      <c r="AT205" s="1087">
        <f t="shared" si="79"/>
        <v>2.6166378360401307E-2</v>
      </c>
      <c r="AU205" s="1087">
        <f t="shared" si="79"/>
        <v>8.2510088460576739E-2</v>
      </c>
      <c r="AV205" s="1087">
        <f t="shared" si="79"/>
        <v>0.90272715191930841</v>
      </c>
      <c r="AW205" s="1087">
        <f t="shared" si="79"/>
        <v>1.1442921160714472</v>
      </c>
      <c r="AX205" s="1087">
        <f t="shared" si="79"/>
        <v>0.26476064556110407</v>
      </c>
      <c r="AY205" s="1087">
        <f t="shared" si="79"/>
        <v>0.24854580622814262</v>
      </c>
      <c r="AZ205" s="1087">
        <f t="shared" si="79"/>
        <v>1.124753189074535</v>
      </c>
      <c r="BA205" s="1087">
        <f t="shared" si="79"/>
        <v>0.87361013914086094</v>
      </c>
      <c r="BB205" s="1088">
        <f t="shared" si="79"/>
        <v>0.80627020535106519</v>
      </c>
      <c r="BC205" s="1043"/>
    </row>
    <row r="206" spans="1:57" ht="12" customHeight="1" outlineLevel="1" x14ac:dyDescent="0.2">
      <c r="A206" s="123"/>
      <c r="B206" s="88" t="s">
        <v>105</v>
      </c>
      <c r="C206" s="88" t="s">
        <v>121</v>
      </c>
      <c r="D206" s="89" t="s">
        <v>137</v>
      </c>
      <c r="E206" s="89" t="s">
        <v>141</v>
      </c>
      <c r="F206" s="90" t="s">
        <v>92</v>
      </c>
      <c r="G206" s="18" t="s">
        <v>126</v>
      </c>
      <c r="H206" s="91" t="s">
        <v>127</v>
      </c>
      <c r="I206" s="92" t="s">
        <v>127</v>
      </c>
      <c r="J206" s="93">
        <v>0.81023034000000005</v>
      </c>
      <c r="K206" s="94"/>
      <c r="L206" s="94"/>
      <c r="M206" s="126">
        <f t="shared" ca="1" si="65"/>
        <v>1</v>
      </c>
      <c r="N206" s="128">
        <f t="shared" ca="1" si="65"/>
        <v>1</v>
      </c>
      <c r="O206" s="1058" t="s">
        <v>1583</v>
      </c>
      <c r="P206" s="126">
        <f t="shared" ref="P206:BB206" si="80">IFERROR(P73/_xlfn.MAXIFS(P$19:P$150,$B$19:$B$150,$B206,$F$152:$F$283,"C"),"?")</f>
        <v>1</v>
      </c>
      <c r="Q206" s="128">
        <f t="shared" si="80"/>
        <v>1</v>
      </c>
      <c r="R206" s="127">
        <f t="shared" si="80"/>
        <v>1</v>
      </c>
      <c r="S206" s="1041">
        <f t="shared" si="80"/>
        <v>1</v>
      </c>
      <c r="T206" s="1041">
        <f t="shared" si="80"/>
        <v>1</v>
      </c>
      <c r="U206" s="1041">
        <f t="shared" si="80"/>
        <v>1</v>
      </c>
      <c r="V206" s="1041">
        <f t="shared" si="80"/>
        <v>1</v>
      </c>
      <c r="W206" s="1041">
        <f t="shared" si="80"/>
        <v>1</v>
      </c>
      <c r="X206" s="1041">
        <f t="shared" si="80"/>
        <v>1</v>
      </c>
      <c r="Y206" s="1041">
        <f t="shared" si="80"/>
        <v>1</v>
      </c>
      <c r="Z206" s="1041">
        <f t="shared" si="80"/>
        <v>1</v>
      </c>
      <c r="AA206" s="1041">
        <f t="shared" si="80"/>
        <v>1</v>
      </c>
      <c r="AB206" s="1041">
        <f t="shared" si="80"/>
        <v>1</v>
      </c>
      <c r="AC206" s="1041">
        <f t="shared" si="80"/>
        <v>1</v>
      </c>
      <c r="AD206" s="1041">
        <f t="shared" si="80"/>
        <v>1</v>
      </c>
      <c r="AE206" s="1041">
        <f t="shared" si="80"/>
        <v>1</v>
      </c>
      <c r="AF206" s="1041">
        <f t="shared" si="80"/>
        <v>1</v>
      </c>
      <c r="AG206" s="1041">
        <f t="shared" si="80"/>
        <v>1</v>
      </c>
      <c r="AH206" s="1041">
        <f t="shared" si="80"/>
        <v>1</v>
      </c>
      <c r="AI206" s="1041">
        <f t="shared" si="80"/>
        <v>1</v>
      </c>
      <c r="AJ206" s="1042">
        <f t="shared" si="80"/>
        <v>1</v>
      </c>
      <c r="AK206" s="1083">
        <f t="shared" si="80"/>
        <v>1</v>
      </c>
      <c r="AL206" s="1084">
        <f t="shared" si="80"/>
        <v>1</v>
      </c>
      <c r="AM206" s="1084">
        <f t="shared" si="80"/>
        <v>1</v>
      </c>
      <c r="AN206" s="1084">
        <f t="shared" si="80"/>
        <v>1</v>
      </c>
      <c r="AO206" s="1084">
        <f t="shared" si="80"/>
        <v>1</v>
      </c>
      <c r="AP206" s="1084">
        <f t="shared" si="80"/>
        <v>1</v>
      </c>
      <c r="AQ206" s="1084">
        <f t="shared" si="80"/>
        <v>1</v>
      </c>
      <c r="AR206" s="1084">
        <f t="shared" si="80"/>
        <v>1</v>
      </c>
      <c r="AS206" s="1084">
        <f t="shared" si="80"/>
        <v>1</v>
      </c>
      <c r="AT206" s="1084">
        <f t="shared" si="80"/>
        <v>1</v>
      </c>
      <c r="AU206" s="1084">
        <f t="shared" si="80"/>
        <v>1</v>
      </c>
      <c r="AV206" s="1084">
        <f t="shared" si="80"/>
        <v>1</v>
      </c>
      <c r="AW206" s="1084">
        <f t="shared" si="80"/>
        <v>1</v>
      </c>
      <c r="AX206" s="1084">
        <f t="shared" si="80"/>
        <v>1</v>
      </c>
      <c r="AY206" s="1084">
        <f t="shared" si="80"/>
        <v>1</v>
      </c>
      <c r="AZ206" s="1084">
        <f t="shared" si="80"/>
        <v>1</v>
      </c>
      <c r="BA206" s="1084">
        <f t="shared" si="80"/>
        <v>1</v>
      </c>
      <c r="BB206" s="1085">
        <f t="shared" si="80"/>
        <v>1</v>
      </c>
      <c r="BC206" s="1043"/>
    </row>
    <row r="207" spans="1:57" ht="12" customHeight="1" outlineLevel="1" x14ac:dyDescent="0.2">
      <c r="A207" s="123"/>
      <c r="B207" s="104" t="s">
        <v>105</v>
      </c>
      <c r="C207" s="104" t="s">
        <v>121</v>
      </c>
      <c r="D207" s="2" t="s">
        <v>137</v>
      </c>
      <c r="E207" s="2" t="s">
        <v>141</v>
      </c>
      <c r="F207" s="105" t="s">
        <v>122</v>
      </c>
      <c r="G207" s="27" t="s">
        <v>1579</v>
      </c>
      <c r="H207" s="106" t="s">
        <v>128</v>
      </c>
      <c r="I207" s="107" t="s">
        <v>129</v>
      </c>
      <c r="J207" s="108">
        <v>0.81023034000000005</v>
      </c>
      <c r="K207" s="109"/>
      <c r="L207" s="109"/>
      <c r="M207" s="131">
        <f t="shared" ca="1" si="65"/>
        <v>2.0729240493969989</v>
      </c>
      <c r="N207" s="133">
        <f t="shared" ca="1" si="65"/>
        <v>0.54240107161661888</v>
      </c>
      <c r="O207" s="1059" t="s">
        <v>1583</v>
      </c>
      <c r="P207" s="131">
        <f t="shared" ref="P207:BB207" si="81">IFERROR(P74/_xlfn.MAXIFS(P$19:P$150,$B$19:$B$150,$B207,$F$152:$F$283,"C"),"?")</f>
        <v>0.34412612233681039</v>
      </c>
      <c r="Q207" s="133">
        <f t="shared" si="81"/>
        <v>1.067086774737126</v>
      </c>
      <c r="R207" s="132">
        <f t="shared" si="81"/>
        <v>0.78693012515227445</v>
      </c>
      <c r="S207" s="1044">
        <f t="shared" si="81"/>
        <v>0.69174533433991781</v>
      </c>
      <c r="T207" s="1044">
        <f t="shared" si="81"/>
        <v>0.22668770800803523</v>
      </c>
      <c r="U207" s="1044">
        <f t="shared" si="81"/>
        <v>0.51682956148670933</v>
      </c>
      <c r="V207" s="1044">
        <f t="shared" si="81"/>
        <v>0.97565954748584105</v>
      </c>
      <c r="W207" s="1044">
        <f t="shared" si="81"/>
        <v>0.36035628423090127</v>
      </c>
      <c r="X207" s="1044">
        <f t="shared" si="81"/>
        <v>0.9766448742327466</v>
      </c>
      <c r="Y207" s="1044">
        <f t="shared" si="81"/>
        <v>0.2644350199286789</v>
      </c>
      <c r="Z207" s="1044">
        <f t="shared" si="81"/>
        <v>0.1214544558611825</v>
      </c>
      <c r="AA207" s="1044">
        <f t="shared" si="81"/>
        <v>0.33550668426562918</v>
      </c>
      <c r="AB207" s="1044">
        <f t="shared" si="81"/>
        <v>6.9479340330432654E-3</v>
      </c>
      <c r="AC207" s="1044">
        <f t="shared" si="81"/>
        <v>8.596827351552587E-3</v>
      </c>
      <c r="AD207" s="1044">
        <f t="shared" si="81"/>
        <v>5.3566078629318538E-2</v>
      </c>
      <c r="AE207" s="1044">
        <f t="shared" si="81"/>
        <v>0.43396686456003158</v>
      </c>
      <c r="AF207" s="1044">
        <f t="shared" si="81"/>
        <v>0.2111496637488042</v>
      </c>
      <c r="AG207" s="1044">
        <f t="shared" si="81"/>
        <v>1.1425275814079774</v>
      </c>
      <c r="AH207" s="1044">
        <f t="shared" si="81"/>
        <v>0.20524799245313746</v>
      </c>
      <c r="AI207" s="1044">
        <f t="shared" si="81"/>
        <v>0.754459047648395</v>
      </c>
      <c r="AJ207" s="1045">
        <f t="shared" si="81"/>
        <v>1.1253098191611286</v>
      </c>
      <c r="AK207" s="1086">
        <f t="shared" si="81"/>
        <v>0.69209925816823792</v>
      </c>
      <c r="AL207" s="1087">
        <f t="shared" si="81"/>
        <v>0.51673986992422183</v>
      </c>
      <c r="AM207" s="1087">
        <f t="shared" si="81"/>
        <v>0.51165736434449671</v>
      </c>
      <c r="AN207" s="1087">
        <f t="shared" si="81"/>
        <v>1.0494513546620565</v>
      </c>
      <c r="AO207" s="1087">
        <f t="shared" si="81"/>
        <v>0.39833015082972628</v>
      </c>
      <c r="AP207" s="1087">
        <f t="shared" si="81"/>
        <v>0.2734318910664888</v>
      </c>
      <c r="AQ207" s="1087">
        <f t="shared" si="81"/>
        <v>0.14388885472106694</v>
      </c>
      <c r="AR207" s="1087">
        <f t="shared" si="81"/>
        <v>0.33366864897968579</v>
      </c>
      <c r="AS207" s="1087">
        <f t="shared" si="81"/>
        <v>2.9476179117438901E-3</v>
      </c>
      <c r="AT207" s="1087">
        <f t="shared" si="81"/>
        <v>2.4260005927384417E-2</v>
      </c>
      <c r="AU207" s="1087">
        <f t="shared" si="81"/>
        <v>7.9535986666511099E-2</v>
      </c>
      <c r="AV207" s="1087">
        <f t="shared" si="81"/>
        <v>0.19303164032188397</v>
      </c>
      <c r="AW207" s="1087">
        <f t="shared" si="81"/>
        <v>1.1425284015212072</v>
      </c>
      <c r="AX207" s="1087">
        <f t="shared" si="81"/>
        <v>0.30149274640534907</v>
      </c>
      <c r="AY207" s="1087">
        <f t="shared" si="81"/>
        <v>0.29018550817474931</v>
      </c>
      <c r="AZ207" s="1087">
        <f t="shared" si="81"/>
        <v>1.1394793129732217</v>
      </c>
      <c r="BA207" s="1087">
        <f t="shared" si="81"/>
        <v>0.76008356388726506</v>
      </c>
      <c r="BB207" s="1088">
        <f t="shared" si="81"/>
        <v>1.123621897053207</v>
      </c>
      <c r="BC207" s="1043"/>
    </row>
    <row r="208" spans="1:57" ht="12" customHeight="1" outlineLevel="1" x14ac:dyDescent="0.2">
      <c r="A208" s="123"/>
      <c r="B208" s="104" t="s">
        <v>105</v>
      </c>
      <c r="C208" s="104" t="s">
        <v>121</v>
      </c>
      <c r="D208" s="2" t="s">
        <v>137</v>
      </c>
      <c r="E208" s="2" t="s">
        <v>141</v>
      </c>
      <c r="F208" s="105" t="s">
        <v>93</v>
      </c>
      <c r="G208" s="27" t="s">
        <v>1578</v>
      </c>
      <c r="H208" s="106" t="s">
        <v>130</v>
      </c>
      <c r="I208" s="107" t="s">
        <v>129</v>
      </c>
      <c r="J208" s="108">
        <v>0.81023034000000005</v>
      </c>
      <c r="K208" s="109"/>
      <c r="L208" s="109"/>
      <c r="M208" s="131">
        <f t="shared" ca="1" si="65"/>
        <v>2.1201747756348248</v>
      </c>
      <c r="N208" s="133">
        <f t="shared" ca="1" si="65"/>
        <v>0.72436492176561862</v>
      </c>
      <c r="O208" s="1059" t="s">
        <v>1583</v>
      </c>
      <c r="P208" s="131">
        <f t="shared" ref="P208:BB208" si="82">IFERROR(P75/_xlfn.MAXIFS(P$19:P$150,$B$19:$B$150,$B208,$F$152:$F$283,"C"),"?")</f>
        <v>0.46054697542656603</v>
      </c>
      <c r="Q208" s="133">
        <f t="shared" si="82"/>
        <v>1.424996357797546</v>
      </c>
      <c r="R208" s="132">
        <f t="shared" si="82"/>
        <v>1.050872872750271</v>
      </c>
      <c r="S208" s="1044">
        <f t="shared" si="82"/>
        <v>0.92376233733214941</v>
      </c>
      <c r="T208" s="1044">
        <f t="shared" si="82"/>
        <v>0.30272060633484271</v>
      </c>
      <c r="U208" s="1044">
        <f t="shared" si="82"/>
        <v>0.69017837655913761</v>
      </c>
      <c r="V208" s="1044">
        <f t="shared" si="82"/>
        <v>1.302903657746034</v>
      </c>
      <c r="W208" s="1044">
        <f t="shared" si="82"/>
        <v>0.48122270577258691</v>
      </c>
      <c r="X208" s="1044">
        <f t="shared" si="82"/>
        <v>1.3042194560897598</v>
      </c>
      <c r="Y208" s="1044">
        <f t="shared" si="82"/>
        <v>0.35312866871692428</v>
      </c>
      <c r="Z208" s="1044">
        <f t="shared" si="82"/>
        <v>0.16219126136524439</v>
      </c>
      <c r="AA208" s="1044">
        <f t="shared" si="82"/>
        <v>0.44803834339399679</v>
      </c>
      <c r="AB208" s="1044">
        <f t="shared" si="82"/>
        <v>9.2783272394672441E-3</v>
      </c>
      <c r="AC208" s="1044">
        <f t="shared" si="82"/>
        <v>1.1485358463013084E-2</v>
      </c>
      <c r="AD208" s="1044">
        <f t="shared" si="82"/>
        <v>7.1550942282501528E-2</v>
      </c>
      <c r="AE208" s="1044">
        <f t="shared" si="82"/>
        <v>0.58096501058386674</v>
      </c>
      <c r="AF208" s="1044">
        <f t="shared" si="82"/>
        <v>0.28386358376966614</v>
      </c>
      <c r="AG208" s="1044">
        <f t="shared" si="82"/>
        <v>1.5257405719988115</v>
      </c>
      <c r="AH208" s="1044">
        <f t="shared" si="82"/>
        <v>0.27408983263064535</v>
      </c>
      <c r="AI208" s="1044">
        <f t="shared" si="82"/>
        <v>1.0075107169235558</v>
      </c>
      <c r="AJ208" s="1045">
        <f t="shared" si="82"/>
        <v>1.5027477969909153</v>
      </c>
      <c r="AK208" s="1086">
        <f t="shared" si="82"/>
        <v>0.92423496052258658</v>
      </c>
      <c r="AL208" s="1087">
        <f t="shared" si="82"/>
        <v>0.69005860989060652</v>
      </c>
      <c r="AM208" s="1087">
        <f t="shared" si="82"/>
        <v>0.68327135744454703</v>
      </c>
      <c r="AN208" s="1087">
        <f t="shared" si="82"/>
        <v>1.401445823817395</v>
      </c>
      <c r="AO208" s="1087">
        <f t="shared" si="82"/>
        <v>0.53193330091528412</v>
      </c>
      <c r="AP208" s="1087">
        <f t="shared" si="82"/>
        <v>0.36514314229271239</v>
      </c>
      <c r="AQ208" s="1087">
        <f t="shared" si="82"/>
        <v>0.19215034169059225</v>
      </c>
      <c r="AR208" s="1087">
        <f t="shared" si="82"/>
        <v>0.44558383480403196</v>
      </c>
      <c r="AS208" s="1087">
        <f t="shared" si="82"/>
        <v>3.9588098844043733E-3</v>
      </c>
      <c r="AT208" s="1087">
        <f t="shared" si="82"/>
        <v>3.2403834259033239E-2</v>
      </c>
      <c r="AU208" s="1087">
        <f t="shared" si="82"/>
        <v>0.10622517516291202</v>
      </c>
      <c r="AV208" s="1087">
        <f t="shared" si="82"/>
        <v>0.25959400245249137</v>
      </c>
      <c r="AW208" s="1087">
        <f t="shared" si="82"/>
        <v>1.5257416488206503</v>
      </c>
      <c r="AX208" s="1087">
        <f t="shared" si="82"/>
        <v>0.40261585149912527</v>
      </c>
      <c r="AY208" s="1087">
        <f t="shared" si="82"/>
        <v>0.38751607464516169</v>
      </c>
      <c r="AZ208" s="1087">
        <f t="shared" si="82"/>
        <v>1.5216699465316257</v>
      </c>
      <c r="BA208" s="1087">
        <f t="shared" si="82"/>
        <v>1.0150217508495947</v>
      </c>
      <c r="BB208" s="1088">
        <f t="shared" si="82"/>
        <v>1.5004937567342056</v>
      </c>
      <c r="BC208" s="1043"/>
    </row>
    <row r="209" spans="1:57" ht="12" customHeight="1" outlineLevel="1" x14ac:dyDescent="0.2">
      <c r="A209" s="123"/>
      <c r="B209" s="104" t="s">
        <v>105</v>
      </c>
      <c r="C209" s="104" t="s">
        <v>121</v>
      </c>
      <c r="D209" s="2" t="s">
        <v>137</v>
      </c>
      <c r="E209" s="2" t="s">
        <v>141</v>
      </c>
      <c r="F209" s="105" t="s">
        <v>94</v>
      </c>
      <c r="G209" s="27" t="s">
        <v>1580</v>
      </c>
      <c r="H209" s="106" t="s">
        <v>131</v>
      </c>
      <c r="I209" s="107" t="s">
        <v>129</v>
      </c>
      <c r="J209" s="108">
        <v>0.81023034000000005</v>
      </c>
      <c r="K209" s="109"/>
      <c r="L209" s="109"/>
      <c r="M209" s="131">
        <f t="shared" ca="1" si="65"/>
        <v>2.0446359395902292</v>
      </c>
      <c r="N209" s="133">
        <f t="shared" ca="1" si="65"/>
        <v>0.43346278042572517</v>
      </c>
      <c r="O209" s="1059" t="s">
        <v>1583</v>
      </c>
      <c r="P209" s="131">
        <f t="shared" ref="P209:BB209" si="83">IFERROR(P76/_xlfn.MAXIFS(P$19:P$150,$B$19:$B$150,$B209,$F$152:$F$283,"C"),"?")</f>
        <v>0.27442740290767326</v>
      </c>
      <c r="Q209" s="133">
        <f t="shared" si="83"/>
        <v>0.85281316231702831</v>
      </c>
      <c r="R209" s="132">
        <f t="shared" si="83"/>
        <v>0.62891262975405637</v>
      </c>
      <c r="S209" s="1044">
        <f t="shared" si="83"/>
        <v>0.55284120106223089</v>
      </c>
      <c r="T209" s="1044">
        <f t="shared" si="83"/>
        <v>0.18116826690447674</v>
      </c>
      <c r="U209" s="1044">
        <f t="shared" si="83"/>
        <v>0.4130489303185757</v>
      </c>
      <c r="V209" s="1044">
        <f t="shared" si="83"/>
        <v>0.77974474385987969</v>
      </c>
      <c r="W209" s="1044">
        <f t="shared" si="83"/>
        <v>0.28799587153259082</v>
      </c>
      <c r="X209" s="1044">
        <f t="shared" si="83"/>
        <v>0.78053220961883218</v>
      </c>
      <c r="Y209" s="1044">
        <f t="shared" si="83"/>
        <v>0.21133582112321656</v>
      </c>
      <c r="Z209" s="1044">
        <f t="shared" si="83"/>
        <v>9.7066101505144331E-2</v>
      </c>
      <c r="AA209" s="1044">
        <f t="shared" si="83"/>
        <v>0.2681361238860997</v>
      </c>
      <c r="AB209" s="1044">
        <f t="shared" si="83"/>
        <v>5.5527718838920782E-3</v>
      </c>
      <c r="AC209" s="1044">
        <f t="shared" si="83"/>
        <v>6.8675200885108222E-3</v>
      </c>
      <c r="AD209" s="1044">
        <f t="shared" si="83"/>
        <v>4.279888836602385E-2</v>
      </c>
      <c r="AE209" s="1044">
        <f t="shared" si="83"/>
        <v>0.34596217440322574</v>
      </c>
      <c r="AF209" s="1044">
        <f t="shared" si="83"/>
        <v>0.16761763273899061</v>
      </c>
      <c r="AG209" s="1044">
        <f t="shared" si="83"/>
        <v>0.91310525215967298</v>
      </c>
      <c r="AH209" s="1044">
        <f t="shared" si="83"/>
        <v>0.16403369611843169</v>
      </c>
      <c r="AI209" s="1044">
        <f t="shared" si="83"/>
        <v>0.60296183654502744</v>
      </c>
      <c r="AJ209" s="1045">
        <f t="shared" si="83"/>
        <v>0.89934485884540549</v>
      </c>
      <c r="AK209" s="1086">
        <f t="shared" si="83"/>
        <v>0.55312403595103188</v>
      </c>
      <c r="AL209" s="1087">
        <f t="shared" si="83"/>
        <v>0.41297726166452736</v>
      </c>
      <c r="AM209" s="1087">
        <f t="shared" si="83"/>
        <v>0.40891531263851966</v>
      </c>
      <c r="AN209" s="1087">
        <f t="shared" si="83"/>
        <v>0.83871896565787185</v>
      </c>
      <c r="AO209" s="1087">
        <f t="shared" si="83"/>
        <v>0.31834448155893297</v>
      </c>
      <c r="AP209" s="1087">
        <f t="shared" si="83"/>
        <v>0.21852610083575708</v>
      </c>
      <c r="AQ209" s="1087">
        <f t="shared" si="83"/>
        <v>0.11499562318766592</v>
      </c>
      <c r="AR209" s="1087">
        <f t="shared" si="83"/>
        <v>0.26666717879517482</v>
      </c>
      <c r="AS209" s="1087">
        <f t="shared" si="83"/>
        <v>2.342241413565795E-3</v>
      </c>
      <c r="AT209" s="1087">
        <f t="shared" si="83"/>
        <v>1.9384454304090148E-2</v>
      </c>
      <c r="AU209" s="1087">
        <f t="shared" si="83"/>
        <v>6.3557675506749997E-2</v>
      </c>
      <c r="AV209" s="1087">
        <f t="shared" si="83"/>
        <v>0.15318242276957691</v>
      </c>
      <c r="AW209" s="1087">
        <f t="shared" si="83"/>
        <v>0.91310590736402197</v>
      </c>
      <c r="AX209" s="1087">
        <f t="shared" si="83"/>
        <v>0.24095226927903662</v>
      </c>
      <c r="AY209" s="1087">
        <f t="shared" si="83"/>
        <v>0.23191555281412818</v>
      </c>
      <c r="AZ209" s="1087">
        <f t="shared" si="83"/>
        <v>0.91066909492377401</v>
      </c>
      <c r="BA209" s="1087">
        <f t="shared" si="83"/>
        <v>0.60745695810188483</v>
      </c>
      <c r="BB209" s="1088">
        <f t="shared" si="83"/>
        <v>0.89799587375335399</v>
      </c>
      <c r="BC209" s="1043"/>
    </row>
    <row r="210" spans="1:57" ht="12" customHeight="1" outlineLevel="1" x14ac:dyDescent="0.2">
      <c r="A210" s="123"/>
      <c r="B210" s="104" t="s">
        <v>105</v>
      </c>
      <c r="C210" s="104" t="s">
        <v>121</v>
      </c>
      <c r="D210" s="2" t="s">
        <v>137</v>
      </c>
      <c r="E210" s="2" t="s">
        <v>141</v>
      </c>
      <c r="F210" s="105" t="s">
        <v>95</v>
      </c>
      <c r="G210" s="27" t="s">
        <v>1581</v>
      </c>
      <c r="H210" s="106" t="s">
        <v>128</v>
      </c>
      <c r="I210" s="107" t="s">
        <v>127</v>
      </c>
      <c r="J210" s="108">
        <v>0.81023034000000005</v>
      </c>
      <c r="K210" s="109"/>
      <c r="L210" s="109"/>
      <c r="M210" s="131">
        <f t="shared" ca="1" si="65"/>
        <v>2.1046573750867066</v>
      </c>
      <c r="N210" s="133">
        <f t="shared" ca="1" si="65"/>
        <v>0.66460698420868325</v>
      </c>
      <c r="O210" s="1059" t="s">
        <v>1583</v>
      </c>
      <c r="P210" s="131">
        <f t="shared" ref="P210:BB210" si="84">IFERROR(P77/_xlfn.MAXIFS(P$19:P$150,$B$19:$B$150,$B210,$F$152:$F$283,"C"),"?")</f>
        <v>0.99106507674296651</v>
      </c>
      <c r="Q210" s="133">
        <f t="shared" si="84"/>
        <v>1.1087663715099174</v>
      </c>
      <c r="R210" s="132">
        <f t="shared" si="84"/>
        <v>0.8425115447537721</v>
      </c>
      <c r="S210" s="1044">
        <f t="shared" si="84"/>
        <v>0.81456857140919148</v>
      </c>
      <c r="T210" s="1044">
        <f t="shared" si="84"/>
        <v>0.51581446440972933</v>
      </c>
      <c r="U210" s="1044">
        <f t="shared" si="84"/>
        <v>0.52111515435844613</v>
      </c>
      <c r="V210" s="1044">
        <f t="shared" si="84"/>
        <v>1.0580991429739026</v>
      </c>
      <c r="W210" s="1044">
        <f t="shared" si="84"/>
        <v>0.95549126913790317</v>
      </c>
      <c r="X210" s="1044">
        <f t="shared" si="84"/>
        <v>1.0586675373799386</v>
      </c>
      <c r="Y210" s="1044">
        <f t="shared" si="84"/>
        <v>0.94831597214655006</v>
      </c>
      <c r="Z210" s="1044">
        <f t="shared" si="84"/>
        <v>0.56224600892587306</v>
      </c>
      <c r="AA210" s="1044">
        <f t="shared" si="84"/>
        <v>0.75536990430564144</v>
      </c>
      <c r="AB210" s="1044">
        <f t="shared" si="84"/>
        <v>1.1992838072557174E-2</v>
      </c>
      <c r="AC210" s="1044">
        <f t="shared" si="84"/>
        <v>1.5627468903413346E-2</v>
      </c>
      <c r="AD210" s="1044">
        <f t="shared" si="84"/>
        <v>9.0451362016676196E-2</v>
      </c>
      <c r="AE210" s="1044">
        <f t="shared" si="84"/>
        <v>0.83221684786951189</v>
      </c>
      <c r="AF210" s="1044">
        <f t="shared" si="84"/>
        <v>1.0743777671945078</v>
      </c>
      <c r="AG210" s="1044">
        <f t="shared" si="84"/>
        <v>1.1425275814079774</v>
      </c>
      <c r="AH210" s="1044">
        <f t="shared" si="84"/>
        <v>0.20573981751586903</v>
      </c>
      <c r="AI210" s="1044">
        <f t="shared" si="84"/>
        <v>0.80524076789131527</v>
      </c>
      <c r="AJ210" s="1045">
        <f t="shared" si="84"/>
        <v>1.1255162800765659</v>
      </c>
      <c r="AK210" s="1086">
        <f t="shared" si="84"/>
        <v>0.81539814281844647</v>
      </c>
      <c r="AL210" s="1087">
        <f t="shared" si="84"/>
        <v>0.52100143839638868</v>
      </c>
      <c r="AM210" s="1087">
        <f t="shared" si="84"/>
        <v>0.51585964127078909</v>
      </c>
      <c r="AN210" s="1087">
        <f t="shared" si="84"/>
        <v>1.1344955591695782</v>
      </c>
      <c r="AO210" s="1087">
        <f t="shared" si="84"/>
        <v>0.97591873499960757</v>
      </c>
      <c r="AP210" s="1087">
        <f t="shared" si="84"/>
        <v>0.95627613293044167</v>
      </c>
      <c r="AQ210" s="1087">
        <f t="shared" si="84"/>
        <v>0.56999248441162131</v>
      </c>
      <c r="AR210" s="1087">
        <f t="shared" si="84"/>
        <v>0.76751185864209137</v>
      </c>
      <c r="AS210" s="1087">
        <f t="shared" si="84"/>
        <v>1.7614809877916811E-2</v>
      </c>
      <c r="AT210" s="1087">
        <f t="shared" si="84"/>
        <v>3.3789916893041276E-2</v>
      </c>
      <c r="AU210" s="1087">
        <f t="shared" si="84"/>
        <v>0.10285811565472232</v>
      </c>
      <c r="AV210" s="1087">
        <f t="shared" si="84"/>
        <v>0.70865031476762252</v>
      </c>
      <c r="AW210" s="1087">
        <f t="shared" si="84"/>
        <v>1.1425284015212072</v>
      </c>
      <c r="AX210" s="1087">
        <f t="shared" si="84"/>
        <v>0.30149274640534907</v>
      </c>
      <c r="AY210" s="1087">
        <f t="shared" si="84"/>
        <v>0.29018550817474931</v>
      </c>
      <c r="AZ210" s="1087">
        <f t="shared" si="84"/>
        <v>1.1412510493500518</v>
      </c>
      <c r="BA210" s="1087">
        <f t="shared" si="84"/>
        <v>0.81063999745911097</v>
      </c>
      <c r="BB210" s="1088">
        <f t="shared" si="84"/>
        <v>1.1238279432332792</v>
      </c>
      <c r="BC210" s="1043"/>
    </row>
    <row r="211" spans="1:57" ht="12" customHeight="1" outlineLevel="1" x14ac:dyDescent="0.2">
      <c r="A211" s="123"/>
      <c r="B211" s="104" t="s">
        <v>105</v>
      </c>
      <c r="C211" s="104" t="s">
        <v>121</v>
      </c>
      <c r="D211" s="2" t="s">
        <v>137</v>
      </c>
      <c r="E211" s="2" t="s">
        <v>141</v>
      </c>
      <c r="F211" s="105" t="s">
        <v>96</v>
      </c>
      <c r="G211" s="27" t="s">
        <v>1582</v>
      </c>
      <c r="H211" s="106" t="s">
        <v>128</v>
      </c>
      <c r="I211" s="107" t="s">
        <v>1577</v>
      </c>
      <c r="J211" s="129">
        <v>0.81023034000000005</v>
      </c>
      <c r="K211" s="130"/>
      <c r="L211" s="130"/>
      <c r="M211" s="131">
        <f t="shared" ca="1" si="65"/>
        <v>2.1276939451392543</v>
      </c>
      <c r="N211" s="133">
        <f t="shared" ca="1" si="65"/>
        <v>0.75332145094280711</v>
      </c>
      <c r="O211" s="1059" t="s">
        <v>1583</v>
      </c>
      <c r="P211" s="131">
        <f t="shared" ref="P211:BB211" si="85">IFERROR(P78/_xlfn.MAXIFS(P$19:P$150,$B$19:$B$150,$B211,$F$152:$F$283,"C"),"?")</f>
        <v>1.4564134887455895</v>
      </c>
      <c r="Q211" s="133">
        <f t="shared" si="85"/>
        <v>1.1389846952282141</v>
      </c>
      <c r="R211" s="132">
        <f t="shared" si="85"/>
        <v>0.87878486482721929</v>
      </c>
      <c r="S211" s="1044">
        <f t="shared" si="85"/>
        <v>0.90258285902471758</v>
      </c>
      <c r="T211" s="1044">
        <f t="shared" si="85"/>
        <v>0.72661259007466272</v>
      </c>
      <c r="U211" s="1044">
        <f t="shared" si="85"/>
        <v>0.52391200497700186</v>
      </c>
      <c r="V211" s="1044">
        <f t="shared" si="85"/>
        <v>1.1119005156712469</v>
      </c>
      <c r="W211" s="1044">
        <f t="shared" si="85"/>
        <v>1.3886000290419611</v>
      </c>
      <c r="X211" s="1044">
        <f t="shared" si="85"/>
        <v>1.1121968281719592</v>
      </c>
      <c r="Y211" s="1044">
        <f t="shared" si="85"/>
        <v>1.4465893098095426</v>
      </c>
      <c r="Z211" s="1044">
        <f t="shared" si="85"/>
        <v>0.87617343738875531</v>
      </c>
      <c r="AA211" s="1044">
        <f t="shared" si="85"/>
        <v>1.0615248405381965</v>
      </c>
      <c r="AB211" s="1044">
        <f t="shared" si="85"/>
        <v>1.5285222618653935E-2</v>
      </c>
      <c r="AC211" s="1044">
        <f t="shared" si="85"/>
        <v>1.8286929636890339E-2</v>
      </c>
      <c r="AD211" s="1044">
        <f t="shared" si="85"/>
        <v>0.10216520398853698</v>
      </c>
      <c r="AE211" s="1044">
        <f t="shared" si="85"/>
        <v>1.1409052319537802</v>
      </c>
      <c r="AF211" s="1044">
        <f t="shared" si="85"/>
        <v>1.6927015448160421</v>
      </c>
      <c r="AG211" s="1044">
        <f t="shared" si="85"/>
        <v>1.1425275814079774</v>
      </c>
      <c r="AH211" s="1044">
        <f t="shared" si="85"/>
        <v>0.20606078796558941</v>
      </c>
      <c r="AI211" s="1044">
        <f t="shared" si="85"/>
        <v>0.83838173479362954</v>
      </c>
      <c r="AJ211" s="1045">
        <f t="shared" si="85"/>
        <v>1.1256510463834781</v>
      </c>
      <c r="AK211" s="1086">
        <f t="shared" si="85"/>
        <v>0.903764399599708</v>
      </c>
      <c r="AL211" s="1087">
        <f t="shared" si="85"/>
        <v>0.52378258125885835</v>
      </c>
      <c r="AM211" s="1087">
        <f t="shared" si="85"/>
        <v>0.51860211006480406</v>
      </c>
      <c r="AN211" s="1087">
        <f t="shared" si="85"/>
        <v>1.1899967732974177</v>
      </c>
      <c r="AO211" s="1087">
        <f t="shared" si="85"/>
        <v>1.3958380069914984</v>
      </c>
      <c r="AP211" s="1087">
        <f t="shared" si="85"/>
        <v>1.4537194451352544</v>
      </c>
      <c r="AQ211" s="1087">
        <f t="shared" si="85"/>
        <v>0.87345464604239831</v>
      </c>
      <c r="AR211" s="1087">
        <f t="shared" si="85"/>
        <v>1.0838157326826809</v>
      </c>
      <c r="AS211" s="1087">
        <f t="shared" si="85"/>
        <v>2.7645804788539625E-2</v>
      </c>
      <c r="AT211" s="1087">
        <f t="shared" si="85"/>
        <v>3.7817534990879635E-2</v>
      </c>
      <c r="AU211" s="1087">
        <f t="shared" si="85"/>
        <v>0.11208812010605412</v>
      </c>
      <c r="AV211" s="1087">
        <f t="shared" si="85"/>
        <v>1.0942525327896695</v>
      </c>
      <c r="AW211" s="1087">
        <f t="shared" si="85"/>
        <v>1.1425284015212072</v>
      </c>
      <c r="AX211" s="1087">
        <f t="shared" si="85"/>
        <v>0.30149274640534907</v>
      </c>
      <c r="AY211" s="1087">
        <f t="shared" si="85"/>
        <v>0.29018550817474931</v>
      </c>
      <c r="AZ211" s="1087">
        <f t="shared" si="85"/>
        <v>1.1424073066304643</v>
      </c>
      <c r="BA211" s="1087">
        <f t="shared" si="85"/>
        <v>0.8436339442564591</v>
      </c>
      <c r="BB211" s="1088">
        <f t="shared" si="85"/>
        <v>1.1239624388238023</v>
      </c>
      <c r="BC211" s="1043"/>
    </row>
    <row r="212" spans="1:57" ht="12" customHeight="1" outlineLevel="1" x14ac:dyDescent="0.2">
      <c r="A212" s="123"/>
      <c r="B212" s="88" t="s">
        <v>106</v>
      </c>
      <c r="C212" s="88" t="s">
        <v>121</v>
      </c>
      <c r="D212" s="89" t="s">
        <v>137</v>
      </c>
      <c r="E212" s="89" t="s">
        <v>142</v>
      </c>
      <c r="F212" s="90" t="s">
        <v>92</v>
      </c>
      <c r="G212" s="18" t="s">
        <v>126</v>
      </c>
      <c r="H212" s="91" t="s">
        <v>127</v>
      </c>
      <c r="I212" s="92" t="s">
        <v>127</v>
      </c>
      <c r="J212" s="93">
        <v>4.9808850400000004</v>
      </c>
      <c r="K212" s="94"/>
      <c r="L212" s="94"/>
      <c r="M212" s="126">
        <f t="shared" ref="M212:N231" ca="1" si="86">IFERROR(M345/_xlfn.MAXIFS(M$285:M$416,$B$19:$B$150,$B212,$F$152:$F$283,"C"),"?")</f>
        <v>1</v>
      </c>
      <c r="N212" s="128">
        <f t="shared" ca="1" si="86"/>
        <v>1</v>
      </c>
      <c r="O212" s="1058" t="s">
        <v>1583</v>
      </c>
      <c r="P212" s="126">
        <f t="shared" ref="P212:BB212" si="87">IFERROR(P79/_xlfn.MAXIFS(P$19:P$150,$B$19:$B$150,$B212,$F$152:$F$283,"C"),"?")</f>
        <v>1</v>
      </c>
      <c r="Q212" s="128">
        <f t="shared" si="87"/>
        <v>1</v>
      </c>
      <c r="R212" s="127">
        <f t="shared" si="87"/>
        <v>1</v>
      </c>
      <c r="S212" s="1041">
        <f t="shared" si="87"/>
        <v>1</v>
      </c>
      <c r="T212" s="1041">
        <f t="shared" si="87"/>
        <v>1</v>
      </c>
      <c r="U212" s="1041">
        <f t="shared" si="87"/>
        <v>1</v>
      </c>
      <c r="V212" s="1041">
        <f t="shared" si="87"/>
        <v>1</v>
      </c>
      <c r="W212" s="1041">
        <f t="shared" si="87"/>
        <v>1</v>
      </c>
      <c r="X212" s="1041">
        <f t="shared" si="87"/>
        <v>1</v>
      </c>
      <c r="Y212" s="1041">
        <f t="shared" si="87"/>
        <v>1</v>
      </c>
      <c r="Z212" s="1041">
        <f t="shared" si="87"/>
        <v>1</v>
      </c>
      <c r="AA212" s="1041">
        <f t="shared" si="87"/>
        <v>1</v>
      </c>
      <c r="AB212" s="1041">
        <f t="shared" si="87"/>
        <v>1</v>
      </c>
      <c r="AC212" s="1041">
        <f t="shared" si="87"/>
        <v>1</v>
      </c>
      <c r="AD212" s="1041">
        <f t="shared" si="87"/>
        <v>1</v>
      </c>
      <c r="AE212" s="1041">
        <f t="shared" si="87"/>
        <v>1</v>
      </c>
      <c r="AF212" s="1041">
        <f t="shared" si="87"/>
        <v>1</v>
      </c>
      <c r="AG212" s="1041">
        <f t="shared" si="87"/>
        <v>1</v>
      </c>
      <c r="AH212" s="1041">
        <f t="shared" si="87"/>
        <v>1</v>
      </c>
      <c r="AI212" s="1041">
        <f t="shared" si="87"/>
        <v>1</v>
      </c>
      <c r="AJ212" s="1042">
        <f t="shared" si="87"/>
        <v>1</v>
      </c>
      <c r="AK212" s="1083">
        <f t="shared" si="87"/>
        <v>1</v>
      </c>
      <c r="AL212" s="1084">
        <f t="shared" si="87"/>
        <v>1</v>
      </c>
      <c r="AM212" s="1084">
        <f t="shared" si="87"/>
        <v>1</v>
      </c>
      <c r="AN212" s="1084">
        <f t="shared" si="87"/>
        <v>1</v>
      </c>
      <c r="AO212" s="1084">
        <f t="shared" si="87"/>
        <v>1</v>
      </c>
      <c r="AP212" s="1084">
        <f t="shared" si="87"/>
        <v>1</v>
      </c>
      <c r="AQ212" s="1084">
        <f t="shared" si="87"/>
        <v>1</v>
      </c>
      <c r="AR212" s="1084">
        <f t="shared" si="87"/>
        <v>1</v>
      </c>
      <c r="AS212" s="1084">
        <f t="shared" si="87"/>
        <v>1</v>
      </c>
      <c r="AT212" s="1084">
        <f t="shared" si="87"/>
        <v>1</v>
      </c>
      <c r="AU212" s="1084">
        <f t="shared" si="87"/>
        <v>1</v>
      </c>
      <c r="AV212" s="1084">
        <f t="shared" si="87"/>
        <v>1</v>
      </c>
      <c r="AW212" s="1084">
        <f t="shared" si="87"/>
        <v>1</v>
      </c>
      <c r="AX212" s="1084">
        <f t="shared" si="87"/>
        <v>1</v>
      </c>
      <c r="AY212" s="1084">
        <f t="shared" si="87"/>
        <v>1</v>
      </c>
      <c r="AZ212" s="1084">
        <f t="shared" si="87"/>
        <v>1</v>
      </c>
      <c r="BA212" s="1084">
        <f t="shared" si="87"/>
        <v>1</v>
      </c>
      <c r="BB212" s="1085">
        <f t="shared" si="87"/>
        <v>1</v>
      </c>
      <c r="BC212" s="1043"/>
    </row>
    <row r="213" spans="1:57" ht="12" customHeight="1" outlineLevel="1" x14ac:dyDescent="0.2">
      <c r="A213" s="123"/>
      <c r="B213" s="104" t="s">
        <v>106</v>
      </c>
      <c r="C213" s="104" t="s">
        <v>121</v>
      </c>
      <c r="D213" s="2" t="s">
        <v>137</v>
      </c>
      <c r="E213" s="2" t="s">
        <v>142</v>
      </c>
      <c r="F213" s="105" t="s">
        <v>122</v>
      </c>
      <c r="G213" s="27" t="s">
        <v>1579</v>
      </c>
      <c r="H213" s="106" t="s">
        <v>128</v>
      </c>
      <c r="I213" s="107" t="s">
        <v>129</v>
      </c>
      <c r="J213" s="108">
        <v>4.9808850400000004</v>
      </c>
      <c r="K213" s="109"/>
      <c r="L213" s="109"/>
      <c r="M213" s="131">
        <f t="shared" ca="1" si="86"/>
        <v>1.0200405339075389</v>
      </c>
      <c r="N213" s="133">
        <f t="shared" ca="1" si="86"/>
        <v>0.63863080162577457</v>
      </c>
      <c r="O213" s="1059" t="s">
        <v>1583</v>
      </c>
      <c r="P213" s="131">
        <f t="shared" ref="P213:BB213" si="88">IFERROR(P80/_xlfn.MAXIFS(P$19:P$150,$B$19:$B$150,$B213,$F$152:$F$283,"C"),"?")</f>
        <v>0.30984550857484883</v>
      </c>
      <c r="Q213" s="133">
        <f t="shared" si="88"/>
        <v>1.0555042078313239</v>
      </c>
      <c r="R213" s="132">
        <f t="shared" si="88"/>
        <v>0.71653249671801378</v>
      </c>
      <c r="S213" s="1044">
        <f t="shared" si="88"/>
        <v>0.66464472707954259</v>
      </c>
      <c r="T213" s="1044">
        <f t="shared" si="88"/>
        <v>0.25318970943002195</v>
      </c>
      <c r="U213" s="1044">
        <f t="shared" si="88"/>
        <v>0.48306544608630991</v>
      </c>
      <c r="V213" s="1044">
        <f t="shared" si="88"/>
        <v>0.91983019021489731</v>
      </c>
      <c r="W213" s="1044">
        <f t="shared" si="88"/>
        <v>0.32203886487410144</v>
      </c>
      <c r="X213" s="1044">
        <f t="shared" si="88"/>
        <v>0.92114737858629414</v>
      </c>
      <c r="Y213" s="1044">
        <f t="shared" si="88"/>
        <v>0.23257547598537623</v>
      </c>
      <c r="Z213" s="1044">
        <f t="shared" si="88"/>
        <v>0.12190893540034567</v>
      </c>
      <c r="AA213" s="1044">
        <f t="shared" si="88"/>
        <v>0.40562337150017247</v>
      </c>
      <c r="AB213" s="1044">
        <f t="shared" si="88"/>
        <v>9.0504366487130575E-3</v>
      </c>
      <c r="AC213" s="1044">
        <f t="shared" si="88"/>
        <v>7.900874694253119E-3</v>
      </c>
      <c r="AD213" s="1044">
        <f t="shared" si="88"/>
        <v>6.9149476333014048E-2</v>
      </c>
      <c r="AE213" s="1044">
        <f t="shared" si="88"/>
        <v>0.40521552540423383</v>
      </c>
      <c r="AF213" s="1044">
        <f t="shared" si="88"/>
        <v>6.2178602574341879E-2</v>
      </c>
      <c r="AG213" s="1044">
        <f t="shared" si="88"/>
        <v>1.1467814902914766</v>
      </c>
      <c r="AH213" s="1044">
        <f t="shared" si="88"/>
        <v>0.20795253982548326</v>
      </c>
      <c r="AI213" s="1044">
        <f t="shared" si="88"/>
        <v>0.67741695352111586</v>
      </c>
      <c r="AJ213" s="1045">
        <f t="shared" si="88"/>
        <v>0.83216789676603653</v>
      </c>
      <c r="AK213" s="1086">
        <f t="shared" si="88"/>
        <v>0.6651944474434095</v>
      </c>
      <c r="AL213" s="1087">
        <f t="shared" si="88"/>
        <v>0.48301392517069158</v>
      </c>
      <c r="AM213" s="1087">
        <f t="shared" si="88"/>
        <v>0.47764145885799464</v>
      </c>
      <c r="AN213" s="1087">
        <f t="shared" si="88"/>
        <v>1.0430688502586611</v>
      </c>
      <c r="AO213" s="1087">
        <f t="shared" si="88"/>
        <v>0.36011153704730126</v>
      </c>
      <c r="AP213" s="1087">
        <f t="shared" si="88"/>
        <v>0.24146385321026215</v>
      </c>
      <c r="AQ213" s="1087">
        <f t="shared" si="88"/>
        <v>0.14442334264968151</v>
      </c>
      <c r="AR213" s="1087">
        <f t="shared" si="88"/>
        <v>0.39947582396601045</v>
      </c>
      <c r="AS213" s="1087">
        <f t="shared" si="88"/>
        <v>-1.6186194274948051E-5</v>
      </c>
      <c r="AT213" s="1087">
        <f t="shared" si="88"/>
        <v>4.4329766929048164E-2</v>
      </c>
      <c r="AU213" s="1087">
        <f t="shared" si="88"/>
        <v>0.13050643365222747</v>
      </c>
      <c r="AV213" s="1087">
        <f t="shared" si="88"/>
        <v>0.11563866459877754</v>
      </c>
      <c r="AW213" s="1087">
        <f t="shared" si="88"/>
        <v>1.1467824533600635</v>
      </c>
      <c r="AX213" s="1087">
        <f t="shared" si="88"/>
        <v>0.26371679471771525</v>
      </c>
      <c r="AY213" s="1087">
        <f t="shared" si="88"/>
        <v>0.25628544757169591</v>
      </c>
      <c r="AZ213" s="1087">
        <f t="shared" si="88"/>
        <v>1.1343869741832391</v>
      </c>
      <c r="BA213" s="1087">
        <f t="shared" si="88"/>
        <v>0.68569902633321822</v>
      </c>
      <c r="BB213" s="1088">
        <f t="shared" si="88"/>
        <v>0.81284859710517832</v>
      </c>
      <c r="BC213" s="1043"/>
    </row>
    <row r="214" spans="1:57" ht="12" customHeight="1" outlineLevel="1" x14ac:dyDescent="0.2">
      <c r="A214" s="123"/>
      <c r="B214" s="104" t="s">
        <v>106</v>
      </c>
      <c r="C214" s="104" t="s">
        <v>121</v>
      </c>
      <c r="D214" s="2" t="s">
        <v>137</v>
      </c>
      <c r="E214" s="2" t="s">
        <v>142</v>
      </c>
      <c r="F214" s="105" t="s">
        <v>93</v>
      </c>
      <c r="G214" s="27" t="s">
        <v>1578</v>
      </c>
      <c r="H214" s="106" t="s">
        <v>130</v>
      </c>
      <c r="I214" s="107" t="s">
        <v>129</v>
      </c>
      <c r="J214" s="108">
        <v>4.9808850400000004</v>
      </c>
      <c r="K214" s="109"/>
      <c r="L214" s="109"/>
      <c r="M214" s="131">
        <f t="shared" ca="1" si="86"/>
        <v>1.1878456945615126</v>
      </c>
      <c r="N214" s="133">
        <f t="shared" ca="1" si="86"/>
        <v>0.86184234256933023</v>
      </c>
      <c r="O214" s="1059" t="s">
        <v>1583</v>
      </c>
      <c r="P214" s="131">
        <f t="shared" ref="P214:BB214" si="89">IFERROR(P81/_xlfn.MAXIFS(P$19:P$150,$B$19:$B$150,$B214,$F$152:$F$283,"C"),"?")</f>
        <v>0.43785019012987142</v>
      </c>
      <c r="Q214" s="133">
        <f t="shared" si="89"/>
        <v>1.423292907791613</v>
      </c>
      <c r="R214" s="132">
        <f t="shared" si="89"/>
        <v>0.96620668220541028</v>
      </c>
      <c r="S214" s="1044">
        <f t="shared" si="89"/>
        <v>0.89623874517412294</v>
      </c>
      <c r="T214" s="1044">
        <f t="shared" si="89"/>
        <v>0.34141312065675294</v>
      </c>
      <c r="U214" s="1044">
        <f t="shared" si="89"/>
        <v>0.65138854888316822</v>
      </c>
      <c r="V214" s="1044">
        <f t="shared" si="89"/>
        <v>1.2403430714109658</v>
      </c>
      <c r="W214" s="1044">
        <f t="shared" si="89"/>
        <v>0.43425261194133052</v>
      </c>
      <c r="X214" s="1044">
        <f t="shared" si="89"/>
        <v>1.2421192027538055</v>
      </c>
      <c r="Y214" s="1044">
        <f t="shared" si="89"/>
        <v>0.31361589489320429</v>
      </c>
      <c r="Z214" s="1044">
        <f t="shared" si="89"/>
        <v>0.16438783971737178</v>
      </c>
      <c r="AA214" s="1044">
        <f t="shared" si="89"/>
        <v>0.5469619651774823</v>
      </c>
      <c r="AB214" s="1044">
        <f t="shared" si="89"/>
        <v>1.2204041658241157E-2</v>
      </c>
      <c r="AC214" s="1044">
        <f t="shared" si="89"/>
        <v>1.0769871628813644E-2</v>
      </c>
      <c r="AD214" s="1044">
        <f t="shared" si="89"/>
        <v>9.380334813116302E-2</v>
      </c>
      <c r="AE214" s="1044">
        <f t="shared" si="89"/>
        <v>0.55948265542473608</v>
      </c>
      <c r="AF214" s="1044">
        <f t="shared" si="89"/>
        <v>0.13365967507231699</v>
      </c>
      <c r="AG214" s="1044">
        <f t="shared" si="89"/>
        <v>1.5463750022332801</v>
      </c>
      <c r="AH214" s="1044">
        <f t="shared" si="89"/>
        <v>0.28041315657290511</v>
      </c>
      <c r="AI214" s="1044">
        <f t="shared" si="89"/>
        <v>0.91346143132054969</v>
      </c>
      <c r="AJ214" s="1045">
        <f t="shared" si="89"/>
        <v>1.1221350060917581</v>
      </c>
      <c r="AK214" s="1086">
        <f t="shared" si="89"/>
        <v>0.89698001570647889</v>
      </c>
      <c r="AL214" s="1087">
        <f t="shared" si="89"/>
        <v>0.65131907625575614</v>
      </c>
      <c r="AM214" s="1087">
        <f t="shared" si="89"/>
        <v>0.64407458870014866</v>
      </c>
      <c r="AN214" s="1087">
        <f t="shared" si="89"/>
        <v>1.4065239197942567</v>
      </c>
      <c r="AO214" s="1087">
        <f t="shared" si="89"/>
        <v>0.48559164459784537</v>
      </c>
      <c r="AP214" s="1087">
        <f t="shared" si="89"/>
        <v>0.3256014105733287</v>
      </c>
      <c r="AQ214" s="1087">
        <f t="shared" si="89"/>
        <v>0.19474734357793241</v>
      </c>
      <c r="AR214" s="1087">
        <f t="shared" si="89"/>
        <v>0.53867230617934159</v>
      </c>
      <c r="AS214" s="1087">
        <f t="shared" si="89"/>
        <v>1.2542297382587776E-3</v>
      </c>
      <c r="AT214" s="1087">
        <f t="shared" si="89"/>
        <v>6.0187542964360907E-2</v>
      </c>
      <c r="AU214" s="1087">
        <f t="shared" si="89"/>
        <v>0.17658041079837408</v>
      </c>
      <c r="AV214" s="1087">
        <f t="shared" si="89"/>
        <v>0.18406928862105484</v>
      </c>
      <c r="AW214" s="1087">
        <f t="shared" si="89"/>
        <v>1.5463763203976726</v>
      </c>
      <c r="AX214" s="1087">
        <f t="shared" si="89"/>
        <v>0.35560833777780221</v>
      </c>
      <c r="AY214" s="1087">
        <f t="shared" si="89"/>
        <v>0.34558756105285249</v>
      </c>
      <c r="AZ214" s="1087">
        <f t="shared" si="89"/>
        <v>1.5296617154789574</v>
      </c>
      <c r="BA214" s="1087">
        <f t="shared" si="89"/>
        <v>0.92462937121449118</v>
      </c>
      <c r="BB214" s="1088">
        <f t="shared" si="89"/>
        <v>1.0960839369419646</v>
      </c>
      <c r="BC214" s="1043"/>
    </row>
    <row r="215" spans="1:57" ht="12" customHeight="1" outlineLevel="1" x14ac:dyDescent="0.2">
      <c r="A215" s="123"/>
      <c r="B215" s="104" t="s">
        <v>106</v>
      </c>
      <c r="C215" s="104" t="s">
        <v>121</v>
      </c>
      <c r="D215" s="2" t="s">
        <v>137</v>
      </c>
      <c r="E215" s="2" t="s">
        <v>142</v>
      </c>
      <c r="F215" s="105" t="s">
        <v>94</v>
      </c>
      <c r="G215" s="27" t="s">
        <v>1580</v>
      </c>
      <c r="H215" s="106" t="s">
        <v>131</v>
      </c>
      <c r="I215" s="107" t="s">
        <v>129</v>
      </c>
      <c r="J215" s="108">
        <v>4.9808850400000004</v>
      </c>
      <c r="K215" s="109"/>
      <c r="L215" s="109"/>
      <c r="M215" s="131">
        <f t="shared" ca="1" si="86"/>
        <v>0.92102659308640189</v>
      </c>
      <c r="N215" s="133">
        <f t="shared" ca="1" si="86"/>
        <v>0.50692415911581057</v>
      </c>
      <c r="O215" s="1059" t="s">
        <v>1583</v>
      </c>
      <c r="P215" s="131">
        <f t="shared" ref="P215:BB215" si="90">IFERROR(P82/_xlfn.MAXIFS(P$19:P$150,$B$19:$B$150,$B215,$F$152:$F$283,"C"),"?")</f>
        <v>0.23433436353683462</v>
      </c>
      <c r="Q215" s="133">
        <f t="shared" si="90"/>
        <v>0.83848830584305478</v>
      </c>
      <c r="R215" s="132">
        <f t="shared" si="90"/>
        <v>0.56921076000212456</v>
      </c>
      <c r="S215" s="1044">
        <f t="shared" si="90"/>
        <v>0.5279913128299264</v>
      </c>
      <c r="T215" s="1044">
        <f t="shared" si="90"/>
        <v>0.2011329708709898</v>
      </c>
      <c r="U215" s="1044">
        <f t="shared" si="90"/>
        <v>0.38374539690926168</v>
      </c>
      <c r="V215" s="1044">
        <f t="shared" si="90"/>
        <v>0.73070972270404966</v>
      </c>
      <c r="W215" s="1044">
        <f t="shared" si="90"/>
        <v>0.25582648433893407</v>
      </c>
      <c r="X215" s="1044">
        <f t="shared" si="90"/>
        <v>0.73175607242894636</v>
      </c>
      <c r="Y215" s="1044">
        <f t="shared" si="90"/>
        <v>0.1847570982357849</v>
      </c>
      <c r="Z215" s="1044">
        <f t="shared" si="90"/>
        <v>9.6844007046309757E-2</v>
      </c>
      <c r="AA215" s="1044">
        <f t="shared" si="90"/>
        <v>0.32222570228503356</v>
      </c>
      <c r="AB215" s="1044">
        <f t="shared" si="90"/>
        <v>7.1896333151536228E-3</v>
      </c>
      <c r="AC215" s="1044">
        <f t="shared" si="90"/>
        <v>6.2081146675579905E-3</v>
      </c>
      <c r="AD215" s="1044">
        <f t="shared" si="90"/>
        <v>5.4602837845749701E-2</v>
      </c>
      <c r="AE215" s="1044">
        <f t="shared" si="90"/>
        <v>0.31420153405862872</v>
      </c>
      <c r="AF215" s="1044">
        <f t="shared" si="90"/>
        <v>2.0047444583571519E-2</v>
      </c>
      <c r="AG215" s="1044">
        <f t="shared" si="90"/>
        <v>0.91099897255790063</v>
      </c>
      <c r="AH215" s="1044">
        <f t="shared" si="90"/>
        <v>0.16519672474430863</v>
      </c>
      <c r="AI215" s="1044">
        <f t="shared" si="90"/>
        <v>0.53813752060560471</v>
      </c>
      <c r="AJ215" s="1045">
        <f t="shared" si="90"/>
        <v>0.6610711001652918</v>
      </c>
      <c r="AK215" s="1086">
        <f t="shared" si="90"/>
        <v>0.52842801333339329</v>
      </c>
      <c r="AL215" s="1087">
        <f t="shared" si="90"/>
        <v>0.38370446991808904</v>
      </c>
      <c r="AM215" s="1087">
        <f t="shared" si="90"/>
        <v>0.37943661132817852</v>
      </c>
      <c r="AN215" s="1087">
        <f t="shared" si="90"/>
        <v>0.8286100232279362</v>
      </c>
      <c r="AO215" s="1087">
        <f t="shared" si="90"/>
        <v>0.28607127432911106</v>
      </c>
      <c r="AP215" s="1087">
        <f t="shared" si="90"/>
        <v>0.19181799614175488</v>
      </c>
      <c r="AQ215" s="1087">
        <f t="shared" si="90"/>
        <v>0.11472936981683912</v>
      </c>
      <c r="AR215" s="1087">
        <f t="shared" si="90"/>
        <v>0.31734211587495337</v>
      </c>
      <c r="AS215" s="1087">
        <f t="shared" si="90"/>
        <v>-7.6460697538744153E-4</v>
      </c>
      <c r="AT215" s="1087">
        <f t="shared" si="90"/>
        <v>3.4973177595967811E-2</v>
      </c>
      <c r="AU215" s="1087">
        <f t="shared" si="90"/>
        <v>0.10332077531347628</v>
      </c>
      <c r="AV215" s="1087">
        <f t="shared" si="90"/>
        <v>7.5287121208048632E-2</v>
      </c>
      <c r="AW215" s="1087">
        <f t="shared" si="90"/>
        <v>0.91099974031703201</v>
      </c>
      <c r="AX215" s="1087">
        <f t="shared" si="90"/>
        <v>0.20949564121671285</v>
      </c>
      <c r="AY215" s="1087">
        <f t="shared" si="90"/>
        <v>0.20359221013114975</v>
      </c>
      <c r="AZ215" s="1087">
        <f t="shared" si="90"/>
        <v>0.90115284635802528</v>
      </c>
      <c r="BA215" s="1087">
        <f t="shared" si="90"/>
        <v>0.54471677441798527</v>
      </c>
      <c r="BB215" s="1088">
        <f t="shared" si="90"/>
        <v>0.64572393173376597</v>
      </c>
      <c r="BC215" s="1043"/>
    </row>
    <row r="216" spans="1:57" ht="12" customHeight="1" outlineLevel="1" x14ac:dyDescent="0.2">
      <c r="A216" s="123"/>
      <c r="B216" s="104" t="s">
        <v>106</v>
      </c>
      <c r="C216" s="104" t="s">
        <v>121</v>
      </c>
      <c r="D216" s="2" t="s">
        <v>137</v>
      </c>
      <c r="E216" s="2" t="s">
        <v>142</v>
      </c>
      <c r="F216" s="105" t="s">
        <v>95</v>
      </c>
      <c r="G216" s="27" t="s">
        <v>1581</v>
      </c>
      <c r="H216" s="106" t="s">
        <v>128</v>
      </c>
      <c r="I216" s="107" t="s">
        <v>127</v>
      </c>
      <c r="J216" s="108">
        <v>4.9808850400000004</v>
      </c>
      <c r="K216" s="109"/>
      <c r="L216" s="109"/>
      <c r="M216" s="131">
        <f t="shared" ca="1" si="86"/>
        <v>1.1209065241010903</v>
      </c>
      <c r="N216" s="133">
        <f t="shared" ca="1" si="86"/>
        <v>0.77280100838316157</v>
      </c>
      <c r="O216" s="1059" t="s">
        <v>1583</v>
      </c>
      <c r="P216" s="131">
        <f t="shared" ref="P216:BB216" si="91">IFERROR(P83/_xlfn.MAXIFS(P$19:P$150,$B$19:$B$150,$B216,$F$152:$F$283,"C"),"?")</f>
        <v>0.91327745247742986</v>
      </c>
      <c r="Q216" s="133">
        <f t="shared" si="91"/>
        <v>1.0963442512629955</v>
      </c>
      <c r="R216" s="132">
        <f t="shared" si="91"/>
        <v>0.76591493772640984</v>
      </c>
      <c r="S216" s="1044">
        <f t="shared" si="91"/>
        <v>0.7516342676889346</v>
      </c>
      <c r="T216" s="1044">
        <f t="shared" si="91"/>
        <v>0.43315324955892415</v>
      </c>
      <c r="U216" s="1044">
        <f t="shared" si="91"/>
        <v>0.48711680159589665</v>
      </c>
      <c r="V216" s="1044">
        <f t="shared" si="91"/>
        <v>0.99573530269122357</v>
      </c>
      <c r="W216" s="1044">
        <f t="shared" si="91"/>
        <v>0.84709108686557544</v>
      </c>
      <c r="X216" s="1044">
        <f t="shared" si="91"/>
        <v>0.99669780697612143</v>
      </c>
      <c r="Y216" s="1044">
        <f t="shared" si="91"/>
        <v>0.83048660051142575</v>
      </c>
      <c r="Z216" s="1044">
        <f t="shared" si="91"/>
        <v>0.56432179730310139</v>
      </c>
      <c r="AA216" s="1044">
        <f t="shared" si="91"/>
        <v>0.68438081285589603</v>
      </c>
      <c r="AB216" s="1044">
        <f t="shared" si="91"/>
        <v>1.5700943382334593E-2</v>
      </c>
      <c r="AC216" s="1044">
        <f t="shared" si="91"/>
        <v>1.4410458330701911E-2</v>
      </c>
      <c r="AD216" s="1044">
        <f t="shared" si="91"/>
        <v>0.1160917929348543</v>
      </c>
      <c r="AE216" s="1044">
        <f t="shared" si="91"/>
        <v>0.79810456306516564</v>
      </c>
      <c r="AF216" s="1044">
        <f t="shared" si="91"/>
        <v>1.0778553400631055</v>
      </c>
      <c r="AG216" s="1044">
        <f t="shared" si="91"/>
        <v>1.1467814902914766</v>
      </c>
      <c r="AH216" s="1044">
        <f t="shared" si="91"/>
        <v>0.20844402962071473</v>
      </c>
      <c r="AI216" s="1044">
        <f t="shared" si="91"/>
        <v>0.72194611179072377</v>
      </c>
      <c r="AJ216" s="1045">
        <f t="shared" si="91"/>
        <v>0.83516276852383442</v>
      </c>
      <c r="AK216" s="1086">
        <f t="shared" si="91"/>
        <v>0.75244497174402625</v>
      </c>
      <c r="AL216" s="1087">
        <f t="shared" si="91"/>
        <v>0.48704272695461048</v>
      </c>
      <c r="AM216" s="1087">
        <f t="shared" si="91"/>
        <v>0.48160760228197252</v>
      </c>
      <c r="AN216" s="1087">
        <f t="shared" si="91"/>
        <v>1.1256077028057307</v>
      </c>
      <c r="AO216" s="1087">
        <f t="shared" si="91"/>
        <v>0.87551216527882814</v>
      </c>
      <c r="AP216" s="1087">
        <f t="shared" si="91"/>
        <v>0.84047384624153587</v>
      </c>
      <c r="AQ216" s="1087">
        <f t="shared" si="91"/>
        <v>0.572012838349783</v>
      </c>
      <c r="AR216" s="1087">
        <f t="shared" si="91"/>
        <v>0.69164989187736736</v>
      </c>
      <c r="AS216" s="1087">
        <f t="shared" si="91"/>
        <v>2.7100013459043185E-2</v>
      </c>
      <c r="AT216" s="1087">
        <f t="shared" si="91"/>
        <v>6.1905782270576047E-2</v>
      </c>
      <c r="AU216" s="1087">
        <f t="shared" si="91"/>
        <v>0.1684104537308975</v>
      </c>
      <c r="AV216" s="1087">
        <f t="shared" si="91"/>
        <v>0.6733307484719302</v>
      </c>
      <c r="AW216" s="1087">
        <f t="shared" si="91"/>
        <v>1.1467824533600635</v>
      </c>
      <c r="AX216" s="1087">
        <f t="shared" si="91"/>
        <v>0.26371679471771525</v>
      </c>
      <c r="AY216" s="1087">
        <f t="shared" si="91"/>
        <v>0.25628544757169591</v>
      </c>
      <c r="AZ216" s="1087">
        <f t="shared" si="91"/>
        <v>1.1361210064491061</v>
      </c>
      <c r="BA216" s="1087">
        <f t="shared" si="91"/>
        <v>0.73028534946442092</v>
      </c>
      <c r="BB216" s="1088">
        <f t="shared" si="91"/>
        <v>0.81574412260478368</v>
      </c>
      <c r="BC216" s="1043"/>
    </row>
    <row r="217" spans="1:57" ht="12" customHeight="1" outlineLevel="1" x14ac:dyDescent="0.2">
      <c r="A217" s="123"/>
      <c r="B217" s="104" t="s">
        <v>106</v>
      </c>
      <c r="C217" s="104" t="s">
        <v>121</v>
      </c>
      <c r="D217" s="2" t="s">
        <v>137</v>
      </c>
      <c r="E217" s="2" t="s">
        <v>142</v>
      </c>
      <c r="F217" s="105" t="s">
        <v>96</v>
      </c>
      <c r="G217" s="27" t="s">
        <v>1582</v>
      </c>
      <c r="H217" s="106" t="s">
        <v>128</v>
      </c>
      <c r="I217" s="107" t="s">
        <v>1577</v>
      </c>
      <c r="J217" s="129">
        <v>4.9808850400000004</v>
      </c>
      <c r="K217" s="130"/>
      <c r="L217" s="130"/>
      <c r="M217" s="131">
        <f t="shared" ca="1" si="86"/>
        <v>1.1946413349841196</v>
      </c>
      <c r="N217" s="133">
        <f t="shared" ca="1" si="86"/>
        <v>0.87088178667532157</v>
      </c>
      <c r="O217" s="1059" t="s">
        <v>1583</v>
      </c>
      <c r="P217" s="131">
        <f t="shared" ref="P217:BB217" si="92">IFERROR(P84/_xlfn.MAXIFS(P$19:P$150,$B$19:$B$150,$B217,$F$152:$F$283,"C"),"?")</f>
        <v>1.3765353561037064</v>
      </c>
      <c r="Q217" s="133">
        <f t="shared" si="92"/>
        <v>1.1259547314557055</v>
      </c>
      <c r="R217" s="132">
        <f t="shared" si="92"/>
        <v>0.79814272603761671</v>
      </c>
      <c r="S217" s="1044">
        <f t="shared" si="92"/>
        <v>0.81397036738907824</v>
      </c>
      <c r="T217" s="1044">
        <f t="shared" si="92"/>
        <v>0.56436205667374784</v>
      </c>
      <c r="U217" s="1044">
        <f t="shared" si="92"/>
        <v>0.48976079619448976</v>
      </c>
      <c r="V217" s="1044">
        <f t="shared" si="92"/>
        <v>1.0452721037584081</v>
      </c>
      <c r="W217" s="1044">
        <f t="shared" si="92"/>
        <v>1.2291971527936527</v>
      </c>
      <c r="X217" s="1044">
        <f t="shared" si="92"/>
        <v>1.0460032270730206</v>
      </c>
      <c r="Y217" s="1044">
        <f t="shared" si="92"/>
        <v>1.2661226268559529</v>
      </c>
      <c r="Z217" s="1044">
        <f t="shared" si="92"/>
        <v>0.87940391474070478</v>
      </c>
      <c r="AA217" s="1044">
        <f t="shared" si="92"/>
        <v>0.88764455476438942</v>
      </c>
      <c r="AB217" s="1044">
        <f t="shared" si="92"/>
        <v>2.0041169556188086E-2</v>
      </c>
      <c r="AC217" s="1044">
        <f t="shared" si="92"/>
        <v>1.6943061356918945E-2</v>
      </c>
      <c r="AD217" s="1044">
        <f t="shared" si="92"/>
        <v>0.13133183821900524</v>
      </c>
      <c r="AE217" s="1044">
        <f t="shared" si="92"/>
        <v>1.1126217736822539</v>
      </c>
      <c r="AF217" s="1044">
        <f t="shared" si="92"/>
        <v>1.8775863670651622</v>
      </c>
      <c r="AG217" s="1044">
        <f t="shared" si="92"/>
        <v>1.1467814902914766</v>
      </c>
      <c r="AH217" s="1044">
        <f t="shared" si="92"/>
        <v>0.20876477592532386</v>
      </c>
      <c r="AI217" s="1044">
        <f t="shared" si="92"/>
        <v>0.75100653659595884</v>
      </c>
      <c r="AJ217" s="1045">
        <f t="shared" si="92"/>
        <v>0.83711726197612335</v>
      </c>
      <c r="AK217" s="1086">
        <f t="shared" si="92"/>
        <v>0.81497599051767722</v>
      </c>
      <c r="AL217" s="1087">
        <f t="shared" si="92"/>
        <v>0.48967199400490952</v>
      </c>
      <c r="AM217" s="1087">
        <f t="shared" si="92"/>
        <v>0.48419596171371876</v>
      </c>
      <c r="AN217" s="1087">
        <f t="shared" si="92"/>
        <v>1.1794739269677643</v>
      </c>
      <c r="AO217" s="1087">
        <f t="shared" si="92"/>
        <v>1.2502194461750171</v>
      </c>
      <c r="AP217" s="1087">
        <f t="shared" si="92"/>
        <v>1.2768449651801181</v>
      </c>
      <c r="AQ217" s="1087">
        <f t="shared" si="92"/>
        <v>0.87653319307977851</v>
      </c>
      <c r="AR217" s="1087">
        <f t="shared" si="92"/>
        <v>0.90466644138687835</v>
      </c>
      <c r="AS217" s="1087">
        <f t="shared" si="92"/>
        <v>4.6335493455835403E-2</v>
      </c>
      <c r="AT217" s="1087">
        <f t="shared" si="92"/>
        <v>6.9480671987739384E-2</v>
      </c>
      <c r="AU217" s="1087">
        <f t="shared" si="92"/>
        <v>0.18365718789568097</v>
      </c>
      <c r="AV217" s="1087">
        <f t="shared" si="92"/>
        <v>1.1272040759277278</v>
      </c>
      <c r="AW217" s="1087">
        <f t="shared" si="92"/>
        <v>1.1467824533600635</v>
      </c>
      <c r="AX217" s="1087">
        <f t="shared" si="92"/>
        <v>0.26371679471771525</v>
      </c>
      <c r="AY217" s="1087">
        <f t="shared" si="92"/>
        <v>0.25628544757169591</v>
      </c>
      <c r="AZ217" s="1087">
        <f t="shared" si="92"/>
        <v>1.1372525909217124</v>
      </c>
      <c r="BA217" s="1087">
        <f t="shared" si="92"/>
        <v>0.75938309582273822</v>
      </c>
      <c r="BB217" s="1088">
        <f t="shared" si="92"/>
        <v>0.81763378135734244</v>
      </c>
      <c r="BC217" s="1043"/>
    </row>
    <row r="218" spans="1:57" ht="12" customHeight="1" outlineLevel="1" x14ac:dyDescent="0.2">
      <c r="A218" s="123"/>
      <c r="B218" s="88" t="s">
        <v>107</v>
      </c>
      <c r="C218" s="88" t="s">
        <v>121</v>
      </c>
      <c r="D218" s="89" t="s">
        <v>143</v>
      </c>
      <c r="E218" s="89" t="s">
        <v>144</v>
      </c>
      <c r="F218" s="90" t="s">
        <v>92</v>
      </c>
      <c r="G218" s="18" t="s">
        <v>126</v>
      </c>
      <c r="H218" s="91" t="s">
        <v>127</v>
      </c>
      <c r="I218" s="92" t="s">
        <v>127</v>
      </c>
      <c r="J218" s="93">
        <v>5.9321289200000002</v>
      </c>
      <c r="K218" s="94"/>
      <c r="L218" s="94"/>
      <c r="M218" s="126">
        <f t="shared" ca="1" si="86"/>
        <v>1</v>
      </c>
      <c r="N218" s="128">
        <f t="shared" ca="1" si="86"/>
        <v>1</v>
      </c>
      <c r="O218" s="1058" t="s">
        <v>1583</v>
      </c>
      <c r="P218" s="126">
        <f t="shared" ref="P218:BB218" si="93">IFERROR(P85/_xlfn.MAXIFS(P$19:P$150,$B$19:$B$150,$B218,$F$152:$F$283,"C"),"?")</f>
        <v>1</v>
      </c>
      <c r="Q218" s="128">
        <f t="shared" si="93"/>
        <v>1</v>
      </c>
      <c r="R218" s="127">
        <f t="shared" si="93"/>
        <v>1</v>
      </c>
      <c r="S218" s="1041">
        <f t="shared" si="93"/>
        <v>1</v>
      </c>
      <c r="T218" s="1041">
        <f t="shared" si="93"/>
        <v>1</v>
      </c>
      <c r="U218" s="1041">
        <f t="shared" si="93"/>
        <v>1</v>
      </c>
      <c r="V218" s="1041">
        <f t="shared" si="93"/>
        <v>1</v>
      </c>
      <c r="W218" s="1041">
        <f t="shared" si="93"/>
        <v>1</v>
      </c>
      <c r="X218" s="1041">
        <f t="shared" si="93"/>
        <v>1</v>
      </c>
      <c r="Y218" s="1041">
        <f t="shared" si="93"/>
        <v>1</v>
      </c>
      <c r="Z218" s="1041">
        <f t="shared" si="93"/>
        <v>1</v>
      </c>
      <c r="AA218" s="1041">
        <f t="shared" si="93"/>
        <v>1</v>
      </c>
      <c r="AB218" s="1041">
        <f t="shared" si="93"/>
        <v>1</v>
      </c>
      <c r="AC218" s="1041">
        <f t="shared" si="93"/>
        <v>1</v>
      </c>
      <c r="AD218" s="1041">
        <f t="shared" si="93"/>
        <v>1</v>
      </c>
      <c r="AE218" s="1041">
        <f t="shared" si="93"/>
        <v>1</v>
      </c>
      <c r="AF218" s="1041">
        <f t="shared" si="93"/>
        <v>1</v>
      </c>
      <c r="AG218" s="1041">
        <f t="shared" si="93"/>
        <v>1</v>
      </c>
      <c r="AH218" s="1041">
        <f t="shared" si="93"/>
        <v>1</v>
      </c>
      <c r="AI218" s="1041">
        <f t="shared" si="93"/>
        <v>1</v>
      </c>
      <c r="AJ218" s="1042">
        <f t="shared" si="93"/>
        <v>1</v>
      </c>
      <c r="AK218" s="1083">
        <f t="shared" si="93"/>
        <v>1</v>
      </c>
      <c r="AL218" s="1084">
        <f t="shared" si="93"/>
        <v>1</v>
      </c>
      <c r="AM218" s="1084">
        <f t="shared" si="93"/>
        <v>1</v>
      </c>
      <c r="AN218" s="1084">
        <f t="shared" si="93"/>
        <v>1</v>
      </c>
      <c r="AO218" s="1084">
        <f t="shared" si="93"/>
        <v>1</v>
      </c>
      <c r="AP218" s="1084">
        <f t="shared" si="93"/>
        <v>1</v>
      </c>
      <c r="AQ218" s="1084">
        <f t="shared" si="93"/>
        <v>1</v>
      </c>
      <c r="AR218" s="1084">
        <f t="shared" si="93"/>
        <v>1</v>
      </c>
      <c r="AS218" s="1084">
        <f t="shared" si="93"/>
        <v>1</v>
      </c>
      <c r="AT218" s="1084">
        <f t="shared" si="93"/>
        <v>1</v>
      </c>
      <c r="AU218" s="1084">
        <f t="shared" si="93"/>
        <v>1</v>
      </c>
      <c r="AV218" s="1084">
        <f t="shared" si="93"/>
        <v>1</v>
      </c>
      <c r="AW218" s="1084">
        <f t="shared" si="93"/>
        <v>1</v>
      </c>
      <c r="AX218" s="1084">
        <f t="shared" si="93"/>
        <v>1</v>
      </c>
      <c r="AY218" s="1084">
        <f t="shared" si="93"/>
        <v>1</v>
      </c>
      <c r="AZ218" s="1084">
        <f t="shared" si="93"/>
        <v>1</v>
      </c>
      <c r="BA218" s="1084">
        <f t="shared" si="93"/>
        <v>1</v>
      </c>
      <c r="BB218" s="1085">
        <f t="shared" si="93"/>
        <v>1</v>
      </c>
      <c r="BC218" s="1043"/>
      <c r="BE218" s="135"/>
    </row>
    <row r="219" spans="1:57" ht="12" customHeight="1" outlineLevel="1" x14ac:dyDescent="0.2">
      <c r="A219" s="123"/>
      <c r="B219" s="104" t="s">
        <v>107</v>
      </c>
      <c r="C219" s="104" t="s">
        <v>121</v>
      </c>
      <c r="D219" s="2" t="s">
        <v>143</v>
      </c>
      <c r="E219" s="2" t="s">
        <v>144</v>
      </c>
      <c r="F219" s="105" t="s">
        <v>122</v>
      </c>
      <c r="G219" s="27" t="s">
        <v>1579</v>
      </c>
      <c r="H219" s="106" t="s">
        <v>128</v>
      </c>
      <c r="I219" s="107" t="s">
        <v>129</v>
      </c>
      <c r="J219" s="108">
        <v>5.9321289200000002</v>
      </c>
      <c r="K219" s="109"/>
      <c r="L219" s="109"/>
      <c r="M219" s="131">
        <f t="shared" ca="1" si="86"/>
        <v>1.8593450746399804</v>
      </c>
      <c r="N219" s="133">
        <f t="shared" ca="1" si="86"/>
        <v>0.59148850510582662</v>
      </c>
      <c r="O219" s="1059" t="s">
        <v>1583</v>
      </c>
      <c r="P219" s="131">
        <f t="shared" ref="P219:BB219" si="94">IFERROR(P86/_xlfn.MAXIFS(P$19:P$150,$B$19:$B$150,$B219,$F$152:$F$283,"C"),"?")</f>
        <v>0.37561407185053597</v>
      </c>
      <c r="Q219" s="133">
        <f t="shared" si="94"/>
        <v>1.3387468326538674</v>
      </c>
      <c r="R219" s="132">
        <f t="shared" si="94"/>
        <v>0.92480462621214654</v>
      </c>
      <c r="S219" s="1044">
        <f t="shared" si="94"/>
        <v>0.69540346218553029</v>
      </c>
      <c r="T219" s="1044">
        <f t="shared" si="94"/>
        <v>0.30099770734611658</v>
      </c>
      <c r="U219" s="1044">
        <f t="shared" si="94"/>
        <v>0.51245276897659187</v>
      </c>
      <c r="V219" s="1044">
        <f t="shared" si="94"/>
        <v>1.1869274482287864</v>
      </c>
      <c r="W219" s="1044">
        <f t="shared" si="94"/>
        <v>0.42192300336083427</v>
      </c>
      <c r="X219" s="1044">
        <f t="shared" si="94"/>
        <v>1.1885722475235563</v>
      </c>
      <c r="Y219" s="1044">
        <f t="shared" si="94"/>
        <v>0.30122550167192286</v>
      </c>
      <c r="Z219" s="1044">
        <f t="shared" si="94"/>
        <v>0.15551451069679237</v>
      </c>
      <c r="AA219" s="1044">
        <f t="shared" si="94"/>
        <v>0.48709821151973987</v>
      </c>
      <c r="AB219" s="1044">
        <f t="shared" si="94"/>
        <v>5.1818134517358765E-3</v>
      </c>
      <c r="AC219" s="1044">
        <f t="shared" si="94"/>
        <v>6.8265876876240292E-3</v>
      </c>
      <c r="AD219" s="1044">
        <f t="shared" si="94"/>
        <v>4.6272509747017819E-2</v>
      </c>
      <c r="AE219" s="1044">
        <f t="shared" si="94"/>
        <v>0.52151375239071229</v>
      </c>
      <c r="AF219" s="1044">
        <f t="shared" si="94"/>
        <v>0.1825776087739136</v>
      </c>
      <c r="AG219" s="1044">
        <f t="shared" si="94"/>
        <v>1.4627540349306489</v>
      </c>
      <c r="AH219" s="1044">
        <f t="shared" si="94"/>
        <v>0.2758630564585357</v>
      </c>
      <c r="AI219" s="1044">
        <f t="shared" si="94"/>
        <v>0.87181956284204964</v>
      </c>
      <c r="AJ219" s="1045">
        <f t="shared" si="94"/>
        <v>1.4062412678160516</v>
      </c>
      <c r="AK219" s="1086">
        <f t="shared" si="94"/>
        <v>0.69547141447125382</v>
      </c>
      <c r="AL219" s="1087">
        <f t="shared" si="94"/>
        <v>0.51241154665233357</v>
      </c>
      <c r="AM219" s="1087">
        <f t="shared" si="94"/>
        <v>0.50819135793044468</v>
      </c>
      <c r="AN219" s="1087">
        <f t="shared" si="94"/>
        <v>1.3303002672805047</v>
      </c>
      <c r="AO219" s="1087">
        <f t="shared" si="94"/>
        <v>0.47289921540879998</v>
      </c>
      <c r="AP219" s="1087">
        <f t="shared" si="94"/>
        <v>0.3135175877388558</v>
      </c>
      <c r="AQ219" s="1087">
        <f t="shared" si="94"/>
        <v>0.18429518605532846</v>
      </c>
      <c r="AR219" s="1087">
        <f t="shared" si="94"/>
        <v>0.48079954105057826</v>
      </c>
      <c r="AS219" s="1087">
        <f t="shared" si="94"/>
        <v>1.2332137479049913E-3</v>
      </c>
      <c r="AT219" s="1087">
        <f t="shared" si="94"/>
        <v>2.2649577369576099E-2</v>
      </c>
      <c r="AU219" s="1087">
        <f t="shared" si="94"/>
        <v>7.0253957372799922E-2</v>
      </c>
      <c r="AV219" s="1087">
        <f t="shared" si="94"/>
        <v>0.1840157491853284</v>
      </c>
      <c r="AW219" s="1087">
        <f t="shared" si="94"/>
        <v>1.4627554587349605</v>
      </c>
      <c r="AX219" s="1087">
        <f t="shared" si="94"/>
        <v>0.33401978133008542</v>
      </c>
      <c r="AY219" s="1087">
        <f t="shared" si="94"/>
        <v>0.32964225015038501</v>
      </c>
      <c r="AZ219" s="1087">
        <f t="shared" si="94"/>
        <v>1.4506832048256957</v>
      </c>
      <c r="BA219" s="1087">
        <f t="shared" si="94"/>
        <v>0.87896524310628932</v>
      </c>
      <c r="BB219" s="1088">
        <f t="shared" si="94"/>
        <v>1.4012841450484994</v>
      </c>
      <c r="BC219" s="1043"/>
      <c r="BE219" s="135"/>
    </row>
    <row r="220" spans="1:57" ht="12" customHeight="1" outlineLevel="1" x14ac:dyDescent="0.2">
      <c r="A220" s="123"/>
      <c r="B220" s="104" t="s">
        <v>107</v>
      </c>
      <c r="C220" s="104" t="s">
        <v>121</v>
      </c>
      <c r="D220" s="2" t="s">
        <v>143</v>
      </c>
      <c r="E220" s="2" t="s">
        <v>144</v>
      </c>
      <c r="F220" s="105" t="s">
        <v>93</v>
      </c>
      <c r="G220" s="27" t="s">
        <v>1578</v>
      </c>
      <c r="H220" s="106" t="s">
        <v>130</v>
      </c>
      <c r="I220" s="107" t="s">
        <v>129</v>
      </c>
      <c r="J220" s="108">
        <v>5.9321289200000002</v>
      </c>
      <c r="K220" s="109"/>
      <c r="L220" s="109"/>
      <c r="M220" s="131">
        <f t="shared" ca="1" si="86"/>
        <v>1.9871959847820817</v>
      </c>
      <c r="N220" s="133">
        <f t="shared" ca="1" si="86"/>
        <v>0.74175456859233724</v>
      </c>
      <c r="O220" s="1059" t="s">
        <v>1583</v>
      </c>
      <c r="P220" s="131">
        <f t="shared" ref="P220:BB220" si="95">IFERROR(P87/_xlfn.MAXIFS(P$19:P$150,$B$19:$B$150,$B220,$F$152:$F$283,"C"),"?")</f>
        <v>0.48095520243222339</v>
      </c>
      <c r="Q220" s="133">
        <f t="shared" si="95"/>
        <v>1.6782956129413429</v>
      </c>
      <c r="R220" s="132">
        <f t="shared" si="95"/>
        <v>1.1590174110697051</v>
      </c>
      <c r="S220" s="1044">
        <f t="shared" si="95"/>
        <v>0.87165085122601837</v>
      </c>
      <c r="T220" s="1044">
        <f t="shared" si="95"/>
        <v>0.37734102996070745</v>
      </c>
      <c r="U220" s="1044">
        <f t="shared" si="95"/>
        <v>0.64240718617933823</v>
      </c>
      <c r="V220" s="1044">
        <f t="shared" si="95"/>
        <v>1.4874335814430828</v>
      </c>
      <c r="W220" s="1044">
        <f t="shared" si="95"/>
        <v>0.52886495847109927</v>
      </c>
      <c r="X220" s="1044">
        <f t="shared" si="95"/>
        <v>1.4894981557582767</v>
      </c>
      <c r="Y220" s="1044">
        <f t="shared" si="95"/>
        <v>0.37759327101484091</v>
      </c>
      <c r="Z220" s="1044">
        <f t="shared" si="95"/>
        <v>0.19495909464147324</v>
      </c>
      <c r="AA220" s="1044">
        <f t="shared" si="95"/>
        <v>0.61064577465617531</v>
      </c>
      <c r="AB220" s="1044">
        <f t="shared" si="95"/>
        <v>6.4737045848648088E-3</v>
      </c>
      <c r="AC220" s="1044">
        <f t="shared" si="95"/>
        <v>8.5969716482170687E-3</v>
      </c>
      <c r="AD220" s="1044">
        <f t="shared" si="95"/>
        <v>5.8152684676025038E-2</v>
      </c>
      <c r="AE220" s="1044">
        <f t="shared" si="95"/>
        <v>0.65957370146856431</v>
      </c>
      <c r="AF220" s="1044">
        <f t="shared" si="95"/>
        <v>0.2515697097262013</v>
      </c>
      <c r="AG220" s="1044">
        <f t="shared" si="95"/>
        <v>1.8337670764594722</v>
      </c>
      <c r="AH220" s="1044">
        <f t="shared" si="95"/>
        <v>0.3458291860038144</v>
      </c>
      <c r="AI220" s="1044">
        <f t="shared" si="95"/>
        <v>1.0926288082566584</v>
      </c>
      <c r="AJ220" s="1045">
        <f t="shared" si="95"/>
        <v>1.7629176010952243</v>
      </c>
      <c r="AK220" s="1086">
        <f t="shared" si="95"/>
        <v>0.87173640270098929</v>
      </c>
      <c r="AL220" s="1087">
        <f t="shared" si="95"/>
        <v>0.6423556313626706</v>
      </c>
      <c r="AM220" s="1087">
        <f t="shared" si="95"/>
        <v>0.63706535415550258</v>
      </c>
      <c r="AN220" s="1087">
        <f t="shared" si="95"/>
        <v>1.6671308005480445</v>
      </c>
      <c r="AO220" s="1087">
        <f t="shared" si="95"/>
        <v>0.59273482437500524</v>
      </c>
      <c r="AP220" s="1087">
        <f t="shared" si="95"/>
        <v>0.3929964653115377</v>
      </c>
      <c r="AQ220" s="1087">
        <f t="shared" si="95"/>
        <v>0.23103907999608886</v>
      </c>
      <c r="AR220" s="1087">
        <f t="shared" si="95"/>
        <v>0.60274636043781538</v>
      </c>
      <c r="AS220" s="1087">
        <f t="shared" si="95"/>
        <v>1.7970173976141525E-3</v>
      </c>
      <c r="AT220" s="1087">
        <f t="shared" si="95"/>
        <v>2.8476489292248275E-2</v>
      </c>
      <c r="AU220" s="1087">
        <f t="shared" si="95"/>
        <v>8.818317144581661E-2</v>
      </c>
      <c r="AV220" s="1087">
        <f t="shared" si="95"/>
        <v>0.24272814639688745</v>
      </c>
      <c r="AW220" s="1087">
        <f t="shared" si="95"/>
        <v>1.8337687878885385</v>
      </c>
      <c r="AX220" s="1087">
        <f t="shared" si="95"/>
        <v>0.41874056523681996</v>
      </c>
      <c r="AY220" s="1087">
        <f t="shared" si="95"/>
        <v>0.41325271923902607</v>
      </c>
      <c r="AZ220" s="1087">
        <f t="shared" si="95"/>
        <v>1.8186217969056706</v>
      </c>
      <c r="BA220" s="1087">
        <f t="shared" si="95"/>
        <v>1.1015875839397056</v>
      </c>
      <c r="BB220" s="1088">
        <f t="shared" si="95"/>
        <v>1.7567031581492867</v>
      </c>
      <c r="BC220" s="1043"/>
      <c r="BE220" s="135"/>
    </row>
    <row r="221" spans="1:57" ht="12" customHeight="1" outlineLevel="1" x14ac:dyDescent="0.2">
      <c r="A221" s="123"/>
      <c r="B221" s="104" t="s">
        <v>107</v>
      </c>
      <c r="C221" s="104" t="s">
        <v>121</v>
      </c>
      <c r="D221" s="2" t="s">
        <v>143</v>
      </c>
      <c r="E221" s="2" t="s">
        <v>144</v>
      </c>
      <c r="F221" s="105" t="s">
        <v>94</v>
      </c>
      <c r="G221" s="27" t="s">
        <v>1580</v>
      </c>
      <c r="H221" s="106" t="s">
        <v>131</v>
      </c>
      <c r="I221" s="107" t="s">
        <v>129</v>
      </c>
      <c r="J221" s="108">
        <v>5.9321289200000002</v>
      </c>
      <c r="K221" s="109"/>
      <c r="L221" s="109"/>
      <c r="M221" s="131">
        <f t="shared" ca="1" si="86"/>
        <v>1.7744238805201979</v>
      </c>
      <c r="N221" s="133">
        <f t="shared" ca="1" si="86"/>
        <v>0.49167870685902149</v>
      </c>
      <c r="O221" s="1059" t="s">
        <v>1583</v>
      </c>
      <c r="P221" s="131">
        <f t="shared" ref="P221:BB221" si="96">IFERROR(P88/_xlfn.MAXIFS(P$19:P$150,$B$19:$B$150,$B221,$F$152:$F$283,"C"),"?")</f>
        <v>0.30564585381548809</v>
      </c>
      <c r="Q221" s="133">
        <f t="shared" si="96"/>
        <v>1.113221382776626</v>
      </c>
      <c r="R221" s="132">
        <f t="shared" si="96"/>
        <v>0.76917209875666903</v>
      </c>
      <c r="S221" s="1044">
        <f t="shared" si="96"/>
        <v>0.57831528304797863</v>
      </c>
      <c r="T221" s="1044">
        <f t="shared" si="96"/>
        <v>0.25029127735938134</v>
      </c>
      <c r="U221" s="1044">
        <f t="shared" si="96"/>
        <v>0.42613412587764943</v>
      </c>
      <c r="V221" s="1044">
        <f t="shared" si="96"/>
        <v>0.98722501115338068</v>
      </c>
      <c r="W221" s="1044">
        <f t="shared" si="96"/>
        <v>0.3508786157326767</v>
      </c>
      <c r="X221" s="1044">
        <f t="shared" si="96"/>
        <v>0.98859152544848594</v>
      </c>
      <c r="Y221" s="1044">
        <f t="shared" si="96"/>
        <v>0.25049606611891817</v>
      </c>
      <c r="Z221" s="1044">
        <f t="shared" si="96"/>
        <v>0.12931599417721423</v>
      </c>
      <c r="AA221" s="1044">
        <f t="shared" si="96"/>
        <v>0.40503978772100924</v>
      </c>
      <c r="AB221" s="1044">
        <f t="shared" si="96"/>
        <v>4.3192100410913139E-3</v>
      </c>
      <c r="AC221" s="1044">
        <f t="shared" si="96"/>
        <v>5.650704748346877E-3</v>
      </c>
      <c r="AD221" s="1044">
        <f t="shared" si="96"/>
        <v>3.8381242860506745E-2</v>
      </c>
      <c r="AE221" s="1044">
        <f t="shared" si="96"/>
        <v>0.42975264152027054</v>
      </c>
      <c r="AF221" s="1044">
        <f t="shared" si="96"/>
        <v>0.13677395970162132</v>
      </c>
      <c r="AG221" s="1044">
        <f t="shared" si="96"/>
        <v>1.216332835937463</v>
      </c>
      <c r="AH221" s="1044">
        <f t="shared" si="96"/>
        <v>0.22939184542398858</v>
      </c>
      <c r="AI221" s="1044">
        <f t="shared" si="96"/>
        <v>0.72509668556123807</v>
      </c>
      <c r="AJ221" s="1045">
        <f t="shared" si="96"/>
        <v>1.1693416806022137</v>
      </c>
      <c r="AK221" s="1086">
        <f t="shared" si="96"/>
        <v>0.57837161121008762</v>
      </c>
      <c r="AL221" s="1087">
        <f t="shared" si="96"/>
        <v>0.42609978512632318</v>
      </c>
      <c r="AM221" s="1087">
        <f t="shared" si="96"/>
        <v>0.42259040200556014</v>
      </c>
      <c r="AN221" s="1087">
        <f t="shared" si="96"/>
        <v>1.1064635135721737</v>
      </c>
      <c r="AO221" s="1087">
        <f t="shared" si="96"/>
        <v>0.39328380268034985</v>
      </c>
      <c r="AP221" s="1087">
        <f t="shared" si="96"/>
        <v>0.26072045313192765</v>
      </c>
      <c r="AQ221" s="1087">
        <f t="shared" si="96"/>
        <v>0.1532484518910073</v>
      </c>
      <c r="AR221" s="1087">
        <f t="shared" si="96"/>
        <v>0.39980367295871866</v>
      </c>
      <c r="AS221" s="1087">
        <f t="shared" si="96"/>
        <v>8.5893273940493774E-4</v>
      </c>
      <c r="AT221" s="1087">
        <f t="shared" si="96"/>
        <v>1.8779375448142035E-2</v>
      </c>
      <c r="AU221" s="1087">
        <f t="shared" si="96"/>
        <v>5.8342444098461614E-2</v>
      </c>
      <c r="AV221" s="1087">
        <f t="shared" si="96"/>
        <v>0.14502637622582343</v>
      </c>
      <c r="AW221" s="1087">
        <f t="shared" si="96"/>
        <v>1.216334009121824</v>
      </c>
      <c r="AX221" s="1087">
        <f t="shared" si="96"/>
        <v>0.27774951581499457</v>
      </c>
      <c r="AY221" s="1087">
        <f t="shared" si="96"/>
        <v>0.27410944209789895</v>
      </c>
      <c r="AZ221" s="1087">
        <f t="shared" si="96"/>
        <v>1.2063013610007882</v>
      </c>
      <c r="BA221" s="1087">
        <f t="shared" si="96"/>
        <v>0.73103822063733925</v>
      </c>
      <c r="BB221" s="1088">
        <f t="shared" si="96"/>
        <v>1.1652196571275346</v>
      </c>
      <c r="BC221" s="1043"/>
      <c r="BE221" s="135"/>
    </row>
    <row r="222" spans="1:57" ht="12" customHeight="1" outlineLevel="1" x14ac:dyDescent="0.2">
      <c r="A222" s="123"/>
      <c r="B222" s="104" t="s">
        <v>107</v>
      </c>
      <c r="C222" s="104" t="s">
        <v>121</v>
      </c>
      <c r="D222" s="2" t="s">
        <v>143</v>
      </c>
      <c r="E222" s="2" t="s">
        <v>144</v>
      </c>
      <c r="F222" s="105" t="s">
        <v>95</v>
      </c>
      <c r="G222" s="27" t="s">
        <v>1581</v>
      </c>
      <c r="H222" s="106" t="s">
        <v>128</v>
      </c>
      <c r="I222" s="107" t="s">
        <v>127</v>
      </c>
      <c r="J222" s="108">
        <v>5.9321289200000002</v>
      </c>
      <c r="K222" s="109"/>
      <c r="L222" s="109"/>
      <c r="M222" s="131">
        <f t="shared" ca="1" si="86"/>
        <v>1.9719250311813672</v>
      </c>
      <c r="N222" s="133">
        <f t="shared" ca="1" si="86"/>
        <v>0.7238062717776016</v>
      </c>
      <c r="O222" s="1059" t="s">
        <v>1583</v>
      </c>
      <c r="P222" s="131">
        <f t="shared" ref="P222:BB222" si="97">IFERROR(P89/_xlfn.MAXIFS(P$19:P$150,$B$19:$B$150,$B222,$F$152:$F$283,"C"),"?")</f>
        <v>1.1678579249989489</v>
      </c>
      <c r="Q222" s="133">
        <f t="shared" si="97"/>
        <v>1.3909979957452694</v>
      </c>
      <c r="R222" s="132">
        <f t="shared" si="97"/>
        <v>0.9794825733517899</v>
      </c>
      <c r="S222" s="1044">
        <f t="shared" si="97"/>
        <v>0.82851591768288768</v>
      </c>
      <c r="T222" s="1044">
        <f t="shared" si="97"/>
        <v>0.53488816386582816</v>
      </c>
      <c r="U222" s="1044">
        <f t="shared" si="97"/>
        <v>0.51617202585967237</v>
      </c>
      <c r="V222" s="1044">
        <f t="shared" si="97"/>
        <v>1.2711259777171848</v>
      </c>
      <c r="W222" s="1044">
        <f t="shared" si="97"/>
        <v>1.0757785803180819</v>
      </c>
      <c r="X222" s="1044">
        <f t="shared" si="97"/>
        <v>1.2723686873500921</v>
      </c>
      <c r="Y222" s="1044">
        <f t="shared" si="97"/>
        <v>1.056772052375774</v>
      </c>
      <c r="Z222" s="1044">
        <f t="shared" si="97"/>
        <v>0.71974309643386725</v>
      </c>
      <c r="AA222" s="1044">
        <f t="shared" si="97"/>
        <v>0.85401506654824966</v>
      </c>
      <c r="AB222" s="1044">
        <f t="shared" si="97"/>
        <v>8.6386955839548914E-3</v>
      </c>
      <c r="AC222" s="1044">
        <f t="shared" si="97"/>
        <v>1.2426061645269293E-2</v>
      </c>
      <c r="AD222" s="1044">
        <f t="shared" si="97"/>
        <v>7.7684453240368948E-2</v>
      </c>
      <c r="AE222" s="1044">
        <f t="shared" si="97"/>
        <v>0.99167359761702067</v>
      </c>
      <c r="AF222" s="1044">
        <f t="shared" si="97"/>
        <v>1.4066679488483413</v>
      </c>
      <c r="AG222" s="1044">
        <f t="shared" si="97"/>
        <v>1.4627540349306489</v>
      </c>
      <c r="AH222" s="1044">
        <f t="shared" si="97"/>
        <v>0.27644692421148032</v>
      </c>
      <c r="AI222" s="1044">
        <f t="shared" si="97"/>
        <v>0.92101568903614617</v>
      </c>
      <c r="AJ222" s="1045">
        <f t="shared" si="97"/>
        <v>1.4066643069300049</v>
      </c>
      <c r="AK222" s="1086">
        <f t="shared" si="97"/>
        <v>0.82918920329841705</v>
      </c>
      <c r="AL222" s="1087">
        <f t="shared" si="97"/>
        <v>0.51611014158089519</v>
      </c>
      <c r="AM222" s="1087">
        <f t="shared" si="97"/>
        <v>0.51184249815970939</v>
      </c>
      <c r="AN222" s="1087">
        <f t="shared" si="97"/>
        <v>1.420774275307338</v>
      </c>
      <c r="AO222" s="1087">
        <f t="shared" si="97"/>
        <v>1.115129985444073</v>
      </c>
      <c r="AP222" s="1087">
        <f t="shared" si="97"/>
        <v>1.0703422806166398</v>
      </c>
      <c r="AQ222" s="1087">
        <f t="shared" si="97"/>
        <v>0.72943418978686347</v>
      </c>
      <c r="AR222" s="1087">
        <f t="shared" si="97"/>
        <v>0.86463080356075328</v>
      </c>
      <c r="AS222" s="1087">
        <f t="shared" si="97"/>
        <v>1.4827144776524743E-2</v>
      </c>
      <c r="AT222" s="1087">
        <f t="shared" si="97"/>
        <v>3.1558340636466765E-2</v>
      </c>
      <c r="AU222" s="1087">
        <f t="shared" si="97"/>
        <v>9.0205380548299324E-2</v>
      </c>
      <c r="AV222" s="1087">
        <f t="shared" si="97"/>
        <v>0.8171073440152995</v>
      </c>
      <c r="AW222" s="1087">
        <f t="shared" si="97"/>
        <v>1.4627554587349605</v>
      </c>
      <c r="AX222" s="1087">
        <f t="shared" si="97"/>
        <v>0.33401978133008542</v>
      </c>
      <c r="AY222" s="1087">
        <f t="shared" si="97"/>
        <v>0.32964225015038501</v>
      </c>
      <c r="AZ222" s="1087">
        <f t="shared" si="97"/>
        <v>1.4526473292147017</v>
      </c>
      <c r="BA222" s="1087">
        <f t="shared" si="97"/>
        <v>0.92804744233310255</v>
      </c>
      <c r="BB222" s="1088">
        <f t="shared" si="97"/>
        <v>1.4017052671393739</v>
      </c>
      <c r="BC222" s="1043"/>
      <c r="BE222" s="135"/>
    </row>
    <row r="223" spans="1:57" ht="12" customHeight="1" outlineLevel="1" x14ac:dyDescent="0.2">
      <c r="A223" s="123"/>
      <c r="B223" s="104" t="s">
        <v>107</v>
      </c>
      <c r="C223" s="104" t="s">
        <v>121</v>
      </c>
      <c r="D223" s="2" t="s">
        <v>143</v>
      </c>
      <c r="E223" s="2" t="s">
        <v>144</v>
      </c>
      <c r="F223" s="105" t="s">
        <v>96</v>
      </c>
      <c r="G223" s="27" t="s">
        <v>1582</v>
      </c>
      <c r="H223" s="106" t="s">
        <v>128</v>
      </c>
      <c r="I223" s="107" t="s">
        <v>1577</v>
      </c>
      <c r="J223" s="129">
        <v>5.9321289200000002</v>
      </c>
      <c r="K223" s="130"/>
      <c r="L223" s="130"/>
      <c r="M223" s="131">
        <f t="shared" ca="1" si="86"/>
        <v>2.0539872242739619</v>
      </c>
      <c r="N223" s="133">
        <f t="shared" ca="1" si="86"/>
        <v>0.8202558215179081</v>
      </c>
      <c r="O223" s="1059" t="s">
        <v>1583</v>
      </c>
      <c r="P223" s="131">
        <f t="shared" ref="P223:BB223" si="98">IFERROR(P90/_xlfn.MAXIFS(P$19:P$150,$B$19:$B$150,$B223,$F$152:$F$283,"C"),"?")</f>
        <v>1.7584998780954098</v>
      </c>
      <c r="Q223" s="133">
        <f t="shared" si="98"/>
        <v>1.4288894829647021</v>
      </c>
      <c r="R223" s="132">
        <f t="shared" si="98"/>
        <v>1.01516625502608</v>
      </c>
      <c r="S223" s="1044">
        <f t="shared" si="98"/>
        <v>0.9239880701163028</v>
      </c>
      <c r="T223" s="1044">
        <f t="shared" si="98"/>
        <v>0.70541563284472752</v>
      </c>
      <c r="U223" s="1044">
        <f t="shared" si="98"/>
        <v>0.51859926701538028</v>
      </c>
      <c r="V223" s="1044">
        <f t="shared" si="98"/>
        <v>1.3260752603540356</v>
      </c>
      <c r="W223" s="1044">
        <f t="shared" si="98"/>
        <v>1.5516762359100178</v>
      </c>
      <c r="X223" s="1044">
        <f t="shared" si="98"/>
        <v>1.3270555676722127</v>
      </c>
      <c r="Y223" s="1044">
        <f t="shared" si="98"/>
        <v>1.6072869151767373</v>
      </c>
      <c r="Z223" s="1044">
        <f t="shared" si="98"/>
        <v>1.1215812825174467</v>
      </c>
      <c r="AA223" s="1044">
        <f t="shared" si="98"/>
        <v>1.1215627339528011</v>
      </c>
      <c r="AB223" s="1044">
        <f t="shared" si="98"/>
        <v>1.0894711969322977E-2</v>
      </c>
      <c r="AC223" s="1044">
        <f t="shared" si="98"/>
        <v>1.4576982141508554E-2</v>
      </c>
      <c r="AD223" s="1044">
        <f t="shared" si="98"/>
        <v>8.7772059721997961E-2</v>
      </c>
      <c r="AE223" s="1044">
        <f t="shared" si="98"/>
        <v>1.3627995018340637</v>
      </c>
      <c r="AF223" s="1044">
        <f t="shared" si="98"/>
        <v>2.3296878617416987</v>
      </c>
      <c r="AG223" s="1044">
        <f t="shared" si="98"/>
        <v>1.4627540349306489</v>
      </c>
      <c r="AH223" s="1044">
        <f t="shared" si="98"/>
        <v>0.27682796682709487</v>
      </c>
      <c r="AI223" s="1044">
        <f t="shared" si="98"/>
        <v>0.95312181463943346</v>
      </c>
      <c r="AJ223" s="1045">
        <f t="shared" si="98"/>
        <v>1.4069403817405268</v>
      </c>
      <c r="AK223" s="1086">
        <f t="shared" si="98"/>
        <v>0.92510714015529405</v>
      </c>
      <c r="AL223" s="1087">
        <f t="shared" si="98"/>
        <v>0.51852390670212112</v>
      </c>
      <c r="AM223" s="1087">
        <f t="shared" si="98"/>
        <v>0.51422528960954805</v>
      </c>
      <c r="AN223" s="1087">
        <f t="shared" si="98"/>
        <v>1.4798190152368116</v>
      </c>
      <c r="AO223" s="1087">
        <f t="shared" si="98"/>
        <v>1.5821262905626994</v>
      </c>
      <c r="AP223" s="1087">
        <f t="shared" si="98"/>
        <v>1.6217104883679927</v>
      </c>
      <c r="AQ223" s="1087">
        <f t="shared" si="98"/>
        <v>1.1176712995922173</v>
      </c>
      <c r="AR223" s="1087">
        <f t="shared" si="98"/>
        <v>1.1444746616443644</v>
      </c>
      <c r="AS223" s="1087">
        <f t="shared" si="98"/>
        <v>2.4315169081323983E-2</v>
      </c>
      <c r="AT223" s="1087">
        <f t="shared" si="98"/>
        <v>3.5363960782837447E-2</v>
      </c>
      <c r="AU223" s="1087">
        <f t="shared" si="98"/>
        <v>9.8134034566175407E-2</v>
      </c>
      <c r="AV223" s="1087">
        <f t="shared" si="98"/>
        <v>1.3126001572674688</v>
      </c>
      <c r="AW223" s="1087">
        <f t="shared" si="98"/>
        <v>1.4627554587349605</v>
      </c>
      <c r="AX223" s="1087">
        <f t="shared" si="98"/>
        <v>0.33401978133008542</v>
      </c>
      <c r="AY223" s="1087">
        <f t="shared" si="98"/>
        <v>0.32964225015038501</v>
      </c>
      <c r="AZ223" s="1087">
        <f t="shared" si="98"/>
        <v>1.4539291590932268</v>
      </c>
      <c r="BA223" s="1087">
        <f t="shared" si="98"/>
        <v>0.96007931138272751</v>
      </c>
      <c r="BB223" s="1088">
        <f t="shared" si="98"/>
        <v>1.4019801107831606</v>
      </c>
      <c r="BC223" s="1043"/>
      <c r="BE223" s="135"/>
    </row>
    <row r="224" spans="1:57" ht="12" customHeight="1" outlineLevel="1" x14ac:dyDescent="0.2">
      <c r="A224" s="123"/>
      <c r="B224" s="88" t="s">
        <v>108</v>
      </c>
      <c r="C224" s="88" t="s">
        <v>121</v>
      </c>
      <c r="D224" s="89" t="s">
        <v>143</v>
      </c>
      <c r="E224" s="89" t="s">
        <v>145</v>
      </c>
      <c r="F224" s="90" t="s">
        <v>92</v>
      </c>
      <c r="G224" s="18" t="s">
        <v>126</v>
      </c>
      <c r="H224" s="91" t="s">
        <v>127</v>
      </c>
      <c r="I224" s="92" t="s">
        <v>127</v>
      </c>
      <c r="J224" s="93">
        <v>5.0812675600000006</v>
      </c>
      <c r="K224" s="94"/>
      <c r="L224" s="94"/>
      <c r="M224" s="126">
        <f t="shared" ca="1" si="86"/>
        <v>1</v>
      </c>
      <c r="N224" s="128">
        <f t="shared" ca="1" si="86"/>
        <v>1</v>
      </c>
      <c r="O224" s="1058" t="s">
        <v>1583</v>
      </c>
      <c r="P224" s="126">
        <f t="shared" ref="P224:BB224" si="99">IFERROR(P91/_xlfn.MAXIFS(P$19:P$150,$B$19:$B$150,$B224,$F$152:$F$283,"C"),"?")</f>
        <v>1</v>
      </c>
      <c r="Q224" s="128">
        <f t="shared" si="99"/>
        <v>1</v>
      </c>
      <c r="R224" s="127">
        <f t="shared" si="99"/>
        <v>1</v>
      </c>
      <c r="S224" s="1041">
        <f t="shared" si="99"/>
        <v>1</v>
      </c>
      <c r="T224" s="1041">
        <f t="shared" si="99"/>
        <v>1</v>
      </c>
      <c r="U224" s="1041">
        <f t="shared" si="99"/>
        <v>1</v>
      </c>
      <c r="V224" s="1041">
        <f t="shared" si="99"/>
        <v>1</v>
      </c>
      <c r="W224" s="1041">
        <f t="shared" si="99"/>
        <v>1</v>
      </c>
      <c r="X224" s="1041">
        <f t="shared" si="99"/>
        <v>1</v>
      </c>
      <c r="Y224" s="1041">
        <f t="shared" si="99"/>
        <v>1</v>
      </c>
      <c r="Z224" s="1041">
        <f t="shared" si="99"/>
        <v>1</v>
      </c>
      <c r="AA224" s="1041">
        <f t="shared" si="99"/>
        <v>1</v>
      </c>
      <c r="AB224" s="1041">
        <f t="shared" si="99"/>
        <v>1</v>
      </c>
      <c r="AC224" s="1041">
        <f t="shared" si="99"/>
        <v>1</v>
      </c>
      <c r="AD224" s="1041">
        <f t="shared" si="99"/>
        <v>1</v>
      </c>
      <c r="AE224" s="1041">
        <f t="shared" si="99"/>
        <v>1</v>
      </c>
      <c r="AF224" s="1041">
        <f t="shared" si="99"/>
        <v>1</v>
      </c>
      <c r="AG224" s="1041">
        <f t="shared" si="99"/>
        <v>1</v>
      </c>
      <c r="AH224" s="1041">
        <f t="shared" si="99"/>
        <v>1</v>
      </c>
      <c r="AI224" s="1041">
        <f t="shared" si="99"/>
        <v>1</v>
      </c>
      <c r="AJ224" s="1042">
        <f t="shared" si="99"/>
        <v>1</v>
      </c>
      <c r="AK224" s="1083">
        <f t="shared" si="99"/>
        <v>1</v>
      </c>
      <c r="AL224" s="1084">
        <f t="shared" si="99"/>
        <v>1</v>
      </c>
      <c r="AM224" s="1084">
        <f t="shared" si="99"/>
        <v>1</v>
      </c>
      <c r="AN224" s="1084">
        <f t="shared" si="99"/>
        <v>1</v>
      </c>
      <c r="AO224" s="1084">
        <f t="shared" si="99"/>
        <v>1</v>
      </c>
      <c r="AP224" s="1084">
        <f t="shared" si="99"/>
        <v>1</v>
      </c>
      <c r="AQ224" s="1084">
        <f t="shared" si="99"/>
        <v>1</v>
      </c>
      <c r="AR224" s="1084">
        <f t="shared" si="99"/>
        <v>1</v>
      </c>
      <c r="AS224" s="1084">
        <f t="shared" si="99"/>
        <v>1</v>
      </c>
      <c r="AT224" s="1084">
        <f t="shared" si="99"/>
        <v>1</v>
      </c>
      <c r="AU224" s="1084">
        <f t="shared" si="99"/>
        <v>1</v>
      </c>
      <c r="AV224" s="1084">
        <f t="shared" si="99"/>
        <v>1</v>
      </c>
      <c r="AW224" s="1084">
        <f t="shared" si="99"/>
        <v>1</v>
      </c>
      <c r="AX224" s="1084">
        <f t="shared" si="99"/>
        <v>1</v>
      </c>
      <c r="AY224" s="1084">
        <f t="shared" si="99"/>
        <v>1</v>
      </c>
      <c r="AZ224" s="1084">
        <f t="shared" si="99"/>
        <v>1</v>
      </c>
      <c r="BA224" s="1084">
        <f t="shared" si="99"/>
        <v>1</v>
      </c>
      <c r="BB224" s="1085">
        <f t="shared" si="99"/>
        <v>1</v>
      </c>
      <c r="BC224" s="1043"/>
    </row>
    <row r="225" spans="1:55" ht="12" customHeight="1" outlineLevel="1" x14ac:dyDescent="0.2">
      <c r="A225" s="123"/>
      <c r="B225" s="104" t="s">
        <v>108</v>
      </c>
      <c r="C225" s="104" t="s">
        <v>121</v>
      </c>
      <c r="D225" s="2" t="s">
        <v>143</v>
      </c>
      <c r="E225" s="2" t="s">
        <v>145</v>
      </c>
      <c r="F225" s="105" t="s">
        <v>122</v>
      </c>
      <c r="G225" s="27" t="s">
        <v>1579</v>
      </c>
      <c r="H225" s="106" t="s">
        <v>128</v>
      </c>
      <c r="I225" s="107" t="s">
        <v>129</v>
      </c>
      <c r="J225" s="108">
        <v>5.0812675600000006</v>
      </c>
      <c r="K225" s="109"/>
      <c r="L225" s="109"/>
      <c r="M225" s="131">
        <f t="shared" ca="1" si="86"/>
        <v>1.5046946390133642</v>
      </c>
      <c r="N225" s="133">
        <f t="shared" ca="1" si="86"/>
        <v>0.5227809053463579</v>
      </c>
      <c r="O225" s="1059" t="s">
        <v>1583</v>
      </c>
      <c r="P225" s="131">
        <f t="shared" ref="P225:BB225" si="100">IFERROR(P92/_xlfn.MAXIFS(P$19:P$150,$B$19:$B$150,$B225,$F$152:$F$283,"C"),"?")</f>
        <v>0.3005052050091267</v>
      </c>
      <c r="Q225" s="133">
        <f t="shared" si="100"/>
        <v>1.2629914356556187</v>
      </c>
      <c r="R225" s="132">
        <f t="shared" si="100"/>
        <v>0.58254841802072321</v>
      </c>
      <c r="S225" s="1044">
        <f t="shared" si="100"/>
        <v>0.45494581974381343</v>
      </c>
      <c r="T225" s="1044">
        <f t="shared" si="100"/>
        <v>0.16700887664547825</v>
      </c>
      <c r="U225" s="1044">
        <f t="shared" si="100"/>
        <v>0.44564076008486991</v>
      </c>
      <c r="V225" s="1044">
        <f t="shared" si="100"/>
        <v>0.93859031493866019</v>
      </c>
      <c r="W225" s="1044">
        <f t="shared" si="100"/>
        <v>0.3310782321356569</v>
      </c>
      <c r="X225" s="1044">
        <f t="shared" si="100"/>
        <v>0.94003592727771323</v>
      </c>
      <c r="Y225" s="1044">
        <f t="shared" si="100"/>
        <v>0.23542425631452096</v>
      </c>
      <c r="Z225" s="1044">
        <f t="shared" si="100"/>
        <v>5.7791478298603399E-2</v>
      </c>
      <c r="AA225" s="1044">
        <f t="shared" si="100"/>
        <v>0.3116391464382105</v>
      </c>
      <c r="AB225" s="1044">
        <f t="shared" si="100"/>
        <v>5.1669435915585229E-3</v>
      </c>
      <c r="AC225" s="1044">
        <f t="shared" si="100"/>
        <v>6.8414077021076193E-3</v>
      </c>
      <c r="AD225" s="1044">
        <f t="shared" si="100"/>
        <v>4.5947652938832829E-2</v>
      </c>
      <c r="AE225" s="1044">
        <f t="shared" si="100"/>
        <v>0.32003667280964088</v>
      </c>
      <c r="AF225" s="1044">
        <f t="shared" si="100"/>
        <v>0.18879983709719508</v>
      </c>
      <c r="AG225" s="1044">
        <f t="shared" si="100"/>
        <v>1.4497889273217539</v>
      </c>
      <c r="AH225" s="1044">
        <f t="shared" si="100"/>
        <v>7.4502168756209255E-2</v>
      </c>
      <c r="AI225" s="1044">
        <f t="shared" si="100"/>
        <v>0.54310827387593175</v>
      </c>
      <c r="AJ225" s="1045">
        <f t="shared" si="100"/>
        <v>0.74719958999129565</v>
      </c>
      <c r="AK225" s="1086">
        <f t="shared" si="100"/>
        <v>0.45527062217924913</v>
      </c>
      <c r="AL225" s="1087">
        <f t="shared" si="100"/>
        <v>0.44541644619499982</v>
      </c>
      <c r="AM225" s="1087">
        <f t="shared" si="100"/>
        <v>0.43366671401203499</v>
      </c>
      <c r="AN225" s="1087">
        <f t="shared" si="100"/>
        <v>1.1425622452200312</v>
      </c>
      <c r="AO225" s="1087">
        <f t="shared" si="100"/>
        <v>0.37283406685498915</v>
      </c>
      <c r="AP225" s="1087">
        <f t="shared" si="100"/>
        <v>0.24654083627203524</v>
      </c>
      <c r="AQ225" s="1087">
        <f t="shared" si="100"/>
        <v>6.9120230293082063E-2</v>
      </c>
      <c r="AR225" s="1087">
        <f t="shared" si="100"/>
        <v>0.31017579227677683</v>
      </c>
      <c r="AS225" s="1087">
        <f t="shared" si="100"/>
        <v>1.8859811920672773E-3</v>
      </c>
      <c r="AT225" s="1087">
        <f t="shared" si="100"/>
        <v>2.2601758237548987E-2</v>
      </c>
      <c r="AU225" s="1087">
        <f t="shared" si="100"/>
        <v>6.9422542186762928E-2</v>
      </c>
      <c r="AV225" s="1087">
        <f t="shared" si="100"/>
        <v>0.11433719244033924</v>
      </c>
      <c r="AW225" s="1087">
        <f t="shared" si="100"/>
        <v>1.4497926167378756</v>
      </c>
      <c r="AX225" s="1087">
        <f t="shared" si="100"/>
        <v>0.14844416696492574</v>
      </c>
      <c r="AY225" s="1087">
        <f t="shared" si="100"/>
        <v>0.13657326704766559</v>
      </c>
      <c r="AZ225" s="1087">
        <f t="shared" si="100"/>
        <v>1.2654254929461657</v>
      </c>
      <c r="BA225" s="1087">
        <f t="shared" si="100"/>
        <v>0.55462610330293916</v>
      </c>
      <c r="BB225" s="1088">
        <f t="shared" si="100"/>
        <v>0.71412099979209531</v>
      </c>
      <c r="BC225" s="1043"/>
    </row>
    <row r="226" spans="1:55" ht="12" customHeight="1" outlineLevel="1" x14ac:dyDescent="0.2">
      <c r="A226" s="123"/>
      <c r="B226" s="104" t="s">
        <v>108</v>
      </c>
      <c r="C226" s="104" t="s">
        <v>121</v>
      </c>
      <c r="D226" s="2" t="s">
        <v>143</v>
      </c>
      <c r="E226" s="2" t="s">
        <v>145</v>
      </c>
      <c r="F226" s="105" t="s">
        <v>93</v>
      </c>
      <c r="G226" s="27" t="s">
        <v>1578</v>
      </c>
      <c r="H226" s="106" t="s">
        <v>130</v>
      </c>
      <c r="I226" s="107" t="s">
        <v>129</v>
      </c>
      <c r="J226" s="108">
        <v>5.0812675600000006</v>
      </c>
      <c r="K226" s="109"/>
      <c r="L226" s="109"/>
      <c r="M226" s="131">
        <f t="shared" ca="1" si="86"/>
        <v>1.6029839354235342</v>
      </c>
      <c r="N226" s="133">
        <f t="shared" ca="1" si="86"/>
        <v>0.65119997801483187</v>
      </c>
      <c r="O226" s="1059" t="s">
        <v>1583</v>
      </c>
      <c r="P226" s="131">
        <f t="shared" ref="P226:BB226" si="101">IFERROR(P93/_xlfn.MAXIFS(P$19:P$150,$B$19:$B$150,$B226,$F$152:$F$283,"C"),"?")</f>
        <v>0.38127993302038155</v>
      </c>
      <c r="Q226" s="133">
        <f t="shared" si="101"/>
        <v>1.5727046202667738</v>
      </c>
      <c r="R226" s="132">
        <f t="shared" si="101"/>
        <v>0.72540192734793296</v>
      </c>
      <c r="S226" s="1044">
        <f t="shared" si="101"/>
        <v>0.56650838837764483</v>
      </c>
      <c r="T226" s="1044">
        <f t="shared" si="101"/>
        <v>0.20796308007898012</v>
      </c>
      <c r="U226" s="1044">
        <f t="shared" si="101"/>
        <v>0.55492154425186502</v>
      </c>
      <c r="V226" s="1044">
        <f t="shared" si="101"/>
        <v>1.1687530092678593</v>
      </c>
      <c r="W226" s="1044">
        <f t="shared" si="101"/>
        <v>0.41226580081772263</v>
      </c>
      <c r="X226" s="1044">
        <f t="shared" si="101"/>
        <v>1.1705531411844512</v>
      </c>
      <c r="Y226" s="1044">
        <f t="shared" si="101"/>
        <v>0.29315539116772193</v>
      </c>
      <c r="Z226" s="1044">
        <f t="shared" si="101"/>
        <v>7.1963203993254912E-2</v>
      </c>
      <c r="AA226" s="1044">
        <f t="shared" si="101"/>
        <v>0.38805984016159789</v>
      </c>
      <c r="AB226" s="1044">
        <f t="shared" si="101"/>
        <v>6.4339901417944413E-3</v>
      </c>
      <c r="AC226" s="1044">
        <f t="shared" si="101"/>
        <v>8.5552616072742237E-3</v>
      </c>
      <c r="AD226" s="1044">
        <f t="shared" si="101"/>
        <v>5.7350841436774339E-2</v>
      </c>
      <c r="AE226" s="1044">
        <f t="shared" si="101"/>
        <v>0.40191727664127186</v>
      </c>
      <c r="AF226" s="1044">
        <f t="shared" si="101"/>
        <v>0.25154074790732883</v>
      </c>
      <c r="AG226" s="1044">
        <f t="shared" si="101"/>
        <v>1.8053086796873277</v>
      </c>
      <c r="AH226" s="1044">
        <f t="shared" si="101"/>
        <v>9.2771716983643601E-2</v>
      </c>
      <c r="AI226" s="1044">
        <f t="shared" si="101"/>
        <v>0.67629021343228701</v>
      </c>
      <c r="AJ226" s="1045">
        <f t="shared" si="101"/>
        <v>0.9304291443285021</v>
      </c>
      <c r="AK226" s="1086">
        <f t="shared" si="101"/>
        <v>0.56691286936840923</v>
      </c>
      <c r="AL226" s="1087">
        <f t="shared" si="101"/>
        <v>0.55464223035992299</v>
      </c>
      <c r="AM226" s="1087">
        <f t="shared" si="101"/>
        <v>0.54001121007975139</v>
      </c>
      <c r="AN226" s="1087">
        <f t="shared" si="101"/>
        <v>1.4227432961363204</v>
      </c>
      <c r="AO226" s="1087">
        <f t="shared" si="101"/>
        <v>0.46426105865553291</v>
      </c>
      <c r="AP226" s="1087">
        <f t="shared" si="101"/>
        <v>0.30699799855980359</v>
      </c>
      <c r="AQ226" s="1087">
        <f t="shared" si="101"/>
        <v>8.6070010731777169E-2</v>
      </c>
      <c r="AR226" s="1087">
        <f t="shared" si="101"/>
        <v>0.38623763477546957</v>
      </c>
      <c r="AS226" s="1087">
        <f t="shared" si="101"/>
        <v>2.5805887534534593E-3</v>
      </c>
      <c r="AT226" s="1087">
        <f t="shared" si="101"/>
        <v>2.8220715223426635E-2</v>
      </c>
      <c r="AU226" s="1087">
        <f t="shared" si="101"/>
        <v>8.6562646920771133E-2</v>
      </c>
      <c r="AV226" s="1087">
        <f t="shared" si="101"/>
        <v>0.1483314299417561</v>
      </c>
      <c r="AW226" s="1087">
        <f t="shared" si="101"/>
        <v>1.8053132393864388</v>
      </c>
      <c r="AX226" s="1087">
        <f t="shared" si="101"/>
        <v>0.18484589679658162</v>
      </c>
      <c r="AY226" s="1087">
        <f t="shared" si="101"/>
        <v>0.17006399628406674</v>
      </c>
      <c r="AZ226" s="1087">
        <f t="shared" si="101"/>
        <v>1.5757352993179257</v>
      </c>
      <c r="BA226" s="1087">
        <f t="shared" si="101"/>
        <v>0.69063244068035134</v>
      </c>
      <c r="BB226" s="1088">
        <f t="shared" si="101"/>
        <v>0.88923897347921732</v>
      </c>
      <c r="BC226" s="1043"/>
    </row>
    <row r="227" spans="1:55" ht="12" customHeight="1" outlineLevel="1" x14ac:dyDescent="0.2">
      <c r="A227" s="123"/>
      <c r="B227" s="104" t="s">
        <v>108</v>
      </c>
      <c r="C227" s="104" t="s">
        <v>121</v>
      </c>
      <c r="D227" s="2" t="s">
        <v>143</v>
      </c>
      <c r="E227" s="2" t="s">
        <v>145</v>
      </c>
      <c r="F227" s="105" t="s">
        <v>94</v>
      </c>
      <c r="G227" s="27" t="s">
        <v>1580</v>
      </c>
      <c r="H227" s="106" t="s">
        <v>131</v>
      </c>
      <c r="I227" s="107" t="s">
        <v>129</v>
      </c>
      <c r="J227" s="108">
        <v>5.0812675600000006</v>
      </c>
      <c r="K227" s="109"/>
      <c r="L227" s="109"/>
      <c r="M227" s="131">
        <f t="shared" ca="1" si="86"/>
        <v>1.4387279260258667</v>
      </c>
      <c r="N227" s="133">
        <f t="shared" ca="1" si="86"/>
        <v>0.43659263848269098</v>
      </c>
      <c r="O227" s="1059" t="s">
        <v>1583</v>
      </c>
      <c r="P227" s="131">
        <f t="shared" ref="P227:BB227" si="102">IFERROR(P94/_xlfn.MAXIFS(P$19:P$150,$B$19:$B$150,$B227,$F$152:$F$283,"C"),"?")</f>
        <v>0.24629509340955716</v>
      </c>
      <c r="Q227" s="133">
        <f t="shared" si="102"/>
        <v>1.0551277680714006</v>
      </c>
      <c r="R227" s="132">
        <f t="shared" si="102"/>
        <v>0.48667242494935153</v>
      </c>
      <c r="S227" s="1044">
        <f t="shared" si="102"/>
        <v>0.38007070454638686</v>
      </c>
      <c r="T227" s="1044">
        <f t="shared" si="102"/>
        <v>0.13952250698474311</v>
      </c>
      <c r="U227" s="1044">
        <f t="shared" si="102"/>
        <v>0.37229707232863329</v>
      </c>
      <c r="V227" s="1044">
        <f t="shared" si="102"/>
        <v>0.78411682554437356</v>
      </c>
      <c r="W227" s="1044">
        <f t="shared" si="102"/>
        <v>0.27658928095385577</v>
      </c>
      <c r="X227" s="1044">
        <f t="shared" si="102"/>
        <v>0.78532453833364169</v>
      </c>
      <c r="Y227" s="1044">
        <f t="shared" si="102"/>
        <v>0.19667806361551268</v>
      </c>
      <c r="Z227" s="1044">
        <f t="shared" si="102"/>
        <v>4.8280139418800723E-2</v>
      </c>
      <c r="AA227" s="1044">
        <f t="shared" si="102"/>
        <v>0.26034948215326081</v>
      </c>
      <c r="AB227" s="1044">
        <f t="shared" si="102"/>
        <v>4.3165665131697142E-3</v>
      </c>
      <c r="AC227" s="1044">
        <f t="shared" si="102"/>
        <v>5.6911654217869714E-3</v>
      </c>
      <c r="AD227" s="1044">
        <f t="shared" si="102"/>
        <v>3.8294448755125325E-2</v>
      </c>
      <c r="AE227" s="1044">
        <f t="shared" si="102"/>
        <v>0.26508343485309149</v>
      </c>
      <c r="AF227" s="1044">
        <f t="shared" si="102"/>
        <v>0.14669543445440769</v>
      </c>
      <c r="AG227" s="1044">
        <f t="shared" si="102"/>
        <v>1.2111822837481621</v>
      </c>
      <c r="AH227" s="1044">
        <f t="shared" si="102"/>
        <v>6.2240580181189567E-2</v>
      </c>
      <c r="AI227" s="1044">
        <f t="shared" si="102"/>
        <v>0.45372337462798457</v>
      </c>
      <c r="AJ227" s="1045">
        <f t="shared" si="102"/>
        <v>0.6242252673334725</v>
      </c>
      <c r="AK227" s="1086">
        <f t="shared" si="102"/>
        <v>0.38034205288364015</v>
      </c>
      <c r="AL227" s="1087">
        <f t="shared" si="102"/>
        <v>0.37210967753701751</v>
      </c>
      <c r="AM227" s="1087">
        <f t="shared" si="102"/>
        <v>0.36229371842122859</v>
      </c>
      <c r="AN227" s="1087">
        <f t="shared" si="102"/>
        <v>0.95451902602191196</v>
      </c>
      <c r="AO227" s="1087">
        <f t="shared" si="102"/>
        <v>0.31147291409684885</v>
      </c>
      <c r="AP227" s="1087">
        <f t="shared" si="102"/>
        <v>0.20596507292354488</v>
      </c>
      <c r="AQ227" s="1087">
        <f t="shared" si="102"/>
        <v>5.7744403001414195E-2</v>
      </c>
      <c r="AR227" s="1087">
        <f t="shared" si="102"/>
        <v>0.25912697012635733</v>
      </c>
      <c r="AS227" s="1087">
        <f t="shared" si="102"/>
        <v>1.4198536517337518E-3</v>
      </c>
      <c r="AT227" s="1087">
        <f t="shared" si="102"/>
        <v>1.8830620274973245E-2</v>
      </c>
      <c r="AU227" s="1087">
        <f t="shared" si="102"/>
        <v>5.7919007680434662E-2</v>
      </c>
      <c r="AV227" s="1087">
        <f t="shared" si="102"/>
        <v>9.1523479367082328E-2</v>
      </c>
      <c r="AW227" s="1087">
        <f t="shared" si="102"/>
        <v>1.211185340715369</v>
      </c>
      <c r="AX227" s="1087">
        <f t="shared" si="102"/>
        <v>0.12401318090510599</v>
      </c>
      <c r="AY227" s="1087">
        <f t="shared" si="102"/>
        <v>0.11409600093766541</v>
      </c>
      <c r="AZ227" s="1087">
        <f t="shared" si="102"/>
        <v>1.0571613964936009</v>
      </c>
      <c r="BA227" s="1087">
        <f t="shared" si="102"/>
        <v>0.46334557150942812</v>
      </c>
      <c r="BB227" s="1088">
        <f t="shared" si="102"/>
        <v>0.59659075628402425</v>
      </c>
      <c r="BC227" s="1043"/>
    </row>
    <row r="228" spans="1:55" ht="12" customHeight="1" outlineLevel="1" x14ac:dyDescent="0.2">
      <c r="A228" s="123"/>
      <c r="B228" s="104" t="s">
        <v>108</v>
      </c>
      <c r="C228" s="104" t="s">
        <v>121</v>
      </c>
      <c r="D228" s="2" t="s">
        <v>143</v>
      </c>
      <c r="E228" s="2" t="s">
        <v>145</v>
      </c>
      <c r="F228" s="105" t="s">
        <v>95</v>
      </c>
      <c r="G228" s="27" t="s">
        <v>1581</v>
      </c>
      <c r="H228" s="106" t="s">
        <v>128</v>
      </c>
      <c r="I228" s="107" t="s">
        <v>127</v>
      </c>
      <c r="J228" s="108">
        <v>5.0812675600000006</v>
      </c>
      <c r="K228" s="109"/>
      <c r="L228" s="109"/>
      <c r="M228" s="131">
        <f t="shared" ca="1" si="86"/>
        <v>1.5948332716735507</v>
      </c>
      <c r="N228" s="133">
        <f t="shared" ca="1" si="86"/>
        <v>0.64055079525908776</v>
      </c>
      <c r="O228" s="1059" t="s">
        <v>1583</v>
      </c>
      <c r="P228" s="131">
        <f t="shared" ref="P228:BB228" si="103">IFERROR(P95/_xlfn.MAXIFS(P$19:P$150,$B$19:$B$150,$B228,$F$152:$F$283,"C"),"?")</f>
        <v>0.90820655803641059</v>
      </c>
      <c r="Q228" s="133">
        <f t="shared" si="103"/>
        <v>1.3124143126092966</v>
      </c>
      <c r="R228" s="132">
        <f t="shared" si="103"/>
        <v>0.6191255757328693</v>
      </c>
      <c r="S228" s="1044">
        <f t="shared" si="103"/>
        <v>0.54418568705029013</v>
      </c>
      <c r="T228" s="1044">
        <f t="shared" si="103"/>
        <v>0.30663819775682299</v>
      </c>
      <c r="U228" s="1044">
        <f t="shared" si="103"/>
        <v>0.44913195205723888</v>
      </c>
      <c r="V228" s="1044">
        <f t="shared" si="103"/>
        <v>1.0092851637702478</v>
      </c>
      <c r="W228" s="1044">
        <f t="shared" si="103"/>
        <v>0.84435510874621211</v>
      </c>
      <c r="X228" s="1044">
        <f t="shared" si="103"/>
        <v>1.0104043298054748</v>
      </c>
      <c r="Y228" s="1044">
        <f t="shared" si="103"/>
        <v>0.82596897174462414</v>
      </c>
      <c r="Z228" s="1044">
        <f t="shared" si="103"/>
        <v>0.26746671166775998</v>
      </c>
      <c r="AA228" s="1044">
        <f t="shared" si="103"/>
        <v>0.56455404065351134</v>
      </c>
      <c r="AB228" s="1044">
        <f t="shared" si="103"/>
        <v>8.8026578521863512E-3</v>
      </c>
      <c r="AC228" s="1044">
        <f t="shared" si="103"/>
        <v>1.2456923340836951E-2</v>
      </c>
      <c r="AD228" s="1044">
        <f t="shared" si="103"/>
        <v>7.7338152959224332E-2</v>
      </c>
      <c r="AE228" s="1044">
        <f t="shared" si="103"/>
        <v>0.60623162762486771</v>
      </c>
      <c r="AF228" s="1044">
        <f t="shared" si="103"/>
        <v>1.1698894542494789</v>
      </c>
      <c r="AG228" s="1044">
        <f t="shared" si="103"/>
        <v>1.4497889273217539</v>
      </c>
      <c r="AH228" s="1044">
        <f t="shared" si="103"/>
        <v>7.4669803997574405E-2</v>
      </c>
      <c r="AI228" s="1044">
        <f t="shared" si="103"/>
        <v>0.57566669485561561</v>
      </c>
      <c r="AJ228" s="1045">
        <f t="shared" si="103"/>
        <v>0.74981531528774137</v>
      </c>
      <c r="AK228" s="1086">
        <f t="shared" si="103"/>
        <v>0.54497261496924776</v>
      </c>
      <c r="AL228" s="1087">
        <f t="shared" si="103"/>
        <v>0.44888675466620165</v>
      </c>
      <c r="AM228" s="1087">
        <f t="shared" si="103"/>
        <v>0.43702932032378156</v>
      </c>
      <c r="AN228" s="1087">
        <f t="shared" si="103"/>
        <v>1.2250717658791792</v>
      </c>
      <c r="AO228" s="1087">
        <f t="shared" si="103"/>
        <v>0.87956561360073326</v>
      </c>
      <c r="AP228" s="1087">
        <f t="shared" si="103"/>
        <v>0.84172952776593313</v>
      </c>
      <c r="AQ228" s="1087">
        <f t="shared" si="103"/>
        <v>0.27357484557329403</v>
      </c>
      <c r="AR228" s="1087">
        <f t="shared" si="103"/>
        <v>0.5762665216508337</v>
      </c>
      <c r="AS228" s="1087">
        <f t="shared" si="103"/>
        <v>1.5491620302104044E-2</v>
      </c>
      <c r="AT228" s="1087">
        <f t="shared" si="103"/>
        <v>3.1490857897204148E-2</v>
      </c>
      <c r="AU228" s="1087">
        <f t="shared" si="103"/>
        <v>8.9340437290766947E-2</v>
      </c>
      <c r="AV228" s="1087">
        <f t="shared" si="103"/>
        <v>0.46035844549221694</v>
      </c>
      <c r="AW228" s="1087">
        <f t="shared" si="103"/>
        <v>1.4497926167378756</v>
      </c>
      <c r="AX228" s="1087">
        <f t="shared" si="103"/>
        <v>0.14844416696492574</v>
      </c>
      <c r="AY228" s="1087">
        <f t="shared" si="103"/>
        <v>0.13657326704766559</v>
      </c>
      <c r="AZ228" s="1087">
        <f t="shared" si="103"/>
        <v>1.2672467385130393</v>
      </c>
      <c r="BA228" s="1087">
        <f t="shared" si="103"/>
        <v>0.5875415252124937</v>
      </c>
      <c r="BB228" s="1088">
        <f t="shared" si="103"/>
        <v>0.71659354757101812</v>
      </c>
      <c r="BC228" s="1043"/>
    </row>
    <row r="229" spans="1:55" ht="12" customHeight="1" outlineLevel="1" x14ac:dyDescent="0.2">
      <c r="A229" s="123"/>
      <c r="B229" s="104" t="s">
        <v>108</v>
      </c>
      <c r="C229" s="104" t="s">
        <v>121</v>
      </c>
      <c r="D229" s="2" t="s">
        <v>143</v>
      </c>
      <c r="E229" s="2" t="s">
        <v>145</v>
      </c>
      <c r="F229" s="105" t="s">
        <v>96</v>
      </c>
      <c r="G229" s="27" t="s">
        <v>1582</v>
      </c>
      <c r="H229" s="106" t="s">
        <v>128</v>
      </c>
      <c r="I229" s="107" t="s">
        <v>1577</v>
      </c>
      <c r="J229" s="129">
        <v>5.0812675600000006</v>
      </c>
      <c r="K229" s="130"/>
      <c r="L229" s="130"/>
      <c r="M229" s="131">
        <f t="shared" ca="1" si="86"/>
        <v>1.6604114851833496</v>
      </c>
      <c r="N229" s="133">
        <f t="shared" ca="1" si="86"/>
        <v>0.72623147132212384</v>
      </c>
      <c r="O229" s="1059" t="s">
        <v>1583</v>
      </c>
      <c r="P229" s="131">
        <f t="shared" ref="P229:BB229" si="104">IFERROR(P96/_xlfn.MAXIFS(P$19:P$150,$B$19:$B$150,$B229,$F$152:$F$283,"C"),"?")</f>
        <v>1.354143021265273</v>
      </c>
      <c r="Q229" s="133">
        <f t="shared" si="104"/>
        <v>1.3482469285823082</v>
      </c>
      <c r="R229" s="132">
        <f t="shared" si="104"/>
        <v>0.64299640581401385</v>
      </c>
      <c r="S229" s="1044">
        <f t="shared" si="104"/>
        <v>0.60813433720599919</v>
      </c>
      <c r="T229" s="1044">
        <f t="shared" si="104"/>
        <v>0.40843992006626684</v>
      </c>
      <c r="U229" s="1044">
        <f t="shared" si="104"/>
        <v>0.45141036586009892</v>
      </c>
      <c r="V229" s="1044">
        <f t="shared" si="104"/>
        <v>1.0554217438256868</v>
      </c>
      <c r="W229" s="1044">
        <f t="shared" si="104"/>
        <v>1.2178917416756403</v>
      </c>
      <c r="X229" s="1044">
        <f t="shared" si="104"/>
        <v>1.0563278546597439</v>
      </c>
      <c r="Y229" s="1044">
        <f t="shared" si="104"/>
        <v>1.256237852582424</v>
      </c>
      <c r="Z229" s="1044">
        <f t="shared" si="104"/>
        <v>0.41679537233117925</v>
      </c>
      <c r="AA229" s="1044">
        <f t="shared" si="104"/>
        <v>0.74897396263922345</v>
      </c>
      <c r="AB229" s="1044">
        <f t="shared" si="104"/>
        <v>1.1175382853098147E-2</v>
      </c>
      <c r="AC229" s="1044">
        <f t="shared" si="104"/>
        <v>1.459843630054785E-2</v>
      </c>
      <c r="AD229" s="1044">
        <f t="shared" si="104"/>
        <v>8.7368683995603796E-2</v>
      </c>
      <c r="AE229" s="1044">
        <f t="shared" si="104"/>
        <v>0.83003445429479783</v>
      </c>
      <c r="AF229" s="1044">
        <f t="shared" si="104"/>
        <v>1.8929811010104791</v>
      </c>
      <c r="AG229" s="1044">
        <f t="shared" si="104"/>
        <v>1.4497889273217539</v>
      </c>
      <c r="AH229" s="1044">
        <f t="shared" si="104"/>
        <v>7.4779205891242526E-2</v>
      </c>
      <c r="AI229" s="1044">
        <f t="shared" si="104"/>
        <v>0.59691480898717975</v>
      </c>
      <c r="AJ229" s="1045">
        <f t="shared" si="104"/>
        <v>0.75152237654718002</v>
      </c>
      <c r="AK229" s="1086">
        <f t="shared" si="104"/>
        <v>0.60926055783292199</v>
      </c>
      <c r="AL229" s="1087">
        <f t="shared" si="104"/>
        <v>0.45115153260539043</v>
      </c>
      <c r="AM229" s="1087">
        <f t="shared" si="104"/>
        <v>0.43922380899071933</v>
      </c>
      <c r="AN229" s="1087">
        <f t="shared" si="104"/>
        <v>1.2789187762551852</v>
      </c>
      <c r="AO229" s="1087">
        <f t="shared" si="104"/>
        <v>1.2479702653671141</v>
      </c>
      <c r="AP229" s="1087">
        <f t="shared" si="104"/>
        <v>1.2753169176294974</v>
      </c>
      <c r="AQ229" s="1087">
        <f t="shared" si="104"/>
        <v>0.41918318157485129</v>
      </c>
      <c r="AR229" s="1087">
        <f t="shared" si="104"/>
        <v>0.77026642585838867</v>
      </c>
      <c r="AS229" s="1087">
        <f t="shared" si="104"/>
        <v>2.49040949859301E-2</v>
      </c>
      <c r="AT229" s="1087">
        <f t="shared" si="104"/>
        <v>3.5268938868120048E-2</v>
      </c>
      <c r="AU229" s="1087">
        <f t="shared" si="104"/>
        <v>9.7259184284847491E-2</v>
      </c>
      <c r="AV229" s="1087">
        <f t="shared" si="104"/>
        <v>0.72565842780700329</v>
      </c>
      <c r="AW229" s="1087">
        <f t="shared" si="104"/>
        <v>1.4497926167378756</v>
      </c>
      <c r="AX229" s="1087">
        <f t="shared" si="104"/>
        <v>0.14844416696492574</v>
      </c>
      <c r="AY229" s="1087">
        <f t="shared" si="104"/>
        <v>0.13657326704766559</v>
      </c>
      <c r="AZ229" s="1087">
        <f t="shared" si="104"/>
        <v>1.2684353030916606</v>
      </c>
      <c r="BA229" s="1087">
        <f t="shared" si="104"/>
        <v>0.60902268228872414</v>
      </c>
      <c r="BB229" s="1088">
        <f t="shared" si="104"/>
        <v>0.7182071690515478</v>
      </c>
      <c r="BC229" s="1043"/>
    </row>
    <row r="230" spans="1:55" ht="12" customHeight="1" outlineLevel="1" x14ac:dyDescent="0.2">
      <c r="A230" s="123"/>
      <c r="B230" s="88" t="s">
        <v>109</v>
      </c>
      <c r="C230" s="88" t="s">
        <v>121</v>
      </c>
      <c r="D230" s="89" t="s">
        <v>143</v>
      </c>
      <c r="E230" s="89" t="s">
        <v>146</v>
      </c>
      <c r="F230" s="90" t="s">
        <v>92</v>
      </c>
      <c r="G230" s="18" t="s">
        <v>126</v>
      </c>
      <c r="H230" s="91" t="s">
        <v>127</v>
      </c>
      <c r="I230" s="92" t="s">
        <v>127</v>
      </c>
      <c r="J230" s="93">
        <v>6.4197011599999998</v>
      </c>
      <c r="K230" s="94"/>
      <c r="L230" s="94"/>
      <c r="M230" s="126">
        <f t="shared" ca="1" si="86"/>
        <v>1</v>
      </c>
      <c r="N230" s="128">
        <f t="shared" ca="1" si="86"/>
        <v>1</v>
      </c>
      <c r="O230" s="1058" t="s">
        <v>1583</v>
      </c>
      <c r="P230" s="126">
        <f t="shared" ref="P230:BB230" si="105">IFERROR(P97/_xlfn.MAXIFS(P$19:P$150,$B$19:$B$150,$B230,$F$152:$F$283,"C"),"?")</f>
        <v>1</v>
      </c>
      <c r="Q230" s="128">
        <f t="shared" si="105"/>
        <v>1</v>
      </c>
      <c r="R230" s="127">
        <f t="shared" si="105"/>
        <v>1</v>
      </c>
      <c r="S230" s="1041">
        <f t="shared" si="105"/>
        <v>1</v>
      </c>
      <c r="T230" s="1041">
        <f t="shared" si="105"/>
        <v>1</v>
      </c>
      <c r="U230" s="1041">
        <f t="shared" si="105"/>
        <v>1</v>
      </c>
      <c r="V230" s="1041">
        <f t="shared" si="105"/>
        <v>1</v>
      </c>
      <c r="W230" s="1041">
        <f t="shared" si="105"/>
        <v>1</v>
      </c>
      <c r="X230" s="1041">
        <f t="shared" si="105"/>
        <v>1</v>
      </c>
      <c r="Y230" s="1041">
        <f t="shared" si="105"/>
        <v>1</v>
      </c>
      <c r="Z230" s="1041">
        <f t="shared" si="105"/>
        <v>1</v>
      </c>
      <c r="AA230" s="1041">
        <f t="shared" si="105"/>
        <v>1</v>
      </c>
      <c r="AB230" s="1041">
        <f t="shared" si="105"/>
        <v>1</v>
      </c>
      <c r="AC230" s="1041">
        <f t="shared" si="105"/>
        <v>1</v>
      </c>
      <c r="AD230" s="1041">
        <f t="shared" si="105"/>
        <v>1</v>
      </c>
      <c r="AE230" s="1041">
        <f t="shared" si="105"/>
        <v>1</v>
      </c>
      <c r="AF230" s="1041">
        <f t="shared" si="105"/>
        <v>1</v>
      </c>
      <c r="AG230" s="1041">
        <f t="shared" si="105"/>
        <v>1</v>
      </c>
      <c r="AH230" s="1041">
        <f t="shared" si="105"/>
        <v>1</v>
      </c>
      <c r="AI230" s="1041">
        <f t="shared" si="105"/>
        <v>1</v>
      </c>
      <c r="AJ230" s="1042">
        <f t="shared" si="105"/>
        <v>1</v>
      </c>
      <c r="AK230" s="1083">
        <f t="shared" si="105"/>
        <v>1</v>
      </c>
      <c r="AL230" s="1084">
        <f t="shared" si="105"/>
        <v>1</v>
      </c>
      <c r="AM230" s="1084">
        <f t="shared" si="105"/>
        <v>1</v>
      </c>
      <c r="AN230" s="1084">
        <f t="shared" si="105"/>
        <v>1</v>
      </c>
      <c r="AO230" s="1084">
        <f t="shared" si="105"/>
        <v>1</v>
      </c>
      <c r="AP230" s="1084">
        <f t="shared" si="105"/>
        <v>1</v>
      </c>
      <c r="AQ230" s="1084">
        <f t="shared" si="105"/>
        <v>1</v>
      </c>
      <c r="AR230" s="1084">
        <f t="shared" si="105"/>
        <v>1</v>
      </c>
      <c r="AS230" s="1084">
        <f t="shared" si="105"/>
        <v>1</v>
      </c>
      <c r="AT230" s="1084">
        <f t="shared" si="105"/>
        <v>1</v>
      </c>
      <c r="AU230" s="1084">
        <f t="shared" si="105"/>
        <v>1</v>
      </c>
      <c r="AV230" s="1084">
        <f t="shared" si="105"/>
        <v>1</v>
      </c>
      <c r="AW230" s="1084">
        <f t="shared" si="105"/>
        <v>1</v>
      </c>
      <c r="AX230" s="1084">
        <f t="shared" si="105"/>
        <v>1</v>
      </c>
      <c r="AY230" s="1084">
        <f t="shared" si="105"/>
        <v>1</v>
      </c>
      <c r="AZ230" s="1084">
        <f t="shared" si="105"/>
        <v>1</v>
      </c>
      <c r="BA230" s="1084">
        <f t="shared" si="105"/>
        <v>1</v>
      </c>
      <c r="BB230" s="1085">
        <f t="shared" si="105"/>
        <v>1</v>
      </c>
      <c r="BC230" s="1043"/>
    </row>
    <row r="231" spans="1:55" ht="12" customHeight="1" outlineLevel="1" x14ac:dyDescent="0.2">
      <c r="A231" s="123"/>
      <c r="B231" s="104" t="s">
        <v>109</v>
      </c>
      <c r="C231" s="104" t="s">
        <v>121</v>
      </c>
      <c r="D231" s="2" t="s">
        <v>143</v>
      </c>
      <c r="E231" s="2" t="s">
        <v>146</v>
      </c>
      <c r="F231" s="105" t="s">
        <v>122</v>
      </c>
      <c r="G231" s="27" t="s">
        <v>1579</v>
      </c>
      <c r="H231" s="106" t="s">
        <v>128</v>
      </c>
      <c r="I231" s="107" t="s">
        <v>129</v>
      </c>
      <c r="J231" s="108">
        <v>6.4197011599999998</v>
      </c>
      <c r="K231" s="109"/>
      <c r="L231" s="109"/>
      <c r="M231" s="131">
        <f t="shared" ca="1" si="86"/>
        <v>1.1000555381526309</v>
      </c>
      <c r="N231" s="133">
        <f t="shared" ca="1" si="86"/>
        <v>0.49768430489037296</v>
      </c>
      <c r="O231" s="1059" t="s">
        <v>1583</v>
      </c>
      <c r="P231" s="131">
        <f t="shared" ref="P231:BB231" si="106">IFERROR(P98/_xlfn.MAXIFS(P$19:P$150,$B$19:$B$150,$B231,$F$152:$F$283,"C"),"?")</f>
        <v>0.23954170381088424</v>
      </c>
      <c r="Q231" s="133">
        <f t="shared" si="106"/>
        <v>1.2082497776756025</v>
      </c>
      <c r="R231" s="132">
        <f t="shared" si="106"/>
        <v>0.56772321373863899</v>
      </c>
      <c r="S231" s="1044">
        <f t="shared" si="106"/>
        <v>0.43505013081716837</v>
      </c>
      <c r="T231" s="1044">
        <f t="shared" si="106"/>
        <v>0.22751706960427531</v>
      </c>
      <c r="U231" s="1044">
        <f t="shared" si="106"/>
        <v>0.48172023320397633</v>
      </c>
      <c r="V231" s="1044">
        <f t="shared" si="106"/>
        <v>0.85877677629816873</v>
      </c>
      <c r="W231" s="1044">
        <f t="shared" si="106"/>
        <v>0.25086618247459297</v>
      </c>
      <c r="X231" s="1044">
        <f t="shared" si="106"/>
        <v>0.86123121282813697</v>
      </c>
      <c r="Y231" s="1044">
        <f t="shared" si="106"/>
        <v>0.1708689371826769</v>
      </c>
      <c r="Z231" s="1044">
        <f t="shared" si="106"/>
        <v>0.12109252017339663</v>
      </c>
      <c r="AA231" s="1044">
        <f t="shared" si="106"/>
        <v>0.43645325397453943</v>
      </c>
      <c r="AB231" s="1044">
        <f t="shared" si="106"/>
        <v>6.0334443905310864E-3</v>
      </c>
      <c r="AC231" s="1044">
        <f t="shared" si="106"/>
        <v>6.8504178326237678E-3</v>
      </c>
      <c r="AD231" s="1044">
        <f t="shared" si="106"/>
        <v>4.7186965003258391E-2</v>
      </c>
      <c r="AE231" s="1044">
        <f t="shared" si="106"/>
        <v>0.37316090359610143</v>
      </c>
      <c r="AF231" s="1044">
        <f t="shared" si="106"/>
        <v>-5.9330502322858393E-2</v>
      </c>
      <c r="AG231" s="1044">
        <f t="shared" si="106"/>
        <v>1.4416503467307016</v>
      </c>
      <c r="AH231" s="1044">
        <f t="shared" si="106"/>
        <v>0.19140579114274173</v>
      </c>
      <c r="AI231" s="1044">
        <f t="shared" si="106"/>
        <v>0.51393464898019092</v>
      </c>
      <c r="AJ231" s="1045">
        <f t="shared" si="106"/>
        <v>0.7748369527307849</v>
      </c>
      <c r="AK231" s="1086">
        <f t="shared" si="106"/>
        <v>0.43539249328780683</v>
      </c>
      <c r="AL231" s="1087">
        <f t="shared" si="106"/>
        <v>0.48165782158937365</v>
      </c>
      <c r="AM231" s="1087">
        <f t="shared" si="106"/>
        <v>0.47007314171780568</v>
      </c>
      <c r="AN231" s="1087">
        <f t="shared" si="106"/>
        <v>1.20936875562428</v>
      </c>
      <c r="AO231" s="1087">
        <f t="shared" si="106"/>
        <v>0.29053695633944937</v>
      </c>
      <c r="AP231" s="1087">
        <f t="shared" si="106"/>
        <v>0.17978064962176402</v>
      </c>
      <c r="AQ231" s="1087">
        <f t="shared" si="106"/>
        <v>0.1438815726903919</v>
      </c>
      <c r="AR231" s="1087">
        <f t="shared" si="106"/>
        <v>0.4288472237424833</v>
      </c>
      <c r="AS231" s="1087">
        <f t="shared" si="106"/>
        <v>4.8289083287912161E-4</v>
      </c>
      <c r="AT231" s="1087">
        <f t="shared" si="106"/>
        <v>2.2612301285157583E-2</v>
      </c>
      <c r="AU231" s="1087">
        <f t="shared" si="106"/>
        <v>7.4145913576183511E-2</v>
      </c>
      <c r="AV231" s="1087">
        <f t="shared" si="106"/>
        <v>7.6284367333568082E-2</v>
      </c>
      <c r="AW231" s="1087">
        <f t="shared" si="106"/>
        <v>1.4416538152392777</v>
      </c>
      <c r="AX231" s="1087">
        <f t="shared" si="106"/>
        <v>0.15848956822715354</v>
      </c>
      <c r="AY231" s="1087">
        <f t="shared" si="106"/>
        <v>0.15497130170420406</v>
      </c>
      <c r="AZ231" s="1087">
        <f t="shared" si="106"/>
        <v>1.3320053070965649</v>
      </c>
      <c r="BA231" s="1087">
        <f t="shared" si="106"/>
        <v>0.5289030002035553</v>
      </c>
      <c r="BB231" s="1088">
        <f t="shared" si="106"/>
        <v>0.74140077568641816</v>
      </c>
      <c r="BC231" s="1043"/>
    </row>
    <row r="232" spans="1:55" ht="12" customHeight="1" outlineLevel="1" x14ac:dyDescent="0.2">
      <c r="A232" s="123"/>
      <c r="B232" s="104" t="s">
        <v>109</v>
      </c>
      <c r="C232" s="104" t="s">
        <v>121</v>
      </c>
      <c r="D232" s="2" t="s">
        <v>143</v>
      </c>
      <c r="E232" s="2" t="s">
        <v>146</v>
      </c>
      <c r="F232" s="105" t="s">
        <v>93</v>
      </c>
      <c r="G232" s="27" t="s">
        <v>1578</v>
      </c>
      <c r="H232" s="106" t="s">
        <v>130</v>
      </c>
      <c r="I232" s="107" t="s">
        <v>129</v>
      </c>
      <c r="J232" s="108">
        <v>6.4197011599999998</v>
      </c>
      <c r="K232" s="109"/>
      <c r="L232" s="109"/>
      <c r="M232" s="131">
        <f t="shared" ref="M232:N251" ca="1" si="107">IFERROR(M365/_xlfn.MAXIFS(M$285:M$416,$B$19:$B$150,$B232,$F$152:$F$283,"C"),"?")</f>
        <v>1.1852090087242484</v>
      </c>
      <c r="N232" s="133">
        <f t="shared" ca="1" si="107"/>
        <v>0.61740191821398316</v>
      </c>
      <c r="O232" s="1059" t="s">
        <v>1583</v>
      </c>
      <c r="P232" s="131">
        <f t="shared" ref="P232:BB232" si="108">IFERROR(P99/_xlfn.MAXIFS(P$19:P$150,$B$19:$B$150,$B232,$F$152:$F$283,"C"),"?")</f>
        <v>0.31441400391175522</v>
      </c>
      <c r="Q232" s="133">
        <f t="shared" si="108"/>
        <v>1.4979806089819447</v>
      </c>
      <c r="R232" s="132">
        <f t="shared" si="108"/>
        <v>0.70385952170082655</v>
      </c>
      <c r="S232" s="1044">
        <f t="shared" si="108"/>
        <v>0.53937229708339218</v>
      </c>
      <c r="T232" s="1044">
        <f t="shared" si="108"/>
        <v>0.28207416869388263</v>
      </c>
      <c r="U232" s="1044">
        <f t="shared" si="108"/>
        <v>0.59723358611089572</v>
      </c>
      <c r="V232" s="1044">
        <f t="shared" si="108"/>
        <v>1.0647058517728996</v>
      </c>
      <c r="W232" s="1044">
        <f t="shared" si="108"/>
        <v>0.31102224481350782</v>
      </c>
      <c r="X232" s="1044">
        <f t="shared" si="108"/>
        <v>1.0677487627535804</v>
      </c>
      <c r="Y232" s="1044">
        <f t="shared" si="108"/>
        <v>0.21184218278705094</v>
      </c>
      <c r="Z232" s="1044">
        <f t="shared" si="108"/>
        <v>0.15012971010862813</v>
      </c>
      <c r="AA232" s="1044">
        <f t="shared" si="108"/>
        <v>0.54111187570550279</v>
      </c>
      <c r="AB232" s="1044">
        <f t="shared" si="108"/>
        <v>7.4802246624579346E-3</v>
      </c>
      <c r="AC232" s="1044">
        <f t="shared" si="108"/>
        <v>8.5727380636304359E-3</v>
      </c>
      <c r="AD232" s="1044">
        <f t="shared" si="108"/>
        <v>5.8811569043054859E-2</v>
      </c>
      <c r="AE232" s="1044">
        <f t="shared" si="108"/>
        <v>0.47610833149869364</v>
      </c>
      <c r="AF232" s="1044">
        <f t="shared" si="108"/>
        <v>-2.9207203297862581E-3</v>
      </c>
      <c r="AG232" s="1044">
        <f t="shared" si="108"/>
        <v>1.7873486273539876</v>
      </c>
      <c r="AH232" s="1044">
        <f t="shared" si="108"/>
        <v>0.23730364708054513</v>
      </c>
      <c r="AI232" s="1044">
        <f t="shared" si="108"/>
        <v>0.63717279839653451</v>
      </c>
      <c r="AJ232" s="1045">
        <f t="shared" si="108"/>
        <v>0.96063777244889748</v>
      </c>
      <c r="AK232" s="1086">
        <f t="shared" si="108"/>
        <v>0.53979674305047176</v>
      </c>
      <c r="AL232" s="1087">
        <f t="shared" si="108"/>
        <v>0.59715620602462893</v>
      </c>
      <c r="AM232" s="1087">
        <f t="shared" si="108"/>
        <v>0.58279358812288673</v>
      </c>
      <c r="AN232" s="1087">
        <f t="shared" si="108"/>
        <v>1.4993673380037011</v>
      </c>
      <c r="AO232" s="1087">
        <f t="shared" si="108"/>
        <v>0.36020580851355122</v>
      </c>
      <c r="AP232" s="1087">
        <f t="shared" si="108"/>
        <v>0.22289087316149464</v>
      </c>
      <c r="AQ232" s="1087">
        <f t="shared" si="108"/>
        <v>0.1783834271265092</v>
      </c>
      <c r="AR232" s="1087">
        <f t="shared" si="108"/>
        <v>0.53168196846705151</v>
      </c>
      <c r="AS232" s="1087">
        <f t="shared" si="108"/>
        <v>9.5425524861210485E-4</v>
      </c>
      <c r="AT232" s="1087">
        <f t="shared" si="108"/>
        <v>2.8135670914819364E-2</v>
      </c>
      <c r="AU232" s="1087">
        <f t="shared" si="108"/>
        <v>9.2094024040009187E-2</v>
      </c>
      <c r="AV232" s="1087">
        <f t="shared" si="108"/>
        <v>0.11481524994214916</v>
      </c>
      <c r="AW232" s="1087">
        <f t="shared" si="108"/>
        <v>1.787352902640835</v>
      </c>
      <c r="AX232" s="1087">
        <f t="shared" si="108"/>
        <v>0.19649431193755687</v>
      </c>
      <c r="AY232" s="1087">
        <f t="shared" si="108"/>
        <v>0.192132400553373</v>
      </c>
      <c r="AZ232" s="1087">
        <f t="shared" si="108"/>
        <v>1.6514114023872992</v>
      </c>
      <c r="BA232" s="1087">
        <f t="shared" si="108"/>
        <v>0.65573045735693536</v>
      </c>
      <c r="BB232" s="1088">
        <f t="shared" si="108"/>
        <v>0.91918378174016213</v>
      </c>
      <c r="BC232" s="1043"/>
    </row>
    <row r="233" spans="1:55" ht="12" customHeight="1" outlineLevel="1" x14ac:dyDescent="0.2">
      <c r="A233" s="123"/>
      <c r="B233" s="104" t="s">
        <v>109</v>
      </c>
      <c r="C233" s="104" t="s">
        <v>121</v>
      </c>
      <c r="D233" s="2" t="s">
        <v>143</v>
      </c>
      <c r="E233" s="2" t="s">
        <v>146</v>
      </c>
      <c r="F233" s="105" t="s">
        <v>94</v>
      </c>
      <c r="G233" s="27" t="s">
        <v>1580</v>
      </c>
      <c r="H233" s="106" t="s">
        <v>131</v>
      </c>
      <c r="I233" s="107" t="s">
        <v>129</v>
      </c>
      <c r="J233" s="108">
        <v>6.4197011599999998</v>
      </c>
      <c r="K233" s="109"/>
      <c r="L233" s="109"/>
      <c r="M233" s="131">
        <f t="shared" ca="1" si="107"/>
        <v>1.0425004193733889</v>
      </c>
      <c r="N233" s="133">
        <f t="shared" ca="1" si="107"/>
        <v>0.41676732747824685</v>
      </c>
      <c r="O233" s="1059" t="s">
        <v>1583</v>
      </c>
      <c r="P233" s="131">
        <f t="shared" ref="P233:BB233" si="109">IFERROR(P100/_xlfn.MAXIFS(P$19:P$150,$B$19:$B$150,$B233,$F$152:$F$283,"C"),"?")</f>
        <v>0.18893631861248089</v>
      </c>
      <c r="Q233" s="133">
        <f t="shared" si="109"/>
        <v>1.0124210618442084</v>
      </c>
      <c r="R233" s="132">
        <f t="shared" si="109"/>
        <v>0.4757088549239703</v>
      </c>
      <c r="S233" s="1044">
        <f t="shared" si="109"/>
        <v>0.36453890386464799</v>
      </c>
      <c r="T233" s="1044">
        <f t="shared" si="109"/>
        <v>0.19064199456857359</v>
      </c>
      <c r="U233" s="1044">
        <f t="shared" si="109"/>
        <v>0.40364489550120425</v>
      </c>
      <c r="V233" s="1044">
        <f t="shared" si="109"/>
        <v>0.71958962622940825</v>
      </c>
      <c r="W233" s="1044">
        <f t="shared" si="109"/>
        <v>0.21020677543067354</v>
      </c>
      <c r="X233" s="1044">
        <f t="shared" si="109"/>
        <v>0.72164619932830298</v>
      </c>
      <c r="Y233" s="1044">
        <f t="shared" si="109"/>
        <v>0.14317516404409228</v>
      </c>
      <c r="Z233" s="1044">
        <f t="shared" si="109"/>
        <v>0.10146631612987192</v>
      </c>
      <c r="AA233" s="1044">
        <f t="shared" si="109"/>
        <v>0.36571463483594907</v>
      </c>
      <c r="AB233" s="1044">
        <f t="shared" si="109"/>
        <v>5.0555674453233619E-3</v>
      </c>
      <c r="AC233" s="1044">
        <f t="shared" si="109"/>
        <v>5.6863065784892135E-3</v>
      </c>
      <c r="AD233" s="1044">
        <f t="shared" si="109"/>
        <v>3.9329923419699334E-2</v>
      </c>
      <c r="AE233" s="1044">
        <f t="shared" si="109"/>
        <v>0.30357943669628534</v>
      </c>
      <c r="AF233" s="1044">
        <f t="shared" si="109"/>
        <v>-9.7454913359364514E-2</v>
      </c>
      <c r="AG233" s="1044">
        <f t="shared" si="109"/>
        <v>1.2079932969720892</v>
      </c>
      <c r="AH233" s="1044">
        <f t="shared" si="109"/>
        <v>0.16038349195757032</v>
      </c>
      <c r="AI233" s="1044">
        <f t="shared" si="109"/>
        <v>0.43063813584221572</v>
      </c>
      <c r="AJ233" s="1045">
        <f t="shared" si="109"/>
        <v>0.64925440675803536</v>
      </c>
      <c r="AK233" s="1086">
        <f t="shared" si="109"/>
        <v>0.36482577404100131</v>
      </c>
      <c r="AL233" s="1087">
        <f t="shared" si="109"/>
        <v>0.40359260511697803</v>
      </c>
      <c r="AM233" s="1087">
        <f t="shared" si="109"/>
        <v>0.39388552184069714</v>
      </c>
      <c r="AN233" s="1087">
        <f t="shared" si="109"/>
        <v>1.0133589625087942</v>
      </c>
      <c r="AO233" s="1087">
        <f t="shared" si="109"/>
        <v>0.24344786193984266</v>
      </c>
      <c r="AP233" s="1087">
        <f t="shared" si="109"/>
        <v>0.15064250970868656</v>
      </c>
      <c r="AQ233" s="1087">
        <f t="shared" si="109"/>
        <v>0.12056180799486164</v>
      </c>
      <c r="AR233" s="1087">
        <f t="shared" si="109"/>
        <v>0.35934134387536326</v>
      </c>
      <c r="AS233" s="1087">
        <f t="shared" si="109"/>
        <v>1.6431075866208468E-4</v>
      </c>
      <c r="AT233" s="1087">
        <f t="shared" si="109"/>
        <v>1.8879066265802463E-2</v>
      </c>
      <c r="AU233" s="1087">
        <f t="shared" si="109"/>
        <v>6.201481246706949E-2</v>
      </c>
      <c r="AV233" s="1087">
        <f t="shared" si="109"/>
        <v>5.0242210007286466E-2</v>
      </c>
      <c r="AW233" s="1087">
        <f t="shared" si="109"/>
        <v>1.2079962190325766</v>
      </c>
      <c r="AX233" s="1087">
        <f t="shared" si="109"/>
        <v>0.13280219234445936</v>
      </c>
      <c r="AY233" s="1087">
        <f t="shared" si="109"/>
        <v>0.12985415776919859</v>
      </c>
      <c r="AZ233" s="1087">
        <f t="shared" si="109"/>
        <v>1.1161190760786692</v>
      </c>
      <c r="BA233" s="1087">
        <f t="shared" si="109"/>
        <v>0.44318046207596934</v>
      </c>
      <c r="BB233" s="1088">
        <f t="shared" si="109"/>
        <v>0.62123743854620461</v>
      </c>
      <c r="BC233" s="1043"/>
    </row>
    <row r="234" spans="1:55" ht="12" customHeight="1" outlineLevel="1" x14ac:dyDescent="0.2">
      <c r="A234" s="123"/>
      <c r="B234" s="104" t="s">
        <v>109</v>
      </c>
      <c r="C234" s="104" t="s">
        <v>121</v>
      </c>
      <c r="D234" s="2" t="s">
        <v>143</v>
      </c>
      <c r="E234" s="2" t="s">
        <v>146</v>
      </c>
      <c r="F234" s="105" t="s">
        <v>95</v>
      </c>
      <c r="G234" s="27" t="s">
        <v>1581</v>
      </c>
      <c r="H234" s="106" t="s">
        <v>128</v>
      </c>
      <c r="I234" s="107" t="s">
        <v>127</v>
      </c>
      <c r="J234" s="108">
        <v>6.4197011599999998</v>
      </c>
      <c r="K234" s="109"/>
      <c r="L234" s="109"/>
      <c r="M234" s="131">
        <f t="shared" ca="1" si="107"/>
        <v>1.1723794534667162</v>
      </c>
      <c r="N234" s="133">
        <f t="shared" ca="1" si="107"/>
        <v>0.59936479388863517</v>
      </c>
      <c r="O234" s="1059" t="s">
        <v>1583</v>
      </c>
      <c r="P234" s="131">
        <f t="shared" ref="P234:BB234" si="110">IFERROR(P101/_xlfn.MAXIFS(P$19:P$150,$B$19:$B$150,$B234,$F$152:$F$283,"C"),"?")</f>
        <v>0.75248659027247178</v>
      </c>
      <c r="Q234" s="133">
        <f t="shared" si="110"/>
        <v>1.2550094851691538</v>
      </c>
      <c r="R234" s="132">
        <f t="shared" si="110"/>
        <v>0.60250329671439751</v>
      </c>
      <c r="S234" s="1044">
        <f t="shared" si="110"/>
        <v>0.49392224319407618</v>
      </c>
      <c r="T234" s="1044">
        <f t="shared" si="110"/>
        <v>0.30480993700464681</v>
      </c>
      <c r="U234" s="1044">
        <f t="shared" si="110"/>
        <v>0.48542682313037633</v>
      </c>
      <c r="V234" s="1044">
        <f t="shared" si="110"/>
        <v>0.92191079717221414</v>
      </c>
      <c r="W234" s="1044">
        <f t="shared" si="110"/>
        <v>0.63452980257605818</v>
      </c>
      <c r="X234" s="1044">
        <f t="shared" si="110"/>
        <v>0.92415571567129828</v>
      </c>
      <c r="Y234" s="1044">
        <f t="shared" si="110"/>
        <v>0.59658161857315262</v>
      </c>
      <c r="Z234" s="1044">
        <f t="shared" si="110"/>
        <v>0.56040174136624266</v>
      </c>
      <c r="AA234" s="1044">
        <f t="shared" si="110"/>
        <v>0.57849717300963321</v>
      </c>
      <c r="AB234" s="1044">
        <f t="shared" si="110"/>
        <v>1.0207039130895421E-2</v>
      </c>
      <c r="AC234" s="1044">
        <f t="shared" si="110"/>
        <v>1.2573458005153554E-2</v>
      </c>
      <c r="AD234" s="1044">
        <f t="shared" si="110"/>
        <v>7.9553847259285174E-2</v>
      </c>
      <c r="AE234" s="1044">
        <f t="shared" si="110"/>
        <v>0.73515829866046878</v>
      </c>
      <c r="AF234" s="1044">
        <f t="shared" si="110"/>
        <v>1.3191499143477183</v>
      </c>
      <c r="AG234" s="1044">
        <f t="shared" si="110"/>
        <v>1.4416503467307016</v>
      </c>
      <c r="AH234" s="1044">
        <f t="shared" si="110"/>
        <v>0.19183087853031872</v>
      </c>
      <c r="AI234" s="1044">
        <f t="shared" si="110"/>
        <v>0.54400367054561927</v>
      </c>
      <c r="AJ234" s="1045">
        <f t="shared" si="110"/>
        <v>0.77752919239972718</v>
      </c>
      <c r="AK234" s="1086">
        <f t="shared" si="110"/>
        <v>0.4944716027885106</v>
      </c>
      <c r="AL234" s="1087">
        <f t="shared" si="110"/>
        <v>0.48534359436797819</v>
      </c>
      <c r="AM234" s="1087">
        <f t="shared" si="110"/>
        <v>0.47365278955675577</v>
      </c>
      <c r="AN234" s="1087">
        <f t="shared" si="110"/>
        <v>1.2946095272639495</v>
      </c>
      <c r="AO234" s="1087">
        <f t="shared" si="110"/>
        <v>0.67991574978627733</v>
      </c>
      <c r="AP234" s="1087">
        <f t="shared" si="110"/>
        <v>0.61055254286015803</v>
      </c>
      <c r="AQ234" s="1087">
        <f t="shared" si="110"/>
        <v>0.56936783856104822</v>
      </c>
      <c r="AR234" s="1087">
        <f t="shared" si="110"/>
        <v>0.57968183816462726</v>
      </c>
      <c r="AS234" s="1087">
        <f t="shared" si="110"/>
        <v>1.3665621731846647E-2</v>
      </c>
      <c r="AT234" s="1087">
        <f t="shared" si="110"/>
        <v>3.1522977379214799E-2</v>
      </c>
      <c r="AU234" s="1087">
        <f t="shared" si="110"/>
        <v>9.5286050946374642E-2</v>
      </c>
      <c r="AV234" s="1087">
        <f t="shared" si="110"/>
        <v>0.54770125852642237</v>
      </c>
      <c r="AW234" s="1087">
        <f t="shared" si="110"/>
        <v>1.4416538152392777</v>
      </c>
      <c r="AX234" s="1087">
        <f t="shared" si="110"/>
        <v>0.15848956822715354</v>
      </c>
      <c r="AY234" s="1087">
        <f t="shared" si="110"/>
        <v>0.15497130170420406</v>
      </c>
      <c r="AZ234" s="1087">
        <f t="shared" si="110"/>
        <v>1.3338921257050305</v>
      </c>
      <c r="BA234" s="1087">
        <f t="shared" si="110"/>
        <v>0.55954350968598343</v>
      </c>
      <c r="BB234" s="1088">
        <f t="shared" si="110"/>
        <v>0.74394810870301475</v>
      </c>
      <c r="BC234" s="1043"/>
    </row>
    <row r="235" spans="1:55" ht="12" customHeight="1" outlineLevel="1" x14ac:dyDescent="0.2">
      <c r="A235" s="123"/>
      <c r="B235" s="104" t="s">
        <v>109</v>
      </c>
      <c r="C235" s="104" t="s">
        <v>121</v>
      </c>
      <c r="D235" s="2" t="s">
        <v>143</v>
      </c>
      <c r="E235" s="2" t="s">
        <v>146</v>
      </c>
      <c r="F235" s="105" t="s">
        <v>96</v>
      </c>
      <c r="G235" s="27" t="s">
        <v>1582</v>
      </c>
      <c r="H235" s="106" t="s">
        <v>128</v>
      </c>
      <c r="I235" s="107" t="s">
        <v>1577</v>
      </c>
      <c r="J235" s="129">
        <v>6.4197011599999998</v>
      </c>
      <c r="K235" s="130"/>
      <c r="L235" s="130"/>
      <c r="M235" s="131">
        <f t="shared" ca="1" si="107"/>
        <v>1.2253828911232865</v>
      </c>
      <c r="N235" s="133">
        <f t="shared" ca="1" si="107"/>
        <v>0.6738825441529015</v>
      </c>
      <c r="O235" s="1059" t="s">
        <v>1583</v>
      </c>
      <c r="P235" s="131">
        <f t="shared" ref="P235:BB235" si="111">IFERROR(P102/_xlfn.MAXIFS(P$19:P$150,$B$19:$B$150,$B235,$F$152:$F$283,"C"),"?")</f>
        <v>1.1596198783848528</v>
      </c>
      <c r="Q235" s="133">
        <f t="shared" si="111"/>
        <v>1.2889119709511099</v>
      </c>
      <c r="R235" s="132">
        <f t="shared" si="111"/>
        <v>0.62520132661697836</v>
      </c>
      <c r="S235" s="1044">
        <f t="shared" si="111"/>
        <v>0.53610958623362659</v>
      </c>
      <c r="T235" s="1044">
        <f t="shared" si="111"/>
        <v>0.36116304844531988</v>
      </c>
      <c r="U235" s="1044">
        <f t="shared" si="111"/>
        <v>0.48784579749095303</v>
      </c>
      <c r="V235" s="1044">
        <f t="shared" si="111"/>
        <v>0.96311303416845029</v>
      </c>
      <c r="W235" s="1044">
        <f t="shared" si="111"/>
        <v>0.91374056297918238</v>
      </c>
      <c r="X235" s="1044">
        <f t="shared" si="111"/>
        <v>0.9652212861825672</v>
      </c>
      <c r="Y235" s="1044">
        <f t="shared" si="111"/>
        <v>0.90675440278924657</v>
      </c>
      <c r="Z235" s="1044">
        <f t="shared" si="111"/>
        <v>0.87327351463536018</v>
      </c>
      <c r="AA235" s="1044">
        <f t="shared" si="111"/>
        <v>0.68207243260663486</v>
      </c>
      <c r="AB235" s="1044">
        <f t="shared" si="111"/>
        <v>1.2930793028293312E-2</v>
      </c>
      <c r="AC235" s="1044">
        <f t="shared" si="111"/>
        <v>1.4800311823965819E-2</v>
      </c>
      <c r="AD235" s="1044">
        <f t="shared" si="111"/>
        <v>9.0022018497873613E-2</v>
      </c>
      <c r="AE235" s="1044">
        <f t="shared" si="111"/>
        <v>1.0316680981628505</v>
      </c>
      <c r="AF235" s="1044">
        <f t="shared" si="111"/>
        <v>2.4603888846677422</v>
      </c>
      <c r="AG235" s="1044">
        <f t="shared" si="111"/>
        <v>1.4416503467307016</v>
      </c>
      <c r="AH235" s="1044">
        <f t="shared" si="111"/>
        <v>0.19210828539394437</v>
      </c>
      <c r="AI235" s="1044">
        <f t="shared" si="111"/>
        <v>0.56362719410916517</v>
      </c>
      <c r="AJ235" s="1045">
        <f t="shared" si="111"/>
        <v>0.77928621893272232</v>
      </c>
      <c r="AK235" s="1086">
        <f t="shared" si="111"/>
        <v>0.53681262551439579</v>
      </c>
      <c r="AL235" s="1087">
        <f t="shared" si="111"/>
        <v>0.48774900516161229</v>
      </c>
      <c r="AM235" s="1087">
        <f t="shared" si="111"/>
        <v>0.47598893707041107</v>
      </c>
      <c r="AN235" s="1087">
        <f t="shared" si="111"/>
        <v>1.3502390111928455</v>
      </c>
      <c r="AO235" s="1087">
        <f t="shared" si="111"/>
        <v>0.9630024216262717</v>
      </c>
      <c r="AP235" s="1087">
        <f t="shared" si="111"/>
        <v>0.92436438448295166</v>
      </c>
      <c r="AQ235" s="1087">
        <f t="shared" si="111"/>
        <v>0.8723903138841913</v>
      </c>
      <c r="AR235" s="1087">
        <f t="shared" si="111"/>
        <v>0.68965148627542672</v>
      </c>
      <c r="AS235" s="1087">
        <f t="shared" si="111"/>
        <v>2.3108698414692645E-2</v>
      </c>
      <c r="AT235" s="1087">
        <f t="shared" si="111"/>
        <v>3.533673477688544E-2</v>
      </c>
      <c r="AU235" s="1087">
        <f t="shared" si="111"/>
        <v>0.10372084525453699</v>
      </c>
      <c r="AV235" s="1087">
        <f t="shared" si="111"/>
        <v>0.94465024743462722</v>
      </c>
      <c r="AW235" s="1087">
        <f t="shared" si="111"/>
        <v>1.4416538152392777</v>
      </c>
      <c r="AX235" s="1087">
        <f t="shared" si="111"/>
        <v>0.15848956822715354</v>
      </c>
      <c r="AY235" s="1087">
        <f t="shared" si="111"/>
        <v>0.15497130170420406</v>
      </c>
      <c r="AZ235" s="1087">
        <f t="shared" si="111"/>
        <v>1.3351234722756973</v>
      </c>
      <c r="BA235" s="1087">
        <f t="shared" si="111"/>
        <v>0.57953999260134381</v>
      </c>
      <c r="BB235" s="1088">
        <f t="shared" si="111"/>
        <v>0.74561053366777141</v>
      </c>
      <c r="BC235" s="1043"/>
    </row>
    <row r="236" spans="1:55" ht="12" customHeight="1" outlineLevel="1" x14ac:dyDescent="0.2">
      <c r="A236" s="123"/>
      <c r="B236" s="88" t="s">
        <v>110</v>
      </c>
      <c r="C236" s="88" t="s">
        <v>121</v>
      </c>
      <c r="D236" s="89" t="s">
        <v>143</v>
      </c>
      <c r="E236" s="89" t="s">
        <v>147</v>
      </c>
      <c r="F236" s="90" t="s">
        <v>92</v>
      </c>
      <c r="G236" s="18" t="s">
        <v>126</v>
      </c>
      <c r="H236" s="91" t="s">
        <v>127</v>
      </c>
      <c r="I236" s="92" t="s">
        <v>127</v>
      </c>
      <c r="J236" s="93">
        <v>6.3623397199999996</v>
      </c>
      <c r="K236" s="94"/>
      <c r="L236" s="94"/>
      <c r="M236" s="126">
        <f t="shared" ca="1" si="107"/>
        <v>1</v>
      </c>
      <c r="N236" s="128">
        <f t="shared" ca="1" si="107"/>
        <v>1</v>
      </c>
      <c r="O236" s="1058" t="s">
        <v>1583</v>
      </c>
      <c r="P236" s="126">
        <f t="shared" ref="P236:BB236" si="112">IFERROR(P103/_xlfn.MAXIFS(P$19:P$150,$B$19:$B$150,$B236,$F$152:$F$283,"C"),"?")</f>
        <v>1</v>
      </c>
      <c r="Q236" s="128">
        <f t="shared" si="112"/>
        <v>1</v>
      </c>
      <c r="R236" s="127">
        <f t="shared" si="112"/>
        <v>1</v>
      </c>
      <c r="S236" s="1041">
        <f t="shared" si="112"/>
        <v>1</v>
      </c>
      <c r="T236" s="1041">
        <f t="shared" si="112"/>
        <v>1</v>
      </c>
      <c r="U236" s="1041">
        <f t="shared" si="112"/>
        <v>1</v>
      </c>
      <c r="V236" s="1041">
        <f t="shared" si="112"/>
        <v>1</v>
      </c>
      <c r="W236" s="1041">
        <f t="shared" si="112"/>
        <v>1</v>
      </c>
      <c r="X236" s="1041">
        <f t="shared" si="112"/>
        <v>1</v>
      </c>
      <c r="Y236" s="1041">
        <f t="shared" si="112"/>
        <v>1</v>
      </c>
      <c r="Z236" s="1041">
        <f t="shared" si="112"/>
        <v>1</v>
      </c>
      <c r="AA236" s="1041">
        <f t="shared" si="112"/>
        <v>1</v>
      </c>
      <c r="AB236" s="1041">
        <f t="shared" si="112"/>
        <v>1</v>
      </c>
      <c r="AC236" s="1041">
        <f t="shared" si="112"/>
        <v>1</v>
      </c>
      <c r="AD236" s="1041">
        <f t="shared" si="112"/>
        <v>1</v>
      </c>
      <c r="AE236" s="1041">
        <f t="shared" si="112"/>
        <v>1</v>
      </c>
      <c r="AF236" s="1041">
        <f t="shared" si="112"/>
        <v>1</v>
      </c>
      <c r="AG236" s="1041">
        <f t="shared" si="112"/>
        <v>1</v>
      </c>
      <c r="AH236" s="1041">
        <f t="shared" si="112"/>
        <v>1</v>
      </c>
      <c r="AI236" s="1041">
        <f t="shared" si="112"/>
        <v>1</v>
      </c>
      <c r="AJ236" s="1042">
        <f t="shared" si="112"/>
        <v>1</v>
      </c>
      <c r="AK236" s="1083">
        <f t="shared" si="112"/>
        <v>1</v>
      </c>
      <c r="AL236" s="1084">
        <f t="shared" si="112"/>
        <v>1</v>
      </c>
      <c r="AM236" s="1084">
        <f t="shared" si="112"/>
        <v>1</v>
      </c>
      <c r="AN236" s="1084">
        <f t="shared" si="112"/>
        <v>1</v>
      </c>
      <c r="AO236" s="1084">
        <f t="shared" si="112"/>
        <v>1</v>
      </c>
      <c r="AP236" s="1084">
        <f t="shared" si="112"/>
        <v>1</v>
      </c>
      <c r="AQ236" s="1084">
        <f t="shared" si="112"/>
        <v>1</v>
      </c>
      <c r="AR236" s="1084">
        <f t="shared" si="112"/>
        <v>1</v>
      </c>
      <c r="AS236" s="1084">
        <f t="shared" si="112"/>
        <v>1</v>
      </c>
      <c r="AT236" s="1084">
        <f t="shared" si="112"/>
        <v>1</v>
      </c>
      <c r="AU236" s="1084">
        <f t="shared" si="112"/>
        <v>1</v>
      </c>
      <c r="AV236" s="1084">
        <f t="shared" si="112"/>
        <v>1</v>
      </c>
      <c r="AW236" s="1084">
        <f t="shared" si="112"/>
        <v>1</v>
      </c>
      <c r="AX236" s="1084">
        <f t="shared" si="112"/>
        <v>1</v>
      </c>
      <c r="AY236" s="1084">
        <f t="shared" si="112"/>
        <v>1</v>
      </c>
      <c r="AZ236" s="1084">
        <f t="shared" si="112"/>
        <v>1</v>
      </c>
      <c r="BA236" s="1084">
        <f t="shared" si="112"/>
        <v>1</v>
      </c>
      <c r="BB236" s="1085">
        <f t="shared" si="112"/>
        <v>1</v>
      </c>
      <c r="BC236" s="1043"/>
    </row>
    <row r="237" spans="1:55" ht="12" customHeight="1" outlineLevel="1" x14ac:dyDescent="0.2">
      <c r="A237" s="123"/>
      <c r="B237" s="104" t="s">
        <v>110</v>
      </c>
      <c r="C237" s="104" t="s">
        <v>121</v>
      </c>
      <c r="D237" s="2" t="s">
        <v>143</v>
      </c>
      <c r="E237" s="2" t="s">
        <v>147</v>
      </c>
      <c r="F237" s="105" t="s">
        <v>122</v>
      </c>
      <c r="G237" s="27" t="s">
        <v>1579</v>
      </c>
      <c r="H237" s="106" t="s">
        <v>128</v>
      </c>
      <c r="I237" s="107" t="s">
        <v>129</v>
      </c>
      <c r="J237" s="108">
        <v>6.3623397199999996</v>
      </c>
      <c r="K237" s="109"/>
      <c r="L237" s="109"/>
      <c r="M237" s="131">
        <f t="shared" ca="1" si="107"/>
        <v>0.92329018123991724</v>
      </c>
      <c r="N237" s="133">
        <f t="shared" ca="1" si="107"/>
        <v>0.58934778400428267</v>
      </c>
      <c r="O237" s="1059" t="s">
        <v>1583</v>
      </c>
      <c r="P237" s="131">
        <f t="shared" ref="P237:BB237" si="113">IFERROR(P104/_xlfn.MAXIFS(P$19:P$150,$B$19:$B$150,$B237,$F$152:$F$283,"C"),"?")</f>
        <v>0.38208393753126163</v>
      </c>
      <c r="Q237" s="133">
        <f t="shared" si="113"/>
        <v>1.3252028013713495</v>
      </c>
      <c r="R237" s="132">
        <f t="shared" si="113"/>
        <v>0.87448783095542992</v>
      </c>
      <c r="S237" s="1044">
        <f t="shared" si="113"/>
        <v>0.7148008957362314</v>
      </c>
      <c r="T237" s="1044">
        <f t="shared" si="113"/>
        <v>0.43248789002852761</v>
      </c>
      <c r="U237" s="1044">
        <f t="shared" si="113"/>
        <v>0.45605161902675995</v>
      </c>
      <c r="V237" s="1044">
        <f t="shared" si="113"/>
        <v>1.1451833963773381</v>
      </c>
      <c r="W237" s="1044">
        <f t="shared" si="113"/>
        <v>0.40181323168547095</v>
      </c>
      <c r="X237" s="1044">
        <f t="shared" si="113"/>
        <v>1.1468628770101827</v>
      </c>
      <c r="Y237" s="1044">
        <f t="shared" si="113"/>
        <v>0.29226578017709143</v>
      </c>
      <c r="Z237" s="1044">
        <f t="shared" si="113"/>
        <v>0.15406251145208169</v>
      </c>
      <c r="AA237" s="1044">
        <f t="shared" si="113"/>
        <v>0.65604683450258627</v>
      </c>
      <c r="AB237" s="1044">
        <f t="shared" si="113"/>
        <v>4.3151736464001403E-3</v>
      </c>
      <c r="AC237" s="1044">
        <f t="shared" si="113"/>
        <v>6.3923712506244578E-3</v>
      </c>
      <c r="AD237" s="1044">
        <f t="shared" si="113"/>
        <v>4.315151875993524E-2</v>
      </c>
      <c r="AE237" s="1044">
        <f t="shared" si="113"/>
        <v>0.50284007683104182</v>
      </c>
      <c r="AF237" s="1044">
        <f t="shared" si="113"/>
        <v>0.192059432925064</v>
      </c>
      <c r="AG237" s="1044">
        <f t="shared" si="113"/>
        <v>1.4494653388476768</v>
      </c>
      <c r="AH237" s="1044">
        <f t="shared" si="113"/>
        <v>0.26240558202413811</v>
      </c>
      <c r="AI237" s="1044">
        <f t="shared" si="113"/>
        <v>0.82102717663055147</v>
      </c>
      <c r="AJ237" s="1045">
        <f t="shared" si="113"/>
        <v>0.97792032006682372</v>
      </c>
      <c r="AK237" s="1086">
        <f t="shared" si="113"/>
        <v>0.71524119534660568</v>
      </c>
      <c r="AL237" s="1087">
        <f t="shared" si="113"/>
        <v>0.45601137792502494</v>
      </c>
      <c r="AM237" s="1087">
        <f t="shared" si="113"/>
        <v>0.45231582566004963</v>
      </c>
      <c r="AN237" s="1087">
        <f t="shared" si="113"/>
        <v>1.2932259623149198</v>
      </c>
      <c r="AO237" s="1087">
        <f t="shared" si="113"/>
        <v>0.45101367444236745</v>
      </c>
      <c r="AP237" s="1087">
        <f t="shared" si="113"/>
        <v>0.30365514757654877</v>
      </c>
      <c r="AQ237" s="1087">
        <f t="shared" si="113"/>
        <v>0.18245721693510403</v>
      </c>
      <c r="AR237" s="1087">
        <f t="shared" si="113"/>
        <v>0.64388061469490776</v>
      </c>
      <c r="AS237" s="1087">
        <f t="shared" si="113"/>
        <v>1.2958338908307396E-3</v>
      </c>
      <c r="AT237" s="1087">
        <f t="shared" si="113"/>
        <v>2.1938908088839006E-2</v>
      </c>
      <c r="AU237" s="1087">
        <f t="shared" si="113"/>
        <v>6.4008384103362986E-2</v>
      </c>
      <c r="AV237" s="1087">
        <f t="shared" si="113"/>
        <v>0.18639855106437642</v>
      </c>
      <c r="AW237" s="1087">
        <f t="shared" si="113"/>
        <v>1.4494668220851186</v>
      </c>
      <c r="AX237" s="1087">
        <f t="shared" si="113"/>
        <v>0.29939424529499675</v>
      </c>
      <c r="AY237" s="1087">
        <f t="shared" si="113"/>
        <v>0.29642719435152054</v>
      </c>
      <c r="AZ237" s="1087">
        <f t="shared" si="113"/>
        <v>1.4271516389560293</v>
      </c>
      <c r="BA237" s="1087">
        <f t="shared" si="113"/>
        <v>0.82763621063701376</v>
      </c>
      <c r="BB237" s="1088">
        <f t="shared" si="113"/>
        <v>0.95353785677625214</v>
      </c>
      <c r="BC237" s="1043"/>
    </row>
    <row r="238" spans="1:55" ht="12" customHeight="1" outlineLevel="1" x14ac:dyDescent="0.2">
      <c r="A238" s="123"/>
      <c r="B238" s="104" t="s">
        <v>110</v>
      </c>
      <c r="C238" s="104" t="s">
        <v>121</v>
      </c>
      <c r="D238" s="2" t="s">
        <v>143</v>
      </c>
      <c r="E238" s="2" t="s">
        <v>147</v>
      </c>
      <c r="F238" s="105" t="s">
        <v>93</v>
      </c>
      <c r="G238" s="27" t="s">
        <v>1578</v>
      </c>
      <c r="H238" s="106" t="s">
        <v>130</v>
      </c>
      <c r="I238" s="107" t="s">
        <v>129</v>
      </c>
      <c r="J238" s="108">
        <v>6.3623397199999996</v>
      </c>
      <c r="K238" s="109"/>
      <c r="L238" s="109"/>
      <c r="M238" s="131">
        <f t="shared" ca="1" si="107"/>
        <v>1.0420960962648582</v>
      </c>
      <c r="N238" s="133">
        <f t="shared" ca="1" si="107"/>
        <v>0.73416288889812564</v>
      </c>
      <c r="O238" s="1059" t="s">
        <v>1583</v>
      </c>
      <c r="P238" s="131">
        <f t="shared" ref="P238:BB238" si="114">IFERROR(P105/_xlfn.MAXIFS(P$19:P$150,$B$19:$B$150,$B238,$F$152:$F$283,"C"),"?")</f>
        <v>0.49061406044220396</v>
      </c>
      <c r="Q238" s="133">
        <f t="shared" si="114"/>
        <v>1.649959483086203</v>
      </c>
      <c r="R238" s="132">
        <f t="shared" si="114"/>
        <v>1.0887911773666792</v>
      </c>
      <c r="S238" s="1044">
        <f t="shared" si="114"/>
        <v>0.8899711135155155</v>
      </c>
      <c r="T238" s="1044">
        <f t="shared" si="114"/>
        <v>0.53847404742837934</v>
      </c>
      <c r="U238" s="1044">
        <f t="shared" si="114"/>
        <v>0.5678123447330905</v>
      </c>
      <c r="V238" s="1044">
        <f t="shared" si="114"/>
        <v>1.4258237879765185</v>
      </c>
      <c r="W238" s="1044">
        <f t="shared" si="114"/>
        <v>0.50028220722141103</v>
      </c>
      <c r="X238" s="1044">
        <f t="shared" si="114"/>
        <v>1.4279148995715916</v>
      </c>
      <c r="Y238" s="1044">
        <f t="shared" si="114"/>
        <v>0.36388888330198005</v>
      </c>
      <c r="Z238" s="1044">
        <f t="shared" si="114"/>
        <v>0.19181730925765142</v>
      </c>
      <c r="AA238" s="1044">
        <f t="shared" si="114"/>
        <v>0.81681868235636013</v>
      </c>
      <c r="AB238" s="1044">
        <f t="shared" si="114"/>
        <v>5.3726567911668802E-3</v>
      </c>
      <c r="AC238" s="1044">
        <f t="shared" si="114"/>
        <v>8.0134342031167316E-3</v>
      </c>
      <c r="AD238" s="1044">
        <f t="shared" si="114"/>
        <v>5.3931798153939926E-2</v>
      </c>
      <c r="AE238" s="1044">
        <f t="shared" si="114"/>
        <v>0.63515361568632667</v>
      </c>
      <c r="AF238" s="1044">
        <f t="shared" si="114"/>
        <v>0.27297026249854722</v>
      </c>
      <c r="AG238" s="1044">
        <f t="shared" si="114"/>
        <v>1.8046735879599665</v>
      </c>
      <c r="AH238" s="1044">
        <f t="shared" si="114"/>
        <v>0.32671109734401699</v>
      </c>
      <c r="AI238" s="1044">
        <f t="shared" si="114"/>
        <v>1.0222294077600409</v>
      </c>
      <c r="AJ238" s="1045">
        <f t="shared" si="114"/>
        <v>1.217571004516683</v>
      </c>
      <c r="AK238" s="1086">
        <f t="shared" si="114"/>
        <v>0.89051930908636567</v>
      </c>
      <c r="AL238" s="1087">
        <f t="shared" si="114"/>
        <v>0.56776222532337162</v>
      </c>
      <c r="AM238" s="1087">
        <f t="shared" si="114"/>
        <v>0.56316104196968053</v>
      </c>
      <c r="AN238" s="1087">
        <f t="shared" si="114"/>
        <v>1.6101459009992201</v>
      </c>
      <c r="AO238" s="1087">
        <f t="shared" si="114"/>
        <v>0.56153980184445318</v>
      </c>
      <c r="AP238" s="1087">
        <f t="shared" si="114"/>
        <v>0.37806935295869964</v>
      </c>
      <c r="AQ238" s="1087">
        <f t="shared" si="114"/>
        <v>0.22717047626953776</v>
      </c>
      <c r="AR238" s="1087">
        <f t="shared" si="114"/>
        <v>0.80167099992457291</v>
      </c>
      <c r="AS238" s="1087">
        <f t="shared" si="114"/>
        <v>1.9770831136832951E-3</v>
      </c>
      <c r="AT238" s="1087">
        <f t="shared" si="114"/>
        <v>2.7434829237759872E-2</v>
      </c>
      <c r="AU238" s="1087">
        <f t="shared" si="114"/>
        <v>7.9868793242894087E-2</v>
      </c>
      <c r="AV238" s="1087">
        <f t="shared" si="114"/>
        <v>0.24989961049553627</v>
      </c>
      <c r="AW238" s="1087">
        <f t="shared" si="114"/>
        <v>1.8046753958042532</v>
      </c>
      <c r="AX238" s="1087">
        <f t="shared" si="114"/>
        <v>0.37276427613803997</v>
      </c>
      <c r="AY238" s="1087">
        <f t="shared" si="114"/>
        <v>0.36907010899945458</v>
      </c>
      <c r="AZ238" s="1087">
        <f t="shared" si="114"/>
        <v>1.7768916188566779</v>
      </c>
      <c r="BA238" s="1087">
        <f t="shared" si="114"/>
        <v>1.0304580446386506</v>
      </c>
      <c r="BB238" s="1088">
        <f t="shared" si="114"/>
        <v>1.1872133347792453</v>
      </c>
      <c r="BC238" s="1043"/>
    </row>
    <row r="239" spans="1:55" ht="12" customHeight="1" outlineLevel="1" x14ac:dyDescent="0.2">
      <c r="A239" s="123"/>
      <c r="B239" s="104" t="s">
        <v>110</v>
      </c>
      <c r="C239" s="104" t="s">
        <v>121</v>
      </c>
      <c r="D239" s="2" t="s">
        <v>143</v>
      </c>
      <c r="E239" s="2" t="s">
        <v>147</v>
      </c>
      <c r="F239" s="105" t="s">
        <v>94</v>
      </c>
      <c r="G239" s="27" t="s">
        <v>1580</v>
      </c>
      <c r="H239" s="106" t="s">
        <v>131</v>
      </c>
      <c r="I239" s="107" t="s">
        <v>129</v>
      </c>
      <c r="J239" s="108">
        <v>6.3623397199999996</v>
      </c>
      <c r="K239" s="109"/>
      <c r="L239" s="109"/>
      <c r="M239" s="131">
        <f t="shared" ca="1" si="107"/>
        <v>0.84353749605518036</v>
      </c>
      <c r="N239" s="133">
        <f t="shared" ca="1" si="107"/>
        <v>0.49213550742555545</v>
      </c>
      <c r="O239" s="1059" t="s">
        <v>1583</v>
      </c>
      <c r="P239" s="131">
        <f t="shared" ref="P239:BB239" si="115">IFERROR(P106/_xlfn.MAXIFS(P$19:P$150,$B$19:$B$150,$B239,$F$152:$F$283,"C"),"?")</f>
        <v>0.3092327519790658</v>
      </c>
      <c r="Q239" s="133">
        <f t="shared" si="115"/>
        <v>1.107198176441847</v>
      </c>
      <c r="R239" s="132">
        <f t="shared" si="115"/>
        <v>0.73062897785130509</v>
      </c>
      <c r="S239" s="1044">
        <f t="shared" si="115"/>
        <v>0.59721156100378014</v>
      </c>
      <c r="T239" s="1044">
        <f t="shared" si="115"/>
        <v>0.36134086220114997</v>
      </c>
      <c r="U239" s="1044">
        <f t="shared" si="115"/>
        <v>0.38102820027482259</v>
      </c>
      <c r="V239" s="1044">
        <f t="shared" si="115"/>
        <v>0.95679334698728269</v>
      </c>
      <c r="W239" s="1044">
        <f t="shared" si="115"/>
        <v>0.33571237902359186</v>
      </c>
      <c r="X239" s="1044">
        <f t="shared" si="115"/>
        <v>0.95819659426061865</v>
      </c>
      <c r="Y239" s="1044">
        <f t="shared" si="115"/>
        <v>0.24418618533721764</v>
      </c>
      <c r="Z239" s="1044">
        <f t="shared" si="115"/>
        <v>0.12871823985380801</v>
      </c>
      <c r="AA239" s="1044">
        <f t="shared" si="115"/>
        <v>0.54812293138918422</v>
      </c>
      <c r="AB239" s="1044">
        <f t="shared" si="115"/>
        <v>3.6052999307306394E-3</v>
      </c>
      <c r="AC239" s="1044">
        <f t="shared" si="115"/>
        <v>5.3041873826963166E-3</v>
      </c>
      <c r="AD239" s="1044">
        <f t="shared" si="115"/>
        <v>3.5914916848584173E-2</v>
      </c>
      <c r="AE239" s="1044">
        <f t="shared" si="115"/>
        <v>0.41402204291899536</v>
      </c>
      <c r="AF239" s="1044">
        <f t="shared" si="115"/>
        <v>0.13775323734679923</v>
      </c>
      <c r="AG239" s="1044">
        <f t="shared" si="115"/>
        <v>1.2110190103580276</v>
      </c>
      <c r="AH239" s="1044">
        <f t="shared" si="115"/>
        <v>0.21923818016601529</v>
      </c>
      <c r="AI239" s="1044">
        <f t="shared" si="115"/>
        <v>0.68596294522130585</v>
      </c>
      <c r="AJ239" s="1045">
        <f t="shared" si="115"/>
        <v>0.81704615652646828</v>
      </c>
      <c r="AK239" s="1086">
        <f t="shared" si="115"/>
        <v>0.59757942899571015</v>
      </c>
      <c r="AL239" s="1087">
        <f t="shared" si="115"/>
        <v>0.3809945758572803</v>
      </c>
      <c r="AM239" s="1087">
        <f t="shared" si="115"/>
        <v>0.37790697453682454</v>
      </c>
      <c r="AN239" s="1087">
        <f t="shared" si="115"/>
        <v>1.0804820247207954</v>
      </c>
      <c r="AO239" s="1087">
        <f t="shared" si="115"/>
        <v>0.37681903778415116</v>
      </c>
      <c r="AP239" s="1087">
        <f t="shared" si="115"/>
        <v>0.25370193227472737</v>
      </c>
      <c r="AQ239" s="1087">
        <f t="shared" si="115"/>
        <v>0.15244183646406856</v>
      </c>
      <c r="AR239" s="1087">
        <f t="shared" si="115"/>
        <v>0.53795810534372712</v>
      </c>
      <c r="AS239" s="1087">
        <f t="shared" si="115"/>
        <v>8.3860805465948854E-4</v>
      </c>
      <c r="AT239" s="1087">
        <f t="shared" si="115"/>
        <v>1.8249601360812873E-2</v>
      </c>
      <c r="AU239" s="1087">
        <f t="shared" si="115"/>
        <v>5.336155583104206E-2</v>
      </c>
      <c r="AV239" s="1087">
        <f t="shared" si="115"/>
        <v>0.14377545867180216</v>
      </c>
      <c r="AW239" s="1087">
        <f t="shared" si="115"/>
        <v>1.2110202327062454</v>
      </c>
      <c r="AX239" s="1087">
        <f t="shared" si="115"/>
        <v>0.25014197927549786</v>
      </c>
      <c r="AY239" s="1087">
        <f t="shared" si="115"/>
        <v>0.24766301720488235</v>
      </c>
      <c r="AZ239" s="1087">
        <f t="shared" si="115"/>
        <v>1.1923760347019055</v>
      </c>
      <c r="BA239" s="1087">
        <f t="shared" si="115"/>
        <v>0.69148474703773122</v>
      </c>
      <c r="BB239" s="1088">
        <f t="shared" si="115"/>
        <v>0.79667478552130011</v>
      </c>
      <c r="BC239" s="1043"/>
    </row>
    <row r="240" spans="1:55" ht="12" customHeight="1" outlineLevel="1" x14ac:dyDescent="0.2">
      <c r="A240" s="123"/>
      <c r="B240" s="104" t="s">
        <v>110</v>
      </c>
      <c r="C240" s="104" t="s">
        <v>121</v>
      </c>
      <c r="D240" s="2" t="s">
        <v>143</v>
      </c>
      <c r="E240" s="2" t="s">
        <v>147</v>
      </c>
      <c r="F240" s="105" t="s">
        <v>95</v>
      </c>
      <c r="G240" s="27" t="s">
        <v>1581</v>
      </c>
      <c r="H240" s="106" t="s">
        <v>128</v>
      </c>
      <c r="I240" s="107" t="s">
        <v>127</v>
      </c>
      <c r="J240" s="108">
        <v>6.3623397199999996</v>
      </c>
      <c r="K240" s="109"/>
      <c r="L240" s="109"/>
      <c r="M240" s="131">
        <f t="shared" ca="1" si="107"/>
        <v>1.02920238000845</v>
      </c>
      <c r="N240" s="133">
        <f t="shared" ca="1" si="107"/>
        <v>0.71844645868712798</v>
      </c>
      <c r="O240" s="1059" t="s">
        <v>1583</v>
      </c>
      <c r="P240" s="131">
        <f t="shared" ref="P240:BB240" si="116">IFERROR(P107/_xlfn.MAXIFS(P$19:P$150,$B$19:$B$150,$B240,$F$152:$F$283,"C"),"?")</f>
        <v>1.1691265149012207</v>
      </c>
      <c r="Q240" s="133">
        <f t="shared" si="116"/>
        <v>1.3769690319999432</v>
      </c>
      <c r="R240" s="132">
        <f t="shared" si="116"/>
        <v>0.93485192909366099</v>
      </c>
      <c r="S240" s="1044">
        <f t="shared" si="116"/>
        <v>0.84206940472000524</v>
      </c>
      <c r="T240" s="1044">
        <f t="shared" si="116"/>
        <v>0.63725589812058048</v>
      </c>
      <c r="U240" s="1044">
        <f t="shared" si="116"/>
        <v>0.45987775066314857</v>
      </c>
      <c r="V240" s="1044">
        <f t="shared" si="116"/>
        <v>1.2398588995293574</v>
      </c>
      <c r="W240" s="1044">
        <f t="shared" si="116"/>
        <v>1.057403005681145</v>
      </c>
      <c r="X240" s="1044">
        <f t="shared" si="116"/>
        <v>1.2410984155346494</v>
      </c>
      <c r="Y240" s="1044">
        <f t="shared" si="116"/>
        <v>1.0439623934349656</v>
      </c>
      <c r="Z240" s="1044">
        <f t="shared" si="116"/>
        <v>0.7131639168163072</v>
      </c>
      <c r="AA240" s="1044">
        <f t="shared" si="116"/>
        <v>0.95449902601797276</v>
      </c>
      <c r="AB240" s="1044">
        <f t="shared" si="116"/>
        <v>7.5319200744847908E-3</v>
      </c>
      <c r="AC240" s="1044">
        <f t="shared" si="116"/>
        <v>1.1653779990573595E-2</v>
      </c>
      <c r="AD240" s="1044">
        <f t="shared" si="116"/>
        <v>7.2724888509566474E-2</v>
      </c>
      <c r="AE240" s="1044">
        <f t="shared" si="116"/>
        <v>0.9761273062234993</v>
      </c>
      <c r="AF240" s="1044">
        <f t="shared" si="116"/>
        <v>1.426287094066325</v>
      </c>
      <c r="AG240" s="1044">
        <f t="shared" si="116"/>
        <v>1.4494653388476768</v>
      </c>
      <c r="AH240" s="1044">
        <f t="shared" si="116"/>
        <v>0.26302586617927742</v>
      </c>
      <c r="AI240" s="1044">
        <f t="shared" si="116"/>
        <v>0.87507846517312127</v>
      </c>
      <c r="AJ240" s="1045">
        <f t="shared" si="116"/>
        <v>0.98144022321593383</v>
      </c>
      <c r="AK240" s="1086">
        <f t="shared" si="116"/>
        <v>0.84302911816038995</v>
      </c>
      <c r="AL240" s="1087">
        <f t="shared" si="116"/>
        <v>0.45981627357238303</v>
      </c>
      <c r="AM240" s="1087">
        <f t="shared" si="116"/>
        <v>0.45607297632746829</v>
      </c>
      <c r="AN240" s="1087">
        <f t="shared" si="116"/>
        <v>1.3957419134113032</v>
      </c>
      <c r="AO240" s="1087">
        <f t="shared" si="116"/>
        <v>1.0971073832582077</v>
      </c>
      <c r="AP240" s="1087">
        <f t="shared" si="116"/>
        <v>1.0573256731135965</v>
      </c>
      <c r="AQ240" s="1087">
        <f t="shared" si="116"/>
        <v>0.72266049683427469</v>
      </c>
      <c r="AR240" s="1087">
        <f t="shared" si="116"/>
        <v>0.95884525004568655</v>
      </c>
      <c r="AS240" s="1087">
        <f t="shared" si="116"/>
        <v>1.4544337315637776E-2</v>
      </c>
      <c r="AT240" s="1087">
        <f t="shared" si="116"/>
        <v>3.0612697128427003E-2</v>
      </c>
      <c r="AU240" s="1087">
        <f t="shared" si="116"/>
        <v>8.2699184733896036E-2</v>
      </c>
      <c r="AV240" s="1087">
        <f t="shared" si="116"/>
        <v>0.81893717718957082</v>
      </c>
      <c r="AW240" s="1087">
        <f t="shared" si="116"/>
        <v>1.4494668220851186</v>
      </c>
      <c r="AX240" s="1087">
        <f t="shared" si="116"/>
        <v>0.29939424529499675</v>
      </c>
      <c r="AY240" s="1087">
        <f t="shared" si="116"/>
        <v>0.29642719435152054</v>
      </c>
      <c r="AZ240" s="1087">
        <f t="shared" si="116"/>
        <v>1.4293335595598013</v>
      </c>
      <c r="BA240" s="1087">
        <f t="shared" si="116"/>
        <v>0.88153274207894716</v>
      </c>
      <c r="BB240" s="1088">
        <f t="shared" si="116"/>
        <v>0.95693504017971254</v>
      </c>
      <c r="BC240" s="1043"/>
    </row>
    <row r="241" spans="1:55" ht="12" customHeight="1" outlineLevel="1" x14ac:dyDescent="0.2">
      <c r="A241" s="123"/>
      <c r="B241" s="104" t="s">
        <v>110</v>
      </c>
      <c r="C241" s="104" t="s">
        <v>121</v>
      </c>
      <c r="D241" s="2" t="s">
        <v>143</v>
      </c>
      <c r="E241" s="2" t="s">
        <v>147</v>
      </c>
      <c r="F241" s="105" t="s">
        <v>96</v>
      </c>
      <c r="G241" s="27" t="s">
        <v>1582</v>
      </c>
      <c r="H241" s="106" t="s">
        <v>128</v>
      </c>
      <c r="I241" s="107" t="s">
        <v>1577</v>
      </c>
      <c r="J241" s="129">
        <v>6.3623397199999996</v>
      </c>
      <c r="K241" s="130"/>
      <c r="L241" s="130"/>
      <c r="M241" s="131">
        <f t="shared" ca="1" si="107"/>
        <v>1.1063677827099363</v>
      </c>
      <c r="N241" s="133">
        <f t="shared" ca="1" si="107"/>
        <v>0.81250504056872408</v>
      </c>
      <c r="O241" s="1059" t="s">
        <v>1583</v>
      </c>
      <c r="P241" s="131">
        <f t="shared" ref="P241:BB241" si="117">IFERROR(P108/_xlfn.MAXIFS(P$19:P$150,$B$19:$B$150,$B241,$F$152:$F$283,"C"),"?")</f>
        <v>1.7544211187577519</v>
      </c>
      <c r="Q241" s="133">
        <f t="shared" si="117"/>
        <v>1.4145008338567193</v>
      </c>
      <c r="R241" s="132">
        <f t="shared" si="117"/>
        <v>0.97424648943829673</v>
      </c>
      <c r="S241" s="1044">
        <f t="shared" si="117"/>
        <v>0.93326914642129866</v>
      </c>
      <c r="T241" s="1044">
        <f t="shared" si="117"/>
        <v>0.78654922569590402</v>
      </c>
      <c r="U241" s="1044">
        <f t="shared" si="117"/>
        <v>0.46237475786322513</v>
      </c>
      <c r="V241" s="1044">
        <f t="shared" si="117"/>
        <v>1.3016456468662665</v>
      </c>
      <c r="W241" s="1044">
        <f t="shared" si="117"/>
        <v>1.5345076168185192</v>
      </c>
      <c r="X241" s="1044">
        <f t="shared" si="117"/>
        <v>1.3025980065014746</v>
      </c>
      <c r="Y241" s="1044">
        <f t="shared" si="117"/>
        <v>1.5916460301897422</v>
      </c>
      <c r="Z241" s="1044">
        <f t="shared" si="117"/>
        <v>1.1113504840883015</v>
      </c>
      <c r="AA241" s="1044">
        <f t="shared" si="117"/>
        <v>1.1721237125326269</v>
      </c>
      <c r="AB241" s="1044">
        <f t="shared" si="117"/>
        <v>9.6312200058377966E-3</v>
      </c>
      <c r="AC241" s="1044">
        <f t="shared" si="117"/>
        <v>1.3671020287645313E-2</v>
      </c>
      <c r="AD241" s="1044">
        <f t="shared" si="117"/>
        <v>8.2213152906824349E-2</v>
      </c>
      <c r="AE241" s="1044">
        <f t="shared" si="117"/>
        <v>1.3487789944222861</v>
      </c>
      <c r="AF241" s="1044">
        <f t="shared" si="117"/>
        <v>2.3536751056504981</v>
      </c>
      <c r="AG241" s="1044">
        <f t="shared" si="117"/>
        <v>1.4494653388476768</v>
      </c>
      <c r="AH241" s="1044">
        <f t="shared" si="117"/>
        <v>0.2634306725094715</v>
      </c>
      <c r="AI241" s="1044">
        <f t="shared" si="117"/>
        <v>0.91035319351329913</v>
      </c>
      <c r="AJ241" s="1045">
        <f t="shared" si="117"/>
        <v>0.98373737675584871</v>
      </c>
      <c r="AK241" s="1086">
        <f t="shared" si="117"/>
        <v>0.93461262637882403</v>
      </c>
      <c r="AL241" s="1087">
        <f t="shared" si="117"/>
        <v>0.46229940974738243</v>
      </c>
      <c r="AM241" s="1087">
        <f t="shared" si="117"/>
        <v>0.4585249468294767</v>
      </c>
      <c r="AN241" s="1087">
        <f t="shared" si="117"/>
        <v>1.4626454294383162</v>
      </c>
      <c r="AO241" s="1087">
        <f t="shared" si="117"/>
        <v>1.5668312826805868</v>
      </c>
      <c r="AP241" s="1087">
        <f t="shared" si="117"/>
        <v>1.6063650000325407</v>
      </c>
      <c r="AQ241" s="1087">
        <f t="shared" si="117"/>
        <v>1.1073820644398635</v>
      </c>
      <c r="AR241" s="1087">
        <f t="shared" si="117"/>
        <v>1.1884778621649381</v>
      </c>
      <c r="AS241" s="1087">
        <f t="shared" si="117"/>
        <v>2.3778751303519554E-2</v>
      </c>
      <c r="AT241" s="1087">
        <f t="shared" si="117"/>
        <v>3.4312603123371213E-2</v>
      </c>
      <c r="AU241" s="1087">
        <f t="shared" si="117"/>
        <v>9.0151635960582427E-2</v>
      </c>
      <c r="AV241" s="1087">
        <f t="shared" si="117"/>
        <v>1.312401841809026</v>
      </c>
      <c r="AW241" s="1087">
        <f t="shared" si="117"/>
        <v>1.4494668220851186</v>
      </c>
      <c r="AX241" s="1087">
        <f t="shared" si="117"/>
        <v>0.29939424529499675</v>
      </c>
      <c r="AY241" s="1087">
        <f t="shared" si="117"/>
        <v>0.29642719435152054</v>
      </c>
      <c r="AZ241" s="1087">
        <f t="shared" si="117"/>
        <v>1.4307574916817567</v>
      </c>
      <c r="BA241" s="1087">
        <f t="shared" si="117"/>
        <v>0.91670647702772334</v>
      </c>
      <c r="BB241" s="1088">
        <f t="shared" si="117"/>
        <v>0.95915209053092432</v>
      </c>
      <c r="BC241" s="1043"/>
    </row>
    <row r="242" spans="1:55" ht="12" customHeight="1" outlineLevel="1" x14ac:dyDescent="0.2">
      <c r="A242" s="123"/>
      <c r="B242" s="88" t="s">
        <v>111</v>
      </c>
      <c r="C242" s="88" t="s">
        <v>121</v>
      </c>
      <c r="D242" s="89" t="s">
        <v>148</v>
      </c>
      <c r="E242" s="89" t="s">
        <v>149</v>
      </c>
      <c r="F242" s="90" t="s">
        <v>92</v>
      </c>
      <c r="G242" s="18" t="s">
        <v>126</v>
      </c>
      <c r="H242" s="91" t="s">
        <v>127</v>
      </c>
      <c r="I242" s="92" t="s">
        <v>127</v>
      </c>
      <c r="J242" s="93">
        <v>0.76959932000000009</v>
      </c>
      <c r="K242" s="94"/>
      <c r="L242" s="94"/>
      <c r="M242" s="126">
        <f t="shared" ca="1" si="107"/>
        <v>1</v>
      </c>
      <c r="N242" s="128">
        <f t="shared" ca="1" si="107"/>
        <v>1</v>
      </c>
      <c r="O242" s="1058" t="s">
        <v>1583</v>
      </c>
      <c r="P242" s="126">
        <f t="shared" ref="P242:BB242" si="118">IFERROR(P109/_xlfn.MAXIFS(P$19:P$150,$B$19:$B$150,$B242,$F$152:$F$283,"C"),"?")</f>
        <v>1</v>
      </c>
      <c r="Q242" s="128">
        <f t="shared" si="118"/>
        <v>1</v>
      </c>
      <c r="R242" s="127">
        <f t="shared" si="118"/>
        <v>1</v>
      </c>
      <c r="S242" s="1041">
        <f t="shared" si="118"/>
        <v>1</v>
      </c>
      <c r="T242" s="1041">
        <f t="shared" si="118"/>
        <v>1</v>
      </c>
      <c r="U242" s="1041">
        <f t="shared" si="118"/>
        <v>1</v>
      </c>
      <c r="V242" s="1041">
        <f t="shared" si="118"/>
        <v>1</v>
      </c>
      <c r="W242" s="1041">
        <f t="shared" si="118"/>
        <v>1</v>
      </c>
      <c r="X242" s="1041">
        <f t="shared" si="118"/>
        <v>1</v>
      </c>
      <c r="Y242" s="1041">
        <f t="shared" si="118"/>
        <v>1</v>
      </c>
      <c r="Z242" s="1041">
        <f t="shared" si="118"/>
        <v>1</v>
      </c>
      <c r="AA242" s="1041">
        <f t="shared" si="118"/>
        <v>1</v>
      </c>
      <c r="AB242" s="1041">
        <f t="shared" si="118"/>
        <v>1</v>
      </c>
      <c r="AC242" s="1041">
        <f t="shared" si="118"/>
        <v>1</v>
      </c>
      <c r="AD242" s="1041">
        <f t="shared" si="118"/>
        <v>1</v>
      </c>
      <c r="AE242" s="1041">
        <f t="shared" si="118"/>
        <v>1</v>
      </c>
      <c r="AF242" s="1041">
        <f t="shared" si="118"/>
        <v>1</v>
      </c>
      <c r="AG242" s="1041">
        <f t="shared" si="118"/>
        <v>1</v>
      </c>
      <c r="AH242" s="1041">
        <f t="shared" si="118"/>
        <v>1</v>
      </c>
      <c r="AI242" s="1041">
        <f t="shared" si="118"/>
        <v>1</v>
      </c>
      <c r="AJ242" s="1042">
        <f t="shared" si="118"/>
        <v>1</v>
      </c>
      <c r="AK242" s="1083">
        <f t="shared" si="118"/>
        <v>1</v>
      </c>
      <c r="AL242" s="1084">
        <f t="shared" si="118"/>
        <v>1</v>
      </c>
      <c r="AM242" s="1084">
        <f t="shared" si="118"/>
        <v>1</v>
      </c>
      <c r="AN242" s="1084">
        <f t="shared" si="118"/>
        <v>1</v>
      </c>
      <c r="AO242" s="1084">
        <f t="shared" si="118"/>
        <v>1</v>
      </c>
      <c r="AP242" s="1084">
        <f t="shared" si="118"/>
        <v>1</v>
      </c>
      <c r="AQ242" s="1084">
        <f t="shared" si="118"/>
        <v>1</v>
      </c>
      <c r="AR242" s="1084">
        <f t="shared" si="118"/>
        <v>1</v>
      </c>
      <c r="AS242" s="1084">
        <f t="shared" si="118"/>
        <v>1</v>
      </c>
      <c r="AT242" s="1084">
        <f t="shared" si="118"/>
        <v>1</v>
      </c>
      <c r="AU242" s="1084">
        <f t="shared" si="118"/>
        <v>1</v>
      </c>
      <c r="AV242" s="1084">
        <f t="shared" si="118"/>
        <v>1</v>
      </c>
      <c r="AW242" s="1084">
        <f t="shared" si="118"/>
        <v>1</v>
      </c>
      <c r="AX242" s="1084">
        <f t="shared" si="118"/>
        <v>1</v>
      </c>
      <c r="AY242" s="1084">
        <f t="shared" si="118"/>
        <v>1</v>
      </c>
      <c r="AZ242" s="1084">
        <f t="shared" si="118"/>
        <v>1</v>
      </c>
      <c r="BA242" s="1084">
        <f t="shared" si="118"/>
        <v>1</v>
      </c>
      <c r="BB242" s="1085">
        <f t="shared" si="118"/>
        <v>1</v>
      </c>
      <c r="BC242" s="1043"/>
    </row>
    <row r="243" spans="1:55" ht="12" customHeight="1" outlineLevel="1" x14ac:dyDescent="0.2">
      <c r="A243" s="123"/>
      <c r="B243" s="104" t="s">
        <v>111</v>
      </c>
      <c r="C243" s="104" t="s">
        <v>121</v>
      </c>
      <c r="D243" s="2" t="s">
        <v>148</v>
      </c>
      <c r="E243" s="2" t="s">
        <v>149</v>
      </c>
      <c r="F243" s="105" t="s">
        <v>122</v>
      </c>
      <c r="G243" s="27" t="s">
        <v>1579</v>
      </c>
      <c r="H243" s="106" t="s">
        <v>128</v>
      </c>
      <c r="I243" s="107" t="s">
        <v>129</v>
      </c>
      <c r="J243" s="108">
        <v>0.76959932000000009</v>
      </c>
      <c r="K243" s="109"/>
      <c r="L243" s="109"/>
      <c r="M243" s="131">
        <f t="shared" ca="1" si="107"/>
        <v>3.7215024498386611</v>
      </c>
      <c r="N243" s="133">
        <f t="shared" ca="1" si="107"/>
        <v>0.17253185886265346</v>
      </c>
      <c r="O243" s="1059" t="s">
        <v>1583</v>
      </c>
      <c r="P243" s="131">
        <f t="shared" ref="P243:BB243" si="119">IFERROR(P110/_xlfn.MAXIFS(P$19:P$150,$B$19:$B$150,$B243,$F$152:$F$283,"C"),"?")</f>
        <v>0.35839160933644876</v>
      </c>
      <c r="Q243" s="133">
        <f t="shared" si="119"/>
        <v>1.0871561838311354</v>
      </c>
      <c r="R243" s="132">
        <f t="shared" si="119"/>
        <v>0.74336913981143982</v>
      </c>
      <c r="S243" s="1044">
        <f t="shared" si="119"/>
        <v>0.53535015438749556</v>
      </c>
      <c r="T243" s="1044">
        <f t="shared" si="119"/>
        <v>0.27259788843926791</v>
      </c>
      <c r="U243" s="1044">
        <f t="shared" si="119"/>
        <v>0.46313072760193541</v>
      </c>
      <c r="V243" s="1044">
        <f t="shared" si="119"/>
        <v>1.0247702676833434</v>
      </c>
      <c r="W243" s="1044">
        <f t="shared" si="119"/>
        <v>0.36960315798112903</v>
      </c>
      <c r="X243" s="1044">
        <f t="shared" si="119"/>
        <v>1.0261908308068373</v>
      </c>
      <c r="Y243" s="1044">
        <f t="shared" si="119"/>
        <v>0.22477709566741924</v>
      </c>
      <c r="Z243" s="1044">
        <f t="shared" si="119"/>
        <v>6.6945314160986619E-2</v>
      </c>
      <c r="AA243" s="1044">
        <f t="shared" si="119"/>
        <v>0.48350355356317942</v>
      </c>
      <c r="AB243" s="1044">
        <f t="shared" si="119"/>
        <v>3.5549324500783728E-3</v>
      </c>
      <c r="AC243" s="1044">
        <f t="shared" si="119"/>
        <v>1.9472549949827661E-3</v>
      </c>
      <c r="AD243" s="1044">
        <f t="shared" si="119"/>
        <v>9.7139853695484262E-3</v>
      </c>
      <c r="AE243" s="1044">
        <f t="shared" si="119"/>
        <v>0.39201916300521539</v>
      </c>
      <c r="AF243" s="1044">
        <f t="shared" si="119"/>
        <v>0.19157555909233698</v>
      </c>
      <c r="AG243" s="1044">
        <f t="shared" si="119"/>
        <v>1.294096733815187</v>
      </c>
      <c r="AH243" s="1044">
        <f t="shared" si="119"/>
        <v>0.13998512070511462</v>
      </c>
      <c r="AI243" s="1044">
        <f t="shared" si="119"/>
        <v>0.6931504079680737</v>
      </c>
      <c r="AJ243" s="1045">
        <f t="shared" si="119"/>
        <v>1.2934595434195375</v>
      </c>
      <c r="AK243" s="1086">
        <f t="shared" si="119"/>
        <v>0.53543117210887836</v>
      </c>
      <c r="AL243" s="1087">
        <f t="shared" si="119"/>
        <v>0.46302768509504055</v>
      </c>
      <c r="AM243" s="1087">
        <f t="shared" si="119"/>
        <v>0.45757599630424112</v>
      </c>
      <c r="AN243" s="1087">
        <f t="shared" si="119"/>
        <v>1.1851847442869976</v>
      </c>
      <c r="AO243" s="1087">
        <f t="shared" si="119"/>
        <v>0.42378136228146368</v>
      </c>
      <c r="AP243" s="1087">
        <f t="shared" si="119"/>
        <v>0.24097692293461181</v>
      </c>
      <c r="AQ243" s="1087">
        <f t="shared" si="119"/>
        <v>8.0567638457125085E-2</v>
      </c>
      <c r="AR243" s="1087">
        <f t="shared" si="119"/>
        <v>0.47711952981122352</v>
      </c>
      <c r="AS243" s="1087">
        <f t="shared" si="119"/>
        <v>2.8893540411919458E-4</v>
      </c>
      <c r="AT243" s="1087">
        <f t="shared" si="119"/>
        <v>3.1034691446678404E-3</v>
      </c>
      <c r="AU243" s="1087">
        <f t="shared" si="119"/>
        <v>1.5256041132323345E-2</v>
      </c>
      <c r="AV243" s="1087">
        <f t="shared" si="119"/>
        <v>8.3000271945185986E-2</v>
      </c>
      <c r="AW243" s="1087">
        <f t="shared" si="119"/>
        <v>1.2941005783512227</v>
      </c>
      <c r="AX243" s="1087">
        <f t="shared" si="119"/>
        <v>0.22838729648751857</v>
      </c>
      <c r="AY243" s="1087">
        <f t="shared" si="119"/>
        <v>0.22261852920312622</v>
      </c>
      <c r="AZ243" s="1087">
        <f t="shared" si="119"/>
        <v>1.2469601512943171</v>
      </c>
      <c r="BA243" s="1087">
        <f t="shared" si="119"/>
        <v>0.70263088539649721</v>
      </c>
      <c r="BB243" s="1088">
        <f t="shared" si="119"/>
        <v>1.2931649056082744</v>
      </c>
      <c r="BC243" s="1043"/>
    </row>
    <row r="244" spans="1:55" ht="12" customHeight="1" outlineLevel="1" x14ac:dyDescent="0.2">
      <c r="A244" s="123"/>
      <c r="B244" s="104" t="s">
        <v>111</v>
      </c>
      <c r="C244" s="104" t="s">
        <v>121</v>
      </c>
      <c r="D244" s="2" t="s">
        <v>148</v>
      </c>
      <c r="E244" s="2" t="s">
        <v>149</v>
      </c>
      <c r="F244" s="105" t="s">
        <v>93</v>
      </c>
      <c r="G244" s="27" t="s">
        <v>1578</v>
      </c>
      <c r="H244" s="106" t="s">
        <v>130</v>
      </c>
      <c r="I244" s="107" t="s">
        <v>129</v>
      </c>
      <c r="J244" s="108">
        <v>0.76959932000000009</v>
      </c>
      <c r="K244" s="109"/>
      <c r="L244" s="109"/>
      <c r="M244" s="131">
        <f t="shared" ca="1" si="107"/>
        <v>3.767899886992649</v>
      </c>
      <c r="N244" s="133">
        <f t="shared" ca="1" si="107"/>
        <v>0.26219530565759352</v>
      </c>
      <c r="O244" s="1059" t="s">
        <v>1583</v>
      </c>
      <c r="P244" s="131">
        <f t="shared" ref="P244:BB244" si="120">IFERROR(P111/_xlfn.MAXIFS(P$19:P$150,$B$19:$B$150,$B244,$F$152:$F$283,"C"),"?")</f>
        <v>0.54941663656542983</v>
      </c>
      <c r="Q244" s="133">
        <f t="shared" si="120"/>
        <v>1.6515269586696824</v>
      </c>
      <c r="R244" s="132">
        <f t="shared" si="120"/>
        <v>1.1292710375087143</v>
      </c>
      <c r="S244" s="1044">
        <f t="shared" si="120"/>
        <v>0.81326408507434089</v>
      </c>
      <c r="T244" s="1044">
        <f t="shared" si="120"/>
        <v>0.414110410431628</v>
      </c>
      <c r="U244" s="1044">
        <f t="shared" si="120"/>
        <v>0.70355370967904951</v>
      </c>
      <c r="V244" s="1044">
        <f t="shared" si="120"/>
        <v>1.5567546558008567</v>
      </c>
      <c r="W244" s="1044">
        <f t="shared" si="120"/>
        <v>0.56147359326274482</v>
      </c>
      <c r="X244" s="1044">
        <f t="shared" si="120"/>
        <v>1.5589126921730005</v>
      </c>
      <c r="Y244" s="1044">
        <f t="shared" si="120"/>
        <v>0.34146461902432601</v>
      </c>
      <c r="Z244" s="1044">
        <f t="shared" si="120"/>
        <v>0.10169833575697806</v>
      </c>
      <c r="AA244" s="1044">
        <f t="shared" si="120"/>
        <v>0.73450260459196459</v>
      </c>
      <c r="AB244" s="1044">
        <f t="shared" si="120"/>
        <v>5.4003886514827808E-3</v>
      </c>
      <c r="AC244" s="1044">
        <f t="shared" si="120"/>
        <v>2.97009415319657E-3</v>
      </c>
      <c r="AD244" s="1044">
        <f t="shared" si="120"/>
        <v>1.4787621402425411E-2</v>
      </c>
      <c r="AE244" s="1044">
        <f t="shared" si="120"/>
        <v>0.6089607293536794</v>
      </c>
      <c r="AF244" s="1044">
        <f t="shared" si="120"/>
        <v>0.30494549499566215</v>
      </c>
      <c r="AG244" s="1044">
        <f t="shared" si="120"/>
        <v>1.9658953725467072</v>
      </c>
      <c r="AH244" s="1044">
        <f t="shared" si="120"/>
        <v>0.21265497444279138</v>
      </c>
      <c r="AI244" s="1044">
        <f t="shared" si="120"/>
        <v>1.0529825114859264</v>
      </c>
      <c r="AJ244" s="1045">
        <f t="shared" si="120"/>
        <v>1.9649275234985266</v>
      </c>
      <c r="AK244" s="1086">
        <f t="shared" si="120"/>
        <v>0.81338716004384193</v>
      </c>
      <c r="AL244" s="1087">
        <f t="shared" si="120"/>
        <v>0.70339717860003437</v>
      </c>
      <c r="AM244" s="1087">
        <f t="shared" si="120"/>
        <v>0.69511539565293212</v>
      </c>
      <c r="AN244" s="1087">
        <f t="shared" si="120"/>
        <v>1.8004443792325264</v>
      </c>
      <c r="AO244" s="1087">
        <f t="shared" si="120"/>
        <v>0.64377709582499487</v>
      </c>
      <c r="AP244" s="1087">
        <f t="shared" si="120"/>
        <v>0.36607419130543323</v>
      </c>
      <c r="AQ244" s="1087">
        <f t="shared" si="120"/>
        <v>0.1223923581801182</v>
      </c>
      <c r="AR244" s="1087">
        <f t="shared" si="120"/>
        <v>0.72480448418348942</v>
      </c>
      <c r="AS244" s="1087">
        <f t="shared" si="120"/>
        <v>4.8027868235393166E-4</v>
      </c>
      <c r="AT244" s="1087">
        <f t="shared" si="120"/>
        <v>4.7297254125689223E-3</v>
      </c>
      <c r="AU244" s="1087">
        <f t="shared" si="120"/>
        <v>2.3208690093338265E-2</v>
      </c>
      <c r="AV244" s="1087">
        <f t="shared" si="120"/>
        <v>0.13301940077522464</v>
      </c>
      <c r="AW244" s="1087">
        <f t="shared" si="120"/>
        <v>1.9659012287627771</v>
      </c>
      <c r="AX244" s="1087">
        <f t="shared" si="120"/>
        <v>0.34694896132809255</v>
      </c>
      <c r="AY244" s="1087">
        <f t="shared" si="120"/>
        <v>0.33818549300960787</v>
      </c>
      <c r="AZ244" s="1087">
        <f t="shared" si="120"/>
        <v>1.894288978468414</v>
      </c>
      <c r="BA244" s="1087">
        <f t="shared" si="120"/>
        <v>1.0673845032847273</v>
      </c>
      <c r="BB244" s="1088">
        <f t="shared" si="120"/>
        <v>1.9644799131122024</v>
      </c>
      <c r="BC244" s="1043"/>
    </row>
    <row r="245" spans="1:55" ht="12" customHeight="1" outlineLevel="1" x14ac:dyDescent="0.2">
      <c r="A245" s="123"/>
      <c r="B245" s="104" t="s">
        <v>111</v>
      </c>
      <c r="C245" s="104" t="s">
        <v>121</v>
      </c>
      <c r="D245" s="2" t="s">
        <v>148</v>
      </c>
      <c r="E245" s="2" t="s">
        <v>149</v>
      </c>
      <c r="F245" s="105" t="s">
        <v>94</v>
      </c>
      <c r="G245" s="27" t="s">
        <v>1580</v>
      </c>
      <c r="H245" s="106" t="s">
        <v>131</v>
      </c>
      <c r="I245" s="107" t="s">
        <v>129</v>
      </c>
      <c r="J245" s="108">
        <v>0.76959932000000009</v>
      </c>
      <c r="K245" s="109"/>
      <c r="L245" s="109"/>
      <c r="M245" s="131">
        <f t="shared" ca="1" si="107"/>
        <v>3.6986846831078628</v>
      </c>
      <c r="N245" s="133">
        <f t="shared" ca="1" si="107"/>
        <v>0.12843632818805784</v>
      </c>
      <c r="O245" s="1059" t="s">
        <v>1583</v>
      </c>
      <c r="P245" s="131">
        <f t="shared" ref="P245:BB245" si="121">IFERROR(P112/_xlfn.MAXIFS(P$19:P$150,$B$19:$B$150,$B245,$F$152:$F$283,"C"),"?")</f>
        <v>0.26445503428519807</v>
      </c>
      <c r="Q245" s="133">
        <f t="shared" si="121"/>
        <v>0.80960368412551509</v>
      </c>
      <c r="R245" s="132">
        <f t="shared" si="121"/>
        <v>0.55358601528434237</v>
      </c>
      <c r="S245" s="1044">
        <f t="shared" si="121"/>
        <v>0.39867455648040012</v>
      </c>
      <c r="T245" s="1044">
        <f t="shared" si="121"/>
        <v>0.20300328872841192</v>
      </c>
      <c r="U245" s="1044">
        <f t="shared" si="121"/>
        <v>0.34489283643947266</v>
      </c>
      <c r="V245" s="1044">
        <f t="shared" si="121"/>
        <v>0.76314505254181797</v>
      </c>
      <c r="W245" s="1044">
        <f t="shared" si="121"/>
        <v>0.27524298648258838</v>
      </c>
      <c r="X245" s="1044">
        <f t="shared" si="121"/>
        <v>0.76420295205912347</v>
      </c>
      <c r="Y245" s="1044">
        <f t="shared" si="121"/>
        <v>0.16739120314521724</v>
      </c>
      <c r="Z245" s="1044">
        <f t="shared" si="121"/>
        <v>4.9854086566677912E-2</v>
      </c>
      <c r="AA245" s="1044">
        <f t="shared" si="121"/>
        <v>0.36006447128105723</v>
      </c>
      <c r="AB245" s="1044">
        <f t="shared" si="121"/>
        <v>2.6473535030705217E-3</v>
      </c>
      <c r="AC245" s="1044">
        <f t="shared" si="121"/>
        <v>1.4442507546646136E-3</v>
      </c>
      <c r="AD245" s="1044">
        <f t="shared" si="121"/>
        <v>7.2188646512538991E-3</v>
      </c>
      <c r="AE245" s="1044">
        <f t="shared" si="121"/>
        <v>0.28535040555077845</v>
      </c>
      <c r="AF245" s="1044">
        <f t="shared" si="121"/>
        <v>0.13584316642304686</v>
      </c>
      <c r="AG245" s="1044">
        <f t="shared" si="121"/>
        <v>0.96371210269951213</v>
      </c>
      <c r="AH245" s="1044">
        <f t="shared" si="121"/>
        <v>0.10424673343559332</v>
      </c>
      <c r="AI245" s="1044">
        <f t="shared" si="121"/>
        <v>0.51618819656745785</v>
      </c>
      <c r="AJ245" s="1045">
        <f t="shared" si="121"/>
        <v>0.96323764921172195</v>
      </c>
      <c r="AK245" s="1086">
        <f t="shared" si="121"/>
        <v>0.39873488937322549</v>
      </c>
      <c r="AL245" s="1087">
        <f t="shared" si="121"/>
        <v>0.34481610598804685</v>
      </c>
      <c r="AM245" s="1087">
        <f t="shared" si="121"/>
        <v>0.34075624126736898</v>
      </c>
      <c r="AN245" s="1087">
        <f t="shared" si="121"/>
        <v>0.88260553603043057</v>
      </c>
      <c r="AO245" s="1087">
        <f t="shared" si="121"/>
        <v>0.31558942148380847</v>
      </c>
      <c r="AP245" s="1087">
        <f t="shared" si="121"/>
        <v>0.17945519548995223</v>
      </c>
      <c r="AQ245" s="1087">
        <f t="shared" si="121"/>
        <v>5.9998613899992274E-2</v>
      </c>
      <c r="AR245" s="1087">
        <f t="shared" si="121"/>
        <v>0.35531028269096915</v>
      </c>
      <c r="AS245" s="1087">
        <f t="shared" si="121"/>
        <v>1.9489966239523605E-4</v>
      </c>
      <c r="AT245" s="1087">
        <f t="shared" si="121"/>
        <v>2.303714573518197E-3</v>
      </c>
      <c r="AU245" s="1087">
        <f t="shared" si="121"/>
        <v>1.1345050391698542E-2</v>
      </c>
      <c r="AV245" s="1087">
        <f t="shared" si="121"/>
        <v>5.8412224600630551E-2</v>
      </c>
      <c r="AW245" s="1087">
        <f t="shared" si="121"/>
        <v>0.96371500284147082</v>
      </c>
      <c r="AX245" s="1087">
        <f t="shared" si="121"/>
        <v>0.17007971839211686</v>
      </c>
      <c r="AY245" s="1087">
        <f t="shared" si="121"/>
        <v>0.1657837234161294</v>
      </c>
      <c r="AZ245" s="1087">
        <f t="shared" si="121"/>
        <v>0.92860955570900916</v>
      </c>
      <c r="BA245" s="1087">
        <f t="shared" si="121"/>
        <v>0.52324829333734291</v>
      </c>
      <c r="BB245" s="1088">
        <f t="shared" si="121"/>
        <v>0.9630182242900811</v>
      </c>
      <c r="BC245" s="1043"/>
    </row>
    <row r="246" spans="1:55" ht="12" customHeight="1" outlineLevel="1" x14ac:dyDescent="0.2">
      <c r="A246" s="123"/>
      <c r="B246" s="104" t="s">
        <v>111</v>
      </c>
      <c r="C246" s="104" t="s">
        <v>121</v>
      </c>
      <c r="D246" s="2" t="s">
        <v>148</v>
      </c>
      <c r="E246" s="2" t="s">
        <v>149</v>
      </c>
      <c r="F246" s="105" t="s">
        <v>95</v>
      </c>
      <c r="G246" s="27" t="s">
        <v>1581</v>
      </c>
      <c r="H246" s="106" t="s">
        <v>128</v>
      </c>
      <c r="I246" s="107" t="s">
        <v>127</v>
      </c>
      <c r="J246" s="108">
        <v>0.76959932000000009</v>
      </c>
      <c r="K246" s="109"/>
      <c r="L246" s="109"/>
      <c r="M246" s="131">
        <f t="shared" ca="1" si="107"/>
        <v>3.7377470879279024</v>
      </c>
      <c r="N246" s="133">
        <f t="shared" ca="1" si="107"/>
        <v>0.2039247618409715</v>
      </c>
      <c r="O246" s="1059" t="s">
        <v>1583</v>
      </c>
      <c r="P246" s="131">
        <f t="shared" ref="P246:BB246" si="122">IFERROR(P113/_xlfn.MAXIFS(P$19:P$150,$B$19:$B$150,$B246,$F$152:$F$283,"C"),"?")</f>
        <v>0.79251558510515929</v>
      </c>
      <c r="Q246" s="133">
        <f t="shared" si="122"/>
        <v>1.1279713679146524</v>
      </c>
      <c r="R246" s="132">
        <f t="shared" si="122"/>
        <v>0.76441442830785822</v>
      </c>
      <c r="S246" s="1044">
        <f t="shared" si="122"/>
        <v>0.58694512935588006</v>
      </c>
      <c r="T246" s="1044">
        <f t="shared" si="122"/>
        <v>0.35481158818219349</v>
      </c>
      <c r="U246" s="1044">
        <f t="shared" si="122"/>
        <v>0.46447871131190999</v>
      </c>
      <c r="V246" s="1044">
        <f t="shared" si="122"/>
        <v>1.0597337484385563</v>
      </c>
      <c r="W246" s="1044">
        <f t="shared" si="122"/>
        <v>0.712296635628764</v>
      </c>
      <c r="X246" s="1044">
        <f t="shared" si="122"/>
        <v>1.0609871978843006</v>
      </c>
      <c r="Y246" s="1044">
        <f t="shared" si="122"/>
        <v>0.64570848188433128</v>
      </c>
      <c r="Z246" s="1044">
        <f t="shared" si="122"/>
        <v>0.30901356310125522</v>
      </c>
      <c r="AA246" s="1044">
        <f t="shared" si="122"/>
        <v>0.62369191037951743</v>
      </c>
      <c r="AB246" s="1044">
        <f t="shared" si="122"/>
        <v>4.5961845016643911E-3</v>
      </c>
      <c r="AC246" s="1044">
        <f t="shared" si="122"/>
        <v>3.5190294432187489E-3</v>
      </c>
      <c r="AD246" s="1044">
        <f t="shared" si="122"/>
        <v>1.586967548555037E-2</v>
      </c>
      <c r="AE246" s="1044">
        <f t="shared" si="122"/>
        <v>0.61434294902679998</v>
      </c>
      <c r="AF246" s="1044">
        <f t="shared" si="122"/>
        <v>1.0430743958237862</v>
      </c>
      <c r="AG246" s="1044">
        <f t="shared" si="122"/>
        <v>1.294096733815187</v>
      </c>
      <c r="AH246" s="1044">
        <f t="shared" si="122"/>
        <v>0.1401801024699901</v>
      </c>
      <c r="AI246" s="1044">
        <f t="shared" si="122"/>
        <v>0.71187226300332707</v>
      </c>
      <c r="AJ246" s="1045">
        <f t="shared" si="122"/>
        <v>1.2934680883064196</v>
      </c>
      <c r="AK246" s="1086">
        <f t="shared" si="122"/>
        <v>0.58729176606656608</v>
      </c>
      <c r="AL246" s="1087">
        <f t="shared" si="122"/>
        <v>0.46436812747628664</v>
      </c>
      <c r="AM246" s="1087">
        <f t="shared" si="122"/>
        <v>0.45889652613702764</v>
      </c>
      <c r="AN246" s="1087">
        <f t="shared" si="122"/>
        <v>1.2239785298988186</v>
      </c>
      <c r="AO246" s="1087">
        <f t="shared" si="122"/>
        <v>0.76338902047516466</v>
      </c>
      <c r="AP246" s="1087">
        <f t="shared" si="122"/>
        <v>0.6642737785942332</v>
      </c>
      <c r="AQ246" s="1087">
        <f t="shared" si="122"/>
        <v>0.31592564443838256</v>
      </c>
      <c r="AR246" s="1087">
        <f t="shared" si="122"/>
        <v>0.62588908426171863</v>
      </c>
      <c r="AS246" s="1087">
        <f t="shared" si="122"/>
        <v>2.0331421874289751E-3</v>
      </c>
      <c r="AT246" s="1087">
        <f t="shared" si="122"/>
        <v>4.2583942072713923E-3</v>
      </c>
      <c r="AU246" s="1087">
        <f t="shared" si="122"/>
        <v>1.8691256132504396E-2</v>
      </c>
      <c r="AV246" s="1087">
        <f t="shared" si="122"/>
        <v>0.30671113653944687</v>
      </c>
      <c r="AW246" s="1087">
        <f t="shared" si="122"/>
        <v>1.2941005783512227</v>
      </c>
      <c r="AX246" s="1087">
        <f t="shared" si="122"/>
        <v>0.22838729648751857</v>
      </c>
      <c r="AY246" s="1087">
        <f t="shared" si="122"/>
        <v>0.22261852920312622</v>
      </c>
      <c r="AZ246" s="1087">
        <f t="shared" si="122"/>
        <v>1.247986592656281</v>
      </c>
      <c r="BA246" s="1087">
        <f t="shared" si="122"/>
        <v>0.72132726042843676</v>
      </c>
      <c r="BB246" s="1088">
        <f t="shared" si="122"/>
        <v>1.293173331137079</v>
      </c>
      <c r="BC246" s="1043"/>
    </row>
    <row r="247" spans="1:55" ht="12" customHeight="1" outlineLevel="1" x14ac:dyDescent="0.2">
      <c r="A247" s="123"/>
      <c r="B247" s="104" t="s">
        <v>111</v>
      </c>
      <c r="C247" s="104" t="s">
        <v>121</v>
      </c>
      <c r="D247" s="2" t="s">
        <v>148</v>
      </c>
      <c r="E247" s="2" t="s">
        <v>149</v>
      </c>
      <c r="F247" s="105" t="s">
        <v>96</v>
      </c>
      <c r="G247" s="27" t="s">
        <v>1582</v>
      </c>
      <c r="H247" s="106" t="s">
        <v>128</v>
      </c>
      <c r="I247" s="107" t="s">
        <v>1577</v>
      </c>
      <c r="J247" s="129">
        <v>0.76959932000000009</v>
      </c>
      <c r="K247" s="130"/>
      <c r="L247" s="130"/>
      <c r="M247" s="131">
        <f t="shared" ca="1" si="107"/>
        <v>3.7495540595600354</v>
      </c>
      <c r="N247" s="133">
        <f t="shared" ca="1" si="107"/>
        <v>0.22674183618138324</v>
      </c>
      <c r="O247" s="1059" t="s">
        <v>1583</v>
      </c>
      <c r="P247" s="131">
        <f t="shared" ref="P247:BB247" si="123">IFERROR(P114/_xlfn.MAXIFS(P$19:P$150,$B$19:$B$150,$B247,$F$152:$F$283,"C"),"?")</f>
        <v>1.1073964515547006</v>
      </c>
      <c r="Q247" s="133">
        <f t="shared" si="123"/>
        <v>1.1575631523415539</v>
      </c>
      <c r="R247" s="132">
        <f t="shared" si="123"/>
        <v>0.77814891369883266</v>
      </c>
      <c r="S247" s="1044">
        <f t="shared" si="123"/>
        <v>0.62391773024725861</v>
      </c>
      <c r="T247" s="1044">
        <f t="shared" si="123"/>
        <v>0.41475240730441881</v>
      </c>
      <c r="U247" s="1044">
        <f t="shared" si="123"/>
        <v>0.46535842221432594</v>
      </c>
      <c r="V247" s="1044">
        <f t="shared" si="123"/>
        <v>1.0825514741454172</v>
      </c>
      <c r="W247" s="1044">
        <f t="shared" si="123"/>
        <v>0.96169140724834046</v>
      </c>
      <c r="X247" s="1044">
        <f t="shared" si="123"/>
        <v>1.0836958849619875</v>
      </c>
      <c r="Y247" s="1044">
        <f t="shared" si="123"/>
        <v>0.95239767265628128</v>
      </c>
      <c r="Z247" s="1044">
        <f t="shared" si="123"/>
        <v>0.48141220028721404</v>
      </c>
      <c r="AA247" s="1044">
        <f t="shared" si="123"/>
        <v>0.72591411989486343</v>
      </c>
      <c r="AB247" s="1044">
        <f t="shared" si="123"/>
        <v>5.2757220557920906E-3</v>
      </c>
      <c r="AC247" s="1044">
        <f t="shared" si="123"/>
        <v>4.1170719318000017E-3</v>
      </c>
      <c r="AD247" s="1044">
        <f t="shared" si="123"/>
        <v>1.7834859932530728E-2</v>
      </c>
      <c r="AE247" s="1044">
        <f t="shared" si="123"/>
        <v>0.79097109961474177</v>
      </c>
      <c r="AF247" s="1044">
        <f t="shared" si="123"/>
        <v>1.6602693149616305</v>
      </c>
      <c r="AG247" s="1044">
        <f t="shared" si="123"/>
        <v>1.294096733815187</v>
      </c>
      <c r="AH247" s="1044">
        <f t="shared" si="123"/>
        <v>0.14030735721747542</v>
      </c>
      <c r="AI247" s="1044">
        <f t="shared" si="123"/>
        <v>0.724090441052891</v>
      </c>
      <c r="AJ247" s="1045">
        <f t="shared" si="123"/>
        <v>1.2934735898089325</v>
      </c>
      <c r="AK247" s="1086">
        <f t="shared" si="123"/>
        <v>0.62445940411751077</v>
      </c>
      <c r="AL247" s="1087">
        <f t="shared" si="123"/>
        <v>0.46524292009595081</v>
      </c>
      <c r="AM247" s="1087">
        <f t="shared" si="123"/>
        <v>0.45975833313982012</v>
      </c>
      <c r="AN247" s="1087">
        <f t="shared" si="123"/>
        <v>1.2492959650587161</v>
      </c>
      <c r="AO247" s="1087">
        <f t="shared" si="123"/>
        <v>1.0102910565123728</v>
      </c>
      <c r="AP247" s="1087">
        <f t="shared" si="123"/>
        <v>0.97264011699280284</v>
      </c>
      <c r="AQ247" s="1087">
        <f t="shared" si="123"/>
        <v>0.48354273658887742</v>
      </c>
      <c r="AR247" s="1087">
        <f t="shared" si="123"/>
        <v>0.73435311174491624</v>
      </c>
      <c r="AS247" s="1087">
        <f t="shared" si="123"/>
        <v>3.2332456386466877E-3</v>
      </c>
      <c r="AT247" s="1087">
        <f t="shared" si="123"/>
        <v>4.7492814131666226E-3</v>
      </c>
      <c r="AU247" s="1087">
        <f t="shared" si="123"/>
        <v>2.0057858827439101E-2</v>
      </c>
      <c r="AV247" s="1087">
        <f t="shared" si="123"/>
        <v>0.4764228075806336</v>
      </c>
      <c r="AW247" s="1087">
        <f t="shared" si="123"/>
        <v>1.2941005783512227</v>
      </c>
      <c r="AX247" s="1087">
        <f t="shared" si="123"/>
        <v>0.22838729648751857</v>
      </c>
      <c r="AY247" s="1087">
        <f t="shared" si="123"/>
        <v>0.22261852920312622</v>
      </c>
      <c r="AZ247" s="1087">
        <f t="shared" si="123"/>
        <v>1.2486564927101045</v>
      </c>
      <c r="BA247" s="1087">
        <f t="shared" si="123"/>
        <v>0.73352884229402271</v>
      </c>
      <c r="BB247" s="1088">
        <f t="shared" si="123"/>
        <v>1.2931788311350485</v>
      </c>
      <c r="BC247" s="1043"/>
    </row>
    <row r="248" spans="1:55" ht="12" customHeight="1" outlineLevel="1" x14ac:dyDescent="0.2">
      <c r="A248" s="123"/>
      <c r="B248" s="88" t="s">
        <v>112</v>
      </c>
      <c r="C248" s="88" t="s">
        <v>121</v>
      </c>
      <c r="D248" s="89" t="s">
        <v>148</v>
      </c>
      <c r="E248" s="89" t="s">
        <v>150</v>
      </c>
      <c r="F248" s="90" t="s">
        <v>92</v>
      </c>
      <c r="G248" s="18" t="s">
        <v>126</v>
      </c>
      <c r="H248" s="91" t="s">
        <v>127</v>
      </c>
      <c r="I248" s="92" t="s">
        <v>127</v>
      </c>
      <c r="J248" s="93">
        <v>0.44</v>
      </c>
      <c r="K248" s="94"/>
      <c r="L248" s="94"/>
      <c r="M248" s="126">
        <f t="shared" ca="1" si="107"/>
        <v>1</v>
      </c>
      <c r="N248" s="128">
        <f t="shared" ca="1" si="107"/>
        <v>1</v>
      </c>
      <c r="O248" s="1058" t="s">
        <v>1583</v>
      </c>
      <c r="P248" s="126">
        <f t="shared" ref="P248:BB248" si="124">IFERROR(P115/_xlfn.MAXIFS(P$19:P$150,$B$19:$B$150,$B248,$F$152:$F$283,"C"),"?")</f>
        <v>1</v>
      </c>
      <c r="Q248" s="128">
        <f t="shared" si="124"/>
        <v>1</v>
      </c>
      <c r="R248" s="127">
        <f t="shared" si="124"/>
        <v>1</v>
      </c>
      <c r="S248" s="1041">
        <f t="shared" si="124"/>
        <v>1</v>
      </c>
      <c r="T248" s="1041">
        <f t="shared" si="124"/>
        <v>1</v>
      </c>
      <c r="U248" s="1041">
        <f t="shared" si="124"/>
        <v>1</v>
      </c>
      <c r="V248" s="1041">
        <f t="shared" si="124"/>
        <v>1</v>
      </c>
      <c r="W248" s="1041">
        <f t="shared" si="124"/>
        <v>1</v>
      </c>
      <c r="X248" s="1041">
        <f t="shared" si="124"/>
        <v>1</v>
      </c>
      <c r="Y248" s="1041">
        <f t="shared" si="124"/>
        <v>1</v>
      </c>
      <c r="Z248" s="1041">
        <f t="shared" si="124"/>
        <v>1</v>
      </c>
      <c r="AA248" s="1041">
        <f t="shared" si="124"/>
        <v>1</v>
      </c>
      <c r="AB248" s="1041">
        <f t="shared" si="124"/>
        <v>1</v>
      </c>
      <c r="AC248" s="1041">
        <f t="shared" si="124"/>
        <v>1</v>
      </c>
      <c r="AD248" s="1041">
        <f t="shared" si="124"/>
        <v>1</v>
      </c>
      <c r="AE248" s="1041">
        <f t="shared" si="124"/>
        <v>1</v>
      </c>
      <c r="AF248" s="1041">
        <f t="shared" si="124"/>
        <v>1</v>
      </c>
      <c r="AG248" s="1041">
        <f t="shared" si="124"/>
        <v>1</v>
      </c>
      <c r="AH248" s="1041">
        <f t="shared" si="124"/>
        <v>1</v>
      </c>
      <c r="AI248" s="1041">
        <f t="shared" si="124"/>
        <v>1</v>
      </c>
      <c r="AJ248" s="1042">
        <f t="shared" si="124"/>
        <v>1</v>
      </c>
      <c r="AK248" s="1083">
        <f t="shared" si="124"/>
        <v>1</v>
      </c>
      <c r="AL248" s="1084">
        <f t="shared" si="124"/>
        <v>1</v>
      </c>
      <c r="AM248" s="1084">
        <f t="shared" si="124"/>
        <v>1</v>
      </c>
      <c r="AN248" s="1084">
        <f t="shared" si="124"/>
        <v>1</v>
      </c>
      <c r="AO248" s="1084">
        <f t="shared" si="124"/>
        <v>1</v>
      </c>
      <c r="AP248" s="1084">
        <f t="shared" si="124"/>
        <v>1</v>
      </c>
      <c r="AQ248" s="1084">
        <f t="shared" si="124"/>
        <v>1</v>
      </c>
      <c r="AR248" s="1084">
        <f t="shared" si="124"/>
        <v>1</v>
      </c>
      <c r="AS248" s="1084">
        <f t="shared" si="124"/>
        <v>1</v>
      </c>
      <c r="AT248" s="1084">
        <f t="shared" si="124"/>
        <v>1</v>
      </c>
      <c r="AU248" s="1084">
        <f t="shared" si="124"/>
        <v>1</v>
      </c>
      <c r="AV248" s="1084">
        <f t="shared" si="124"/>
        <v>1</v>
      </c>
      <c r="AW248" s="1084">
        <f t="shared" si="124"/>
        <v>1</v>
      </c>
      <c r="AX248" s="1084">
        <f t="shared" si="124"/>
        <v>1</v>
      </c>
      <c r="AY248" s="1084">
        <f t="shared" si="124"/>
        <v>1</v>
      </c>
      <c r="AZ248" s="1084">
        <f t="shared" si="124"/>
        <v>1</v>
      </c>
      <c r="BA248" s="1084">
        <f t="shared" si="124"/>
        <v>1</v>
      </c>
      <c r="BB248" s="1085">
        <f t="shared" si="124"/>
        <v>1</v>
      </c>
      <c r="BC248" s="1043"/>
    </row>
    <row r="249" spans="1:55" ht="12" customHeight="1" outlineLevel="1" x14ac:dyDescent="0.2">
      <c r="A249" s="123"/>
      <c r="B249" s="104" t="s">
        <v>112</v>
      </c>
      <c r="C249" s="104" t="s">
        <v>121</v>
      </c>
      <c r="D249" s="2" t="s">
        <v>148</v>
      </c>
      <c r="E249" s="2" t="s">
        <v>150</v>
      </c>
      <c r="F249" s="105" t="s">
        <v>122</v>
      </c>
      <c r="G249" s="27" t="s">
        <v>1579</v>
      </c>
      <c r="H249" s="106" t="s">
        <v>128</v>
      </c>
      <c r="I249" s="107" t="s">
        <v>129</v>
      </c>
      <c r="J249" s="108">
        <v>0.44</v>
      </c>
      <c r="K249" s="109"/>
      <c r="L249" s="109"/>
      <c r="M249" s="131">
        <f t="shared" ca="1" si="107"/>
        <v>4.0147113769922536</v>
      </c>
      <c r="N249" s="133">
        <f t="shared" ca="1" si="107"/>
        <v>0.54457447735193343</v>
      </c>
      <c r="O249" s="1059" t="s">
        <v>1583</v>
      </c>
      <c r="P249" s="131">
        <f t="shared" ref="P249:BB249" si="125">IFERROR(P116/_xlfn.MAXIFS(P$19:P$150,$B$19:$B$150,$B249,$F$152:$F$283,"C"),"?")</f>
        <v>0.34272170846284988</v>
      </c>
      <c r="Q249" s="133">
        <f t="shared" si="125"/>
        <v>1.0797432485280152</v>
      </c>
      <c r="R249" s="132">
        <f t="shared" si="125"/>
        <v>0.69244832232731124</v>
      </c>
      <c r="S249" s="1044">
        <f t="shared" si="125"/>
        <v>0.57950319648573523</v>
      </c>
      <c r="T249" s="1044">
        <f t="shared" si="125"/>
        <v>0.43507298633738867</v>
      </c>
      <c r="U249" s="1044">
        <f t="shared" si="125"/>
        <v>0.52178307175837124</v>
      </c>
      <c r="V249" s="1044">
        <f t="shared" si="125"/>
        <v>0.96398904888927839</v>
      </c>
      <c r="W249" s="1044">
        <f t="shared" si="125"/>
        <v>0.33368833199857278</v>
      </c>
      <c r="X249" s="1044">
        <f t="shared" si="125"/>
        <v>0.96551591644717327</v>
      </c>
      <c r="Y249" s="1044">
        <f t="shared" si="125"/>
        <v>0.20756517244496075</v>
      </c>
      <c r="Z249" s="1044">
        <f t="shared" si="125"/>
        <v>6.8942875472528448E-2</v>
      </c>
      <c r="AA249" s="1044">
        <f t="shared" si="125"/>
        <v>0.68243830292761309</v>
      </c>
      <c r="AB249" s="1044">
        <f t="shared" si="125"/>
        <v>4.966916951867453E-3</v>
      </c>
      <c r="AC249" s="1044">
        <f t="shared" si="125"/>
        <v>4.4494518843099899E-3</v>
      </c>
      <c r="AD249" s="1044">
        <f t="shared" si="125"/>
        <v>3.6564751647750443E-2</v>
      </c>
      <c r="AE249" s="1044">
        <f t="shared" si="125"/>
        <v>0.37220579913518037</v>
      </c>
      <c r="AF249" s="1044">
        <f t="shared" si="125"/>
        <v>8.1001911930158474E-2</v>
      </c>
      <c r="AG249" s="1044">
        <f t="shared" si="125"/>
        <v>1.256800890824997</v>
      </c>
      <c r="AH249" s="1044">
        <f t="shared" si="125"/>
        <v>0.13047073819512914</v>
      </c>
      <c r="AI249" s="1044">
        <f t="shared" si="125"/>
        <v>0.64608355338110546</v>
      </c>
      <c r="AJ249" s="1045">
        <f t="shared" si="125"/>
        <v>1.2539370709718651</v>
      </c>
      <c r="AK249" s="1086">
        <f t="shared" si="125"/>
        <v>0.57997722347894121</v>
      </c>
      <c r="AL249" s="1087">
        <f t="shared" si="125"/>
        <v>0.5216632453560176</v>
      </c>
      <c r="AM249" s="1087">
        <f t="shared" si="125"/>
        <v>0.51323607234891322</v>
      </c>
      <c r="AN249" s="1087">
        <f t="shared" si="125"/>
        <v>1.1452969477636292</v>
      </c>
      <c r="AO249" s="1087">
        <f t="shared" si="125"/>
        <v>0.38046959762526739</v>
      </c>
      <c r="AP249" s="1087">
        <f t="shared" si="125"/>
        <v>0.22102038363513279</v>
      </c>
      <c r="AQ249" s="1087">
        <f t="shared" si="125"/>
        <v>8.2723184867169217E-2</v>
      </c>
      <c r="AR249" s="1087">
        <f t="shared" si="125"/>
        <v>0.67230160238535142</v>
      </c>
      <c r="AS249" s="1087">
        <f t="shared" si="125"/>
        <v>9.0316939937694026E-4</v>
      </c>
      <c r="AT249" s="1087">
        <f t="shared" si="125"/>
        <v>2.4123546365388118E-2</v>
      </c>
      <c r="AU249" s="1087">
        <f t="shared" si="125"/>
        <v>6.5618694313914427E-2</v>
      </c>
      <c r="AV249" s="1087">
        <f t="shared" si="125"/>
        <v>6.1527190007677937E-2</v>
      </c>
      <c r="AW249" s="1087">
        <f t="shared" si="125"/>
        <v>1.2568041373987502</v>
      </c>
      <c r="AX249" s="1087">
        <f t="shared" si="125"/>
        <v>0.21797938593633473</v>
      </c>
      <c r="AY249" s="1087">
        <f t="shared" si="125"/>
        <v>0.20944246678339068</v>
      </c>
      <c r="AZ249" s="1087">
        <f t="shared" si="125"/>
        <v>1.2038447046761394</v>
      </c>
      <c r="BA249" s="1087">
        <f t="shared" si="125"/>
        <v>0.65789936898845924</v>
      </c>
      <c r="BB249" s="1088">
        <f t="shared" si="125"/>
        <v>1.2535057808475958</v>
      </c>
      <c r="BC249" s="1043"/>
    </row>
    <row r="250" spans="1:55" ht="12" customHeight="1" outlineLevel="1" x14ac:dyDescent="0.2">
      <c r="A250" s="123"/>
      <c r="B250" s="104" t="s">
        <v>112</v>
      </c>
      <c r="C250" s="104" t="s">
        <v>121</v>
      </c>
      <c r="D250" s="2" t="s">
        <v>148</v>
      </c>
      <c r="E250" s="2" t="s">
        <v>150</v>
      </c>
      <c r="F250" s="105" t="s">
        <v>93</v>
      </c>
      <c r="G250" s="27" t="s">
        <v>1578</v>
      </c>
      <c r="H250" s="106" t="s">
        <v>130</v>
      </c>
      <c r="I250" s="107" t="s">
        <v>129</v>
      </c>
      <c r="J250" s="108">
        <v>0.44</v>
      </c>
      <c r="K250" s="109"/>
      <c r="L250" s="109"/>
      <c r="M250" s="131">
        <f t="shared" ca="1" si="107"/>
        <v>4.046980703769175</v>
      </c>
      <c r="N250" s="133">
        <f t="shared" ca="1" si="107"/>
        <v>0.77278406567537361</v>
      </c>
      <c r="O250" s="1059" t="s">
        <v>1583</v>
      </c>
      <c r="P250" s="131">
        <f t="shared" ref="P250:BB250" si="126">IFERROR(P117/_xlfn.MAXIFS(P$19:P$150,$B$19:$B$150,$B250,$F$152:$F$283,"C"),"?")</f>
        <v>0.51045859290955609</v>
      </c>
      <c r="Q250" s="133">
        <f t="shared" si="126"/>
        <v>1.5303307201791805</v>
      </c>
      <c r="R250" s="132">
        <f t="shared" si="126"/>
        <v>0.98141322311918611</v>
      </c>
      <c r="S250" s="1044">
        <f t="shared" si="126"/>
        <v>0.82133510845291202</v>
      </c>
      <c r="T250" s="1044">
        <f t="shared" si="126"/>
        <v>0.6166328624597569</v>
      </c>
      <c r="U250" s="1044">
        <f t="shared" si="126"/>
        <v>0.73952784098905056</v>
      </c>
      <c r="V250" s="1044">
        <f t="shared" si="126"/>
        <v>1.3662703781401369</v>
      </c>
      <c r="W250" s="1044">
        <f t="shared" si="126"/>
        <v>0.47293947998902319</v>
      </c>
      <c r="X250" s="1044">
        <f t="shared" si="126"/>
        <v>1.3684343853047181</v>
      </c>
      <c r="Y250" s="1044">
        <f t="shared" si="126"/>
        <v>0.2941839881318713</v>
      </c>
      <c r="Z250" s="1044">
        <f t="shared" si="126"/>
        <v>9.7713355881626621E-2</v>
      </c>
      <c r="AA250" s="1044">
        <f t="shared" si="126"/>
        <v>0.96722592084960368</v>
      </c>
      <c r="AB250" s="1044">
        <f t="shared" si="126"/>
        <v>7.0396559462514033E-3</v>
      </c>
      <c r="AC250" s="1044">
        <f t="shared" si="126"/>
        <v>6.4055794330513767E-3</v>
      </c>
      <c r="AD250" s="1044">
        <f t="shared" si="126"/>
        <v>5.2262112342808024E-2</v>
      </c>
      <c r="AE250" s="1044">
        <f t="shared" si="126"/>
        <v>0.54507966648175354</v>
      </c>
      <c r="AF250" s="1044">
        <f t="shared" si="126"/>
        <v>0.19573893579491541</v>
      </c>
      <c r="AG250" s="1044">
        <f t="shared" si="126"/>
        <v>1.7812752610462785</v>
      </c>
      <c r="AH250" s="1044">
        <f t="shared" si="126"/>
        <v>0.18491734806265828</v>
      </c>
      <c r="AI250" s="1044">
        <f t="shared" si="126"/>
        <v>0.91570005112765585</v>
      </c>
      <c r="AJ250" s="1045">
        <f t="shared" si="126"/>
        <v>1.7772163055043633</v>
      </c>
      <c r="AK250" s="1086">
        <f t="shared" si="126"/>
        <v>0.82200693776798284</v>
      </c>
      <c r="AL250" s="1087">
        <f t="shared" si="126"/>
        <v>0.73935801908147436</v>
      </c>
      <c r="AM250" s="1087">
        <f t="shared" si="126"/>
        <v>0.72741410881420476</v>
      </c>
      <c r="AN250" s="1087">
        <f t="shared" si="126"/>
        <v>1.6232397325174872</v>
      </c>
      <c r="AO250" s="1087">
        <f t="shared" si="126"/>
        <v>0.53924297986009995</v>
      </c>
      <c r="AP250" s="1087">
        <f t="shared" si="126"/>
        <v>0.31325417121226035</v>
      </c>
      <c r="AQ250" s="1087">
        <f t="shared" si="126"/>
        <v>0.11724431797206925</v>
      </c>
      <c r="AR250" s="1087">
        <f t="shared" si="126"/>
        <v>0.95285915715783698</v>
      </c>
      <c r="AS250" s="1087">
        <f t="shared" si="126"/>
        <v>2.1778046659493601E-3</v>
      </c>
      <c r="AT250" s="1087">
        <f t="shared" si="126"/>
        <v>3.446471252169131E-2</v>
      </c>
      <c r="AU250" s="1087">
        <f t="shared" si="126"/>
        <v>9.3327413418379704E-2</v>
      </c>
      <c r="AV250" s="1087">
        <f t="shared" si="126"/>
        <v>0.13360232945316985</v>
      </c>
      <c r="AW250" s="1087">
        <f t="shared" si="126"/>
        <v>1.7812798448417806</v>
      </c>
      <c r="AX250" s="1087">
        <f t="shared" si="126"/>
        <v>0.30894415157413069</v>
      </c>
      <c r="AY250" s="1087">
        <f t="shared" si="126"/>
        <v>0.29684469483075426</v>
      </c>
      <c r="AZ250" s="1087">
        <f t="shared" si="126"/>
        <v>1.7062198623811384</v>
      </c>
      <c r="BA250" s="1087">
        <f t="shared" si="126"/>
        <v>0.93244670241544181</v>
      </c>
      <c r="BB250" s="1088">
        <f t="shared" si="126"/>
        <v>1.7766050399417794</v>
      </c>
      <c r="BC250" s="1043"/>
    </row>
    <row r="251" spans="1:55" ht="12" customHeight="1" outlineLevel="1" x14ac:dyDescent="0.2">
      <c r="A251" s="123"/>
      <c r="B251" s="104" t="s">
        <v>112</v>
      </c>
      <c r="C251" s="104" t="s">
        <v>121</v>
      </c>
      <c r="D251" s="2" t="s">
        <v>148</v>
      </c>
      <c r="E251" s="2" t="s">
        <v>150</v>
      </c>
      <c r="F251" s="105" t="s">
        <v>94</v>
      </c>
      <c r="G251" s="27" t="s">
        <v>1580</v>
      </c>
      <c r="H251" s="106" t="s">
        <v>131</v>
      </c>
      <c r="I251" s="107" t="s">
        <v>129</v>
      </c>
      <c r="J251" s="108">
        <v>0.44</v>
      </c>
      <c r="K251" s="109"/>
      <c r="L251" s="109"/>
      <c r="M251" s="131">
        <f t="shared" ca="1" si="107"/>
        <v>3.9971222454600959</v>
      </c>
      <c r="N251" s="133">
        <f t="shared" ca="1" si="107"/>
        <v>0.42018364349074466</v>
      </c>
      <c r="O251" s="1059" t="s">
        <v>1583</v>
      </c>
      <c r="P251" s="131">
        <f t="shared" ref="P251:BB251" si="127">IFERROR(P118/_xlfn.MAXIFS(P$19:P$150,$B$19:$B$150,$B251,$F$152:$F$283,"C"),"?")</f>
        <v>0.2512928964824247</v>
      </c>
      <c r="Q251" s="133">
        <f t="shared" si="127"/>
        <v>0.83414034795905267</v>
      </c>
      <c r="R251" s="132">
        <f t="shared" si="127"/>
        <v>0.53494139947749353</v>
      </c>
      <c r="S251" s="1044">
        <f t="shared" si="127"/>
        <v>0.447687211295274</v>
      </c>
      <c r="T251" s="1044">
        <f t="shared" si="127"/>
        <v>0.3361096432737336</v>
      </c>
      <c r="U251" s="1044">
        <f t="shared" si="127"/>
        <v>0.40309631587767902</v>
      </c>
      <c r="V251" s="1044">
        <f t="shared" si="127"/>
        <v>0.74471644510659907</v>
      </c>
      <c r="W251" s="1044">
        <f t="shared" si="127"/>
        <v>0.25778632244355165</v>
      </c>
      <c r="X251" s="1044">
        <f t="shared" si="127"/>
        <v>0.74589602239348551</v>
      </c>
      <c r="Y251" s="1044">
        <f t="shared" si="127"/>
        <v>0.16035161016841157</v>
      </c>
      <c r="Z251" s="1044">
        <f t="shared" si="127"/>
        <v>5.3260867470143324E-2</v>
      </c>
      <c r="AA251" s="1044">
        <f t="shared" si="127"/>
        <v>0.5272083058808682</v>
      </c>
      <c r="AB251" s="1044">
        <f t="shared" si="127"/>
        <v>3.8371231153273002E-3</v>
      </c>
      <c r="AC251" s="1044">
        <f t="shared" si="127"/>
        <v>3.3832198644598889E-3</v>
      </c>
      <c r="AD251" s="1044">
        <f t="shared" si="127"/>
        <v>2.8008547226264457E-2</v>
      </c>
      <c r="AE251" s="1044">
        <f t="shared" si="127"/>
        <v>0.27797695124226107</v>
      </c>
      <c r="AF251" s="1044">
        <f t="shared" si="127"/>
        <v>1.8461904924742048E-2</v>
      </c>
      <c r="AG251" s="1044">
        <f t="shared" si="127"/>
        <v>0.97092421363567993</v>
      </c>
      <c r="AH251" s="1044">
        <f t="shared" si="127"/>
        <v>0.1007933698790416</v>
      </c>
      <c r="AI251" s="1044">
        <f t="shared" si="127"/>
        <v>0.49912294322183692</v>
      </c>
      <c r="AJ251" s="1045">
        <f t="shared" si="127"/>
        <v>0.9687117996820257</v>
      </c>
      <c r="AK251" s="1086">
        <f t="shared" si="127"/>
        <v>0.44805340081554756</v>
      </c>
      <c r="AL251" s="1087">
        <f t="shared" si="127"/>
        <v>0.40300376013870959</v>
      </c>
      <c r="AM251" s="1087">
        <f t="shared" si="127"/>
        <v>0.3964934571298096</v>
      </c>
      <c r="AN251" s="1087">
        <f t="shared" si="127"/>
        <v>0.8847833782763328</v>
      </c>
      <c r="AO251" s="1087">
        <f t="shared" si="127"/>
        <v>0.29392654380926986</v>
      </c>
      <c r="AP251" s="1087">
        <f t="shared" si="127"/>
        <v>0.17074624874126715</v>
      </c>
      <c r="AQ251" s="1087">
        <f t="shared" si="127"/>
        <v>6.3906657930298524E-2</v>
      </c>
      <c r="AR251" s="1087">
        <f t="shared" si="127"/>
        <v>0.51937733653069562</v>
      </c>
      <c r="AS251" s="1087">
        <f t="shared" si="127"/>
        <v>2.0840057354068678E-4</v>
      </c>
      <c r="AT251" s="1087">
        <f t="shared" si="127"/>
        <v>1.8486858005701927E-2</v>
      </c>
      <c r="AU251" s="1087">
        <f t="shared" si="127"/>
        <v>5.0515424410587158E-2</v>
      </c>
      <c r="AV251" s="1087">
        <f t="shared" si="127"/>
        <v>2.2240999698357064E-2</v>
      </c>
      <c r="AW251" s="1087">
        <f t="shared" si="127"/>
        <v>0.97092671833129385</v>
      </c>
      <c r="AX251" s="1087">
        <f t="shared" si="127"/>
        <v>0.16839697168941956</v>
      </c>
      <c r="AY251" s="1087">
        <f t="shared" si="127"/>
        <v>0.16180189291681102</v>
      </c>
      <c r="AZ251" s="1087">
        <f t="shared" si="127"/>
        <v>0.93001359527625538</v>
      </c>
      <c r="BA251" s="1087">
        <f t="shared" si="127"/>
        <v>0.50825109730299001</v>
      </c>
      <c r="BB251" s="1088">
        <f t="shared" si="127"/>
        <v>0.96837861555986271</v>
      </c>
      <c r="BC251" s="1043"/>
    </row>
    <row r="252" spans="1:55" ht="12" customHeight="1" outlineLevel="1" x14ac:dyDescent="0.2">
      <c r="A252" s="123"/>
      <c r="B252" s="104" t="s">
        <v>112</v>
      </c>
      <c r="C252" s="104" t="s">
        <v>121</v>
      </c>
      <c r="D252" s="2" t="s">
        <v>148</v>
      </c>
      <c r="E252" s="2" t="s">
        <v>150</v>
      </c>
      <c r="F252" s="105" t="s">
        <v>95</v>
      </c>
      <c r="G252" s="27" t="s">
        <v>1581</v>
      </c>
      <c r="H252" s="106" t="s">
        <v>128</v>
      </c>
      <c r="I252" s="107" t="s">
        <v>127</v>
      </c>
      <c r="J252" s="108">
        <v>0.44</v>
      </c>
      <c r="K252" s="109"/>
      <c r="L252" s="109"/>
      <c r="M252" s="131">
        <f t="shared" ref="M252:N271" ca="1" si="128">IFERROR(M385/_xlfn.MAXIFS(M$285:M$416,$B$19:$B$150,$B252,$F$152:$F$283,"C"),"?")</f>
        <v>4.0278435719157599</v>
      </c>
      <c r="N252" s="133">
        <f t="shared" ca="1" si="128"/>
        <v>0.63744572991924764</v>
      </c>
      <c r="O252" s="1059" t="s">
        <v>1583</v>
      </c>
      <c r="P252" s="131">
        <f t="shared" ref="P252:BB252" si="129">IFERROR(P119/_xlfn.MAXIFS(P$19:P$150,$B$19:$B$150,$B252,$F$152:$F$283,"C"),"?")</f>
        <v>0.78326543639085</v>
      </c>
      <c r="Q252" s="133">
        <f t="shared" si="129"/>
        <v>1.1202901652316768</v>
      </c>
      <c r="R252" s="132">
        <f t="shared" si="129"/>
        <v>0.71654619029202493</v>
      </c>
      <c r="S252" s="1044">
        <f t="shared" si="129"/>
        <v>0.62898667570804412</v>
      </c>
      <c r="T252" s="1044">
        <f t="shared" si="129"/>
        <v>0.50358030890546335</v>
      </c>
      <c r="U252" s="1044">
        <f t="shared" si="129"/>
        <v>0.52377933630791274</v>
      </c>
      <c r="V252" s="1044">
        <f t="shared" si="129"/>
        <v>1.0045495127869462</v>
      </c>
      <c r="W252" s="1044">
        <f t="shared" si="129"/>
        <v>0.69137313844968551</v>
      </c>
      <c r="X252" s="1044">
        <f t="shared" si="129"/>
        <v>1.0058841483204977</v>
      </c>
      <c r="Y252" s="1044">
        <f t="shared" si="129"/>
        <v>0.63344263974602366</v>
      </c>
      <c r="Z252" s="1044">
        <f t="shared" si="129"/>
        <v>0.31851374011083555</v>
      </c>
      <c r="AA252" s="1044">
        <f t="shared" si="129"/>
        <v>0.78500400555732319</v>
      </c>
      <c r="AB252" s="1044">
        <f t="shared" si="129"/>
        <v>7.2285366309512043E-3</v>
      </c>
      <c r="AC252" s="1044">
        <f t="shared" si="129"/>
        <v>8.160946174949198E-3</v>
      </c>
      <c r="AD252" s="1044">
        <f t="shared" si="129"/>
        <v>6.0778057186914439E-2</v>
      </c>
      <c r="AE252" s="1044">
        <f t="shared" si="129"/>
        <v>0.62552279870719263</v>
      </c>
      <c r="AF252" s="1044">
        <f t="shared" si="129"/>
        <v>1.0621201842552941</v>
      </c>
      <c r="AG252" s="1044">
        <f t="shared" si="129"/>
        <v>1.256800890824997</v>
      </c>
      <c r="AH252" s="1044">
        <f t="shared" si="129"/>
        <v>0.13067681727897054</v>
      </c>
      <c r="AI252" s="1044">
        <f t="shared" si="129"/>
        <v>0.66754543070979011</v>
      </c>
      <c r="AJ252" s="1045">
        <f t="shared" si="129"/>
        <v>1.2539518678150632</v>
      </c>
      <c r="AK252" s="1086">
        <f t="shared" si="129"/>
        <v>0.62965909914919682</v>
      </c>
      <c r="AL252" s="1087">
        <f t="shared" si="129"/>
        <v>0.52364820232120646</v>
      </c>
      <c r="AM252" s="1087">
        <f t="shared" si="129"/>
        <v>0.51518149643950373</v>
      </c>
      <c r="AN252" s="1087">
        <f t="shared" si="129"/>
        <v>1.1914774996377464</v>
      </c>
      <c r="AO252" s="1087">
        <f t="shared" si="129"/>
        <v>0.73520590939947128</v>
      </c>
      <c r="AP252" s="1087">
        <f t="shared" si="129"/>
        <v>0.64952361162562144</v>
      </c>
      <c r="AQ252" s="1087">
        <f t="shared" si="129"/>
        <v>0.32540278433694575</v>
      </c>
      <c r="AR252" s="1087">
        <f t="shared" si="129"/>
        <v>0.78215820920013668</v>
      </c>
      <c r="AS252" s="1087">
        <f t="shared" si="129"/>
        <v>1.5087059505047767E-2</v>
      </c>
      <c r="AT252" s="1087">
        <f t="shared" si="129"/>
        <v>3.3415496514255155E-2</v>
      </c>
      <c r="AU252" s="1087">
        <f t="shared" si="129"/>
        <v>8.1876427828152298E-2</v>
      </c>
      <c r="AV252" s="1087">
        <f t="shared" si="129"/>
        <v>0.4273792188342273</v>
      </c>
      <c r="AW252" s="1087">
        <f t="shared" si="129"/>
        <v>1.2568041373987502</v>
      </c>
      <c r="AX252" s="1087">
        <f t="shared" si="129"/>
        <v>0.21797938593633473</v>
      </c>
      <c r="AY252" s="1087">
        <f t="shared" si="129"/>
        <v>0.20944246678339068</v>
      </c>
      <c r="AZ252" s="1087">
        <f t="shared" si="129"/>
        <v>1.2049867990503798</v>
      </c>
      <c r="BA252" s="1087">
        <f t="shared" si="129"/>
        <v>0.67947558167022371</v>
      </c>
      <c r="BB252" s="1088">
        <f t="shared" si="129"/>
        <v>1.2535205715845428</v>
      </c>
      <c r="BC252" s="1043"/>
    </row>
    <row r="253" spans="1:55" ht="12" customHeight="1" outlineLevel="1" x14ac:dyDescent="0.2">
      <c r="A253" s="123"/>
      <c r="B253" s="104" t="s">
        <v>112</v>
      </c>
      <c r="C253" s="104" t="s">
        <v>121</v>
      </c>
      <c r="D253" s="2" t="s">
        <v>148</v>
      </c>
      <c r="E253" s="2" t="s">
        <v>150</v>
      </c>
      <c r="F253" s="105" t="s">
        <v>96</v>
      </c>
      <c r="G253" s="27" t="s">
        <v>1582</v>
      </c>
      <c r="H253" s="106" t="s">
        <v>128</v>
      </c>
      <c r="I253" s="107" t="s">
        <v>1577</v>
      </c>
      <c r="J253" s="129">
        <v>0.44</v>
      </c>
      <c r="K253" s="130"/>
      <c r="L253" s="130"/>
      <c r="M253" s="131">
        <f t="shared" ca="1" si="128"/>
        <v>4.0374431910539856</v>
      </c>
      <c r="N253" s="133">
        <f t="shared" ca="1" si="128"/>
        <v>0.70533450698425382</v>
      </c>
      <c r="O253" s="1059" t="s">
        <v>1583</v>
      </c>
      <c r="P253" s="131">
        <f t="shared" ref="P253:BB253" si="130">IFERROR(P120/_xlfn.MAXIFS(P$19:P$150,$B$19:$B$150,$B253,$F$152:$F$283,"C"),"?")</f>
        <v>1.1190788115655379</v>
      </c>
      <c r="Q253" s="133">
        <f t="shared" si="130"/>
        <v>1.1496877625413058</v>
      </c>
      <c r="R253" s="132">
        <f t="shared" si="130"/>
        <v>0.7322728515405893</v>
      </c>
      <c r="S253" s="1044">
        <f t="shared" si="130"/>
        <v>0.66444618661725807</v>
      </c>
      <c r="T253" s="1044">
        <f t="shared" si="130"/>
        <v>0.55352799818326226</v>
      </c>
      <c r="U253" s="1044">
        <f t="shared" si="130"/>
        <v>0.52508210166241276</v>
      </c>
      <c r="V253" s="1044">
        <f t="shared" si="130"/>
        <v>1.0310199614027207</v>
      </c>
      <c r="W253" s="1044">
        <f t="shared" si="130"/>
        <v>0.95167782510972088</v>
      </c>
      <c r="X253" s="1044">
        <f t="shared" si="130"/>
        <v>1.0322290584078906</v>
      </c>
      <c r="Y253" s="1044">
        <f t="shared" si="130"/>
        <v>0.94373552393948779</v>
      </c>
      <c r="Z253" s="1044">
        <f t="shared" si="130"/>
        <v>0.49625566184128866</v>
      </c>
      <c r="AA253" s="1044">
        <f t="shared" si="130"/>
        <v>0.85979263626706603</v>
      </c>
      <c r="AB253" s="1044">
        <f t="shared" si="130"/>
        <v>8.7045056612407908E-3</v>
      </c>
      <c r="AC253" s="1044">
        <f t="shared" si="130"/>
        <v>9.5866343241667561E-3</v>
      </c>
      <c r="AD253" s="1044">
        <f t="shared" si="130"/>
        <v>6.8537085762524375E-2</v>
      </c>
      <c r="AE253" s="1044">
        <f t="shared" si="130"/>
        <v>0.82833475798743317</v>
      </c>
      <c r="AF253" s="1044">
        <f t="shared" si="130"/>
        <v>1.8265370988168395</v>
      </c>
      <c r="AG253" s="1044">
        <f t="shared" si="130"/>
        <v>1.256800890824997</v>
      </c>
      <c r="AH253" s="1044">
        <f t="shared" si="130"/>
        <v>0.13081130865912682</v>
      </c>
      <c r="AI253" s="1044">
        <f t="shared" si="130"/>
        <v>0.68155179612005823</v>
      </c>
      <c r="AJ253" s="1045">
        <f t="shared" si="130"/>
        <v>1.2539615243157112</v>
      </c>
      <c r="AK253" s="1086">
        <f t="shared" si="130"/>
        <v>0.66526531408061929</v>
      </c>
      <c r="AL253" s="1087">
        <f t="shared" si="130"/>
        <v>0.52494363990485515</v>
      </c>
      <c r="AM253" s="1087">
        <f t="shared" si="130"/>
        <v>0.51645111434086033</v>
      </c>
      <c r="AN253" s="1087">
        <f t="shared" si="130"/>
        <v>1.2216156193514462</v>
      </c>
      <c r="AO253" s="1087">
        <f t="shared" si="130"/>
        <v>0.99310679599513019</v>
      </c>
      <c r="AP253" s="1087">
        <f t="shared" si="130"/>
        <v>0.96168276033591793</v>
      </c>
      <c r="AQ253" s="1087">
        <f t="shared" si="130"/>
        <v>0.49823416852148344</v>
      </c>
      <c r="AR253" s="1087">
        <f t="shared" si="130"/>
        <v>0.86225182448017768</v>
      </c>
      <c r="AS253" s="1087">
        <f t="shared" si="130"/>
        <v>2.5084780361941093E-2</v>
      </c>
      <c r="AT253" s="1087">
        <f t="shared" si="130"/>
        <v>3.7372358921652277E-2</v>
      </c>
      <c r="AU253" s="1087">
        <f t="shared" si="130"/>
        <v>8.8338800528690947E-2</v>
      </c>
      <c r="AV253" s="1087">
        <f t="shared" si="130"/>
        <v>0.72735660238934818</v>
      </c>
      <c r="AW253" s="1087">
        <f t="shared" si="130"/>
        <v>1.2568041373987502</v>
      </c>
      <c r="AX253" s="1087">
        <f t="shared" si="130"/>
        <v>0.21797938593633473</v>
      </c>
      <c r="AY253" s="1087">
        <f t="shared" si="130"/>
        <v>0.20944246678339068</v>
      </c>
      <c r="AZ253" s="1087">
        <f t="shared" si="130"/>
        <v>1.205732136341807</v>
      </c>
      <c r="BA253" s="1087">
        <f t="shared" si="130"/>
        <v>0.69355656851885561</v>
      </c>
      <c r="BB253" s="1088">
        <f t="shared" si="130"/>
        <v>1.2535302241002175</v>
      </c>
      <c r="BC253" s="1043"/>
    </row>
    <row r="254" spans="1:55" ht="12" customHeight="1" outlineLevel="1" x14ac:dyDescent="0.2">
      <c r="A254" s="123"/>
      <c r="B254" s="88" t="s">
        <v>113</v>
      </c>
      <c r="C254" s="88" t="s">
        <v>123</v>
      </c>
      <c r="D254" s="89" t="s">
        <v>151</v>
      </c>
      <c r="E254" s="89" t="s">
        <v>113</v>
      </c>
      <c r="F254" s="90" t="s">
        <v>92</v>
      </c>
      <c r="G254" s="18" t="s">
        <v>126</v>
      </c>
      <c r="H254" s="91" t="s">
        <v>127</v>
      </c>
      <c r="I254" s="92" t="s">
        <v>127</v>
      </c>
      <c r="J254" s="93">
        <v>2.11</v>
      </c>
      <c r="K254" s="94"/>
      <c r="L254" s="94"/>
      <c r="M254" s="126">
        <f t="shared" ca="1" si="128"/>
        <v>1</v>
      </c>
      <c r="N254" s="128">
        <f t="shared" ca="1" si="128"/>
        <v>1</v>
      </c>
      <c r="O254" s="1058" t="s">
        <v>1583</v>
      </c>
      <c r="P254" s="126">
        <f t="shared" ref="P254:BB254" si="131">IFERROR(P121/_xlfn.MAXIFS(P$19:P$150,$B$19:$B$150,$B254,$F$152:$F$283,"C"),"?")</f>
        <v>1</v>
      </c>
      <c r="Q254" s="128">
        <f t="shared" si="131"/>
        <v>1</v>
      </c>
      <c r="R254" s="127">
        <f t="shared" si="131"/>
        <v>1</v>
      </c>
      <c r="S254" s="1041">
        <f t="shared" si="131"/>
        <v>1</v>
      </c>
      <c r="T254" s="1041">
        <f t="shared" si="131"/>
        <v>1</v>
      </c>
      <c r="U254" s="1041">
        <f t="shared" si="131"/>
        <v>1</v>
      </c>
      <c r="V254" s="1041">
        <f t="shared" si="131"/>
        <v>1</v>
      </c>
      <c r="W254" s="1041">
        <f t="shared" si="131"/>
        <v>1</v>
      </c>
      <c r="X254" s="1041">
        <f t="shared" si="131"/>
        <v>1</v>
      </c>
      <c r="Y254" s="1041">
        <f t="shared" si="131"/>
        <v>1</v>
      </c>
      <c r="Z254" s="1041">
        <f t="shared" si="131"/>
        <v>1</v>
      </c>
      <c r="AA254" s="1041">
        <f t="shared" si="131"/>
        <v>1</v>
      </c>
      <c r="AB254" s="1041">
        <f t="shared" si="131"/>
        <v>1</v>
      </c>
      <c r="AC254" s="1041">
        <f t="shared" si="131"/>
        <v>1</v>
      </c>
      <c r="AD254" s="1041">
        <f t="shared" si="131"/>
        <v>1</v>
      </c>
      <c r="AE254" s="1041">
        <f t="shared" si="131"/>
        <v>1</v>
      </c>
      <c r="AF254" s="1041">
        <f t="shared" si="131"/>
        <v>1</v>
      </c>
      <c r="AG254" s="1041">
        <f t="shared" si="131"/>
        <v>1</v>
      </c>
      <c r="AH254" s="1041">
        <f t="shared" si="131"/>
        <v>1</v>
      </c>
      <c r="AI254" s="1041">
        <f t="shared" si="131"/>
        <v>1</v>
      </c>
      <c r="AJ254" s="1042">
        <f t="shared" si="131"/>
        <v>1</v>
      </c>
      <c r="AK254" s="1083">
        <f t="shared" si="131"/>
        <v>1</v>
      </c>
      <c r="AL254" s="1084">
        <f t="shared" si="131"/>
        <v>1</v>
      </c>
      <c r="AM254" s="1084">
        <f t="shared" si="131"/>
        <v>1</v>
      </c>
      <c r="AN254" s="1084">
        <f t="shared" si="131"/>
        <v>1</v>
      </c>
      <c r="AO254" s="1084">
        <f t="shared" si="131"/>
        <v>1</v>
      </c>
      <c r="AP254" s="1084">
        <f t="shared" si="131"/>
        <v>1</v>
      </c>
      <c r="AQ254" s="1084">
        <f t="shared" si="131"/>
        <v>1</v>
      </c>
      <c r="AR254" s="1084">
        <f t="shared" si="131"/>
        <v>1</v>
      </c>
      <c r="AS254" s="1084">
        <f t="shared" si="131"/>
        <v>1</v>
      </c>
      <c r="AT254" s="1084">
        <f t="shared" si="131"/>
        <v>1</v>
      </c>
      <c r="AU254" s="1084">
        <f t="shared" si="131"/>
        <v>1</v>
      </c>
      <c r="AV254" s="1084">
        <f t="shared" si="131"/>
        <v>1</v>
      </c>
      <c r="AW254" s="1084">
        <f t="shared" si="131"/>
        <v>1</v>
      </c>
      <c r="AX254" s="1084">
        <f t="shared" si="131"/>
        <v>1</v>
      </c>
      <c r="AY254" s="1084">
        <f t="shared" si="131"/>
        <v>1</v>
      </c>
      <c r="AZ254" s="1084">
        <f t="shared" si="131"/>
        <v>1</v>
      </c>
      <c r="BA254" s="1084">
        <f t="shared" si="131"/>
        <v>1</v>
      </c>
      <c r="BB254" s="1085">
        <f t="shared" si="131"/>
        <v>1</v>
      </c>
      <c r="BC254" s="1043"/>
    </row>
    <row r="255" spans="1:55" ht="12" customHeight="1" outlineLevel="1" x14ac:dyDescent="0.2">
      <c r="A255" s="123"/>
      <c r="B255" s="104" t="s">
        <v>113</v>
      </c>
      <c r="C255" s="104" t="s">
        <v>123</v>
      </c>
      <c r="D255" s="2" t="s">
        <v>151</v>
      </c>
      <c r="E255" s="2" t="s">
        <v>113</v>
      </c>
      <c r="F255" s="105" t="s">
        <v>122</v>
      </c>
      <c r="G255" s="27" t="s">
        <v>1579</v>
      </c>
      <c r="H255" s="106" t="s">
        <v>128</v>
      </c>
      <c r="I255" s="107" t="s">
        <v>129</v>
      </c>
      <c r="J255" s="108">
        <v>2.11</v>
      </c>
      <c r="K255" s="109"/>
      <c r="L255" s="109"/>
      <c r="M255" s="131">
        <f t="shared" ca="1" si="128"/>
        <v>1.4524623842086954</v>
      </c>
      <c r="N255" s="133">
        <f t="shared" ca="1" si="128"/>
        <v>0.76051118536472073</v>
      </c>
      <c r="O255" s="1059" t="s">
        <v>1583</v>
      </c>
      <c r="P255" s="131">
        <f t="shared" ref="P255:BB255" si="132">IFERROR(P122/_xlfn.MAXIFS(P$19:P$150,$B$19:$B$150,$B255,$F$152:$F$283,"C"),"?")</f>
        <v>0.65971675516802963</v>
      </c>
      <c r="Q255" s="133">
        <f t="shared" si="132"/>
        <v>1.1995384777872578</v>
      </c>
      <c r="R255" s="132">
        <f t="shared" si="132"/>
        <v>0.81155479888303428</v>
      </c>
      <c r="S255" s="1044">
        <f t="shared" si="132"/>
        <v>0.61498914148948258</v>
      </c>
      <c r="T255" s="1044">
        <f t="shared" si="132"/>
        <v>0.55311522329851737</v>
      </c>
      <c r="U255" s="1044">
        <f t="shared" si="132"/>
        <v>1.0113770364840786</v>
      </c>
      <c r="V255" s="1044">
        <f t="shared" si="132"/>
        <v>0.7117732563792295</v>
      </c>
      <c r="W255" s="1044">
        <f t="shared" si="132"/>
        <v>0.85257694054632172</v>
      </c>
      <c r="X255" s="1044">
        <f t="shared" si="132"/>
        <v>0.7159163355710102</v>
      </c>
      <c r="Y255" s="1044">
        <f t="shared" si="132"/>
        <v>0.86122566882844864</v>
      </c>
      <c r="Z255" s="1044">
        <f t="shared" si="132"/>
        <v>0.16296655457535464</v>
      </c>
      <c r="AA255" s="1044">
        <f t="shared" si="132"/>
        <v>0.60933129434036393</v>
      </c>
      <c r="AB255" s="1044">
        <f t="shared" si="132"/>
        <v>5.3941322332736241E-2</v>
      </c>
      <c r="AC255" s="1044">
        <f t="shared" si="132"/>
        <v>3.616903621204149E-2</v>
      </c>
      <c r="AD255" s="1044">
        <f t="shared" si="132"/>
        <v>0.11287084439892424</v>
      </c>
      <c r="AE255" s="1044">
        <f t="shared" si="132"/>
        <v>0.52394012895128361</v>
      </c>
      <c r="AF255" s="1044">
        <f t="shared" si="132"/>
        <v>4.1752691678447168E-2</v>
      </c>
      <c r="AG255" s="1044">
        <f t="shared" si="132"/>
        <v>1.5168575554360311</v>
      </c>
      <c r="AH255" s="1044">
        <f t="shared" si="132"/>
        <v>0.27365585346381294</v>
      </c>
      <c r="AI255" s="1044">
        <f t="shared" si="132"/>
        <v>0.82747124347894074</v>
      </c>
      <c r="AJ255" s="1045">
        <f t="shared" si="132"/>
        <v>0.61462613298466195</v>
      </c>
      <c r="AK255" s="1086">
        <f t="shared" si="132"/>
        <v>0.58101172109877008</v>
      </c>
      <c r="AL255" s="1087">
        <f t="shared" si="132"/>
        <v>1.0064537540948086</v>
      </c>
      <c r="AM255" s="1087">
        <f t="shared" si="132"/>
        <v>0.99413357642353883</v>
      </c>
      <c r="AN255" s="1087">
        <f t="shared" si="132"/>
        <v>0.81622794574738289</v>
      </c>
      <c r="AO255" s="1087">
        <f t="shared" si="132"/>
        <v>0.85791437569668871</v>
      </c>
      <c r="AP255" s="1087">
        <f t="shared" si="132"/>
        <v>0.86450219218270041</v>
      </c>
      <c r="AQ255" s="1087">
        <f t="shared" si="132"/>
        <v>0.18306018217831246</v>
      </c>
      <c r="AR255" s="1087">
        <f t="shared" si="132"/>
        <v>0.63640716256357766</v>
      </c>
      <c r="AS255" s="1087">
        <f t="shared" si="132"/>
        <v>1.3914699207132916E-2</v>
      </c>
      <c r="AT255" s="1087">
        <f t="shared" si="132"/>
        <v>6.0861913236662318E-2</v>
      </c>
      <c r="AU255" s="1087">
        <f t="shared" si="132"/>
        <v>0.18705292246893593</v>
      </c>
      <c r="AV255" s="1087">
        <f t="shared" si="132"/>
        <v>0.16117782792775032</v>
      </c>
      <c r="AW255" s="1087">
        <f t="shared" si="132"/>
        <v>1.5787635853855893</v>
      </c>
      <c r="AX255" s="1087">
        <f t="shared" si="132"/>
        <v>0.94826443276412842</v>
      </c>
      <c r="AY255" s="1087">
        <f t="shared" si="132"/>
        <v>8.5086567212506153E-2</v>
      </c>
      <c r="AZ255" s="1087">
        <f t="shared" si="132"/>
        <v>1.2453227635461794</v>
      </c>
      <c r="BA255" s="1087">
        <f t="shared" si="132"/>
        <v>0.83497695014132434</v>
      </c>
      <c r="BB255" s="1088">
        <f t="shared" si="132"/>
        <v>0.61537940965826465</v>
      </c>
      <c r="BC255" s="1043"/>
    </row>
    <row r="256" spans="1:55" ht="12" customHeight="1" outlineLevel="1" x14ac:dyDescent="0.2">
      <c r="A256" s="123"/>
      <c r="B256" s="104" t="s">
        <v>113</v>
      </c>
      <c r="C256" s="104" t="s">
        <v>123</v>
      </c>
      <c r="D256" s="2" t="s">
        <v>151</v>
      </c>
      <c r="E256" s="2" t="s">
        <v>113</v>
      </c>
      <c r="F256" s="105" t="s">
        <v>93</v>
      </c>
      <c r="G256" s="27" t="s">
        <v>1578</v>
      </c>
      <c r="H256" s="106" t="s">
        <v>130</v>
      </c>
      <c r="I256" s="107" t="s">
        <v>129</v>
      </c>
      <c r="J256" s="108">
        <v>2.11</v>
      </c>
      <c r="K256" s="109"/>
      <c r="L256" s="109"/>
      <c r="M256" s="131">
        <f t="shared" ca="1" si="128"/>
        <v>1.5028891667227222</v>
      </c>
      <c r="N256" s="133">
        <f t="shared" ca="1" si="128"/>
        <v>0.85323456498220374</v>
      </c>
      <c r="O256" s="1059" t="s">
        <v>1583</v>
      </c>
      <c r="P256" s="131">
        <f t="shared" ref="P256:BB256" si="133">IFERROR(P123/_xlfn.MAXIFS(P$19:P$150,$B$19:$B$150,$B256,$F$152:$F$283,"C"),"?")</f>
        <v>0.70097952224320326</v>
      </c>
      <c r="Q256" s="133">
        <f t="shared" si="133"/>
        <v>1.4399367684904434</v>
      </c>
      <c r="R256" s="132">
        <f t="shared" si="133"/>
        <v>0.89211226022408407</v>
      </c>
      <c r="S256" s="1044">
        <f t="shared" si="133"/>
        <v>0.66070808322808683</v>
      </c>
      <c r="T256" s="1044">
        <f t="shared" si="133"/>
        <v>0.62491801195787666</v>
      </c>
      <c r="U256" s="1044">
        <f t="shared" si="133"/>
        <v>1.0568171758716782</v>
      </c>
      <c r="V256" s="1044">
        <f t="shared" si="133"/>
        <v>0.83407717502248624</v>
      </c>
      <c r="W256" s="1044">
        <f t="shared" si="133"/>
        <v>0.88279280082303579</v>
      </c>
      <c r="X256" s="1044">
        <f t="shared" si="133"/>
        <v>0.83815215296125045</v>
      </c>
      <c r="Y256" s="1044">
        <f t="shared" si="133"/>
        <v>0.88354077261334329</v>
      </c>
      <c r="Z256" s="1044">
        <f t="shared" si="133"/>
        <v>0.19951786506707794</v>
      </c>
      <c r="AA256" s="1044">
        <f t="shared" si="133"/>
        <v>0.75300721450728036</v>
      </c>
      <c r="AB256" s="1044">
        <f t="shared" si="133"/>
        <v>5.8276847515213608E-2</v>
      </c>
      <c r="AC256" s="1044">
        <f t="shared" si="133"/>
        <v>3.9699523286128795E-2</v>
      </c>
      <c r="AD256" s="1044">
        <f t="shared" si="133"/>
        <v>0.13681967051482738</v>
      </c>
      <c r="AE256" s="1044">
        <f t="shared" si="133"/>
        <v>0.61752349627859993</v>
      </c>
      <c r="AF256" s="1044">
        <f t="shared" si="133"/>
        <v>0.11074040078609412</v>
      </c>
      <c r="AG256" s="1044">
        <f t="shared" si="133"/>
        <v>1.8922454091127541</v>
      </c>
      <c r="AH256" s="1044">
        <f t="shared" si="133"/>
        <v>0.32267911274036171</v>
      </c>
      <c r="AI256" s="1044">
        <f t="shared" si="133"/>
        <v>0.89750343621999695</v>
      </c>
      <c r="AJ256" s="1045">
        <f t="shared" si="133"/>
        <v>0.6310348650530303</v>
      </c>
      <c r="AK256" s="1086">
        <f t="shared" si="133"/>
        <v>0.63001559719268407</v>
      </c>
      <c r="AL256" s="1087">
        <f t="shared" si="133"/>
        <v>1.0529669998319648</v>
      </c>
      <c r="AM256" s="1087">
        <f t="shared" si="133"/>
        <v>1.0389709512939023</v>
      </c>
      <c r="AN256" s="1087">
        <f t="shared" si="133"/>
        <v>0.93979347372484023</v>
      </c>
      <c r="AO256" s="1087">
        <f t="shared" si="133"/>
        <v>0.89050108899513969</v>
      </c>
      <c r="AP256" s="1087">
        <f t="shared" si="133"/>
        <v>0.88748302468880247</v>
      </c>
      <c r="AQ256" s="1087">
        <f t="shared" si="133"/>
        <v>0.2233249424157597</v>
      </c>
      <c r="AR256" s="1087">
        <f t="shared" si="133"/>
        <v>0.76740103666186033</v>
      </c>
      <c r="AS256" s="1087">
        <f t="shared" si="133"/>
        <v>1.4992572934468791E-2</v>
      </c>
      <c r="AT256" s="1087">
        <f t="shared" si="133"/>
        <v>7.1507149430419845E-2</v>
      </c>
      <c r="AU256" s="1087">
        <f t="shared" si="133"/>
        <v>0.22478768449119127</v>
      </c>
      <c r="AV256" s="1087">
        <f t="shared" si="133"/>
        <v>0.2167390742020591</v>
      </c>
      <c r="AW256" s="1087">
        <f t="shared" si="133"/>
        <v>1.9695108995410153</v>
      </c>
      <c r="AX256" s="1087">
        <f t="shared" si="133"/>
        <v>0.97293372120467225</v>
      </c>
      <c r="AY256" s="1087">
        <f t="shared" si="133"/>
        <v>8.6027787533416264E-2</v>
      </c>
      <c r="AZ256" s="1087">
        <f t="shared" si="133"/>
        <v>1.4386117328646244</v>
      </c>
      <c r="BA256" s="1087">
        <f t="shared" si="133"/>
        <v>0.90665847323384297</v>
      </c>
      <c r="BB256" s="1088">
        <f t="shared" si="133"/>
        <v>0.63180812837355693</v>
      </c>
      <c r="BC256" s="1043"/>
    </row>
    <row r="257" spans="1:55" ht="12" customHeight="1" outlineLevel="1" x14ac:dyDescent="0.2">
      <c r="A257" s="123"/>
      <c r="B257" s="104" t="s">
        <v>113</v>
      </c>
      <c r="C257" s="104" t="s">
        <v>123</v>
      </c>
      <c r="D257" s="2" t="s">
        <v>151</v>
      </c>
      <c r="E257" s="2" t="s">
        <v>113</v>
      </c>
      <c r="F257" s="105" t="s">
        <v>94</v>
      </c>
      <c r="G257" s="27" t="s">
        <v>1580</v>
      </c>
      <c r="H257" s="106" t="s">
        <v>131</v>
      </c>
      <c r="I257" s="107" t="s">
        <v>129</v>
      </c>
      <c r="J257" s="108">
        <v>2.11</v>
      </c>
      <c r="K257" s="109"/>
      <c r="L257" s="109"/>
      <c r="M257" s="131">
        <f t="shared" ca="1" si="128"/>
        <v>1.4185899336478387</v>
      </c>
      <c r="N257" s="133">
        <f t="shared" ca="1" si="128"/>
        <v>0.69822745566106437</v>
      </c>
      <c r="O257" s="1059" t="s">
        <v>1583</v>
      </c>
      <c r="P257" s="131">
        <f t="shared" ref="P257:BB257" si="134">IFERROR(P124/_xlfn.MAXIFS(P$19:P$150,$B$19:$B$150,$B257,$F$152:$F$283,"C"),"?")</f>
        <v>0.6313033547460879</v>
      </c>
      <c r="Q257" s="133">
        <f t="shared" si="134"/>
        <v>1.0398649622343847</v>
      </c>
      <c r="R257" s="132">
        <f t="shared" si="134"/>
        <v>0.75689893560420407</v>
      </c>
      <c r="S257" s="1044">
        <f t="shared" si="134"/>
        <v>0.58380659462282658</v>
      </c>
      <c r="T257" s="1044">
        <f t="shared" si="134"/>
        <v>0.50415806692631793</v>
      </c>
      <c r="U257" s="1044">
        <f t="shared" si="134"/>
        <v>0.97925929390550859</v>
      </c>
      <c r="V257" s="1044">
        <f t="shared" si="134"/>
        <v>0.63004246226131821</v>
      </c>
      <c r="W257" s="1044">
        <f t="shared" si="134"/>
        <v>0.83094692404723869</v>
      </c>
      <c r="X257" s="1044">
        <f t="shared" si="134"/>
        <v>0.63422182336937549</v>
      </c>
      <c r="Y257" s="1044">
        <f t="shared" si="134"/>
        <v>0.84476041280375935</v>
      </c>
      <c r="Z257" s="1044">
        <f t="shared" si="134"/>
        <v>0.13871871520297765</v>
      </c>
      <c r="AA257" s="1044">
        <f t="shared" si="134"/>
        <v>0.51240786594409415</v>
      </c>
      <c r="AB257" s="1044">
        <f t="shared" si="134"/>
        <v>5.0972337832168153E-2</v>
      </c>
      <c r="AC257" s="1044">
        <f t="shared" si="134"/>
        <v>3.3762932348037941E-2</v>
      </c>
      <c r="AD257" s="1044">
        <f t="shared" si="134"/>
        <v>9.695915514735684E-2</v>
      </c>
      <c r="AE257" s="1044">
        <f t="shared" si="134"/>
        <v>0.4614257130704596</v>
      </c>
      <c r="AF257" s="1044">
        <f t="shared" si="134"/>
        <v>-3.5233447980953575E-3</v>
      </c>
      <c r="AG257" s="1044">
        <f t="shared" si="134"/>
        <v>1.2682982172759236</v>
      </c>
      <c r="AH257" s="1044">
        <f t="shared" si="134"/>
        <v>0.24095271270023599</v>
      </c>
      <c r="AI257" s="1044">
        <f t="shared" si="134"/>
        <v>0.77966854427814913</v>
      </c>
      <c r="AJ257" s="1045">
        <f t="shared" si="134"/>
        <v>0.60291029585124511</v>
      </c>
      <c r="AK257" s="1086">
        <f t="shared" si="134"/>
        <v>0.54776773557369896</v>
      </c>
      <c r="AL257" s="1087">
        <f t="shared" si="134"/>
        <v>0.97364523592362584</v>
      </c>
      <c r="AM257" s="1087">
        <f t="shared" si="134"/>
        <v>0.96245104764423639</v>
      </c>
      <c r="AN257" s="1087">
        <f t="shared" si="134"/>
        <v>0.73344185384768912</v>
      </c>
      <c r="AO257" s="1087">
        <f t="shared" si="134"/>
        <v>0.83473351581062782</v>
      </c>
      <c r="AP257" s="1087">
        <f t="shared" si="134"/>
        <v>0.8475935740798245</v>
      </c>
      <c r="AQ257" s="1087">
        <f t="shared" si="134"/>
        <v>0.15633473726350131</v>
      </c>
      <c r="AR257" s="1087">
        <f t="shared" si="134"/>
        <v>0.54789387883821594</v>
      </c>
      <c r="AS257" s="1087">
        <f t="shared" si="134"/>
        <v>1.3164449051900213E-2</v>
      </c>
      <c r="AT257" s="1087">
        <f t="shared" si="134"/>
        <v>5.3758551965054906E-2</v>
      </c>
      <c r="AU257" s="1087">
        <f t="shared" si="134"/>
        <v>0.16196034222291206</v>
      </c>
      <c r="AV257" s="1087">
        <f t="shared" si="134"/>
        <v>0.12438650789906437</v>
      </c>
      <c r="AW257" s="1087">
        <f t="shared" si="134"/>
        <v>1.3200380981234014</v>
      </c>
      <c r="AX257" s="1087">
        <f t="shared" si="134"/>
        <v>0.92997801661658019</v>
      </c>
      <c r="AY257" s="1087">
        <f t="shared" si="134"/>
        <v>8.421314679039904E-2</v>
      </c>
      <c r="AZ257" s="1087">
        <f t="shared" si="134"/>
        <v>1.1159386225337018</v>
      </c>
      <c r="BA257" s="1087">
        <f t="shared" si="134"/>
        <v>0.78607814182969205</v>
      </c>
      <c r="BB257" s="1088">
        <f t="shared" si="134"/>
        <v>0.6036476150647796</v>
      </c>
      <c r="BC257" s="1043"/>
    </row>
    <row r="258" spans="1:55" ht="12" customHeight="1" outlineLevel="1" x14ac:dyDescent="0.2">
      <c r="A258" s="123"/>
      <c r="B258" s="104" t="s">
        <v>113</v>
      </c>
      <c r="C258" s="104" t="s">
        <v>123</v>
      </c>
      <c r="D258" s="2" t="s">
        <v>151</v>
      </c>
      <c r="E258" s="2" t="s">
        <v>113</v>
      </c>
      <c r="F258" s="105" t="s">
        <v>95</v>
      </c>
      <c r="G258" s="27" t="s">
        <v>1581</v>
      </c>
      <c r="H258" s="106" t="s">
        <v>128</v>
      </c>
      <c r="I258" s="107" t="s">
        <v>127</v>
      </c>
      <c r="J258" s="108">
        <v>2.11</v>
      </c>
      <c r="K258" s="109"/>
      <c r="L258" s="109"/>
      <c r="M258" s="131">
        <f t="shared" ca="1" si="128"/>
        <v>1.4923630021121415</v>
      </c>
      <c r="N258" s="133">
        <f t="shared" ca="1" si="128"/>
        <v>0.83387934324400348</v>
      </c>
      <c r="O258" s="1059" t="s">
        <v>1583</v>
      </c>
      <c r="P258" s="131">
        <f t="shared" ref="P258:BB258" si="135">IFERROR(P125/_xlfn.MAXIFS(P$19:P$150,$B$19:$B$150,$B258,$F$152:$F$283,"C"),"?")</f>
        <v>0.90149066183853765</v>
      </c>
      <c r="Q258" s="133">
        <f t="shared" si="135"/>
        <v>1.236515578643669</v>
      </c>
      <c r="R258" s="132">
        <f t="shared" si="135"/>
        <v>0.83080019670945404</v>
      </c>
      <c r="S258" s="1044">
        <f t="shared" si="135"/>
        <v>0.63778140300935326</v>
      </c>
      <c r="T258" s="1044">
        <f t="shared" si="135"/>
        <v>0.65332114332152424</v>
      </c>
      <c r="U258" s="1044">
        <f t="shared" si="135"/>
        <v>1.0125762616685392</v>
      </c>
      <c r="V258" s="1044">
        <f t="shared" si="135"/>
        <v>0.74819432462367264</v>
      </c>
      <c r="W258" s="1044">
        <f t="shared" si="135"/>
        <v>1.0039230112606532</v>
      </c>
      <c r="X258" s="1044">
        <f t="shared" si="135"/>
        <v>0.752084164700076</v>
      </c>
      <c r="Y258" s="1044">
        <f t="shared" si="135"/>
        <v>1.0232265181767886</v>
      </c>
      <c r="Z258" s="1044">
        <f t="shared" si="135"/>
        <v>0.6915194183746336</v>
      </c>
      <c r="AA258" s="1044">
        <f t="shared" si="135"/>
        <v>0.80709366812369032</v>
      </c>
      <c r="AB258" s="1044">
        <f t="shared" si="135"/>
        <v>6.4882420526088613E-2</v>
      </c>
      <c r="AC258" s="1044">
        <f t="shared" si="135"/>
        <v>4.6418274280839639E-2</v>
      </c>
      <c r="AD258" s="1044">
        <f t="shared" si="135"/>
        <v>0.17521866979824313</v>
      </c>
      <c r="AE258" s="1044">
        <f t="shared" si="135"/>
        <v>0.83067244637183901</v>
      </c>
      <c r="AF258" s="1044">
        <f t="shared" si="135"/>
        <v>1.4675537869714501</v>
      </c>
      <c r="AG258" s="1044">
        <f t="shared" si="135"/>
        <v>1.5168575554360311</v>
      </c>
      <c r="AH258" s="1044">
        <f t="shared" si="135"/>
        <v>0.27409267455318204</v>
      </c>
      <c r="AI258" s="1044">
        <f t="shared" si="135"/>
        <v>0.84318784679263259</v>
      </c>
      <c r="AJ258" s="1045">
        <f t="shared" si="135"/>
        <v>0.61468386170260925</v>
      </c>
      <c r="AK258" s="1086">
        <f t="shared" si="135"/>
        <v>0.60586678683234962</v>
      </c>
      <c r="AL258" s="1087">
        <f t="shared" si="135"/>
        <v>1.0076823839234048</v>
      </c>
      <c r="AM258" s="1087">
        <f t="shared" si="135"/>
        <v>0.99530591459045248</v>
      </c>
      <c r="AN258" s="1087">
        <f t="shared" si="135"/>
        <v>0.85128291656522326</v>
      </c>
      <c r="AO258" s="1087">
        <f t="shared" si="135"/>
        <v>1.0041020065141519</v>
      </c>
      <c r="AP258" s="1087">
        <f t="shared" si="135"/>
        <v>1.0268229637278774</v>
      </c>
      <c r="AQ258" s="1087">
        <f t="shared" si="135"/>
        <v>0.6560318109982165</v>
      </c>
      <c r="AR258" s="1087">
        <f t="shared" si="135"/>
        <v>0.83016384635643736</v>
      </c>
      <c r="AS258" s="1087">
        <f t="shared" si="135"/>
        <v>3.8998835630232813E-2</v>
      </c>
      <c r="AT258" s="1087">
        <f t="shared" si="135"/>
        <v>7.6817870827414494E-2</v>
      </c>
      <c r="AU258" s="1087">
        <f t="shared" si="135"/>
        <v>0.22896685031409972</v>
      </c>
      <c r="AV258" s="1087">
        <f t="shared" si="135"/>
        <v>0.78302290158525556</v>
      </c>
      <c r="AW258" s="1087">
        <f t="shared" si="135"/>
        <v>1.5787635853855893</v>
      </c>
      <c r="AX258" s="1087">
        <f t="shared" si="135"/>
        <v>0.94826443276412842</v>
      </c>
      <c r="AY258" s="1087">
        <f t="shared" si="135"/>
        <v>8.5086567212506153E-2</v>
      </c>
      <c r="AZ258" s="1087">
        <f t="shared" si="135"/>
        <v>1.2464168646368676</v>
      </c>
      <c r="BA258" s="1087">
        <f t="shared" si="135"/>
        <v>0.85092580132057172</v>
      </c>
      <c r="BB258" s="1088">
        <f t="shared" si="135"/>
        <v>0.61543698901823263</v>
      </c>
      <c r="BC258" s="1043"/>
    </row>
    <row r="259" spans="1:55" ht="12" customHeight="1" outlineLevel="1" x14ac:dyDescent="0.2">
      <c r="A259" s="123"/>
      <c r="B259" s="104" t="s">
        <v>113</v>
      </c>
      <c r="C259" s="104" t="s">
        <v>123</v>
      </c>
      <c r="D259" s="2" t="s">
        <v>151</v>
      </c>
      <c r="E259" s="2" t="s">
        <v>113</v>
      </c>
      <c r="F259" s="105" t="s">
        <v>96</v>
      </c>
      <c r="G259" s="27" t="s">
        <v>1582</v>
      </c>
      <c r="H259" s="106" t="s">
        <v>128</v>
      </c>
      <c r="I259" s="107" t="s">
        <v>1577</v>
      </c>
      <c r="J259" s="129">
        <v>2.11</v>
      </c>
      <c r="K259" s="130"/>
      <c r="L259" s="130"/>
      <c r="M259" s="131">
        <f t="shared" ca="1" si="128"/>
        <v>1.5216303566332361</v>
      </c>
      <c r="N259" s="133">
        <f t="shared" ca="1" si="128"/>
        <v>0.88769534911160042</v>
      </c>
      <c r="O259" s="1059" t="s">
        <v>1583</v>
      </c>
      <c r="P259" s="131">
        <f t="shared" ref="P259:BB259" si="136">IFERROR(P126/_xlfn.MAXIFS(P$19:P$150,$B$19:$B$150,$B259,$F$152:$F$283,"C"),"?")</f>
        <v>1.0895125986041114</v>
      </c>
      <c r="Q259" s="133">
        <f t="shared" si="136"/>
        <v>1.2633905303345025</v>
      </c>
      <c r="R259" s="132">
        <f t="shared" si="136"/>
        <v>0.84336004899295669</v>
      </c>
      <c r="S259" s="1044">
        <f t="shared" si="136"/>
        <v>0.6541514893280882</v>
      </c>
      <c r="T259" s="1044">
        <f t="shared" si="136"/>
        <v>0.72657584502096162</v>
      </c>
      <c r="U259" s="1044">
        <f t="shared" si="136"/>
        <v>1.013358839136822</v>
      </c>
      <c r="V259" s="1044">
        <f t="shared" si="136"/>
        <v>0.77196329387417206</v>
      </c>
      <c r="W259" s="1044">
        <f t="shared" si="136"/>
        <v>1.1143559141921469</v>
      </c>
      <c r="X259" s="1044">
        <f t="shared" si="136"/>
        <v>0.775687890633044</v>
      </c>
      <c r="Y259" s="1044">
        <f t="shared" si="136"/>
        <v>1.141574755890213</v>
      </c>
      <c r="Z259" s="1044">
        <f t="shared" si="136"/>
        <v>1.0680094829014892</v>
      </c>
      <c r="AA259" s="1044">
        <f t="shared" si="136"/>
        <v>0.9516850678283888</v>
      </c>
      <c r="AB259" s="1044">
        <f t="shared" si="136"/>
        <v>7.2022753712236404E-2</v>
      </c>
      <c r="AC259" s="1044">
        <f t="shared" si="136"/>
        <v>5.0404231108936166E-2</v>
      </c>
      <c r="AD259" s="1044">
        <f t="shared" si="136"/>
        <v>0.19543449698304968</v>
      </c>
      <c r="AE259" s="1044">
        <f t="shared" si="136"/>
        <v>1.0811983113703856</v>
      </c>
      <c r="AF259" s="1044">
        <f t="shared" si="136"/>
        <v>2.6110797993054033</v>
      </c>
      <c r="AG259" s="1044">
        <f t="shared" si="136"/>
        <v>1.5168575554360311</v>
      </c>
      <c r="AH259" s="1044">
        <f t="shared" si="136"/>
        <v>0.27437775061921327</v>
      </c>
      <c r="AI259" s="1044">
        <f t="shared" si="136"/>
        <v>0.85344476951513348</v>
      </c>
      <c r="AJ259" s="1045">
        <f t="shared" si="136"/>
        <v>0.61472158217172257</v>
      </c>
      <c r="AK259" s="1086">
        <f t="shared" si="136"/>
        <v>0.62372074990201498</v>
      </c>
      <c r="AL259" s="1087">
        <f t="shared" si="136"/>
        <v>1.0084841852735187</v>
      </c>
      <c r="AM259" s="1087">
        <f t="shared" si="136"/>
        <v>0.9960710296812354</v>
      </c>
      <c r="AN259" s="1087">
        <f t="shared" si="136"/>
        <v>0.87416034466804582</v>
      </c>
      <c r="AO259" s="1087">
        <f t="shared" si="136"/>
        <v>1.1106618840768208</v>
      </c>
      <c r="AP259" s="1087">
        <f t="shared" si="136"/>
        <v>1.145386726199179</v>
      </c>
      <c r="AQ259" s="1087">
        <f t="shared" si="136"/>
        <v>0.9934079294469822</v>
      </c>
      <c r="AR259" s="1087">
        <f t="shared" si="136"/>
        <v>0.97180593804252946</v>
      </c>
      <c r="AS259" s="1087">
        <f t="shared" si="136"/>
        <v>5.6861149951104438E-2</v>
      </c>
      <c r="AT259" s="1087">
        <f t="shared" si="136"/>
        <v>8.3668479922709954E-2</v>
      </c>
      <c r="AU259" s="1087">
        <f t="shared" si="136"/>
        <v>0.24576918410621096</v>
      </c>
      <c r="AV259" s="1087">
        <f t="shared" si="136"/>
        <v>1.2968983052125884</v>
      </c>
      <c r="AW259" s="1087">
        <f t="shared" si="136"/>
        <v>1.5787635853855893</v>
      </c>
      <c r="AX259" s="1087">
        <f t="shared" si="136"/>
        <v>0.94826443276412842</v>
      </c>
      <c r="AY259" s="1087">
        <f t="shared" si="136"/>
        <v>8.5086567212506153E-2</v>
      </c>
      <c r="AZ259" s="1087">
        <f t="shared" si="136"/>
        <v>1.2471308710675304</v>
      </c>
      <c r="BA259" s="1087">
        <f t="shared" si="136"/>
        <v>0.8613342491442324</v>
      </c>
      <c r="BB259" s="1088">
        <f t="shared" si="136"/>
        <v>0.61547456515899102</v>
      </c>
      <c r="BC259" s="1043"/>
    </row>
    <row r="260" spans="1:55" ht="12" customHeight="1" outlineLevel="1" x14ac:dyDescent="0.2">
      <c r="A260" s="123"/>
      <c r="B260" s="88" t="s">
        <v>114</v>
      </c>
      <c r="C260" s="88" t="s">
        <v>123</v>
      </c>
      <c r="D260" s="89" t="s">
        <v>152</v>
      </c>
      <c r="E260" s="89" t="s">
        <v>153</v>
      </c>
      <c r="F260" s="90" t="s">
        <v>92</v>
      </c>
      <c r="G260" s="18" t="s">
        <v>126</v>
      </c>
      <c r="H260" s="91" t="s">
        <v>127</v>
      </c>
      <c r="I260" s="92" t="s">
        <v>127</v>
      </c>
      <c r="J260" s="93">
        <v>1.91</v>
      </c>
      <c r="K260" s="94"/>
      <c r="L260" s="94"/>
      <c r="M260" s="126">
        <f t="shared" ca="1" si="128"/>
        <v>1</v>
      </c>
      <c r="N260" s="128">
        <f t="shared" ca="1" si="128"/>
        <v>1</v>
      </c>
      <c r="O260" s="1058" t="s">
        <v>1583</v>
      </c>
      <c r="P260" s="126">
        <f t="shared" ref="P260:BB260" si="137">IFERROR(P127/_xlfn.MAXIFS(P$19:P$150,$B$19:$B$150,$B260,$F$152:$F$283,"C"),"?")</f>
        <v>1</v>
      </c>
      <c r="Q260" s="128">
        <f t="shared" si="137"/>
        <v>1</v>
      </c>
      <c r="R260" s="127">
        <f t="shared" si="137"/>
        <v>1</v>
      </c>
      <c r="S260" s="1041">
        <f t="shared" si="137"/>
        <v>1</v>
      </c>
      <c r="T260" s="1041">
        <f t="shared" si="137"/>
        <v>1</v>
      </c>
      <c r="U260" s="1041">
        <f t="shared" si="137"/>
        <v>1</v>
      </c>
      <c r="V260" s="1041">
        <f t="shared" si="137"/>
        <v>1</v>
      </c>
      <c r="W260" s="1041">
        <f t="shared" si="137"/>
        <v>1</v>
      </c>
      <c r="X260" s="1041">
        <f t="shared" si="137"/>
        <v>1</v>
      </c>
      <c r="Y260" s="1041">
        <f t="shared" si="137"/>
        <v>1</v>
      </c>
      <c r="Z260" s="1041">
        <f t="shared" si="137"/>
        <v>1</v>
      </c>
      <c r="AA260" s="1041">
        <f t="shared" si="137"/>
        <v>1</v>
      </c>
      <c r="AB260" s="1041">
        <f t="shared" si="137"/>
        <v>1</v>
      </c>
      <c r="AC260" s="1041">
        <f t="shared" si="137"/>
        <v>1</v>
      </c>
      <c r="AD260" s="1041">
        <f t="shared" si="137"/>
        <v>1</v>
      </c>
      <c r="AE260" s="1041">
        <f t="shared" si="137"/>
        <v>1</v>
      </c>
      <c r="AF260" s="1041">
        <f t="shared" si="137"/>
        <v>1</v>
      </c>
      <c r="AG260" s="1041">
        <f t="shared" si="137"/>
        <v>1</v>
      </c>
      <c r="AH260" s="1041">
        <f t="shared" si="137"/>
        <v>1</v>
      </c>
      <c r="AI260" s="1041">
        <f t="shared" si="137"/>
        <v>1</v>
      </c>
      <c r="AJ260" s="1042">
        <f t="shared" si="137"/>
        <v>1</v>
      </c>
      <c r="AK260" s="1083">
        <f t="shared" si="137"/>
        <v>1</v>
      </c>
      <c r="AL260" s="1084">
        <f t="shared" si="137"/>
        <v>1</v>
      </c>
      <c r="AM260" s="1084">
        <f t="shared" si="137"/>
        <v>1</v>
      </c>
      <c r="AN260" s="1084">
        <f t="shared" si="137"/>
        <v>1</v>
      </c>
      <c r="AO260" s="1084">
        <f t="shared" si="137"/>
        <v>1</v>
      </c>
      <c r="AP260" s="1084">
        <f t="shared" si="137"/>
        <v>1</v>
      </c>
      <c r="AQ260" s="1084">
        <f t="shared" si="137"/>
        <v>1</v>
      </c>
      <c r="AR260" s="1084">
        <f t="shared" si="137"/>
        <v>1</v>
      </c>
      <c r="AS260" s="1084">
        <f t="shared" si="137"/>
        <v>1</v>
      </c>
      <c r="AT260" s="1084">
        <f t="shared" si="137"/>
        <v>1</v>
      </c>
      <c r="AU260" s="1084">
        <f t="shared" si="137"/>
        <v>1</v>
      </c>
      <c r="AV260" s="1084">
        <f t="shared" si="137"/>
        <v>1</v>
      </c>
      <c r="AW260" s="1084">
        <f t="shared" si="137"/>
        <v>1</v>
      </c>
      <c r="AX260" s="1084">
        <f t="shared" si="137"/>
        <v>1</v>
      </c>
      <c r="AY260" s="1084">
        <f t="shared" si="137"/>
        <v>1</v>
      </c>
      <c r="AZ260" s="1084">
        <f t="shared" si="137"/>
        <v>1</v>
      </c>
      <c r="BA260" s="1084">
        <f t="shared" si="137"/>
        <v>1</v>
      </c>
      <c r="BB260" s="1085">
        <f t="shared" si="137"/>
        <v>1</v>
      </c>
      <c r="BC260" s="1043"/>
    </row>
    <row r="261" spans="1:55" ht="12" customHeight="1" outlineLevel="1" x14ac:dyDescent="0.2">
      <c r="A261" s="123"/>
      <c r="B261" s="104" t="s">
        <v>114</v>
      </c>
      <c r="C261" s="104" t="s">
        <v>123</v>
      </c>
      <c r="D261" s="2" t="s">
        <v>152</v>
      </c>
      <c r="E261" s="2" t="s">
        <v>153</v>
      </c>
      <c r="F261" s="105" t="s">
        <v>122</v>
      </c>
      <c r="G261" s="27" t="s">
        <v>1579</v>
      </c>
      <c r="H261" s="106" t="s">
        <v>128</v>
      </c>
      <c r="I261" s="107" t="s">
        <v>129</v>
      </c>
      <c r="J261" s="108">
        <v>1.91</v>
      </c>
      <c r="K261" s="109"/>
      <c r="L261" s="109"/>
      <c r="M261" s="131">
        <f t="shared" ca="1" si="128"/>
        <v>1.0619865520127874</v>
      </c>
      <c r="N261" s="133">
        <f t="shared" ca="1" si="128"/>
        <v>0.84843121756740625</v>
      </c>
      <c r="O261" s="1059" t="s">
        <v>1583</v>
      </c>
      <c r="P261" s="131">
        <f t="shared" ref="P261:BB261" si="138">IFERROR(P128/_xlfn.MAXIFS(P$19:P$150,$B$19:$B$150,$B261,$F$152:$F$283,"C"),"?")</f>
        <v>0.74585720718228177</v>
      </c>
      <c r="Q261" s="133">
        <f t="shared" si="138"/>
        <v>1.4169600116299814</v>
      </c>
      <c r="R261" s="132">
        <f t="shared" si="138"/>
        <v>0.96236659296775773</v>
      </c>
      <c r="S261" s="1044">
        <f t="shared" si="138"/>
        <v>0.42488797778916804</v>
      </c>
      <c r="T261" s="1044">
        <f t="shared" si="138"/>
        <v>0.69468155195537296</v>
      </c>
      <c r="U261" s="1044">
        <f t="shared" si="138"/>
        <v>1.2762653775802444</v>
      </c>
      <c r="V261" s="1044">
        <f t="shared" si="138"/>
        <v>0.7656293626638857</v>
      </c>
      <c r="W261" s="1044">
        <f t="shared" si="138"/>
        <v>1.1771344452466699</v>
      </c>
      <c r="X261" s="1044">
        <f t="shared" si="138"/>
        <v>0.77264702880414093</v>
      </c>
      <c r="Y261" s="1044">
        <f t="shared" si="138"/>
        <v>1.2095206289372076</v>
      </c>
      <c r="Z261" s="1044">
        <f t="shared" si="138"/>
        <v>0.16351156382855325</v>
      </c>
      <c r="AA261" s="1044">
        <f t="shared" si="138"/>
        <v>0.83750401156098242</v>
      </c>
      <c r="AB261" s="1044">
        <f t="shared" si="138"/>
        <v>5.1836061689726022E-2</v>
      </c>
      <c r="AC261" s="1044">
        <f t="shared" si="138"/>
        <v>1.4615687979740532E-2</v>
      </c>
      <c r="AD261" s="1044">
        <f t="shared" si="138"/>
        <v>0.10855603019828079</v>
      </c>
      <c r="AE261" s="1044">
        <f t="shared" si="138"/>
        <v>0.63329063429961852</v>
      </c>
      <c r="AF261" s="1044">
        <f t="shared" si="138"/>
        <v>8.8777143451620869E-2</v>
      </c>
      <c r="AG261" s="1044">
        <f t="shared" si="138"/>
        <v>1.8772215549034115</v>
      </c>
      <c r="AH261" s="1044">
        <f t="shared" si="138"/>
        <v>0.23960034699390648</v>
      </c>
      <c r="AI261" s="1044">
        <f t="shared" si="138"/>
        <v>0.99836485732606894</v>
      </c>
      <c r="AJ261" s="1045">
        <f t="shared" si="138"/>
        <v>0.3883592735934559</v>
      </c>
      <c r="AK261" s="1086">
        <f t="shared" si="138"/>
        <v>0.42229116160669672</v>
      </c>
      <c r="AL261" s="1087">
        <f t="shared" si="138"/>
        <v>1.2710238020881484</v>
      </c>
      <c r="AM261" s="1087">
        <f t="shared" si="138"/>
        <v>1.2534827370951966</v>
      </c>
      <c r="AN261" s="1087">
        <f t="shared" si="138"/>
        <v>0.84863862872777529</v>
      </c>
      <c r="AO261" s="1087">
        <f t="shared" si="138"/>
        <v>1.1978789823139675</v>
      </c>
      <c r="AP261" s="1087">
        <f t="shared" si="138"/>
        <v>1.211574087417804</v>
      </c>
      <c r="AQ261" s="1087">
        <f t="shared" si="138"/>
        <v>0.19531861048070753</v>
      </c>
      <c r="AR261" s="1087">
        <f t="shared" si="138"/>
        <v>0.88891727063559167</v>
      </c>
      <c r="AS261" s="1087">
        <f t="shared" si="138"/>
        <v>6.2303226322396577E-4</v>
      </c>
      <c r="AT261" s="1087">
        <f t="shared" si="138"/>
        <v>4.6712583493700638E-2</v>
      </c>
      <c r="AU261" s="1087">
        <f t="shared" si="138"/>
        <v>0.19123085003286061</v>
      </c>
      <c r="AV261" s="1087">
        <f t="shared" si="138"/>
        <v>0.13594713600899955</v>
      </c>
      <c r="AW261" s="1087">
        <f t="shared" si="138"/>
        <v>2.120492047996914</v>
      </c>
      <c r="AX261" s="1087">
        <f t="shared" si="138"/>
        <v>1.0954187657234573</v>
      </c>
      <c r="AY261" s="1087">
        <f t="shared" si="138"/>
        <v>3.0273777772380021E-4</v>
      </c>
      <c r="AZ261" s="1087">
        <f t="shared" si="138"/>
        <v>1.4732486365505606</v>
      </c>
      <c r="BA261" s="1087">
        <f t="shared" si="138"/>
        <v>1.0035407431739785</v>
      </c>
      <c r="BB261" s="1088">
        <f t="shared" si="138"/>
        <v>0.38980770325774194</v>
      </c>
      <c r="BC261" s="1043"/>
    </row>
    <row r="262" spans="1:55" ht="12" customHeight="1" outlineLevel="1" x14ac:dyDescent="0.2">
      <c r="A262" s="123"/>
      <c r="B262" s="104" t="s">
        <v>114</v>
      </c>
      <c r="C262" s="104" t="s">
        <v>123</v>
      </c>
      <c r="D262" s="2" t="s">
        <v>152</v>
      </c>
      <c r="E262" s="2" t="s">
        <v>153</v>
      </c>
      <c r="F262" s="105" t="s">
        <v>93</v>
      </c>
      <c r="G262" s="27" t="s">
        <v>1578</v>
      </c>
      <c r="H262" s="106" t="s">
        <v>130</v>
      </c>
      <c r="I262" s="107" t="s">
        <v>129</v>
      </c>
      <c r="J262" s="108">
        <v>1.91</v>
      </c>
      <c r="K262" s="109"/>
      <c r="L262" s="109"/>
      <c r="M262" s="131">
        <f t="shared" ca="1" si="128"/>
        <v>1.0394905134262971</v>
      </c>
      <c r="N262" s="133">
        <f t="shared" ca="1" si="128"/>
        <v>0.8155011782026873</v>
      </c>
      <c r="O262" s="1059" t="s">
        <v>1583</v>
      </c>
      <c r="P262" s="131">
        <f t="shared" ref="P262:BB262" si="139">IFERROR(P129/_xlfn.MAXIFS(P$19:P$150,$B$19:$B$150,$B262,$F$152:$F$283,"C"),"?")</f>
        <v>0.67563729205077871</v>
      </c>
      <c r="Q262" s="133">
        <f t="shared" si="139"/>
        <v>1.4843869615553473</v>
      </c>
      <c r="R262" s="132">
        <f t="shared" si="139"/>
        <v>0.88938758615151348</v>
      </c>
      <c r="S262" s="1044">
        <f t="shared" si="139"/>
        <v>0.40637220620333658</v>
      </c>
      <c r="T262" s="1044">
        <f t="shared" si="139"/>
        <v>0.68622568923555627</v>
      </c>
      <c r="U262" s="1044">
        <f t="shared" si="139"/>
        <v>1.1255076671612498</v>
      </c>
      <c r="V262" s="1044">
        <f t="shared" si="139"/>
        <v>0.77286730827049488</v>
      </c>
      <c r="W262" s="1044">
        <f t="shared" si="139"/>
        <v>1.0222450426312466</v>
      </c>
      <c r="X262" s="1044">
        <f t="shared" si="139"/>
        <v>0.77823963002078567</v>
      </c>
      <c r="Y262" s="1044">
        <f t="shared" si="139"/>
        <v>1.0398919578307297</v>
      </c>
      <c r="Z262" s="1044">
        <f t="shared" si="139"/>
        <v>0.17699574633783322</v>
      </c>
      <c r="AA262" s="1044">
        <f t="shared" si="139"/>
        <v>0.90038515420137377</v>
      </c>
      <c r="AB262" s="1044">
        <f t="shared" si="139"/>
        <v>4.840118973730665E-2</v>
      </c>
      <c r="AC262" s="1044">
        <f t="shared" si="139"/>
        <v>1.600942055212878E-2</v>
      </c>
      <c r="AD262" s="1044">
        <f t="shared" si="139"/>
        <v>0.11797049822739235</v>
      </c>
      <c r="AE262" s="1044">
        <f t="shared" si="139"/>
        <v>0.64682113582021716</v>
      </c>
      <c r="AF262" s="1044">
        <f t="shared" si="139"/>
        <v>0.22109517965133726</v>
      </c>
      <c r="AG262" s="1044">
        <f t="shared" si="139"/>
        <v>2.0496019251843913</v>
      </c>
      <c r="AH262" s="1044">
        <f t="shared" si="139"/>
        <v>0.24485883457875071</v>
      </c>
      <c r="AI262" s="1044">
        <f t="shared" si="139"/>
        <v>0.9091693710249481</v>
      </c>
      <c r="AJ262" s="1045">
        <f t="shared" si="139"/>
        <v>0.35036381104253378</v>
      </c>
      <c r="AK262" s="1086">
        <f t="shared" si="139"/>
        <v>0.40462722166321091</v>
      </c>
      <c r="AL262" s="1087">
        <f t="shared" si="139"/>
        <v>1.1227216664702382</v>
      </c>
      <c r="AM262" s="1087">
        <f t="shared" si="139"/>
        <v>1.105674063921259</v>
      </c>
      <c r="AN262" s="1087">
        <f t="shared" si="139"/>
        <v>0.84280305329219785</v>
      </c>
      <c r="AO262" s="1087">
        <f t="shared" si="139"/>
        <v>1.0374945537422449</v>
      </c>
      <c r="AP262" s="1087">
        <f t="shared" si="139"/>
        <v>1.042385334405731</v>
      </c>
      <c r="AQ262" s="1087">
        <f t="shared" si="139"/>
        <v>0.20748709574524146</v>
      </c>
      <c r="AR262" s="1087">
        <f t="shared" si="139"/>
        <v>0.91982469620759155</v>
      </c>
      <c r="AS262" s="1087">
        <f t="shared" si="139"/>
        <v>1.4696866208102014E-3</v>
      </c>
      <c r="AT262" s="1087">
        <f t="shared" si="139"/>
        <v>4.9966984443125452E-2</v>
      </c>
      <c r="AU262" s="1087">
        <f t="shared" si="139"/>
        <v>0.20172198059621868</v>
      </c>
      <c r="AV262" s="1087">
        <f t="shared" si="139"/>
        <v>0.19860399261313194</v>
      </c>
      <c r="AW262" s="1087">
        <f t="shared" si="139"/>
        <v>2.3156521296801746</v>
      </c>
      <c r="AX262" s="1087">
        <f t="shared" si="139"/>
        <v>0.94371839902990817</v>
      </c>
      <c r="AY262" s="1087">
        <f t="shared" si="139"/>
        <v>2.5483683028675557E-4</v>
      </c>
      <c r="AZ262" s="1087">
        <f t="shared" si="139"/>
        <v>1.4455430321705782</v>
      </c>
      <c r="BA262" s="1087">
        <f t="shared" si="139"/>
        <v>0.91566722265612044</v>
      </c>
      <c r="BB262" s="1088">
        <f t="shared" si="139"/>
        <v>0.35157921908333772</v>
      </c>
      <c r="BC262" s="1043"/>
    </row>
    <row r="263" spans="1:55" ht="12" customHeight="1" outlineLevel="1" x14ac:dyDescent="0.2">
      <c r="A263" s="123"/>
      <c r="B263" s="104" t="s">
        <v>114</v>
      </c>
      <c r="C263" s="104" t="s">
        <v>123</v>
      </c>
      <c r="D263" s="2" t="s">
        <v>152</v>
      </c>
      <c r="E263" s="2" t="s">
        <v>153</v>
      </c>
      <c r="F263" s="105" t="s">
        <v>94</v>
      </c>
      <c r="G263" s="27" t="s">
        <v>1580</v>
      </c>
      <c r="H263" s="106" t="s">
        <v>131</v>
      </c>
      <c r="I263" s="107" t="s">
        <v>129</v>
      </c>
      <c r="J263" s="108">
        <v>1.91</v>
      </c>
      <c r="K263" s="109"/>
      <c r="L263" s="109"/>
      <c r="M263" s="131">
        <f t="shared" ca="1" si="128"/>
        <v>1.0806322043891543</v>
      </c>
      <c r="N263" s="133">
        <f t="shared" ca="1" si="128"/>
        <v>0.87572500373220052</v>
      </c>
      <c r="O263" s="1059" t="s">
        <v>1583</v>
      </c>
      <c r="P263" s="131">
        <f t="shared" ref="P263:BB263" si="140">IFERROR(P130/_xlfn.MAXIFS(P$19:P$150,$B$19:$B$150,$B263,$F$152:$F$283,"C"),"?")</f>
        <v>0.80419671818843208</v>
      </c>
      <c r="Q263" s="133">
        <f t="shared" si="140"/>
        <v>1.3606032539029813</v>
      </c>
      <c r="R263" s="132">
        <f t="shared" si="140"/>
        <v>1.0231524215952059</v>
      </c>
      <c r="S263" s="1044">
        <f t="shared" si="140"/>
        <v>0.44020994555702808</v>
      </c>
      <c r="T263" s="1044">
        <f t="shared" si="140"/>
        <v>0.69941772617427811</v>
      </c>
      <c r="U263" s="1044">
        <f t="shared" si="140"/>
        <v>1.4008940608549618</v>
      </c>
      <c r="V263" s="1044">
        <f t="shared" si="140"/>
        <v>0.75930443348336252</v>
      </c>
      <c r="W263" s="1044">
        <f t="shared" si="140"/>
        <v>1.3060629466541407</v>
      </c>
      <c r="X263" s="1044">
        <f t="shared" si="140"/>
        <v>0.76771999012958791</v>
      </c>
      <c r="Y263" s="1044">
        <f t="shared" si="140"/>
        <v>1.3507620077657587</v>
      </c>
      <c r="Z263" s="1044">
        <f t="shared" si="140"/>
        <v>0.15226882382363327</v>
      </c>
      <c r="AA263" s="1044">
        <f t="shared" si="140"/>
        <v>0.78064797852065015</v>
      </c>
      <c r="AB263" s="1044">
        <f t="shared" si="140"/>
        <v>5.471371654771115E-2</v>
      </c>
      <c r="AC263" s="1044">
        <f t="shared" si="140"/>
        <v>1.3451053221796619E-2</v>
      </c>
      <c r="AD263" s="1044">
        <f t="shared" si="140"/>
        <v>0.10069084196666006</v>
      </c>
      <c r="AE263" s="1044">
        <f t="shared" si="140"/>
        <v>0.62196082196058167</v>
      </c>
      <c r="AF263" s="1044">
        <f t="shared" si="140"/>
        <v>-2.2284262988372865E-2</v>
      </c>
      <c r="AG263" s="1044">
        <f t="shared" si="140"/>
        <v>1.7333671881417716</v>
      </c>
      <c r="AH263" s="1044">
        <f t="shared" si="140"/>
        <v>0.23515333162334837</v>
      </c>
      <c r="AI263" s="1044">
        <f t="shared" si="140"/>
        <v>1.0726958704840763</v>
      </c>
      <c r="AJ263" s="1045">
        <f t="shared" si="140"/>
        <v>0.41890464917803083</v>
      </c>
      <c r="AK263" s="1086">
        <f t="shared" si="140"/>
        <v>0.43694206836930882</v>
      </c>
      <c r="AL263" s="1087">
        <f t="shared" si="140"/>
        <v>1.3935562128977887</v>
      </c>
      <c r="AM263" s="1087">
        <f t="shared" si="140"/>
        <v>1.3756733557028555</v>
      </c>
      <c r="AN263" s="1087">
        <f t="shared" si="140"/>
        <v>0.85335335534602408</v>
      </c>
      <c r="AO263" s="1087">
        <f t="shared" si="140"/>
        <v>1.3315977091738076</v>
      </c>
      <c r="AP263" s="1087">
        <f t="shared" si="140"/>
        <v>1.3524475979920556</v>
      </c>
      <c r="AQ263" s="1087">
        <f t="shared" si="140"/>
        <v>0.18510721882377332</v>
      </c>
      <c r="AR263" s="1087">
        <f t="shared" si="140"/>
        <v>0.85931423554020647</v>
      </c>
      <c r="AS263" s="1087">
        <f t="shared" si="140"/>
        <v>-9.2961675936030949E-5</v>
      </c>
      <c r="AT263" s="1087">
        <f t="shared" si="140"/>
        <v>4.3988485876256096E-2</v>
      </c>
      <c r="AU263" s="1087">
        <f t="shared" si="140"/>
        <v>0.18245021239028969</v>
      </c>
      <c r="AV263" s="1087">
        <f t="shared" si="140"/>
        <v>8.3453014953689592E-2</v>
      </c>
      <c r="AW263" s="1087">
        <f t="shared" si="140"/>
        <v>1.9576722032281819</v>
      </c>
      <c r="AX263" s="1087">
        <f t="shared" si="140"/>
        <v>1.2221554325809945</v>
      </c>
      <c r="AY263" s="1087">
        <f t="shared" si="140"/>
        <v>3.4254910287056264E-4</v>
      </c>
      <c r="AZ263" s="1087">
        <f t="shared" si="140"/>
        <v>1.4956100715058003</v>
      </c>
      <c r="BA263" s="1087">
        <f t="shared" si="140"/>
        <v>1.0767143395480894</v>
      </c>
      <c r="BB263" s="1088">
        <f t="shared" si="140"/>
        <v>0.42055028963611374</v>
      </c>
      <c r="BC263" s="1043"/>
    </row>
    <row r="264" spans="1:55" ht="12" customHeight="1" outlineLevel="1" x14ac:dyDescent="0.2">
      <c r="A264" s="123"/>
      <c r="B264" s="104" t="s">
        <v>114</v>
      </c>
      <c r="C264" s="104" t="s">
        <v>123</v>
      </c>
      <c r="D264" s="2" t="s">
        <v>152</v>
      </c>
      <c r="E264" s="2" t="s">
        <v>153</v>
      </c>
      <c r="F264" s="105" t="s">
        <v>95</v>
      </c>
      <c r="G264" s="27" t="s">
        <v>1581</v>
      </c>
      <c r="H264" s="106" t="s">
        <v>128</v>
      </c>
      <c r="I264" s="107" t="s">
        <v>127</v>
      </c>
      <c r="J264" s="108">
        <v>1.91</v>
      </c>
      <c r="K264" s="109"/>
      <c r="L264" s="109"/>
      <c r="M264" s="131">
        <f t="shared" ca="1" si="128"/>
        <v>1.1183676860120566</v>
      </c>
      <c r="N264" s="133">
        <f t="shared" ca="1" si="128"/>
        <v>0.9309627688396559</v>
      </c>
      <c r="O264" s="1059" t="s">
        <v>1583</v>
      </c>
      <c r="P264" s="131">
        <f t="shared" ref="P264:BB264" si="141">IFERROR(P131/_xlfn.MAXIFS(P$19:P$150,$B$19:$B$150,$B264,$F$152:$F$283,"C"),"?")</f>
        <v>1.0464282672649439</v>
      </c>
      <c r="Q264" s="133">
        <f t="shared" si="141"/>
        <v>1.4619104718723093</v>
      </c>
      <c r="R264" s="132">
        <f t="shared" si="141"/>
        <v>0.98316347912757451</v>
      </c>
      <c r="S264" s="1044">
        <f t="shared" si="141"/>
        <v>0.45011858283881717</v>
      </c>
      <c r="T264" s="1044">
        <f t="shared" si="141"/>
        <v>0.87628808694650928</v>
      </c>
      <c r="U264" s="1044">
        <f t="shared" si="141"/>
        <v>1.2778244271848198</v>
      </c>
      <c r="V264" s="1044">
        <f t="shared" si="141"/>
        <v>0.80579106781552379</v>
      </c>
      <c r="W264" s="1044">
        <f t="shared" si="141"/>
        <v>1.3660263730818478</v>
      </c>
      <c r="X264" s="1044">
        <f t="shared" si="141"/>
        <v>0.81241182192094596</v>
      </c>
      <c r="Y264" s="1044">
        <f t="shared" si="141"/>
        <v>1.4133257408580038</v>
      </c>
      <c r="Z264" s="1044">
        <f t="shared" si="141"/>
        <v>0.73340759502690234</v>
      </c>
      <c r="AA264" s="1044">
        <f t="shared" si="141"/>
        <v>1.1746045979325697</v>
      </c>
      <c r="AB264" s="1044">
        <f t="shared" si="141"/>
        <v>6.5452112286453173E-2</v>
      </c>
      <c r="AC264" s="1044">
        <f t="shared" si="141"/>
        <v>2.626612960873714E-2</v>
      </c>
      <c r="AD264" s="1044">
        <f t="shared" si="141"/>
        <v>0.17870839419981108</v>
      </c>
      <c r="AE264" s="1044">
        <f t="shared" si="141"/>
        <v>1.0064159536719786</v>
      </c>
      <c r="AF264" s="1044">
        <f t="shared" si="141"/>
        <v>2.9389550591933284</v>
      </c>
      <c r="AG264" s="1044">
        <f t="shared" si="141"/>
        <v>1.8772215549034115</v>
      </c>
      <c r="AH264" s="1044">
        <f t="shared" si="141"/>
        <v>0.23999726954018763</v>
      </c>
      <c r="AI264" s="1044">
        <f t="shared" si="141"/>
        <v>1.01558568462467</v>
      </c>
      <c r="AJ264" s="1045">
        <f t="shared" si="141"/>
        <v>0.38842407391326306</v>
      </c>
      <c r="AK264" s="1086">
        <f t="shared" si="141"/>
        <v>0.4478691061982682</v>
      </c>
      <c r="AL264" s="1087">
        <f t="shared" si="141"/>
        <v>1.2726230383456338</v>
      </c>
      <c r="AM264" s="1087">
        <f t="shared" si="141"/>
        <v>1.2550069497991729</v>
      </c>
      <c r="AN264" s="1087">
        <f t="shared" si="141"/>
        <v>0.88723981717224876</v>
      </c>
      <c r="AO264" s="1087">
        <f t="shared" si="141"/>
        <v>1.3558520830225915</v>
      </c>
      <c r="AP264" s="1087">
        <f t="shared" si="141"/>
        <v>1.4154411307383616</v>
      </c>
      <c r="AQ264" s="1087">
        <f t="shared" si="141"/>
        <v>0.69627034862971859</v>
      </c>
      <c r="AR264" s="1087">
        <f t="shared" si="141"/>
        <v>1.2069486078901537</v>
      </c>
      <c r="AS264" s="1087">
        <f t="shared" si="141"/>
        <v>2.6609048300735572E-2</v>
      </c>
      <c r="AT264" s="1087">
        <f t="shared" si="141"/>
        <v>6.3054187765326203E-2</v>
      </c>
      <c r="AU264" s="1087">
        <f t="shared" si="141"/>
        <v>0.23737173985990695</v>
      </c>
      <c r="AV264" s="1087">
        <f t="shared" si="141"/>
        <v>1.0435470883930835</v>
      </c>
      <c r="AW264" s="1087">
        <f t="shared" si="141"/>
        <v>2.120492047996914</v>
      </c>
      <c r="AX264" s="1087">
        <f t="shared" si="141"/>
        <v>1.0954187657234573</v>
      </c>
      <c r="AY264" s="1087">
        <f t="shared" si="141"/>
        <v>3.0273777772380021E-4</v>
      </c>
      <c r="AZ264" s="1087">
        <f t="shared" si="141"/>
        <v>1.4744597331066891</v>
      </c>
      <c r="BA264" s="1087">
        <f t="shared" si="141"/>
        <v>1.0210765938097748</v>
      </c>
      <c r="BB264" s="1088">
        <f t="shared" si="141"/>
        <v>0.38987235892102007</v>
      </c>
      <c r="BC264" s="1043"/>
    </row>
    <row r="265" spans="1:55" ht="12" customHeight="1" outlineLevel="1" x14ac:dyDescent="0.2">
      <c r="A265" s="123"/>
      <c r="B265" s="104" t="s">
        <v>114</v>
      </c>
      <c r="C265" s="104" t="s">
        <v>123</v>
      </c>
      <c r="D265" s="2" t="s">
        <v>152</v>
      </c>
      <c r="E265" s="2" t="s">
        <v>153</v>
      </c>
      <c r="F265" s="105" t="s">
        <v>96</v>
      </c>
      <c r="G265" s="27" t="s">
        <v>1582</v>
      </c>
      <c r="H265" s="106" t="s">
        <v>128</v>
      </c>
      <c r="I265" s="107" t="s">
        <v>1577</v>
      </c>
      <c r="J265" s="129">
        <v>1.91</v>
      </c>
      <c r="K265" s="130"/>
      <c r="L265" s="130"/>
      <c r="M265" s="131">
        <f t="shared" ca="1" si="128"/>
        <v>1.1603908430892964</v>
      </c>
      <c r="N265" s="133">
        <f t="shared" ca="1" si="128"/>
        <v>0.99247689771451997</v>
      </c>
      <c r="O265" s="1059" t="s">
        <v>1583</v>
      </c>
      <c r="P265" s="131">
        <f t="shared" ref="P265:BB265" si="142">IFERROR(P132/_xlfn.MAXIFS(P$19:P$150,$B$19:$B$150,$B265,$F$152:$F$283,"C"),"?")</f>
        <v>1.2824503637076869</v>
      </c>
      <c r="Q265" s="133">
        <f t="shared" si="142"/>
        <v>1.4950775604894555</v>
      </c>
      <c r="R265" s="132">
        <f t="shared" si="142"/>
        <v>0.99673585320388114</v>
      </c>
      <c r="S265" s="1044">
        <f t="shared" si="142"/>
        <v>0.46849912766176488</v>
      </c>
      <c r="T265" s="1044">
        <f t="shared" si="142"/>
        <v>1.01128063643081</v>
      </c>
      <c r="U265" s="1044">
        <f t="shared" si="142"/>
        <v>1.2788418695845605</v>
      </c>
      <c r="V265" s="1044">
        <f t="shared" si="142"/>
        <v>0.83200120701509606</v>
      </c>
      <c r="W265" s="1044">
        <f t="shared" si="142"/>
        <v>1.5061353193378837</v>
      </c>
      <c r="X265" s="1044">
        <f t="shared" si="142"/>
        <v>0.83836296485639028</v>
      </c>
      <c r="Y265" s="1044">
        <f t="shared" si="142"/>
        <v>1.5647014391203378</v>
      </c>
      <c r="Z265" s="1044">
        <f t="shared" si="142"/>
        <v>1.1397516076303305</v>
      </c>
      <c r="AA265" s="1044">
        <f t="shared" si="142"/>
        <v>1.4252181320930348</v>
      </c>
      <c r="AB265" s="1044">
        <f t="shared" si="142"/>
        <v>7.4338159056519776E-2</v>
      </c>
      <c r="AC265" s="1044">
        <f t="shared" si="142"/>
        <v>3.0825698312341797E-2</v>
      </c>
      <c r="AD265" s="1044">
        <f t="shared" si="142"/>
        <v>0.20157294292574843</v>
      </c>
      <c r="AE265" s="1044">
        <f t="shared" si="142"/>
        <v>1.3229835628454996</v>
      </c>
      <c r="AF265" s="1044">
        <f t="shared" si="142"/>
        <v>5.2396939333512673</v>
      </c>
      <c r="AG265" s="1044">
        <f t="shared" si="142"/>
        <v>1.8772215549034115</v>
      </c>
      <c r="AH265" s="1044">
        <f t="shared" si="142"/>
        <v>0.24025630629950986</v>
      </c>
      <c r="AI265" s="1044">
        <f t="shared" si="142"/>
        <v>1.0268242555882434</v>
      </c>
      <c r="AJ265" s="1045">
        <f t="shared" si="142"/>
        <v>0.38846636104402227</v>
      </c>
      <c r="AK265" s="1086">
        <f t="shared" si="142"/>
        <v>0.46650544483386719</v>
      </c>
      <c r="AL265" s="1087">
        <f t="shared" si="142"/>
        <v>1.2736666925748159</v>
      </c>
      <c r="AM265" s="1087">
        <f t="shared" si="142"/>
        <v>1.2560016230546531</v>
      </c>
      <c r="AN265" s="1087">
        <f t="shared" si="142"/>
        <v>0.91243155587799141</v>
      </c>
      <c r="AO265" s="1087">
        <f t="shared" si="142"/>
        <v>1.4728908603778093</v>
      </c>
      <c r="AP265" s="1087">
        <f t="shared" si="142"/>
        <v>1.5668363550898385</v>
      </c>
      <c r="AQ265" s="1087">
        <f t="shared" si="142"/>
        <v>1.0571657306872726</v>
      </c>
      <c r="AR265" s="1087">
        <f t="shared" si="142"/>
        <v>1.4433461738287161</v>
      </c>
      <c r="AS265" s="1087">
        <f t="shared" si="142"/>
        <v>4.5226717267243782E-2</v>
      </c>
      <c r="AT265" s="1087">
        <f t="shared" si="142"/>
        <v>7.0121705820320998E-2</v>
      </c>
      <c r="AU265" s="1087">
        <f t="shared" si="142"/>
        <v>0.25597678387136225</v>
      </c>
      <c r="AV265" s="1087">
        <f t="shared" si="142"/>
        <v>1.814287190668189</v>
      </c>
      <c r="AW265" s="1087">
        <f t="shared" si="142"/>
        <v>2.120492047996914</v>
      </c>
      <c r="AX265" s="1087">
        <f t="shared" si="142"/>
        <v>1.0954187657234573</v>
      </c>
      <c r="AY265" s="1087">
        <f t="shared" si="142"/>
        <v>3.0273777772380021E-4</v>
      </c>
      <c r="AZ265" s="1087">
        <f t="shared" si="142"/>
        <v>1.4752501415256027</v>
      </c>
      <c r="BA265" s="1087">
        <f t="shared" si="142"/>
        <v>1.0325208016171561</v>
      </c>
      <c r="BB265" s="1088">
        <f t="shared" si="142"/>
        <v>0.38991455639742778</v>
      </c>
      <c r="BC265" s="1043"/>
    </row>
    <row r="266" spans="1:55" ht="12" customHeight="1" outlineLevel="1" x14ac:dyDescent="0.2">
      <c r="A266" s="123"/>
      <c r="B266" s="88" t="s">
        <v>2366</v>
      </c>
      <c r="C266" s="88" t="s">
        <v>123</v>
      </c>
      <c r="D266" s="89" t="s">
        <v>154</v>
      </c>
      <c r="E266" s="89" t="s">
        <v>155</v>
      </c>
      <c r="F266" s="90" t="s">
        <v>92</v>
      </c>
      <c r="G266" s="18" t="s">
        <v>126</v>
      </c>
      <c r="H266" s="91" t="s">
        <v>127</v>
      </c>
      <c r="I266" s="92" t="s">
        <v>127</v>
      </c>
      <c r="J266" s="93">
        <v>2.15</v>
      </c>
      <c r="K266" s="94"/>
      <c r="L266" s="94"/>
      <c r="M266" s="126">
        <f t="shared" ca="1" si="128"/>
        <v>1</v>
      </c>
      <c r="N266" s="128">
        <f t="shared" ca="1" si="128"/>
        <v>1</v>
      </c>
      <c r="O266" s="1058" t="s">
        <v>1583</v>
      </c>
      <c r="P266" s="126">
        <f t="shared" ref="P266:BB266" si="143">IFERROR(P133/_xlfn.MAXIFS(P$19:P$150,$B$19:$B$150,$B266,$F$152:$F$283,"C"),"?")</f>
        <v>1</v>
      </c>
      <c r="Q266" s="128">
        <f t="shared" si="143"/>
        <v>1</v>
      </c>
      <c r="R266" s="127">
        <f t="shared" si="143"/>
        <v>1</v>
      </c>
      <c r="S266" s="1041">
        <f t="shared" si="143"/>
        <v>1</v>
      </c>
      <c r="T266" s="1041">
        <f t="shared" si="143"/>
        <v>1</v>
      </c>
      <c r="U266" s="1041">
        <f t="shared" si="143"/>
        <v>1</v>
      </c>
      <c r="V266" s="1041">
        <f t="shared" si="143"/>
        <v>1</v>
      </c>
      <c r="W266" s="1041">
        <f t="shared" si="143"/>
        <v>1</v>
      </c>
      <c r="X266" s="1041">
        <f t="shared" si="143"/>
        <v>1</v>
      </c>
      <c r="Y266" s="1041">
        <f t="shared" si="143"/>
        <v>1</v>
      </c>
      <c r="Z266" s="1041">
        <f t="shared" si="143"/>
        <v>1</v>
      </c>
      <c r="AA266" s="1041">
        <f t="shared" si="143"/>
        <v>1</v>
      </c>
      <c r="AB266" s="1041">
        <f t="shared" si="143"/>
        <v>1</v>
      </c>
      <c r="AC266" s="1041">
        <f t="shared" si="143"/>
        <v>1</v>
      </c>
      <c r="AD266" s="1041">
        <f t="shared" si="143"/>
        <v>1</v>
      </c>
      <c r="AE266" s="1041">
        <f t="shared" si="143"/>
        <v>1</v>
      </c>
      <c r="AF266" s="1041">
        <f t="shared" si="143"/>
        <v>1</v>
      </c>
      <c r="AG266" s="1041">
        <f t="shared" si="143"/>
        <v>1</v>
      </c>
      <c r="AH266" s="1041">
        <f t="shared" si="143"/>
        <v>1</v>
      </c>
      <c r="AI266" s="1041">
        <f t="shared" si="143"/>
        <v>1</v>
      </c>
      <c r="AJ266" s="1042">
        <f t="shared" si="143"/>
        <v>1</v>
      </c>
      <c r="AK266" s="1083">
        <f t="shared" si="143"/>
        <v>1</v>
      </c>
      <c r="AL266" s="1084">
        <f t="shared" si="143"/>
        <v>1</v>
      </c>
      <c r="AM266" s="1084">
        <f t="shared" si="143"/>
        <v>1</v>
      </c>
      <c r="AN266" s="1084">
        <f t="shared" si="143"/>
        <v>1</v>
      </c>
      <c r="AO266" s="1084">
        <f t="shared" si="143"/>
        <v>1</v>
      </c>
      <c r="AP266" s="1084">
        <f t="shared" si="143"/>
        <v>1</v>
      </c>
      <c r="AQ266" s="1084">
        <f t="shared" si="143"/>
        <v>1</v>
      </c>
      <c r="AR266" s="1084">
        <f t="shared" si="143"/>
        <v>1</v>
      </c>
      <c r="AS266" s="1084">
        <f t="shared" si="143"/>
        <v>1</v>
      </c>
      <c r="AT266" s="1084">
        <f t="shared" si="143"/>
        <v>1</v>
      </c>
      <c r="AU266" s="1084">
        <f t="shared" si="143"/>
        <v>1</v>
      </c>
      <c r="AV266" s="1084">
        <f t="shared" si="143"/>
        <v>1</v>
      </c>
      <c r="AW266" s="1084">
        <f t="shared" si="143"/>
        <v>1</v>
      </c>
      <c r="AX266" s="1084">
        <f t="shared" si="143"/>
        <v>1</v>
      </c>
      <c r="AY266" s="1084">
        <f t="shared" si="143"/>
        <v>1</v>
      </c>
      <c r="AZ266" s="1084">
        <f t="shared" si="143"/>
        <v>1</v>
      </c>
      <c r="BA266" s="1084">
        <f t="shared" si="143"/>
        <v>1</v>
      </c>
      <c r="BB266" s="1085">
        <f t="shared" si="143"/>
        <v>1</v>
      </c>
      <c r="BC266" s="1043"/>
    </row>
    <row r="267" spans="1:55" ht="12" customHeight="1" outlineLevel="1" x14ac:dyDescent="0.2">
      <c r="A267" s="123"/>
      <c r="B267" s="104" t="s">
        <v>2366</v>
      </c>
      <c r="C267" s="104" t="s">
        <v>123</v>
      </c>
      <c r="D267" s="2" t="s">
        <v>154</v>
      </c>
      <c r="E267" s="2" t="s">
        <v>155</v>
      </c>
      <c r="F267" s="105" t="s">
        <v>122</v>
      </c>
      <c r="G267" s="27" t="s">
        <v>1579</v>
      </c>
      <c r="H267" s="106" t="s">
        <v>128</v>
      </c>
      <c r="I267" s="107" t="s">
        <v>129</v>
      </c>
      <c r="J267" s="108">
        <v>2.15</v>
      </c>
      <c r="K267" s="109"/>
      <c r="L267" s="109"/>
      <c r="M267" s="131">
        <f t="shared" ca="1" si="128"/>
        <v>1.0736686990165791</v>
      </c>
      <c r="N267" s="133">
        <f t="shared" ca="1" si="128"/>
        <v>1.0109260940082954</v>
      </c>
      <c r="O267" s="1059" t="s">
        <v>1583</v>
      </c>
      <c r="P267" s="131">
        <f t="shared" ref="P267:BB267" si="144">IFERROR(P134/_xlfn.MAXIFS(P$19:P$150,$B$19:$B$150,$B267,$F$152:$F$283,"C"),"?")</f>
        <v>1.0485537814176218</v>
      </c>
      <c r="Q267" s="133">
        <f t="shared" si="144"/>
        <v>1.2021787098457419</v>
      </c>
      <c r="R267" s="132">
        <f t="shared" si="144"/>
        <v>0.80947194086029695</v>
      </c>
      <c r="S267" s="1044">
        <f t="shared" si="144"/>
        <v>0.95264803753611826</v>
      </c>
      <c r="T267" s="1044">
        <f t="shared" si="144"/>
        <v>0.65501981656075492</v>
      </c>
      <c r="U267" s="1044">
        <f t="shared" si="144"/>
        <v>0.90795932119321054</v>
      </c>
      <c r="V267" s="1044">
        <f t="shared" si="144"/>
        <v>1.0814994769386044</v>
      </c>
      <c r="W267" s="1044">
        <f t="shared" si="144"/>
        <v>1.1187340390970733</v>
      </c>
      <c r="X267" s="1044">
        <f t="shared" si="144"/>
        <v>1.0827075204116992</v>
      </c>
      <c r="Y267" s="1044">
        <f t="shared" si="144"/>
        <v>1.1198886050511181</v>
      </c>
      <c r="Z267" s="1044">
        <f t="shared" si="144"/>
        <v>0.45716116639414345</v>
      </c>
      <c r="AA267" s="1044">
        <f t="shared" si="144"/>
        <v>0.9229182635608093</v>
      </c>
      <c r="AB267" s="1044">
        <f t="shared" si="144"/>
        <v>0.11418965081782369</v>
      </c>
      <c r="AC267" s="1044">
        <f t="shared" si="144"/>
        <v>7.839068881148939E-2</v>
      </c>
      <c r="AD267" s="1044">
        <f t="shared" si="144"/>
        <v>0.40858343295149385</v>
      </c>
      <c r="AE267" s="1044">
        <f t="shared" si="144"/>
        <v>0.99330732609986949</v>
      </c>
      <c r="AF267" s="1044">
        <f t="shared" si="144"/>
        <v>0.98218955443931943</v>
      </c>
      <c r="AG267" s="1044">
        <f t="shared" si="144"/>
        <v>1.4149202142459902</v>
      </c>
      <c r="AH267" s="1044">
        <f t="shared" si="144"/>
        <v>0.25218781419215419</v>
      </c>
      <c r="AI267" s="1044">
        <f t="shared" si="144"/>
        <v>0.78265486836954623</v>
      </c>
      <c r="AJ267" s="1045">
        <f t="shared" si="144"/>
        <v>0.85355774142624363</v>
      </c>
      <c r="AK267" s="1086">
        <f t="shared" si="144"/>
        <v>0.88502634601937102</v>
      </c>
      <c r="AL267" s="1087">
        <f t="shared" si="144"/>
        <v>0.90464144897173193</v>
      </c>
      <c r="AM267" s="1087">
        <f t="shared" si="144"/>
        <v>0.86392919404027646</v>
      </c>
      <c r="AN267" s="1087">
        <f t="shared" si="144"/>
        <v>1.1432916116882883</v>
      </c>
      <c r="AO267" s="1087">
        <f t="shared" si="144"/>
        <v>1.1217779687613862</v>
      </c>
      <c r="AP267" s="1087">
        <f t="shared" si="144"/>
        <v>1.1206994957806948</v>
      </c>
      <c r="AQ267" s="1087">
        <f t="shared" si="144"/>
        <v>0.92059131649642678</v>
      </c>
      <c r="AR267" s="1087">
        <f t="shared" si="144"/>
        <v>0.93901580454843492</v>
      </c>
      <c r="AS267" s="1087">
        <f t="shared" si="144"/>
        <v>6.6926175380348146E-2</v>
      </c>
      <c r="AT267" s="1087">
        <f t="shared" si="144"/>
        <v>0.1746398094917451</v>
      </c>
      <c r="AU267" s="1087">
        <f t="shared" si="144"/>
        <v>0.50800223738968908</v>
      </c>
      <c r="AV267" s="1087">
        <f t="shared" si="144"/>
        <v>0.59107448282874209</v>
      </c>
      <c r="AW267" s="1087">
        <f t="shared" si="144"/>
        <v>1.6346757009792829</v>
      </c>
      <c r="AX267" s="1087">
        <f t="shared" si="144"/>
        <v>0.49918971035102139</v>
      </c>
      <c r="AY267" s="1087">
        <f t="shared" si="144"/>
        <v>-8.1625629745687616E-6</v>
      </c>
      <c r="AZ267" s="1087">
        <f t="shared" si="144"/>
        <v>1.2894502607231799</v>
      </c>
      <c r="BA267" s="1087">
        <f t="shared" si="144"/>
        <v>0.7987906835651033</v>
      </c>
      <c r="BB267" s="1088">
        <f t="shared" si="144"/>
        <v>0.85298891919648645</v>
      </c>
      <c r="BC267" s="1043"/>
    </row>
    <row r="268" spans="1:55" ht="12" customHeight="1" outlineLevel="1" x14ac:dyDescent="0.2">
      <c r="A268" s="123"/>
      <c r="B268" s="104" t="s">
        <v>2366</v>
      </c>
      <c r="C268" s="104" t="s">
        <v>123</v>
      </c>
      <c r="D268" s="2" t="s">
        <v>154</v>
      </c>
      <c r="E268" s="2" t="s">
        <v>155</v>
      </c>
      <c r="F268" s="105" t="s">
        <v>93</v>
      </c>
      <c r="G268" s="27" t="s">
        <v>1578</v>
      </c>
      <c r="H268" s="106" t="s">
        <v>130</v>
      </c>
      <c r="I268" s="107" t="s">
        <v>129</v>
      </c>
      <c r="J268" s="108">
        <v>2.15</v>
      </c>
      <c r="K268" s="109"/>
      <c r="L268" s="109"/>
      <c r="M268" s="131">
        <f t="shared" ca="1" si="128"/>
        <v>1.0665540983395545</v>
      </c>
      <c r="N268" s="133">
        <f t="shared" ca="1" si="128"/>
        <v>1.0011224172030138</v>
      </c>
      <c r="O268" s="1059" t="s">
        <v>1583</v>
      </c>
      <c r="P268" s="131">
        <f t="shared" ref="P268:BB268" si="145">IFERROR(P135/_xlfn.MAXIFS(P$19:P$150,$B$19:$B$150,$B268,$F$152:$F$283,"C"),"?")</f>
        <v>1.0247974955799213</v>
      </c>
      <c r="Q268" s="133">
        <f t="shared" si="145"/>
        <v>1.2258596603418248</v>
      </c>
      <c r="R268" s="132">
        <f t="shared" si="145"/>
        <v>0.80765928457764202</v>
      </c>
      <c r="S268" s="1044">
        <f t="shared" si="145"/>
        <v>0.9344409089108513</v>
      </c>
      <c r="T268" s="1044">
        <f t="shared" si="145"/>
        <v>0.64366773659713261</v>
      </c>
      <c r="U268" s="1044">
        <f t="shared" si="145"/>
        <v>0.91824114796587697</v>
      </c>
      <c r="V268" s="1044">
        <f t="shared" si="145"/>
        <v>1.0860106137339385</v>
      </c>
      <c r="W268" s="1044">
        <f t="shared" si="145"/>
        <v>1.0900110145762865</v>
      </c>
      <c r="X268" s="1044">
        <f t="shared" si="145"/>
        <v>1.0871663713154316</v>
      </c>
      <c r="Y268" s="1044">
        <f t="shared" si="145"/>
        <v>1.0899513168805972</v>
      </c>
      <c r="Z268" s="1044">
        <f t="shared" si="145"/>
        <v>0.46542237129868091</v>
      </c>
      <c r="AA268" s="1044">
        <f t="shared" si="145"/>
        <v>0.90894012635387544</v>
      </c>
      <c r="AB268" s="1044">
        <f t="shared" si="145"/>
        <v>0.11391736369902046</v>
      </c>
      <c r="AC268" s="1044">
        <f t="shared" si="145"/>
        <v>7.9113615634509221E-2</v>
      </c>
      <c r="AD268" s="1044">
        <f t="shared" si="145"/>
        <v>0.41270866556434044</v>
      </c>
      <c r="AE268" s="1044">
        <f t="shared" si="145"/>
        <v>0.98114879276142763</v>
      </c>
      <c r="AF268" s="1044">
        <f t="shared" si="145"/>
        <v>0.96731540488657553</v>
      </c>
      <c r="AG268" s="1044">
        <f t="shared" si="145"/>
        <v>1.505372986304264</v>
      </c>
      <c r="AH268" s="1044">
        <f t="shared" si="145"/>
        <v>0.2594490158788515</v>
      </c>
      <c r="AI268" s="1044">
        <f t="shared" si="145"/>
        <v>0.77957983812257803</v>
      </c>
      <c r="AJ268" s="1045">
        <f t="shared" si="145"/>
        <v>0.83952426779459066</v>
      </c>
      <c r="AK268" s="1086">
        <f t="shared" si="145"/>
        <v>0.87034965779791484</v>
      </c>
      <c r="AL268" s="1087">
        <f t="shared" si="145"/>
        <v>0.91515507658128192</v>
      </c>
      <c r="AM268" s="1087">
        <f t="shared" si="145"/>
        <v>0.87357672194710145</v>
      </c>
      <c r="AN268" s="1087">
        <f t="shared" si="145"/>
        <v>1.1412152042525092</v>
      </c>
      <c r="AO268" s="1087">
        <f t="shared" si="145"/>
        <v>1.0933980276447373</v>
      </c>
      <c r="AP268" s="1087">
        <f t="shared" si="145"/>
        <v>1.0908222943027461</v>
      </c>
      <c r="AQ268" s="1087">
        <f t="shared" si="145"/>
        <v>0.90068955790326799</v>
      </c>
      <c r="AR268" s="1087">
        <f t="shared" si="145"/>
        <v>0.92377534729258415</v>
      </c>
      <c r="AS268" s="1087">
        <f t="shared" si="145"/>
        <v>6.5827141774249684E-2</v>
      </c>
      <c r="AT268" s="1087">
        <f t="shared" si="145"/>
        <v>0.17787720597593773</v>
      </c>
      <c r="AU268" s="1087">
        <f t="shared" si="145"/>
        <v>0.51538684086346009</v>
      </c>
      <c r="AV268" s="1087">
        <f t="shared" si="145"/>
        <v>0.58631924222094978</v>
      </c>
      <c r="AW268" s="1087">
        <f t="shared" si="145"/>
        <v>1.9642354124671617</v>
      </c>
      <c r="AX268" s="1087">
        <f t="shared" si="145"/>
        <v>0.49340445099349445</v>
      </c>
      <c r="AY268" s="1087">
        <f t="shared" si="145"/>
        <v>-8.1020362798051739E-6</v>
      </c>
      <c r="AZ268" s="1087">
        <f t="shared" si="145"/>
        <v>1.3145283397567491</v>
      </c>
      <c r="BA268" s="1087">
        <f t="shared" si="145"/>
        <v>0.79560649293491004</v>
      </c>
      <c r="BB268" s="1088">
        <f t="shared" si="145"/>
        <v>0.8389684684105615</v>
      </c>
      <c r="BC268" s="1043"/>
    </row>
    <row r="269" spans="1:55" ht="12" customHeight="1" outlineLevel="1" x14ac:dyDescent="0.2">
      <c r="A269" s="123"/>
      <c r="B269" s="104" t="s">
        <v>2366</v>
      </c>
      <c r="C269" s="104" t="s">
        <v>123</v>
      </c>
      <c r="D269" s="2" t="s">
        <v>154</v>
      </c>
      <c r="E269" s="2" t="s">
        <v>155</v>
      </c>
      <c r="F269" s="105" t="s">
        <v>94</v>
      </c>
      <c r="G269" s="27" t="s">
        <v>1580</v>
      </c>
      <c r="H269" s="106" t="s">
        <v>131</v>
      </c>
      <c r="I269" s="107" t="s">
        <v>129</v>
      </c>
      <c r="J269" s="108">
        <v>2.15</v>
      </c>
      <c r="K269" s="109"/>
      <c r="L269" s="109"/>
      <c r="M269" s="131">
        <f t="shared" ca="1" si="128"/>
        <v>1.0822015121979895</v>
      </c>
      <c r="N269" s="133">
        <f t="shared" ca="1" si="128"/>
        <v>1.0226840192198308</v>
      </c>
      <c r="O269" s="1059" t="s">
        <v>1583</v>
      </c>
      <c r="P269" s="131">
        <f t="shared" ref="P269:BB269" si="146">IFERROR(P136/_xlfn.MAXIFS(P$19:P$150,$B$19:$B$150,$B269,$F$152:$F$283,"C"),"?")</f>
        <v>1.0701422743286999</v>
      </c>
      <c r="Q269" s="133">
        <f t="shared" si="146"/>
        <v>1.1917726404784477</v>
      </c>
      <c r="R269" s="132">
        <f t="shared" si="146"/>
        <v>0.81466125873439144</v>
      </c>
      <c r="S269" s="1044">
        <f t="shared" si="146"/>
        <v>0.96996054894026706</v>
      </c>
      <c r="T269" s="1044">
        <f t="shared" si="146"/>
        <v>0.66595741870784186</v>
      </c>
      <c r="U269" s="1044">
        <f t="shared" si="146"/>
        <v>0.90528689524022055</v>
      </c>
      <c r="V269" s="1044">
        <f t="shared" si="146"/>
        <v>1.0836273500992859</v>
      </c>
      <c r="W269" s="1044">
        <f t="shared" si="146"/>
        <v>1.1440847244586887</v>
      </c>
      <c r="X269" s="1044">
        <f t="shared" si="146"/>
        <v>1.0848775933214627</v>
      </c>
      <c r="Y269" s="1044">
        <f t="shared" si="146"/>
        <v>1.1460867124534408</v>
      </c>
      <c r="Z269" s="1044">
        <f t="shared" si="146"/>
        <v>0.45371480507316581</v>
      </c>
      <c r="AA269" s="1044">
        <f t="shared" si="146"/>
        <v>0.93689773845093249</v>
      </c>
      <c r="AB269" s="1044">
        <f t="shared" si="146"/>
        <v>0.11493288442335392</v>
      </c>
      <c r="AC269" s="1044">
        <f t="shared" si="146"/>
        <v>7.8277871597927082E-2</v>
      </c>
      <c r="AD269" s="1044">
        <f t="shared" si="146"/>
        <v>0.40774752480158449</v>
      </c>
      <c r="AE269" s="1044">
        <f t="shared" si="146"/>
        <v>1.0065727620961062</v>
      </c>
      <c r="AF269" s="1044">
        <f t="shared" si="146"/>
        <v>0.99730381077564823</v>
      </c>
      <c r="AG269" s="1044">
        <f t="shared" si="146"/>
        <v>1.3594564523509673</v>
      </c>
      <c r="AH269" s="1044">
        <f t="shared" si="146"/>
        <v>0.24839922758601843</v>
      </c>
      <c r="AI269" s="1044">
        <f t="shared" si="146"/>
        <v>0.78858984153004053</v>
      </c>
      <c r="AJ269" s="1045">
        <f t="shared" si="146"/>
        <v>0.86772562595492764</v>
      </c>
      <c r="AK269" s="1086">
        <f t="shared" si="146"/>
        <v>0.89957438018974056</v>
      </c>
      <c r="AL269" s="1087">
        <f t="shared" si="146"/>
        <v>0.90179234602311753</v>
      </c>
      <c r="AM269" s="1087">
        <f t="shared" si="146"/>
        <v>0.86147979089704418</v>
      </c>
      <c r="AN269" s="1087">
        <f t="shared" si="146"/>
        <v>1.1502863643248342</v>
      </c>
      <c r="AO269" s="1087">
        <f t="shared" si="146"/>
        <v>1.1469059370546475</v>
      </c>
      <c r="AP269" s="1087">
        <f t="shared" si="146"/>
        <v>1.1468598844799323</v>
      </c>
      <c r="AQ269" s="1087">
        <f t="shared" si="146"/>
        <v>0.93887787286322966</v>
      </c>
      <c r="AR269" s="1087">
        <f t="shared" si="146"/>
        <v>0.95396464661065905</v>
      </c>
      <c r="AS269" s="1087">
        <f t="shared" si="146"/>
        <v>6.8010856281383855E-2</v>
      </c>
      <c r="AT269" s="1087">
        <f t="shared" si="146"/>
        <v>0.17326447910677281</v>
      </c>
      <c r="AU269" s="1087">
        <f t="shared" si="146"/>
        <v>0.50539673616967906</v>
      </c>
      <c r="AV269" s="1087">
        <f t="shared" si="146"/>
        <v>0.59725604135480814</v>
      </c>
      <c r="AW269" s="1087">
        <f t="shared" si="146"/>
        <v>1.4152116265129868</v>
      </c>
      <c r="AX269" s="1087">
        <f t="shared" si="146"/>
        <v>0.50562499635720071</v>
      </c>
      <c r="AY269" s="1087">
        <f t="shared" si="146"/>
        <v>-8.2441695304372359E-6</v>
      </c>
      <c r="AZ269" s="1087">
        <f t="shared" si="146"/>
        <v>1.2783957938057866</v>
      </c>
      <c r="BA269" s="1087">
        <f t="shared" si="146"/>
        <v>0.80488038716555355</v>
      </c>
      <c r="BB269" s="1088">
        <f t="shared" si="146"/>
        <v>0.86714457000449108</v>
      </c>
      <c r="BC269" s="1043"/>
    </row>
    <row r="270" spans="1:55" ht="12" customHeight="1" outlineLevel="1" x14ac:dyDescent="0.2">
      <c r="A270" s="123"/>
      <c r="B270" s="104" t="s">
        <v>2366</v>
      </c>
      <c r="C270" s="104" t="s">
        <v>123</v>
      </c>
      <c r="D270" s="2" t="s">
        <v>154</v>
      </c>
      <c r="E270" s="2" t="s">
        <v>155</v>
      </c>
      <c r="F270" s="105" t="s">
        <v>95</v>
      </c>
      <c r="G270" s="27" t="s">
        <v>1581</v>
      </c>
      <c r="H270" s="106" t="s">
        <v>128</v>
      </c>
      <c r="I270" s="107" t="s">
        <v>127</v>
      </c>
      <c r="J270" s="108">
        <v>2.15</v>
      </c>
      <c r="K270" s="109"/>
      <c r="L270" s="109"/>
      <c r="M270" s="131">
        <f t="shared" ca="1" si="128"/>
        <v>1.0832364191207855</v>
      </c>
      <c r="N270" s="133">
        <f t="shared" ca="1" si="128"/>
        <v>1.024110085622602</v>
      </c>
      <c r="O270" s="1059" t="s">
        <v>1583</v>
      </c>
      <c r="P270" s="131">
        <f t="shared" ref="P270:BB270" si="147">IFERROR(P137/_xlfn.MAXIFS(P$19:P$150,$B$19:$B$150,$B270,$F$152:$F$283,"C"),"?")</f>
        <v>1.0854757547362928</v>
      </c>
      <c r="Q270" s="133">
        <f t="shared" si="147"/>
        <v>1.2097800218015056</v>
      </c>
      <c r="R270" s="132">
        <f t="shared" si="147"/>
        <v>0.8153353955387006</v>
      </c>
      <c r="S270" s="1044">
        <f t="shared" si="147"/>
        <v>0.95677984488653334</v>
      </c>
      <c r="T270" s="1044">
        <f t="shared" si="147"/>
        <v>0.66473365132185136</v>
      </c>
      <c r="U270" s="1044">
        <f t="shared" si="147"/>
        <v>0.90918551029760108</v>
      </c>
      <c r="V270" s="1044">
        <f t="shared" si="147"/>
        <v>1.093175612401653</v>
      </c>
      <c r="W270" s="1044">
        <f t="shared" si="147"/>
        <v>1.1355538043340976</v>
      </c>
      <c r="X270" s="1044">
        <f t="shared" si="147"/>
        <v>1.0943062492369211</v>
      </c>
      <c r="Y270" s="1044">
        <f t="shared" si="147"/>
        <v>1.1371911851286283</v>
      </c>
      <c r="Z270" s="1044">
        <f t="shared" si="147"/>
        <v>0.78866790447119106</v>
      </c>
      <c r="AA270" s="1044">
        <f t="shared" si="147"/>
        <v>0.93858534284142947</v>
      </c>
      <c r="AB270" s="1044">
        <f t="shared" si="147"/>
        <v>0.12316788510554645</v>
      </c>
      <c r="AC270" s="1044">
        <f t="shared" si="147"/>
        <v>8.809484999094773E-2</v>
      </c>
      <c r="AD270" s="1044">
        <f t="shared" si="147"/>
        <v>0.45240813207012498</v>
      </c>
      <c r="AE270" s="1044">
        <f t="shared" si="147"/>
        <v>1.0307863097273209</v>
      </c>
      <c r="AF270" s="1044">
        <f t="shared" si="147"/>
        <v>1.2294501704623981</v>
      </c>
      <c r="AG270" s="1044">
        <f t="shared" si="147"/>
        <v>1.4149202142459902</v>
      </c>
      <c r="AH270" s="1044">
        <f t="shared" si="147"/>
        <v>0.2523300064492372</v>
      </c>
      <c r="AI270" s="1044">
        <f t="shared" si="147"/>
        <v>0.78771941153702507</v>
      </c>
      <c r="AJ270" s="1045">
        <f t="shared" si="147"/>
        <v>0.85357486148213546</v>
      </c>
      <c r="AK270" s="1086">
        <f t="shared" si="147"/>
        <v>0.88989799728527141</v>
      </c>
      <c r="AL270" s="1087">
        <f t="shared" si="147"/>
        <v>0.90586552340507942</v>
      </c>
      <c r="AM270" s="1087">
        <f t="shared" si="147"/>
        <v>0.86507959919850519</v>
      </c>
      <c r="AN270" s="1087">
        <f t="shared" si="147"/>
        <v>1.1529651059073946</v>
      </c>
      <c r="AO270" s="1087">
        <f t="shared" si="147"/>
        <v>1.1385081819442675</v>
      </c>
      <c r="AP270" s="1087">
        <f t="shared" si="147"/>
        <v>1.1380251491887061</v>
      </c>
      <c r="AQ270" s="1087">
        <f t="shared" si="147"/>
        <v>0.99147309688217811</v>
      </c>
      <c r="AR270" s="1087">
        <f t="shared" si="147"/>
        <v>0.95482115978849691</v>
      </c>
      <c r="AS270" s="1087">
        <f t="shared" si="147"/>
        <v>8.7647051244246266E-2</v>
      </c>
      <c r="AT270" s="1087">
        <f t="shared" si="147"/>
        <v>0.18772733511000442</v>
      </c>
      <c r="AU270" s="1087">
        <f t="shared" si="147"/>
        <v>0.53376736501109534</v>
      </c>
      <c r="AV270" s="1087">
        <f t="shared" si="147"/>
        <v>0.71706804737572216</v>
      </c>
      <c r="AW270" s="1087">
        <f t="shared" si="147"/>
        <v>1.6346757009792829</v>
      </c>
      <c r="AX270" s="1087">
        <f t="shared" si="147"/>
        <v>0.49918971035102139</v>
      </c>
      <c r="AY270" s="1087">
        <f t="shared" si="147"/>
        <v>-8.1625629745687616E-6</v>
      </c>
      <c r="AZ270" s="1087">
        <f t="shared" si="147"/>
        <v>1.2898399835665366</v>
      </c>
      <c r="BA270" s="1087">
        <f t="shared" si="147"/>
        <v>0.80389399543580753</v>
      </c>
      <c r="BB270" s="1088">
        <f t="shared" si="147"/>
        <v>0.85300601358455541</v>
      </c>
      <c r="BC270" s="1043"/>
    </row>
    <row r="271" spans="1:55" ht="12" customHeight="1" outlineLevel="1" x14ac:dyDescent="0.2">
      <c r="A271" s="123"/>
      <c r="B271" s="104" t="s">
        <v>2366</v>
      </c>
      <c r="C271" s="104" t="s">
        <v>123</v>
      </c>
      <c r="D271" s="2" t="s">
        <v>154</v>
      </c>
      <c r="E271" s="2" t="s">
        <v>155</v>
      </c>
      <c r="F271" s="105" t="s">
        <v>96</v>
      </c>
      <c r="G271" s="27" t="s">
        <v>1582</v>
      </c>
      <c r="H271" s="106" t="s">
        <v>128</v>
      </c>
      <c r="I271" s="107" t="s">
        <v>1577</v>
      </c>
      <c r="J271" s="129">
        <v>2.15</v>
      </c>
      <c r="K271" s="130"/>
      <c r="L271" s="130"/>
      <c r="M271" s="131">
        <f t="shared" ca="1" si="128"/>
        <v>1.2084896668024145</v>
      </c>
      <c r="N271" s="133">
        <f t="shared" ca="1" si="128"/>
        <v>1.1967047841624643</v>
      </c>
      <c r="O271" s="1059" t="s">
        <v>1583</v>
      </c>
      <c r="P271" s="131">
        <f t="shared" ref="P271:BB271" si="148">IFERROR(P138/_xlfn.MAXIFS(P$19:P$150,$B$19:$B$150,$B271,$F$152:$F$283,"C"),"?")</f>
        <v>1.3842344124229411</v>
      </c>
      <c r="Q271" s="133">
        <f t="shared" si="148"/>
        <v>1.3081564806308077</v>
      </c>
      <c r="R271" s="132">
        <f t="shared" si="148"/>
        <v>0.81916199411486956</v>
      </c>
      <c r="S271" s="1044">
        <f t="shared" si="148"/>
        <v>1.0056659090670814</v>
      </c>
      <c r="T271" s="1044">
        <f t="shared" si="148"/>
        <v>0.80775317376109901</v>
      </c>
      <c r="U271" s="1044">
        <f t="shared" si="148"/>
        <v>0.90998573374381309</v>
      </c>
      <c r="V271" s="1044">
        <f t="shared" si="148"/>
        <v>1.100795558818918</v>
      </c>
      <c r="W271" s="1044">
        <f t="shared" si="148"/>
        <v>1.377991418906034</v>
      </c>
      <c r="X271" s="1044">
        <f t="shared" si="148"/>
        <v>1.1018757802812646</v>
      </c>
      <c r="Y271" s="1044">
        <f t="shared" si="148"/>
        <v>1.3901406705556469</v>
      </c>
      <c r="Z271" s="1044">
        <f t="shared" si="148"/>
        <v>1.2308570402950139</v>
      </c>
      <c r="AA271" s="1044">
        <f t="shared" si="148"/>
        <v>1.1698634758864963</v>
      </c>
      <c r="AB271" s="1044">
        <f t="shared" si="148"/>
        <v>0.12902722260476512</v>
      </c>
      <c r="AC271" s="1044">
        <f t="shared" si="148"/>
        <v>0.10724922198835593</v>
      </c>
      <c r="AD271" s="1044">
        <f t="shared" si="148"/>
        <v>0.51745512273184924</v>
      </c>
      <c r="AE271" s="1044">
        <f t="shared" si="148"/>
        <v>1.9283383717821807</v>
      </c>
      <c r="AF271" s="1044">
        <f t="shared" si="148"/>
        <v>2.6121317228024803</v>
      </c>
      <c r="AG271" s="1044">
        <f t="shared" si="148"/>
        <v>1.4149202142459902</v>
      </c>
      <c r="AH271" s="1044">
        <f t="shared" si="148"/>
        <v>0.25242280330296163</v>
      </c>
      <c r="AI271" s="1044">
        <f t="shared" si="148"/>
        <v>0.79102460020205245</v>
      </c>
      <c r="AJ271" s="1045">
        <f t="shared" si="148"/>
        <v>0.8535860287423126</v>
      </c>
      <c r="AK271" s="1086">
        <f t="shared" si="148"/>
        <v>0.94763444607598735</v>
      </c>
      <c r="AL271" s="1087">
        <f t="shared" si="148"/>
        <v>0.90666437001606981</v>
      </c>
      <c r="AM271" s="1087">
        <f t="shared" si="148"/>
        <v>0.86583036030396821</v>
      </c>
      <c r="AN271" s="1087">
        <f t="shared" si="148"/>
        <v>1.159278133169761</v>
      </c>
      <c r="AO271" s="1087">
        <f t="shared" si="148"/>
        <v>1.3767274053351122</v>
      </c>
      <c r="AP271" s="1087">
        <f t="shared" si="148"/>
        <v>1.3908515724677131</v>
      </c>
      <c r="AQ271" s="1087">
        <f t="shared" si="148"/>
        <v>1.5482672503542303</v>
      </c>
      <c r="AR271" s="1087">
        <f t="shared" si="148"/>
        <v>1.187738867513785</v>
      </c>
      <c r="AS271" s="1087">
        <f t="shared" si="148"/>
        <v>0.1738180213494355</v>
      </c>
      <c r="AT271" s="1087">
        <f t="shared" si="148"/>
        <v>0.21688899971903763</v>
      </c>
      <c r="AU271" s="1087">
        <f t="shared" si="148"/>
        <v>0.5824125623900267</v>
      </c>
      <c r="AV271" s="1087">
        <f t="shared" si="148"/>
        <v>1.5970596371483288</v>
      </c>
      <c r="AW271" s="1087">
        <f t="shared" si="148"/>
        <v>1.6346757009792829</v>
      </c>
      <c r="AX271" s="1087">
        <f t="shared" si="148"/>
        <v>0.49918971035102139</v>
      </c>
      <c r="AY271" s="1087">
        <f t="shared" si="148"/>
        <v>-8.1625629745687616E-6</v>
      </c>
      <c r="AZ271" s="1087">
        <f t="shared" si="148"/>
        <v>1.2900943901515085</v>
      </c>
      <c r="BA271" s="1087">
        <f t="shared" si="148"/>
        <v>0.80722448917565093</v>
      </c>
      <c r="BB271" s="1088">
        <f t="shared" si="148"/>
        <v>0.85301716410184036</v>
      </c>
      <c r="BC271" s="1043"/>
    </row>
    <row r="272" spans="1:55" ht="12" customHeight="1" outlineLevel="1" x14ac:dyDescent="0.2">
      <c r="A272" s="123"/>
      <c r="B272" s="88" t="s">
        <v>115</v>
      </c>
      <c r="C272" s="88" t="s">
        <v>124</v>
      </c>
      <c r="D272" s="89" t="s">
        <v>154</v>
      </c>
      <c r="E272" s="89" t="s">
        <v>115</v>
      </c>
      <c r="F272" s="90" t="s">
        <v>92</v>
      </c>
      <c r="G272" s="18" t="s">
        <v>126</v>
      </c>
      <c r="H272" s="91" t="s">
        <v>127</v>
      </c>
      <c r="I272" s="92" t="s">
        <v>127</v>
      </c>
      <c r="J272" s="93">
        <v>0.64</v>
      </c>
      <c r="K272" s="94"/>
      <c r="L272" s="94"/>
      <c r="M272" s="126">
        <f t="shared" ref="M272:N283" ca="1" si="149">IFERROR(M405/_xlfn.MAXIFS(M$285:M$416,$B$19:$B$150,$B272,$F$152:$F$283,"C"),"?")</f>
        <v>1</v>
      </c>
      <c r="N272" s="128">
        <f t="shared" ca="1" si="149"/>
        <v>1</v>
      </c>
      <c r="O272" s="1058" t="s">
        <v>1583</v>
      </c>
      <c r="P272" s="126">
        <f t="shared" ref="P272:BB272" si="150">IFERROR(P139/_xlfn.MAXIFS(P$19:P$150,$B$19:$B$150,$B272,$F$152:$F$283,"C"),"?")</f>
        <v>1</v>
      </c>
      <c r="Q272" s="128">
        <f t="shared" si="150"/>
        <v>1</v>
      </c>
      <c r="R272" s="127">
        <f t="shared" si="150"/>
        <v>1</v>
      </c>
      <c r="S272" s="1041">
        <f t="shared" si="150"/>
        <v>1</v>
      </c>
      <c r="T272" s="1041">
        <f t="shared" si="150"/>
        <v>1</v>
      </c>
      <c r="U272" s="1041">
        <f t="shared" si="150"/>
        <v>1</v>
      </c>
      <c r="V272" s="1041">
        <f t="shared" si="150"/>
        <v>1</v>
      </c>
      <c r="W272" s="1041">
        <f t="shared" si="150"/>
        <v>1</v>
      </c>
      <c r="X272" s="1041">
        <f t="shared" si="150"/>
        <v>1</v>
      </c>
      <c r="Y272" s="1041">
        <f t="shared" si="150"/>
        <v>1</v>
      </c>
      <c r="Z272" s="1041">
        <f t="shared" si="150"/>
        <v>1</v>
      </c>
      <c r="AA272" s="1041">
        <f t="shared" si="150"/>
        <v>1</v>
      </c>
      <c r="AB272" s="1041">
        <f t="shared" si="150"/>
        <v>1</v>
      </c>
      <c r="AC272" s="1041">
        <f t="shared" si="150"/>
        <v>1</v>
      </c>
      <c r="AD272" s="1041">
        <f t="shared" si="150"/>
        <v>1</v>
      </c>
      <c r="AE272" s="1041">
        <f t="shared" si="150"/>
        <v>1</v>
      </c>
      <c r="AF272" s="1041">
        <f t="shared" si="150"/>
        <v>1</v>
      </c>
      <c r="AG272" s="1041">
        <f t="shared" si="150"/>
        <v>1</v>
      </c>
      <c r="AH272" s="1041">
        <f t="shared" si="150"/>
        <v>1</v>
      </c>
      <c r="AI272" s="1041">
        <f t="shared" si="150"/>
        <v>1</v>
      </c>
      <c r="AJ272" s="1042">
        <f t="shared" si="150"/>
        <v>1</v>
      </c>
      <c r="AK272" s="1083">
        <f t="shared" si="150"/>
        <v>1</v>
      </c>
      <c r="AL272" s="1084">
        <f t="shared" si="150"/>
        <v>1</v>
      </c>
      <c r="AM272" s="1084">
        <f t="shared" si="150"/>
        <v>1</v>
      </c>
      <c r="AN272" s="1084">
        <f t="shared" si="150"/>
        <v>1</v>
      </c>
      <c r="AO272" s="1084">
        <f t="shared" si="150"/>
        <v>1</v>
      </c>
      <c r="AP272" s="1084">
        <f t="shared" si="150"/>
        <v>1</v>
      </c>
      <c r="AQ272" s="1084">
        <f t="shared" si="150"/>
        <v>1</v>
      </c>
      <c r="AR272" s="1084">
        <f t="shared" si="150"/>
        <v>1</v>
      </c>
      <c r="AS272" s="1084">
        <f t="shared" si="150"/>
        <v>1</v>
      </c>
      <c r="AT272" s="1084">
        <f t="shared" si="150"/>
        <v>1</v>
      </c>
      <c r="AU272" s="1084">
        <f t="shared" si="150"/>
        <v>1</v>
      </c>
      <c r="AV272" s="1084">
        <f t="shared" si="150"/>
        <v>1</v>
      </c>
      <c r="AW272" s="1084">
        <f t="shared" si="150"/>
        <v>1</v>
      </c>
      <c r="AX272" s="1084">
        <f t="shared" si="150"/>
        <v>1</v>
      </c>
      <c r="AY272" s="1084">
        <f t="shared" si="150"/>
        <v>1</v>
      </c>
      <c r="AZ272" s="1084">
        <f t="shared" si="150"/>
        <v>1</v>
      </c>
      <c r="BA272" s="1084">
        <f t="shared" si="150"/>
        <v>1</v>
      </c>
      <c r="BB272" s="1085">
        <f t="shared" si="150"/>
        <v>1</v>
      </c>
      <c r="BC272" s="1043"/>
    </row>
    <row r="273" spans="1:101" ht="12" customHeight="1" outlineLevel="1" x14ac:dyDescent="0.2">
      <c r="A273" s="123"/>
      <c r="B273" s="104" t="s">
        <v>115</v>
      </c>
      <c r="C273" s="104" t="s">
        <v>124</v>
      </c>
      <c r="D273" s="2" t="s">
        <v>154</v>
      </c>
      <c r="E273" s="2" t="s">
        <v>115</v>
      </c>
      <c r="F273" s="105" t="s">
        <v>122</v>
      </c>
      <c r="G273" s="27" t="s">
        <v>1579</v>
      </c>
      <c r="H273" s="106" t="s">
        <v>128</v>
      </c>
      <c r="I273" s="107" t="s">
        <v>129</v>
      </c>
      <c r="J273" s="108">
        <v>0.64</v>
      </c>
      <c r="K273" s="109"/>
      <c r="L273" s="109"/>
      <c r="M273" s="131">
        <f t="shared" ca="1" si="149"/>
        <v>1.0882506924131861</v>
      </c>
      <c r="N273" s="133">
        <f t="shared" ca="1" si="149"/>
        <v>0.95762701971546937</v>
      </c>
      <c r="O273" s="1059" t="s">
        <v>1583</v>
      </c>
      <c r="P273" s="131">
        <f t="shared" ref="P273:BB273" si="151">IFERROR(P140/_xlfn.MAXIFS(P$19:P$150,$B$19:$B$150,$B273,$F$152:$F$283,"C"),"?")</f>
        <v>0.98764674022415</v>
      </c>
      <c r="Q273" s="133">
        <f t="shared" si="151"/>
        <v>1.1508666145242916</v>
      </c>
      <c r="R273" s="132">
        <f t="shared" si="151"/>
        <v>0.82693991950518753</v>
      </c>
      <c r="S273" s="1044">
        <f t="shared" si="151"/>
        <v>0.89917076147945196</v>
      </c>
      <c r="T273" s="1044">
        <f t="shared" si="151"/>
        <v>0.69515909466208381</v>
      </c>
      <c r="U273" s="1044">
        <f t="shared" si="151"/>
        <v>1.1522887638460528</v>
      </c>
      <c r="V273" s="1044">
        <f t="shared" si="151"/>
        <v>0.89738346033456595</v>
      </c>
      <c r="W273" s="1044">
        <f t="shared" si="151"/>
        <v>1.0360429526172716</v>
      </c>
      <c r="X273" s="1044">
        <f t="shared" si="151"/>
        <v>0.90122421934297203</v>
      </c>
      <c r="Y273" s="1044">
        <f t="shared" si="151"/>
        <v>1.0411208200987292</v>
      </c>
      <c r="Z273" s="1044">
        <f t="shared" si="151"/>
        <v>0.4137051900769701</v>
      </c>
      <c r="AA273" s="1044">
        <f t="shared" si="151"/>
        <v>0.86376580676502068</v>
      </c>
      <c r="AB273" s="1044">
        <f t="shared" si="151"/>
        <v>7.7555278645597636E-2</v>
      </c>
      <c r="AC273" s="1044">
        <f t="shared" si="151"/>
        <v>5.4879307699473988E-2</v>
      </c>
      <c r="AD273" s="1044">
        <f t="shared" si="151"/>
        <v>0.30173877793656978</v>
      </c>
      <c r="AE273" s="1044">
        <f t="shared" si="151"/>
        <v>0.97638621561865413</v>
      </c>
      <c r="AF273" s="1044">
        <f t="shared" si="151"/>
        <v>1.0559483065126991</v>
      </c>
      <c r="AG273" s="1044">
        <f t="shared" si="151"/>
        <v>1.4475056955428727</v>
      </c>
      <c r="AH273" s="1044">
        <f t="shared" si="151"/>
        <v>0.23127335605297944</v>
      </c>
      <c r="AI273" s="1044">
        <f t="shared" si="151"/>
        <v>0.8279553864521344</v>
      </c>
      <c r="AJ273" s="1045">
        <f t="shared" si="151"/>
        <v>0.97064674843580756</v>
      </c>
      <c r="AK273" s="1086">
        <f t="shared" si="151"/>
        <v>0.84349087770905384</v>
      </c>
      <c r="AL273" s="1087">
        <f t="shared" si="151"/>
        <v>1.1517464387557423</v>
      </c>
      <c r="AM273" s="1087">
        <f t="shared" si="151"/>
        <v>1.132156973162693</v>
      </c>
      <c r="AN273" s="1087">
        <f t="shared" si="151"/>
        <v>0.98504701136324369</v>
      </c>
      <c r="AO273" s="1087">
        <f t="shared" si="151"/>
        <v>1.0359986182732175</v>
      </c>
      <c r="AP273" s="1087">
        <f t="shared" si="151"/>
        <v>1.0419037636263533</v>
      </c>
      <c r="AQ273" s="1087">
        <f t="shared" si="151"/>
        <v>0.85239254835679013</v>
      </c>
      <c r="AR273" s="1087">
        <f t="shared" si="151"/>
        <v>0.88337161852798196</v>
      </c>
      <c r="AS273" s="1087">
        <f t="shared" si="151"/>
        <v>6.4966850516448321E-2</v>
      </c>
      <c r="AT273" s="1087">
        <f t="shared" si="151"/>
        <v>0.12636232034999029</v>
      </c>
      <c r="AU273" s="1087">
        <f t="shared" si="151"/>
        <v>0.38156042733347167</v>
      </c>
      <c r="AV273" s="1087">
        <f t="shared" si="151"/>
        <v>0.69649553476122916</v>
      </c>
      <c r="AW273" s="1087">
        <f t="shared" si="151"/>
        <v>1.7364723831923299</v>
      </c>
      <c r="AX273" s="1087">
        <f t="shared" si="151"/>
        <v>0.66881904931720426</v>
      </c>
      <c r="AY273" s="1087">
        <f t="shared" si="151"/>
        <v>-5.19691314437713E-6</v>
      </c>
      <c r="AZ273" s="1087">
        <f t="shared" si="151"/>
        <v>1.2880384439230104</v>
      </c>
      <c r="BA273" s="1087">
        <f t="shared" si="151"/>
        <v>0.83993589816975944</v>
      </c>
      <c r="BB273" s="1088">
        <f t="shared" si="151"/>
        <v>0.97021116576792887</v>
      </c>
      <c r="BC273" s="1043"/>
    </row>
    <row r="274" spans="1:101" ht="12" customHeight="1" outlineLevel="1" x14ac:dyDescent="0.2">
      <c r="A274" s="123"/>
      <c r="B274" s="104" t="s">
        <v>115</v>
      </c>
      <c r="C274" s="104" t="s">
        <v>124</v>
      </c>
      <c r="D274" s="2" t="s">
        <v>154</v>
      </c>
      <c r="E274" s="2" t="s">
        <v>115</v>
      </c>
      <c r="F274" s="105" t="s">
        <v>93</v>
      </c>
      <c r="G274" s="27" t="s">
        <v>1578</v>
      </c>
      <c r="H274" s="106" t="s">
        <v>130</v>
      </c>
      <c r="I274" s="107" t="s">
        <v>129</v>
      </c>
      <c r="J274" s="108">
        <v>0.64</v>
      </c>
      <c r="K274" s="109"/>
      <c r="L274" s="109"/>
      <c r="M274" s="131">
        <f t="shared" ca="1" si="149"/>
        <v>1.1879128338724216</v>
      </c>
      <c r="N274" s="133">
        <f t="shared" ca="1" si="149"/>
        <v>1.1043025034474523</v>
      </c>
      <c r="O274" s="1059" t="s">
        <v>1583</v>
      </c>
      <c r="P274" s="131">
        <f t="shared" ref="P274:BB274" si="152">IFERROR(P141/_xlfn.MAXIFS(P$19:P$150,$B$19:$B$150,$B274,$F$152:$F$283,"C"),"?")</f>
        <v>1.1217425379440258</v>
      </c>
      <c r="Q274" s="133">
        <f t="shared" si="152"/>
        <v>1.3913036951633559</v>
      </c>
      <c r="R274" s="132">
        <f t="shared" si="152"/>
        <v>0.99644214682459997</v>
      </c>
      <c r="S274" s="1044">
        <f t="shared" si="152"/>
        <v>1.0069157665208639</v>
      </c>
      <c r="T274" s="1044">
        <f t="shared" si="152"/>
        <v>0.79314969119278478</v>
      </c>
      <c r="U274" s="1044">
        <f t="shared" si="152"/>
        <v>1.2982551695604005</v>
      </c>
      <c r="V274" s="1044">
        <f t="shared" si="152"/>
        <v>1.1261224649732067</v>
      </c>
      <c r="W274" s="1044">
        <f t="shared" si="152"/>
        <v>1.1678173271885677</v>
      </c>
      <c r="X274" s="1044">
        <f t="shared" si="152"/>
        <v>1.1302753275803215</v>
      </c>
      <c r="Y274" s="1044">
        <f t="shared" si="152"/>
        <v>1.1698708007818692</v>
      </c>
      <c r="Z274" s="1044">
        <f t="shared" si="152"/>
        <v>0.50702315145987442</v>
      </c>
      <c r="AA274" s="1044">
        <f t="shared" si="152"/>
        <v>1.0061005092949966</v>
      </c>
      <c r="AB274" s="1044">
        <f t="shared" si="152"/>
        <v>9.2839278493772728E-2</v>
      </c>
      <c r="AC274" s="1044">
        <f t="shared" si="152"/>
        <v>6.7461845567418063E-2</v>
      </c>
      <c r="AD274" s="1044">
        <f t="shared" si="152"/>
        <v>0.37165574693979481</v>
      </c>
      <c r="AE274" s="1044">
        <f t="shared" si="152"/>
        <v>1.1876519459189814</v>
      </c>
      <c r="AF274" s="1044">
        <f t="shared" si="152"/>
        <v>1.2882268177802192</v>
      </c>
      <c r="AG274" s="1044">
        <f t="shared" si="152"/>
        <v>1.8887936927307143</v>
      </c>
      <c r="AH274" s="1044">
        <f t="shared" si="152"/>
        <v>0.29702770232869707</v>
      </c>
      <c r="AI274" s="1044">
        <f t="shared" si="152"/>
        <v>0.98543281610079081</v>
      </c>
      <c r="AJ274" s="1045">
        <f t="shared" si="152"/>
        <v>1.1675609850381725</v>
      </c>
      <c r="AK274" s="1086">
        <f t="shared" si="152"/>
        <v>0.95132827190906666</v>
      </c>
      <c r="AL274" s="1087">
        <f t="shared" si="152"/>
        <v>1.2992085264287663</v>
      </c>
      <c r="AM274" s="1087">
        <f t="shared" si="152"/>
        <v>1.2758932579975688</v>
      </c>
      <c r="AN274" s="1087">
        <f t="shared" si="152"/>
        <v>1.192440283194832</v>
      </c>
      <c r="AO274" s="1087">
        <f t="shared" si="152"/>
        <v>1.1687571792145459</v>
      </c>
      <c r="AP274" s="1087">
        <f t="shared" si="152"/>
        <v>1.1709797888691604</v>
      </c>
      <c r="AQ274" s="1087">
        <f t="shared" si="152"/>
        <v>1.0009863963078749</v>
      </c>
      <c r="AR274" s="1087">
        <f t="shared" si="152"/>
        <v>1.024371812519332</v>
      </c>
      <c r="AS274" s="1087">
        <f t="shared" si="152"/>
        <v>7.8541884271294993E-2</v>
      </c>
      <c r="AT274" s="1087">
        <f t="shared" si="152"/>
        <v>0.15576368655518927</v>
      </c>
      <c r="AU274" s="1087">
        <f t="shared" si="152"/>
        <v>0.47319860182108731</v>
      </c>
      <c r="AV274" s="1087">
        <f t="shared" si="152"/>
        <v>0.88476874915173431</v>
      </c>
      <c r="AW274" s="1087">
        <f t="shared" si="152"/>
        <v>2.4261397475539459</v>
      </c>
      <c r="AX274" s="1087">
        <f t="shared" si="152"/>
        <v>0.75322954621427907</v>
      </c>
      <c r="AY274" s="1087">
        <f t="shared" si="152"/>
        <v>-5.9390306688755492E-6</v>
      </c>
      <c r="AZ274" s="1087">
        <f t="shared" si="152"/>
        <v>1.6335731347961979</v>
      </c>
      <c r="BA274" s="1087">
        <f t="shared" si="152"/>
        <v>1.0001510959791442</v>
      </c>
      <c r="BB274" s="1088">
        <f t="shared" si="152"/>
        <v>1.1669716357958211</v>
      </c>
      <c r="BC274" s="1043"/>
    </row>
    <row r="275" spans="1:101" ht="12" customHeight="1" outlineLevel="1" x14ac:dyDescent="0.2">
      <c r="A275" s="123"/>
      <c r="B275" s="104" t="s">
        <v>115</v>
      </c>
      <c r="C275" s="104" t="s">
        <v>124</v>
      </c>
      <c r="D275" s="2" t="s">
        <v>154</v>
      </c>
      <c r="E275" s="2" t="s">
        <v>115</v>
      </c>
      <c r="F275" s="105" t="s">
        <v>94</v>
      </c>
      <c r="G275" s="27" t="s">
        <v>1580</v>
      </c>
      <c r="H275" s="106" t="s">
        <v>131</v>
      </c>
      <c r="I275" s="107" t="s">
        <v>129</v>
      </c>
      <c r="J275" s="108">
        <v>0.64</v>
      </c>
      <c r="K275" s="109"/>
      <c r="L275" s="109"/>
      <c r="M275" s="131">
        <f t="shared" ca="1" si="149"/>
        <v>1.0158754143497861</v>
      </c>
      <c r="N275" s="133">
        <f t="shared" ca="1" si="149"/>
        <v>0.85111035486407183</v>
      </c>
      <c r="O275" s="1059" t="s">
        <v>1583</v>
      </c>
      <c r="P275" s="131">
        <f t="shared" ref="P275:BB275" si="153">IFERROR(P142/_xlfn.MAXIFS(P$19:P$150,$B$19:$B$150,$B275,$F$152:$F$283,"C"),"?")</f>
        <v>0.88677905390538891</v>
      </c>
      <c r="Q275" s="133">
        <f t="shared" si="153"/>
        <v>0.98866657698902094</v>
      </c>
      <c r="R275" s="132">
        <f t="shared" si="153"/>
        <v>0.71103437490133348</v>
      </c>
      <c r="S275" s="1044">
        <f t="shared" si="153"/>
        <v>0.81560390756145973</v>
      </c>
      <c r="T275" s="1044">
        <f t="shared" si="153"/>
        <v>0.62222738277772316</v>
      </c>
      <c r="U275" s="1044">
        <f t="shared" si="153"/>
        <v>1.0409318467425628</v>
      </c>
      <c r="V275" s="1044">
        <f t="shared" si="153"/>
        <v>0.74724428172194657</v>
      </c>
      <c r="W275" s="1044">
        <f t="shared" si="153"/>
        <v>0.93509530137212693</v>
      </c>
      <c r="X275" s="1044">
        <f t="shared" si="153"/>
        <v>0.75080163983764669</v>
      </c>
      <c r="Y275" s="1044">
        <f t="shared" si="153"/>
        <v>0.94168813831271103</v>
      </c>
      <c r="Z275" s="1044">
        <f t="shared" si="153"/>
        <v>0.35150979963728668</v>
      </c>
      <c r="AA275" s="1044">
        <f t="shared" si="153"/>
        <v>0.7617220641916318</v>
      </c>
      <c r="AB275" s="1044">
        <f t="shared" si="153"/>
        <v>6.7084609645068294E-2</v>
      </c>
      <c r="AC275" s="1044">
        <f t="shared" si="153"/>
        <v>4.6500412967870206E-2</v>
      </c>
      <c r="AD275" s="1044">
        <f t="shared" si="153"/>
        <v>0.2553117237110839</v>
      </c>
      <c r="AE275" s="1044">
        <f t="shared" si="153"/>
        <v>0.83260355601268288</v>
      </c>
      <c r="AF275" s="1044">
        <f t="shared" si="153"/>
        <v>0.89809067526639297</v>
      </c>
      <c r="AG275" s="1044">
        <f t="shared" si="153"/>
        <v>1.1691912137637823</v>
      </c>
      <c r="AH275" s="1044">
        <f t="shared" si="153"/>
        <v>0.18911850741072378</v>
      </c>
      <c r="AI275" s="1044">
        <f t="shared" si="153"/>
        <v>0.71865971358125003</v>
      </c>
      <c r="AJ275" s="1045">
        <f t="shared" si="153"/>
        <v>0.83498090021110671</v>
      </c>
      <c r="AK275" s="1086">
        <f t="shared" si="153"/>
        <v>0.76139443984652078</v>
      </c>
      <c r="AL275" s="1087">
        <f t="shared" si="153"/>
        <v>1.0395869351637861</v>
      </c>
      <c r="AM275" s="1087">
        <f t="shared" si="153"/>
        <v>1.0225688306708047</v>
      </c>
      <c r="AN275" s="1087">
        <f t="shared" si="153"/>
        <v>0.84423164843097742</v>
      </c>
      <c r="AO275" s="1087">
        <f t="shared" si="153"/>
        <v>0.93452084152465908</v>
      </c>
      <c r="AP275" s="1087">
        <f t="shared" si="153"/>
        <v>0.94227107646813546</v>
      </c>
      <c r="AQ275" s="1087">
        <f t="shared" si="153"/>
        <v>0.74683707156776391</v>
      </c>
      <c r="AR275" s="1087">
        <f t="shared" si="153"/>
        <v>0.78152506845484015</v>
      </c>
      <c r="AS275" s="1087">
        <f t="shared" si="153"/>
        <v>5.5652773750385041E-2</v>
      </c>
      <c r="AT275" s="1087">
        <f t="shared" si="153"/>
        <v>0.10688650780976293</v>
      </c>
      <c r="AU275" s="1087">
        <f t="shared" si="153"/>
        <v>0.32115459902794569</v>
      </c>
      <c r="AV275" s="1087">
        <f t="shared" si="153"/>
        <v>0.57288493773055582</v>
      </c>
      <c r="AW275" s="1087">
        <f t="shared" si="153"/>
        <v>1.3163177809298152</v>
      </c>
      <c r="AX275" s="1087">
        <f t="shared" si="153"/>
        <v>0.60426663822015381</v>
      </c>
      <c r="AY275" s="1087">
        <f t="shared" si="153"/>
        <v>-4.647871962447123E-6</v>
      </c>
      <c r="AZ275" s="1087">
        <f t="shared" si="153"/>
        <v>1.0640787324598018</v>
      </c>
      <c r="BA275" s="1087">
        <f t="shared" si="153"/>
        <v>0.72881690570507807</v>
      </c>
      <c r="BB275" s="1088">
        <f t="shared" si="153"/>
        <v>0.83464311914257849</v>
      </c>
      <c r="BC275" s="1043"/>
    </row>
    <row r="276" spans="1:101" ht="12" customHeight="1" outlineLevel="1" x14ac:dyDescent="0.2">
      <c r="A276" s="123"/>
      <c r="B276" s="104" t="s">
        <v>115</v>
      </c>
      <c r="C276" s="104" t="s">
        <v>124</v>
      </c>
      <c r="D276" s="2" t="s">
        <v>154</v>
      </c>
      <c r="E276" s="2" t="s">
        <v>115</v>
      </c>
      <c r="F276" s="105" t="s">
        <v>95</v>
      </c>
      <c r="G276" s="27" t="s">
        <v>1581</v>
      </c>
      <c r="H276" s="106" t="s">
        <v>128</v>
      </c>
      <c r="I276" s="107" t="s">
        <v>127</v>
      </c>
      <c r="J276" s="108">
        <v>0.64</v>
      </c>
      <c r="K276" s="109"/>
      <c r="L276" s="109"/>
      <c r="M276" s="131">
        <f t="shared" ca="1" si="149"/>
        <v>1.0983210228433025</v>
      </c>
      <c r="N276" s="133">
        <f t="shared" ca="1" si="149"/>
        <v>0.97244779885538346</v>
      </c>
      <c r="O276" s="1059" t="s">
        <v>1583</v>
      </c>
      <c r="P276" s="131">
        <f t="shared" ref="P276:BB276" si="154">IFERROR(P143/_xlfn.MAXIFS(P$19:P$150,$B$19:$B$150,$B276,$F$152:$F$283,"C"),"?")</f>
        <v>1.0273211898497911</v>
      </c>
      <c r="Q276" s="133">
        <f t="shared" si="154"/>
        <v>1.1599035467681247</v>
      </c>
      <c r="R276" s="132">
        <f t="shared" si="154"/>
        <v>0.83370139192455117</v>
      </c>
      <c r="S276" s="1044">
        <f t="shared" si="154"/>
        <v>0.90327264560066722</v>
      </c>
      <c r="T276" s="1044">
        <f t="shared" si="154"/>
        <v>0.70937698798153481</v>
      </c>
      <c r="U276" s="1044">
        <f t="shared" si="154"/>
        <v>1.1528093791378509</v>
      </c>
      <c r="V276" s="1044">
        <f t="shared" si="154"/>
        <v>0.91274907804114946</v>
      </c>
      <c r="W276" s="1044">
        <f t="shared" si="154"/>
        <v>1.0562095716005699</v>
      </c>
      <c r="X276" s="1044">
        <f t="shared" si="154"/>
        <v>0.91644151287207398</v>
      </c>
      <c r="Y276" s="1044">
        <f t="shared" si="154"/>
        <v>1.0616869244605129</v>
      </c>
      <c r="Z276" s="1044">
        <f t="shared" si="154"/>
        <v>0.78037571370849168</v>
      </c>
      <c r="AA276" s="1044">
        <f t="shared" si="154"/>
        <v>0.88977835858257026</v>
      </c>
      <c r="AB276" s="1044">
        <f t="shared" si="154"/>
        <v>8.7484661429535815E-2</v>
      </c>
      <c r="AC276" s="1044">
        <f t="shared" si="154"/>
        <v>6.4413400998380596E-2</v>
      </c>
      <c r="AD276" s="1044">
        <f t="shared" si="154"/>
        <v>0.34923625268487207</v>
      </c>
      <c r="AE276" s="1044">
        <f t="shared" si="154"/>
        <v>1.0163000372875604</v>
      </c>
      <c r="AF276" s="1044">
        <f t="shared" si="154"/>
        <v>1.3059604236601869</v>
      </c>
      <c r="AG276" s="1044">
        <f t="shared" si="154"/>
        <v>1.4475056955428727</v>
      </c>
      <c r="AH276" s="1044">
        <f t="shared" si="154"/>
        <v>0.23146415203995979</v>
      </c>
      <c r="AI276" s="1044">
        <f t="shared" si="154"/>
        <v>0.83350595725851984</v>
      </c>
      <c r="AJ276" s="1045">
        <f t="shared" si="154"/>
        <v>0.97066018366106854</v>
      </c>
      <c r="AK276" s="1086">
        <f t="shared" si="154"/>
        <v>0.84847085667143873</v>
      </c>
      <c r="AL276" s="1087">
        <f t="shared" si="154"/>
        <v>1.1522841280918983</v>
      </c>
      <c r="AM276" s="1087">
        <f t="shared" si="154"/>
        <v>1.1326663835835349</v>
      </c>
      <c r="AN276" s="1087">
        <f t="shared" si="154"/>
        <v>0.99653185949911716</v>
      </c>
      <c r="AO276" s="1087">
        <f t="shared" si="154"/>
        <v>1.0561827839109388</v>
      </c>
      <c r="AP276" s="1087">
        <f t="shared" si="154"/>
        <v>1.0624968144149536</v>
      </c>
      <c r="AQ276" s="1087">
        <f t="shared" si="154"/>
        <v>0.93999309738009551</v>
      </c>
      <c r="AR276" s="1087">
        <f t="shared" si="154"/>
        <v>0.90879580561708384</v>
      </c>
      <c r="AS276" s="1087">
        <f t="shared" si="154"/>
        <v>8.4816493034477941E-2</v>
      </c>
      <c r="AT276" s="1087">
        <f t="shared" si="154"/>
        <v>0.13895016994361153</v>
      </c>
      <c r="AU276" s="1087">
        <f t="shared" si="154"/>
        <v>0.4102349064232414</v>
      </c>
      <c r="AV276" s="1087">
        <f t="shared" si="154"/>
        <v>0.85346666005251826</v>
      </c>
      <c r="AW276" s="1087">
        <f t="shared" si="154"/>
        <v>1.7364723831923299</v>
      </c>
      <c r="AX276" s="1087">
        <f t="shared" si="154"/>
        <v>0.66881904931720426</v>
      </c>
      <c r="AY276" s="1087">
        <f t="shared" si="154"/>
        <v>-5.19691314437713E-6</v>
      </c>
      <c r="AZ276" s="1087">
        <f t="shared" si="154"/>
        <v>1.2886124503121132</v>
      </c>
      <c r="BA276" s="1087">
        <f t="shared" si="154"/>
        <v>0.84559832038851446</v>
      </c>
      <c r="BB276" s="1088">
        <f t="shared" si="154"/>
        <v>0.97022458298956737</v>
      </c>
      <c r="BC276" s="1043"/>
    </row>
    <row r="277" spans="1:101" ht="12" customHeight="1" outlineLevel="1" x14ac:dyDescent="0.25">
      <c r="A277" s="123"/>
      <c r="B277" s="104" t="s">
        <v>115</v>
      </c>
      <c r="C277" s="104" t="s">
        <v>124</v>
      </c>
      <c r="D277" s="2" t="s">
        <v>154</v>
      </c>
      <c r="E277" s="2" t="s">
        <v>115</v>
      </c>
      <c r="F277" s="105" t="s">
        <v>96</v>
      </c>
      <c r="G277" s="27" t="s">
        <v>1582</v>
      </c>
      <c r="H277" s="106" t="s">
        <v>128</v>
      </c>
      <c r="I277" s="107" t="s">
        <v>1577</v>
      </c>
      <c r="J277" s="129">
        <v>0.64</v>
      </c>
      <c r="K277" s="130"/>
      <c r="L277" s="130"/>
      <c r="M277" s="131">
        <f t="shared" ca="1" si="149"/>
        <v>1.1957565884014347</v>
      </c>
      <c r="N277" s="133">
        <f t="shared" ca="1" si="149"/>
        <v>1.1158463702856787</v>
      </c>
      <c r="O277" s="1059" t="s">
        <v>1583</v>
      </c>
      <c r="P277" s="131">
        <f t="shared" ref="P277:BB277" si="155">IFERROR(P144/_xlfn.MAXIFS(P$19:P$150,$B$19:$B$150,$B277,$F$152:$F$283,"C"),"?")</f>
        <v>1.2763214576708852</v>
      </c>
      <c r="Q277" s="133">
        <f t="shared" si="155"/>
        <v>1.2462244095684856</v>
      </c>
      <c r="R277" s="132">
        <f t="shared" si="155"/>
        <v>0.83811403096591897</v>
      </c>
      <c r="S277" s="1044">
        <f t="shared" si="155"/>
        <v>0.93935761398944517</v>
      </c>
      <c r="T277" s="1044">
        <f t="shared" si="155"/>
        <v>0.86232535543706357</v>
      </c>
      <c r="U277" s="1044">
        <f t="shared" si="155"/>
        <v>1.1531491511006924</v>
      </c>
      <c r="V277" s="1044">
        <f t="shared" si="155"/>
        <v>0.92277691946736429</v>
      </c>
      <c r="W277" s="1044">
        <f t="shared" si="155"/>
        <v>1.2688315146535922</v>
      </c>
      <c r="X277" s="1044">
        <f t="shared" si="155"/>
        <v>0.92637256488202446</v>
      </c>
      <c r="Y277" s="1044">
        <f t="shared" si="155"/>
        <v>1.2813458144718723</v>
      </c>
      <c r="Z277" s="1044">
        <f t="shared" si="155"/>
        <v>1.2161166204133094</v>
      </c>
      <c r="AA277" s="1044">
        <f t="shared" si="155"/>
        <v>1.1701048863178403</v>
      </c>
      <c r="AB277" s="1044">
        <f t="shared" si="155"/>
        <v>9.3964736492165149E-2</v>
      </c>
      <c r="AC277" s="1044">
        <f t="shared" si="155"/>
        <v>7.9148395950877623E-2</v>
      </c>
      <c r="AD277" s="1044">
        <f t="shared" si="155"/>
        <v>0.40354652716856232</v>
      </c>
      <c r="AE277" s="1044">
        <f t="shared" si="155"/>
        <v>1.723378167566987</v>
      </c>
      <c r="AF277" s="1044">
        <f t="shared" si="155"/>
        <v>2.431085061424068</v>
      </c>
      <c r="AG277" s="1044">
        <f t="shared" si="155"/>
        <v>1.4475056955428727</v>
      </c>
      <c r="AH277" s="1044">
        <f t="shared" si="155"/>
        <v>0.23158866548541202</v>
      </c>
      <c r="AI277" s="1044">
        <f t="shared" si="155"/>
        <v>0.83712833719188429</v>
      </c>
      <c r="AJ277" s="1045">
        <f t="shared" si="155"/>
        <v>0.9706689462425192</v>
      </c>
      <c r="AK277" s="1086">
        <f t="shared" si="155"/>
        <v>0.89234869843424203</v>
      </c>
      <c r="AL277" s="1087">
        <f t="shared" si="155"/>
        <v>1.152635039290858</v>
      </c>
      <c r="AM277" s="1087">
        <f t="shared" si="155"/>
        <v>1.132998822911466</v>
      </c>
      <c r="AN277" s="1087">
        <f t="shared" si="155"/>
        <v>1.0040271179353801</v>
      </c>
      <c r="AO277" s="1087">
        <f t="shared" si="155"/>
        <v>1.2666221501987762</v>
      </c>
      <c r="AP277" s="1087">
        <f t="shared" si="155"/>
        <v>1.282077640038459</v>
      </c>
      <c r="AQ277" s="1087">
        <f t="shared" si="155"/>
        <v>1.4654926367962946</v>
      </c>
      <c r="AR277" s="1087">
        <f t="shared" si="155"/>
        <v>1.1823492629387427</v>
      </c>
      <c r="AS277" s="1087">
        <f t="shared" si="155"/>
        <v>0.14793988242577363</v>
      </c>
      <c r="AT277" s="1087">
        <f t="shared" si="155"/>
        <v>0.16087608259576539</v>
      </c>
      <c r="AU277" s="1087">
        <f t="shared" si="155"/>
        <v>0.4493532368931471</v>
      </c>
      <c r="AV277" s="1087">
        <f t="shared" si="155"/>
        <v>1.7448548334811771</v>
      </c>
      <c r="AW277" s="1087">
        <f t="shared" si="155"/>
        <v>1.7364723831923299</v>
      </c>
      <c r="AX277" s="1087">
        <f t="shared" si="155"/>
        <v>0.66881904931720426</v>
      </c>
      <c r="AY277" s="1087">
        <f t="shared" si="155"/>
        <v>-5.19691314437713E-6</v>
      </c>
      <c r="AZ277" s="1087">
        <f t="shared" si="155"/>
        <v>1.288987038995187</v>
      </c>
      <c r="BA277" s="1087">
        <f t="shared" si="155"/>
        <v>0.84929370453152597</v>
      </c>
      <c r="BB277" s="1088">
        <f t="shared" si="155"/>
        <v>0.97023334480860801</v>
      </c>
      <c r="BC277" s="1043"/>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row>
    <row r="278" spans="1:101" ht="12" customHeight="1" outlineLevel="1" x14ac:dyDescent="0.25">
      <c r="A278" s="123"/>
      <c r="B278" s="88" t="s">
        <v>116</v>
      </c>
      <c r="C278" s="88" t="s">
        <v>124</v>
      </c>
      <c r="D278" s="89" t="s">
        <v>152</v>
      </c>
      <c r="E278" s="89" t="s">
        <v>156</v>
      </c>
      <c r="F278" s="90" t="s">
        <v>92</v>
      </c>
      <c r="G278" s="18" t="s">
        <v>126</v>
      </c>
      <c r="H278" s="91" t="s">
        <v>127</v>
      </c>
      <c r="I278" s="92" t="s">
        <v>127</v>
      </c>
      <c r="J278" s="93">
        <v>1.55</v>
      </c>
      <c r="K278" s="94"/>
      <c r="L278" s="94"/>
      <c r="M278" s="126">
        <f t="shared" ca="1" si="149"/>
        <v>1</v>
      </c>
      <c r="N278" s="128">
        <f t="shared" ca="1" si="149"/>
        <v>1</v>
      </c>
      <c r="O278" s="1058" t="s">
        <v>1583</v>
      </c>
      <c r="P278" s="126">
        <f t="shared" ref="P278:BB278" si="156">IFERROR(P145/_xlfn.MAXIFS(P$19:P$150,$B$19:$B$150,$B278,$F$152:$F$283,"C"),"?")</f>
        <v>1</v>
      </c>
      <c r="Q278" s="128">
        <f t="shared" si="156"/>
        <v>1</v>
      </c>
      <c r="R278" s="127">
        <f t="shared" si="156"/>
        <v>1</v>
      </c>
      <c r="S278" s="1041">
        <f t="shared" si="156"/>
        <v>1</v>
      </c>
      <c r="T278" s="1041">
        <f t="shared" si="156"/>
        <v>1</v>
      </c>
      <c r="U278" s="1041">
        <f t="shared" si="156"/>
        <v>1</v>
      </c>
      <c r="V278" s="1041">
        <f t="shared" si="156"/>
        <v>1</v>
      </c>
      <c r="W278" s="1041">
        <f t="shared" si="156"/>
        <v>1</v>
      </c>
      <c r="X278" s="1041">
        <f t="shared" si="156"/>
        <v>1</v>
      </c>
      <c r="Y278" s="1041">
        <f t="shared" si="156"/>
        <v>1</v>
      </c>
      <c r="Z278" s="1041">
        <f t="shared" si="156"/>
        <v>1</v>
      </c>
      <c r="AA278" s="1041">
        <f t="shared" si="156"/>
        <v>1</v>
      </c>
      <c r="AB278" s="1041">
        <f t="shared" si="156"/>
        <v>1</v>
      </c>
      <c r="AC278" s="1041">
        <f t="shared" si="156"/>
        <v>1</v>
      </c>
      <c r="AD278" s="1041">
        <f t="shared" si="156"/>
        <v>1</v>
      </c>
      <c r="AE278" s="1041">
        <f t="shared" si="156"/>
        <v>1</v>
      </c>
      <c r="AF278" s="1041">
        <f t="shared" si="156"/>
        <v>1</v>
      </c>
      <c r="AG278" s="1041">
        <f t="shared" si="156"/>
        <v>1</v>
      </c>
      <c r="AH278" s="1041">
        <f t="shared" si="156"/>
        <v>1</v>
      </c>
      <c r="AI278" s="1041">
        <f t="shared" si="156"/>
        <v>1</v>
      </c>
      <c r="AJ278" s="1042">
        <f t="shared" si="156"/>
        <v>1</v>
      </c>
      <c r="AK278" s="1083">
        <f t="shared" si="156"/>
        <v>1</v>
      </c>
      <c r="AL278" s="1084">
        <f t="shared" si="156"/>
        <v>1</v>
      </c>
      <c r="AM278" s="1084">
        <f t="shared" si="156"/>
        <v>1</v>
      </c>
      <c r="AN278" s="1084">
        <f t="shared" si="156"/>
        <v>1</v>
      </c>
      <c r="AO278" s="1084">
        <f t="shared" si="156"/>
        <v>1</v>
      </c>
      <c r="AP278" s="1084">
        <f t="shared" si="156"/>
        <v>1</v>
      </c>
      <c r="AQ278" s="1084">
        <f t="shared" si="156"/>
        <v>1</v>
      </c>
      <c r="AR278" s="1084">
        <f t="shared" si="156"/>
        <v>1</v>
      </c>
      <c r="AS278" s="1084">
        <f t="shared" si="156"/>
        <v>1</v>
      </c>
      <c r="AT278" s="1084">
        <f t="shared" si="156"/>
        <v>1</v>
      </c>
      <c r="AU278" s="1084">
        <f t="shared" si="156"/>
        <v>1</v>
      </c>
      <c r="AV278" s="1084">
        <f t="shared" si="156"/>
        <v>1</v>
      </c>
      <c r="AW278" s="1084">
        <f t="shared" si="156"/>
        <v>1</v>
      </c>
      <c r="AX278" s="1084">
        <f t="shared" si="156"/>
        <v>1</v>
      </c>
      <c r="AY278" s="1084">
        <f t="shared" si="156"/>
        <v>1</v>
      </c>
      <c r="AZ278" s="1084">
        <f t="shared" si="156"/>
        <v>1</v>
      </c>
      <c r="BA278" s="1084">
        <f t="shared" si="156"/>
        <v>1</v>
      </c>
      <c r="BB278" s="1085">
        <f t="shared" si="156"/>
        <v>1</v>
      </c>
      <c r="BC278" s="1043"/>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row>
    <row r="279" spans="1:101" ht="12" customHeight="1" outlineLevel="1" x14ac:dyDescent="0.25">
      <c r="A279" s="123"/>
      <c r="B279" s="104" t="s">
        <v>116</v>
      </c>
      <c r="C279" s="104" t="s">
        <v>124</v>
      </c>
      <c r="D279" s="2" t="s">
        <v>152</v>
      </c>
      <c r="E279" s="2" t="s">
        <v>156</v>
      </c>
      <c r="F279" s="105" t="s">
        <v>122</v>
      </c>
      <c r="G279" s="27" t="s">
        <v>1579</v>
      </c>
      <c r="H279" s="106" t="s">
        <v>128</v>
      </c>
      <c r="I279" s="107" t="s">
        <v>129</v>
      </c>
      <c r="J279" s="108">
        <v>1.55</v>
      </c>
      <c r="K279" s="109"/>
      <c r="L279" s="109"/>
      <c r="M279" s="131">
        <f t="shared" ca="1" si="149"/>
        <v>1.4869068795667948</v>
      </c>
      <c r="N279" s="133">
        <f t="shared" ca="1" si="149"/>
        <v>0.81019003587997629</v>
      </c>
      <c r="O279" s="1059" t="s">
        <v>1583</v>
      </c>
      <c r="P279" s="131">
        <f t="shared" ref="P279:BB279" si="157">IFERROR(P146/_xlfn.MAXIFS(P$19:P$150,$B$19:$B$150,$B279,$F$152:$F$283,"C"),"?")</f>
        <v>0.75046030943951003</v>
      </c>
      <c r="Q279" s="133">
        <f t="shared" si="157"/>
        <v>1.2462856289780919</v>
      </c>
      <c r="R279" s="132">
        <f t="shared" si="157"/>
        <v>0.81874702126137344</v>
      </c>
      <c r="S279" s="1044">
        <f t="shared" si="157"/>
        <v>0.48838350973102346</v>
      </c>
      <c r="T279" s="1044">
        <f t="shared" si="157"/>
        <v>0.60008998672573011</v>
      </c>
      <c r="U279" s="1044">
        <f t="shared" si="157"/>
        <v>1.0838549221564113</v>
      </c>
      <c r="V279" s="1044">
        <f t="shared" si="157"/>
        <v>0.72516780301543071</v>
      </c>
      <c r="W279" s="1044">
        <f t="shared" si="157"/>
        <v>1.0107213656680405</v>
      </c>
      <c r="X279" s="1044">
        <f t="shared" si="157"/>
        <v>0.72904866895431442</v>
      </c>
      <c r="Y279" s="1044">
        <f t="shared" si="157"/>
        <v>1.0267040286124522</v>
      </c>
      <c r="Z279" s="1044">
        <f t="shared" si="157"/>
        <v>0.14253737792710797</v>
      </c>
      <c r="AA279" s="1044">
        <f t="shared" si="157"/>
        <v>0.67554512627015162</v>
      </c>
      <c r="AB279" s="1044">
        <f t="shared" si="157"/>
        <v>4.2921385038329526E-2</v>
      </c>
      <c r="AC279" s="1044">
        <f t="shared" si="157"/>
        <v>1.283754204674451E-2</v>
      </c>
      <c r="AD279" s="1044">
        <f t="shared" si="157"/>
        <v>8.8544652440552471E-2</v>
      </c>
      <c r="AE279" s="1044">
        <f t="shared" si="157"/>
        <v>0.55212040846229604</v>
      </c>
      <c r="AF279" s="1044">
        <f t="shared" si="157"/>
        <v>6.6608696072369231E-2</v>
      </c>
      <c r="AG279" s="1044">
        <f t="shared" si="157"/>
        <v>1.5717908999661874</v>
      </c>
      <c r="AH279" s="1044">
        <f t="shared" si="157"/>
        <v>0.21687984049831424</v>
      </c>
      <c r="AI279" s="1044">
        <f t="shared" si="157"/>
        <v>0.84658018979381366</v>
      </c>
      <c r="AJ279" s="1045">
        <f t="shared" si="157"/>
        <v>0.29102522230273314</v>
      </c>
      <c r="AK279" s="1086">
        <f t="shared" si="157"/>
        <v>0.48134821293240487</v>
      </c>
      <c r="AL279" s="1087">
        <f t="shared" si="157"/>
        <v>1.0822149278982436</v>
      </c>
      <c r="AM279" s="1087">
        <f t="shared" si="157"/>
        <v>1.0669418626422229</v>
      </c>
      <c r="AN279" s="1087">
        <f t="shared" si="157"/>
        <v>0.79949737205395821</v>
      </c>
      <c r="AO279" s="1087">
        <f t="shared" si="157"/>
        <v>1.038571717904395</v>
      </c>
      <c r="AP279" s="1087">
        <f t="shared" si="157"/>
        <v>1.0284951286185553</v>
      </c>
      <c r="AQ279" s="1087">
        <f t="shared" si="157"/>
        <v>0.17683857725946092</v>
      </c>
      <c r="AR279" s="1087">
        <f t="shared" si="157"/>
        <v>0.72931739844933785</v>
      </c>
      <c r="AS279" s="1087">
        <f t="shared" si="157"/>
        <v>6.675412104610568E-4</v>
      </c>
      <c r="AT279" s="1087">
        <f t="shared" si="157"/>
        <v>3.8124078394460734E-2</v>
      </c>
      <c r="AU279" s="1087">
        <f t="shared" si="157"/>
        <v>0.15308171712223023</v>
      </c>
      <c r="AV279" s="1087">
        <f t="shared" si="157"/>
        <v>7.3141249037545555E-2</v>
      </c>
      <c r="AW279" s="1087">
        <f t="shared" si="157"/>
        <v>1.7834095525468729</v>
      </c>
      <c r="AX279" s="1087">
        <f t="shared" si="157"/>
        <v>0.94599652667008916</v>
      </c>
      <c r="AY279" s="1087">
        <f t="shared" si="157"/>
        <v>4.047816126680181E-4</v>
      </c>
      <c r="AZ279" s="1087">
        <f t="shared" si="157"/>
        <v>1.3612963893502981</v>
      </c>
      <c r="BA279" s="1087">
        <f t="shared" si="157"/>
        <v>0.85533560169160816</v>
      </c>
      <c r="BB279" s="1088">
        <f t="shared" si="157"/>
        <v>0.29207838453354801</v>
      </c>
      <c r="BC279" s="1043"/>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row>
    <row r="280" spans="1:101" ht="12" customHeight="1" outlineLevel="1" x14ac:dyDescent="0.25">
      <c r="A280" s="123"/>
      <c r="B280" s="104" t="s">
        <v>116</v>
      </c>
      <c r="C280" s="104" t="s">
        <v>124</v>
      </c>
      <c r="D280" s="2" t="s">
        <v>152</v>
      </c>
      <c r="E280" s="2" t="s">
        <v>156</v>
      </c>
      <c r="F280" s="105" t="s">
        <v>93</v>
      </c>
      <c r="G280" s="27" t="s">
        <v>1578</v>
      </c>
      <c r="H280" s="106" t="s">
        <v>130</v>
      </c>
      <c r="I280" s="107" t="s">
        <v>129</v>
      </c>
      <c r="J280" s="108">
        <v>1.55</v>
      </c>
      <c r="K280" s="109"/>
      <c r="L280" s="109"/>
      <c r="M280" s="131">
        <f t="shared" ca="1" si="149"/>
        <v>1.5365395783291738</v>
      </c>
      <c r="N280" s="133">
        <f t="shared" ca="1" si="149"/>
        <v>0.9170353072570796</v>
      </c>
      <c r="O280" s="1059" t="s">
        <v>1583</v>
      </c>
      <c r="P280" s="131">
        <f t="shared" ref="P280:BB280" si="158">IFERROR(P147/_xlfn.MAXIFS(P$19:P$150,$B$19:$B$150,$B280,$F$152:$F$283,"C"),"?")</f>
        <v>0.80366377043299553</v>
      </c>
      <c r="Q280" s="133">
        <f t="shared" si="158"/>
        <v>1.5478344376584388</v>
      </c>
      <c r="R280" s="132">
        <f t="shared" si="158"/>
        <v>0.91179876754105427</v>
      </c>
      <c r="S280" s="1044">
        <f t="shared" si="158"/>
        <v>0.55598046328815609</v>
      </c>
      <c r="T280" s="1044">
        <f t="shared" si="158"/>
        <v>0.70263447190097639</v>
      </c>
      <c r="U280" s="1044">
        <f t="shared" si="158"/>
        <v>1.1331874990782758</v>
      </c>
      <c r="V280" s="1044">
        <f t="shared" si="158"/>
        <v>0.86548492494314899</v>
      </c>
      <c r="W280" s="1044">
        <f t="shared" si="158"/>
        <v>1.0440831045628576</v>
      </c>
      <c r="X280" s="1044">
        <f t="shared" si="158"/>
        <v>0.86932882263333999</v>
      </c>
      <c r="Y280" s="1044">
        <f t="shared" si="158"/>
        <v>1.0521405190410633</v>
      </c>
      <c r="Z280" s="1044">
        <f t="shared" si="158"/>
        <v>0.18529253141856308</v>
      </c>
      <c r="AA280" s="1044">
        <f t="shared" si="158"/>
        <v>0.86998885007326565</v>
      </c>
      <c r="AB280" s="1044">
        <f t="shared" si="158"/>
        <v>4.7715026512535411E-2</v>
      </c>
      <c r="AC280" s="1044">
        <f t="shared" si="158"/>
        <v>1.6820925209476235E-2</v>
      </c>
      <c r="AD280" s="1044">
        <f t="shared" si="158"/>
        <v>0.11494801958629394</v>
      </c>
      <c r="AE280" s="1044">
        <f t="shared" si="158"/>
        <v>0.66936836452208881</v>
      </c>
      <c r="AF280" s="1044">
        <f t="shared" si="158"/>
        <v>0.19566750628201432</v>
      </c>
      <c r="AG280" s="1044">
        <f t="shared" si="158"/>
        <v>2.0531134274424021</v>
      </c>
      <c r="AH280" s="1044">
        <f t="shared" si="158"/>
        <v>0.26918315752524219</v>
      </c>
      <c r="AI280" s="1044">
        <f t="shared" si="158"/>
        <v>0.92729534765730182</v>
      </c>
      <c r="AJ280" s="1045">
        <f t="shared" si="158"/>
        <v>0.31977324310743405</v>
      </c>
      <c r="AK280" s="1086">
        <f t="shared" si="158"/>
        <v>0.54927756643347703</v>
      </c>
      <c r="AL280" s="1087">
        <f t="shared" si="158"/>
        <v>1.1329913240853398</v>
      </c>
      <c r="AM280" s="1087">
        <f t="shared" si="158"/>
        <v>1.1157516378154984</v>
      </c>
      <c r="AN280" s="1087">
        <f t="shared" si="158"/>
        <v>0.94625845844821466</v>
      </c>
      <c r="AO280" s="1087">
        <f t="shared" si="158"/>
        <v>1.0655947171837541</v>
      </c>
      <c r="AP280" s="1087">
        <f t="shared" si="158"/>
        <v>1.0545577018305019</v>
      </c>
      <c r="AQ280" s="1087">
        <f t="shared" si="158"/>
        <v>0.22714842245149283</v>
      </c>
      <c r="AR280" s="1087">
        <f t="shared" si="158"/>
        <v>0.89810930240297993</v>
      </c>
      <c r="AS280" s="1087">
        <f t="shared" si="158"/>
        <v>1.5894709883973253E-3</v>
      </c>
      <c r="AT280" s="1087">
        <f t="shared" si="158"/>
        <v>4.8568028740242318E-2</v>
      </c>
      <c r="AU280" s="1087">
        <f t="shared" si="158"/>
        <v>0.19222576076246378</v>
      </c>
      <c r="AV280" s="1087">
        <f t="shared" si="158"/>
        <v>0.16080332943023623</v>
      </c>
      <c r="AW280" s="1087">
        <f t="shared" si="158"/>
        <v>2.3299562419001281</v>
      </c>
      <c r="AX280" s="1087">
        <f t="shared" si="158"/>
        <v>0.97846711309808809</v>
      </c>
      <c r="AY280" s="1087">
        <f t="shared" si="158"/>
        <v>4.1333131532214168E-4</v>
      </c>
      <c r="AZ280" s="1087">
        <f t="shared" si="158"/>
        <v>1.6587987246686793</v>
      </c>
      <c r="BA280" s="1087">
        <f t="shared" si="158"/>
        <v>0.93801380156619363</v>
      </c>
      <c r="BB280" s="1088">
        <f t="shared" si="158"/>
        <v>0.32083185936193814</v>
      </c>
      <c r="BC280" s="1043"/>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7"/>
    </row>
    <row r="281" spans="1:101" ht="12" customHeight="1" outlineLevel="1" x14ac:dyDescent="0.25">
      <c r="A281" s="123"/>
      <c r="B281" s="104" t="s">
        <v>116</v>
      </c>
      <c r="C281" s="104" t="s">
        <v>124</v>
      </c>
      <c r="D281" s="2" t="s">
        <v>152</v>
      </c>
      <c r="E281" s="2" t="s">
        <v>156</v>
      </c>
      <c r="F281" s="105" t="s">
        <v>94</v>
      </c>
      <c r="G281" s="27" t="s">
        <v>1580</v>
      </c>
      <c r="H281" s="106" t="s">
        <v>131</v>
      </c>
      <c r="I281" s="107" t="s">
        <v>129</v>
      </c>
      <c r="J281" s="108">
        <v>1.55</v>
      </c>
      <c r="K281" s="109"/>
      <c r="L281" s="109"/>
      <c r="M281" s="131">
        <f t="shared" ca="1" si="149"/>
        <v>1.4541418654323164</v>
      </c>
      <c r="N281" s="133">
        <f t="shared" ca="1" si="149"/>
        <v>0.73965615571292553</v>
      </c>
      <c r="O281" s="1059" t="s">
        <v>1583</v>
      </c>
      <c r="P281" s="131">
        <f t="shared" ref="P281:BB281" si="159">IFERROR(P148/_xlfn.MAXIFS(P$19:P$150,$B$19:$B$150,$B281,$F$152:$F$283,"C"),"?")</f>
        <v>0.71293958081408015</v>
      </c>
      <c r="Q281" s="133">
        <f t="shared" si="159"/>
        <v>1.0534576560608497</v>
      </c>
      <c r="R281" s="132">
        <f t="shared" si="159"/>
        <v>0.75628821255821421</v>
      </c>
      <c r="S281" s="1044">
        <f t="shared" si="159"/>
        <v>0.4436780544158645</v>
      </c>
      <c r="T281" s="1044">
        <f t="shared" si="159"/>
        <v>0.53196472564007768</v>
      </c>
      <c r="U281" s="1044">
        <f t="shared" si="159"/>
        <v>1.0466531836728232</v>
      </c>
      <c r="V281" s="1044">
        <f t="shared" si="159"/>
        <v>0.63418414409965673</v>
      </c>
      <c r="W281" s="1044">
        <f t="shared" si="159"/>
        <v>0.98371656012939868</v>
      </c>
      <c r="X281" s="1044">
        <f t="shared" si="159"/>
        <v>0.63806549881330099</v>
      </c>
      <c r="Y281" s="1044">
        <f t="shared" si="159"/>
        <v>1.004473090438543</v>
      </c>
      <c r="Z281" s="1044">
        <f t="shared" si="159"/>
        <v>0.11541638974256933</v>
      </c>
      <c r="AA281" s="1044">
        <f t="shared" si="159"/>
        <v>0.54931471677034771</v>
      </c>
      <c r="AB281" s="1044">
        <f t="shared" si="159"/>
        <v>3.969860368520723E-2</v>
      </c>
      <c r="AC281" s="1044">
        <f t="shared" si="159"/>
        <v>1.0312980063982966E-2</v>
      </c>
      <c r="AD281" s="1044">
        <f t="shared" si="159"/>
        <v>7.1789960031693661E-2</v>
      </c>
      <c r="AE281" s="1044">
        <f t="shared" si="159"/>
        <v>0.47663389031195807</v>
      </c>
      <c r="AF281" s="1044">
        <f t="shared" si="159"/>
        <v>-1.2970743732133196E-2</v>
      </c>
      <c r="AG281" s="1044">
        <f t="shared" si="159"/>
        <v>1.266750520064384</v>
      </c>
      <c r="AH281" s="1044">
        <f t="shared" si="159"/>
        <v>0.18338276305630333</v>
      </c>
      <c r="AI281" s="1044">
        <f t="shared" si="159"/>
        <v>0.79156132057837147</v>
      </c>
      <c r="AJ281" s="1045">
        <f t="shared" si="159"/>
        <v>0.27068111219136021</v>
      </c>
      <c r="AK281" s="1086">
        <f t="shared" si="159"/>
        <v>0.43652791137965447</v>
      </c>
      <c r="AL281" s="1087">
        <f t="shared" si="159"/>
        <v>1.0441216551906609</v>
      </c>
      <c r="AM281" s="1087">
        <f t="shared" si="159"/>
        <v>1.030166534478814</v>
      </c>
      <c r="AN281" s="1087">
        <f t="shared" si="159"/>
        <v>0.70406455483049168</v>
      </c>
      <c r="AO281" s="1087">
        <f t="shared" si="159"/>
        <v>1.0164037661732082</v>
      </c>
      <c r="AP281" s="1087">
        <f t="shared" si="159"/>
        <v>1.0058673886878833</v>
      </c>
      <c r="AQ281" s="1087">
        <f t="shared" si="159"/>
        <v>0.14477946069520289</v>
      </c>
      <c r="AR281" s="1087">
        <f t="shared" si="159"/>
        <v>0.61887508234007182</v>
      </c>
      <c r="AS281" s="1087">
        <f t="shared" si="159"/>
        <v>9.4711481625277754E-5</v>
      </c>
      <c r="AT281" s="1087">
        <f t="shared" si="159"/>
        <v>3.1476806327417658E-2</v>
      </c>
      <c r="AU281" s="1087">
        <f t="shared" si="159"/>
        <v>0.12808828593659372</v>
      </c>
      <c r="AV281" s="1087">
        <f t="shared" si="159"/>
        <v>1.9132708185929305E-2</v>
      </c>
      <c r="AW281" s="1087">
        <f t="shared" si="159"/>
        <v>1.4370779882459193</v>
      </c>
      <c r="AX281" s="1087">
        <f t="shared" si="159"/>
        <v>0.91945188555768576</v>
      </c>
      <c r="AY281" s="1087">
        <f t="shared" si="159"/>
        <v>3.9556196294827212E-4</v>
      </c>
      <c r="AZ281" s="1087">
        <f t="shared" si="159"/>
        <v>1.1699340074639182</v>
      </c>
      <c r="BA281" s="1087">
        <f t="shared" si="159"/>
        <v>0.79904441902351697</v>
      </c>
      <c r="BB281" s="1088">
        <f t="shared" si="159"/>
        <v>0.27172469956718864</v>
      </c>
      <c r="BC281" s="1043"/>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row>
    <row r="282" spans="1:101" ht="12" customHeight="1" outlineLevel="1" x14ac:dyDescent="0.25">
      <c r="A282" s="123"/>
      <c r="B282" s="104" t="s">
        <v>116</v>
      </c>
      <c r="C282" s="104" t="s">
        <v>124</v>
      </c>
      <c r="D282" s="2" t="s">
        <v>152</v>
      </c>
      <c r="E282" s="2" t="s">
        <v>156</v>
      </c>
      <c r="F282" s="105" t="s">
        <v>95</v>
      </c>
      <c r="G282" s="27" t="s">
        <v>1581</v>
      </c>
      <c r="H282" s="106" t="s">
        <v>128</v>
      </c>
      <c r="I282" s="107" t="s">
        <v>127</v>
      </c>
      <c r="J282" s="108">
        <v>1.55</v>
      </c>
      <c r="K282" s="109"/>
      <c r="L282" s="109"/>
      <c r="M282" s="131">
        <f t="shared" ca="1" si="149"/>
        <v>1.5189106069153921</v>
      </c>
      <c r="N282" s="133">
        <f t="shared" ca="1" si="149"/>
        <v>0.87908507924666079</v>
      </c>
      <c r="O282" s="1059" t="s">
        <v>1583</v>
      </c>
      <c r="P282" s="131">
        <f t="shared" ref="P282:BB282" si="160">IFERROR(P149/_xlfn.MAXIFS(P$19:P$150,$B$19:$B$150,$B282,$F$152:$F$283,"C"),"?")</f>
        <v>0.99739065963451989</v>
      </c>
      <c r="Q282" s="133">
        <f t="shared" si="160"/>
        <v>1.2839584246901143</v>
      </c>
      <c r="R282" s="132">
        <f t="shared" si="160"/>
        <v>0.83730289953914205</v>
      </c>
      <c r="S282" s="1044">
        <f t="shared" si="160"/>
        <v>0.51615978807058294</v>
      </c>
      <c r="T282" s="1044">
        <f t="shared" si="160"/>
        <v>0.73224234205597027</v>
      </c>
      <c r="U282" s="1044">
        <f t="shared" si="160"/>
        <v>1.0849164779133218</v>
      </c>
      <c r="V282" s="1044">
        <f t="shared" si="160"/>
        <v>0.75987539199689469</v>
      </c>
      <c r="W282" s="1044">
        <f t="shared" si="160"/>
        <v>1.1360380184256222</v>
      </c>
      <c r="X282" s="1044">
        <f t="shared" si="160"/>
        <v>0.7635275110120433</v>
      </c>
      <c r="Y282" s="1044">
        <f t="shared" si="160"/>
        <v>1.1592214149420468</v>
      </c>
      <c r="Z282" s="1044">
        <f t="shared" si="160"/>
        <v>0.64714691270848035</v>
      </c>
      <c r="AA282" s="1044">
        <f t="shared" si="160"/>
        <v>0.92193078185567423</v>
      </c>
      <c r="AB282" s="1044">
        <f t="shared" si="160"/>
        <v>5.3257546234216829E-2</v>
      </c>
      <c r="AC282" s="1044">
        <f t="shared" si="160"/>
        <v>2.3049447199005736E-2</v>
      </c>
      <c r="AD282" s="1044">
        <f t="shared" si="160"/>
        <v>0.14530434612269602</v>
      </c>
      <c r="AE282" s="1044">
        <f t="shared" si="160"/>
        <v>0.85186688060441784</v>
      </c>
      <c r="AF282" s="1044">
        <f t="shared" si="160"/>
        <v>2.1252834555935647</v>
      </c>
      <c r="AG282" s="1044">
        <f t="shared" si="160"/>
        <v>1.5717908999661874</v>
      </c>
      <c r="AH282" s="1044">
        <f t="shared" si="160"/>
        <v>0.21726672636241956</v>
      </c>
      <c r="AI282" s="1044">
        <f t="shared" si="160"/>
        <v>0.86171482239121133</v>
      </c>
      <c r="AJ282" s="1045">
        <f t="shared" si="160"/>
        <v>0.29106510798103286</v>
      </c>
      <c r="AK282" s="1086">
        <f t="shared" si="160"/>
        <v>0.50945478960948143</v>
      </c>
      <c r="AL282" s="1087">
        <f t="shared" si="160"/>
        <v>1.0833073932965158</v>
      </c>
      <c r="AM282" s="1087">
        <f t="shared" si="160"/>
        <v>1.0679825949157733</v>
      </c>
      <c r="AN282" s="1087">
        <f t="shared" si="160"/>
        <v>0.83419837039318789</v>
      </c>
      <c r="AO282" s="1087">
        <f t="shared" si="160"/>
        <v>1.1459036978771708</v>
      </c>
      <c r="AP282" s="1087">
        <f t="shared" si="160"/>
        <v>1.1611140988116013</v>
      </c>
      <c r="AQ282" s="1087">
        <f t="shared" si="160"/>
        <v>0.6510170766015374</v>
      </c>
      <c r="AR282" s="1087">
        <f t="shared" si="160"/>
        <v>0.95792213533473869</v>
      </c>
      <c r="AS282" s="1087">
        <f t="shared" si="160"/>
        <v>2.1052730812327194E-2</v>
      </c>
      <c r="AT282" s="1087">
        <f t="shared" si="160"/>
        <v>5.1161574102018076E-2</v>
      </c>
      <c r="AU282" s="1087">
        <f t="shared" si="160"/>
        <v>0.18893151319542537</v>
      </c>
      <c r="AV282" s="1087">
        <f t="shared" si="160"/>
        <v>0.84864028831531368</v>
      </c>
      <c r="AW282" s="1087">
        <f t="shared" si="160"/>
        <v>1.7834095525468729</v>
      </c>
      <c r="AX282" s="1087">
        <f t="shared" si="160"/>
        <v>0.94599652667008916</v>
      </c>
      <c r="AY282" s="1087">
        <f t="shared" si="160"/>
        <v>4.047816126680181E-4</v>
      </c>
      <c r="AZ282" s="1087">
        <f t="shared" si="160"/>
        <v>1.3627048702682929</v>
      </c>
      <c r="BA282" s="1087">
        <f t="shared" si="160"/>
        <v>0.87068777638005013</v>
      </c>
      <c r="BB282" s="1088">
        <f t="shared" si="160"/>
        <v>0.29211820112726578</v>
      </c>
      <c r="BC282" s="1043"/>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row>
    <row r="283" spans="1:101" ht="12" customHeight="1" outlineLevel="1" x14ac:dyDescent="0.25">
      <c r="A283" s="123"/>
      <c r="B283" s="104" t="s">
        <v>116</v>
      </c>
      <c r="C283" s="104" t="s">
        <v>124</v>
      </c>
      <c r="D283" s="2" t="s">
        <v>152</v>
      </c>
      <c r="E283" s="2" t="s">
        <v>156</v>
      </c>
      <c r="F283" s="105" t="s">
        <v>96</v>
      </c>
      <c r="G283" s="27" t="s">
        <v>1582</v>
      </c>
      <c r="H283" s="106" t="s">
        <v>128</v>
      </c>
      <c r="I283" s="107" t="s">
        <v>1577</v>
      </c>
      <c r="J283" s="129">
        <v>1.55</v>
      </c>
      <c r="K283" s="130"/>
      <c r="L283" s="130"/>
      <c r="M283" s="131">
        <f t="shared" ca="1" si="149"/>
        <v>1.5427825349042739</v>
      </c>
      <c r="N283" s="133">
        <f t="shared" ca="1" si="149"/>
        <v>0.93047464072261432</v>
      </c>
      <c r="O283" s="1059" t="s">
        <v>1583</v>
      </c>
      <c r="P283" s="131">
        <f t="shared" ref="P283:BB283" si="161">IFERROR(P150/_xlfn.MAXIFS(P$19:P$150,$B$19:$B$150,$B283,$F$152:$F$283,"C"),"?")</f>
        <v>1.1912169625466593</v>
      </c>
      <c r="Q283" s="133">
        <f t="shared" si="161"/>
        <v>1.311762624059621</v>
      </c>
      <c r="R283" s="132">
        <f t="shared" si="161"/>
        <v>0.849412762628865</v>
      </c>
      <c r="S283" s="1044">
        <f t="shared" si="161"/>
        <v>0.53639965379270271</v>
      </c>
      <c r="T283" s="1044">
        <f t="shared" si="161"/>
        <v>0.8305016800887316</v>
      </c>
      <c r="U283" s="1044">
        <f t="shared" si="161"/>
        <v>1.0856093439636836</v>
      </c>
      <c r="V283" s="1044">
        <f t="shared" si="161"/>
        <v>0.78252613752819677</v>
      </c>
      <c r="W283" s="1044">
        <f t="shared" si="161"/>
        <v>1.2290159856323843</v>
      </c>
      <c r="X283" s="1044">
        <f t="shared" si="161"/>
        <v>0.78602893090069048</v>
      </c>
      <c r="Y283" s="1044">
        <f t="shared" si="161"/>
        <v>1.2576755547074447</v>
      </c>
      <c r="Z283" s="1044">
        <f t="shared" si="161"/>
        <v>1.0069467682764266</v>
      </c>
      <c r="AA283" s="1044">
        <f t="shared" si="161"/>
        <v>1.1051543110907209</v>
      </c>
      <c r="AB283" s="1044">
        <f t="shared" si="161"/>
        <v>6.0003088009782143E-2</v>
      </c>
      <c r="AC283" s="1044">
        <f t="shared" si="161"/>
        <v>2.7043975559535999E-2</v>
      </c>
      <c r="AD283" s="1044">
        <f t="shared" si="161"/>
        <v>0.16379546116211383</v>
      </c>
      <c r="AE283" s="1044">
        <f t="shared" si="161"/>
        <v>1.1097077349974893</v>
      </c>
      <c r="AF283" s="1044">
        <f t="shared" si="161"/>
        <v>3.7859425203568748</v>
      </c>
      <c r="AG283" s="1044">
        <f t="shared" si="161"/>
        <v>1.5717908999661874</v>
      </c>
      <c r="AH283" s="1044">
        <f t="shared" si="161"/>
        <v>0.21751922225600759</v>
      </c>
      <c r="AI283" s="1044">
        <f t="shared" si="161"/>
        <v>0.87159194969086762</v>
      </c>
      <c r="AJ283" s="1045">
        <f t="shared" si="161"/>
        <v>0.291091139723342</v>
      </c>
      <c r="AK283" s="1086">
        <f t="shared" si="161"/>
        <v>0.52993836353865342</v>
      </c>
      <c r="AL283" s="1087">
        <f t="shared" si="161"/>
        <v>1.084020346114305</v>
      </c>
      <c r="AM283" s="1087">
        <f t="shared" si="161"/>
        <v>1.0686618020970611</v>
      </c>
      <c r="AN283" s="1087">
        <f t="shared" si="161"/>
        <v>0.85684478315234724</v>
      </c>
      <c r="AO283" s="1087">
        <f t="shared" si="161"/>
        <v>1.2254453137143153</v>
      </c>
      <c r="AP283" s="1087">
        <f t="shared" si="161"/>
        <v>1.2596264306631486</v>
      </c>
      <c r="AQ283" s="1087">
        <f t="shared" si="161"/>
        <v>0.99268117201119654</v>
      </c>
      <c r="AR283" s="1087">
        <f t="shared" si="161"/>
        <v>1.1278947127155676</v>
      </c>
      <c r="AS283" s="1087">
        <f t="shared" si="161"/>
        <v>3.565074466458474E-2</v>
      </c>
      <c r="AT283" s="1087">
        <f t="shared" si="161"/>
        <v>5.6796839333422174E-2</v>
      </c>
      <c r="AU283" s="1087">
        <f t="shared" si="161"/>
        <v>0.203379221347814</v>
      </c>
      <c r="AV283" s="1087">
        <f t="shared" si="161"/>
        <v>1.515865715127473</v>
      </c>
      <c r="AW283" s="1087">
        <f t="shared" si="161"/>
        <v>1.7834095525468729</v>
      </c>
      <c r="AX283" s="1087">
        <f t="shared" si="161"/>
        <v>0.94599652667008916</v>
      </c>
      <c r="AY283" s="1087">
        <f t="shared" si="161"/>
        <v>4.047816126680181E-4</v>
      </c>
      <c r="AZ283" s="1087">
        <f t="shared" si="161"/>
        <v>1.3636240463826408</v>
      </c>
      <c r="BA283" s="1087">
        <f t="shared" si="161"/>
        <v>0.88070688590759572</v>
      </c>
      <c r="BB283" s="1088">
        <f t="shared" si="161"/>
        <v>0.29214418778090884</v>
      </c>
      <c r="BC283" s="1043"/>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row>
    <row r="284" spans="1:101" ht="12" customHeight="1" x14ac:dyDescent="0.25">
      <c r="A284" s="119"/>
      <c r="B284" s="70" t="s">
        <v>119</v>
      </c>
      <c r="C284" s="70" t="s">
        <v>125</v>
      </c>
      <c r="D284" s="71" t="s">
        <v>125</v>
      </c>
      <c r="E284" s="71" t="s">
        <v>125</v>
      </c>
      <c r="F284" s="72" t="s">
        <v>125</v>
      </c>
      <c r="G284" s="70" t="s">
        <v>125</v>
      </c>
      <c r="H284" s="138" t="s">
        <v>125</v>
      </c>
      <c r="I284" s="139" t="s">
        <v>125</v>
      </c>
      <c r="J284" s="122" t="s">
        <v>125</v>
      </c>
      <c r="K284" s="34" t="s">
        <v>87</v>
      </c>
      <c r="L284" s="140" t="s">
        <v>120</v>
      </c>
      <c r="M284" s="141" t="s">
        <v>87</v>
      </c>
      <c r="N284" s="160" t="s">
        <v>87</v>
      </c>
      <c r="O284" s="77"/>
      <c r="P284" s="34"/>
      <c r="Q284" s="35"/>
      <c r="R284" s="36"/>
      <c r="S284" s="35" t="s">
        <v>87</v>
      </c>
      <c r="T284" s="35" t="s">
        <v>87</v>
      </c>
      <c r="U284" s="35" t="s">
        <v>87</v>
      </c>
      <c r="V284" s="35" t="s">
        <v>87</v>
      </c>
      <c r="W284" s="35" t="s">
        <v>87</v>
      </c>
      <c r="X284" s="35" t="s">
        <v>87</v>
      </c>
      <c r="Y284" s="35" t="s">
        <v>87</v>
      </c>
      <c r="Z284" s="35" t="s">
        <v>87</v>
      </c>
      <c r="AA284" s="35" t="s">
        <v>87</v>
      </c>
      <c r="AB284" s="35" t="s">
        <v>87</v>
      </c>
      <c r="AC284" s="35" t="s">
        <v>87</v>
      </c>
      <c r="AD284" s="35" t="s">
        <v>87</v>
      </c>
      <c r="AE284" s="35" t="s">
        <v>87</v>
      </c>
      <c r="AF284" s="35" t="s">
        <v>87</v>
      </c>
      <c r="AG284" s="35" t="s">
        <v>87</v>
      </c>
      <c r="AH284" s="35" t="s">
        <v>87</v>
      </c>
      <c r="AI284" s="35" t="s">
        <v>87</v>
      </c>
      <c r="AJ284" s="36" t="s">
        <v>87</v>
      </c>
      <c r="AK284" s="34" t="s">
        <v>87</v>
      </c>
      <c r="AL284" s="35" t="s">
        <v>87</v>
      </c>
      <c r="AM284" s="35" t="s">
        <v>87</v>
      </c>
      <c r="AN284" s="35" t="s">
        <v>87</v>
      </c>
      <c r="AO284" s="35" t="s">
        <v>87</v>
      </c>
      <c r="AP284" s="35" t="s">
        <v>87</v>
      </c>
      <c r="AQ284" s="35" t="s">
        <v>87</v>
      </c>
      <c r="AR284" s="35" t="s">
        <v>87</v>
      </c>
      <c r="AS284" s="35" t="s">
        <v>87</v>
      </c>
      <c r="AT284" s="35" t="s">
        <v>87</v>
      </c>
      <c r="AU284" s="35" t="s">
        <v>87</v>
      </c>
      <c r="AV284" s="35" t="s">
        <v>87</v>
      </c>
      <c r="AW284" s="35" t="s">
        <v>87</v>
      </c>
      <c r="AX284" s="35" t="s">
        <v>87</v>
      </c>
      <c r="AY284" s="35" t="s">
        <v>87</v>
      </c>
      <c r="AZ284" s="35" t="s">
        <v>87</v>
      </c>
      <c r="BA284" s="35" t="s">
        <v>87</v>
      </c>
      <c r="BB284" s="36" t="s">
        <v>87</v>
      </c>
      <c r="BC284" s="75" t="s">
        <v>87</v>
      </c>
      <c r="BE284" s="1"/>
      <c r="BF284" s="1"/>
      <c r="BG284" s="1"/>
      <c r="BH284" s="1"/>
      <c r="BI284" s="1"/>
      <c r="BJ284" s="1"/>
      <c r="BK284" s="1"/>
      <c r="BL284" s="1"/>
      <c r="BM284" s="1"/>
      <c r="BN284" s="1"/>
      <c r="BO284" s="1"/>
      <c r="BP284" s="1"/>
      <c r="BQ284" s="1"/>
      <c r="BR284" s="1"/>
      <c r="BS284" s="1"/>
      <c r="BT284" s="1"/>
      <c r="BU284" s="1"/>
      <c r="BV284" s="1"/>
      <c r="BW284" s="1"/>
      <c r="BX284" s="1"/>
      <c r="BY284" s="1"/>
      <c r="BZ284" s="1"/>
    </row>
    <row r="285" spans="1:101" ht="12" customHeight="1" outlineLevel="1" x14ac:dyDescent="0.25">
      <c r="B285" s="88" t="s">
        <v>91</v>
      </c>
      <c r="C285" s="88" t="s">
        <v>121</v>
      </c>
      <c r="D285" s="89" t="s">
        <v>132</v>
      </c>
      <c r="E285" s="89" t="s">
        <v>133</v>
      </c>
      <c r="F285" s="90" t="s">
        <v>92</v>
      </c>
      <c r="G285" s="18" t="s">
        <v>126</v>
      </c>
      <c r="H285" s="91" t="s">
        <v>127</v>
      </c>
      <c r="I285" s="92" t="s">
        <v>127</v>
      </c>
      <c r="J285" s="142">
        <v>3.8217059399999997</v>
      </c>
      <c r="K285" s="143">
        <v>0.21084</v>
      </c>
      <c r="L285" s="144">
        <f t="shared" ref="L285:L339" ca="1" si="162">IFERROR(N285/K285,"?")</f>
        <v>1.8818102448546754</v>
      </c>
      <c r="M285" s="143">
        <f t="shared" ref="M285:M339" ca="1" si="163">IFERROR(K285+N285,"?")</f>
        <v>0.60760087202515978</v>
      </c>
      <c r="N285" s="162">
        <f t="shared" ref="N285:N348" ca="1" si="164">SUMIFS($S285:$BB285,$S$14:$BB$14,$D$13)</f>
        <v>0.39676087202515975</v>
      </c>
      <c r="O285" s="1060" t="s">
        <v>1583</v>
      </c>
      <c r="P285" s="169"/>
      <c r="Q285" s="145"/>
      <c r="R285" s="96"/>
      <c r="S285" s="1070"/>
      <c r="T285" s="1070"/>
      <c r="U285" s="1070"/>
      <c r="V285" s="1070"/>
      <c r="W285" s="1070"/>
      <c r="X285" s="1070"/>
      <c r="Y285" s="1070"/>
      <c r="Z285" s="1070"/>
      <c r="AA285" s="1070"/>
      <c r="AB285" s="1070"/>
      <c r="AC285" s="1070"/>
      <c r="AD285" s="1070"/>
      <c r="AE285" s="1070"/>
      <c r="AF285" s="1070"/>
      <c r="AG285" s="1070"/>
      <c r="AH285" s="1070"/>
      <c r="AI285" s="1070"/>
      <c r="AJ285" s="1071"/>
      <c r="AK285" s="1048" cm="1">
        <f t="array" aca="1" ref="AK285" ca="1">INDEX(OFFSET($AK$19,MATCH($B285,$B$19:$B$150,0)-1,0,COUNTA($B$19:$B$24),COUNTA($AK$17:$BB$17)),MATCH($F285,$F$19:$F$24,0),MATCH(AK$17,$AK$17:$BB$17,0))*INDEX($10:$13,MATCH($O285,$R$10:$R$13,0),COLUMN())</f>
        <v>8.7199360950000013E-2</v>
      </c>
      <c r="AL285" s="1046" cm="1">
        <f t="array" aca="1" ref="AL285" ca="1">INDEX(OFFSET($AK$19,MATCH($B285,$B$19:$B$150,0)-1,0,COUNTA($B$19:$B$24),COUNTA($AK$17:$BB$17)),MATCH($F285,$F$19:$F$24,0),MATCH(AL$17,$AK$17:$BB$17,0))*INDEX($10:$13,MATCH($O285,$R$10:$R$13,0),COLUMN())</f>
        <v>5.7541612480000001E-8</v>
      </c>
      <c r="AM285" s="1046" cm="1">
        <f t="array" aca="1" ref="AM285" ca="1">INDEX(OFFSET($AK$19,MATCH($B285,$B$19:$B$150,0)-1,0,COUNTA($B$19:$B$24),COUNTA($AK$17:$BB$17)),MATCH($F285,$F$19:$F$24,0),MATCH(AM$17,$AK$17:$BB$17,0))*INDEX($10:$13,MATCH($O285,$R$10:$R$13,0),COLUMN())</f>
        <v>1.0936597579000001E-4</v>
      </c>
      <c r="AN285" s="1046" cm="1">
        <f t="array" aca="1" ref="AN285" ca="1">INDEX(OFFSET($AK$19,MATCH($B285,$B$19:$B$150,0)-1,0,COUNTA($B$19:$B$24),COUNTA($AK$17:$BB$17)),MATCH($F285,$F$19:$F$24,0),MATCH(AN$17,$AK$17:$BB$17,0))*INDEX($10:$13,MATCH($O285,$R$10:$R$13,0),COLUMN())</f>
        <v>6.6409792899999986E-4</v>
      </c>
      <c r="AO285" s="1046" cm="1">
        <f t="array" aca="1" ref="AO285" ca="1">INDEX(OFFSET($AK$19,MATCH($B285,$B$19:$B$150,0)-1,0,COUNTA($B$19:$B$24),COUNTA($AK$17:$BB$17)),MATCH($F285,$F$19:$F$24,0),MATCH(AO$17,$AK$17:$BB$17,0))*INDEX($10:$13,MATCH($O285,$R$10:$R$13,0),COLUMN())</f>
        <v>4.0853930320000002E-2</v>
      </c>
      <c r="AP285" s="1046" cm="1">
        <f t="array" aca="1" ref="AP285" ca="1">INDEX(OFFSET($AK$19,MATCH($B285,$B$19:$B$150,0)-1,0,COUNTA($B$19:$B$24),COUNTA($AK$17:$BB$17)),MATCH($F285,$F$19:$F$24,0),MATCH(AP$17,$AK$17:$BB$17,0))*INDEX($10:$13,MATCH($O285,$R$10:$R$13,0),COLUMN())</f>
        <v>3.5151109266E-2</v>
      </c>
      <c r="AQ285" s="1046" cm="1">
        <f t="array" aca="1" ref="AQ285" ca="1">INDEX(OFFSET($AK$19,MATCH($B285,$B$19:$B$150,0)-1,0,COUNTA($B$19:$B$24),COUNTA($AK$17:$BB$17)),MATCH($F285,$F$19:$F$24,0),MATCH(AQ$17,$AK$17:$BB$17,0))*INDEX($10:$13,MATCH($O285,$R$10:$R$13,0),COLUMN())</f>
        <v>2.401150632E-4</v>
      </c>
      <c r="AR285" s="1046" cm="1">
        <f t="array" aca="1" ref="AR285" ca="1">INDEX(OFFSET($AK$19,MATCH($B285,$B$19:$B$150,0)-1,0,COUNTA($B$19:$B$24),COUNTA($AK$17:$BB$17)),MATCH($F285,$F$19:$F$24,0),MATCH(AR$17,$AK$17:$BB$17,0))*INDEX($10:$13,MATCH($O285,$R$10:$R$13,0),COLUMN())</f>
        <v>2.7548530524000001E-2</v>
      </c>
      <c r="AS285" s="1046" cm="1">
        <f t="array" aca="1" ref="AS285" ca="1">INDEX(OFFSET($AK$19,MATCH($B285,$B$19:$B$150,0)-1,0,COUNTA($B$19:$B$24),COUNTA($AK$17:$BB$17)),MATCH($F285,$F$19:$F$24,0),MATCH(AS$17,$AK$17:$BB$17,0))*INDEX($10:$13,MATCH($O285,$R$10:$R$13,0),COLUMN())</f>
        <v>8.7560361789999985E-2</v>
      </c>
      <c r="AT285" s="1046" cm="1">
        <f t="array" aca="1" ref="AT285" ca="1">INDEX(OFFSET($AK$19,MATCH($B285,$B$19:$B$150,0)-1,0,COUNTA($B$19:$B$24),COUNTA($AK$17:$BB$17)),MATCH($F285,$F$19:$F$24,0),MATCH(AT$17,$AK$17:$BB$17,0))*INDEX($10:$13,MATCH($O285,$R$10:$R$13,0),COLUMN())</f>
        <v>9.8164834750000003E-5</v>
      </c>
      <c r="AU285" s="1046" cm="1">
        <f t="array" aca="1" ref="AU285" ca="1">INDEX(OFFSET($AK$19,MATCH($B285,$B$19:$B$150,0)-1,0,COUNTA($B$19:$B$24),COUNTA($AK$17:$BB$17)),MATCH($F285,$F$19:$F$24,0),MATCH(AU$17,$AK$17:$BB$17,0))*INDEX($10:$13,MATCH($O285,$R$10:$R$13,0),COLUMN())</f>
        <v>5.5093492728999995E-6</v>
      </c>
      <c r="AV285" s="1046" cm="1">
        <f t="array" aca="1" ref="AV285" ca="1">INDEX(OFFSET($AK$19,MATCH($B285,$B$19:$B$150,0)-1,0,COUNTA($B$19:$B$24),COUNTA($AK$17:$BB$17)),MATCH($F285,$F$19:$F$24,0),MATCH(AV$17,$AK$17:$BB$17,0))*INDEX($10:$13,MATCH($O285,$R$10:$R$13,0),COLUMN())</f>
        <v>5.2358602018999995E-3</v>
      </c>
      <c r="AW285" s="1046" cm="1">
        <f t="array" aca="1" ref="AW285" ca="1">INDEX(OFFSET($AK$19,MATCH($B285,$B$19:$B$150,0)-1,0,COUNTA($B$19:$B$24),COUNTA($AK$17:$BB$17)),MATCH($F285,$F$19:$F$24,0),MATCH(AW$17,$AK$17:$BB$17,0))*INDEX($10:$13,MATCH($O285,$R$10:$R$13,0),COLUMN())</f>
        <v>0.11209419325</v>
      </c>
      <c r="AX285" s="1046" cm="1">
        <f t="array" aca="1" ref="AX285" ca="1">INDEX(OFFSET($AK$19,MATCH($B285,$B$19:$B$150,0)-1,0,COUNTA($B$19:$B$24),COUNTA($AK$17:$BB$17)),MATCH($F285,$F$19:$F$24,0),MATCH(AX$17,$AK$17:$BB$17,0))*INDEX($10:$13,MATCH($O285,$R$10:$R$13,0),COLUMN())</f>
        <v>2.1502963429999999E-7</v>
      </c>
      <c r="AY285" s="1046" cm="1">
        <f t="array" aca="1" ref="AY285" ca="1">INDEX(OFFSET($AK$19,MATCH($B285,$B$19:$B$150,0)-1,0,COUNTA($B$19:$B$24),COUNTA($AK$17:$BB$17)),MATCH($F285,$F$19:$F$24,0),MATCH(AY$17,$AK$17:$BB$17,0))*INDEX($10:$13,MATCH($O285,$R$10:$R$13,0),COLUMN())</f>
        <v>0</v>
      </c>
      <c r="AZ285" s="1046" cm="1">
        <f t="array" aca="1" ref="AZ285" ca="1">INDEX(OFFSET($AK$19,MATCH($B285,$B$19:$B$150,0)-1,0,COUNTA($B$19:$B$24),COUNTA($AK$17:$BB$17)),MATCH($F285,$F$19:$F$24,0),MATCH(AZ$17,$AK$17:$BB$17,0))*INDEX($10:$13,MATCH($O285,$R$10:$R$13,0),COLUMN())</f>
        <v>0</v>
      </c>
      <c r="BA285" s="1046" cm="1">
        <f t="array" aca="1" ref="BA285" ca="1">INDEX(OFFSET($AK$19,MATCH($B285,$B$19:$B$150,0)-1,0,COUNTA($B$19:$B$24),COUNTA($AK$17:$BB$17)),MATCH($F285,$F$19:$F$24,0),MATCH(BA$17,$AK$17:$BB$17,0))*INDEX($10:$13,MATCH($O285,$R$10:$R$13,0),COLUMN())</f>
        <v>0</v>
      </c>
      <c r="BB285" s="1047" cm="1">
        <f t="array" aca="1" ref="BB285" ca="1">INDEX(OFFSET($AK$19,MATCH($B285,$B$19:$B$150,0)-1,0,COUNTA($B$19:$B$24),COUNTA($AK$17:$BB$17)),MATCH($F285,$F$19:$F$24,0),MATCH(BB$17,$AK$17:$BB$17,0))*INDEX($10:$13,MATCH($O285,$R$10:$R$13,0),COLUMN())</f>
        <v>0</v>
      </c>
      <c r="BC285" s="1049">
        <f ca="1">SUM(AW285:AY285)</f>
        <v>0.11209440827963431</v>
      </c>
      <c r="BD285" s="146"/>
      <c r="BE285" s="1"/>
      <c r="BF285" s="1"/>
      <c r="BG285" s="1"/>
      <c r="BH285" s="1"/>
      <c r="BI285" s="1"/>
      <c r="BJ285" s="1"/>
      <c r="BK285" s="1"/>
      <c r="BL285" s="1"/>
      <c r="BM285" s="1"/>
      <c r="BN285" s="1"/>
      <c r="BO285" s="1"/>
      <c r="BP285" s="1"/>
      <c r="BQ285" s="1"/>
      <c r="BR285" s="1"/>
      <c r="BS285" s="1"/>
      <c r="BT285" s="1"/>
      <c r="BU285" s="1"/>
      <c r="BV285" s="1"/>
      <c r="BW285" s="1"/>
      <c r="BX285" s="1"/>
      <c r="BY285" s="1"/>
      <c r="BZ285" s="1"/>
    </row>
    <row r="286" spans="1:101" ht="12" customHeight="1" outlineLevel="1" x14ac:dyDescent="0.25">
      <c r="B286" s="104" t="s">
        <v>91</v>
      </c>
      <c r="C286" s="104" t="s">
        <v>121</v>
      </c>
      <c r="D286" s="2" t="s">
        <v>132</v>
      </c>
      <c r="E286" s="2" t="s">
        <v>133</v>
      </c>
      <c r="F286" s="105" t="s">
        <v>122</v>
      </c>
      <c r="G286" s="27" t="s">
        <v>1579</v>
      </c>
      <c r="H286" s="106" t="s">
        <v>128</v>
      </c>
      <c r="I286" s="107" t="s">
        <v>129</v>
      </c>
      <c r="J286" s="147">
        <v>3.8217059399999997</v>
      </c>
      <c r="K286" s="148">
        <v>0.43951000000000001</v>
      </c>
      <c r="L286" s="149">
        <f t="shared" ca="1" si="162"/>
        <v>0.56630809214951017</v>
      </c>
      <c r="M286" s="148">
        <f t="shared" ca="1" si="163"/>
        <v>0.68840806958063128</v>
      </c>
      <c r="N286" s="163">
        <f t="shared" ca="1" si="164"/>
        <v>0.24889806958063124</v>
      </c>
      <c r="O286" s="1061" t="s">
        <v>1583</v>
      </c>
      <c r="P286" s="104"/>
      <c r="R286" s="119"/>
      <c r="S286" s="1072"/>
      <c r="T286" s="1072"/>
      <c r="U286" s="1072"/>
      <c r="V286" s="1072"/>
      <c r="W286" s="1072"/>
      <c r="X286" s="1072"/>
      <c r="Y286" s="1072"/>
      <c r="Z286" s="1072"/>
      <c r="AA286" s="1072"/>
      <c r="AB286" s="1072"/>
      <c r="AC286" s="1072"/>
      <c r="AD286" s="1072"/>
      <c r="AE286" s="1072"/>
      <c r="AF286" s="1072"/>
      <c r="AG286" s="1072"/>
      <c r="AH286" s="1072"/>
      <c r="AI286" s="1072"/>
      <c r="AJ286" s="1073"/>
      <c r="AK286" s="1052" cm="1">
        <f t="array" aca="1" ref="AK286" ca="1">INDEX(OFFSET($AK$19,MATCH($B286,$B$19:$B$150,0)-1,0,COUNTA($B$19:$B$24),COUNTA($AK$17:$BB$17)),MATCH($F286,$F$19:$F$24,0),MATCH(AK$17,$AK$17:$BB$17,0))*INDEX($10:$13,MATCH($O286,$R$10:$R$13,0),COLUMN())</f>
        <v>4.2354758550000003E-2</v>
      </c>
      <c r="AL286" s="1050" cm="1">
        <f t="array" aca="1" ref="AL286" ca="1">INDEX(OFFSET($AK$19,MATCH($B286,$B$19:$B$150,0)-1,0,COUNTA($B$19:$B$24),COUNTA($AK$17:$BB$17)),MATCH($F286,$F$19:$F$24,0),MATCH(AL$17,$AK$17:$BB$17,0))*INDEX($10:$13,MATCH($O286,$R$10:$R$13,0),COLUMN())</f>
        <v>4.1997593919999994E-8</v>
      </c>
      <c r="AM286" s="1050" cm="1">
        <f t="array" aca="1" ref="AM286" ca="1">INDEX(OFFSET($AK$19,MATCH($B286,$B$19:$B$150,0)-1,0,COUNTA($B$19:$B$24),COUNTA($AK$17:$BB$17)),MATCH($F286,$F$19:$F$24,0),MATCH(AM$17,$AK$17:$BB$17,0))*INDEX($10:$13,MATCH($O286,$R$10:$R$13,0),COLUMN())</f>
        <v>7.7882510939999996E-5</v>
      </c>
      <c r="AN286" s="1050" cm="1">
        <f t="array" aca="1" ref="AN286" ca="1">INDEX(OFFSET($AK$19,MATCH($B286,$B$19:$B$150,0)-1,0,COUNTA($B$19:$B$24),COUNTA($AK$17:$BB$17)),MATCH($F286,$F$19:$F$24,0),MATCH(AN$17,$AK$17:$BB$17,0))*INDEX($10:$13,MATCH($O286,$R$10:$R$13,0),COLUMN())</f>
        <v>8.9512716749999988E-4</v>
      </c>
      <c r="AO286" s="1050" cm="1">
        <f t="array" aca="1" ref="AO286" ca="1">INDEX(OFFSET($AK$19,MATCH($B286,$B$19:$B$150,0)-1,0,COUNTA($B$19:$B$24),COUNTA($AK$17:$BB$17)),MATCH($F286,$F$19:$F$24,0),MATCH(AO$17,$AK$17:$BB$17,0))*INDEX($10:$13,MATCH($O286,$R$10:$R$13,0),COLUMN())</f>
        <v>1.3476764784000001E-2</v>
      </c>
      <c r="AP286" s="1050" cm="1">
        <f t="array" aca="1" ref="AP286" ca="1">INDEX(OFFSET($AK$19,MATCH($B286,$B$19:$B$150,0)-1,0,COUNTA($B$19:$B$24),COUNTA($AK$17:$BB$17)),MATCH($F286,$F$19:$F$24,0),MATCH(AP$17,$AK$17:$BB$17,0))*INDEX($10:$13,MATCH($O286,$R$10:$R$13,0),COLUMN())</f>
        <v>7.1528408979999996E-3</v>
      </c>
      <c r="AQ286" s="1050" cm="1">
        <f t="array" aca="1" ref="AQ286" ca="1">INDEX(OFFSET($AK$19,MATCH($B286,$B$19:$B$150,0)-1,0,COUNTA($B$19:$B$24),COUNTA($AK$17:$BB$17)),MATCH($F286,$F$19:$F$24,0),MATCH(AQ$17,$AK$17:$BB$17,0))*INDEX($10:$13,MATCH($O286,$R$10:$R$13,0),COLUMN())</f>
        <v>4.6908078420000005E-5</v>
      </c>
      <c r="AR286" s="1050" cm="1">
        <f t="array" aca="1" ref="AR286" ca="1">INDEX(OFFSET($AK$19,MATCH($B286,$B$19:$B$150,0)-1,0,COUNTA($B$19:$B$24),COUNTA($AK$17:$BB$17)),MATCH($F286,$F$19:$F$24,0),MATCH(AR$17,$AK$17:$BB$17,0))*INDEX($10:$13,MATCH($O286,$R$10:$R$13,0),COLUMN())</f>
        <v>1.4318246246999998E-2</v>
      </c>
      <c r="AS286" s="1050" cm="1">
        <f t="array" aca="1" ref="AS286" ca="1">INDEX(OFFSET($AK$19,MATCH($B286,$B$19:$B$150,0)-1,0,COUNTA($B$19:$B$24),COUNTA($AK$17:$BB$17)),MATCH($F286,$F$19:$F$24,0),MATCH(AS$17,$AK$17:$BB$17,0))*INDEX($10:$13,MATCH($O286,$R$10:$R$13,0),COLUMN())</f>
        <v>1.3495219792999998E-4</v>
      </c>
      <c r="AT286" s="1050" cm="1">
        <f t="array" aca="1" ref="AT286" ca="1">INDEX(OFFSET($AK$19,MATCH($B286,$B$19:$B$150,0)-1,0,COUNTA($B$19:$B$24),COUNTA($AK$17:$BB$17)),MATCH($F286,$F$19:$F$24,0),MATCH(AT$17,$AK$17:$BB$17,0))*INDEX($10:$13,MATCH($O286,$R$10:$R$13,0),COLUMN())</f>
        <v>4.0041773439999997E-6</v>
      </c>
      <c r="AU286" s="1050" cm="1">
        <f t="array" aca="1" ref="AU286" ca="1">INDEX(OFFSET($AK$19,MATCH($B286,$B$19:$B$150,0)-1,0,COUNTA($B$19:$B$24),COUNTA($AK$17:$BB$17)),MATCH($F286,$F$19:$F$24,0),MATCH(AU$17,$AK$17:$BB$17,0))*INDEX($10:$13,MATCH($O286,$R$10:$R$13,0),COLUMN())</f>
        <v>8.4900184969999997E-7</v>
      </c>
      <c r="AV286" s="1050" cm="1">
        <f t="array" aca="1" ref="AV286" ca="1">INDEX(OFFSET($AK$19,MATCH($B286,$B$19:$B$150,0)-1,0,COUNTA($B$19:$B$24),COUNTA($AK$17:$BB$17)),MATCH($F286,$F$19:$F$24,0),MATCH(AV$17,$AK$17:$BB$17,0))*INDEX($10:$13,MATCH($O286,$R$10:$R$13,0),COLUMN())</f>
        <v>7.5879843323999995E-4</v>
      </c>
      <c r="AW286" s="1050" cm="1">
        <f t="array" aca="1" ref="AW286" ca="1">INDEX(OFFSET($AK$19,MATCH($B286,$B$19:$B$150,0)-1,0,COUNTA($B$19:$B$24),COUNTA($AK$17:$BB$17)),MATCH($F286,$F$19:$F$24,0),MATCH(AW$17,$AK$17:$BB$17,0))*INDEX($10:$13,MATCH($O286,$R$10:$R$13,0),COLUMN())</f>
        <v>0.16967684500000002</v>
      </c>
      <c r="AX286" s="1050" cm="1">
        <f t="array" aca="1" ref="AX286" ca="1">INDEX(OFFSET($AK$19,MATCH($B286,$B$19:$B$150,0)-1,0,COUNTA($B$19:$B$24),COUNTA($AK$17:$BB$17)),MATCH($F286,$F$19:$F$24,0),MATCH(AX$17,$AK$17:$BB$17,0))*INDEX($10:$13,MATCH($O286,$R$10:$R$13,0),COLUMN())</f>
        <v>5.0536813600000005E-8</v>
      </c>
      <c r="AY286" s="1050" cm="1">
        <f t="array" aca="1" ref="AY286" ca="1">INDEX(OFFSET($AK$19,MATCH($B286,$B$19:$B$150,0)-1,0,COUNTA($B$19:$B$24),COUNTA($AK$17:$BB$17)),MATCH($F286,$F$19:$F$24,0),MATCH(AY$17,$AK$17:$BB$17,0))*INDEX($10:$13,MATCH($O286,$R$10:$R$13,0),COLUMN())</f>
        <v>0</v>
      </c>
      <c r="AZ286" s="1050" cm="1">
        <f t="array" aca="1" ref="AZ286" ca="1">INDEX(OFFSET($AK$19,MATCH($B286,$B$19:$B$150,0)-1,0,COUNTA($B$19:$B$24),COUNTA($AK$17:$BB$17)),MATCH($F286,$F$19:$F$24,0),MATCH(AZ$17,$AK$17:$BB$17,0))*INDEX($10:$13,MATCH($O286,$R$10:$R$13,0),COLUMN())</f>
        <v>0</v>
      </c>
      <c r="BA286" s="1050" cm="1">
        <f t="array" aca="1" ref="BA286" ca="1">INDEX(OFFSET($AK$19,MATCH($B286,$B$19:$B$150,0)-1,0,COUNTA($B$19:$B$24),COUNTA($AK$17:$BB$17)),MATCH($F286,$F$19:$F$24,0),MATCH(BA$17,$AK$17:$BB$17,0))*INDEX($10:$13,MATCH($O286,$R$10:$R$13,0),COLUMN())</f>
        <v>0</v>
      </c>
      <c r="BB286" s="1051" cm="1">
        <f t="array" aca="1" ref="BB286" ca="1">INDEX(OFFSET($AK$19,MATCH($B286,$B$19:$B$150,0)-1,0,COUNTA($B$19:$B$24),COUNTA($AK$17:$BB$17)),MATCH($F286,$F$19:$F$24,0),MATCH(BB$17,$AK$17:$BB$17,0))*INDEX($10:$13,MATCH($O286,$R$10:$R$13,0),COLUMN())</f>
        <v>0</v>
      </c>
      <c r="BC286" s="1053">
        <f t="shared" ref="BC286:BC319" ca="1" si="165">SUM(AW286:AY286)</f>
        <v>0.16967689553681362</v>
      </c>
      <c r="BE286" s="1"/>
      <c r="BF286" s="1"/>
      <c r="BG286" s="1"/>
      <c r="BH286" s="1"/>
      <c r="BI286" s="1"/>
      <c r="BJ286" s="1"/>
      <c r="BK286" s="1"/>
      <c r="BL286" s="1"/>
      <c r="BM286" s="1"/>
      <c r="BN286" s="1"/>
      <c r="BO286" s="1"/>
      <c r="BP286" s="1"/>
      <c r="BQ286" s="1"/>
      <c r="BR286" s="1"/>
      <c r="BS286" s="1"/>
      <c r="BT286" s="1"/>
      <c r="BU286" s="1"/>
      <c r="BV286" s="1"/>
      <c r="BW286" s="1"/>
      <c r="BX286" s="1"/>
      <c r="BY286" s="1"/>
      <c r="BZ286" s="1"/>
    </row>
    <row r="287" spans="1:101" ht="12" customHeight="1" outlineLevel="1" x14ac:dyDescent="0.25">
      <c r="B287" s="104" t="s">
        <v>91</v>
      </c>
      <c r="C287" s="104" t="s">
        <v>121</v>
      </c>
      <c r="D287" s="2" t="s">
        <v>132</v>
      </c>
      <c r="E287" s="2" t="s">
        <v>133</v>
      </c>
      <c r="F287" s="105" t="s">
        <v>93</v>
      </c>
      <c r="G287" s="27" t="s">
        <v>1578</v>
      </c>
      <c r="H287" s="106" t="s">
        <v>130</v>
      </c>
      <c r="I287" s="107" t="s">
        <v>129</v>
      </c>
      <c r="J287" s="147">
        <v>3.8217059399999997</v>
      </c>
      <c r="K287" s="148">
        <v>0.43951000000000001</v>
      </c>
      <c r="L287" s="149">
        <f t="shared" ca="1" si="162"/>
        <v>0.65297183461697728</v>
      </c>
      <c r="M287" s="148">
        <f t="shared" ca="1" si="163"/>
        <v>0.72649765103250763</v>
      </c>
      <c r="N287" s="163">
        <f t="shared" ca="1" si="164"/>
        <v>0.28698765103250767</v>
      </c>
      <c r="O287" s="1061" t="s">
        <v>1583</v>
      </c>
      <c r="P287" s="104"/>
      <c r="R287" s="119"/>
      <c r="S287" s="1072"/>
      <c r="T287" s="1072"/>
      <c r="U287" s="1072"/>
      <c r="V287" s="1072"/>
      <c r="W287" s="1072"/>
      <c r="X287" s="1072"/>
      <c r="Y287" s="1072"/>
      <c r="Z287" s="1072"/>
      <c r="AA287" s="1072"/>
      <c r="AB287" s="1072"/>
      <c r="AC287" s="1072"/>
      <c r="AD287" s="1072"/>
      <c r="AE287" s="1072"/>
      <c r="AF287" s="1072"/>
      <c r="AG287" s="1072"/>
      <c r="AH287" s="1072"/>
      <c r="AI287" s="1072"/>
      <c r="AJ287" s="1073"/>
      <c r="AK287" s="1052" cm="1">
        <f t="array" aca="1" ref="AK287" ca="1">INDEX(OFFSET($AK$19,MATCH($B287,$B$19:$B$150,0)-1,0,COUNTA($B$19:$B$24),COUNTA($AK$17:$BB$17)),MATCH($F287,$F$19:$F$24,0),MATCH(AK$17,$AK$17:$BB$17,0))*INDEX($10:$13,MATCH($O287,$R$10:$R$13,0),COLUMN())</f>
        <v>4.8814067249999996E-2</v>
      </c>
      <c r="AL287" s="1050" cm="1">
        <f t="array" aca="1" ref="AL287" ca="1">INDEX(OFFSET($AK$19,MATCH($B287,$B$19:$B$150,0)-1,0,COUNTA($B$19:$B$24),COUNTA($AK$17:$BB$17)),MATCH($F287,$F$19:$F$24,0),MATCH(AL$17,$AK$17:$BB$17,0))*INDEX($10:$13,MATCH($O287,$R$10:$R$13,0),COLUMN())</f>
        <v>4.8402436159999996E-8</v>
      </c>
      <c r="AM287" s="1050" cm="1">
        <f t="array" aca="1" ref="AM287" ca="1">INDEX(OFFSET($AK$19,MATCH($B287,$B$19:$B$150,0)-1,0,COUNTA($B$19:$B$24),COUNTA($AK$17:$BB$17)),MATCH($F287,$F$19:$F$24,0),MATCH(AM$17,$AK$17:$BB$17,0))*INDEX($10:$13,MATCH($O287,$R$10:$R$13,0),COLUMN())</f>
        <v>8.9759977710000003E-5</v>
      </c>
      <c r="AN287" s="1050" cm="1">
        <f t="array" aca="1" ref="AN287" ca="1">INDEX(OFFSET($AK$19,MATCH($B287,$B$19:$B$150,0)-1,0,COUNTA($B$19:$B$24),COUNTA($AK$17:$BB$17)),MATCH($F287,$F$19:$F$24,0),MATCH(AN$17,$AK$17:$BB$17,0))*INDEX($10:$13,MATCH($O287,$R$10:$R$13,0),COLUMN())</f>
        <v>1.0316384809999999E-3</v>
      </c>
      <c r="AO287" s="1050" cm="1">
        <f t="array" aca="1" ref="AO287" ca="1">INDEX(OFFSET($AK$19,MATCH($B287,$B$19:$B$150,0)-1,0,COUNTA($B$19:$B$24),COUNTA($AK$17:$BB$17)),MATCH($F287,$F$19:$F$24,0),MATCH(AO$17,$AK$17:$BB$17,0))*INDEX($10:$13,MATCH($O287,$R$10:$R$13,0),COLUMN())</f>
        <v>1.5532038032000001E-2</v>
      </c>
      <c r="AP287" s="1050" cm="1">
        <f t="array" aca="1" ref="AP287" ca="1">INDEX(OFFSET($AK$19,MATCH($B287,$B$19:$B$150,0)-1,0,COUNTA($B$19:$B$24),COUNTA($AK$17:$BB$17)),MATCH($F287,$F$19:$F$24,0),MATCH(AP$17,$AK$17:$BB$17,0))*INDEX($10:$13,MATCH($O287,$R$10:$R$13,0),COLUMN())</f>
        <v>8.2436843300000007E-3</v>
      </c>
      <c r="AQ287" s="1050" cm="1">
        <f t="array" aca="1" ref="AQ287" ca="1">INDEX(OFFSET($AK$19,MATCH($B287,$B$19:$B$150,0)-1,0,COUNTA($B$19:$B$24),COUNTA($AK$17:$BB$17)),MATCH($F287,$F$19:$F$24,0),MATCH(AQ$17,$AK$17:$BB$17,0))*INDEX($10:$13,MATCH($O287,$R$10:$R$13,0),COLUMN())</f>
        <v>5.4061792800000002E-5</v>
      </c>
      <c r="AR287" s="1050" cm="1">
        <f t="array" aca="1" ref="AR287" ca="1">INDEX(OFFSET($AK$19,MATCH($B287,$B$19:$B$150,0)-1,0,COUNTA($B$19:$B$24),COUNTA($AK$17:$BB$17)),MATCH($F287,$F$19:$F$24,0),MATCH(AR$17,$AK$17:$BB$17,0))*INDEX($10:$13,MATCH($O287,$R$10:$R$13,0),COLUMN())</f>
        <v>1.6501849398999999E-2</v>
      </c>
      <c r="AS287" s="1050" cm="1">
        <f t="array" aca="1" ref="AS287" ca="1">INDEX(OFFSET($AK$19,MATCH($B287,$B$19:$B$150,0)-1,0,COUNTA($B$19:$B$24),COUNTA($AK$17:$BB$17)),MATCH($F287,$F$19:$F$24,0),MATCH(AS$17,$AK$17:$BB$17,0))*INDEX($10:$13,MATCH($O287,$R$10:$R$13,0),COLUMN())</f>
        <v>2.02194575E-4</v>
      </c>
      <c r="AT287" s="1050" cm="1">
        <f t="array" aca="1" ref="AT287" ca="1">INDEX(OFFSET($AK$19,MATCH($B287,$B$19:$B$150,0)-1,0,COUNTA($B$19:$B$24),COUNTA($AK$17:$BB$17)),MATCH($F287,$F$19:$F$24,0),MATCH(AT$17,$AK$17:$BB$17,0))*INDEX($10:$13,MATCH($O287,$R$10:$R$13,0),COLUMN())</f>
        <v>4.6312328999999993E-6</v>
      </c>
      <c r="AU287" s="1050" cm="1">
        <f t="array" aca="1" ref="AU287" ca="1">INDEX(OFFSET($AK$19,MATCH($B287,$B$19:$B$150,0)-1,0,COUNTA($B$19:$B$24),COUNTA($AK$17:$BB$17)),MATCH($F287,$F$19:$F$24,0),MATCH(AU$17,$AK$17:$BB$17,0))*INDEX($10:$13,MATCH($O287,$R$10:$R$13,0),COLUMN())</f>
        <v>9.8021706389999994E-7</v>
      </c>
      <c r="AV287" s="1050" cm="1">
        <f t="array" aca="1" ref="AV287" ca="1">INDEX(OFFSET($AK$19,MATCH($B287,$B$19:$B$150,0)-1,0,COUNTA($B$19:$B$24),COUNTA($AK$17:$BB$17)),MATCH($F287,$F$19:$F$24,0),MATCH(AV$17,$AK$17:$BB$17,0))*INDEX($10:$13,MATCH($O287,$R$10:$R$13,0),COLUMN())</f>
        <v>9.5924079866999991E-4</v>
      </c>
      <c r="AW287" s="1050" cm="1">
        <f t="array" aca="1" ref="AW287" ca="1">INDEX(OFFSET($AK$19,MATCH($B287,$B$19:$B$150,0)-1,0,COUNTA($B$19:$B$24),COUNTA($AK$17:$BB$17)),MATCH($F287,$F$19:$F$24,0),MATCH(AW$17,$AK$17:$BB$17,0))*INDEX($10:$13,MATCH($O287,$R$10:$R$13,0),COLUMN())</f>
        <v>0.19555339829999999</v>
      </c>
      <c r="AX287" s="1050" cm="1">
        <f t="array" aca="1" ref="AX287" ca="1">INDEX(OFFSET($AK$19,MATCH($B287,$B$19:$B$150,0)-1,0,COUNTA($B$19:$B$24),COUNTA($AK$17:$BB$17)),MATCH($F287,$F$19:$F$24,0),MATCH(AX$17,$AK$17:$BB$17,0))*INDEX($10:$13,MATCH($O287,$R$10:$R$13,0),COLUMN())</f>
        <v>5.8243927625000004E-8</v>
      </c>
      <c r="AY287" s="1050" cm="1">
        <f t="array" aca="1" ref="AY287" ca="1">INDEX(OFFSET($AK$19,MATCH($B287,$B$19:$B$150,0)-1,0,COUNTA($B$19:$B$24),COUNTA($AK$17:$BB$17)),MATCH($F287,$F$19:$F$24,0),MATCH(AY$17,$AK$17:$BB$17,0))*INDEX($10:$13,MATCH($O287,$R$10:$R$13,0),COLUMN())</f>
        <v>0</v>
      </c>
      <c r="AZ287" s="1050" cm="1">
        <f t="array" aca="1" ref="AZ287" ca="1">INDEX(OFFSET($AK$19,MATCH($B287,$B$19:$B$150,0)-1,0,COUNTA($B$19:$B$24),COUNTA($AK$17:$BB$17)),MATCH($F287,$F$19:$F$24,0),MATCH(AZ$17,$AK$17:$BB$17,0))*INDEX($10:$13,MATCH($O287,$R$10:$R$13,0),COLUMN())</f>
        <v>0</v>
      </c>
      <c r="BA287" s="1050" cm="1">
        <f t="array" aca="1" ref="BA287" ca="1">INDEX(OFFSET($AK$19,MATCH($B287,$B$19:$B$150,0)-1,0,COUNTA($B$19:$B$24),COUNTA($AK$17:$BB$17)),MATCH($F287,$F$19:$F$24,0),MATCH(BA$17,$AK$17:$BB$17,0))*INDEX($10:$13,MATCH($O287,$R$10:$R$13,0),COLUMN())</f>
        <v>0</v>
      </c>
      <c r="BB287" s="1051" cm="1">
        <f t="array" aca="1" ref="BB287" ca="1">INDEX(OFFSET($AK$19,MATCH($B287,$B$19:$B$150,0)-1,0,COUNTA($B$19:$B$24),COUNTA($AK$17:$BB$17)),MATCH($F287,$F$19:$F$24,0),MATCH(BB$17,$AK$17:$BB$17,0))*INDEX($10:$13,MATCH($O287,$R$10:$R$13,0),COLUMN())</f>
        <v>0</v>
      </c>
      <c r="BC287" s="1053">
        <f t="shared" ca="1" si="165"/>
        <v>0.19555345654392761</v>
      </c>
      <c r="BE287" s="1"/>
      <c r="BF287" s="1"/>
      <c r="BG287" s="1"/>
      <c r="BH287" s="1"/>
      <c r="BI287" s="1"/>
      <c r="BJ287" s="1"/>
      <c r="BK287" s="1"/>
      <c r="BL287" s="1"/>
      <c r="BM287" s="1"/>
      <c r="BN287" s="1"/>
      <c r="BO287" s="1"/>
      <c r="BP287" s="1"/>
      <c r="BQ287" s="1"/>
      <c r="BR287" s="1"/>
      <c r="BS287" s="1"/>
      <c r="BT287" s="1"/>
      <c r="BU287" s="1"/>
      <c r="BV287" s="1"/>
      <c r="BW287" s="1"/>
      <c r="BX287" s="1"/>
      <c r="BY287" s="1"/>
      <c r="BZ287" s="1"/>
    </row>
    <row r="288" spans="1:101" ht="12" customHeight="1" outlineLevel="1" x14ac:dyDescent="0.25">
      <c r="B288" s="104" t="s">
        <v>91</v>
      </c>
      <c r="C288" s="104" t="s">
        <v>121</v>
      </c>
      <c r="D288" s="2" t="s">
        <v>132</v>
      </c>
      <c r="E288" s="2" t="s">
        <v>133</v>
      </c>
      <c r="F288" s="105" t="s">
        <v>94</v>
      </c>
      <c r="G288" s="27" t="s">
        <v>1580</v>
      </c>
      <c r="H288" s="106" t="s">
        <v>131</v>
      </c>
      <c r="I288" s="107" t="s">
        <v>129</v>
      </c>
      <c r="J288" s="147">
        <v>3.8217059399999997</v>
      </c>
      <c r="K288" s="148">
        <v>0.43951000000000001</v>
      </c>
      <c r="L288" s="149">
        <f t="shared" ca="1" si="162"/>
        <v>0.4998860225909118</v>
      </c>
      <c r="M288" s="148">
        <f t="shared" ca="1" si="163"/>
        <v>0.6592149057889316</v>
      </c>
      <c r="N288" s="148">
        <f t="shared" ca="1" si="164"/>
        <v>0.21970490578893165</v>
      </c>
      <c r="O288" s="1062" t="s">
        <v>1583</v>
      </c>
      <c r="P288" s="104"/>
      <c r="R288" s="119"/>
      <c r="S288" s="1072"/>
      <c r="T288" s="1072"/>
      <c r="U288" s="1072"/>
      <c r="V288" s="1072"/>
      <c r="W288" s="1072"/>
      <c r="X288" s="1072"/>
      <c r="Y288" s="1072"/>
      <c r="Z288" s="1072"/>
      <c r="AA288" s="1072"/>
      <c r="AB288" s="1072"/>
      <c r="AC288" s="1072"/>
      <c r="AD288" s="1072"/>
      <c r="AE288" s="1072"/>
      <c r="AF288" s="1072"/>
      <c r="AG288" s="1072"/>
      <c r="AH288" s="1072"/>
      <c r="AI288" s="1072"/>
      <c r="AJ288" s="1073"/>
      <c r="AK288" s="1052" cm="1">
        <f t="array" aca="1" ref="AK288" ca="1">INDEX(OFFSET($AK$19,MATCH($B288,$B$19:$B$150,0)-1,0,COUNTA($B$19:$B$24),COUNTA($AK$17:$BB$17)),MATCH($F288,$F$19:$F$24,0),MATCH(AK$17,$AK$17:$BB$17,0))*INDEX($10:$13,MATCH($O288,$R$10:$R$13,0),COLUMN())</f>
        <v>3.7403673450000001E-2</v>
      </c>
      <c r="AL288" s="1050" cm="1">
        <f t="array" aca="1" ref="AL288" ca="1">INDEX(OFFSET($AK$19,MATCH($B288,$B$19:$B$150,0)-1,0,COUNTA($B$19:$B$24),COUNTA($AK$17:$BB$17)),MATCH($F288,$F$19:$F$24,0),MATCH(AL$17,$AK$17:$BB$17,0))*INDEX($10:$13,MATCH($O288,$R$10:$R$13,0),COLUMN())</f>
        <v>3.7088261439999994E-8</v>
      </c>
      <c r="AM288" s="1050" cm="1">
        <f t="array" aca="1" ref="AM288" ca="1">INDEX(OFFSET($AK$19,MATCH($B288,$B$19:$B$150,0)-1,0,COUNTA($B$19:$B$24),COUNTA($AK$17:$BB$17)),MATCH($F288,$F$19:$F$24,0),MATCH(AM$17,$AK$17:$BB$17,0))*INDEX($10:$13,MATCH($O288,$R$10:$R$13,0),COLUMN())</f>
        <v>6.8778387900000001E-5</v>
      </c>
      <c r="AN288" s="1050" cm="1">
        <f t="array" aca="1" ref="AN288" ca="1">INDEX(OFFSET($AK$19,MATCH($B288,$B$19:$B$150,0)-1,0,COUNTA($B$19:$B$24),COUNTA($AK$17:$BB$17)),MATCH($F288,$F$19:$F$24,0),MATCH(AN$17,$AK$17:$BB$17,0))*INDEX($10:$13,MATCH($O288,$R$10:$R$13,0),COLUMN())</f>
        <v>7.9049074899999996E-4</v>
      </c>
      <c r="AO288" s="1050" cm="1">
        <f t="array" aca="1" ref="AO288" ca="1">INDEX(OFFSET($AK$19,MATCH($B288,$B$19:$B$150,0)-1,0,COUNTA($B$19:$B$24),COUNTA($AK$17:$BB$17)),MATCH($F288,$F$19:$F$24,0),MATCH(AO$17,$AK$17:$BB$17,0))*INDEX($10:$13,MATCH($O288,$R$10:$R$13,0),COLUMN())</f>
        <v>1.1901390479999999E-2</v>
      </c>
      <c r="AP288" s="1050" cm="1">
        <f t="array" aca="1" ref="AP288" ca="1">INDEX(OFFSET($AK$19,MATCH($B288,$B$19:$B$150,0)-1,0,COUNTA($B$19:$B$24),COUNTA($AK$17:$BB$17)),MATCH($F288,$F$19:$F$24,0),MATCH(AP$17,$AK$17:$BB$17,0))*INDEX($10:$13,MATCH($O288,$R$10:$R$13,0),COLUMN())</f>
        <v>6.3167054929999999E-3</v>
      </c>
      <c r="AQ288" s="1050" cm="1">
        <f t="array" aca="1" ref="AQ288" ca="1">INDEX(OFFSET($AK$19,MATCH($B288,$B$19:$B$150,0)-1,0,COUNTA($B$19:$B$24),COUNTA($AK$17:$BB$17)),MATCH($F288,$F$19:$F$24,0),MATCH(AQ$17,$AK$17:$BB$17,0))*INDEX($10:$13,MATCH($O288,$R$10:$R$13,0),COLUMN())</f>
        <v>4.1424731460000007E-5</v>
      </c>
      <c r="AR288" s="1050" cm="1">
        <f t="array" aca="1" ref="AR288" ca="1">INDEX(OFFSET($AK$19,MATCH($B288,$B$19:$B$150,0)-1,0,COUNTA($B$19:$B$24),COUNTA($AK$17:$BB$17)),MATCH($F288,$F$19:$F$24,0),MATCH(AR$17,$AK$17:$BB$17,0))*INDEX($10:$13,MATCH($O288,$R$10:$R$13,0),COLUMN())</f>
        <v>1.2644506447000001E-2</v>
      </c>
      <c r="AS288" s="1050" cm="1">
        <f t="array" aca="1" ref="AS288" ca="1">INDEX(OFFSET($AK$19,MATCH($B288,$B$19:$B$150,0)-1,0,COUNTA($B$19:$B$24),COUNTA($AK$17:$BB$17)),MATCH($F288,$F$19:$F$24,0),MATCH(AS$17,$AK$17:$BB$17,0))*INDEX($10:$13,MATCH($O288,$R$10:$R$13,0),COLUMN())</f>
        <v>8.4917421688000003E-5</v>
      </c>
      <c r="AT288" s="1050" cm="1">
        <f t="array" aca="1" ref="AT288" ca="1">INDEX(OFFSET($AK$19,MATCH($B288,$B$19:$B$150,0)-1,0,COUNTA($B$19:$B$24),COUNTA($AK$17:$BB$17)),MATCH($F288,$F$19:$F$24,0),MATCH(AT$17,$AK$17:$BB$17,0))*INDEX($10:$13,MATCH($O288,$R$10:$R$13,0),COLUMN())</f>
        <v>3.5241734413000002E-6</v>
      </c>
      <c r="AU288" s="1050" cm="1">
        <f t="array" aca="1" ref="AU288" ca="1">INDEX(OFFSET($AK$19,MATCH($B288,$B$19:$B$150,0)-1,0,COUNTA($B$19:$B$24),COUNTA($AK$17:$BB$17)),MATCH($F288,$F$19:$F$24,0),MATCH(AU$17,$AK$17:$BB$17,0))*INDEX($10:$13,MATCH($O288,$R$10:$R$13,0),COLUMN())</f>
        <v>7.4849060749999998E-7</v>
      </c>
      <c r="AV288" s="1050" cm="1">
        <f t="array" aca="1" ref="AV288" ca="1">INDEX(OFFSET($AK$19,MATCH($B288,$B$19:$B$150,0)-1,0,COUNTA($B$19:$B$24),COUNTA($AK$17:$BB$17)),MATCH($F288,$F$19:$F$24,0),MATCH(AV$17,$AK$17:$BB$17,0))*INDEX($10:$13,MATCH($O288,$R$10:$R$13,0),COLUMN())</f>
        <v>6.0629299728999996E-4</v>
      </c>
      <c r="AW288" s="1050" cm="1">
        <f t="array" aca="1" ref="AW288" ca="1">INDEX(OFFSET($AK$19,MATCH($B288,$B$19:$B$150,0)-1,0,COUNTA($B$19:$B$24),COUNTA($AK$17:$BB$17)),MATCH($F288,$F$19:$F$24,0),MATCH(AW$17,$AK$17:$BB$17,0))*INDEX($10:$13,MATCH($O288,$R$10:$R$13,0),COLUMN())</f>
        <v>0.14984237125000002</v>
      </c>
      <c r="AX288" s="1050" cm="1">
        <f t="array" aca="1" ref="AX288" ca="1">INDEX(OFFSET($AK$19,MATCH($B288,$B$19:$B$150,0)-1,0,COUNTA($B$19:$B$24),COUNTA($AK$17:$BB$17)),MATCH($F288,$F$19:$F$24,0),MATCH(AX$17,$AK$17:$BB$17,0))*INDEX($10:$13,MATCH($O288,$R$10:$R$13,0),COLUMN())</f>
        <v>4.462928340000001E-8</v>
      </c>
      <c r="AY288" s="1050" cm="1">
        <f t="array" aca="1" ref="AY288" ca="1">INDEX(OFFSET($AK$19,MATCH($B288,$B$19:$B$150,0)-1,0,COUNTA($B$19:$B$24),COUNTA($AK$17:$BB$17)),MATCH($F288,$F$19:$F$24,0),MATCH(AY$17,$AK$17:$BB$17,0))*INDEX($10:$13,MATCH($O288,$R$10:$R$13,0),COLUMN())</f>
        <v>0</v>
      </c>
      <c r="AZ288" s="1050" cm="1">
        <f t="array" aca="1" ref="AZ288" ca="1">INDEX(OFFSET($AK$19,MATCH($B288,$B$19:$B$150,0)-1,0,COUNTA($B$19:$B$24),COUNTA($AK$17:$BB$17)),MATCH($F288,$F$19:$F$24,0),MATCH(AZ$17,$AK$17:$BB$17,0))*INDEX($10:$13,MATCH($O288,$R$10:$R$13,0),COLUMN())</f>
        <v>0</v>
      </c>
      <c r="BA288" s="1050" cm="1">
        <f t="array" aca="1" ref="BA288" ca="1">INDEX(OFFSET($AK$19,MATCH($B288,$B$19:$B$150,0)-1,0,COUNTA($B$19:$B$24),COUNTA($AK$17:$BB$17)),MATCH($F288,$F$19:$F$24,0),MATCH(BA$17,$AK$17:$BB$17,0))*INDEX($10:$13,MATCH($O288,$R$10:$R$13,0),COLUMN())</f>
        <v>0</v>
      </c>
      <c r="BB288" s="1051" cm="1">
        <f t="array" aca="1" ref="BB288" ca="1">INDEX(OFFSET($AK$19,MATCH($B288,$B$19:$B$150,0)-1,0,COUNTA($B$19:$B$24),COUNTA($AK$17:$BB$17)),MATCH($F288,$F$19:$F$24,0),MATCH(BB$17,$AK$17:$BB$17,0))*INDEX($10:$13,MATCH($O288,$R$10:$R$13,0),COLUMN())</f>
        <v>0</v>
      </c>
      <c r="BC288" s="1053">
        <f t="shared" ca="1" si="165"/>
        <v>0.14984241587928343</v>
      </c>
      <c r="BE288" s="1"/>
      <c r="BF288" s="1"/>
      <c r="BG288" s="1"/>
      <c r="BH288" s="1"/>
      <c r="BI288" s="1"/>
      <c r="BJ288" s="1"/>
      <c r="BK288" s="1"/>
      <c r="BL288" s="1"/>
      <c r="BM288" s="1"/>
      <c r="BN288" s="1"/>
      <c r="BO288" s="1"/>
      <c r="BP288" s="1"/>
      <c r="BQ288" s="1"/>
      <c r="BR288" s="1"/>
      <c r="BS288" s="1"/>
      <c r="BT288" s="1"/>
      <c r="BU288" s="1"/>
      <c r="BV288" s="1"/>
      <c r="BW288" s="1"/>
      <c r="BX288" s="1"/>
      <c r="BY288" s="1"/>
      <c r="BZ288" s="1"/>
    </row>
    <row r="289" spans="2:78" ht="12" customHeight="1" outlineLevel="1" x14ac:dyDescent="0.25">
      <c r="B289" s="104" t="s">
        <v>91</v>
      </c>
      <c r="C289" s="104" t="s">
        <v>121</v>
      </c>
      <c r="D289" s="2" t="s">
        <v>132</v>
      </c>
      <c r="E289" s="2" t="s">
        <v>133</v>
      </c>
      <c r="F289" s="105" t="s">
        <v>95</v>
      </c>
      <c r="G289" s="27" t="s">
        <v>1581</v>
      </c>
      <c r="H289" s="106" t="s">
        <v>128</v>
      </c>
      <c r="I289" s="107" t="s">
        <v>127</v>
      </c>
      <c r="J289" s="147">
        <v>3.8217059399999997</v>
      </c>
      <c r="K289" s="148">
        <v>0.43951000000000001</v>
      </c>
      <c r="L289" s="149">
        <f t="shared" ca="1" si="162"/>
        <v>0.68260026240361082</v>
      </c>
      <c r="M289" s="148">
        <f t="shared" ca="1" si="163"/>
        <v>0.73951964132901105</v>
      </c>
      <c r="N289" s="148">
        <f t="shared" ca="1" si="164"/>
        <v>0.30000964132901098</v>
      </c>
      <c r="O289" s="1062" t="s">
        <v>1583</v>
      </c>
      <c r="P289" s="104"/>
      <c r="R289" s="119"/>
      <c r="S289" s="1072"/>
      <c r="T289" s="1072"/>
      <c r="U289" s="1072"/>
      <c r="V289" s="1072"/>
      <c r="W289" s="1072"/>
      <c r="X289" s="1072"/>
      <c r="Y289" s="1072"/>
      <c r="Z289" s="1072"/>
      <c r="AA289" s="1072"/>
      <c r="AB289" s="1072"/>
      <c r="AC289" s="1072"/>
      <c r="AD289" s="1072"/>
      <c r="AE289" s="1072"/>
      <c r="AF289" s="1072"/>
      <c r="AG289" s="1072"/>
      <c r="AH289" s="1072"/>
      <c r="AI289" s="1072"/>
      <c r="AJ289" s="1073"/>
      <c r="AK289" s="1052" cm="1">
        <f t="array" aca="1" ref="AK289" ca="1">INDEX(OFFSET($AK$19,MATCH($B289,$B$19:$B$150,0)-1,0,COUNTA($B$19:$B$24),COUNTA($AK$17:$BB$17)),MATCH($F289,$F$19:$F$24,0),MATCH(AK$17,$AK$17:$BB$17,0))*INDEX($10:$13,MATCH($O289,$R$10:$R$13,0),COLUMN())</f>
        <v>4.8485987549999998E-2</v>
      </c>
      <c r="AL289" s="1050" cm="1">
        <f t="array" aca="1" ref="AL289" ca="1">INDEX(OFFSET($AK$19,MATCH($B289,$B$19:$B$150,0)-1,0,COUNTA($B$19:$B$24),COUNTA($AK$17:$BB$17)),MATCH($F289,$F$19:$F$24,0),MATCH(AL$17,$AK$17:$BB$17,0))*INDEX($10:$13,MATCH($O289,$R$10:$R$13,0),COLUMN())</f>
        <v>4.2317034079999997E-8</v>
      </c>
      <c r="AM289" s="1050" cm="1">
        <f t="array" aca="1" ref="AM289" ca="1">INDEX(OFFSET($AK$19,MATCH($B289,$B$19:$B$150,0)-1,0,COUNTA($B$19:$B$24),COUNTA($AK$17:$BB$17)),MATCH($F289,$F$19:$F$24,0),MATCH(AM$17,$AK$17:$BB$17,0))*INDEX($10:$13,MATCH($O289,$R$10:$R$13,0),COLUMN())</f>
        <v>7.8472000860000009E-5</v>
      </c>
      <c r="AN289" s="1050" cm="1">
        <f t="array" aca="1" ref="AN289" ca="1">INDEX(OFFSET($AK$19,MATCH($B289,$B$19:$B$150,0)-1,0,COUNTA($B$19:$B$24),COUNTA($AK$17:$BB$17)),MATCH($F289,$F$19:$F$24,0),MATCH(AN$17,$AK$17:$BB$17,0))*INDEX($10:$13,MATCH($O289,$R$10:$R$13,0),COLUMN())</f>
        <v>9.5742494449999982E-4</v>
      </c>
      <c r="AO289" s="1050" cm="1">
        <f t="array" aca="1" ref="AO289" ca="1">INDEX(OFFSET($AK$19,MATCH($B289,$B$19:$B$150,0)-1,0,COUNTA($B$19:$B$24),COUNTA($AK$17:$BB$17)),MATCH($F289,$F$19:$F$24,0),MATCH(AO$17,$AK$17:$BB$17,0))*INDEX($10:$13,MATCH($O289,$R$10:$R$13,0),COLUMN())</f>
        <v>3.1409898072000002E-2</v>
      </c>
      <c r="AP289" s="1050" cm="1">
        <f t="array" aca="1" ref="AP289" ca="1">INDEX(OFFSET($AK$19,MATCH($B289,$B$19:$B$150,0)-1,0,COUNTA($B$19:$B$24),COUNTA($AK$17:$BB$17)),MATCH($F289,$F$19:$F$24,0),MATCH(AP$17,$AK$17:$BB$17,0))*INDEX($10:$13,MATCH($O289,$R$10:$R$13,0),COLUMN())</f>
        <v>2.4224268550999999E-2</v>
      </c>
      <c r="AQ289" s="1050" cm="1">
        <f t="array" aca="1" ref="AQ289" ca="1">INDEX(OFFSET($AK$19,MATCH($B289,$B$19:$B$150,0)-1,0,COUNTA($B$19:$B$24),COUNTA($AK$17:$BB$17)),MATCH($F289,$F$19:$F$24,0),MATCH(AQ$17,$AK$17:$BB$17,0))*INDEX($10:$13,MATCH($O289,$R$10:$R$13,0),COLUMN())</f>
        <v>1.8560666208000001E-4</v>
      </c>
      <c r="AR289" s="1050" cm="1">
        <f t="array" aca="1" ref="AR289" ca="1">INDEX(OFFSET($AK$19,MATCH($B289,$B$19:$B$150,0)-1,0,COUNTA($B$19:$B$24),COUNTA($AK$17:$BB$17)),MATCH($F289,$F$19:$F$24,0),MATCH(AR$17,$AK$17:$BB$17,0))*INDEX($10:$13,MATCH($O289,$R$10:$R$13,0),COLUMN())</f>
        <v>1.8864364009E-2</v>
      </c>
      <c r="AS289" s="1050" cm="1">
        <f t="array" aca="1" ref="AS289" ca="1">INDEX(OFFSET($AK$19,MATCH($B289,$B$19:$B$150,0)-1,0,COUNTA($B$19:$B$24),COUNTA($AK$17:$BB$17)),MATCH($F289,$F$19:$F$24,0),MATCH(AS$17,$AK$17:$BB$17,0))*INDEX($10:$13,MATCH($O289,$R$10:$R$13,0),COLUMN())</f>
        <v>2.1627553816E-3</v>
      </c>
      <c r="AT289" s="1050" cm="1">
        <f t="array" aca="1" ref="AT289" ca="1">INDEX(OFFSET($AK$19,MATCH($B289,$B$19:$B$150,0)-1,0,COUNTA($B$19:$B$24),COUNTA($AK$17:$BB$17)),MATCH($F289,$F$19:$F$24,0),MATCH(AT$17,$AK$17:$BB$17,0))*INDEX($10:$13,MATCH($O289,$R$10:$R$13,0),COLUMN())</f>
        <v>5.533245911E-6</v>
      </c>
      <c r="AU289" s="1050" cm="1">
        <f t="array" aca="1" ref="AU289" ca="1">INDEX(OFFSET($AK$19,MATCH($B289,$B$19:$B$150,0)-1,0,COUNTA($B$19:$B$24),COUNTA($AK$17:$BB$17)),MATCH($F289,$F$19:$F$24,0),MATCH(AU$17,$AK$17:$BB$17,0))*INDEX($10:$13,MATCH($O289,$R$10:$R$13,0),COLUMN())</f>
        <v>1.0841911123000001E-6</v>
      </c>
      <c r="AV289" s="1050" cm="1">
        <f t="array" aca="1" ref="AV289" ca="1">INDEX(OFFSET($AK$19,MATCH($B289,$B$19:$B$150,0)-1,0,COUNTA($B$19:$B$24),COUNTA($AK$17:$BB$17)),MATCH($F289,$F$19:$F$24,0),MATCH(AV$17,$AK$17:$BB$17,0))*INDEX($10:$13,MATCH($O289,$R$10:$R$13,0),COLUMN())</f>
        <v>3.9573088671E-3</v>
      </c>
      <c r="AW289" s="1050" cm="1">
        <f t="array" aca="1" ref="AW289" ca="1">INDEX(OFFSET($AK$19,MATCH($B289,$B$19:$B$150,0)-1,0,COUNTA($B$19:$B$24),COUNTA($AK$17:$BB$17)),MATCH($F289,$F$19:$F$24,0),MATCH(AW$17,$AK$17:$BB$17,0))*INDEX($10:$13,MATCH($O289,$R$10:$R$13,0),COLUMN())</f>
        <v>0.16967684500000002</v>
      </c>
      <c r="AX289" s="1050" cm="1">
        <f t="array" aca="1" ref="AX289" ca="1">INDEX(OFFSET($AK$19,MATCH($B289,$B$19:$B$150,0)-1,0,COUNTA($B$19:$B$24),COUNTA($AK$17:$BB$17)),MATCH($F289,$F$19:$F$24,0),MATCH(AX$17,$AK$17:$BB$17,0))*INDEX($10:$13,MATCH($O289,$R$10:$R$13,0),COLUMN())</f>
        <v>5.0536813600000005E-8</v>
      </c>
      <c r="AY289" s="1050" cm="1">
        <f t="array" aca="1" ref="AY289" ca="1">INDEX(OFFSET($AK$19,MATCH($B289,$B$19:$B$150,0)-1,0,COUNTA($B$19:$B$24),COUNTA($AK$17:$BB$17)),MATCH($F289,$F$19:$F$24,0),MATCH(AY$17,$AK$17:$BB$17,0))*INDEX($10:$13,MATCH($O289,$R$10:$R$13,0),COLUMN())</f>
        <v>0</v>
      </c>
      <c r="AZ289" s="1050" cm="1">
        <f t="array" aca="1" ref="AZ289" ca="1">INDEX(OFFSET($AK$19,MATCH($B289,$B$19:$B$150,0)-1,0,COUNTA($B$19:$B$24),COUNTA($AK$17:$BB$17)),MATCH($F289,$F$19:$F$24,0),MATCH(AZ$17,$AK$17:$BB$17,0))*INDEX($10:$13,MATCH($O289,$R$10:$R$13,0),COLUMN())</f>
        <v>0</v>
      </c>
      <c r="BA289" s="1050" cm="1">
        <f t="array" aca="1" ref="BA289" ca="1">INDEX(OFFSET($AK$19,MATCH($B289,$B$19:$B$150,0)-1,0,COUNTA($B$19:$B$24),COUNTA($AK$17:$BB$17)),MATCH($F289,$F$19:$F$24,0),MATCH(BA$17,$AK$17:$BB$17,0))*INDEX($10:$13,MATCH($O289,$R$10:$R$13,0),COLUMN())</f>
        <v>0</v>
      </c>
      <c r="BB289" s="1051" cm="1">
        <f t="array" aca="1" ref="BB289" ca="1">INDEX(OFFSET($AK$19,MATCH($B289,$B$19:$B$150,0)-1,0,COUNTA($B$19:$B$24),COUNTA($AK$17:$BB$17)),MATCH($F289,$F$19:$F$24,0),MATCH(BB$17,$AK$17:$BB$17,0))*INDEX($10:$13,MATCH($O289,$R$10:$R$13,0),COLUMN())</f>
        <v>0</v>
      </c>
      <c r="BC289" s="1053">
        <f t="shared" ca="1" si="165"/>
        <v>0.16967689553681362</v>
      </c>
      <c r="BE289" s="1"/>
      <c r="BF289" s="1"/>
      <c r="BG289" s="1"/>
      <c r="BH289" s="1"/>
      <c r="BI289" s="1"/>
      <c r="BJ289" s="1"/>
      <c r="BK289" s="1"/>
      <c r="BL289" s="1"/>
      <c r="BM289" s="1"/>
      <c r="BN289" s="1"/>
      <c r="BO289" s="1"/>
      <c r="BP289" s="1"/>
      <c r="BQ289" s="1"/>
      <c r="BR289" s="1"/>
      <c r="BS289" s="1"/>
      <c r="BT289" s="1"/>
      <c r="BU289" s="1"/>
      <c r="BV289" s="1"/>
      <c r="BW289" s="1"/>
      <c r="BX289" s="1"/>
      <c r="BY289" s="1"/>
      <c r="BZ289" s="1"/>
    </row>
    <row r="290" spans="2:78" ht="12" customHeight="1" outlineLevel="1" x14ac:dyDescent="0.25">
      <c r="B290" s="104" t="s">
        <v>91</v>
      </c>
      <c r="C290" s="104" t="s">
        <v>121</v>
      </c>
      <c r="D290" s="2" t="s">
        <v>132</v>
      </c>
      <c r="E290" s="2" t="s">
        <v>133</v>
      </c>
      <c r="F290" s="105" t="s">
        <v>96</v>
      </c>
      <c r="G290" s="27" t="s">
        <v>1582</v>
      </c>
      <c r="H290" s="106" t="s">
        <v>128</v>
      </c>
      <c r="I290" s="107" t="s">
        <v>1577</v>
      </c>
      <c r="J290" s="147">
        <v>3.8217059399999997</v>
      </c>
      <c r="K290" s="148">
        <v>0.43951000000000001</v>
      </c>
      <c r="L290" s="149">
        <f t="shared" ca="1" si="162"/>
        <v>0.76760011491678248</v>
      </c>
      <c r="M290" s="148">
        <f t="shared" ca="1" si="163"/>
        <v>0.7768779265070751</v>
      </c>
      <c r="N290" s="148">
        <f t="shared" ca="1" si="164"/>
        <v>0.33736792650707509</v>
      </c>
      <c r="O290" s="1062" t="s">
        <v>1583</v>
      </c>
      <c r="P290" s="104"/>
      <c r="R290" s="119"/>
      <c r="S290" s="1072"/>
      <c r="T290" s="1072"/>
      <c r="U290" s="1072"/>
      <c r="V290" s="1072"/>
      <c r="W290" s="1072"/>
      <c r="X290" s="1072"/>
      <c r="Y290" s="1072"/>
      <c r="Z290" s="1072"/>
      <c r="AA290" s="1072"/>
      <c r="AB290" s="1072"/>
      <c r="AC290" s="1072"/>
      <c r="AD290" s="1072"/>
      <c r="AE290" s="1072"/>
      <c r="AF290" s="1072"/>
      <c r="AG290" s="1072"/>
      <c r="AH290" s="1072"/>
      <c r="AI290" s="1072"/>
      <c r="AJ290" s="1073"/>
      <c r="AK290" s="1052" cm="1">
        <f t="array" aca="1" ref="AK290" ca="1">INDEX(OFFSET($AK$19,MATCH($B290,$B$19:$B$150,0)-1,0,COUNTA($B$19:$B$24),COUNTA($AK$17:$BB$17)),MATCH($F290,$F$19:$F$24,0),MATCH(AK$17,$AK$17:$BB$17,0))*INDEX($10:$13,MATCH($O290,$R$10:$R$13,0),COLUMN())</f>
        <v>5.2880140949999994E-2</v>
      </c>
      <c r="AL290" s="1050" cm="1">
        <f t="array" aca="1" ref="AL290" ca="1">INDEX(OFFSET($AK$19,MATCH($B290,$B$19:$B$150,0)-1,0,COUNTA($B$19:$B$24),COUNTA($AK$17:$BB$17)),MATCH($F290,$F$19:$F$24,0),MATCH(AL$17,$AK$17:$BB$17,0))*INDEX($10:$13,MATCH($O290,$R$10:$R$13,0),COLUMN())</f>
        <v>4.2525502079999999E-8</v>
      </c>
      <c r="AM290" s="1050" cm="1">
        <f t="array" aca="1" ref="AM290" ca="1">INDEX(OFFSET($AK$19,MATCH($B290,$B$19:$B$150,0)-1,0,COUNTA($B$19:$B$24),COUNTA($AK$17:$BB$17)),MATCH($F290,$F$19:$F$24,0),MATCH(AM$17,$AK$17:$BB$17,0))*INDEX($10:$13,MATCH($O290,$R$10:$R$13,0),COLUMN())</f>
        <v>7.8856714580000008E-5</v>
      </c>
      <c r="AN290" s="1050" cm="1">
        <f t="array" aca="1" ref="AN290" ca="1">INDEX(OFFSET($AK$19,MATCH($B290,$B$19:$B$150,0)-1,0,COUNTA($B$19:$B$24),COUNTA($AK$17:$BB$17)),MATCH($F290,$F$19:$F$24,0),MATCH(AN$17,$AK$17:$BB$17,0))*INDEX($10:$13,MATCH($O290,$R$10:$R$13,0),COLUMN())</f>
        <v>9.9808146949999991E-4</v>
      </c>
      <c r="AO290" s="1050" cm="1">
        <f t="array" aca="1" ref="AO290" ca="1">INDEX(OFFSET($AK$19,MATCH($B290,$B$19:$B$150,0)-1,0,COUNTA($B$19:$B$24),COUNTA($AK$17:$BB$17)),MATCH($F290,$F$19:$F$24,0),MATCH(AO$17,$AK$17:$BB$17,0))*INDEX($10:$13,MATCH($O290,$R$10:$R$13,0),COLUMN())</f>
        <v>4.4447668720000007E-2</v>
      </c>
      <c r="AP290" s="1050" cm="1">
        <f t="array" aca="1" ref="AP290" ca="1">INDEX(OFFSET($AK$19,MATCH($B290,$B$19:$B$150,0)-1,0,COUNTA($B$19:$B$24),COUNTA($AK$17:$BB$17)),MATCH($F290,$F$19:$F$24,0),MATCH(AP$17,$AK$17:$BB$17,0))*INDEX($10:$13,MATCH($O290,$R$10:$R$13,0),COLUMN())</f>
        <v>3.6660585241E-2</v>
      </c>
      <c r="AQ290" s="1050" cm="1">
        <f t="array" aca="1" ref="AQ290" ca="1">INDEX(OFFSET($AK$19,MATCH($B290,$B$19:$B$150,0)-1,0,COUNTA($B$19:$B$24),COUNTA($AK$17:$BB$17)),MATCH($F290,$F$19:$F$24,0),MATCH(AQ$17,$AK$17:$BB$17,0))*INDEX($10:$13,MATCH($O290,$R$10:$R$13,0),COLUMN())</f>
        <v>2.843849232E-4</v>
      </c>
      <c r="AR290" s="1050" cm="1">
        <f t="array" aca="1" ref="AR290" ca="1">INDEX(OFFSET($AK$19,MATCH($B290,$B$19:$B$150,0)-1,0,COUNTA($B$19:$B$24),COUNTA($AK$17:$BB$17)),MATCH($F290,$F$19:$F$24,0),MATCH(AR$17,$AK$17:$BB$17,0))*INDEX($10:$13,MATCH($O290,$R$10:$R$13,0),COLUMN())</f>
        <v>2.2178821006999999E-2</v>
      </c>
      <c r="AS290" s="1050" cm="1">
        <f t="array" aca="1" ref="AS290" ca="1">INDEX(OFFSET($AK$19,MATCH($B290,$B$19:$B$150,0)-1,0,COUNTA($B$19:$B$24),COUNTA($AK$17:$BB$17)),MATCH($F290,$F$19:$F$24,0),MATCH(AS$17,$AK$17:$BB$17,0))*INDEX($10:$13,MATCH($O290,$R$10:$R$13,0),COLUMN())</f>
        <v>3.5959322541999996E-3</v>
      </c>
      <c r="AT290" s="1050" cm="1">
        <f t="array" aca="1" ref="AT290" ca="1">INDEX(OFFSET($AK$19,MATCH($B290,$B$19:$B$150,0)-1,0,COUNTA($B$19:$B$24),COUNTA($AK$17:$BB$17)),MATCH($F290,$F$19:$F$24,0),MATCH(AT$17,$AK$17:$BB$17,0))*INDEX($10:$13,MATCH($O290,$R$10:$R$13,0),COLUMN())</f>
        <v>6.1836430049999996E-6</v>
      </c>
      <c r="AU290" s="1050" cm="1">
        <f t="array" aca="1" ref="AU290" ca="1">INDEX(OFFSET($AK$19,MATCH($B290,$B$19:$B$150,0)-1,0,COUNTA($B$19:$B$24),COUNTA($AK$17:$BB$17)),MATCH($F290,$F$19:$F$24,0),MATCH(AU$17,$AK$17:$BB$17,0))*INDEX($10:$13,MATCH($O290,$R$10:$R$13,0),COLUMN())</f>
        <v>1.1778400743999999E-6</v>
      </c>
      <c r="AV290" s="1050" cm="1">
        <f t="array" aca="1" ref="AV290" ca="1">INDEX(OFFSET($AK$19,MATCH($B290,$B$19:$B$150,0)-1,0,COUNTA($B$19:$B$24),COUNTA($AK$17:$BB$17)),MATCH($F290,$F$19:$F$24,0),MATCH(AV$17,$AK$17:$BB$17,0))*INDEX($10:$13,MATCH($O290,$R$10:$R$13,0),COLUMN())</f>
        <v>6.5591556821999993E-3</v>
      </c>
      <c r="AW290" s="1050" cm="1">
        <f t="array" aca="1" ref="AW290" ca="1">INDEX(OFFSET($AK$19,MATCH($B290,$B$19:$B$150,0)-1,0,COUNTA($B$19:$B$24),COUNTA($AK$17:$BB$17)),MATCH($F290,$F$19:$F$24,0),MATCH(AW$17,$AK$17:$BB$17,0))*INDEX($10:$13,MATCH($O290,$R$10:$R$13,0),COLUMN())</f>
        <v>0.16967684500000002</v>
      </c>
      <c r="AX290" s="1050" cm="1">
        <f t="array" aca="1" ref="AX290" ca="1">INDEX(OFFSET($AK$19,MATCH($B290,$B$19:$B$150,0)-1,0,COUNTA($B$19:$B$24),COUNTA($AK$17:$BB$17)),MATCH($F290,$F$19:$F$24,0),MATCH(AX$17,$AK$17:$BB$17,0))*INDEX($10:$13,MATCH($O290,$R$10:$R$13,0),COLUMN())</f>
        <v>5.0536813600000005E-8</v>
      </c>
      <c r="AY290" s="1050" cm="1">
        <f t="array" aca="1" ref="AY290" ca="1">INDEX(OFFSET($AK$19,MATCH($B290,$B$19:$B$150,0)-1,0,COUNTA($B$19:$B$24),COUNTA($AK$17:$BB$17)),MATCH($F290,$F$19:$F$24,0),MATCH(AY$17,$AK$17:$BB$17,0))*INDEX($10:$13,MATCH($O290,$R$10:$R$13,0),COLUMN())</f>
        <v>0</v>
      </c>
      <c r="AZ290" s="1050" cm="1">
        <f t="array" aca="1" ref="AZ290" ca="1">INDEX(OFFSET($AK$19,MATCH($B290,$B$19:$B$150,0)-1,0,COUNTA($B$19:$B$24),COUNTA($AK$17:$BB$17)),MATCH($F290,$F$19:$F$24,0),MATCH(AZ$17,$AK$17:$BB$17,0))*INDEX($10:$13,MATCH($O290,$R$10:$R$13,0),COLUMN())</f>
        <v>0</v>
      </c>
      <c r="BA290" s="1050" cm="1">
        <f t="array" aca="1" ref="BA290" ca="1">INDEX(OFFSET($AK$19,MATCH($B290,$B$19:$B$150,0)-1,0,COUNTA($B$19:$B$24),COUNTA($AK$17:$BB$17)),MATCH($F290,$F$19:$F$24,0),MATCH(BA$17,$AK$17:$BB$17,0))*INDEX($10:$13,MATCH($O290,$R$10:$R$13,0),COLUMN())</f>
        <v>0</v>
      </c>
      <c r="BB290" s="1051" cm="1">
        <f t="array" aca="1" ref="BB290" ca="1">INDEX(OFFSET($AK$19,MATCH($B290,$B$19:$B$150,0)-1,0,COUNTA($B$19:$B$24),COUNTA($AK$17:$BB$17)),MATCH($F290,$F$19:$F$24,0),MATCH(BB$17,$AK$17:$BB$17,0))*INDEX($10:$13,MATCH($O290,$R$10:$R$13,0),COLUMN())</f>
        <v>0</v>
      </c>
      <c r="BC290" s="1053">
        <f t="shared" ca="1" si="165"/>
        <v>0.16967689553681362</v>
      </c>
      <c r="BE290" s="1"/>
      <c r="BF290" s="1"/>
      <c r="BG290" s="1"/>
      <c r="BH290" s="1"/>
      <c r="BI290" s="1"/>
      <c r="BJ290" s="1"/>
      <c r="BK290" s="1"/>
      <c r="BL290" s="1"/>
      <c r="BM290" s="1"/>
      <c r="BN290" s="1"/>
      <c r="BO290" s="1"/>
      <c r="BP290" s="1"/>
      <c r="BQ290" s="1"/>
      <c r="BR290" s="1"/>
      <c r="BS290" s="1"/>
      <c r="BT290" s="1"/>
      <c r="BU290" s="1"/>
      <c r="BV290" s="1"/>
      <c r="BW290" s="1"/>
      <c r="BX290" s="1"/>
      <c r="BY290" s="1"/>
      <c r="BZ290" s="1"/>
    </row>
    <row r="291" spans="2:78" ht="12" customHeight="1" outlineLevel="1" x14ac:dyDescent="0.25">
      <c r="B291" s="88" t="s">
        <v>97</v>
      </c>
      <c r="C291" s="88" t="s">
        <v>121</v>
      </c>
      <c r="D291" s="89" t="s">
        <v>132</v>
      </c>
      <c r="E291" s="89" t="s">
        <v>134</v>
      </c>
      <c r="F291" s="90" t="s">
        <v>92</v>
      </c>
      <c r="G291" s="18" t="s">
        <v>126</v>
      </c>
      <c r="H291" s="91" t="s">
        <v>127</v>
      </c>
      <c r="I291" s="92" t="s">
        <v>127</v>
      </c>
      <c r="J291" s="142">
        <v>4.0702721800000008</v>
      </c>
      <c r="K291" s="143">
        <v>0.19115317137940699</v>
      </c>
      <c r="L291" s="144">
        <f t="shared" ca="1" si="162"/>
        <v>1.8787656351483835</v>
      </c>
      <c r="M291" s="143">
        <f t="shared" ca="1" si="163"/>
        <v>0.55028518081666633</v>
      </c>
      <c r="N291" s="162">
        <f t="shared" ca="1" si="164"/>
        <v>0.35913200943725937</v>
      </c>
      <c r="O291" s="1060" t="s">
        <v>1583</v>
      </c>
      <c r="P291" s="88"/>
      <c r="Q291" s="89"/>
      <c r="R291" s="150"/>
      <c r="S291" s="1070"/>
      <c r="T291" s="1070"/>
      <c r="U291" s="1070"/>
      <c r="V291" s="1070"/>
      <c r="W291" s="1070"/>
      <c r="X291" s="1070"/>
      <c r="Y291" s="1070"/>
      <c r="Z291" s="1070"/>
      <c r="AA291" s="1070"/>
      <c r="AB291" s="1070"/>
      <c r="AC291" s="1070"/>
      <c r="AD291" s="1070"/>
      <c r="AE291" s="1070"/>
      <c r="AF291" s="1070"/>
      <c r="AG291" s="1070"/>
      <c r="AH291" s="1070"/>
      <c r="AI291" s="1070"/>
      <c r="AJ291" s="1071"/>
      <c r="AK291" s="1048" cm="1">
        <f t="array" aca="1" ref="AK291" ca="1">INDEX(OFFSET($AK$19,MATCH($B291,$B$19:$B$150,0)-1,0,COUNTA($B$19:$B$24),COUNTA($AK$17:$BB$17)),MATCH($F291,$F$19:$F$24,0),MATCH(AK$17,$AK$17:$BB$17,0))*INDEX($10:$13,MATCH($O291,$R$10:$R$13,0),COLUMN())</f>
        <v>6.5886826199999998E-2</v>
      </c>
      <c r="AL291" s="1046" cm="1">
        <f t="array" aca="1" ref="AL291" ca="1">INDEX(OFFSET($AK$19,MATCH($B291,$B$19:$B$150,0)-1,0,COUNTA($B$19:$B$24),COUNTA($AK$17:$BB$17)),MATCH($F291,$F$19:$F$24,0),MATCH(AL$17,$AK$17:$BB$17,0))*INDEX($10:$13,MATCH($O291,$R$10:$R$13,0),COLUMN())</f>
        <v>5.359360704E-8</v>
      </c>
      <c r="AM291" s="1046" cm="1">
        <f t="array" aca="1" ref="AM291" ca="1">INDEX(OFFSET($AK$19,MATCH($B291,$B$19:$B$150,0)-1,0,COUNTA($B$19:$B$24),COUNTA($AK$17:$BB$17)),MATCH($F291,$F$19:$F$24,0),MATCH(AM$17,$AK$17:$BB$17,0))*INDEX($10:$13,MATCH($O291,$R$10:$R$13,0),COLUMN())</f>
        <v>1.0180545132E-4</v>
      </c>
      <c r="AN291" s="1046" cm="1">
        <f t="array" aca="1" ref="AN291" ca="1">INDEX(OFFSET($AK$19,MATCH($B291,$B$19:$B$150,0)-1,0,COUNTA($B$19:$B$24),COUNTA($AK$17:$BB$17)),MATCH($F291,$F$19:$F$24,0),MATCH(AN$17,$AK$17:$BB$17,0))*INDEX($10:$13,MATCH($O291,$R$10:$R$13,0),COLUMN())</f>
        <v>5.2538574549999991E-4</v>
      </c>
      <c r="AO291" s="1046" cm="1">
        <f t="array" aca="1" ref="AO291" ca="1">INDEX(OFFSET($AK$19,MATCH($B291,$B$19:$B$150,0)-1,0,COUNTA($B$19:$B$24),COUNTA($AK$17:$BB$17)),MATCH($F291,$F$19:$F$24,0),MATCH(AO$17,$AK$17:$BB$17,0))*INDEX($10:$13,MATCH($O291,$R$10:$R$13,0),COLUMN())</f>
        <v>2.9444545312000001E-2</v>
      </c>
      <c r="AP291" s="1046" cm="1">
        <f t="array" aca="1" ref="AP291" ca="1">INDEX(OFFSET($AK$19,MATCH($B291,$B$19:$B$150,0)-1,0,COUNTA($B$19:$B$24),COUNTA($AK$17:$BB$17)),MATCH($F291,$F$19:$F$24,0),MATCH(AP$17,$AK$17:$BB$17,0))*INDEX($10:$13,MATCH($O291,$R$10:$R$13,0),COLUMN())</f>
        <v>2.4886622936E-2</v>
      </c>
      <c r="AQ291" s="1046" cm="1">
        <f t="array" aca="1" ref="AQ291" ca="1">INDEX(OFFSET($AK$19,MATCH($B291,$B$19:$B$150,0)-1,0,COUNTA($B$19:$B$24),COUNTA($AK$17:$BB$17)),MATCH($F291,$F$19:$F$24,0),MATCH(AQ$17,$AK$17:$BB$17,0))*INDEX($10:$13,MATCH($O291,$R$10:$R$13,0),COLUMN())</f>
        <v>2.8709734260000001E-4</v>
      </c>
      <c r="AR291" s="1046" cm="1">
        <f t="array" aca="1" ref="AR291" ca="1">INDEX(OFFSET($AK$19,MATCH($B291,$B$19:$B$150,0)-1,0,COUNTA($B$19:$B$24),COUNTA($AK$17:$BB$17)),MATCH($F291,$F$19:$F$24,0),MATCH(AR$17,$AK$17:$BB$17,0))*INDEX($10:$13,MATCH($O291,$R$10:$R$13,0),COLUMN())</f>
        <v>2.0271545086999999E-2</v>
      </c>
      <c r="AS291" s="1046" cm="1">
        <f t="array" aca="1" ref="AS291" ca="1">INDEX(OFFSET($AK$19,MATCH($B291,$B$19:$B$150,0)-1,0,COUNTA($B$19:$B$24),COUNTA($AK$17:$BB$17)),MATCH($F291,$F$19:$F$24,0),MATCH(AS$17,$AK$17:$BB$17,0))*INDEX($10:$13,MATCH($O291,$R$10:$R$13,0),COLUMN())</f>
        <v>0.13295284618</v>
      </c>
      <c r="AT291" s="1046" cm="1">
        <f t="array" aca="1" ref="AT291" ca="1">INDEX(OFFSET($AK$19,MATCH($B291,$B$19:$B$150,0)-1,0,COUNTA($B$19:$B$24),COUNTA($AK$17:$BB$17)),MATCH($F291,$F$19:$F$24,0),MATCH(AT$17,$AK$17:$BB$17,0))*INDEX($10:$13,MATCH($O291,$R$10:$R$13,0),COLUMN())</f>
        <v>1.4757349684999999E-4</v>
      </c>
      <c r="AU291" s="1046" cm="1">
        <f t="array" aca="1" ref="AU291" ca="1">INDEX(OFFSET($AK$19,MATCH($B291,$B$19:$B$150,0)-1,0,COUNTA($B$19:$B$24),COUNTA($AK$17:$BB$17)),MATCH($F291,$F$19:$F$24,0),MATCH(AU$17,$AK$17:$BB$17,0))*INDEX($10:$13,MATCH($O291,$R$10:$R$13,0),COLUMN())</f>
        <v>8.3637965579999999E-6</v>
      </c>
      <c r="AV291" s="1046" cm="1">
        <f t="array" aca="1" ref="AV291" ca="1">INDEX(OFFSET($AK$19,MATCH($B291,$B$19:$B$150,0)-1,0,COUNTA($B$19:$B$24),COUNTA($AK$17:$BB$17)),MATCH($F291,$F$19:$F$24,0),MATCH(AV$17,$AK$17:$BB$17,0))*INDEX($10:$13,MATCH($O291,$R$10:$R$13,0),COLUMN())</f>
        <v>1.3513960780999999E-3</v>
      </c>
      <c r="AW291" s="1046" cm="1">
        <f t="array" aca="1" ref="AW291" ca="1">INDEX(OFFSET($AK$19,MATCH($B291,$B$19:$B$150,0)-1,0,COUNTA($B$19:$B$24),COUNTA($AK$17:$BB$17)),MATCH($F291,$F$19:$F$24,0),MATCH(AW$17,$AK$17:$BB$17,0))*INDEX($10:$13,MATCH($O291,$R$10:$R$13,0),COLUMN())</f>
        <v>8.326776100500001E-2</v>
      </c>
      <c r="AX291" s="1046" cm="1">
        <f t="array" aca="1" ref="AX291" ca="1">INDEX(OFFSET($AK$19,MATCH($B291,$B$19:$B$150,0)-1,0,COUNTA($B$19:$B$24),COUNTA($AK$17:$BB$17)),MATCH($F291,$F$19:$F$24,0),MATCH(AX$17,$AK$17:$BB$17,0))*INDEX($10:$13,MATCH($O291,$R$10:$R$13,0),COLUMN())</f>
        <v>1.8721272440000001E-7</v>
      </c>
      <c r="AY291" s="1046" cm="1">
        <f t="array" aca="1" ref="AY291" ca="1">INDEX(OFFSET($AK$19,MATCH($B291,$B$19:$B$150,0)-1,0,COUNTA($B$19:$B$24),COUNTA($AK$17:$BB$17)),MATCH($F291,$F$19:$F$24,0),MATCH(AY$17,$AK$17:$BB$17,0))*INDEX($10:$13,MATCH($O291,$R$10:$R$13,0),COLUMN())</f>
        <v>0</v>
      </c>
      <c r="AZ291" s="1046" cm="1">
        <f t="array" aca="1" ref="AZ291" ca="1">INDEX(OFFSET($AK$19,MATCH($B291,$B$19:$B$150,0)-1,0,COUNTA($B$19:$B$24),COUNTA($AK$17:$BB$17)),MATCH($F291,$F$19:$F$24,0),MATCH(AZ$17,$AK$17:$BB$17,0))*INDEX($10:$13,MATCH($O291,$R$10:$R$13,0),COLUMN())</f>
        <v>0</v>
      </c>
      <c r="BA291" s="1046" cm="1">
        <f t="array" aca="1" ref="BA291" ca="1">INDEX(OFFSET($AK$19,MATCH($B291,$B$19:$B$150,0)-1,0,COUNTA($B$19:$B$24),COUNTA($AK$17:$BB$17)),MATCH($F291,$F$19:$F$24,0),MATCH(BA$17,$AK$17:$BB$17,0))*INDEX($10:$13,MATCH($O291,$R$10:$R$13,0),COLUMN())</f>
        <v>0</v>
      </c>
      <c r="BB291" s="1047" cm="1">
        <f t="array" aca="1" ref="BB291" ca="1">INDEX(OFFSET($AK$19,MATCH($B291,$B$19:$B$150,0)-1,0,COUNTA($B$19:$B$24),COUNTA($AK$17:$BB$17)),MATCH($F291,$F$19:$F$24,0),MATCH(BB$17,$AK$17:$BB$17,0))*INDEX($10:$13,MATCH($O291,$R$10:$R$13,0),COLUMN())</f>
        <v>0</v>
      </c>
      <c r="BC291" s="1049">
        <f t="shared" ca="1" si="165"/>
        <v>8.3267948217724416E-2</v>
      </c>
      <c r="BE291" s="1"/>
      <c r="BF291" s="1"/>
      <c r="BG291" s="1"/>
      <c r="BH291" s="1"/>
      <c r="BI291" s="1"/>
      <c r="BJ291" s="1"/>
      <c r="BK291" s="1"/>
      <c r="BL291" s="1"/>
      <c r="BM291" s="1"/>
      <c r="BN291" s="1"/>
      <c r="BO291" s="1"/>
      <c r="BP291" s="1"/>
      <c r="BQ291" s="1"/>
      <c r="BR291" s="1"/>
      <c r="BS291" s="1"/>
      <c r="BT291" s="1"/>
      <c r="BU291" s="1"/>
      <c r="BV291" s="1"/>
      <c r="BW291" s="1"/>
      <c r="BX291" s="1"/>
      <c r="BY291" s="1"/>
      <c r="BZ291" s="1"/>
    </row>
    <row r="292" spans="2:78" ht="12" customHeight="1" outlineLevel="1" x14ac:dyDescent="0.25">
      <c r="B292" s="104" t="s">
        <v>97</v>
      </c>
      <c r="C292" s="104" t="s">
        <v>121</v>
      </c>
      <c r="D292" s="2" t="s">
        <v>132</v>
      </c>
      <c r="E292" s="2" t="s">
        <v>134</v>
      </c>
      <c r="F292" s="105" t="s">
        <v>122</v>
      </c>
      <c r="G292" s="27" t="s">
        <v>1579</v>
      </c>
      <c r="H292" s="106" t="s">
        <v>128</v>
      </c>
      <c r="I292" s="107" t="s">
        <v>129</v>
      </c>
      <c r="J292" s="147">
        <v>4.0702721800000008</v>
      </c>
      <c r="K292" s="148">
        <v>0.46051038847432407</v>
      </c>
      <c r="L292" s="149">
        <f t="shared" ca="1" si="162"/>
        <v>0.35518343241384742</v>
      </c>
      <c r="M292" s="148">
        <f t="shared" ca="1" si="163"/>
        <v>0.62407604891486879</v>
      </c>
      <c r="N292" s="163">
        <f t="shared" ca="1" si="164"/>
        <v>0.16356566044054471</v>
      </c>
      <c r="O292" s="1061" t="s">
        <v>1583</v>
      </c>
      <c r="P292" s="104"/>
      <c r="R292" s="119"/>
      <c r="S292" s="1072"/>
      <c r="T292" s="1072"/>
      <c r="U292" s="1072"/>
      <c r="V292" s="1072"/>
      <c r="W292" s="1072"/>
      <c r="X292" s="1072"/>
      <c r="Y292" s="1072"/>
      <c r="Z292" s="1072"/>
      <c r="AA292" s="1072"/>
      <c r="AB292" s="1072"/>
      <c r="AC292" s="1072"/>
      <c r="AD292" s="1072"/>
      <c r="AE292" s="1072"/>
      <c r="AF292" s="1072"/>
      <c r="AG292" s="1072"/>
      <c r="AH292" s="1072"/>
      <c r="AI292" s="1072"/>
      <c r="AJ292" s="1073"/>
      <c r="AK292" s="1052" cm="1">
        <f t="array" aca="1" ref="AK292" ca="1">INDEX(OFFSET($AK$19,MATCH($B292,$B$19:$B$150,0)-1,0,COUNTA($B$19:$B$24),COUNTA($AK$17:$BB$17)),MATCH($F292,$F$19:$F$24,0),MATCH(AK$17,$AK$17:$BB$17,0))*INDEX($10:$13,MATCH($O292,$R$10:$R$13,0),COLUMN())</f>
        <v>3.1021116750000001E-2</v>
      </c>
      <c r="AL292" s="1050" cm="1">
        <f t="array" aca="1" ref="AL292" ca="1">INDEX(OFFSET($AK$19,MATCH($B292,$B$19:$B$150,0)-1,0,COUNTA($B$19:$B$24),COUNTA($AK$17:$BB$17)),MATCH($F292,$F$19:$F$24,0),MATCH(AL$17,$AK$17:$BB$17,0))*INDEX($10:$13,MATCH($O292,$R$10:$R$13,0),COLUMN())</f>
        <v>2.8918599791999999E-8</v>
      </c>
      <c r="AM292" s="1050" cm="1">
        <f t="array" aca="1" ref="AM292" ca="1">INDEX(OFFSET($AK$19,MATCH($B292,$B$19:$B$150,0)-1,0,COUNTA($B$19:$B$24),COUNTA($AK$17:$BB$17)),MATCH($F292,$F$19:$F$24,0),MATCH(AM$17,$AK$17:$BB$17,0))*INDEX($10:$13,MATCH($O292,$R$10:$R$13,0),COLUMN())</f>
        <v>5.3610441430000006E-5</v>
      </c>
      <c r="AN292" s="1050" cm="1">
        <f t="array" aca="1" ref="AN292" ca="1">INDEX(OFFSET($AK$19,MATCH($B292,$B$19:$B$150,0)-1,0,COUNTA($B$19:$B$24),COUNTA($AK$17:$BB$17)),MATCH($F292,$F$19:$F$24,0),MATCH(AN$17,$AK$17:$BB$17,0))*INDEX($10:$13,MATCH($O292,$R$10:$R$13,0),COLUMN())</f>
        <v>5.9174298799999998E-4</v>
      </c>
      <c r="AO292" s="1050" cm="1">
        <f t="array" aca="1" ref="AO292" ca="1">INDEX(OFFSET($AK$19,MATCH($B292,$B$19:$B$150,0)-1,0,COUNTA($B$19:$B$24),COUNTA($AK$17:$BB$17)),MATCH($F292,$F$19:$F$24,0),MATCH(AO$17,$AK$17:$BB$17,0))*INDEX($10:$13,MATCH($O292,$R$10:$R$13,0),COLUMN())</f>
        <v>8.8217424400000004E-3</v>
      </c>
      <c r="AP292" s="1050" cm="1">
        <f t="array" aca="1" ref="AP292" ca="1">INDEX(OFFSET($AK$19,MATCH($B292,$B$19:$B$150,0)-1,0,COUNTA($B$19:$B$24),COUNTA($AK$17:$BB$17)),MATCH($F292,$F$19:$F$24,0),MATCH(AP$17,$AK$17:$BB$17,0))*INDEX($10:$13,MATCH($O292,$R$10:$R$13,0),COLUMN())</f>
        <v>4.6496966208E-3</v>
      </c>
      <c r="AQ292" s="1050" cm="1">
        <f t="array" aca="1" ref="AQ292" ca="1">INDEX(OFFSET($AK$19,MATCH($B292,$B$19:$B$150,0)-1,0,COUNTA($B$19:$B$24),COUNTA($AK$17:$BB$17)),MATCH($F292,$F$19:$F$24,0),MATCH(AQ$17,$AK$17:$BB$17,0))*INDEX($10:$13,MATCH($O292,$R$10:$R$13,0),COLUMN())</f>
        <v>3.0251739360000004E-5</v>
      </c>
      <c r="AR292" s="1050" cm="1">
        <f t="array" aca="1" ref="AR292" ca="1">INDEX(OFFSET($AK$19,MATCH($B292,$B$19:$B$150,0)-1,0,COUNTA($B$19:$B$24),COUNTA($AK$17:$BB$17)),MATCH($F292,$F$19:$F$24,0),MATCH(AR$17,$AK$17:$BB$17,0))*INDEX($10:$13,MATCH($O292,$R$10:$R$13,0),COLUMN())</f>
        <v>9.9995920189999993E-3</v>
      </c>
      <c r="AS292" s="1050" cm="1">
        <f t="array" aca="1" ref="AS292" ca="1">INDEX(OFFSET($AK$19,MATCH($B292,$B$19:$B$150,0)-1,0,COUNTA($B$19:$B$24),COUNTA($AK$17:$BB$17)),MATCH($F292,$F$19:$F$24,0),MATCH(AS$17,$AK$17:$BB$17,0))*INDEX($10:$13,MATCH($O292,$R$10:$R$13,0),COLUMN())</f>
        <v>8.3246426801999987E-5</v>
      </c>
      <c r="AT292" s="1050" cm="1">
        <f t="array" aca="1" ref="AT292" ca="1">INDEX(OFFSET($AK$19,MATCH($B292,$B$19:$B$150,0)-1,0,COUNTA($B$19:$B$24),COUNTA($AK$17:$BB$17)),MATCH($F292,$F$19:$F$24,0),MATCH(AT$17,$AK$17:$BB$17,0))*INDEX($10:$13,MATCH($O292,$R$10:$R$13,0),COLUMN())</f>
        <v>2.5741262035000001E-6</v>
      </c>
      <c r="AU292" s="1050" cm="1">
        <f t="array" aca="1" ref="AU292" ca="1">INDEX(OFFSET($AK$19,MATCH($B292,$B$19:$B$150,0)-1,0,COUNTA($B$19:$B$24),COUNTA($AK$17:$BB$17)),MATCH($F292,$F$19:$F$24,0),MATCH(AU$17,$AK$17:$BB$17,0))*INDEX($10:$13,MATCH($O292,$R$10:$R$13,0),COLUMN())</f>
        <v>5.4730979973999997E-7</v>
      </c>
      <c r="AV292" s="1050" cm="1">
        <f t="array" aca="1" ref="AV292" ca="1">INDEX(OFFSET($AK$19,MATCH($B292,$B$19:$B$150,0)-1,0,COUNTA($B$19:$B$24),COUNTA($AK$17:$BB$17)),MATCH($F292,$F$19:$F$24,0),MATCH(AV$17,$AK$17:$BB$17,0))*INDEX($10:$13,MATCH($O292,$R$10:$R$13,0),COLUMN())</f>
        <v>-1.0846819056999999E-3</v>
      </c>
      <c r="AW292" s="1050" cm="1">
        <f t="array" aca="1" ref="AW292" ca="1">INDEX(OFFSET($AK$19,MATCH($B292,$B$19:$B$150,0)-1,0,COUNTA($B$19:$B$24),COUNTA($AK$17:$BB$17)),MATCH($F292,$F$19:$F$24,0),MATCH(AW$17,$AK$17:$BB$17,0))*INDEX($10:$13,MATCH($O292,$R$10:$R$13,0),COLUMN())</f>
        <v>0.10939615895000002</v>
      </c>
      <c r="AX292" s="1050" cm="1">
        <f t="array" aca="1" ref="AX292" ca="1">INDEX(OFFSET($AK$19,MATCH($B292,$B$19:$B$150,0)-1,0,COUNTA($B$19:$B$24),COUNTA($AK$17:$BB$17)),MATCH($F292,$F$19:$F$24,0),MATCH(AX$17,$AK$17:$BB$17,0))*INDEX($10:$13,MATCH($O292,$R$10:$R$13,0),COLUMN())</f>
        <v>3.361624968E-8</v>
      </c>
      <c r="AY292" s="1050" cm="1">
        <f t="array" aca="1" ref="AY292" ca="1">INDEX(OFFSET($AK$19,MATCH($B292,$B$19:$B$150,0)-1,0,COUNTA($B$19:$B$24),COUNTA($AK$17:$BB$17)),MATCH($F292,$F$19:$F$24,0),MATCH(AY$17,$AK$17:$BB$17,0))*INDEX($10:$13,MATCH($O292,$R$10:$R$13,0),COLUMN())</f>
        <v>0</v>
      </c>
      <c r="AZ292" s="1050" cm="1">
        <f t="array" aca="1" ref="AZ292" ca="1">INDEX(OFFSET($AK$19,MATCH($B292,$B$19:$B$150,0)-1,0,COUNTA($B$19:$B$24),COUNTA($AK$17:$BB$17)),MATCH($F292,$F$19:$F$24,0),MATCH(AZ$17,$AK$17:$BB$17,0))*INDEX($10:$13,MATCH($O292,$R$10:$R$13,0),COLUMN())</f>
        <v>0</v>
      </c>
      <c r="BA292" s="1050" cm="1">
        <f t="array" aca="1" ref="BA292" ca="1">INDEX(OFFSET($AK$19,MATCH($B292,$B$19:$B$150,0)-1,0,COUNTA($B$19:$B$24),COUNTA($AK$17:$BB$17)),MATCH($F292,$F$19:$F$24,0),MATCH(BA$17,$AK$17:$BB$17,0))*INDEX($10:$13,MATCH($O292,$R$10:$R$13,0),COLUMN())</f>
        <v>0</v>
      </c>
      <c r="BB292" s="1051" cm="1">
        <f t="array" aca="1" ref="BB292" ca="1">INDEX(OFFSET($AK$19,MATCH($B292,$B$19:$B$150,0)-1,0,COUNTA($B$19:$B$24),COUNTA($AK$17:$BB$17)),MATCH($F292,$F$19:$F$24,0),MATCH(BB$17,$AK$17:$BB$17,0))*INDEX($10:$13,MATCH($O292,$R$10:$R$13,0),COLUMN())</f>
        <v>0</v>
      </c>
      <c r="BC292" s="1053">
        <f t="shared" ca="1" si="165"/>
        <v>0.1093961925662497</v>
      </c>
      <c r="BE292" s="1"/>
      <c r="BF292" s="1"/>
      <c r="BG292" s="1"/>
      <c r="BH292" s="1"/>
      <c r="BI292" s="1"/>
      <c r="BJ292" s="1"/>
      <c r="BK292" s="1"/>
      <c r="BL292" s="1"/>
      <c r="BM292" s="1"/>
      <c r="BN292" s="1"/>
      <c r="BO292" s="1"/>
      <c r="BP292" s="1"/>
      <c r="BQ292" s="1"/>
      <c r="BR292" s="1"/>
      <c r="BS292" s="1"/>
      <c r="BT292" s="1"/>
      <c r="BU292" s="1"/>
      <c r="BV292" s="1"/>
      <c r="BW292" s="1"/>
      <c r="BX292" s="1"/>
      <c r="BY292" s="1"/>
      <c r="BZ292" s="1"/>
    </row>
    <row r="293" spans="2:78" ht="12" customHeight="1" outlineLevel="1" x14ac:dyDescent="0.25">
      <c r="B293" s="104" t="s">
        <v>97</v>
      </c>
      <c r="C293" s="104" t="s">
        <v>121</v>
      </c>
      <c r="D293" s="2" t="s">
        <v>132</v>
      </c>
      <c r="E293" s="2" t="s">
        <v>134</v>
      </c>
      <c r="F293" s="105" t="s">
        <v>93</v>
      </c>
      <c r="G293" s="27" t="s">
        <v>1578</v>
      </c>
      <c r="H293" s="106" t="s">
        <v>130</v>
      </c>
      <c r="I293" s="107" t="s">
        <v>129</v>
      </c>
      <c r="J293" s="147">
        <v>4.0702721800000008</v>
      </c>
      <c r="K293" s="148">
        <v>0.46051038847432407</v>
      </c>
      <c r="L293" s="149">
        <f t="shared" ca="1" si="162"/>
        <v>0.44517598464414021</v>
      </c>
      <c r="M293" s="148">
        <f t="shared" ca="1" si="163"/>
        <v>0.66551855410223681</v>
      </c>
      <c r="N293" s="163">
        <f t="shared" ca="1" si="164"/>
        <v>0.20500816562791274</v>
      </c>
      <c r="O293" s="1061" t="s">
        <v>1583</v>
      </c>
      <c r="P293" s="104"/>
      <c r="R293" s="119"/>
      <c r="S293" s="1072"/>
      <c r="T293" s="1072"/>
      <c r="U293" s="1072"/>
      <c r="V293" s="1072"/>
      <c r="W293" s="1072"/>
      <c r="X293" s="1072"/>
      <c r="Y293" s="1072"/>
      <c r="Z293" s="1072"/>
      <c r="AA293" s="1072"/>
      <c r="AB293" s="1072"/>
      <c r="AC293" s="1072"/>
      <c r="AD293" s="1072"/>
      <c r="AE293" s="1072"/>
      <c r="AF293" s="1072"/>
      <c r="AG293" s="1072"/>
      <c r="AH293" s="1072"/>
      <c r="AI293" s="1072"/>
      <c r="AJ293" s="1073"/>
      <c r="AK293" s="1052" cm="1">
        <f t="array" aca="1" ref="AK293" ca="1">INDEX(OFFSET($AK$19,MATCH($B293,$B$19:$B$150,0)-1,0,COUNTA($B$19:$B$24),COUNTA($AK$17:$BB$17)),MATCH($F293,$F$19:$F$24,0),MATCH(AK$17,$AK$17:$BB$17,0))*INDEX($10:$13,MATCH($O293,$R$10:$R$13,0),COLUMN())</f>
        <v>3.8795398200000004E-2</v>
      </c>
      <c r="AL293" s="1050" cm="1">
        <f t="array" aca="1" ref="AL293" ca="1">INDEX(OFFSET($AK$19,MATCH($B293,$B$19:$B$150,0)-1,0,COUNTA($B$19:$B$24),COUNTA($AK$17:$BB$17)),MATCH($F293,$F$19:$F$24,0),MATCH(AL$17,$AK$17:$BB$17,0))*INDEX($10:$13,MATCH($O293,$R$10:$R$13,0),COLUMN())</f>
        <v>3.6165961919999997E-8</v>
      </c>
      <c r="AM293" s="1050" cm="1">
        <f t="array" aca="1" ref="AM293" ca="1">INDEX(OFFSET($AK$19,MATCH($B293,$B$19:$B$150,0)-1,0,COUNTA($B$19:$B$24),COUNTA($AK$17:$BB$17)),MATCH($F293,$F$19:$F$24,0),MATCH(AM$17,$AK$17:$BB$17,0))*INDEX($10:$13,MATCH($O293,$R$10:$R$13,0),COLUMN())</f>
        <v>6.7045885360000001E-5</v>
      </c>
      <c r="AN293" s="1050" cm="1">
        <f t="array" aca="1" ref="AN293" ca="1">INDEX(OFFSET($AK$19,MATCH($B293,$B$19:$B$150,0)-1,0,COUNTA($B$19:$B$24),COUNTA($AK$17:$BB$17)),MATCH($F293,$F$19:$F$24,0),MATCH(AN$17,$AK$17:$BB$17,0))*INDEX($10:$13,MATCH($O293,$R$10:$R$13,0),COLUMN())</f>
        <v>7.4004119199999998E-4</v>
      </c>
      <c r="AO293" s="1050" cm="1">
        <f t="array" aca="1" ref="AO293" ca="1">INDEX(OFFSET($AK$19,MATCH($B293,$B$19:$B$150,0)-1,0,COUNTA($B$19:$B$24),COUNTA($AK$17:$BB$17)),MATCH($F293,$F$19:$F$24,0),MATCH(AO$17,$AK$17:$BB$17,0))*INDEX($10:$13,MATCH($O293,$R$10:$R$13,0),COLUMN())</f>
        <v>1.1032581672000002E-2</v>
      </c>
      <c r="AP293" s="1050" cm="1">
        <f t="array" aca="1" ref="AP293" ca="1">INDEX(OFFSET($AK$19,MATCH($B293,$B$19:$B$150,0)-1,0,COUNTA($B$19:$B$24),COUNTA($AK$17:$BB$17)),MATCH($F293,$F$19:$F$24,0),MATCH(AP$17,$AK$17:$BB$17,0))*INDEX($10:$13,MATCH($O293,$R$10:$R$13,0),COLUMN())</f>
        <v>5.8149690829999998E-3</v>
      </c>
      <c r="AQ293" s="1050" cm="1">
        <f t="array" aca="1" ref="AQ293" ca="1">INDEX(OFFSET($AK$19,MATCH($B293,$B$19:$B$150,0)-1,0,COUNTA($B$19:$B$24),COUNTA($AK$17:$BB$17)),MATCH($F293,$F$19:$F$24,0),MATCH(AQ$17,$AK$17:$BB$17,0))*INDEX($10:$13,MATCH($O293,$R$10:$R$13,0),COLUMN())</f>
        <v>3.7833203520000001E-5</v>
      </c>
      <c r="AR293" s="1050" cm="1">
        <f t="array" aca="1" ref="AR293" ca="1">INDEX(OFFSET($AK$19,MATCH($B293,$B$19:$B$150,0)-1,0,COUNTA($B$19:$B$24),COUNTA($AK$17:$BB$17)),MATCH($F293,$F$19:$F$24,0),MATCH(AR$17,$AK$17:$BB$17,0))*INDEX($10:$13,MATCH($O293,$R$10:$R$13,0),COLUMN())</f>
        <v>1.2505615091E-2</v>
      </c>
      <c r="AS293" s="1050" cm="1">
        <f t="array" aca="1" ref="AS293" ca="1">INDEX(OFFSET($AK$19,MATCH($B293,$B$19:$B$150,0)-1,0,COUNTA($B$19:$B$24),COUNTA($AK$17:$BB$17)),MATCH($F293,$F$19:$F$24,0),MATCH(AS$17,$AK$17:$BB$17,0))*INDEX($10:$13,MATCH($O293,$R$10:$R$13,0),COLUMN())</f>
        <v>1.4667386084999998E-4</v>
      </c>
      <c r="AT293" s="1050" cm="1">
        <f t="array" aca="1" ref="AT293" ca="1">INDEX(OFFSET($AK$19,MATCH($B293,$B$19:$B$150,0)-1,0,COUNTA($B$19:$B$24),COUNTA($AK$17:$BB$17)),MATCH($F293,$F$19:$F$24,0),MATCH(AT$17,$AK$17:$BB$17,0))*INDEX($10:$13,MATCH($O293,$R$10:$R$13,0),COLUMN())</f>
        <v>3.2325922611999997E-6</v>
      </c>
      <c r="AU293" s="1050" cm="1">
        <f t="array" aca="1" ref="AU293" ca="1">INDEX(OFFSET($AK$19,MATCH($B293,$B$19:$B$150,0)-1,0,COUNTA($B$19:$B$24),COUNTA($AK$17:$BB$17)),MATCH($F293,$F$19:$F$24,0),MATCH(AU$17,$AK$17:$BB$17,0))*INDEX($10:$13,MATCH($O293,$R$10:$R$13,0),COLUMN())</f>
        <v>6.8599159651E-7</v>
      </c>
      <c r="AV293" s="1050" cm="1">
        <f t="array" aca="1" ref="AV293" ca="1">INDEX(OFFSET($AK$19,MATCH($B293,$B$19:$B$150,0)-1,0,COUNTA($B$19:$B$24),COUNTA($AK$17:$BB$17)),MATCH($F293,$F$19:$F$24,0),MATCH(AV$17,$AK$17:$BB$17,0))*INDEX($10:$13,MATCH($O293,$R$10:$R$13,0),COLUMN())</f>
        <v>-9.4819865053999994E-4</v>
      </c>
      <c r="AW293" s="1050" cm="1">
        <f t="array" aca="1" ref="AW293" ca="1">INDEX(OFFSET($AK$19,MATCH($B293,$B$19:$B$150,0)-1,0,COUNTA($B$19:$B$24),COUNTA($AK$17:$BB$17)),MATCH($F293,$F$19:$F$24,0),MATCH(AW$17,$AK$17:$BB$17,0))*INDEX($10:$13,MATCH($O293,$R$10:$R$13,0),COLUMN())</f>
        <v>0.13681220930000002</v>
      </c>
      <c r="AX293" s="1050" cm="1">
        <f t="array" aca="1" ref="AX293" ca="1">INDEX(OFFSET($AK$19,MATCH($B293,$B$19:$B$150,0)-1,0,COUNTA($B$19:$B$24),COUNTA($AK$17:$BB$17)),MATCH($F293,$F$19:$F$24,0),MATCH(AX$17,$AK$17:$BB$17,0))*INDEX($10:$13,MATCH($O293,$R$10:$R$13,0),COLUMN())</f>
        <v>4.204090306E-8</v>
      </c>
      <c r="AY293" s="1050" cm="1">
        <f t="array" aca="1" ref="AY293" ca="1">INDEX(OFFSET($AK$19,MATCH($B293,$B$19:$B$150,0)-1,0,COUNTA($B$19:$B$24),COUNTA($AK$17:$BB$17)),MATCH($F293,$F$19:$F$24,0),MATCH(AY$17,$AK$17:$BB$17,0))*INDEX($10:$13,MATCH($O293,$R$10:$R$13,0),COLUMN())</f>
        <v>0</v>
      </c>
      <c r="AZ293" s="1050" cm="1">
        <f t="array" aca="1" ref="AZ293" ca="1">INDEX(OFFSET($AK$19,MATCH($B293,$B$19:$B$150,0)-1,0,COUNTA($B$19:$B$24),COUNTA($AK$17:$BB$17)),MATCH($F293,$F$19:$F$24,0),MATCH(AZ$17,$AK$17:$BB$17,0))*INDEX($10:$13,MATCH($O293,$R$10:$R$13,0),COLUMN())</f>
        <v>0</v>
      </c>
      <c r="BA293" s="1050" cm="1">
        <f t="array" aca="1" ref="BA293" ca="1">INDEX(OFFSET($AK$19,MATCH($B293,$B$19:$B$150,0)-1,0,COUNTA($B$19:$B$24),COUNTA($AK$17:$BB$17)),MATCH($F293,$F$19:$F$24,0),MATCH(BA$17,$AK$17:$BB$17,0))*INDEX($10:$13,MATCH($O293,$R$10:$R$13,0),COLUMN())</f>
        <v>0</v>
      </c>
      <c r="BB293" s="1051" cm="1">
        <f t="array" aca="1" ref="BB293" ca="1">INDEX(OFFSET($AK$19,MATCH($B293,$B$19:$B$150,0)-1,0,COUNTA($B$19:$B$24),COUNTA($AK$17:$BB$17)),MATCH($F293,$F$19:$F$24,0),MATCH(BB$17,$AK$17:$BB$17,0))*INDEX($10:$13,MATCH($O293,$R$10:$R$13,0),COLUMN())</f>
        <v>0</v>
      </c>
      <c r="BC293" s="1053">
        <f t="shared" ca="1" si="165"/>
        <v>0.13681225134090308</v>
      </c>
      <c r="BE293" s="1"/>
      <c r="BF293" s="1"/>
      <c r="BG293" s="1"/>
      <c r="BH293" s="1"/>
      <c r="BI293" s="1"/>
      <c r="BJ293" s="1"/>
      <c r="BK293" s="1"/>
      <c r="BL293" s="1"/>
      <c r="BM293" s="1"/>
      <c r="BN293" s="1"/>
      <c r="BO293" s="1"/>
      <c r="BP293" s="1"/>
      <c r="BQ293" s="1"/>
      <c r="BR293" s="1"/>
      <c r="BS293" s="1"/>
      <c r="BT293" s="1"/>
      <c r="BU293" s="1"/>
      <c r="BV293" s="1"/>
      <c r="BW293" s="1"/>
      <c r="BX293" s="1"/>
      <c r="BY293" s="1"/>
      <c r="BZ293" s="1"/>
    </row>
    <row r="294" spans="2:78" ht="12" customHeight="1" outlineLevel="1" x14ac:dyDescent="0.25">
      <c r="B294" s="104" t="s">
        <v>97</v>
      </c>
      <c r="C294" s="104" t="s">
        <v>121</v>
      </c>
      <c r="D294" s="2" t="s">
        <v>132</v>
      </c>
      <c r="E294" s="2" t="s">
        <v>134</v>
      </c>
      <c r="F294" s="105" t="s">
        <v>94</v>
      </c>
      <c r="G294" s="27" t="s">
        <v>1580</v>
      </c>
      <c r="H294" s="106" t="s">
        <v>131</v>
      </c>
      <c r="I294" s="107" t="s">
        <v>129</v>
      </c>
      <c r="J294" s="147">
        <v>4.0702721800000008</v>
      </c>
      <c r="K294" s="148">
        <v>0.46051038847432407</v>
      </c>
      <c r="L294" s="149">
        <f t="shared" ca="1" si="162"/>
        <v>0.29523272538092438</v>
      </c>
      <c r="M294" s="148">
        <f t="shared" ca="1" si="163"/>
        <v>0.59646812552982698</v>
      </c>
      <c r="N294" s="148">
        <f t="shared" ca="1" si="164"/>
        <v>0.13595773705550293</v>
      </c>
      <c r="O294" s="1062" t="s">
        <v>1583</v>
      </c>
      <c r="P294" s="104"/>
      <c r="R294" s="119"/>
      <c r="S294" s="1072"/>
      <c r="T294" s="1072"/>
      <c r="U294" s="1072"/>
      <c r="V294" s="1072"/>
      <c r="W294" s="1072"/>
      <c r="X294" s="1072"/>
      <c r="Y294" s="1072"/>
      <c r="Z294" s="1072"/>
      <c r="AA294" s="1072"/>
      <c r="AB294" s="1072"/>
      <c r="AC294" s="1072"/>
      <c r="AD294" s="1072"/>
      <c r="AE294" s="1072"/>
      <c r="AF294" s="1072"/>
      <c r="AG294" s="1072"/>
      <c r="AH294" s="1072"/>
      <c r="AI294" s="1072"/>
      <c r="AJ294" s="1073"/>
      <c r="AK294" s="1052" cm="1">
        <f t="array" aca="1" ref="AK294" ca="1">INDEX(OFFSET($AK$19,MATCH($B294,$B$19:$B$150,0)-1,0,COUNTA($B$19:$B$24),COUNTA($AK$17:$BB$17)),MATCH($F294,$F$19:$F$24,0),MATCH(AK$17,$AK$17:$BB$17,0))*INDEX($10:$13,MATCH($O294,$R$10:$R$13,0),COLUMN())</f>
        <v>2.5842086400000002E-2</v>
      </c>
      <c r="AL294" s="1050" cm="1">
        <f t="array" aca="1" ref="AL294" ca="1">INDEX(OFFSET($AK$19,MATCH($B294,$B$19:$B$150,0)-1,0,COUNTA($B$19:$B$24),COUNTA($AK$17:$BB$17)),MATCH($F294,$F$19:$F$24,0),MATCH(AL$17,$AK$17:$BB$17,0))*INDEX($10:$13,MATCH($O294,$R$10:$R$13,0),COLUMN())</f>
        <v>2.4090588832E-8</v>
      </c>
      <c r="AM294" s="1050" cm="1">
        <f t="array" aca="1" ref="AM294" ca="1">INDEX(OFFSET($AK$19,MATCH($B294,$B$19:$B$150,0)-1,0,COUNTA($B$19:$B$24),COUNTA($AK$17:$BB$17)),MATCH($F294,$F$19:$F$24,0),MATCH(AM$17,$AK$17:$BB$17,0))*INDEX($10:$13,MATCH($O294,$R$10:$R$13,0),COLUMN())</f>
        <v>4.4660082635000001E-5</v>
      </c>
      <c r="AN294" s="1050" cm="1">
        <f t="array" aca="1" ref="AN294" ca="1">INDEX(OFFSET($AK$19,MATCH($B294,$B$19:$B$150,0)-1,0,COUNTA($B$19:$B$24),COUNTA($AK$17:$BB$17)),MATCH($F294,$F$19:$F$24,0),MATCH(AN$17,$AK$17:$BB$17,0))*INDEX($10:$13,MATCH($O294,$R$10:$R$13,0),COLUMN())</f>
        <v>4.9295045549999994E-4</v>
      </c>
      <c r="AO294" s="1050" cm="1">
        <f t="array" aca="1" ref="AO294" ca="1">INDEX(OFFSET($AK$19,MATCH($B294,$B$19:$B$150,0)-1,0,COUNTA($B$19:$B$24),COUNTA($AK$17:$BB$17)),MATCH($F294,$F$19:$F$24,0),MATCH(AO$17,$AK$17:$BB$17,0))*INDEX($10:$13,MATCH($O294,$R$10:$R$13,0),COLUMN())</f>
        <v>7.3489368960000011E-3</v>
      </c>
      <c r="AP294" s="1050" cm="1">
        <f t="array" aca="1" ref="AP294" ca="1">INDEX(OFFSET($AK$19,MATCH($B294,$B$19:$B$150,0)-1,0,COUNTA($B$19:$B$24),COUNTA($AK$17:$BB$17)),MATCH($F294,$F$19:$F$24,0),MATCH(AP$17,$AK$17:$BB$17,0))*INDEX($10:$13,MATCH($O294,$R$10:$R$13,0),COLUMN())</f>
        <v>3.8734216352999998E-3</v>
      </c>
      <c r="AQ294" s="1050" cm="1">
        <f t="array" aca="1" ref="AQ294" ca="1">INDEX(OFFSET($AK$19,MATCH($B294,$B$19:$B$150,0)-1,0,COUNTA($B$19:$B$24),COUNTA($AK$17:$BB$17)),MATCH($F294,$F$19:$F$24,0),MATCH(AQ$17,$AK$17:$BB$17,0))*INDEX($10:$13,MATCH($O294,$R$10:$R$13,0),COLUMN())</f>
        <v>2.52011586E-5</v>
      </c>
      <c r="AR294" s="1050" cm="1">
        <f t="array" aca="1" ref="AR294" ca="1">INDEX(OFFSET($AK$19,MATCH($B294,$B$19:$B$150,0)-1,0,COUNTA($B$19:$B$24),COUNTA($AK$17:$BB$17)),MATCH($F294,$F$19:$F$24,0),MATCH(AR$17,$AK$17:$BB$17,0))*INDEX($10:$13,MATCH($O294,$R$10:$R$13,0),COLUMN())</f>
        <v>8.3301424639999986E-3</v>
      </c>
      <c r="AS294" s="1050" cm="1">
        <f t="array" aca="1" ref="AS294" ca="1">INDEX(OFFSET($AK$19,MATCH($B294,$B$19:$B$150,0)-1,0,COUNTA($B$19:$B$24),COUNTA($AK$17:$BB$17)),MATCH($F294,$F$19:$F$24,0),MATCH(AS$17,$AK$17:$BB$17,0))*INDEX($10:$13,MATCH($O294,$R$10:$R$13,0),COLUMN())</f>
        <v>4.0995332223999995E-5</v>
      </c>
      <c r="AT294" s="1050" cm="1">
        <f t="array" aca="1" ref="AT294" ca="1">INDEX(OFFSET($AK$19,MATCH($B294,$B$19:$B$150,0)-1,0,COUNTA($B$19:$B$24),COUNTA($AK$17:$BB$17)),MATCH($F294,$F$19:$F$24,0),MATCH(AT$17,$AK$17:$BB$17,0))*INDEX($10:$13,MATCH($O294,$R$10:$R$13,0),COLUMN())</f>
        <v>2.1354735151000002E-6</v>
      </c>
      <c r="AU294" s="1050" cm="1">
        <f t="array" aca="1" ref="AU294" ca="1">INDEX(OFFSET($AK$19,MATCH($B294,$B$19:$B$150,0)-1,0,COUNTA($B$19:$B$24),COUNTA($AK$17:$BB$17)),MATCH($F294,$F$19:$F$24,0),MATCH(AU$17,$AK$17:$BB$17,0))*INDEX($10:$13,MATCH($O294,$R$10:$R$13,0),COLUMN())</f>
        <v>4.5492358171999999E-7</v>
      </c>
      <c r="AV294" s="1050" cm="1">
        <f t="array" aca="1" ref="AV294" ca="1">INDEX(OFFSET($AK$19,MATCH($B294,$B$19:$B$150,0)-1,0,COUNTA($B$19:$B$24),COUNTA($AK$17:$BB$17)),MATCH($F294,$F$19:$F$24,0),MATCH(AV$17,$AK$17:$BB$17,0))*INDEX($10:$13,MATCH($O294,$R$10:$R$13,0),COLUMN())</f>
        <v>-1.1755781103999999E-3</v>
      </c>
      <c r="AW294" s="1050" cm="1">
        <f t="array" aca="1" ref="AW294" ca="1">INDEX(OFFSET($AK$19,MATCH($B294,$B$19:$B$150,0)-1,0,COUNTA($B$19:$B$24),COUNTA($AK$17:$BB$17)),MATCH($F294,$F$19:$F$24,0),MATCH(AW$17,$AK$17:$BB$17,0))*INDEX($10:$13,MATCH($O294,$R$10:$R$13,0),COLUMN())</f>
        <v>9.1132278250000004E-2</v>
      </c>
      <c r="AX294" s="1050" cm="1">
        <f t="array" aca="1" ref="AX294" ca="1">INDEX(OFFSET($AK$19,MATCH($B294,$B$19:$B$150,0)-1,0,COUNTA($B$19:$B$24),COUNTA($AK$17:$BB$17)),MATCH($F294,$F$19:$F$24,0),MATCH(AX$17,$AK$17:$BB$17,0))*INDEX($10:$13,MATCH($O294,$R$10:$R$13,0),COLUMN())</f>
        <v>2.8003958255000004E-8</v>
      </c>
      <c r="AY294" s="1050" cm="1">
        <f t="array" aca="1" ref="AY294" ca="1">INDEX(OFFSET($AK$19,MATCH($B294,$B$19:$B$150,0)-1,0,COUNTA($B$19:$B$24),COUNTA($AK$17:$BB$17)),MATCH($F294,$F$19:$F$24,0),MATCH(AY$17,$AK$17:$BB$17,0))*INDEX($10:$13,MATCH($O294,$R$10:$R$13,0),COLUMN())</f>
        <v>0</v>
      </c>
      <c r="AZ294" s="1050" cm="1">
        <f t="array" aca="1" ref="AZ294" ca="1">INDEX(OFFSET($AK$19,MATCH($B294,$B$19:$B$150,0)-1,0,COUNTA($B$19:$B$24),COUNTA($AK$17:$BB$17)),MATCH($F294,$F$19:$F$24,0),MATCH(AZ$17,$AK$17:$BB$17,0))*INDEX($10:$13,MATCH($O294,$R$10:$R$13,0),COLUMN())</f>
        <v>0</v>
      </c>
      <c r="BA294" s="1050" cm="1">
        <f t="array" aca="1" ref="BA294" ca="1">INDEX(OFFSET($AK$19,MATCH($B294,$B$19:$B$150,0)-1,0,COUNTA($B$19:$B$24),COUNTA($AK$17:$BB$17)),MATCH($F294,$F$19:$F$24,0),MATCH(BA$17,$AK$17:$BB$17,0))*INDEX($10:$13,MATCH($O294,$R$10:$R$13,0),COLUMN())</f>
        <v>0</v>
      </c>
      <c r="BB294" s="1051" cm="1">
        <f t="array" aca="1" ref="BB294" ca="1">INDEX(OFFSET($AK$19,MATCH($B294,$B$19:$B$150,0)-1,0,COUNTA($B$19:$B$24),COUNTA($AK$17:$BB$17)),MATCH($F294,$F$19:$F$24,0),MATCH(BB$17,$AK$17:$BB$17,0))*INDEX($10:$13,MATCH($O294,$R$10:$R$13,0),COLUMN())</f>
        <v>0</v>
      </c>
      <c r="BC294" s="1053">
        <f t="shared" ca="1" si="165"/>
        <v>9.1132306253958253E-2</v>
      </c>
      <c r="BE294" s="1"/>
      <c r="BF294" s="1"/>
      <c r="BG294" s="1"/>
      <c r="BH294" s="1"/>
      <c r="BI294" s="1"/>
      <c r="BJ294" s="1"/>
      <c r="BK294" s="1"/>
      <c r="BL294" s="1"/>
      <c r="BM294" s="1"/>
      <c r="BN294" s="1"/>
      <c r="BO294" s="1"/>
      <c r="BP294" s="1"/>
      <c r="BQ294" s="1"/>
      <c r="BR294" s="1"/>
      <c r="BS294" s="1"/>
      <c r="BT294" s="1"/>
      <c r="BU294" s="1"/>
      <c r="BV294" s="1"/>
      <c r="BW294" s="1"/>
      <c r="BX294" s="1"/>
      <c r="BY294" s="1"/>
      <c r="BZ294" s="1"/>
    </row>
    <row r="295" spans="2:78" ht="12" customHeight="1" outlineLevel="1" x14ac:dyDescent="0.25">
      <c r="B295" s="104" t="s">
        <v>97</v>
      </c>
      <c r="C295" s="104" t="s">
        <v>121</v>
      </c>
      <c r="D295" s="2" t="s">
        <v>132</v>
      </c>
      <c r="E295" s="2" t="s">
        <v>134</v>
      </c>
      <c r="F295" s="105" t="s">
        <v>95</v>
      </c>
      <c r="G295" s="27" t="s">
        <v>1581</v>
      </c>
      <c r="H295" s="106" t="s">
        <v>128</v>
      </c>
      <c r="I295" s="107" t="s">
        <v>127</v>
      </c>
      <c r="J295" s="147">
        <v>4.0702721800000008</v>
      </c>
      <c r="K295" s="148">
        <v>0.46051038847432407</v>
      </c>
      <c r="L295" s="149">
        <f t="shared" ca="1" si="162"/>
        <v>0.42496046379879504</v>
      </c>
      <c r="M295" s="148">
        <f t="shared" ca="1" si="163"/>
        <v>0.65620909674453609</v>
      </c>
      <c r="N295" s="148">
        <f t="shared" ca="1" si="164"/>
        <v>0.19569870827021205</v>
      </c>
      <c r="O295" s="1062" t="s">
        <v>1583</v>
      </c>
      <c r="P295" s="104"/>
      <c r="R295" s="119"/>
      <c r="S295" s="1072"/>
      <c r="T295" s="1072"/>
      <c r="U295" s="1072"/>
      <c r="V295" s="1072"/>
      <c r="W295" s="1072"/>
      <c r="X295" s="1072"/>
      <c r="Y295" s="1072"/>
      <c r="Z295" s="1072"/>
      <c r="AA295" s="1072"/>
      <c r="AB295" s="1072"/>
      <c r="AC295" s="1072"/>
      <c r="AD295" s="1072"/>
      <c r="AE295" s="1072"/>
      <c r="AF295" s="1072"/>
      <c r="AG295" s="1072"/>
      <c r="AH295" s="1072"/>
      <c r="AI295" s="1072"/>
      <c r="AJ295" s="1073"/>
      <c r="AK295" s="1052" cm="1">
        <f t="array" aca="1" ref="AK295" ca="1">INDEX(OFFSET($AK$19,MATCH($B295,$B$19:$B$150,0)-1,0,COUNTA($B$19:$B$24),COUNTA($AK$17:$BB$17)),MATCH($F295,$F$19:$F$24,0),MATCH(AK$17,$AK$17:$BB$17,0))*INDEX($10:$13,MATCH($O295,$R$10:$R$13,0),COLUMN())</f>
        <v>3.49741197E-2</v>
      </c>
      <c r="AL295" s="1050" cm="1">
        <f t="array" aca="1" ref="AL295" ca="1">INDEX(OFFSET($AK$19,MATCH($B295,$B$19:$B$150,0)-1,0,COUNTA($B$19:$B$24),COUNTA($AK$17:$BB$17)),MATCH($F295,$F$19:$F$24,0),MATCH(AL$17,$AK$17:$BB$17,0))*INDEX($10:$13,MATCH($O295,$R$10:$R$13,0),COLUMN())</f>
        <v>2.9124551887999997E-8</v>
      </c>
      <c r="AM295" s="1050" cm="1">
        <f t="array" aca="1" ref="AM295" ca="1">INDEX(OFFSET($AK$19,MATCH($B295,$B$19:$B$150,0)-1,0,COUNTA($B$19:$B$24),COUNTA($AK$17:$BB$17)),MATCH($F295,$F$19:$F$24,0),MATCH(AM$17,$AK$17:$BB$17,0))*INDEX($10:$13,MATCH($O295,$R$10:$R$13,0),COLUMN())</f>
        <v>5.3990503660000008E-5</v>
      </c>
      <c r="AN295" s="1050" cm="1">
        <f t="array" aca="1" ref="AN295" ca="1">INDEX(OFFSET($AK$19,MATCH($B295,$B$19:$B$150,0)-1,0,COUNTA($B$19:$B$24),COUNTA($AK$17:$BB$17)),MATCH($F295,$F$19:$F$24,0),MATCH(AN$17,$AK$17:$BB$17,0))*INDEX($10:$13,MATCH($O295,$R$10:$R$13,0),COLUMN())</f>
        <v>6.3190838250000003E-4</v>
      </c>
      <c r="AO295" s="1050" cm="1">
        <f t="array" aca="1" ref="AO295" ca="1">INDEX(OFFSET($AK$19,MATCH($B295,$B$19:$B$150,0)-1,0,COUNTA($B$19:$B$24),COUNTA($AK$17:$BB$17)),MATCH($F295,$F$19:$F$24,0),MATCH(AO$17,$AK$17:$BB$17,0))*INDEX($10:$13,MATCH($O295,$R$10:$R$13,0),COLUMN())</f>
        <v>2.0383813800000001E-2</v>
      </c>
      <c r="AP295" s="1050" cm="1">
        <f t="array" aca="1" ref="AP295" ca="1">INDEX(OFFSET($AK$19,MATCH($B295,$B$19:$B$150,0)-1,0,COUNTA($B$19:$B$24),COUNTA($AK$17:$BB$17)),MATCH($F295,$F$19:$F$24,0),MATCH(AP$17,$AK$17:$BB$17,0))*INDEX($10:$13,MATCH($O295,$R$10:$R$13,0),COLUMN())</f>
        <v>1.5656198284999999E-2</v>
      </c>
      <c r="AQ295" s="1050" cm="1">
        <f t="array" aca="1" ref="AQ295" ca="1">INDEX(OFFSET($AK$19,MATCH($B295,$B$19:$B$150,0)-1,0,COUNTA($B$19:$B$24),COUNTA($AK$17:$BB$17)),MATCH($F295,$F$19:$F$24,0),MATCH(AQ$17,$AK$17:$BB$17,0))*INDEX($10:$13,MATCH($O295,$R$10:$R$13,0),COLUMN())</f>
        <v>1.1967520488E-4</v>
      </c>
      <c r="AR295" s="1050" cm="1">
        <f t="array" aca="1" ref="AR295" ca="1">INDEX(OFFSET($AK$19,MATCH($B295,$B$19:$B$150,0)-1,0,COUNTA($B$19:$B$24),COUNTA($AK$17:$BB$17)),MATCH($F295,$F$19:$F$24,0),MATCH(AR$17,$AK$17:$BB$17,0))*INDEX($10:$13,MATCH($O295,$R$10:$R$13,0),COLUMN())</f>
        <v>1.2930621160000001E-2</v>
      </c>
      <c r="AS295" s="1050" cm="1">
        <f t="array" aca="1" ref="AS295" ca="1">INDEX(OFFSET($AK$19,MATCH($B295,$B$19:$B$150,0)-1,0,COUNTA($B$19:$B$24),COUNTA($AK$17:$BB$17)),MATCH($F295,$F$19:$F$24,0),MATCH(AS$17,$AK$17:$BB$17,0))*INDEX($10:$13,MATCH($O295,$R$10:$R$13,0),COLUMN())</f>
        <v>1.419584496E-3</v>
      </c>
      <c r="AT295" s="1050" cm="1">
        <f t="array" aca="1" ref="AT295" ca="1">INDEX(OFFSET($AK$19,MATCH($B295,$B$19:$B$150,0)-1,0,COUNTA($B$19:$B$24),COUNTA($AK$17:$BB$17)),MATCH($F295,$F$19:$F$24,0),MATCH(AT$17,$AK$17:$BB$17,0))*INDEX($10:$13,MATCH($O295,$R$10:$R$13,0),COLUMN())</f>
        <v>3.5825012581999998E-6</v>
      </c>
      <c r="AU295" s="1050" cm="1">
        <f t="array" aca="1" ref="AU295" ca="1">INDEX(OFFSET($AK$19,MATCH($B295,$B$19:$B$150,0)-1,0,COUNTA($B$19:$B$24),COUNTA($AK$17:$BB$17)),MATCH($F295,$F$19:$F$24,0),MATCH(AU$17,$AK$17:$BB$17,0))*INDEX($10:$13,MATCH($O295,$R$10:$R$13,0),COLUMN())</f>
        <v>7.0172939224E-7</v>
      </c>
      <c r="AV295" s="1050" cm="1">
        <f t="array" aca="1" ref="AV295" ca="1">INDEX(OFFSET($AK$19,MATCH($B295,$B$19:$B$150,0)-1,0,COUNTA($B$19:$B$24),COUNTA($AK$17:$BB$17)),MATCH($F295,$F$19:$F$24,0),MATCH(AV$17,$AK$17:$BB$17,0))*INDEX($10:$13,MATCH($O295,$R$10:$R$13,0),COLUMN())</f>
        <v>1.2829081672000001E-4</v>
      </c>
      <c r="AW295" s="1050" cm="1">
        <f t="array" aca="1" ref="AW295" ca="1">INDEX(OFFSET($AK$19,MATCH($B295,$B$19:$B$150,0)-1,0,COUNTA($B$19:$B$24),COUNTA($AK$17:$BB$17)),MATCH($F295,$F$19:$F$24,0),MATCH(AW$17,$AK$17:$BB$17,0))*INDEX($10:$13,MATCH($O295,$R$10:$R$13,0),COLUMN())</f>
        <v>0.10939615895000002</v>
      </c>
      <c r="AX295" s="1050" cm="1">
        <f t="array" aca="1" ref="AX295" ca="1">INDEX(OFFSET($AK$19,MATCH($B295,$B$19:$B$150,0)-1,0,COUNTA($B$19:$B$24),COUNTA($AK$17:$BB$17)),MATCH($F295,$F$19:$F$24,0),MATCH(AX$17,$AK$17:$BB$17,0))*INDEX($10:$13,MATCH($O295,$R$10:$R$13,0),COLUMN())</f>
        <v>3.361624968E-8</v>
      </c>
      <c r="AY295" s="1050" cm="1">
        <f t="array" aca="1" ref="AY295" ca="1">INDEX(OFFSET($AK$19,MATCH($B295,$B$19:$B$150,0)-1,0,COUNTA($B$19:$B$24),COUNTA($AK$17:$BB$17)),MATCH($F295,$F$19:$F$24,0),MATCH(AY$17,$AK$17:$BB$17,0))*INDEX($10:$13,MATCH($O295,$R$10:$R$13,0),COLUMN())</f>
        <v>0</v>
      </c>
      <c r="AZ295" s="1050" cm="1">
        <f t="array" aca="1" ref="AZ295" ca="1">INDEX(OFFSET($AK$19,MATCH($B295,$B$19:$B$150,0)-1,0,COUNTA($B$19:$B$24),COUNTA($AK$17:$BB$17)),MATCH($F295,$F$19:$F$24,0),MATCH(AZ$17,$AK$17:$BB$17,0))*INDEX($10:$13,MATCH($O295,$R$10:$R$13,0),COLUMN())</f>
        <v>0</v>
      </c>
      <c r="BA295" s="1050" cm="1">
        <f t="array" aca="1" ref="BA295" ca="1">INDEX(OFFSET($AK$19,MATCH($B295,$B$19:$B$150,0)-1,0,COUNTA($B$19:$B$24),COUNTA($AK$17:$BB$17)),MATCH($F295,$F$19:$F$24,0),MATCH(BA$17,$AK$17:$BB$17,0))*INDEX($10:$13,MATCH($O295,$R$10:$R$13,0),COLUMN())</f>
        <v>0</v>
      </c>
      <c r="BB295" s="1051" cm="1">
        <f t="array" aca="1" ref="BB295" ca="1">INDEX(OFFSET($AK$19,MATCH($B295,$B$19:$B$150,0)-1,0,COUNTA($B$19:$B$24),COUNTA($AK$17:$BB$17)),MATCH($F295,$F$19:$F$24,0),MATCH(BB$17,$AK$17:$BB$17,0))*INDEX($10:$13,MATCH($O295,$R$10:$R$13,0),COLUMN())</f>
        <v>0</v>
      </c>
      <c r="BC295" s="1053">
        <f t="shared" ca="1" si="165"/>
        <v>0.1093961925662497</v>
      </c>
      <c r="BE295" s="1"/>
      <c r="BF295" s="1"/>
      <c r="BG295" s="1"/>
      <c r="BH295" s="1"/>
      <c r="BI295" s="1"/>
      <c r="BJ295" s="1"/>
      <c r="BK295" s="1"/>
      <c r="BL295" s="1"/>
      <c r="BM295" s="1"/>
      <c r="BN295" s="1"/>
      <c r="BO295" s="1"/>
      <c r="BP295" s="1"/>
      <c r="BQ295" s="1"/>
      <c r="BR295" s="1"/>
      <c r="BS295" s="1"/>
      <c r="BT295" s="1"/>
      <c r="BU295" s="1"/>
      <c r="BV295" s="1"/>
      <c r="BW295" s="1"/>
      <c r="BX295" s="1"/>
      <c r="BY295" s="1"/>
      <c r="BZ295" s="1"/>
    </row>
    <row r="296" spans="2:78" ht="12" customHeight="1" outlineLevel="1" x14ac:dyDescent="0.25">
      <c r="B296" s="104" t="s">
        <v>97</v>
      </c>
      <c r="C296" s="104" t="s">
        <v>121</v>
      </c>
      <c r="D296" s="2" t="s">
        <v>132</v>
      </c>
      <c r="E296" s="2" t="s">
        <v>134</v>
      </c>
      <c r="F296" s="105" t="s">
        <v>96</v>
      </c>
      <c r="G296" s="27" t="s">
        <v>1582</v>
      </c>
      <c r="H296" s="106" t="s">
        <v>128</v>
      </c>
      <c r="I296" s="107" t="s">
        <v>1577</v>
      </c>
      <c r="J296" s="147">
        <v>4.0702721800000008</v>
      </c>
      <c r="K296" s="148">
        <v>0.46051038847432407</v>
      </c>
      <c r="L296" s="149">
        <f t="shared" ca="1" si="162"/>
        <v>0.47637173012151945</v>
      </c>
      <c r="M296" s="148">
        <f t="shared" ca="1" si="163"/>
        <v>0.67988451897077085</v>
      </c>
      <c r="N296" s="148">
        <f t="shared" ca="1" si="164"/>
        <v>0.2193741304964468</v>
      </c>
      <c r="O296" s="1062" t="s">
        <v>1583</v>
      </c>
      <c r="P296" s="104"/>
      <c r="R296" s="119"/>
      <c r="S296" s="1072"/>
      <c r="T296" s="1072"/>
      <c r="U296" s="1072"/>
      <c r="V296" s="1072"/>
      <c r="W296" s="1072"/>
      <c r="X296" s="1072"/>
      <c r="Y296" s="1072"/>
      <c r="Z296" s="1072"/>
      <c r="AA296" s="1072"/>
      <c r="AB296" s="1072"/>
      <c r="AC296" s="1072"/>
      <c r="AD296" s="1072"/>
      <c r="AE296" s="1072"/>
      <c r="AF296" s="1072"/>
      <c r="AG296" s="1072"/>
      <c r="AH296" s="1072"/>
      <c r="AI296" s="1072"/>
      <c r="AJ296" s="1073"/>
      <c r="AK296" s="1052" cm="1">
        <f t="array" aca="1" ref="AK296" ca="1">INDEX(OFFSET($AK$19,MATCH($B296,$B$19:$B$150,0)-1,0,COUNTA($B$19:$B$24),COUNTA($AK$17:$BB$17)),MATCH($F296,$F$19:$F$24,0),MATCH(AK$17,$AK$17:$BB$17,0))*INDEX($10:$13,MATCH($O296,$R$10:$R$13,0),COLUMN())</f>
        <v>3.7807171350000002E-2</v>
      </c>
      <c r="AL296" s="1050" cm="1">
        <f t="array" aca="1" ref="AL296" ca="1">INDEX(OFFSET($AK$19,MATCH($B296,$B$19:$B$150,0)-1,0,COUNTA($B$19:$B$24),COUNTA($AK$17:$BB$17)),MATCH($F296,$F$19:$F$24,0),MATCH(AL$17,$AK$17:$BB$17,0))*INDEX($10:$13,MATCH($O296,$R$10:$R$13,0),COLUMN())</f>
        <v>2.9258959711999995E-8</v>
      </c>
      <c r="AM296" s="1050" cm="1">
        <f t="array" aca="1" ref="AM296" ca="1">INDEX(OFFSET($AK$19,MATCH($B296,$B$19:$B$150,0)-1,0,COUNTA($B$19:$B$24),COUNTA($AK$17:$BB$17)),MATCH($F296,$F$19:$F$24,0),MATCH(AM$17,$AK$17:$BB$17,0))*INDEX($10:$13,MATCH($O296,$R$10:$R$13,0),COLUMN())</f>
        <v>5.42385401E-5</v>
      </c>
      <c r="AN296" s="1050" cm="1">
        <f t="array" aca="1" ref="AN296" ca="1">INDEX(OFFSET($AK$19,MATCH($B296,$B$19:$B$150,0)-1,0,COUNTA($B$19:$B$24),COUNTA($AK$17:$BB$17)),MATCH($F296,$F$19:$F$24,0),MATCH(AN$17,$AK$17:$BB$17,0))*INDEX($10:$13,MATCH($O296,$R$10:$R$13,0),COLUMN())</f>
        <v>6.5812095349999998E-4</v>
      </c>
      <c r="AO296" s="1050" cm="1">
        <f t="array" aca="1" ref="AO296" ca="1">INDEX(OFFSET($AK$19,MATCH($B296,$B$19:$B$150,0)-1,0,COUNTA($B$19:$B$24),COUNTA($AK$17:$BB$17)),MATCH($F296,$F$19:$F$24,0),MATCH(AO$17,$AK$17:$BB$17,0))*INDEX($10:$13,MATCH($O296,$R$10:$R$13,0),COLUMN())</f>
        <v>2.878968736E-2</v>
      </c>
      <c r="AP296" s="1050" cm="1">
        <f t="array" aca="1" ref="AP296" ca="1">INDEX(OFFSET($AK$19,MATCH($B296,$B$19:$B$150,0)-1,0,COUNTA($B$19:$B$24),COUNTA($AK$17:$BB$17)),MATCH($F296,$F$19:$F$24,0),MATCH(AP$17,$AK$17:$BB$17,0))*INDEX($10:$13,MATCH($O296,$R$10:$R$13,0),COLUMN())</f>
        <v>2.3674294811999997E-2</v>
      </c>
      <c r="AQ296" s="1050" cm="1">
        <f t="array" aca="1" ref="AQ296" ca="1">INDEX(OFFSET($AK$19,MATCH($B296,$B$19:$B$150,0)-1,0,COUNTA($B$19:$B$24),COUNTA($AK$17:$BB$17)),MATCH($F296,$F$19:$F$24,0),MATCH(AQ$17,$AK$17:$BB$17,0))*INDEX($10:$13,MATCH($O296,$R$10:$R$13,0),COLUMN())</f>
        <v>1.8336074184E-4</v>
      </c>
      <c r="AR296" s="1050" cm="1">
        <f t="array" aca="1" ref="AR296" ca="1">INDEX(OFFSET($AK$19,MATCH($B296,$B$19:$B$150,0)-1,0,COUNTA($B$19:$B$24),COUNTA($AK$17:$BB$17)),MATCH($F296,$F$19:$F$24,0),MATCH(AR$17,$AK$17:$BB$17,0))*INDEX($10:$13,MATCH($O296,$R$10:$R$13,0),COLUMN())</f>
        <v>1.5067559073000001E-2</v>
      </c>
      <c r="AS296" s="1050" cm="1">
        <f t="array" aca="1" ref="AS296" ca="1">INDEX(OFFSET($AK$19,MATCH($B296,$B$19:$B$150,0)-1,0,COUNTA($B$19:$B$24),COUNTA($AK$17:$BB$17)),MATCH($F296,$F$19:$F$24,0),MATCH(AS$17,$AK$17:$BB$17,0))*INDEX($10:$13,MATCH($O296,$R$10:$R$13,0),COLUMN())</f>
        <v>2.3724822748E-3</v>
      </c>
      <c r="AT296" s="1050" cm="1">
        <f t="array" aca="1" ref="AT296" ca="1">INDEX(OFFSET($AK$19,MATCH($B296,$B$19:$B$150,0)-1,0,COUNTA($B$19:$B$24),COUNTA($AK$17:$BB$17)),MATCH($F296,$F$19:$F$24,0),MATCH(AT$17,$AK$17:$BB$17,0))*INDEX($10:$13,MATCH($O296,$R$10:$R$13,0),COLUMN())</f>
        <v>4.0132442199999999E-6</v>
      </c>
      <c r="AU296" s="1050" cm="1">
        <f t="array" aca="1" ref="AU296" ca="1">INDEX(OFFSET($AK$19,MATCH($B296,$B$19:$B$150,0)-1,0,COUNTA($B$19:$B$24),COUNTA($AK$17:$BB$17)),MATCH($F296,$F$19:$F$24,0),MATCH(AU$17,$AK$17:$BB$17,0))*INDEX($10:$13,MATCH($O296,$R$10:$R$13,0),COLUMN())</f>
        <v>7.6324407740000005E-7</v>
      </c>
      <c r="AV296" s="1050" cm="1">
        <f t="array" aca="1" ref="AV296" ca="1">INDEX(OFFSET($AK$19,MATCH($B296,$B$19:$B$150,0)-1,0,COUNTA($B$19:$B$24),COUNTA($AK$17:$BB$17)),MATCH($F296,$F$19:$F$24,0),MATCH(AV$17,$AK$17:$BB$17,0))*INDEX($10:$13,MATCH($O296,$R$10:$R$13,0),COLUMN())</f>
        <v>1.3662170776999999E-3</v>
      </c>
      <c r="AW296" s="1050" cm="1">
        <f t="array" aca="1" ref="AW296" ca="1">INDEX(OFFSET($AK$19,MATCH($B296,$B$19:$B$150,0)-1,0,COUNTA($B$19:$B$24),COUNTA($AK$17:$BB$17)),MATCH($F296,$F$19:$F$24,0),MATCH(AW$17,$AK$17:$BB$17,0))*INDEX($10:$13,MATCH($O296,$R$10:$R$13,0),COLUMN())</f>
        <v>0.10939615895000002</v>
      </c>
      <c r="AX296" s="1050" cm="1">
        <f t="array" aca="1" ref="AX296" ca="1">INDEX(OFFSET($AK$19,MATCH($B296,$B$19:$B$150,0)-1,0,COUNTA($B$19:$B$24),COUNTA($AK$17:$BB$17)),MATCH($F296,$F$19:$F$24,0),MATCH(AX$17,$AK$17:$BB$17,0))*INDEX($10:$13,MATCH($O296,$R$10:$R$13,0),COLUMN())</f>
        <v>3.361624968E-8</v>
      </c>
      <c r="AY296" s="1050" cm="1">
        <f t="array" aca="1" ref="AY296" ca="1">INDEX(OFFSET($AK$19,MATCH($B296,$B$19:$B$150,0)-1,0,COUNTA($B$19:$B$24),COUNTA($AK$17:$BB$17)),MATCH($F296,$F$19:$F$24,0),MATCH(AY$17,$AK$17:$BB$17,0))*INDEX($10:$13,MATCH($O296,$R$10:$R$13,0),COLUMN())</f>
        <v>0</v>
      </c>
      <c r="AZ296" s="1050" cm="1">
        <f t="array" aca="1" ref="AZ296" ca="1">INDEX(OFFSET($AK$19,MATCH($B296,$B$19:$B$150,0)-1,0,COUNTA($B$19:$B$24),COUNTA($AK$17:$BB$17)),MATCH($F296,$F$19:$F$24,0),MATCH(AZ$17,$AK$17:$BB$17,0))*INDEX($10:$13,MATCH($O296,$R$10:$R$13,0),COLUMN())</f>
        <v>0</v>
      </c>
      <c r="BA296" s="1050" cm="1">
        <f t="array" aca="1" ref="BA296" ca="1">INDEX(OFFSET($AK$19,MATCH($B296,$B$19:$B$150,0)-1,0,COUNTA($B$19:$B$24),COUNTA($AK$17:$BB$17)),MATCH($F296,$F$19:$F$24,0),MATCH(BA$17,$AK$17:$BB$17,0))*INDEX($10:$13,MATCH($O296,$R$10:$R$13,0),COLUMN())</f>
        <v>0</v>
      </c>
      <c r="BB296" s="1051" cm="1">
        <f t="array" aca="1" ref="BB296" ca="1">INDEX(OFFSET($AK$19,MATCH($B296,$B$19:$B$150,0)-1,0,COUNTA($B$19:$B$24),COUNTA($AK$17:$BB$17)),MATCH($F296,$F$19:$F$24,0),MATCH(BB$17,$AK$17:$BB$17,0))*INDEX($10:$13,MATCH($O296,$R$10:$R$13,0),COLUMN())</f>
        <v>0</v>
      </c>
      <c r="BC296" s="1053">
        <f t="shared" ca="1" si="165"/>
        <v>0.1093961925662497</v>
      </c>
      <c r="BE296" s="1"/>
      <c r="BF296" s="1"/>
      <c r="BG296" s="1"/>
      <c r="BH296" s="1"/>
      <c r="BI296" s="1"/>
      <c r="BJ296" s="1"/>
      <c r="BK296" s="1"/>
      <c r="BL296" s="1"/>
      <c r="BM296" s="1"/>
      <c r="BN296" s="1"/>
      <c r="BO296" s="1"/>
      <c r="BP296" s="1"/>
      <c r="BQ296" s="1"/>
      <c r="BR296" s="1"/>
      <c r="BS296" s="1"/>
      <c r="BT296" s="1"/>
      <c r="BU296" s="1"/>
      <c r="BV296" s="1"/>
      <c r="BW296" s="1"/>
      <c r="BX296" s="1"/>
      <c r="BY296" s="1"/>
      <c r="BZ296" s="1"/>
    </row>
    <row r="297" spans="2:78" ht="12" customHeight="1" outlineLevel="1" x14ac:dyDescent="0.25">
      <c r="B297" s="88" t="s">
        <v>98</v>
      </c>
      <c r="C297" s="88" t="s">
        <v>121</v>
      </c>
      <c r="D297" s="89" t="s">
        <v>132</v>
      </c>
      <c r="E297" s="89" t="s">
        <v>98</v>
      </c>
      <c r="F297" s="90" t="s">
        <v>92</v>
      </c>
      <c r="G297" s="18" t="s">
        <v>126</v>
      </c>
      <c r="H297" s="91" t="s">
        <v>127</v>
      </c>
      <c r="I297" s="92" t="s">
        <v>127</v>
      </c>
      <c r="J297" s="142">
        <v>3.8217059399999997</v>
      </c>
      <c r="K297" s="143">
        <v>0.18564647389881783</v>
      </c>
      <c r="L297" s="144">
        <f t="shared" ca="1" si="162"/>
        <v>2.7740758249814026</v>
      </c>
      <c r="M297" s="143">
        <f t="shared" ca="1" si="163"/>
        <v>0.70064386913456933</v>
      </c>
      <c r="N297" s="143">
        <f t="shared" ca="1" si="164"/>
        <v>0.5149973952357515</v>
      </c>
      <c r="O297" s="1063" t="s">
        <v>1583</v>
      </c>
      <c r="P297" s="88"/>
      <c r="Q297" s="89"/>
      <c r="R297" s="150"/>
      <c r="S297" s="1070"/>
      <c r="T297" s="1070"/>
      <c r="U297" s="1070"/>
      <c r="V297" s="1070"/>
      <c r="W297" s="1070"/>
      <c r="X297" s="1070"/>
      <c r="Y297" s="1070"/>
      <c r="Z297" s="1070"/>
      <c r="AA297" s="1070"/>
      <c r="AB297" s="1070"/>
      <c r="AC297" s="1070"/>
      <c r="AD297" s="1070"/>
      <c r="AE297" s="1070"/>
      <c r="AF297" s="1070"/>
      <c r="AG297" s="1070"/>
      <c r="AH297" s="1070"/>
      <c r="AI297" s="1070"/>
      <c r="AJ297" s="1071"/>
      <c r="AK297" s="1048" cm="1">
        <f t="array" aca="1" ref="AK297" ca="1">INDEX(OFFSET($AK$19,MATCH($B297,$B$19:$B$150,0)-1,0,COUNTA($B$19:$B$24),COUNTA($AK$17:$BB$17)),MATCH($F297,$F$19:$F$24,0),MATCH(AK$17,$AK$17:$BB$17,0))*INDEX($10:$13,MATCH($O297,$R$10:$R$13,0),COLUMN())</f>
        <v>9.4496627550000004E-2</v>
      </c>
      <c r="AL297" s="1046" cm="1">
        <f t="array" aca="1" ref="AL297" ca="1">INDEX(OFFSET($AK$19,MATCH($B297,$B$19:$B$150,0)-1,0,COUNTA($B$19:$B$24),COUNTA($AK$17:$BB$17)),MATCH($F297,$F$19:$F$24,0),MATCH(AL$17,$AK$17:$BB$17,0))*INDEX($10:$13,MATCH($O297,$R$10:$R$13,0),COLUMN())</f>
        <v>7.6104545599999993E-8</v>
      </c>
      <c r="AM297" s="1046" cm="1">
        <f t="array" aca="1" ref="AM297" ca="1">INDEX(OFFSET($AK$19,MATCH($B297,$B$19:$B$150,0)-1,0,COUNTA($B$19:$B$24),COUNTA($AK$17:$BB$17)),MATCH($F297,$F$19:$F$24,0),MATCH(AM$17,$AK$17:$BB$17,0))*INDEX($10:$13,MATCH($O297,$R$10:$R$13,0),COLUMN())</f>
        <v>1.4382685063000001E-4</v>
      </c>
      <c r="AN297" s="1046" cm="1">
        <f t="array" aca="1" ref="AN297" ca="1">INDEX(OFFSET($AK$19,MATCH($B297,$B$19:$B$150,0)-1,0,COUNTA($B$19:$B$24),COUNTA($AK$17:$BB$17)),MATCH($F297,$F$19:$F$24,0),MATCH(AN$17,$AK$17:$BB$17,0))*INDEX($10:$13,MATCH($O297,$R$10:$R$13,0),COLUMN())</f>
        <v>9.1610007399999991E-4</v>
      </c>
      <c r="AO297" s="1046" cm="1">
        <f t="array" aca="1" ref="AO297" ca="1">INDEX(OFFSET($AK$19,MATCH($B297,$B$19:$B$150,0)-1,0,COUNTA($B$19:$B$24),COUNTA($AK$17:$BB$17)),MATCH($F297,$F$19:$F$24,0),MATCH(AO$17,$AK$17:$BB$17,0))*INDEX($10:$13,MATCH($O297,$R$10:$R$13,0),COLUMN())</f>
        <v>4.948717368000001E-2</v>
      </c>
      <c r="AP297" s="1046" cm="1">
        <f t="array" aca="1" ref="AP297" ca="1">INDEX(OFFSET($AK$19,MATCH($B297,$B$19:$B$150,0)-1,0,COUNTA($B$19:$B$24),COUNTA($AK$17:$BB$17)),MATCH($F297,$F$19:$F$24,0),MATCH(AP$17,$AK$17:$BB$17,0))*INDEX($10:$13,MATCH($O297,$R$10:$R$13,0),COLUMN())</f>
        <v>4.1812963863999998E-2</v>
      </c>
      <c r="AQ297" s="1046" cm="1">
        <f t="array" aca="1" ref="AQ297" ca="1">INDEX(OFFSET($AK$19,MATCH($B297,$B$19:$B$150,0)-1,0,COUNTA($B$19:$B$24),COUNTA($AK$17:$BB$17)),MATCH($F297,$F$19:$F$24,0),MATCH(AQ$17,$AK$17:$BB$17,0))*INDEX($10:$13,MATCH($O297,$R$10:$R$13,0),COLUMN())</f>
        <v>3.2791033680000005E-4</v>
      </c>
      <c r="AR297" s="1046" cm="1">
        <f t="array" aca="1" ref="AR297" ca="1">INDEX(OFFSET($AK$19,MATCH($B297,$B$19:$B$150,0)-1,0,COUNTA($B$19:$B$24),COUNTA($AK$17:$BB$17)),MATCH($F297,$F$19:$F$24,0),MATCH(AR$17,$AK$17:$BB$17,0))*INDEX($10:$13,MATCH($O297,$R$10:$R$13,0),COLUMN())</f>
        <v>2.7830454200999999E-2</v>
      </c>
      <c r="AS297" s="1046" cm="1">
        <f t="array" aca="1" ref="AS297" ca="1">INDEX(OFFSET($AK$19,MATCH($B297,$B$19:$B$150,0)-1,0,COUNTA($B$19:$B$24),COUNTA($AK$17:$BB$17)),MATCH($F297,$F$19:$F$24,0),MATCH(AS$17,$AK$17:$BB$17,0))*INDEX($10:$13,MATCH($O297,$R$10:$R$13,0),COLUMN())</f>
        <v>0.13159699761999999</v>
      </c>
      <c r="AT297" s="1046" cm="1">
        <f t="array" aca="1" ref="AT297" ca="1">INDEX(OFFSET($AK$19,MATCH($B297,$B$19:$B$150,0)-1,0,COUNTA($B$19:$B$24),COUNTA($AK$17:$BB$17)),MATCH($F297,$F$19:$F$24,0),MATCH(AT$17,$AK$17:$BB$17,0))*INDEX($10:$13,MATCH($O297,$R$10:$R$13,0),COLUMN())</f>
        <v>1.4732909263000002E-4</v>
      </c>
      <c r="AU297" s="1046" cm="1">
        <f t="array" aca="1" ref="AU297" ca="1">INDEX(OFFSET($AK$19,MATCH($B297,$B$19:$B$150,0)-1,0,COUNTA($B$19:$B$24),COUNTA($AK$17:$BB$17)),MATCH($F297,$F$19:$F$24,0),MATCH(AU$17,$AK$17:$BB$17,0))*INDEX($10:$13,MATCH($O297,$R$10:$R$13,0),COLUMN())</f>
        <v>8.4467426569999992E-6</v>
      </c>
      <c r="AV297" s="1046" cm="1">
        <f t="array" aca="1" ref="AV297" ca="1">INDEX(OFFSET($AK$19,MATCH($B297,$B$19:$B$150,0)-1,0,COUNTA($B$19:$B$24),COUNTA($AK$17:$BB$17)),MATCH($F297,$F$19:$F$24,0),MATCH(AV$17,$AK$17:$BB$17,0))*INDEX($10:$13,MATCH($O297,$R$10:$R$13,0),COLUMN())</f>
        <v>7.2182230069999988E-3</v>
      </c>
      <c r="AW297" s="1046" cm="1">
        <f t="array" aca="1" ref="AW297" ca="1">INDEX(OFFSET($AK$19,MATCH($B297,$B$19:$B$150,0)-1,0,COUNTA($B$19:$B$24),COUNTA($AK$17:$BB$17)),MATCH($F297,$F$19:$F$24,0),MATCH(AW$17,$AK$17:$BB$17,0))*INDEX($10:$13,MATCH($O297,$R$10:$R$13,0),COLUMN())</f>
        <v>0.16101103200000003</v>
      </c>
      <c r="AX297" s="1046" cm="1">
        <f t="array" aca="1" ref="AX297" ca="1">INDEX(OFFSET($AK$19,MATCH($B297,$B$19:$B$150,0)-1,0,COUNTA($B$19:$B$24),COUNTA($AK$17:$BB$17)),MATCH($F297,$F$19:$F$24,0),MATCH(AX$17,$AK$17:$BB$17,0))*INDEX($10:$13,MATCH($O297,$R$10:$R$13,0),COLUMN())</f>
        <v>2.3411248900000003E-7</v>
      </c>
      <c r="AY297" s="1046" cm="1">
        <f t="array" aca="1" ref="AY297" ca="1">INDEX(OFFSET($AK$19,MATCH($B297,$B$19:$B$150,0)-1,0,COUNTA($B$19:$B$24),COUNTA($AK$17:$BB$17)),MATCH($F297,$F$19:$F$24,0),MATCH(AY$17,$AK$17:$BB$17,0))*INDEX($10:$13,MATCH($O297,$R$10:$R$13,0),COLUMN())</f>
        <v>0</v>
      </c>
      <c r="AZ297" s="1046" cm="1">
        <f t="array" aca="1" ref="AZ297" ca="1">INDEX(OFFSET($AK$19,MATCH($B297,$B$19:$B$150,0)-1,0,COUNTA($B$19:$B$24),COUNTA($AK$17:$BB$17)),MATCH($F297,$F$19:$F$24,0),MATCH(AZ$17,$AK$17:$BB$17,0))*INDEX($10:$13,MATCH($O297,$R$10:$R$13,0),COLUMN())</f>
        <v>0</v>
      </c>
      <c r="BA297" s="1046" cm="1">
        <f t="array" aca="1" ref="BA297" ca="1">INDEX(OFFSET($AK$19,MATCH($B297,$B$19:$B$150,0)-1,0,COUNTA($B$19:$B$24),COUNTA($AK$17:$BB$17)),MATCH($F297,$F$19:$F$24,0),MATCH(BA$17,$AK$17:$BB$17,0))*INDEX($10:$13,MATCH($O297,$R$10:$R$13,0),COLUMN())</f>
        <v>0</v>
      </c>
      <c r="BB297" s="1047" cm="1">
        <f t="array" aca="1" ref="BB297" ca="1">INDEX(OFFSET($AK$19,MATCH($B297,$B$19:$B$150,0)-1,0,COUNTA($B$19:$B$24),COUNTA($AK$17:$BB$17)),MATCH($F297,$F$19:$F$24,0),MATCH(BB$17,$AK$17:$BB$17,0))*INDEX($10:$13,MATCH($O297,$R$10:$R$13,0),COLUMN())</f>
        <v>0</v>
      </c>
      <c r="BC297" s="1049">
        <f t="shared" ca="1" si="165"/>
        <v>0.16101126611248903</v>
      </c>
      <c r="BE297" s="1"/>
      <c r="BF297" s="1"/>
      <c r="BG297" s="1"/>
      <c r="BH297" s="1"/>
      <c r="BI297" s="1"/>
      <c r="BJ297" s="1"/>
      <c r="BK297" s="1"/>
      <c r="BL297" s="1"/>
      <c r="BM297" s="1"/>
      <c r="BN297" s="1"/>
      <c r="BO297" s="1"/>
      <c r="BP297" s="1"/>
      <c r="BQ297" s="1"/>
      <c r="BR297" s="1"/>
      <c r="BS297" s="1"/>
      <c r="BT297" s="1"/>
      <c r="BU297" s="1"/>
      <c r="BV297" s="1"/>
      <c r="BW297" s="1"/>
      <c r="BX297" s="1"/>
      <c r="BY297" s="1"/>
      <c r="BZ297" s="1"/>
    </row>
    <row r="298" spans="2:78" ht="12" customHeight="1" outlineLevel="1" x14ac:dyDescent="0.25">
      <c r="B298" s="104" t="s">
        <v>98</v>
      </c>
      <c r="C298" s="104" t="s">
        <v>121</v>
      </c>
      <c r="D298" s="2" t="s">
        <v>132</v>
      </c>
      <c r="E298" s="2" t="s">
        <v>98</v>
      </c>
      <c r="F298" s="105" t="s">
        <v>122</v>
      </c>
      <c r="G298" s="27" t="s">
        <v>1579</v>
      </c>
      <c r="H298" s="106" t="s">
        <v>128</v>
      </c>
      <c r="I298" s="107" t="s">
        <v>129</v>
      </c>
      <c r="J298" s="147">
        <v>3.8217059399999997</v>
      </c>
      <c r="K298" s="148">
        <v>0.37645999999999996</v>
      </c>
      <c r="L298" s="149">
        <f t="shared" ca="1" si="162"/>
        <v>0.61027268974471927</v>
      </c>
      <c r="M298" s="148">
        <f t="shared" ca="1" si="163"/>
        <v>0.60620325678129694</v>
      </c>
      <c r="N298" s="148">
        <f t="shared" ca="1" si="164"/>
        <v>0.22974325678129701</v>
      </c>
      <c r="O298" s="1062" t="s">
        <v>1583</v>
      </c>
      <c r="P298" s="104"/>
      <c r="R298" s="119"/>
      <c r="S298" s="1072"/>
      <c r="T298" s="1072"/>
      <c r="U298" s="1072"/>
      <c r="V298" s="1072"/>
      <c r="W298" s="1072"/>
      <c r="X298" s="1072"/>
      <c r="Y298" s="1072"/>
      <c r="Z298" s="1072"/>
      <c r="AA298" s="1072"/>
      <c r="AB298" s="1072"/>
      <c r="AC298" s="1072"/>
      <c r="AD298" s="1072"/>
      <c r="AE298" s="1072"/>
      <c r="AF298" s="1072"/>
      <c r="AG298" s="1072"/>
      <c r="AH298" s="1072"/>
      <c r="AI298" s="1072"/>
      <c r="AJ298" s="1073"/>
      <c r="AK298" s="1052" cm="1">
        <f t="array" aca="1" ref="AK298" ca="1">INDEX(OFFSET($AK$19,MATCH($B298,$B$19:$B$150,0)-1,0,COUNTA($B$19:$B$24),COUNTA($AK$17:$BB$17)),MATCH($F298,$F$19:$F$24,0),MATCH(AK$17,$AK$17:$BB$17,0))*INDEX($10:$13,MATCH($O298,$R$10:$R$13,0),COLUMN())</f>
        <v>3.4835039850000006E-2</v>
      </c>
      <c r="AL298" s="1050" cm="1">
        <f t="array" aca="1" ref="AL298" ca="1">INDEX(OFFSET($AK$19,MATCH($B298,$B$19:$B$150,0)-1,0,COUNTA($B$19:$B$24),COUNTA($AK$17:$BB$17)),MATCH($F298,$F$19:$F$24,0),MATCH(AL$17,$AK$17:$BB$17,0))*INDEX($10:$13,MATCH($O298,$R$10:$R$13,0),COLUMN())</f>
        <v>4.1467916479999996E-8</v>
      </c>
      <c r="AM298" s="1050" cm="1">
        <f t="array" aca="1" ref="AM298" ca="1">INDEX(OFFSET($AK$19,MATCH($B298,$B$19:$B$150,0)-1,0,COUNTA($B$19:$B$24),COUNTA($AK$17:$BB$17)),MATCH($F298,$F$19:$F$24,0),MATCH(AM$17,$AK$17:$BB$17,0))*INDEX($10:$13,MATCH($O298,$R$10:$R$13,0),COLUMN())</f>
        <v>7.6874336210000009E-5</v>
      </c>
      <c r="AN298" s="1050" cm="1">
        <f t="array" aca="1" ref="AN298" ca="1">INDEX(OFFSET($AK$19,MATCH($B298,$B$19:$B$150,0)-1,0,COUNTA($B$19:$B$24),COUNTA($AK$17:$BB$17)),MATCH($F298,$F$19:$F$24,0),MATCH(AN$17,$AK$17:$BB$17,0))*INDEX($10:$13,MATCH($O298,$R$10:$R$13,0),COLUMN())</f>
        <v>8.5697214549999986E-4</v>
      </c>
      <c r="AO298" s="1050" cm="1">
        <f t="array" aca="1" ref="AO298" ca="1">INDEX(OFFSET($AK$19,MATCH($B298,$B$19:$B$150,0)-1,0,COUNTA($B$19:$B$24),COUNTA($AK$17:$BB$17)),MATCH($F298,$F$19:$F$24,0),MATCH(AO$17,$AK$17:$BB$17,0))*INDEX($10:$13,MATCH($O298,$R$10:$R$13,0),COLUMN())</f>
        <v>1.296966104E-2</v>
      </c>
      <c r="AP298" s="1050" cm="1">
        <f t="array" aca="1" ref="AP298" ca="1">INDEX(OFFSET($AK$19,MATCH($B298,$B$19:$B$150,0)-1,0,COUNTA($B$19:$B$24),COUNTA($AK$17:$BB$17)),MATCH($F298,$F$19:$F$24,0),MATCH(AP$17,$AK$17:$BB$17,0))*INDEX($10:$13,MATCH($O298,$R$10:$R$13,0),COLUMN())</f>
        <v>6.9076340200000001E-3</v>
      </c>
      <c r="AQ298" s="1050" cm="1">
        <f t="array" aca="1" ref="AQ298" ca="1">INDEX(OFFSET($AK$19,MATCH($B298,$B$19:$B$150,0)-1,0,COUNTA($B$19:$B$24),COUNTA($AK$17:$BB$17)),MATCH($F298,$F$19:$F$24,0),MATCH(AQ$17,$AK$17:$BB$17,0))*INDEX($10:$13,MATCH($O298,$R$10:$R$13,0),COLUMN())</f>
        <v>4.5464318520000005E-5</v>
      </c>
      <c r="AR298" s="1050" cm="1">
        <f t="array" aca="1" ref="AR298" ca="1">INDEX(OFFSET($AK$19,MATCH($B298,$B$19:$B$150,0)-1,0,COUNTA($B$19:$B$24),COUNTA($AK$17:$BB$17)),MATCH($F298,$F$19:$F$24,0),MATCH(AR$17,$AK$17:$BB$17,0))*INDEX($10:$13,MATCH($O298,$R$10:$R$13,0),COLUMN())</f>
        <v>8.7505749669999997E-3</v>
      </c>
      <c r="AS298" s="1050" cm="1">
        <f t="array" aca="1" ref="AS298" ca="1">INDEX(OFFSET($AK$19,MATCH($B298,$B$19:$B$150,0)-1,0,COUNTA($B$19:$B$24),COUNTA($AK$17:$BB$17)),MATCH($F298,$F$19:$F$24,0),MATCH(AS$17,$AK$17:$BB$17,0))*INDEX($10:$13,MATCH($O298,$R$10:$R$13,0),COLUMN())</f>
        <v>1.0123116563999999E-4</v>
      </c>
      <c r="AT298" s="1050" cm="1">
        <f t="array" aca="1" ref="AT298" ca="1">INDEX(OFFSET($AK$19,MATCH($B298,$B$19:$B$150,0)-1,0,COUNTA($B$19:$B$24),COUNTA($AK$17:$BB$17)),MATCH($F298,$F$19:$F$24,0),MATCH(AT$17,$AK$17:$BB$17,0))*INDEX($10:$13,MATCH($O298,$R$10:$R$13,0),COLUMN())</f>
        <v>3.8738296300000002E-6</v>
      </c>
      <c r="AU298" s="1050" cm="1">
        <f t="array" aca="1" ref="AU298" ca="1">INDEX(OFFSET($AK$19,MATCH($B298,$B$19:$B$150,0)-1,0,COUNTA($B$19:$B$24),COUNTA($AK$17:$BB$17)),MATCH($F298,$F$19:$F$24,0),MATCH(AU$17,$AK$17:$BB$17,0))*INDEX($10:$13,MATCH($O298,$R$10:$R$13,0),COLUMN())</f>
        <v>8.2157039140000004E-7</v>
      </c>
      <c r="AV298" s="1050" cm="1">
        <f t="array" aca="1" ref="AV298" ca="1">INDEX(OFFSET($AK$19,MATCH($B298,$B$19:$B$150,0)-1,0,COUNTA($B$19:$B$24),COUNTA($AK$17:$BB$17)),MATCH($F298,$F$19:$F$24,0),MATCH(AV$17,$AK$17:$BB$17,0))*INDEX($10:$13,MATCH($O298,$R$10:$R$13,0),COLUMN())</f>
        <v>7.1805987009999992E-4</v>
      </c>
      <c r="AW298" s="1050" cm="1">
        <f t="array" aca="1" ref="AW298" ca="1">INDEX(OFFSET($AK$19,MATCH($B298,$B$19:$B$150,0)-1,0,COUNTA($B$19:$B$24),COUNTA($AK$17:$BB$17)),MATCH($F298,$F$19:$F$24,0),MATCH(AW$17,$AK$17:$BB$17,0))*INDEX($10:$13,MATCH($O298,$R$10:$R$13,0),COLUMN())</f>
        <v>0.16447696005000001</v>
      </c>
      <c r="AX298" s="1050" cm="1">
        <f t="array" aca="1" ref="AX298" ca="1">INDEX(OFFSET($AK$19,MATCH($B298,$B$19:$B$150,0)-1,0,COUNTA($B$19:$B$24),COUNTA($AK$17:$BB$17)),MATCH($F298,$F$19:$F$24,0),MATCH(AX$17,$AK$17:$BB$17,0))*INDEX($10:$13,MATCH($O298,$R$10:$R$13,0),COLUMN())</f>
        <v>4.815038910500001E-8</v>
      </c>
      <c r="AY298" s="1050" cm="1">
        <f t="array" aca="1" ref="AY298" ca="1">INDEX(OFFSET($AK$19,MATCH($B298,$B$19:$B$150,0)-1,0,COUNTA($B$19:$B$24),COUNTA($AK$17:$BB$17)),MATCH($F298,$F$19:$F$24,0),MATCH(AY$17,$AK$17:$BB$17,0))*INDEX($10:$13,MATCH($O298,$R$10:$R$13,0),COLUMN())</f>
        <v>0</v>
      </c>
      <c r="AZ298" s="1050" cm="1">
        <f t="array" aca="1" ref="AZ298" ca="1">INDEX(OFFSET($AK$19,MATCH($B298,$B$19:$B$150,0)-1,0,COUNTA($B$19:$B$24),COUNTA($AK$17:$BB$17)),MATCH($F298,$F$19:$F$24,0),MATCH(AZ$17,$AK$17:$BB$17,0))*INDEX($10:$13,MATCH($O298,$R$10:$R$13,0),COLUMN())</f>
        <v>0</v>
      </c>
      <c r="BA298" s="1050" cm="1">
        <f t="array" aca="1" ref="BA298" ca="1">INDEX(OFFSET($AK$19,MATCH($B298,$B$19:$B$150,0)-1,0,COUNTA($B$19:$B$24),COUNTA($AK$17:$BB$17)),MATCH($F298,$F$19:$F$24,0),MATCH(BA$17,$AK$17:$BB$17,0))*INDEX($10:$13,MATCH($O298,$R$10:$R$13,0),COLUMN())</f>
        <v>0</v>
      </c>
      <c r="BB298" s="1051" cm="1">
        <f t="array" aca="1" ref="BB298" ca="1">INDEX(OFFSET($AK$19,MATCH($B298,$B$19:$B$150,0)-1,0,COUNTA($B$19:$B$24),COUNTA($AK$17:$BB$17)),MATCH($F298,$F$19:$F$24,0),MATCH(BB$17,$AK$17:$BB$17,0))*INDEX($10:$13,MATCH($O298,$R$10:$R$13,0),COLUMN())</f>
        <v>0</v>
      </c>
      <c r="BC298" s="1053">
        <f t="shared" ca="1" si="165"/>
        <v>0.1644770082003891</v>
      </c>
      <c r="BE298" s="1"/>
      <c r="BF298" s="1"/>
      <c r="BG298" s="1"/>
      <c r="BH298" s="1"/>
      <c r="BI298" s="1"/>
      <c r="BJ298" s="1"/>
      <c r="BK298" s="1"/>
      <c r="BL298" s="1"/>
      <c r="BM298" s="1"/>
      <c r="BN298" s="1"/>
      <c r="BO298" s="1"/>
      <c r="BP298" s="1"/>
      <c r="BQ298" s="1"/>
      <c r="BR298" s="1"/>
      <c r="BS298" s="1"/>
      <c r="BT298" s="1"/>
      <c r="BU298" s="1"/>
      <c r="BV298" s="1"/>
      <c r="BW298" s="1"/>
      <c r="BX298" s="1"/>
      <c r="BY298" s="1"/>
      <c r="BZ298" s="1"/>
    </row>
    <row r="299" spans="2:78" ht="12" customHeight="1" outlineLevel="1" x14ac:dyDescent="0.25">
      <c r="B299" s="104" t="s">
        <v>98</v>
      </c>
      <c r="C299" s="104" t="s">
        <v>121</v>
      </c>
      <c r="D299" s="2" t="s">
        <v>132</v>
      </c>
      <c r="E299" s="2" t="s">
        <v>98</v>
      </c>
      <c r="F299" s="105" t="s">
        <v>93</v>
      </c>
      <c r="G299" s="27" t="s">
        <v>1578</v>
      </c>
      <c r="H299" s="106" t="s">
        <v>130</v>
      </c>
      <c r="I299" s="107" t="s">
        <v>129</v>
      </c>
      <c r="J299" s="147">
        <v>3.8217059399999997</v>
      </c>
      <c r="K299" s="148">
        <v>0.37645999999999996</v>
      </c>
      <c r="L299" s="149">
        <f t="shared" ca="1" si="162"/>
        <v>0.64975496814813261</v>
      </c>
      <c r="M299" s="148">
        <f t="shared" ca="1" si="163"/>
        <v>0.62106675530904598</v>
      </c>
      <c r="N299" s="148">
        <f t="shared" ca="1" si="164"/>
        <v>0.24460675530904599</v>
      </c>
      <c r="O299" s="1062" t="s">
        <v>1583</v>
      </c>
      <c r="P299" s="104"/>
      <c r="R299" s="119"/>
      <c r="S299" s="1072"/>
      <c r="T299" s="1072"/>
      <c r="U299" s="1072"/>
      <c r="V299" s="1072"/>
      <c r="W299" s="1072"/>
      <c r="X299" s="1072"/>
      <c r="Y299" s="1072"/>
      <c r="Z299" s="1072"/>
      <c r="AA299" s="1072"/>
      <c r="AB299" s="1072"/>
      <c r="AC299" s="1072"/>
      <c r="AD299" s="1072"/>
      <c r="AE299" s="1072"/>
      <c r="AF299" s="1072"/>
      <c r="AG299" s="1072"/>
      <c r="AH299" s="1072"/>
      <c r="AI299" s="1072"/>
      <c r="AJ299" s="1073"/>
      <c r="AK299" s="1052" cm="1">
        <f t="array" aca="1" ref="AK299" ca="1">INDEX(OFFSET($AK$19,MATCH($B299,$B$19:$B$150,0)-1,0,COUNTA($B$19:$B$24),COUNTA($AK$17:$BB$17)),MATCH($F299,$F$19:$F$24,0),MATCH(AK$17,$AK$17:$BB$17,0))*INDEX($10:$13,MATCH($O299,$R$10:$R$13,0),COLUMN())</f>
        <v>3.7081675799999998E-2</v>
      </c>
      <c r="AL299" s="1050" cm="1">
        <f t="array" aca="1" ref="AL299" ca="1">INDEX(OFFSET($AK$19,MATCH($B299,$B$19:$B$150,0)-1,0,COUNTA($B$19:$B$24),COUNTA($AK$17:$BB$17)),MATCH($F299,$F$19:$F$24,0),MATCH(AL$17,$AK$17:$BB$17,0))*INDEX($10:$13,MATCH($O299,$R$10:$R$13,0),COLUMN())</f>
        <v>4.414232912E-8</v>
      </c>
      <c r="AM299" s="1050" cm="1">
        <f t="array" aca="1" ref="AM299" ca="1">INDEX(OFFSET($AK$19,MATCH($B299,$B$19:$B$150,0)-1,0,COUNTA($B$19:$B$24),COUNTA($AK$17:$BB$17)),MATCH($F299,$F$19:$F$24,0),MATCH(AM$17,$AK$17:$BB$17,0))*INDEX($10:$13,MATCH($O299,$R$10:$R$13,0),COLUMN())</f>
        <v>8.1832234470000001E-5</v>
      </c>
      <c r="AN299" s="1050" cm="1">
        <f t="array" aca="1" ref="AN299" ca="1">INDEX(OFFSET($AK$19,MATCH($B299,$B$19:$B$150,0)-1,0,COUNTA($B$19:$B$24),COUNTA($AK$17:$BB$17)),MATCH($F299,$F$19:$F$24,0),MATCH(AN$17,$AK$17:$BB$17,0))*INDEX($10:$13,MATCH($O299,$R$10:$R$13,0),COLUMN())</f>
        <v>9.1224130649999991E-4</v>
      </c>
      <c r="AO299" s="1050" cm="1">
        <f t="array" aca="1" ref="AO299" ca="1">INDEX(OFFSET($AK$19,MATCH($B299,$B$19:$B$150,0)-1,0,COUNTA($B$19:$B$24),COUNTA($AK$17:$BB$17)),MATCH($F299,$F$19:$F$24,0),MATCH(AO$17,$AK$17:$BB$17,0))*INDEX($10:$13,MATCH($O299,$R$10:$R$13,0),COLUMN())</f>
        <v>1.380612044E-2</v>
      </c>
      <c r="AP299" s="1050" cm="1">
        <f t="array" aca="1" ref="AP299" ca="1">INDEX(OFFSET($AK$19,MATCH($B299,$B$19:$B$150,0)-1,0,COUNTA($B$19:$B$24),COUNTA($AK$17:$BB$17)),MATCH($F299,$F$19:$F$24,0),MATCH(AP$17,$AK$17:$BB$17,0))*INDEX($10:$13,MATCH($O299,$R$10:$R$13,0),COLUMN())</f>
        <v>7.3531318979999996E-3</v>
      </c>
      <c r="AQ299" s="1050" cm="1">
        <f t="array" aca="1" ref="AQ299" ca="1">INDEX(OFFSET($AK$19,MATCH($B299,$B$19:$B$150,0)-1,0,COUNTA($B$19:$B$24),COUNTA($AK$17:$BB$17)),MATCH($F299,$F$19:$F$24,0),MATCH(AQ$17,$AK$17:$BB$17,0))*INDEX($10:$13,MATCH($O299,$R$10:$R$13,0),COLUMN())</f>
        <v>4.8396472740000001E-5</v>
      </c>
      <c r="AR299" s="1050" cm="1">
        <f t="array" aca="1" ref="AR299" ca="1">INDEX(OFFSET($AK$19,MATCH($B299,$B$19:$B$150,0)-1,0,COUNTA($B$19:$B$24),COUNTA($AK$17:$BB$17)),MATCH($F299,$F$19:$F$24,0),MATCH(AR$17,$AK$17:$BB$17,0))*INDEX($10:$13,MATCH($O299,$R$10:$R$13,0),COLUMN())</f>
        <v>9.3149304950000001E-3</v>
      </c>
      <c r="AS299" s="1050" cm="1">
        <f t="array" aca="1" ref="AS299" ca="1">INDEX(OFFSET($AK$19,MATCH($B299,$B$19:$B$150,0)-1,0,COUNTA($B$19:$B$24),COUNTA($AK$17:$BB$17)),MATCH($F299,$F$19:$F$24,0),MATCH(AS$17,$AK$17:$BB$17,0))*INDEX($10:$13,MATCH($O299,$R$10:$R$13,0),COLUMN())</f>
        <v>1.2363023156E-4</v>
      </c>
      <c r="AT299" s="1050" cm="1">
        <f t="array" aca="1" ref="AT299" ca="1">INDEX(OFFSET($AK$19,MATCH($B299,$B$19:$B$150,0)-1,0,COUNTA($B$19:$B$24),COUNTA($AK$17:$BB$17)),MATCH($F299,$F$19:$F$24,0),MATCH(AT$17,$AK$17:$BB$17,0))*INDEX($10:$13,MATCH($O299,$R$10:$R$13,0),COLUMN())</f>
        <v>4.1292082500000003E-6</v>
      </c>
      <c r="AU299" s="1050" cm="1">
        <f t="array" aca="1" ref="AU299" ca="1">INDEX(OFFSET($AK$19,MATCH($B299,$B$19:$B$150,0)-1,0,COUNTA($B$19:$B$24),COUNTA($AK$17:$BB$17)),MATCH($F299,$F$19:$F$24,0),MATCH(AU$17,$AK$17:$BB$17,0))*INDEX($10:$13,MATCH($O299,$R$10:$R$13,0),COLUMN())</f>
        <v>8.7515542919999994E-7</v>
      </c>
      <c r="AV299" s="1050" cm="1">
        <f t="array" aca="1" ref="AV299" ca="1">INDEX(OFFSET($AK$19,MATCH($B299,$B$19:$B$150,0)-1,0,COUNTA($B$19:$B$24),COUNTA($AK$17:$BB$17)),MATCH($F299,$F$19:$F$24,0),MATCH(AV$17,$AK$17:$BB$17,0))*INDEX($10:$13,MATCH($O299,$R$10:$R$13,0),COLUMN())</f>
        <v>7.9503756899000004E-4</v>
      </c>
      <c r="AW299" s="1050" cm="1">
        <f t="array" aca="1" ref="AW299" ca="1">INDEX(OFFSET($AK$19,MATCH($B299,$B$19:$B$150,0)-1,0,COUNTA($B$19:$B$24),COUNTA($AK$17:$BB$17)),MATCH($F299,$F$19:$F$24,0),MATCH(AW$17,$AK$17:$BB$17,0))*INDEX($10:$13,MATCH($O299,$R$10:$R$13,0),COLUMN())</f>
        <v>0.17508465910000004</v>
      </c>
      <c r="AX299" s="1050" cm="1">
        <f t="array" aca="1" ref="AX299" ca="1">INDEX(OFFSET($AK$19,MATCH($B299,$B$19:$B$150,0)-1,0,COUNTA($B$19:$B$24),COUNTA($AK$17:$BB$17)),MATCH($F299,$F$19:$F$24,0),MATCH(AX$17,$AK$17:$BB$17,0))*INDEX($10:$13,MATCH($O299,$R$10:$R$13,0),COLUMN())</f>
        <v>5.1255777625000006E-8</v>
      </c>
      <c r="AY299" s="1050" cm="1">
        <f t="array" aca="1" ref="AY299" ca="1">INDEX(OFFSET($AK$19,MATCH($B299,$B$19:$B$150,0)-1,0,COUNTA($B$19:$B$24),COUNTA($AK$17:$BB$17)),MATCH($F299,$F$19:$F$24,0),MATCH(AY$17,$AK$17:$BB$17,0))*INDEX($10:$13,MATCH($O299,$R$10:$R$13,0),COLUMN())</f>
        <v>0</v>
      </c>
      <c r="AZ299" s="1050" cm="1">
        <f t="array" aca="1" ref="AZ299" ca="1">INDEX(OFFSET($AK$19,MATCH($B299,$B$19:$B$150,0)-1,0,COUNTA($B$19:$B$24),COUNTA($AK$17:$BB$17)),MATCH($F299,$F$19:$F$24,0),MATCH(AZ$17,$AK$17:$BB$17,0))*INDEX($10:$13,MATCH($O299,$R$10:$R$13,0),COLUMN())</f>
        <v>0</v>
      </c>
      <c r="BA299" s="1050" cm="1">
        <f t="array" aca="1" ref="BA299" ca="1">INDEX(OFFSET($AK$19,MATCH($B299,$B$19:$B$150,0)-1,0,COUNTA($B$19:$B$24),COUNTA($AK$17:$BB$17)),MATCH($F299,$F$19:$F$24,0),MATCH(BA$17,$AK$17:$BB$17,0))*INDEX($10:$13,MATCH($O299,$R$10:$R$13,0),COLUMN())</f>
        <v>0</v>
      </c>
      <c r="BB299" s="1051" cm="1">
        <f t="array" aca="1" ref="BB299" ca="1">INDEX(OFFSET($AK$19,MATCH($B299,$B$19:$B$150,0)-1,0,COUNTA($B$19:$B$24),COUNTA($AK$17:$BB$17)),MATCH($F299,$F$19:$F$24,0),MATCH(BB$17,$AK$17:$BB$17,0))*INDEX($10:$13,MATCH($O299,$R$10:$R$13,0),COLUMN())</f>
        <v>0</v>
      </c>
      <c r="BC299" s="1053">
        <f t="shared" ca="1" si="165"/>
        <v>0.17508471035577766</v>
      </c>
      <c r="BE299" s="1"/>
      <c r="BF299" s="1"/>
      <c r="BG299" s="1"/>
      <c r="BH299" s="1"/>
      <c r="BI299" s="1"/>
      <c r="BJ299" s="1"/>
      <c r="BK299" s="1"/>
      <c r="BL299" s="1"/>
      <c r="BM299" s="1"/>
      <c r="BN299" s="1"/>
      <c r="BO299" s="1"/>
      <c r="BP299" s="1"/>
      <c r="BQ299" s="1"/>
      <c r="BR299" s="1"/>
      <c r="BS299" s="1"/>
      <c r="BT299" s="1"/>
      <c r="BU299" s="1"/>
      <c r="BV299" s="1"/>
      <c r="BW299" s="1"/>
      <c r="BX299" s="1"/>
      <c r="BY299" s="1"/>
      <c r="BZ299" s="1"/>
    </row>
    <row r="300" spans="2:78" ht="12" customHeight="1" outlineLevel="1" x14ac:dyDescent="0.25">
      <c r="B300" s="104" t="s">
        <v>98</v>
      </c>
      <c r="C300" s="104" t="s">
        <v>121</v>
      </c>
      <c r="D300" s="2" t="s">
        <v>132</v>
      </c>
      <c r="E300" s="2" t="s">
        <v>98</v>
      </c>
      <c r="F300" s="105" t="s">
        <v>94</v>
      </c>
      <c r="G300" s="27" t="s">
        <v>1580</v>
      </c>
      <c r="H300" s="106" t="s">
        <v>131</v>
      </c>
      <c r="I300" s="107" t="s">
        <v>129</v>
      </c>
      <c r="J300" s="147">
        <v>3.8217059399999997</v>
      </c>
      <c r="K300" s="148">
        <v>0.37645999999999996</v>
      </c>
      <c r="L300" s="149">
        <f t="shared" ca="1" si="162"/>
        <v>0.5752910949644342</v>
      </c>
      <c r="M300" s="148">
        <f t="shared" ca="1" si="163"/>
        <v>0.59303408561031079</v>
      </c>
      <c r="N300" s="148">
        <f t="shared" ca="1" si="164"/>
        <v>0.21657408561031086</v>
      </c>
      <c r="O300" s="1062" t="s">
        <v>1583</v>
      </c>
      <c r="P300" s="104"/>
      <c r="R300" s="119"/>
      <c r="S300" s="1072"/>
      <c r="T300" s="1072"/>
      <c r="U300" s="1072"/>
      <c r="V300" s="1072"/>
      <c r="W300" s="1072"/>
      <c r="X300" s="1072"/>
      <c r="Y300" s="1072"/>
      <c r="Z300" s="1072"/>
      <c r="AA300" s="1072"/>
      <c r="AB300" s="1072"/>
      <c r="AC300" s="1072"/>
      <c r="AD300" s="1072"/>
      <c r="AE300" s="1072"/>
      <c r="AF300" s="1072"/>
      <c r="AG300" s="1072"/>
      <c r="AH300" s="1072"/>
      <c r="AI300" s="1072"/>
      <c r="AJ300" s="1073"/>
      <c r="AK300" s="1052" cm="1">
        <f t="array" aca="1" ref="AK300" ca="1">INDEX(OFFSET($AK$19,MATCH($B300,$B$19:$B$150,0)-1,0,COUNTA($B$19:$B$24),COUNTA($AK$17:$BB$17)),MATCH($F300,$F$19:$F$24,0),MATCH(AK$17,$AK$17:$BB$17,0))*INDEX($10:$13,MATCH($O300,$R$10:$R$13,0),COLUMN())</f>
        <v>3.2844503250000004E-2</v>
      </c>
      <c r="AL300" s="1050" cm="1">
        <f t="array" aca="1" ref="AL300" ca="1">INDEX(OFFSET($AK$19,MATCH($B300,$B$19:$B$150,0)-1,0,COUNTA($B$19:$B$24),COUNTA($AK$17:$BB$17)),MATCH($F300,$F$19:$F$24,0),MATCH(AL$17,$AK$17:$BB$17,0))*INDEX($10:$13,MATCH($O300,$R$10:$R$13,0),COLUMN())</f>
        <v>3.9098364159999998E-8</v>
      </c>
      <c r="AM300" s="1050" cm="1">
        <f t="array" aca="1" ref="AM300" ca="1">INDEX(OFFSET($AK$19,MATCH($B300,$B$19:$B$150,0)-1,0,COUNTA($B$19:$B$24),COUNTA($AK$17:$BB$17)),MATCH($F300,$F$19:$F$24,0),MATCH(AM$17,$AK$17:$BB$17,0))*INDEX($10:$13,MATCH($O300,$R$10:$R$13,0),COLUMN())</f>
        <v>7.2481596290000001E-5</v>
      </c>
      <c r="AN300" s="1050" cm="1">
        <f t="array" aca="1" ref="AN300" ca="1">INDEX(OFFSET($AK$19,MATCH($B300,$B$19:$B$150,0)-1,0,COUNTA($B$19:$B$24),COUNTA($AK$17:$BB$17)),MATCH($F300,$F$19:$F$24,0),MATCH(AN$17,$AK$17:$BB$17,0))*INDEX($10:$13,MATCH($O300,$R$10:$R$13,0),COLUMN())</f>
        <v>8.0800321349999997E-4</v>
      </c>
      <c r="AO300" s="1050" cm="1">
        <f t="array" aca="1" ref="AO300" ca="1">INDEX(OFFSET($AK$19,MATCH($B300,$B$19:$B$150,0)-1,0,COUNTA($B$19:$B$24),COUNTA($AK$17:$BB$17)),MATCH($F300,$F$19:$F$24,0),MATCH(AO$17,$AK$17:$BB$17,0))*INDEX($10:$13,MATCH($O300,$R$10:$R$13,0),COLUMN())</f>
        <v>1.2228551328000001E-2</v>
      </c>
      <c r="AP300" s="1050" cm="1">
        <f t="array" aca="1" ref="AP300" ca="1">INDEX(OFFSET($AK$19,MATCH($B300,$B$19:$B$150,0)-1,0,COUNTA($B$19:$B$24),COUNTA($AK$17:$BB$17)),MATCH($F300,$F$19:$F$24,0),MATCH(AP$17,$AK$17:$BB$17,0))*INDEX($10:$13,MATCH($O300,$R$10:$R$13,0),COLUMN())</f>
        <v>6.512919602E-3</v>
      </c>
      <c r="AQ300" s="1050" cm="1">
        <f t="array" aca="1" ref="AQ300" ca="1">INDEX(OFFSET($AK$19,MATCH($B300,$B$19:$B$150,0)-1,0,COUNTA($B$19:$B$24),COUNTA($AK$17:$BB$17)),MATCH($F300,$F$19:$F$24,0),MATCH(AQ$17,$AK$17:$BB$17,0))*INDEX($10:$13,MATCH($O300,$R$10:$R$13,0),COLUMN())</f>
        <v>4.2866404440000003E-5</v>
      </c>
      <c r="AR300" s="1050" cm="1">
        <f t="array" aca="1" ref="AR300" ca="1">INDEX(OFFSET($AK$19,MATCH($B300,$B$19:$B$150,0)-1,0,COUNTA($B$19:$B$24),COUNTA($AK$17:$BB$17)),MATCH($F300,$F$19:$F$24,0),MATCH(AR$17,$AK$17:$BB$17,0))*INDEX($10:$13,MATCH($O300,$R$10:$R$13,0),COLUMN())</f>
        <v>8.2505513440000004E-3</v>
      </c>
      <c r="AS300" s="1050" cm="1">
        <f t="array" aca="1" ref="AS300" ca="1">INDEX(OFFSET($AK$19,MATCH($B300,$B$19:$B$150,0)-1,0,COUNTA($B$19:$B$24),COUNTA($AK$17:$BB$17)),MATCH($F300,$F$19:$F$24,0),MATCH(AS$17,$AK$17:$BB$17,0))*INDEX($10:$13,MATCH($O300,$R$10:$R$13,0),COLUMN())</f>
        <v>8.1389752685999997E-5</v>
      </c>
      <c r="AT300" s="1050" cm="1">
        <f t="array" aca="1" ref="AT300" ca="1">INDEX(OFFSET($AK$19,MATCH($B300,$B$19:$B$150,0)-1,0,COUNTA($B$19:$B$24),COUNTA($AK$17:$BB$17)),MATCH($F300,$F$19:$F$24,0),MATCH(AT$17,$AK$17:$BB$17,0))*INDEX($10:$13,MATCH($O300,$R$10:$R$13,0),COLUMN())</f>
        <v>3.6475642159999998E-6</v>
      </c>
      <c r="AU300" s="1050" cm="1">
        <f t="array" aca="1" ref="AU300" ca="1">INDEX(OFFSET($AK$19,MATCH($B300,$B$19:$B$150,0)-1,0,COUNTA($B$19:$B$24),COUNTA($AK$17:$BB$17)),MATCH($F300,$F$19:$F$24,0),MATCH(AU$17,$AK$17:$BB$17,0))*INDEX($10:$13,MATCH($O300,$R$10:$R$13,0),COLUMN())</f>
        <v>7.7409370589999999E-7</v>
      </c>
      <c r="AV300" s="1050" cm="1">
        <f t="array" aca="1" ref="AV300" ca="1">INDEX(OFFSET($AK$19,MATCH($B300,$B$19:$B$150,0)-1,0,COUNTA($B$19:$B$24),COUNTA($AK$17:$BB$17)),MATCH($F300,$F$19:$F$24,0),MATCH(AV$17,$AK$17:$BB$17,0))*INDEX($10:$13,MATCH($O300,$R$10:$R$13,0),COLUMN())</f>
        <v>6.4986541411999992E-4</v>
      </c>
      <c r="AW300" s="1050" cm="1">
        <f t="array" aca="1" ref="AW300" ca="1">INDEX(OFFSET($AK$19,MATCH($B300,$B$19:$B$150,0)-1,0,COUNTA($B$19:$B$24),COUNTA($AK$17:$BB$17)),MATCH($F300,$F$19:$F$24,0),MATCH(AW$17,$AK$17:$BB$17,0))*INDEX($10:$13,MATCH($O300,$R$10:$R$13,0),COLUMN())</f>
        <v>0.15507844755</v>
      </c>
      <c r="AX300" s="1050" cm="1">
        <f t="array" aca="1" ref="AX300" ca="1">INDEX(OFFSET($AK$19,MATCH($B300,$B$19:$B$150,0)-1,0,COUNTA($B$19:$B$24),COUNTA($AK$17:$BB$17)),MATCH($F300,$F$19:$F$24,0),MATCH(AX$17,$AK$17:$BB$17,0))*INDEX($10:$13,MATCH($O300,$R$10:$R$13,0),COLUMN())</f>
        <v>4.5398988830000006E-8</v>
      </c>
      <c r="AY300" s="1050" cm="1">
        <f t="array" aca="1" ref="AY300" ca="1">INDEX(OFFSET($AK$19,MATCH($B300,$B$19:$B$150,0)-1,0,COUNTA($B$19:$B$24),COUNTA($AK$17:$BB$17)),MATCH($F300,$F$19:$F$24,0),MATCH(AY$17,$AK$17:$BB$17,0))*INDEX($10:$13,MATCH($O300,$R$10:$R$13,0),COLUMN())</f>
        <v>0</v>
      </c>
      <c r="AZ300" s="1050" cm="1">
        <f t="array" aca="1" ref="AZ300" ca="1">INDEX(OFFSET($AK$19,MATCH($B300,$B$19:$B$150,0)-1,0,COUNTA($B$19:$B$24),COUNTA($AK$17:$BB$17)),MATCH($F300,$F$19:$F$24,0),MATCH(AZ$17,$AK$17:$BB$17,0))*INDEX($10:$13,MATCH($O300,$R$10:$R$13,0),COLUMN())</f>
        <v>0</v>
      </c>
      <c r="BA300" s="1050" cm="1">
        <f t="array" aca="1" ref="BA300" ca="1">INDEX(OFFSET($AK$19,MATCH($B300,$B$19:$B$150,0)-1,0,COUNTA($B$19:$B$24),COUNTA($AK$17:$BB$17)),MATCH($F300,$F$19:$F$24,0),MATCH(BA$17,$AK$17:$BB$17,0))*INDEX($10:$13,MATCH($O300,$R$10:$R$13,0),COLUMN())</f>
        <v>0</v>
      </c>
      <c r="BB300" s="1051" cm="1">
        <f t="array" aca="1" ref="BB300" ca="1">INDEX(OFFSET($AK$19,MATCH($B300,$B$19:$B$150,0)-1,0,COUNTA($B$19:$B$24),COUNTA($AK$17:$BB$17)),MATCH($F300,$F$19:$F$24,0),MATCH(BB$17,$AK$17:$BB$17,0))*INDEX($10:$13,MATCH($O300,$R$10:$R$13,0),COLUMN())</f>
        <v>0</v>
      </c>
      <c r="BC300" s="1053">
        <f t="shared" ca="1" si="165"/>
        <v>0.15507849294898882</v>
      </c>
      <c r="BE300" s="1"/>
      <c r="BF300" s="1"/>
      <c r="BG300" s="1"/>
      <c r="BH300" s="1"/>
      <c r="BI300" s="1"/>
      <c r="BJ300" s="1"/>
      <c r="BK300" s="1"/>
      <c r="BL300" s="1"/>
      <c r="BM300" s="1"/>
      <c r="BN300" s="1"/>
      <c r="BO300" s="1"/>
      <c r="BP300" s="1"/>
      <c r="BQ300" s="1"/>
      <c r="BR300" s="1"/>
      <c r="BS300" s="1"/>
      <c r="BT300" s="1"/>
      <c r="BU300" s="1"/>
      <c r="BV300" s="1"/>
      <c r="BW300" s="1"/>
      <c r="BX300" s="1"/>
      <c r="BY300" s="1"/>
      <c r="BZ300" s="1"/>
    </row>
    <row r="301" spans="2:78" ht="12" customHeight="1" outlineLevel="1" x14ac:dyDescent="0.25">
      <c r="B301" s="104" t="s">
        <v>98</v>
      </c>
      <c r="C301" s="104" t="s">
        <v>121</v>
      </c>
      <c r="D301" s="2" t="s">
        <v>132</v>
      </c>
      <c r="E301" s="2" t="s">
        <v>98</v>
      </c>
      <c r="F301" s="105" t="s">
        <v>95</v>
      </c>
      <c r="G301" s="27" t="s">
        <v>1581</v>
      </c>
      <c r="H301" s="106" t="s">
        <v>128</v>
      </c>
      <c r="I301" s="107" t="s">
        <v>127</v>
      </c>
      <c r="J301" s="147">
        <v>3.8217059399999997</v>
      </c>
      <c r="K301" s="148">
        <v>0.37645999999999996</v>
      </c>
      <c r="L301" s="149">
        <f t="shared" ca="1" si="162"/>
        <v>0.74217208021164638</v>
      </c>
      <c r="M301" s="148">
        <f t="shared" ca="1" si="163"/>
        <v>0.65585810131647637</v>
      </c>
      <c r="N301" s="148">
        <f t="shared" ca="1" si="164"/>
        <v>0.27939810131647635</v>
      </c>
      <c r="O301" s="1062" t="s">
        <v>1583</v>
      </c>
      <c r="P301" s="104"/>
      <c r="R301" s="119"/>
      <c r="S301" s="1072"/>
      <c r="T301" s="1072"/>
      <c r="U301" s="1072"/>
      <c r="V301" s="1072"/>
      <c r="W301" s="1072"/>
      <c r="X301" s="1072"/>
      <c r="Y301" s="1072"/>
      <c r="Z301" s="1072"/>
      <c r="AA301" s="1072"/>
      <c r="AB301" s="1072"/>
      <c r="AC301" s="1072"/>
      <c r="AD301" s="1072"/>
      <c r="AE301" s="1072"/>
      <c r="AF301" s="1072"/>
      <c r="AG301" s="1072"/>
      <c r="AH301" s="1072"/>
      <c r="AI301" s="1072"/>
      <c r="AJ301" s="1073"/>
      <c r="AK301" s="1052" cm="1">
        <f t="array" aca="1" ref="AK301" ca="1">INDEX(OFFSET($AK$19,MATCH($B301,$B$19:$B$150,0)-1,0,COUNTA($B$19:$B$24),COUNTA($AK$17:$BB$17)),MATCH($F301,$F$19:$F$24,0),MATCH(AK$17,$AK$17:$BB$17,0))*INDEX($10:$13,MATCH($O301,$R$10:$R$13,0),COLUMN())</f>
        <v>4.0778374650000004E-2</v>
      </c>
      <c r="AL301" s="1050" cm="1">
        <f t="array" aca="1" ref="AL301" ca="1">INDEX(OFFSET($AK$19,MATCH($B301,$B$19:$B$150,0)-1,0,COUNTA($B$19:$B$24),COUNTA($AK$17:$BB$17)),MATCH($F301,$F$19:$F$24,0),MATCH(AL$17,$AK$17:$BB$17,0))*INDEX($10:$13,MATCH($O301,$R$10:$R$13,0),COLUMN())</f>
        <v>4.1777564799999999E-8</v>
      </c>
      <c r="AM301" s="1050" cm="1">
        <f t="array" aca="1" ref="AM301" ca="1">INDEX(OFFSET($AK$19,MATCH($B301,$B$19:$B$150,0)-1,0,COUNTA($B$19:$B$24),COUNTA($AK$17:$BB$17)),MATCH($F301,$F$19:$F$24,0),MATCH(AM$17,$AK$17:$BB$17,0))*INDEX($10:$13,MATCH($O301,$R$10:$R$13,0),COLUMN())</f>
        <v>7.7445764150000005E-5</v>
      </c>
      <c r="AN301" s="1050" cm="1">
        <f t="array" aca="1" ref="AN301" ca="1">INDEX(OFFSET($AK$19,MATCH($B301,$B$19:$B$150,0)-1,0,COUNTA($B$19:$B$24),COUNTA($AK$17:$BB$17)),MATCH($F301,$F$19:$F$24,0),MATCH(AN$17,$AK$17:$BB$17,0))*INDEX($10:$13,MATCH($O301,$R$10:$R$13,0),COLUMN())</f>
        <v>9.1736076149999987E-4</v>
      </c>
      <c r="AO301" s="1050" cm="1">
        <f t="array" aca="1" ref="AO301" ca="1">INDEX(OFFSET($AK$19,MATCH($B301,$B$19:$B$150,0)-1,0,COUNTA($B$19:$B$24),COUNTA($AK$17:$BB$17)),MATCH($F301,$F$19:$F$24,0),MATCH(AO$17,$AK$17:$BB$17,0))*INDEX($10:$13,MATCH($O301,$R$10:$R$13,0),COLUMN())</f>
        <v>3.0353219344000003E-2</v>
      </c>
      <c r="AP301" s="1050" cm="1">
        <f t="array" aca="1" ref="AP301" ca="1">INDEX(OFFSET($AK$19,MATCH($B301,$B$19:$B$150,0)-1,0,COUNTA($B$19:$B$24),COUNTA($AK$17:$BB$17)),MATCH($F301,$F$19:$F$24,0),MATCH(AP$17,$AK$17:$BB$17,0))*INDEX($10:$13,MATCH($O301,$R$10:$R$13,0),COLUMN())</f>
        <v>2.3455894126E-2</v>
      </c>
      <c r="AQ301" s="1050" cm="1">
        <f t="array" aca="1" ref="AQ301" ca="1">INDEX(OFFSET($AK$19,MATCH($B301,$B$19:$B$150,0)-1,0,COUNTA($B$19:$B$24),COUNTA($AK$17:$BB$17)),MATCH($F301,$F$19:$F$24,0),MATCH(AQ$17,$AK$17:$BB$17,0))*INDEX($10:$13,MATCH($O301,$R$10:$R$13,0),COLUMN())</f>
        <v>1.7991237251999999E-4</v>
      </c>
      <c r="AR301" s="1050" cm="1">
        <f t="array" aca="1" ref="AR301" ca="1">INDEX(OFFSET($AK$19,MATCH($B301,$B$19:$B$150,0)-1,0,COUNTA($B$19:$B$24),COUNTA($AK$17:$BB$17)),MATCH($F301,$F$19:$F$24,0),MATCH(AR$17,$AK$17:$BB$17,0))*INDEX($10:$13,MATCH($O301,$R$10:$R$13,0),COLUMN())</f>
        <v>1.3157373436999999E-2</v>
      </c>
      <c r="AS301" s="1050" cm="1">
        <f t="array" aca="1" ref="AS301" ca="1">INDEX(OFFSET($AK$19,MATCH($B301,$B$19:$B$150,0)-1,0,COUNTA($B$19:$B$24),COUNTA($AK$17:$BB$17)),MATCH($F301,$F$19:$F$24,0),MATCH(AS$17,$AK$17:$BB$17,0))*INDEX($10:$13,MATCH($O301,$R$10:$R$13,0),COLUMN())</f>
        <v>2.1334931100999996E-3</v>
      </c>
      <c r="AT301" s="1050" cm="1">
        <f t="array" aca="1" ref="AT301" ca="1">INDEX(OFFSET($AK$19,MATCH($B301,$B$19:$B$150,0)-1,0,COUNTA($B$19:$B$24),COUNTA($AK$17:$BB$17)),MATCH($F301,$F$19:$F$24,0),MATCH(AT$17,$AK$17:$BB$17,0))*INDEX($10:$13,MATCH($O301,$R$10:$R$13,0),COLUMN())</f>
        <v>5.3686609570000005E-6</v>
      </c>
      <c r="AU301" s="1050" cm="1">
        <f t="array" aca="1" ref="AU301" ca="1">INDEX(OFFSET($AK$19,MATCH($B301,$B$19:$B$150,0)-1,0,COUNTA($B$19:$B$24),COUNTA($AK$17:$BB$17)),MATCH($F301,$F$19:$F$24,0),MATCH(AU$17,$AK$17:$BB$17,0))*INDEX($10:$13,MATCH($O301,$R$10:$R$13,0),COLUMN())</f>
        <v>1.0501696954000001E-6</v>
      </c>
      <c r="AV301" s="1050" cm="1">
        <f t="array" aca="1" ref="AV301" ca="1">INDEX(OFFSET($AK$19,MATCH($B301,$B$19:$B$150,0)-1,0,COUNTA($B$19:$B$24),COUNTA($AK$17:$BB$17)),MATCH($F301,$F$19:$F$24,0),MATCH(AV$17,$AK$17:$BB$17,0))*INDEX($10:$13,MATCH($O301,$R$10:$R$13,0),COLUMN())</f>
        <v>3.8615589426E-3</v>
      </c>
      <c r="AW301" s="1050" cm="1">
        <f t="array" aca="1" ref="AW301" ca="1">INDEX(OFFSET($AK$19,MATCH($B301,$B$19:$B$150,0)-1,0,COUNTA($B$19:$B$24),COUNTA($AK$17:$BB$17)),MATCH($F301,$F$19:$F$24,0),MATCH(AW$17,$AK$17:$BB$17,0))*INDEX($10:$13,MATCH($O301,$R$10:$R$13,0),COLUMN())</f>
        <v>0.16447696005000001</v>
      </c>
      <c r="AX301" s="1050" cm="1">
        <f t="array" aca="1" ref="AX301" ca="1">INDEX(OFFSET($AK$19,MATCH($B301,$B$19:$B$150,0)-1,0,COUNTA($B$19:$B$24),COUNTA($AK$17:$BB$17)),MATCH($F301,$F$19:$F$24,0),MATCH(AX$17,$AK$17:$BB$17,0))*INDEX($10:$13,MATCH($O301,$R$10:$R$13,0),COLUMN())</f>
        <v>4.815038910500001E-8</v>
      </c>
      <c r="AY301" s="1050" cm="1">
        <f t="array" aca="1" ref="AY301" ca="1">INDEX(OFFSET($AK$19,MATCH($B301,$B$19:$B$150,0)-1,0,COUNTA($B$19:$B$24),COUNTA($AK$17:$BB$17)),MATCH($F301,$F$19:$F$24,0),MATCH(AY$17,$AK$17:$BB$17,0))*INDEX($10:$13,MATCH($O301,$R$10:$R$13,0),COLUMN())</f>
        <v>0</v>
      </c>
      <c r="AZ301" s="1050" cm="1">
        <f t="array" aca="1" ref="AZ301" ca="1">INDEX(OFFSET($AK$19,MATCH($B301,$B$19:$B$150,0)-1,0,COUNTA($B$19:$B$24),COUNTA($AK$17:$BB$17)),MATCH($F301,$F$19:$F$24,0),MATCH(AZ$17,$AK$17:$BB$17,0))*INDEX($10:$13,MATCH($O301,$R$10:$R$13,0),COLUMN())</f>
        <v>0</v>
      </c>
      <c r="BA301" s="1050" cm="1">
        <f t="array" aca="1" ref="BA301" ca="1">INDEX(OFFSET($AK$19,MATCH($B301,$B$19:$B$150,0)-1,0,COUNTA($B$19:$B$24),COUNTA($AK$17:$BB$17)),MATCH($F301,$F$19:$F$24,0),MATCH(BA$17,$AK$17:$BB$17,0))*INDEX($10:$13,MATCH($O301,$R$10:$R$13,0),COLUMN())</f>
        <v>0</v>
      </c>
      <c r="BB301" s="1051" cm="1">
        <f t="array" aca="1" ref="BB301" ca="1">INDEX(OFFSET($AK$19,MATCH($B301,$B$19:$B$150,0)-1,0,COUNTA($B$19:$B$24),COUNTA($AK$17:$BB$17)),MATCH($F301,$F$19:$F$24,0),MATCH(BB$17,$AK$17:$BB$17,0))*INDEX($10:$13,MATCH($O301,$R$10:$R$13,0),COLUMN())</f>
        <v>0</v>
      </c>
      <c r="BC301" s="1053">
        <f t="shared" ca="1" si="165"/>
        <v>0.1644770082003891</v>
      </c>
      <c r="BE301" s="1"/>
      <c r="BF301" s="1"/>
      <c r="BG301" s="1"/>
      <c r="BH301" s="1"/>
      <c r="BI301" s="1"/>
      <c r="BJ301" s="1"/>
      <c r="BK301" s="1"/>
      <c r="BL301" s="1"/>
      <c r="BM301" s="1"/>
      <c r="BN301" s="1"/>
      <c r="BO301" s="1"/>
      <c r="BP301" s="1"/>
      <c r="BQ301" s="1"/>
      <c r="BR301" s="1"/>
      <c r="BS301" s="1"/>
      <c r="BT301" s="1"/>
      <c r="BU301" s="1"/>
      <c r="BV301" s="1"/>
      <c r="BW301" s="1"/>
      <c r="BX301" s="1"/>
      <c r="BY301" s="1"/>
      <c r="BZ301" s="1"/>
    </row>
    <row r="302" spans="2:78" ht="12" customHeight="1" outlineLevel="1" x14ac:dyDescent="0.25">
      <c r="B302" s="104" t="s">
        <v>98</v>
      </c>
      <c r="C302" s="104" t="s">
        <v>121</v>
      </c>
      <c r="D302" s="2" t="s">
        <v>132</v>
      </c>
      <c r="E302" s="2" t="s">
        <v>98</v>
      </c>
      <c r="F302" s="105" t="s">
        <v>96</v>
      </c>
      <c r="G302" s="27" t="s">
        <v>1582</v>
      </c>
      <c r="H302" s="106" t="s">
        <v>128</v>
      </c>
      <c r="I302" s="107" t="s">
        <v>1577</v>
      </c>
      <c r="J302" s="147">
        <v>3.8217059399999997</v>
      </c>
      <c r="K302" s="148">
        <v>0.37645999999999996</v>
      </c>
      <c r="L302" s="149">
        <f t="shared" ca="1" si="162"/>
        <v>0.83858719373678059</v>
      </c>
      <c r="M302" s="148">
        <f t="shared" ca="1" si="163"/>
        <v>0.69215453495414836</v>
      </c>
      <c r="N302" s="148">
        <f t="shared" ca="1" si="164"/>
        <v>0.3156945349541484</v>
      </c>
      <c r="O302" s="1062" t="s">
        <v>1583</v>
      </c>
      <c r="P302" s="104"/>
      <c r="R302" s="119"/>
      <c r="S302" s="1072"/>
      <c r="T302" s="1072"/>
      <c r="U302" s="1072"/>
      <c r="V302" s="1072"/>
      <c r="W302" s="1072"/>
      <c r="X302" s="1072"/>
      <c r="Y302" s="1072"/>
      <c r="Z302" s="1072"/>
      <c r="AA302" s="1072"/>
      <c r="AB302" s="1072"/>
      <c r="AC302" s="1072"/>
      <c r="AD302" s="1072"/>
      <c r="AE302" s="1072"/>
      <c r="AF302" s="1072"/>
      <c r="AG302" s="1072"/>
      <c r="AH302" s="1072"/>
      <c r="AI302" s="1072"/>
      <c r="AJ302" s="1073"/>
      <c r="AK302" s="1052" cm="1">
        <f t="array" aca="1" ref="AK302" ca="1">INDEX(OFFSET($AK$19,MATCH($B302,$B$19:$B$150,0)-1,0,COUNTA($B$19:$B$24),COUNTA($AK$17:$BB$17)),MATCH($F302,$F$19:$F$24,0),MATCH(AK$17,$AK$17:$BB$17,0))*INDEX($10:$13,MATCH($O302,$R$10:$R$13,0),COLUMN())</f>
        <v>4.5037864950000006E-2</v>
      </c>
      <c r="AL302" s="1050" cm="1">
        <f t="array" aca="1" ref="AL302" ca="1">INDEX(OFFSET($AK$19,MATCH($B302,$B$19:$B$150,0)-1,0,COUNTA($B$19:$B$24),COUNTA($AK$17:$BB$17)),MATCH($F302,$F$19:$F$24,0),MATCH(AL$17,$AK$17:$BB$17,0))*INDEX($10:$13,MATCH($O302,$R$10:$R$13,0),COLUMN())</f>
        <v>4.197964576E-8</v>
      </c>
      <c r="AM302" s="1050" cm="1">
        <f t="array" aca="1" ref="AM302" ca="1">INDEX(OFFSET($AK$19,MATCH($B302,$B$19:$B$150,0)-1,0,COUNTA($B$19:$B$24),COUNTA($AK$17:$BB$17)),MATCH($F302,$F$19:$F$24,0),MATCH(AM$17,$AK$17:$BB$17,0))*INDEX($10:$13,MATCH($O302,$R$10:$R$13,0),COLUMN())</f>
        <v>7.7818685490000001E-5</v>
      </c>
      <c r="AN302" s="1050" cm="1">
        <f t="array" aca="1" ref="AN302" ca="1">INDEX(OFFSET($AK$19,MATCH($B302,$B$19:$B$150,0)-1,0,COUNTA($B$19:$B$24),COUNTA($AK$17:$BB$17)),MATCH($F302,$F$19:$F$24,0),MATCH(AN$17,$AK$17:$BB$17,0))*INDEX($10:$13,MATCH($O302,$R$10:$R$13,0),COLUMN())</f>
        <v>9.5677133050000001E-4</v>
      </c>
      <c r="AO302" s="1050" cm="1">
        <f t="array" aca="1" ref="AO302" ca="1">INDEX(OFFSET($AK$19,MATCH($B302,$B$19:$B$150,0)-1,0,COUNTA($B$19:$B$24),COUNTA($AK$17:$BB$17)),MATCH($F302,$F$19:$F$24,0),MATCH(AO$17,$AK$17:$BB$17,0))*INDEX($10:$13,MATCH($O302,$R$10:$R$13,0),COLUMN())</f>
        <v>4.299143968E-2</v>
      </c>
      <c r="AP302" s="1050" cm="1">
        <f t="array" aca="1" ref="AP302" ca="1">INDEX(OFFSET($AK$19,MATCH($B302,$B$19:$B$150,0)-1,0,COUNTA($B$19:$B$24),COUNTA($AK$17:$BB$17)),MATCH($F302,$F$19:$F$24,0),MATCH(AP$17,$AK$17:$BB$17,0))*INDEX($10:$13,MATCH($O302,$R$10:$R$13,0),COLUMN())</f>
        <v>3.5511090342E-2</v>
      </c>
      <c r="AQ302" s="1050" cm="1">
        <f t="array" aca="1" ref="AQ302" ca="1">INDEX(OFFSET($AK$19,MATCH($B302,$B$19:$B$150,0)-1,0,COUNTA($B$19:$B$24),COUNTA($AK$17:$BB$17)),MATCH($F302,$F$19:$F$24,0),MATCH(AQ$17,$AK$17:$BB$17,0))*INDEX($10:$13,MATCH($O302,$R$10:$R$13,0),COLUMN())</f>
        <v>2.7566349480000001E-4</v>
      </c>
      <c r="AR302" s="1050" cm="1">
        <f t="array" aca="1" ref="AR302" ca="1">INDEX(OFFSET($AK$19,MATCH($B302,$B$19:$B$150,0)-1,0,COUNTA($B$19:$B$24),COUNTA($AK$17:$BB$17)),MATCH($F302,$F$19:$F$24,0),MATCH(AR$17,$AK$17:$BB$17,0))*INDEX($10:$13,MATCH($O302,$R$10:$R$13,0),COLUMN())</f>
        <v>1.6370256280000002E-2</v>
      </c>
      <c r="AS302" s="1050" cm="1">
        <f t="array" aca="1" ref="AS302" ca="1">INDEX(OFFSET($AK$19,MATCH($B302,$B$19:$B$150,0)-1,0,COUNTA($B$19:$B$24),COUNTA($AK$17:$BB$17)),MATCH($F302,$F$19:$F$24,0),MATCH(AS$17,$AK$17:$BB$17,0))*INDEX($10:$13,MATCH($O302,$R$10:$R$13,0),COLUMN())</f>
        <v>3.5734265445999994E-3</v>
      </c>
      <c r="AT302" s="1050" cm="1">
        <f t="array" aca="1" ref="AT302" ca="1">INDEX(OFFSET($AK$19,MATCH($B302,$B$19:$B$150,0)-1,0,COUNTA($B$19:$B$24),COUNTA($AK$17:$BB$17)),MATCH($F302,$F$19:$F$24,0),MATCH(AT$17,$AK$17:$BB$17,0))*INDEX($10:$13,MATCH($O302,$R$10:$R$13,0),COLUMN())</f>
        <v>6.0161826860000002E-6</v>
      </c>
      <c r="AU302" s="1050" cm="1">
        <f t="array" aca="1" ref="AU302" ca="1">INDEX(OFFSET($AK$19,MATCH($B302,$B$19:$B$150,0)-1,0,COUNTA($B$19:$B$24),COUNTA($AK$17:$BB$17)),MATCH($F302,$F$19:$F$24,0),MATCH(AU$17,$AK$17:$BB$17,0))*INDEX($10:$13,MATCH($O302,$R$10:$R$13,0),COLUMN())</f>
        <v>1.1426510375E-6</v>
      </c>
      <c r="AV302" s="1050" cm="1">
        <f t="array" aca="1" ref="AV302" ca="1">INDEX(OFFSET($AK$19,MATCH($B302,$B$19:$B$150,0)-1,0,COUNTA($B$19:$B$24),COUNTA($AK$17:$BB$17)),MATCH($F302,$F$19:$F$24,0),MATCH(AV$17,$AK$17:$BB$17,0))*INDEX($10:$13,MATCH($O302,$R$10:$R$13,0),COLUMN())</f>
        <v>6.4159946329999992E-3</v>
      </c>
      <c r="AW302" s="1050" cm="1">
        <f t="array" aca="1" ref="AW302" ca="1">INDEX(OFFSET($AK$19,MATCH($B302,$B$19:$B$150,0)-1,0,COUNTA($B$19:$B$24),COUNTA($AK$17:$BB$17)),MATCH($F302,$F$19:$F$24,0),MATCH(AW$17,$AK$17:$BB$17,0))*INDEX($10:$13,MATCH($O302,$R$10:$R$13,0),COLUMN())</f>
        <v>0.16447696005000001</v>
      </c>
      <c r="AX302" s="1050" cm="1">
        <f t="array" aca="1" ref="AX302" ca="1">INDEX(OFFSET($AK$19,MATCH($B302,$B$19:$B$150,0)-1,0,COUNTA($B$19:$B$24),COUNTA($AK$17:$BB$17)),MATCH($F302,$F$19:$F$24,0),MATCH(AX$17,$AK$17:$BB$17,0))*INDEX($10:$13,MATCH($O302,$R$10:$R$13,0),COLUMN())</f>
        <v>4.815038910500001E-8</v>
      </c>
      <c r="AY302" s="1050" cm="1">
        <f t="array" aca="1" ref="AY302" ca="1">INDEX(OFFSET($AK$19,MATCH($B302,$B$19:$B$150,0)-1,0,COUNTA($B$19:$B$24),COUNTA($AK$17:$BB$17)),MATCH($F302,$F$19:$F$24,0),MATCH(AY$17,$AK$17:$BB$17,0))*INDEX($10:$13,MATCH($O302,$R$10:$R$13,0),COLUMN())</f>
        <v>0</v>
      </c>
      <c r="AZ302" s="1050" cm="1">
        <f t="array" aca="1" ref="AZ302" ca="1">INDEX(OFFSET($AK$19,MATCH($B302,$B$19:$B$150,0)-1,0,COUNTA($B$19:$B$24),COUNTA($AK$17:$BB$17)),MATCH($F302,$F$19:$F$24,0),MATCH(AZ$17,$AK$17:$BB$17,0))*INDEX($10:$13,MATCH($O302,$R$10:$R$13,0),COLUMN())</f>
        <v>0</v>
      </c>
      <c r="BA302" s="1050" cm="1">
        <f t="array" aca="1" ref="BA302" ca="1">INDEX(OFFSET($AK$19,MATCH($B302,$B$19:$B$150,0)-1,0,COUNTA($B$19:$B$24),COUNTA($AK$17:$BB$17)),MATCH($F302,$F$19:$F$24,0),MATCH(BA$17,$AK$17:$BB$17,0))*INDEX($10:$13,MATCH($O302,$R$10:$R$13,0),COLUMN())</f>
        <v>0</v>
      </c>
      <c r="BB302" s="1051" cm="1">
        <f t="array" aca="1" ref="BB302" ca="1">INDEX(OFFSET($AK$19,MATCH($B302,$B$19:$B$150,0)-1,0,COUNTA($B$19:$B$24),COUNTA($AK$17:$BB$17)),MATCH($F302,$F$19:$F$24,0),MATCH(BB$17,$AK$17:$BB$17,0))*INDEX($10:$13,MATCH($O302,$R$10:$R$13,0),COLUMN())</f>
        <v>0</v>
      </c>
      <c r="BC302" s="1053">
        <f t="shared" ca="1" si="165"/>
        <v>0.1644770082003891</v>
      </c>
      <c r="BE302" s="1"/>
      <c r="BF302" s="1"/>
      <c r="BG302" s="1"/>
      <c r="BH302" s="1"/>
      <c r="BI302" s="1"/>
      <c r="BJ302" s="1"/>
      <c r="BK302" s="1"/>
      <c r="BL302" s="1"/>
      <c r="BM302" s="1"/>
      <c r="BN302" s="1"/>
      <c r="BO302" s="1"/>
      <c r="BP302" s="1"/>
      <c r="BQ302" s="1"/>
      <c r="BR302" s="1"/>
      <c r="BS302" s="1"/>
      <c r="BT302" s="1"/>
      <c r="BU302" s="1"/>
      <c r="BV302" s="1"/>
      <c r="BW302" s="1"/>
      <c r="BX302" s="1"/>
      <c r="BY302" s="1"/>
      <c r="BZ302" s="1"/>
    </row>
    <row r="303" spans="2:78" ht="12" customHeight="1" outlineLevel="1" x14ac:dyDescent="0.25">
      <c r="B303" s="88" t="s">
        <v>99</v>
      </c>
      <c r="C303" s="88" t="s">
        <v>121</v>
      </c>
      <c r="D303" s="89" t="s">
        <v>132</v>
      </c>
      <c r="E303" s="89" t="s">
        <v>99</v>
      </c>
      <c r="F303" s="90" t="s">
        <v>92</v>
      </c>
      <c r="G303" s="18" t="s">
        <v>126</v>
      </c>
      <c r="H303" s="91" t="s">
        <v>127</v>
      </c>
      <c r="I303" s="92" t="s">
        <v>127</v>
      </c>
      <c r="J303" s="142">
        <v>3.72132342</v>
      </c>
      <c r="K303" s="143">
        <v>0.17004</v>
      </c>
      <c r="L303" s="144">
        <f t="shared" ca="1" si="162"/>
        <v>2.709037943999792</v>
      </c>
      <c r="M303" s="143">
        <f t="shared" ca="1" si="163"/>
        <v>0.63068481199772464</v>
      </c>
      <c r="N303" s="143">
        <f t="shared" ca="1" si="164"/>
        <v>0.46064481199772461</v>
      </c>
      <c r="O303" s="1063" t="s">
        <v>1583</v>
      </c>
      <c r="P303" s="88"/>
      <c r="Q303" s="89"/>
      <c r="R303" s="150"/>
      <c r="S303" s="1070"/>
      <c r="T303" s="1070"/>
      <c r="U303" s="1070"/>
      <c r="V303" s="1070"/>
      <c r="W303" s="1070"/>
      <c r="X303" s="1070"/>
      <c r="Y303" s="1070"/>
      <c r="Z303" s="1070"/>
      <c r="AA303" s="1070"/>
      <c r="AB303" s="1070"/>
      <c r="AC303" s="1070"/>
      <c r="AD303" s="1070"/>
      <c r="AE303" s="1070"/>
      <c r="AF303" s="1070"/>
      <c r="AG303" s="1070"/>
      <c r="AH303" s="1070"/>
      <c r="AI303" s="1070"/>
      <c r="AJ303" s="1071"/>
      <c r="AK303" s="1048" cm="1">
        <f t="array" aca="1" ref="AK303" ca="1">INDEX(OFFSET($AK$19,MATCH($B303,$B$19:$B$150,0)-1,0,COUNTA($B$19:$B$24),COUNTA($AK$17:$BB$17)),MATCH($F303,$F$19:$F$24,0),MATCH(AK$17,$AK$17:$BB$17,0))*INDEX($10:$13,MATCH($O303,$R$10:$R$13,0),COLUMN())</f>
        <v>7.8665646150000004E-2</v>
      </c>
      <c r="AL303" s="1046" cm="1">
        <f t="array" aca="1" ref="AL303" ca="1">INDEX(OFFSET($AK$19,MATCH($B303,$B$19:$B$150,0)-1,0,COUNTA($B$19:$B$24),COUNTA($AK$17:$BB$17)),MATCH($F303,$F$19:$F$24,0),MATCH(AL$17,$AK$17:$BB$17,0))*INDEX($10:$13,MATCH($O303,$R$10:$R$13,0),COLUMN())</f>
        <v>6.457104096E-8</v>
      </c>
      <c r="AM303" s="1046" cm="1">
        <f t="array" aca="1" ref="AM303" ca="1">INDEX(OFFSET($AK$19,MATCH($B303,$B$19:$B$150,0)-1,0,COUNTA($B$19:$B$24),COUNTA($AK$17:$BB$17)),MATCH($F303,$F$19:$F$24,0),MATCH(AM$17,$AK$17:$BB$17,0))*INDEX($10:$13,MATCH($O303,$R$10:$R$13,0),COLUMN())</f>
        <v>1.2195075486E-4</v>
      </c>
      <c r="AN303" s="1046" cm="1">
        <f t="array" aca="1" ref="AN303" ca="1">INDEX(OFFSET($AK$19,MATCH($B303,$B$19:$B$150,0)-1,0,COUNTA($B$19:$B$24),COUNTA($AK$17:$BB$17)),MATCH($F303,$F$19:$F$24,0),MATCH(AN$17,$AK$17:$BB$17,0))*INDEX($10:$13,MATCH($O303,$R$10:$R$13,0),COLUMN())</f>
        <v>7.5165830799999995E-4</v>
      </c>
      <c r="AO303" s="1046" cm="1">
        <f t="array" aca="1" ref="AO303" ca="1">INDEX(OFFSET($AK$19,MATCH($B303,$B$19:$B$150,0)-1,0,COUNTA($B$19:$B$24),COUNTA($AK$17:$BB$17)),MATCH($F303,$F$19:$F$24,0),MATCH(AO$17,$AK$17:$BB$17,0))*INDEX($10:$13,MATCH($O303,$R$10:$R$13,0),COLUMN())</f>
        <v>4.0402961760000002E-2</v>
      </c>
      <c r="AP303" s="1046" cm="1">
        <f t="array" aca="1" ref="AP303" ca="1">INDEX(OFFSET($AK$19,MATCH($B303,$B$19:$B$150,0)-1,0,COUNTA($B$19:$B$24),COUNTA($AK$17:$BB$17)),MATCH($F303,$F$19:$F$24,0),MATCH(AP$17,$AK$17:$BB$17,0))*INDEX($10:$13,MATCH($O303,$R$10:$R$13,0),COLUMN())</f>
        <v>3.4107653293000001E-2</v>
      </c>
      <c r="AQ303" s="1046" cm="1">
        <f t="array" aca="1" ref="AQ303" ca="1">INDEX(OFFSET($AK$19,MATCH($B303,$B$19:$B$150,0)-1,0,COUNTA($B$19:$B$24),COUNTA($AK$17:$BB$17)),MATCH($F303,$F$19:$F$24,0),MATCH(AQ$17,$AK$17:$BB$17,0))*INDEX($10:$13,MATCH($O303,$R$10:$R$13,0),COLUMN())</f>
        <v>2.6732113440000002E-4</v>
      </c>
      <c r="AR303" s="1046" cm="1">
        <f t="array" aca="1" ref="AR303" ca="1">INDEX(OFFSET($AK$19,MATCH($B303,$B$19:$B$150,0)-1,0,COUNTA($B$19:$B$24),COUNTA($AK$17:$BB$17)),MATCH($F303,$F$19:$F$24,0),MATCH(AR$17,$AK$17:$BB$17,0))*INDEX($10:$13,MATCH($O303,$R$10:$R$13,0),COLUMN())</f>
        <v>2.3921496133999999E-2</v>
      </c>
      <c r="AS303" s="1046" cm="1">
        <f t="array" aca="1" ref="AS303" ca="1">INDEX(OFFSET($AK$19,MATCH($B303,$B$19:$B$150,0)-1,0,COUNTA($B$19:$B$24),COUNTA($AK$17:$BB$17)),MATCH($F303,$F$19:$F$24,0),MATCH(AS$17,$AK$17:$BB$17,0))*INDEX($10:$13,MATCH($O303,$R$10:$R$13,0),COLUMN())</f>
        <v>0.14527887252999999</v>
      </c>
      <c r="AT303" s="1046" cm="1">
        <f t="array" aca="1" ref="AT303" ca="1">INDEX(OFFSET($AK$19,MATCH($B303,$B$19:$B$150,0)-1,0,COUNTA($B$19:$B$24),COUNTA($AK$17:$BB$17)),MATCH($F303,$F$19:$F$24,0),MATCH(AT$17,$AK$17:$BB$17,0))*INDEX($10:$13,MATCH($O303,$R$10:$R$13,0),COLUMN())</f>
        <v>1.6177813567999999E-4</v>
      </c>
      <c r="AU303" s="1046" cm="1">
        <f t="array" aca="1" ref="AU303" ca="1">INDEX(OFFSET($AK$19,MATCH($B303,$B$19:$B$150,0)-1,0,COUNTA($B$19:$B$24),COUNTA($AK$17:$BB$17)),MATCH($F303,$F$19:$F$24,0),MATCH(AU$17,$AK$17:$BB$17,0))*INDEX($10:$13,MATCH($O303,$R$10:$R$13,0),COLUMN())</f>
        <v>8.9692474339999995E-6</v>
      </c>
      <c r="AV303" s="1046" cm="1">
        <f t="array" aca="1" ref="AV303" ca="1">INDEX(OFFSET($AK$19,MATCH($B303,$B$19:$B$150,0)-1,0,COUNTA($B$19:$B$24),COUNTA($AK$17:$BB$17)),MATCH($F303,$F$19:$F$24,0),MATCH(AV$17,$AK$17:$BB$17,0))*INDEX($10:$13,MATCH($O303,$R$10:$R$13,0),COLUMN())</f>
        <v>5.7062581718999991E-3</v>
      </c>
      <c r="AW303" s="1046" cm="1">
        <f t="array" aca="1" ref="AW303" ca="1">INDEX(OFFSET($AK$19,MATCH($B303,$B$19:$B$150,0)-1,0,COUNTA($B$19:$B$24),COUNTA($AK$17:$BB$17)),MATCH($F303,$F$19:$F$24,0),MATCH(AW$17,$AK$17:$BB$17,0))*INDEX($10:$13,MATCH($O303,$R$10:$R$13,0),COLUMN())</f>
        <v>0.13124998835000001</v>
      </c>
      <c r="AX303" s="1046" cm="1">
        <f t="array" aca="1" ref="AX303" ca="1">INDEX(OFFSET($AK$19,MATCH($B303,$B$19:$B$150,0)-1,0,COUNTA($B$19:$B$24),COUNTA($AK$17:$BB$17)),MATCH($F303,$F$19:$F$24,0),MATCH(AX$17,$AK$17:$BB$17,0))*INDEX($10:$13,MATCH($O303,$R$10:$R$13,0),COLUMN())</f>
        <v>1.9345740960000003E-7</v>
      </c>
      <c r="AY303" s="1046" cm="1">
        <f t="array" aca="1" ref="AY303" ca="1">INDEX(OFFSET($AK$19,MATCH($B303,$B$19:$B$150,0)-1,0,COUNTA($B$19:$B$24),COUNTA($AK$17:$BB$17)),MATCH($F303,$F$19:$F$24,0),MATCH(AY$17,$AK$17:$BB$17,0))*INDEX($10:$13,MATCH($O303,$R$10:$R$13,0),COLUMN())</f>
        <v>0</v>
      </c>
      <c r="AZ303" s="1046" cm="1">
        <f t="array" aca="1" ref="AZ303" ca="1">INDEX(OFFSET($AK$19,MATCH($B303,$B$19:$B$150,0)-1,0,COUNTA($B$19:$B$24),COUNTA($AK$17:$BB$17)),MATCH($F303,$F$19:$F$24,0),MATCH(AZ$17,$AK$17:$BB$17,0))*INDEX($10:$13,MATCH($O303,$R$10:$R$13,0),COLUMN())</f>
        <v>0</v>
      </c>
      <c r="BA303" s="1046" cm="1">
        <f t="array" aca="1" ref="BA303" ca="1">INDEX(OFFSET($AK$19,MATCH($B303,$B$19:$B$150,0)-1,0,COUNTA($B$19:$B$24),COUNTA($AK$17:$BB$17)),MATCH($F303,$F$19:$F$24,0),MATCH(BA$17,$AK$17:$BB$17,0))*INDEX($10:$13,MATCH($O303,$R$10:$R$13,0),COLUMN())</f>
        <v>0</v>
      </c>
      <c r="BB303" s="1047" cm="1">
        <f t="array" aca="1" ref="BB303" ca="1">INDEX(OFFSET($AK$19,MATCH($B303,$B$19:$B$150,0)-1,0,COUNTA($B$19:$B$24),COUNTA($AK$17:$BB$17)),MATCH($F303,$F$19:$F$24,0),MATCH(BB$17,$AK$17:$BB$17,0))*INDEX($10:$13,MATCH($O303,$R$10:$R$13,0),COLUMN())</f>
        <v>0</v>
      </c>
      <c r="BC303" s="1049">
        <f t="shared" ca="1" si="165"/>
        <v>0.1312501818074096</v>
      </c>
      <c r="BE303" s="1"/>
      <c r="BF303" s="1"/>
      <c r="BG303" s="1"/>
      <c r="BH303" s="1"/>
      <c r="BI303" s="1"/>
      <c r="BJ303" s="1"/>
      <c r="BK303" s="1"/>
      <c r="BL303" s="1"/>
      <c r="BM303" s="1"/>
      <c r="BN303" s="1"/>
      <c r="BO303" s="1"/>
      <c r="BP303" s="1"/>
      <c r="BQ303" s="1"/>
      <c r="BR303" s="1"/>
      <c r="BS303" s="1"/>
      <c r="BT303" s="1"/>
      <c r="BU303" s="1"/>
      <c r="BV303" s="1"/>
      <c r="BW303" s="1"/>
      <c r="BX303" s="1"/>
      <c r="BY303" s="1"/>
      <c r="BZ303" s="1"/>
    </row>
    <row r="304" spans="2:78" ht="12" customHeight="1" outlineLevel="1" x14ac:dyDescent="0.25">
      <c r="B304" s="104" t="s">
        <v>99</v>
      </c>
      <c r="C304" s="104" t="s">
        <v>121</v>
      </c>
      <c r="D304" s="2" t="s">
        <v>132</v>
      </c>
      <c r="E304" s="2" t="s">
        <v>99</v>
      </c>
      <c r="F304" s="105" t="s">
        <v>122</v>
      </c>
      <c r="G304" s="27" t="s">
        <v>1579</v>
      </c>
      <c r="H304" s="106" t="s">
        <v>128</v>
      </c>
      <c r="I304" s="107" t="s">
        <v>129</v>
      </c>
      <c r="J304" s="147">
        <v>3.72132342</v>
      </c>
      <c r="K304" s="148">
        <v>0.37839999999999996</v>
      </c>
      <c r="L304" s="149">
        <f t="shared" ca="1" si="162"/>
        <v>0.70355962433522523</v>
      </c>
      <c r="M304" s="148">
        <f t="shared" ca="1" si="163"/>
        <v>0.64462696184844914</v>
      </c>
      <c r="N304" s="148">
        <f t="shared" ca="1" si="164"/>
        <v>0.26622696184844918</v>
      </c>
      <c r="O304" s="1062" t="s">
        <v>1583</v>
      </c>
      <c r="P304" s="104"/>
      <c r="R304" s="119"/>
      <c r="S304" s="1072"/>
      <c r="T304" s="1072"/>
      <c r="U304" s="1072"/>
      <c r="V304" s="1072"/>
      <c r="W304" s="1072"/>
      <c r="X304" s="1072"/>
      <c r="Y304" s="1072"/>
      <c r="Z304" s="1072"/>
      <c r="AA304" s="1072"/>
      <c r="AB304" s="1072"/>
      <c r="AC304" s="1072"/>
      <c r="AD304" s="1072"/>
      <c r="AE304" s="1072"/>
      <c r="AF304" s="1072"/>
      <c r="AG304" s="1072"/>
      <c r="AH304" s="1072"/>
      <c r="AI304" s="1072"/>
      <c r="AJ304" s="1073"/>
      <c r="AK304" s="1052" cm="1">
        <f t="array" aca="1" ref="AK304" ca="1">INDEX(OFFSET($AK$19,MATCH($B304,$B$19:$B$150,0)-1,0,COUNTA($B$19:$B$24),COUNTA($AK$17:$BB$17)),MATCH($F304,$F$19:$F$24,0),MATCH(AK$17,$AK$17:$BB$17,0))*INDEX($10:$13,MATCH($O304,$R$10:$R$13,0),COLUMN())</f>
        <v>4.1920661249999998E-2</v>
      </c>
      <c r="AL304" s="1050" cm="1">
        <f t="array" aca="1" ref="AL304" ca="1">INDEX(OFFSET($AK$19,MATCH($B304,$B$19:$B$150,0)-1,0,COUNTA($B$19:$B$24),COUNTA($AK$17:$BB$17)),MATCH($F304,$F$19:$F$24,0),MATCH(AL$17,$AK$17:$BB$17,0))*INDEX($10:$13,MATCH($O304,$R$10:$R$13,0),COLUMN())</f>
        <v>4.6170088160000001E-8</v>
      </c>
      <c r="AM304" s="1050" cm="1">
        <f t="array" aca="1" ref="AM304" ca="1">INDEX(OFFSET($AK$19,MATCH($B304,$B$19:$B$150,0)-1,0,COUNTA($B$19:$B$24),COUNTA($AK$17:$BB$17)),MATCH($F304,$F$19:$F$24,0),MATCH(AM$17,$AK$17:$BB$17,0))*INDEX($10:$13,MATCH($O304,$R$10:$R$13,0),COLUMN())</f>
        <v>8.5617537740000007E-5</v>
      </c>
      <c r="AN304" s="1050" cm="1">
        <f t="array" aca="1" ref="AN304" ca="1">INDEX(OFFSET($AK$19,MATCH($B304,$B$19:$B$150,0)-1,0,COUNTA($B$19:$B$24),COUNTA($AK$17:$BB$17)),MATCH($F304,$F$19:$F$24,0),MATCH(AN$17,$AK$17:$BB$17,0))*INDEX($10:$13,MATCH($O304,$R$10:$R$13,0),COLUMN())</f>
        <v>9.8364489849999998E-4</v>
      </c>
      <c r="AO304" s="1050" cm="1">
        <f t="array" aca="1" ref="AO304" ca="1">INDEX(OFFSET($AK$19,MATCH($B304,$B$19:$B$150,0)-1,0,COUNTA($B$19:$B$24),COUNTA($AK$17:$BB$17)),MATCH($F304,$F$19:$F$24,0),MATCH(AO$17,$AK$17:$BB$17,0))*INDEX($10:$13,MATCH($O304,$R$10:$R$13,0),COLUMN())</f>
        <v>1.4853400576E-2</v>
      </c>
      <c r="AP304" s="1050" cm="1">
        <f t="array" aca="1" ref="AP304" ca="1">INDEX(OFFSET($AK$19,MATCH($B304,$B$19:$B$150,0)-1,0,COUNTA($B$19:$B$24),COUNTA($AK$17:$BB$17)),MATCH($F304,$F$19:$F$24,0),MATCH(AP$17,$AK$17:$BB$17,0))*INDEX($10:$13,MATCH($O304,$R$10:$R$13,0),COLUMN())</f>
        <v>7.8998497899999999E-3</v>
      </c>
      <c r="AQ304" s="1050" cm="1">
        <f t="array" aca="1" ref="AQ304" ca="1">INDEX(OFFSET($AK$19,MATCH($B304,$B$19:$B$150,0)-1,0,COUNTA($B$19:$B$24),COUNTA($AK$17:$BB$17)),MATCH($F304,$F$19:$F$24,0),MATCH(AQ$17,$AK$17:$BB$17,0))*INDEX($10:$13,MATCH($O304,$R$10:$R$13,0),COLUMN())</f>
        <v>5.1923082959999998E-5</v>
      </c>
      <c r="AR304" s="1050" cm="1">
        <f t="array" aca="1" ref="AR304" ca="1">INDEX(OFFSET($AK$19,MATCH($B304,$B$19:$B$150,0)-1,0,COUNTA($B$19:$B$24),COUNTA($AK$17:$BB$17)),MATCH($F304,$F$19:$F$24,0),MATCH(AR$17,$AK$17:$BB$17,0))*INDEX($10:$13,MATCH($O304,$R$10:$R$13,0),COLUMN())</f>
        <v>1.1761718019E-2</v>
      </c>
      <c r="AS304" s="1050" cm="1">
        <f t="array" aca="1" ref="AS304" ca="1">INDEX(OFFSET($AK$19,MATCH($B304,$B$19:$B$150,0)-1,0,COUNTA($B$19:$B$24),COUNTA($AK$17:$BB$17)),MATCH($F304,$F$19:$F$24,0),MATCH(AS$17,$AK$17:$BB$17,0))*INDEX($10:$13,MATCH($O304,$R$10:$R$13,0),COLUMN())</f>
        <v>1.2286783179E-4</v>
      </c>
      <c r="AT304" s="1050" cm="1">
        <f t="array" aca="1" ref="AT304" ca="1">INDEX(OFFSET($AK$19,MATCH($B304,$B$19:$B$150,0)-1,0,COUNTA($B$19:$B$24),COUNTA($AK$17:$BB$17)),MATCH($F304,$F$19:$F$24,0),MATCH(AT$17,$AK$17:$BB$17,0))*INDEX($10:$13,MATCH($O304,$R$10:$R$13,0),COLUMN())</f>
        <v>4.4305381989999995E-6</v>
      </c>
      <c r="AU304" s="1050" cm="1">
        <f t="array" aca="1" ref="AU304" ca="1">INDEX(OFFSET($AK$19,MATCH($B304,$B$19:$B$150,0)-1,0,COUNTA($B$19:$B$24),COUNTA($AK$17:$BB$17)),MATCH($F304,$F$19:$F$24,0),MATCH(AU$17,$AK$17:$BB$17,0))*INDEX($10:$13,MATCH($O304,$R$10:$R$13,0),COLUMN())</f>
        <v>9.3954427749999991E-7</v>
      </c>
      <c r="AV304" s="1050" cm="1">
        <f t="array" aca="1" ref="AV304" ca="1">INDEX(OFFSET($AK$19,MATCH($B304,$B$19:$B$150,0)-1,0,COUNTA($B$19:$B$24),COUNTA($AK$17:$BB$17)),MATCH($F304,$F$19:$F$24,0),MATCH(AV$17,$AK$17:$BB$17,0))*INDEX($10:$13,MATCH($O304,$R$10:$R$13,0),COLUMN())</f>
        <v>7.0908943719999993E-4</v>
      </c>
      <c r="AW304" s="1050" cm="1">
        <f t="array" aca="1" ref="AW304" ca="1">INDEX(OFFSET($AK$19,MATCH($B304,$B$19:$B$150,0)-1,0,COUNTA($B$19:$B$24),COUNTA($AK$17:$BB$17)),MATCH($F304,$F$19:$F$24,0),MATCH(AW$17,$AK$17:$BB$17,0))*INDEX($10:$13,MATCH($O304,$R$10:$R$13,0),COLUMN())</f>
        <v>0.18783271780000002</v>
      </c>
      <c r="AX304" s="1050" cm="1">
        <f t="array" aca="1" ref="AX304" ca="1">INDEX(OFFSET($AK$19,MATCH($B304,$B$19:$B$150,0)-1,0,COUNTA($B$19:$B$24),COUNTA($AK$17:$BB$17)),MATCH($F304,$F$19:$F$24,0),MATCH(AX$17,$AK$17:$BB$17,0))*INDEX($10:$13,MATCH($O304,$R$10:$R$13,0),COLUMN())</f>
        <v>5.5372694520000002E-8</v>
      </c>
      <c r="AY304" s="1050" cm="1">
        <f t="array" aca="1" ref="AY304" ca="1">INDEX(OFFSET($AK$19,MATCH($B304,$B$19:$B$150,0)-1,0,COUNTA($B$19:$B$24),COUNTA($AK$17:$BB$17)),MATCH($F304,$F$19:$F$24,0),MATCH(AY$17,$AK$17:$BB$17,0))*INDEX($10:$13,MATCH($O304,$R$10:$R$13,0),COLUMN())</f>
        <v>0</v>
      </c>
      <c r="AZ304" s="1050" cm="1">
        <f t="array" aca="1" ref="AZ304" ca="1">INDEX(OFFSET($AK$19,MATCH($B304,$B$19:$B$150,0)-1,0,COUNTA($B$19:$B$24),COUNTA($AK$17:$BB$17)),MATCH($F304,$F$19:$F$24,0),MATCH(AZ$17,$AK$17:$BB$17,0))*INDEX($10:$13,MATCH($O304,$R$10:$R$13,0),COLUMN())</f>
        <v>0</v>
      </c>
      <c r="BA304" s="1050" cm="1">
        <f t="array" aca="1" ref="BA304" ca="1">INDEX(OFFSET($AK$19,MATCH($B304,$B$19:$B$150,0)-1,0,COUNTA($B$19:$B$24),COUNTA($AK$17:$BB$17)),MATCH($F304,$F$19:$F$24,0),MATCH(BA$17,$AK$17:$BB$17,0))*INDEX($10:$13,MATCH($O304,$R$10:$R$13,0),COLUMN())</f>
        <v>0</v>
      </c>
      <c r="BB304" s="1051" cm="1">
        <f t="array" aca="1" ref="BB304" ca="1">INDEX(OFFSET($AK$19,MATCH($B304,$B$19:$B$150,0)-1,0,COUNTA($B$19:$B$24),COUNTA($AK$17:$BB$17)),MATCH($F304,$F$19:$F$24,0),MATCH(BB$17,$AK$17:$BB$17,0))*INDEX($10:$13,MATCH($O304,$R$10:$R$13,0),COLUMN())</f>
        <v>0</v>
      </c>
      <c r="BC304" s="1053">
        <f t="shared" ca="1" si="165"/>
        <v>0.18783277317269453</v>
      </c>
      <c r="BE304" s="1"/>
      <c r="BF304" s="1"/>
      <c r="BG304" s="1"/>
      <c r="BH304" s="1"/>
      <c r="BI304" s="1"/>
      <c r="BJ304" s="1"/>
      <c r="BK304" s="1"/>
      <c r="BL304" s="1"/>
      <c r="BM304" s="1"/>
      <c r="BN304" s="1"/>
      <c r="BO304" s="1"/>
      <c r="BP304" s="1"/>
      <c r="BQ304" s="1"/>
      <c r="BR304" s="1"/>
      <c r="BS304" s="1"/>
      <c r="BT304" s="1"/>
      <c r="BU304" s="1"/>
      <c r="BV304" s="1"/>
      <c r="BW304" s="1"/>
      <c r="BX304" s="1"/>
      <c r="BY304" s="1"/>
      <c r="BZ304" s="1"/>
    </row>
    <row r="305" spans="2:78" ht="12" customHeight="1" outlineLevel="1" x14ac:dyDescent="0.25">
      <c r="B305" s="104" t="s">
        <v>99</v>
      </c>
      <c r="C305" s="104" t="s">
        <v>121</v>
      </c>
      <c r="D305" s="2" t="s">
        <v>132</v>
      </c>
      <c r="E305" s="2" t="s">
        <v>99</v>
      </c>
      <c r="F305" s="105" t="s">
        <v>93</v>
      </c>
      <c r="G305" s="27" t="s">
        <v>1578</v>
      </c>
      <c r="H305" s="106" t="s">
        <v>130</v>
      </c>
      <c r="I305" s="107" t="s">
        <v>129</v>
      </c>
      <c r="J305" s="147">
        <v>3.72132342</v>
      </c>
      <c r="K305" s="148">
        <v>0.37839999999999996</v>
      </c>
      <c r="L305" s="149">
        <f t="shared" ca="1" si="162"/>
        <v>0.89943593075223627</v>
      </c>
      <c r="M305" s="148">
        <f t="shared" ca="1" si="163"/>
        <v>0.71874655619664618</v>
      </c>
      <c r="N305" s="148">
        <f t="shared" ca="1" si="164"/>
        <v>0.34034655619664617</v>
      </c>
      <c r="O305" s="1062" t="s">
        <v>1583</v>
      </c>
      <c r="P305" s="104"/>
      <c r="R305" s="119"/>
      <c r="S305" s="1072"/>
      <c r="T305" s="1072"/>
      <c r="U305" s="1072"/>
      <c r="V305" s="1072"/>
      <c r="W305" s="1072"/>
      <c r="X305" s="1072"/>
      <c r="Y305" s="1072"/>
      <c r="Z305" s="1072"/>
      <c r="AA305" s="1072"/>
      <c r="AB305" s="1072"/>
      <c r="AC305" s="1072"/>
      <c r="AD305" s="1072"/>
      <c r="AE305" s="1072"/>
      <c r="AF305" s="1072"/>
      <c r="AG305" s="1072"/>
      <c r="AH305" s="1072"/>
      <c r="AI305" s="1072"/>
      <c r="AJ305" s="1073"/>
      <c r="AK305" s="1052" cm="1">
        <f t="array" aca="1" ref="AK305" ca="1">INDEX(OFFSET($AK$19,MATCH($B305,$B$19:$B$150,0)-1,0,COUNTA($B$19:$B$24),COUNTA($AK$17:$BB$17)),MATCH($F305,$F$19:$F$24,0),MATCH(AK$17,$AK$17:$BB$17,0))*INDEX($10:$13,MATCH($O305,$R$10:$R$13,0),COLUMN())</f>
        <v>5.3557888800000002E-2</v>
      </c>
      <c r="AL305" s="1050" cm="1">
        <f t="array" aca="1" ref="AL305" ca="1">INDEX(OFFSET($AK$19,MATCH($B305,$B$19:$B$150,0)-1,0,COUNTA($B$19:$B$24),COUNTA($AK$17:$BB$17)),MATCH($F305,$F$19:$F$24,0),MATCH(AL$17,$AK$17:$BB$17,0))*INDEX($10:$13,MATCH($O305,$R$10:$R$13,0),COLUMN())</f>
        <v>5.8986962239999995E-8</v>
      </c>
      <c r="AM305" s="1050" cm="1">
        <f t="array" aca="1" ref="AM305" ca="1">INDEX(OFFSET($AK$19,MATCH($B305,$B$19:$B$150,0)-1,0,COUNTA($B$19:$B$24),COUNTA($AK$17:$BB$17)),MATCH($F305,$F$19:$F$24,0),MATCH(AM$17,$AK$17:$BB$17,0))*INDEX($10:$13,MATCH($O305,$R$10:$R$13,0),COLUMN())</f>
        <v>1.0938507041E-4</v>
      </c>
      <c r="AN305" s="1050" cm="1">
        <f t="array" aca="1" ref="AN305" ca="1">INDEX(OFFSET($AK$19,MATCH($B305,$B$19:$B$150,0)-1,0,COUNTA($B$19:$B$24),COUNTA($AK$17:$BB$17)),MATCH($F305,$F$19:$F$24,0),MATCH(AN$17,$AK$17:$BB$17,0))*INDEX($10:$13,MATCH($O305,$R$10:$R$13,0),COLUMN())</f>
        <v>1.2567058549999999E-3</v>
      </c>
      <c r="AO305" s="1050" cm="1">
        <f t="array" aca="1" ref="AO305" ca="1">INDEX(OFFSET($AK$19,MATCH($B305,$B$19:$B$150,0)-1,0,COUNTA($B$19:$B$24),COUNTA($AK$17:$BB$17)),MATCH($F305,$F$19:$F$24,0),MATCH(AO$17,$AK$17:$BB$17,0))*INDEX($10:$13,MATCH($O305,$R$10:$R$13,0),COLUMN())</f>
        <v>1.8976722744000002E-2</v>
      </c>
      <c r="AP305" s="1050" cm="1">
        <f t="array" aca="1" ref="AP305" ca="1">INDEX(OFFSET($AK$19,MATCH($B305,$B$19:$B$150,0)-1,0,COUNTA($B$19:$B$24),COUNTA($AK$17:$BB$17)),MATCH($F305,$F$19:$F$24,0),MATCH(AP$17,$AK$17:$BB$17,0))*INDEX($10:$13,MATCH($O305,$R$10:$R$13,0),COLUMN())</f>
        <v>1.0092857816999999E-2</v>
      </c>
      <c r="AQ305" s="1050" cm="1">
        <f t="array" aca="1" ref="AQ305" ca="1">INDEX(OFFSET($AK$19,MATCH($B305,$B$19:$B$150,0)-1,0,COUNTA($B$19:$B$24),COUNTA($AK$17:$BB$17)),MATCH($F305,$F$19:$F$24,0),MATCH(AQ$17,$AK$17:$BB$17,0))*INDEX($10:$13,MATCH($O305,$R$10:$R$13,0),COLUMN())</f>
        <v>6.6336994860000001E-5</v>
      </c>
      <c r="AR305" s="1050" cm="1">
        <f t="array" aca="1" ref="AR305" ca="1">INDEX(OFFSET($AK$19,MATCH($B305,$B$19:$B$150,0)-1,0,COUNTA($B$19:$B$24),COUNTA($AK$17:$BB$17)),MATCH($F305,$F$19:$F$24,0),MATCH(AR$17,$AK$17:$BB$17,0))*INDEX($10:$13,MATCH($O305,$R$10:$R$13,0),COLUMN())</f>
        <v>1.5026785107E-2</v>
      </c>
      <c r="AS305" s="1050" cm="1">
        <f t="array" aca="1" ref="AS305" ca="1">INDEX(OFFSET($AK$19,MATCH($B305,$B$19:$B$150,0)-1,0,COUNTA($B$19:$B$24),COUNTA($AK$17:$BB$17)),MATCH($F305,$F$19:$F$24,0),MATCH(AS$17,$AK$17:$BB$17,0))*INDEX($10:$13,MATCH($O305,$R$10:$R$13,0),COLUMN())</f>
        <v>2.2284525636999999E-4</v>
      </c>
      <c r="AT305" s="1050" cm="1">
        <f t="array" aca="1" ref="AT305" ca="1">INDEX(OFFSET($AK$19,MATCH($B305,$B$19:$B$150,0)-1,0,COUNTA($B$19:$B$24),COUNTA($AK$17:$BB$17)),MATCH($F305,$F$19:$F$24,0),MATCH(AT$17,$AK$17:$BB$17,0))*INDEX($10:$13,MATCH($O305,$R$10:$R$13,0),COLUMN())</f>
        <v>5.6822869270000003E-6</v>
      </c>
      <c r="AU305" s="1050" cm="1">
        <f t="array" aca="1" ref="AU305" ca="1">INDEX(OFFSET($AK$19,MATCH($B305,$B$19:$B$150,0)-1,0,COUNTA($B$19:$B$24),COUNTA($AK$17:$BB$17)),MATCH($F305,$F$19:$F$24,0),MATCH(AU$17,$AK$17:$BB$17,0))*INDEX($10:$13,MATCH($O305,$R$10:$R$13,0),COLUMN())</f>
        <v>1.2027227956E-6</v>
      </c>
      <c r="AV305" s="1050" cm="1">
        <f t="array" aca="1" ref="AV305" ca="1">INDEX(OFFSET($AK$19,MATCH($B305,$B$19:$B$150,0)-1,0,COUNTA($B$19:$B$24),COUNTA($AK$17:$BB$17)),MATCH($F305,$F$19:$F$24,0),MATCH(AV$17,$AK$17:$BB$17,0))*INDEX($10:$13,MATCH($O305,$R$10:$R$13,0),COLUMN())</f>
        <v>1.0547035610999999E-3</v>
      </c>
      <c r="AW305" s="1050" cm="1">
        <f t="array" aca="1" ref="AW305" ca="1">INDEX(OFFSET($AK$19,MATCH($B305,$B$19:$B$150,0)-1,0,COUNTA($B$19:$B$24),COUNTA($AK$17:$BB$17)),MATCH($F305,$F$19:$F$24,0),MATCH(AW$17,$AK$17:$BB$17,0))*INDEX($10:$13,MATCH($O305,$R$10:$R$13,0),COLUMN())</f>
        <v>0.23997531025000002</v>
      </c>
      <c r="AX305" s="1050" cm="1">
        <f t="array" aca="1" ref="AX305" ca="1">INDEX(OFFSET($AK$19,MATCH($B305,$B$19:$B$150,0)-1,0,COUNTA($B$19:$B$24),COUNTA($AK$17:$BB$17)),MATCH($F305,$F$19:$F$24,0),MATCH(AX$17,$AK$17:$BB$17,0))*INDEX($10:$13,MATCH($O305,$R$10:$R$13,0),COLUMN())</f>
        <v>7.074422134E-8</v>
      </c>
      <c r="AY305" s="1050" cm="1">
        <f t="array" aca="1" ref="AY305" ca="1">INDEX(OFFSET($AK$19,MATCH($B305,$B$19:$B$150,0)-1,0,COUNTA($B$19:$B$24),COUNTA($AK$17:$BB$17)),MATCH($F305,$F$19:$F$24,0),MATCH(AY$17,$AK$17:$BB$17,0))*INDEX($10:$13,MATCH($O305,$R$10:$R$13,0),COLUMN())</f>
        <v>0</v>
      </c>
      <c r="AZ305" s="1050" cm="1">
        <f t="array" aca="1" ref="AZ305" ca="1">INDEX(OFFSET($AK$19,MATCH($B305,$B$19:$B$150,0)-1,0,COUNTA($B$19:$B$24),COUNTA($AK$17:$BB$17)),MATCH($F305,$F$19:$F$24,0),MATCH(AZ$17,$AK$17:$BB$17,0))*INDEX($10:$13,MATCH($O305,$R$10:$R$13,0),COLUMN())</f>
        <v>0</v>
      </c>
      <c r="BA305" s="1050" cm="1">
        <f t="array" aca="1" ref="BA305" ca="1">INDEX(OFFSET($AK$19,MATCH($B305,$B$19:$B$150,0)-1,0,COUNTA($B$19:$B$24),COUNTA($AK$17:$BB$17)),MATCH($F305,$F$19:$F$24,0),MATCH(BA$17,$AK$17:$BB$17,0))*INDEX($10:$13,MATCH($O305,$R$10:$R$13,0),COLUMN())</f>
        <v>0</v>
      </c>
      <c r="BB305" s="1051" cm="1">
        <f t="array" aca="1" ref="BB305" ca="1">INDEX(OFFSET($AK$19,MATCH($B305,$B$19:$B$150,0)-1,0,COUNTA($B$19:$B$24),COUNTA($AK$17:$BB$17)),MATCH($F305,$F$19:$F$24,0),MATCH(BB$17,$AK$17:$BB$17,0))*INDEX($10:$13,MATCH($O305,$R$10:$R$13,0),COLUMN())</f>
        <v>0</v>
      </c>
      <c r="BC305" s="1053">
        <f t="shared" ca="1" si="165"/>
        <v>0.23997538099422136</v>
      </c>
      <c r="BE305" s="1"/>
      <c r="BF305" s="1"/>
      <c r="BG305" s="1"/>
      <c r="BH305" s="1"/>
      <c r="BI305" s="1"/>
      <c r="BJ305" s="1"/>
      <c r="BK305" s="1"/>
      <c r="BL305" s="1"/>
      <c r="BM305" s="1"/>
      <c r="BN305" s="1"/>
      <c r="BO305" s="1"/>
      <c r="BP305" s="1"/>
      <c r="BQ305" s="1"/>
      <c r="BR305" s="1"/>
      <c r="BS305" s="1"/>
      <c r="BT305" s="1"/>
      <c r="BU305" s="1"/>
      <c r="BV305" s="1"/>
      <c r="BW305" s="1"/>
      <c r="BX305" s="1"/>
      <c r="BY305" s="1"/>
      <c r="BZ305" s="1"/>
    </row>
    <row r="306" spans="2:78" ht="12" customHeight="1" outlineLevel="1" x14ac:dyDescent="0.25">
      <c r="B306" s="104" t="s">
        <v>99</v>
      </c>
      <c r="C306" s="104" t="s">
        <v>121</v>
      </c>
      <c r="D306" s="2" t="s">
        <v>132</v>
      </c>
      <c r="E306" s="2" t="s">
        <v>99</v>
      </c>
      <c r="F306" s="105" t="s">
        <v>94</v>
      </c>
      <c r="G306" s="27" t="s">
        <v>1580</v>
      </c>
      <c r="H306" s="106" t="s">
        <v>131</v>
      </c>
      <c r="I306" s="107" t="s">
        <v>129</v>
      </c>
      <c r="J306" s="147">
        <v>3.72132342</v>
      </c>
      <c r="K306" s="148">
        <v>0.37839999999999996</v>
      </c>
      <c r="L306" s="149">
        <f t="shared" ca="1" si="162"/>
        <v>0.57748642868041467</v>
      </c>
      <c r="M306" s="148">
        <f t="shared" ca="1" si="163"/>
        <v>0.5969208646126688</v>
      </c>
      <c r="N306" s="148">
        <f t="shared" ca="1" si="164"/>
        <v>0.21852086461266887</v>
      </c>
      <c r="O306" s="1062" t="s">
        <v>1583</v>
      </c>
      <c r="P306" s="104"/>
      <c r="R306" s="119"/>
      <c r="S306" s="1072"/>
      <c r="T306" s="1072"/>
      <c r="U306" s="1072"/>
      <c r="V306" s="1072"/>
      <c r="W306" s="1072"/>
      <c r="X306" s="1072"/>
      <c r="Y306" s="1072"/>
      <c r="Z306" s="1072"/>
      <c r="AA306" s="1072"/>
      <c r="AB306" s="1072"/>
      <c r="AC306" s="1072"/>
      <c r="AD306" s="1072"/>
      <c r="AE306" s="1072"/>
      <c r="AF306" s="1072"/>
      <c r="AG306" s="1072"/>
      <c r="AH306" s="1072"/>
      <c r="AI306" s="1072"/>
      <c r="AJ306" s="1073"/>
      <c r="AK306" s="1052" cm="1">
        <f t="array" aca="1" ref="AK306" ca="1">INDEX(OFFSET($AK$19,MATCH($B306,$B$19:$B$150,0)-1,0,COUNTA($B$19:$B$24),COUNTA($AK$17:$BB$17)),MATCH($F306,$F$19:$F$24,0),MATCH(AK$17,$AK$17:$BB$17,0))*INDEX($10:$13,MATCH($O306,$R$10:$R$13,0),COLUMN())</f>
        <v>3.4430488950000004E-2</v>
      </c>
      <c r="AL306" s="1050" cm="1">
        <f t="array" aca="1" ref="AL306" ca="1">INDEX(OFFSET($AK$19,MATCH($B306,$B$19:$B$150,0)-1,0,COUNTA($B$19:$B$24),COUNTA($AK$17:$BB$17)),MATCH($F306,$F$19:$F$24,0),MATCH(AL$17,$AK$17:$BB$17,0))*INDEX($10:$13,MATCH($O306,$R$10:$R$13,0),COLUMN())</f>
        <v>3.7920646879999998E-8</v>
      </c>
      <c r="AM306" s="1050" cm="1">
        <f t="array" aca="1" ref="AM306" ca="1">INDEX(OFFSET($AK$19,MATCH($B306,$B$19:$B$150,0)-1,0,COUNTA($B$19:$B$24),COUNTA($AK$17:$BB$17)),MATCH($F306,$F$19:$F$24,0),MATCH(AM$17,$AK$17:$BB$17,0))*INDEX($10:$13,MATCH($O306,$R$10:$R$13,0),COLUMN())</f>
        <v>7.0319824380000003E-5</v>
      </c>
      <c r="AN306" s="1050" cm="1">
        <f t="array" aca="1" ref="AN306" ca="1">INDEX(OFFSET($AK$19,MATCH($B306,$B$19:$B$150,0)-1,0,COUNTA($B$19:$B$24),COUNTA($AK$17:$BB$17)),MATCH($F306,$F$19:$F$24,0),MATCH(AN$17,$AK$17:$BB$17,0))*INDEX($10:$13,MATCH($O306,$R$10:$R$13,0),COLUMN())</f>
        <v>8.0789214650000001E-4</v>
      </c>
      <c r="AO306" s="1050" cm="1">
        <f t="array" aca="1" ref="AO306" ca="1">INDEX(OFFSET($AK$19,MATCH($B306,$B$19:$B$150,0)-1,0,COUNTA($B$19:$B$24),COUNTA($AK$17:$BB$17)),MATCH($F306,$F$19:$F$24,0),MATCH(AO$17,$AK$17:$BB$17,0))*INDEX($10:$13,MATCH($O306,$R$10:$R$13,0),COLUMN())</f>
        <v>1.2199469632E-2</v>
      </c>
      <c r="AP306" s="1050" cm="1">
        <f t="array" aca="1" ref="AP306" ca="1">INDEX(OFFSET($AK$19,MATCH($B306,$B$19:$B$150,0)-1,0,COUNTA($B$19:$B$24),COUNTA($AK$17:$BB$17)),MATCH($F306,$F$19:$F$24,0),MATCH(AP$17,$AK$17:$BB$17,0))*INDEX($10:$13,MATCH($O306,$R$10:$R$13,0),COLUMN())</f>
        <v>6.4883444429999996E-3</v>
      </c>
      <c r="AQ306" s="1050" cm="1">
        <f t="array" aca="1" ref="AQ306" ca="1">INDEX(OFFSET($AK$19,MATCH($B306,$B$19:$B$150,0)-1,0,COUNTA($B$19:$B$24),COUNTA($AK$17:$BB$17)),MATCH($F306,$F$19:$F$24,0),MATCH(AQ$17,$AK$17:$BB$17,0))*INDEX($10:$13,MATCH($O306,$R$10:$R$13,0),COLUMN())</f>
        <v>4.2645726600000005E-5</v>
      </c>
      <c r="AR306" s="1050" cm="1">
        <f t="array" aca="1" ref="AR306" ca="1">INDEX(OFFSET($AK$19,MATCH($B306,$B$19:$B$150,0)-1,0,COUNTA($B$19:$B$24),COUNTA($AK$17:$BB$17)),MATCH($F306,$F$19:$F$24,0),MATCH(AR$17,$AK$17:$BB$17,0))*INDEX($10:$13,MATCH($O306,$R$10:$R$13,0),COLUMN())</f>
        <v>9.6601930539999999E-3</v>
      </c>
      <c r="AS306" s="1050" cm="1">
        <f t="array" aca="1" ref="AS306" ca="1">INDEX(OFFSET($AK$19,MATCH($B306,$B$19:$B$150,0)-1,0,COUNTA($B$19:$B$24),COUNTA($AK$17:$BB$17)),MATCH($F306,$F$19:$F$24,0),MATCH(AS$17,$AK$17:$BB$17,0))*INDEX($10:$13,MATCH($O306,$R$10:$R$13,0),COLUMN())</f>
        <v>5.8569431195000002E-5</v>
      </c>
      <c r="AT306" s="1050" cm="1">
        <f t="array" aca="1" ref="AT306" ca="1">INDEX(OFFSET($AK$19,MATCH($B306,$B$19:$B$150,0)-1,0,COUNTA($B$19:$B$24),COUNTA($AK$17:$BB$17)),MATCH($F306,$F$19:$F$24,0),MATCH(AT$17,$AK$17:$BB$17,0))*INDEX($10:$13,MATCH($O306,$R$10:$R$13,0),COLUMN())</f>
        <v>3.6248807809999999E-6</v>
      </c>
      <c r="AU306" s="1050" cm="1">
        <f t="array" aca="1" ref="AU306" ca="1">INDEX(OFFSET($AK$19,MATCH($B306,$B$19:$B$150,0)-1,0,COUNTA($B$19:$B$24),COUNTA($AK$17:$BB$17)),MATCH($F306,$F$19:$F$24,0),MATCH(AU$17,$AK$17:$BB$17,0))*INDEX($10:$13,MATCH($O306,$R$10:$R$13,0),COLUMN())</f>
        <v>7.7015409690000001E-7</v>
      </c>
      <c r="AV306" s="1050" cm="1">
        <f t="array" aca="1" ref="AV306" ca="1">INDEX(OFFSET($AK$19,MATCH($B306,$B$19:$B$150,0)-1,0,COUNTA($B$19:$B$24),COUNTA($AK$17:$BB$17)),MATCH($F306,$F$19:$F$24,0),MATCH(AV$17,$AK$17:$BB$17,0))*INDEX($10:$13,MATCH($O306,$R$10:$R$13,0),COLUMN())</f>
        <v>4.8675382049000003E-4</v>
      </c>
      <c r="AW306" s="1050" cm="1">
        <f t="array" aca="1" ref="AW306" ca="1">INDEX(OFFSET($AK$19,MATCH($B306,$B$19:$B$150,0)-1,0,COUNTA($B$19:$B$24),COUNTA($AK$17:$BB$17)),MATCH($F306,$F$19:$F$24,0),MATCH(AW$17,$AK$17:$BB$17,0))*INDEX($10:$13,MATCH($O306,$R$10:$R$13,0),COLUMN())</f>
        <v>0.15427170915000002</v>
      </c>
      <c r="AX306" s="1050" cm="1">
        <f t="array" aca="1" ref="AX306" ca="1">INDEX(OFFSET($AK$19,MATCH($B306,$B$19:$B$150,0)-1,0,COUNTA($B$19:$B$24),COUNTA($AK$17:$BB$17)),MATCH($F306,$F$19:$F$24,0),MATCH(AX$17,$AK$17:$BB$17,0))*INDEX($10:$13,MATCH($O306,$R$10:$R$13,0),COLUMN())</f>
        <v>4.5478979065000008E-8</v>
      </c>
      <c r="AY306" s="1050" cm="1">
        <f t="array" aca="1" ref="AY306" ca="1">INDEX(OFFSET($AK$19,MATCH($B306,$B$19:$B$150,0)-1,0,COUNTA($B$19:$B$24),COUNTA($AK$17:$BB$17)),MATCH($F306,$F$19:$F$24,0),MATCH(AY$17,$AK$17:$BB$17,0))*INDEX($10:$13,MATCH($O306,$R$10:$R$13,0),COLUMN())</f>
        <v>0</v>
      </c>
      <c r="AZ306" s="1050" cm="1">
        <f t="array" aca="1" ref="AZ306" ca="1">INDEX(OFFSET($AK$19,MATCH($B306,$B$19:$B$150,0)-1,0,COUNTA($B$19:$B$24),COUNTA($AK$17:$BB$17)),MATCH($F306,$F$19:$F$24,0),MATCH(AZ$17,$AK$17:$BB$17,0))*INDEX($10:$13,MATCH($O306,$R$10:$R$13,0),COLUMN())</f>
        <v>0</v>
      </c>
      <c r="BA306" s="1050" cm="1">
        <f t="array" aca="1" ref="BA306" ca="1">INDEX(OFFSET($AK$19,MATCH($B306,$B$19:$B$150,0)-1,0,COUNTA($B$19:$B$24),COUNTA($AK$17:$BB$17)),MATCH($F306,$F$19:$F$24,0),MATCH(BA$17,$AK$17:$BB$17,0))*INDEX($10:$13,MATCH($O306,$R$10:$R$13,0),COLUMN())</f>
        <v>0</v>
      </c>
      <c r="BB306" s="1051" cm="1">
        <f t="array" aca="1" ref="BB306" ca="1">INDEX(OFFSET($AK$19,MATCH($B306,$B$19:$B$150,0)-1,0,COUNTA($B$19:$B$24),COUNTA($AK$17:$BB$17)),MATCH($F306,$F$19:$F$24,0),MATCH(BB$17,$AK$17:$BB$17,0))*INDEX($10:$13,MATCH($O306,$R$10:$R$13,0),COLUMN())</f>
        <v>0</v>
      </c>
      <c r="BC306" s="1053">
        <f t="shared" ca="1" si="165"/>
        <v>0.15427175462897907</v>
      </c>
      <c r="BE306" s="1"/>
      <c r="BF306" s="1"/>
      <c r="BG306" s="1"/>
      <c r="BH306" s="1"/>
      <c r="BI306" s="1"/>
      <c r="BJ306" s="1"/>
      <c r="BK306" s="1"/>
      <c r="BL306" s="1"/>
      <c r="BM306" s="1"/>
      <c r="BN306" s="1"/>
      <c r="BO306" s="1"/>
      <c r="BP306" s="1"/>
      <c r="BQ306" s="1"/>
      <c r="BR306" s="1"/>
      <c r="BS306" s="1"/>
      <c r="BT306" s="1"/>
      <c r="BU306" s="1"/>
      <c r="BV306" s="1"/>
      <c r="BW306" s="1"/>
      <c r="BX306" s="1"/>
      <c r="BY306" s="1"/>
      <c r="BZ306" s="1"/>
    </row>
    <row r="307" spans="2:78" ht="12" customHeight="1" outlineLevel="1" x14ac:dyDescent="0.25">
      <c r="B307" s="104" t="s">
        <v>99</v>
      </c>
      <c r="C307" s="104" t="s">
        <v>121</v>
      </c>
      <c r="D307" s="2" t="s">
        <v>132</v>
      </c>
      <c r="E307" s="2" t="s">
        <v>99</v>
      </c>
      <c r="F307" s="105" t="s">
        <v>95</v>
      </c>
      <c r="G307" s="27" t="s">
        <v>1581</v>
      </c>
      <c r="H307" s="106" t="s">
        <v>128</v>
      </c>
      <c r="I307" s="107" t="s">
        <v>127</v>
      </c>
      <c r="J307" s="147">
        <v>3.72132342</v>
      </c>
      <c r="K307" s="148">
        <v>0.37839999999999996</v>
      </c>
      <c r="L307" s="149">
        <f t="shared" ca="1" si="162"/>
        <v>0.85321747397777947</v>
      </c>
      <c r="M307" s="148">
        <f t="shared" ca="1" si="163"/>
        <v>0.70125749215319166</v>
      </c>
      <c r="N307" s="148">
        <f t="shared" ca="1" si="164"/>
        <v>0.32285749215319171</v>
      </c>
      <c r="O307" s="1062" t="s">
        <v>1583</v>
      </c>
      <c r="P307" s="104"/>
      <c r="R307" s="119"/>
      <c r="S307" s="1072"/>
      <c r="T307" s="1072"/>
      <c r="U307" s="1072"/>
      <c r="V307" s="1072"/>
      <c r="W307" s="1072"/>
      <c r="X307" s="1072"/>
      <c r="Y307" s="1072"/>
      <c r="Z307" s="1072"/>
      <c r="AA307" s="1072"/>
      <c r="AB307" s="1072"/>
      <c r="AC307" s="1072"/>
      <c r="AD307" s="1072"/>
      <c r="AE307" s="1072"/>
      <c r="AF307" s="1072"/>
      <c r="AG307" s="1072"/>
      <c r="AH307" s="1072"/>
      <c r="AI307" s="1072"/>
      <c r="AJ307" s="1073"/>
      <c r="AK307" s="1052" cm="1">
        <f t="array" aca="1" ref="AK307" ca="1">INDEX(OFFSET($AK$19,MATCH($B307,$B$19:$B$150,0)-1,0,COUNTA($B$19:$B$24),COUNTA($AK$17:$BB$17)),MATCH($F307,$F$19:$F$24,0),MATCH(AK$17,$AK$17:$BB$17,0))*INDEX($10:$13,MATCH($O307,$R$10:$R$13,0),COLUMN())</f>
        <v>4.8707950200000003E-2</v>
      </c>
      <c r="AL307" s="1050" cm="1">
        <f t="array" aca="1" ref="AL307" ca="1">INDEX(OFFSET($AK$19,MATCH($B307,$B$19:$B$150,0)-1,0,COUNTA($B$19:$B$24),COUNTA($AK$17:$BB$17)),MATCH($F307,$F$19:$F$24,0),MATCH(AL$17,$AK$17:$BB$17,0))*INDEX($10:$13,MATCH($O307,$R$10:$R$13,0),COLUMN())</f>
        <v>4.6523707039999996E-8</v>
      </c>
      <c r="AM307" s="1050" cm="1">
        <f t="array" aca="1" ref="AM307" ca="1">INDEX(OFFSET($AK$19,MATCH($B307,$B$19:$B$150,0)-1,0,COUNTA($B$19:$B$24),COUNTA($AK$17:$BB$17)),MATCH($F307,$F$19:$F$24,0),MATCH(AM$17,$AK$17:$BB$17,0))*INDEX($10:$13,MATCH($O307,$R$10:$R$13,0),COLUMN())</f>
        <v>8.6270106290000007E-5</v>
      </c>
      <c r="AN307" s="1050" cm="1">
        <f t="array" aca="1" ref="AN307" ca="1">INDEX(OFFSET($AK$19,MATCH($B307,$B$19:$B$150,0)-1,0,COUNTA($B$19:$B$24),COUNTA($AK$17:$BB$17)),MATCH($F307,$F$19:$F$24,0),MATCH(AN$17,$AK$17:$BB$17,0))*INDEX($10:$13,MATCH($O307,$R$10:$R$13,0),COLUMN())</f>
        <v>1.052608708E-3</v>
      </c>
      <c r="AO307" s="1050" cm="1">
        <f t="array" aca="1" ref="AO307" ca="1">INDEX(OFFSET($AK$19,MATCH($B307,$B$19:$B$150,0)-1,0,COUNTA($B$19:$B$24),COUNTA($AK$17:$BB$17)),MATCH($F307,$F$19:$F$24,0),MATCH(AO$17,$AK$17:$BB$17,0))*INDEX($10:$13,MATCH($O307,$R$10:$R$13,0),COLUMN())</f>
        <v>3.4705427568000005E-2</v>
      </c>
      <c r="AP307" s="1050" cm="1">
        <f t="array" aca="1" ref="AP307" ca="1">INDEX(OFFSET($AK$19,MATCH($B307,$B$19:$B$150,0)-1,0,COUNTA($B$19:$B$24),COUNTA($AK$17:$BB$17)),MATCH($F307,$F$19:$F$24,0),MATCH(AP$17,$AK$17:$BB$17,0))*INDEX($10:$13,MATCH($O307,$R$10:$R$13,0),COLUMN())</f>
        <v>2.6797966152999998E-2</v>
      </c>
      <c r="AQ307" s="1050" cm="1">
        <f t="array" aca="1" ref="AQ307" ca="1">INDEX(OFFSET($AK$19,MATCH($B307,$B$19:$B$150,0)-1,0,COUNTA($B$19:$B$24),COUNTA($AK$17:$BB$17)),MATCH($F307,$F$19:$F$24,0),MATCH(AQ$17,$AK$17:$BB$17,0))*INDEX($10:$13,MATCH($O307,$R$10:$R$13,0),COLUMN())</f>
        <v>2.0546277960000001E-4</v>
      </c>
      <c r="AR307" s="1050" cm="1">
        <f t="array" aca="1" ref="AR307" ca="1">INDEX(OFFSET($AK$19,MATCH($B307,$B$19:$B$150,0)-1,0,COUNTA($B$19:$B$24),COUNTA($AK$17:$BB$17)),MATCH($F307,$F$19:$F$24,0),MATCH(AR$17,$AK$17:$BB$17,0))*INDEX($10:$13,MATCH($O307,$R$10:$R$13,0),COLUMN())</f>
        <v>1.6794282698999997E-2</v>
      </c>
      <c r="AS307" s="1050" cm="1">
        <f t="array" aca="1" ref="AS307" ca="1">INDEX(OFFSET($AK$19,MATCH($B307,$B$19:$B$150,0)-1,0,COUNTA($B$19:$B$24),COUNTA($AK$17:$BB$17)),MATCH($F307,$F$19:$F$24,0),MATCH(AS$17,$AK$17:$BB$17,0))*INDEX($10:$13,MATCH($O307,$R$10:$R$13,0),COLUMN())</f>
        <v>2.4322045605E-3</v>
      </c>
      <c r="AT307" s="1050" cm="1">
        <f t="array" aca="1" ref="AT307" ca="1">INDEX(OFFSET($AK$19,MATCH($B307,$B$19:$B$150,0)-1,0,COUNTA($B$19:$B$24),COUNTA($AK$17:$BB$17)),MATCH($F307,$F$19:$F$24,0),MATCH(AT$17,$AK$17:$BB$17,0))*INDEX($10:$13,MATCH($O307,$R$10:$R$13,0),COLUMN())</f>
        <v>6.1373974610000007E-6</v>
      </c>
      <c r="AU307" s="1050" cm="1">
        <f t="array" aca="1" ref="AU307" ca="1">INDEX(OFFSET($AK$19,MATCH($B307,$B$19:$B$150,0)-1,0,COUNTA($B$19:$B$24),COUNTA($AK$17:$BB$17)),MATCH($F307,$F$19:$F$24,0),MATCH(AU$17,$AK$17:$BB$17,0))*INDEX($10:$13,MATCH($O307,$R$10:$R$13,0),COLUMN())</f>
        <v>1.2007027390999999E-6</v>
      </c>
      <c r="AV307" s="1050" cm="1">
        <f t="array" aca="1" ref="AV307" ca="1">INDEX(OFFSET($AK$19,MATCH($B307,$B$19:$B$150,0)-1,0,COUNTA($B$19:$B$24),COUNTA($AK$17:$BB$17)),MATCH($F307,$F$19:$F$24,0),MATCH(AV$17,$AK$17:$BB$17,0))*INDEX($10:$13,MATCH($O307,$R$10:$R$13,0),COLUMN())</f>
        <v>4.2351615821999995E-3</v>
      </c>
      <c r="AW307" s="1050" cm="1">
        <f t="array" aca="1" ref="AW307" ca="1">INDEX(OFFSET($AK$19,MATCH($B307,$B$19:$B$150,0)-1,0,COUNTA($B$19:$B$24),COUNTA($AK$17:$BB$17)),MATCH($F307,$F$19:$F$24,0),MATCH(AW$17,$AK$17:$BB$17,0))*INDEX($10:$13,MATCH($O307,$R$10:$R$13,0),COLUMN())</f>
        <v>0.18783271780000002</v>
      </c>
      <c r="AX307" s="1050" cm="1">
        <f t="array" aca="1" ref="AX307" ca="1">INDEX(OFFSET($AK$19,MATCH($B307,$B$19:$B$150,0)-1,0,COUNTA($B$19:$B$24),COUNTA($AK$17:$BB$17)),MATCH($F307,$F$19:$F$24,0),MATCH(AX$17,$AK$17:$BB$17,0))*INDEX($10:$13,MATCH($O307,$R$10:$R$13,0),COLUMN())</f>
        <v>5.5372694520000002E-8</v>
      </c>
      <c r="AY307" s="1050" cm="1">
        <f t="array" aca="1" ref="AY307" ca="1">INDEX(OFFSET($AK$19,MATCH($B307,$B$19:$B$150,0)-1,0,COUNTA($B$19:$B$24),COUNTA($AK$17:$BB$17)),MATCH($F307,$F$19:$F$24,0),MATCH(AY$17,$AK$17:$BB$17,0))*INDEX($10:$13,MATCH($O307,$R$10:$R$13,0),COLUMN())</f>
        <v>0</v>
      </c>
      <c r="AZ307" s="1050" cm="1">
        <f t="array" aca="1" ref="AZ307" ca="1">INDEX(OFFSET($AK$19,MATCH($B307,$B$19:$B$150,0)-1,0,COUNTA($B$19:$B$24),COUNTA($AK$17:$BB$17)),MATCH($F307,$F$19:$F$24,0),MATCH(AZ$17,$AK$17:$BB$17,0))*INDEX($10:$13,MATCH($O307,$R$10:$R$13,0),COLUMN())</f>
        <v>0</v>
      </c>
      <c r="BA307" s="1050" cm="1">
        <f t="array" aca="1" ref="BA307" ca="1">INDEX(OFFSET($AK$19,MATCH($B307,$B$19:$B$150,0)-1,0,COUNTA($B$19:$B$24),COUNTA($AK$17:$BB$17)),MATCH($F307,$F$19:$F$24,0),MATCH(BA$17,$AK$17:$BB$17,0))*INDEX($10:$13,MATCH($O307,$R$10:$R$13,0),COLUMN())</f>
        <v>0</v>
      </c>
      <c r="BB307" s="1051" cm="1">
        <f t="array" aca="1" ref="BB307" ca="1">INDEX(OFFSET($AK$19,MATCH($B307,$B$19:$B$150,0)-1,0,COUNTA($B$19:$B$24),COUNTA($AK$17:$BB$17)),MATCH($F307,$F$19:$F$24,0),MATCH(BB$17,$AK$17:$BB$17,0))*INDEX($10:$13,MATCH($O307,$R$10:$R$13,0),COLUMN())</f>
        <v>0</v>
      </c>
      <c r="BC307" s="1053">
        <f t="shared" ca="1" si="165"/>
        <v>0.18783277317269453</v>
      </c>
      <c r="BE307" s="1"/>
      <c r="BF307" s="1"/>
      <c r="BG307" s="1"/>
      <c r="BH307" s="1"/>
      <c r="BI307" s="1"/>
      <c r="BJ307" s="1"/>
      <c r="BK307" s="1"/>
      <c r="BL307" s="1"/>
      <c r="BM307" s="1"/>
      <c r="BN307" s="1"/>
      <c r="BO307" s="1"/>
      <c r="BP307" s="1"/>
      <c r="BQ307" s="1"/>
      <c r="BR307" s="1"/>
      <c r="BS307" s="1"/>
      <c r="BT307" s="1"/>
      <c r="BU307" s="1"/>
      <c r="BV307" s="1"/>
      <c r="BW307" s="1"/>
      <c r="BX307" s="1"/>
      <c r="BY307" s="1"/>
      <c r="BZ307" s="1"/>
    </row>
    <row r="308" spans="2:78" ht="12" customHeight="1" outlineLevel="1" x14ac:dyDescent="0.25">
      <c r="B308" s="104" t="s">
        <v>99</v>
      </c>
      <c r="C308" s="104" t="s">
        <v>121</v>
      </c>
      <c r="D308" s="2" t="s">
        <v>132</v>
      </c>
      <c r="E308" s="2" t="s">
        <v>99</v>
      </c>
      <c r="F308" s="105" t="s">
        <v>96</v>
      </c>
      <c r="G308" s="27" t="s">
        <v>1582</v>
      </c>
      <c r="H308" s="106" t="s">
        <v>128</v>
      </c>
      <c r="I308" s="107" t="s">
        <v>1577</v>
      </c>
      <c r="J308" s="147">
        <v>3.72132342</v>
      </c>
      <c r="K308" s="148">
        <v>0.37839999999999996</v>
      </c>
      <c r="L308" s="149">
        <f t="shared" ca="1" si="162"/>
        <v>0.9627214243630039</v>
      </c>
      <c r="M308" s="148">
        <f t="shared" ca="1" si="163"/>
        <v>0.7426937869789606</v>
      </c>
      <c r="N308" s="148">
        <f t="shared" ca="1" si="164"/>
        <v>0.36429378697896064</v>
      </c>
      <c r="O308" s="1062" t="s">
        <v>1583</v>
      </c>
      <c r="P308" s="104"/>
      <c r="R308" s="119"/>
      <c r="S308" s="1072"/>
      <c r="T308" s="1072"/>
      <c r="U308" s="1072"/>
      <c r="V308" s="1072"/>
      <c r="W308" s="1072"/>
      <c r="X308" s="1072"/>
      <c r="Y308" s="1072"/>
      <c r="Z308" s="1072"/>
      <c r="AA308" s="1072"/>
      <c r="AB308" s="1072"/>
      <c r="AC308" s="1072"/>
      <c r="AD308" s="1072"/>
      <c r="AE308" s="1072"/>
      <c r="AF308" s="1072"/>
      <c r="AG308" s="1072"/>
      <c r="AH308" s="1072"/>
      <c r="AI308" s="1072"/>
      <c r="AJ308" s="1073"/>
      <c r="AK308" s="1052" cm="1">
        <f t="array" aca="1" ref="AK308" ca="1">INDEX(OFFSET($AK$19,MATCH($B308,$B$19:$B$150,0)-1,0,COUNTA($B$19:$B$24),COUNTA($AK$17:$BB$17)),MATCH($F308,$F$19:$F$24,0),MATCH(AK$17,$AK$17:$BB$17,0))*INDEX($10:$13,MATCH($O308,$R$10:$R$13,0),COLUMN())</f>
        <v>5.3572289550000006E-2</v>
      </c>
      <c r="AL308" s="1050" cm="1">
        <f t="array" aca="1" ref="AL308" ca="1">INDEX(OFFSET($AK$19,MATCH($B308,$B$19:$B$150,0)-1,0,COUNTA($B$19:$B$24),COUNTA($AK$17:$BB$17)),MATCH($F308,$F$19:$F$24,0),MATCH(AL$17,$AK$17:$BB$17,0))*INDEX($10:$13,MATCH($O308,$R$10:$R$13,0),COLUMN())</f>
        <v>4.6754485599999999E-8</v>
      </c>
      <c r="AM308" s="1050" cm="1">
        <f t="array" aca="1" ref="AM308" ca="1">INDEX(OFFSET($AK$19,MATCH($B308,$B$19:$B$150,0)-1,0,COUNTA($B$19:$B$24),COUNTA($AK$17:$BB$17)),MATCH($F308,$F$19:$F$24,0),MATCH(AM$17,$AK$17:$BB$17,0))*INDEX($10:$13,MATCH($O308,$R$10:$R$13,0),COLUMN())</f>
        <v>8.6695987310000014E-5</v>
      </c>
      <c r="AN308" s="1050" cm="1">
        <f t="array" aca="1" ref="AN308" ca="1">INDEX(OFFSET($AK$19,MATCH($B308,$B$19:$B$150,0)-1,0,COUNTA($B$19:$B$24),COUNTA($AK$17:$BB$17)),MATCH($F308,$F$19:$F$24,0),MATCH(AN$17,$AK$17:$BB$17,0))*INDEX($10:$13,MATCH($O308,$R$10:$R$13,0),COLUMN())</f>
        <v>1.0976155795E-3</v>
      </c>
      <c r="AO308" s="1050" cm="1">
        <f t="array" aca="1" ref="AO308" ca="1">INDEX(OFFSET($AK$19,MATCH($B308,$B$19:$B$150,0)-1,0,COUNTA($B$19:$B$24),COUNTA($AK$17:$BB$17)),MATCH($F308,$F$19:$F$24,0),MATCH(AO$17,$AK$17:$BB$17,0))*INDEX($10:$13,MATCH($O308,$R$10:$R$13,0),COLUMN())</f>
        <v>4.9138274080000009E-2</v>
      </c>
      <c r="AP308" s="1050" cm="1">
        <f t="array" aca="1" ref="AP308" ca="1">INDEX(OFFSET($AK$19,MATCH($B308,$B$19:$B$150,0)-1,0,COUNTA($B$19:$B$24),COUNTA($AK$17:$BB$17)),MATCH($F308,$F$19:$F$24,0),MATCH(AP$17,$AK$17:$BB$17,0))*INDEX($10:$13,MATCH($O308,$R$10:$R$13,0),COLUMN())</f>
        <v>4.0565002331000001E-2</v>
      </c>
      <c r="AQ308" s="1050" cm="1">
        <f t="array" aca="1" ref="AQ308" ca="1">INDEX(OFFSET($AK$19,MATCH($B308,$B$19:$B$150,0)-1,0,COUNTA($B$19:$B$24),COUNTA($AK$17:$BB$17)),MATCH($F308,$F$19:$F$24,0),MATCH(AQ$17,$AK$17:$BB$17,0))*INDEX($10:$13,MATCH($O308,$R$10:$R$13,0),COLUMN())</f>
        <v>3.1481058000000002E-4</v>
      </c>
      <c r="AR308" s="1050" cm="1">
        <f t="array" aca="1" ref="AR308" ca="1">INDEX(OFFSET($AK$19,MATCH($B308,$B$19:$B$150,0)-1,0,COUNTA($B$19:$B$24),COUNTA($AK$17:$BB$17)),MATCH($F308,$F$19:$F$24,0),MATCH(AR$17,$AK$17:$BB$17,0))*INDEX($10:$13,MATCH($O308,$R$10:$R$13,0),COLUMN())</f>
        <v>2.0463395699999998E-2</v>
      </c>
      <c r="AS308" s="1050" cm="1">
        <f t="array" aca="1" ref="AS308" ca="1">INDEX(OFFSET($AK$19,MATCH($B308,$B$19:$B$150,0)-1,0,COUNTA($B$19:$B$24),COUNTA($AK$17:$BB$17)),MATCH($F308,$F$19:$F$24,0),MATCH(AS$17,$AK$17:$BB$17,0))*INDEX($10:$13,MATCH($O308,$R$10:$R$13,0),COLUMN())</f>
        <v>4.0744604867999999E-3</v>
      </c>
      <c r="AT308" s="1050" cm="1">
        <f t="array" aca="1" ref="AT308" ca="1">INDEX(OFFSET($AK$19,MATCH($B308,$B$19:$B$150,0)-1,0,COUNTA($B$19:$B$24),COUNTA($AK$17:$BB$17)),MATCH($F308,$F$19:$F$24,0),MATCH(AT$17,$AK$17:$BB$17,0))*INDEX($10:$13,MATCH($O308,$R$10:$R$13,0),COLUMN())</f>
        <v>6.8765391849999995E-6</v>
      </c>
      <c r="AU308" s="1050" cm="1">
        <f t="array" aca="1" ref="AU308" ca="1">INDEX(OFFSET($AK$19,MATCH($B308,$B$19:$B$150,0)-1,0,COUNTA($B$19:$B$24),COUNTA($AK$17:$BB$17)),MATCH($F308,$F$19:$F$24,0),MATCH(AU$17,$AK$17:$BB$17,0))*INDEX($10:$13,MATCH($O308,$R$10:$R$13,0),COLUMN())</f>
        <v>1.3062892855E-6</v>
      </c>
      <c r="AV308" s="1050" cm="1">
        <f t="array" aca="1" ref="AV308" ca="1">INDEX(OFFSET($AK$19,MATCH($B308,$B$19:$B$150,0)-1,0,COUNTA($B$19:$B$24),COUNTA($AK$17:$BB$17)),MATCH($F308,$F$19:$F$24,0),MATCH(AV$17,$AK$17:$BB$17,0))*INDEX($10:$13,MATCH($O308,$R$10:$R$13,0),COLUMN())</f>
        <v>7.1402399286999993E-3</v>
      </c>
      <c r="AW308" s="1050" cm="1">
        <f t="array" aca="1" ref="AW308" ca="1">INDEX(OFFSET($AK$19,MATCH($B308,$B$19:$B$150,0)-1,0,COUNTA($B$19:$B$24),COUNTA($AK$17:$BB$17)),MATCH($F308,$F$19:$F$24,0),MATCH(AW$17,$AK$17:$BB$17,0))*INDEX($10:$13,MATCH($O308,$R$10:$R$13,0),COLUMN())</f>
        <v>0.18783271780000002</v>
      </c>
      <c r="AX308" s="1050" cm="1">
        <f t="array" aca="1" ref="AX308" ca="1">INDEX(OFFSET($AK$19,MATCH($B308,$B$19:$B$150,0)-1,0,COUNTA($B$19:$B$24),COUNTA($AK$17:$BB$17)),MATCH($F308,$F$19:$F$24,0),MATCH(AX$17,$AK$17:$BB$17,0))*INDEX($10:$13,MATCH($O308,$R$10:$R$13,0),COLUMN())</f>
        <v>5.5372694520000002E-8</v>
      </c>
      <c r="AY308" s="1050" cm="1">
        <f t="array" aca="1" ref="AY308" ca="1">INDEX(OFFSET($AK$19,MATCH($B308,$B$19:$B$150,0)-1,0,COUNTA($B$19:$B$24),COUNTA($AK$17:$BB$17)),MATCH($F308,$F$19:$F$24,0),MATCH(AY$17,$AK$17:$BB$17,0))*INDEX($10:$13,MATCH($O308,$R$10:$R$13,0),COLUMN())</f>
        <v>0</v>
      </c>
      <c r="AZ308" s="1050" cm="1">
        <f t="array" aca="1" ref="AZ308" ca="1">INDEX(OFFSET($AK$19,MATCH($B308,$B$19:$B$150,0)-1,0,COUNTA($B$19:$B$24),COUNTA($AK$17:$BB$17)),MATCH($F308,$F$19:$F$24,0),MATCH(AZ$17,$AK$17:$BB$17,0))*INDEX($10:$13,MATCH($O308,$R$10:$R$13,0),COLUMN())</f>
        <v>0</v>
      </c>
      <c r="BA308" s="1050" cm="1">
        <f t="array" aca="1" ref="BA308" ca="1">INDEX(OFFSET($AK$19,MATCH($B308,$B$19:$B$150,0)-1,0,COUNTA($B$19:$B$24),COUNTA($AK$17:$BB$17)),MATCH($F308,$F$19:$F$24,0),MATCH(BA$17,$AK$17:$BB$17,0))*INDEX($10:$13,MATCH($O308,$R$10:$R$13,0),COLUMN())</f>
        <v>0</v>
      </c>
      <c r="BB308" s="1051" cm="1">
        <f t="array" aca="1" ref="BB308" ca="1">INDEX(OFFSET($AK$19,MATCH($B308,$B$19:$B$150,0)-1,0,COUNTA($B$19:$B$24),COUNTA($AK$17:$BB$17)),MATCH($F308,$F$19:$F$24,0),MATCH(BB$17,$AK$17:$BB$17,0))*INDEX($10:$13,MATCH($O308,$R$10:$R$13,0),COLUMN())</f>
        <v>0</v>
      </c>
      <c r="BC308" s="1053">
        <f t="shared" ca="1" si="165"/>
        <v>0.18783277317269453</v>
      </c>
      <c r="BE308" s="1"/>
      <c r="BF308" s="1"/>
      <c r="BG308" s="1"/>
      <c r="BH308" s="1"/>
      <c r="BI308" s="1"/>
      <c r="BJ308" s="1"/>
      <c r="BK308" s="1"/>
      <c r="BL308" s="1"/>
      <c r="BM308" s="1"/>
      <c r="BN308" s="1"/>
      <c r="BO308" s="1"/>
      <c r="BP308" s="1"/>
      <c r="BQ308" s="1"/>
      <c r="BR308" s="1"/>
      <c r="BS308" s="1"/>
      <c r="BT308" s="1"/>
      <c r="BU308" s="1"/>
      <c r="BV308" s="1"/>
      <c r="BW308" s="1"/>
      <c r="BX308" s="1"/>
      <c r="BY308" s="1"/>
      <c r="BZ308" s="1"/>
    </row>
    <row r="309" spans="2:78" ht="12" customHeight="1" outlineLevel="1" x14ac:dyDescent="0.25">
      <c r="B309" s="88" t="s">
        <v>100</v>
      </c>
      <c r="C309" s="88" t="s">
        <v>121</v>
      </c>
      <c r="D309" s="89" t="s">
        <v>132</v>
      </c>
      <c r="E309" s="89" t="s">
        <v>135</v>
      </c>
      <c r="F309" s="90" t="s">
        <v>92</v>
      </c>
      <c r="G309" s="18" t="s">
        <v>126</v>
      </c>
      <c r="H309" s="91" t="s">
        <v>127</v>
      </c>
      <c r="I309" s="92" t="s">
        <v>127</v>
      </c>
      <c r="J309" s="142">
        <v>3.7523941999999999</v>
      </c>
      <c r="K309" s="143">
        <v>0.19027961896782761</v>
      </c>
      <c r="L309" s="144">
        <f t="shared" ca="1" si="162"/>
        <v>2.1507744879205051</v>
      </c>
      <c r="M309" s="143">
        <f t="shared" ca="1" si="163"/>
        <v>0.59952816901506589</v>
      </c>
      <c r="N309" s="162">
        <f t="shared" ca="1" si="164"/>
        <v>0.40924855004723826</v>
      </c>
      <c r="O309" s="1060" t="s">
        <v>1583</v>
      </c>
      <c r="P309" s="88"/>
      <c r="Q309" s="89"/>
      <c r="R309" s="150"/>
      <c r="S309" s="1070"/>
      <c r="T309" s="1070"/>
      <c r="U309" s="1070"/>
      <c r="V309" s="1070"/>
      <c r="W309" s="1070"/>
      <c r="X309" s="1070"/>
      <c r="Y309" s="1070"/>
      <c r="Z309" s="1070"/>
      <c r="AA309" s="1070"/>
      <c r="AB309" s="1070"/>
      <c r="AC309" s="1070"/>
      <c r="AD309" s="1070"/>
      <c r="AE309" s="1070"/>
      <c r="AF309" s="1070"/>
      <c r="AG309" s="1070"/>
      <c r="AH309" s="1070"/>
      <c r="AI309" s="1070"/>
      <c r="AJ309" s="1071"/>
      <c r="AK309" s="1048" cm="1">
        <f t="array" aca="1" ref="AK309" ca="1">INDEX(OFFSET($AK$19,MATCH($B309,$B$19:$B$150,0)-1,0,COUNTA($B$19:$B$24),COUNTA($AK$17:$BB$17)),MATCH($F309,$F$19:$F$24,0),MATCH(AK$17,$AK$17:$BB$17,0))*INDEX($10:$13,MATCH($O309,$R$10:$R$13,0),COLUMN())</f>
        <v>7.3527267450000003E-2</v>
      </c>
      <c r="AL309" s="1046" cm="1">
        <f t="array" aca="1" ref="AL309" ca="1">INDEX(OFFSET($AK$19,MATCH($B309,$B$19:$B$150,0)-1,0,COUNTA($B$19:$B$24),COUNTA($AK$17:$BB$17)),MATCH($F309,$F$19:$F$24,0),MATCH(AL$17,$AK$17:$BB$17,0))*INDEX($10:$13,MATCH($O309,$R$10:$R$13,0),COLUMN())</f>
        <v>5.7964488639999995E-8</v>
      </c>
      <c r="AM309" s="1046" cm="1">
        <f t="array" aca="1" ref="AM309" ca="1">INDEX(OFFSET($AK$19,MATCH($B309,$B$19:$B$150,0)-1,0,COUNTA($B$19:$B$24),COUNTA($AK$17:$BB$17)),MATCH($F309,$F$19:$F$24,0),MATCH(AM$17,$AK$17:$BB$17,0))*INDEX($10:$13,MATCH($O309,$R$10:$R$13,0),COLUMN())</f>
        <v>1.0942653736000001E-4</v>
      </c>
      <c r="AN309" s="1046" cm="1">
        <f t="array" aca="1" ref="AN309" ca="1">INDEX(OFFSET($AK$19,MATCH($B309,$B$19:$B$150,0)-1,0,COUNTA($B$19:$B$24),COUNTA($AK$17:$BB$17)),MATCH($F309,$F$19:$F$24,0),MATCH(AN$17,$AK$17:$BB$17,0))*INDEX($10:$13,MATCH($O309,$R$10:$R$13,0),COLUMN())</f>
        <v>6.6645046099999996E-4</v>
      </c>
      <c r="AO309" s="1046" cm="1">
        <f t="array" aca="1" ref="AO309" ca="1">INDEX(OFFSET($AK$19,MATCH($B309,$B$19:$B$150,0)-1,0,COUNTA($B$19:$B$24),COUNTA($AK$17:$BB$17)),MATCH($F309,$F$19:$F$24,0),MATCH(AO$17,$AK$17:$BB$17,0))*INDEX($10:$13,MATCH($O309,$R$10:$R$13,0),COLUMN())</f>
        <v>3.5676806312000001E-2</v>
      </c>
      <c r="AP309" s="1046" cm="1">
        <f t="array" aca="1" ref="AP309" ca="1">INDEX(OFFSET($AK$19,MATCH($B309,$B$19:$B$150,0)-1,0,COUNTA($B$19:$B$24),COUNTA($AK$17:$BB$17)),MATCH($F309,$F$19:$F$24,0),MATCH(AP$17,$AK$17:$BB$17,0))*INDEX($10:$13,MATCH($O309,$R$10:$R$13,0),COLUMN())</f>
        <v>3.0100215061E-2</v>
      </c>
      <c r="AQ309" s="1046" cm="1">
        <f t="array" aca="1" ref="AQ309" ca="1">INDEX(OFFSET($AK$19,MATCH($B309,$B$19:$B$150,0)-1,0,COUNTA($B$19:$B$24),COUNTA($AK$17:$BB$17)),MATCH($F309,$F$19:$F$24,0),MATCH(AQ$17,$AK$17:$BB$17,0))*INDEX($10:$13,MATCH($O309,$R$10:$R$13,0),COLUMN())</f>
        <v>2.3584109939999998E-4</v>
      </c>
      <c r="AR309" s="1046" cm="1">
        <f t="array" aca="1" ref="AR309" ca="1">INDEX(OFFSET($AK$19,MATCH($B309,$B$19:$B$150,0)-1,0,COUNTA($B$19:$B$24),COUNTA($AK$17:$BB$17)),MATCH($F309,$F$19:$F$24,0),MATCH(AR$17,$AK$17:$BB$17,0))*INDEX($10:$13,MATCH($O309,$R$10:$R$13,0),COLUMN())</f>
        <v>2.1698409355E-2</v>
      </c>
      <c r="AS309" s="1046" cm="1">
        <f t="array" aca="1" ref="AS309" ca="1">INDEX(OFFSET($AK$19,MATCH($B309,$B$19:$B$150,0)-1,0,COUNTA($B$19:$B$24),COUNTA($AK$17:$BB$17)),MATCH($F309,$F$19:$F$24,0),MATCH(AS$17,$AK$17:$BB$17,0))*INDEX($10:$13,MATCH($O309,$R$10:$R$13,0),COLUMN())</f>
        <v>0.12661360415</v>
      </c>
      <c r="AT309" s="1046" cm="1">
        <f t="array" aca="1" ref="AT309" ca="1">INDEX(OFFSET($AK$19,MATCH($B309,$B$19:$B$150,0)-1,0,COUNTA($B$19:$B$24),COUNTA($AK$17:$BB$17)),MATCH($F309,$F$19:$F$24,0),MATCH(AT$17,$AK$17:$BB$17,0))*INDEX($10:$13,MATCH($O309,$R$10:$R$13,0),COLUMN())</f>
        <v>1.4114194611999998E-4</v>
      </c>
      <c r="AU309" s="1046" cm="1">
        <f t="array" aca="1" ref="AU309" ca="1">INDEX(OFFSET($AK$19,MATCH($B309,$B$19:$B$150,0)-1,0,COUNTA($B$19:$B$24),COUNTA($AK$17:$BB$17)),MATCH($F309,$F$19:$F$24,0),MATCH(AU$17,$AK$17:$BB$17,0))*INDEX($10:$13,MATCH($O309,$R$10:$R$13,0),COLUMN())</f>
        <v>7.7889735369999986E-6</v>
      </c>
      <c r="AV309" s="1046" cm="1">
        <f t="array" aca="1" ref="AV309" ca="1">INDEX(OFFSET($AK$19,MATCH($B309,$B$19:$B$150,0)-1,0,COUNTA($B$19:$B$24),COUNTA($AK$17:$BB$17)),MATCH($F309,$F$19:$F$24,0),MATCH(AV$17,$AK$17:$BB$17,0))*INDEX($10:$13,MATCH($O309,$R$10:$R$13,0),COLUMN())</f>
        <v>4.6785353785999996E-3</v>
      </c>
      <c r="AW309" s="1046" cm="1">
        <f t="array" aca="1" ref="AW309" ca="1">INDEX(OFFSET($AK$19,MATCH($B309,$B$19:$B$150,0)-1,0,COUNTA($B$19:$B$24),COUNTA($AK$17:$BB$17)),MATCH($F309,$F$19:$F$24,0),MATCH(AW$17,$AK$17:$BB$17,0))*INDEX($10:$13,MATCH($O309,$R$10:$R$13,0),COLUMN())</f>
        <v>0.11579283429999999</v>
      </c>
      <c r="AX309" s="1046" cm="1">
        <f t="array" aca="1" ref="AX309" ca="1">INDEX(OFFSET($AK$19,MATCH($B309,$B$19:$B$150,0)-1,0,COUNTA($B$19:$B$24),COUNTA($AK$17:$BB$17)),MATCH($F309,$F$19:$F$24,0),MATCH(AX$17,$AK$17:$BB$17,0))*INDEX($10:$13,MATCH($O309,$R$10:$R$13,0),COLUMN())</f>
        <v>1.7105873265000001E-7</v>
      </c>
      <c r="AY309" s="1046" cm="1">
        <f t="array" aca="1" ref="AY309" ca="1">INDEX(OFFSET($AK$19,MATCH($B309,$B$19:$B$150,0)-1,0,COUNTA($B$19:$B$24),COUNTA($AK$17:$BB$17)),MATCH($F309,$F$19:$F$24,0),MATCH(AY$17,$AK$17:$BB$17,0))*INDEX($10:$13,MATCH($O309,$R$10:$R$13,0),COLUMN())</f>
        <v>0</v>
      </c>
      <c r="AZ309" s="1046" cm="1">
        <f t="array" aca="1" ref="AZ309" ca="1">INDEX(OFFSET($AK$19,MATCH($B309,$B$19:$B$150,0)-1,0,COUNTA($B$19:$B$24),COUNTA($AK$17:$BB$17)),MATCH($F309,$F$19:$F$24,0),MATCH(AZ$17,$AK$17:$BB$17,0))*INDEX($10:$13,MATCH($O309,$R$10:$R$13,0),COLUMN())</f>
        <v>0</v>
      </c>
      <c r="BA309" s="1046" cm="1">
        <f t="array" aca="1" ref="BA309" ca="1">INDEX(OFFSET($AK$19,MATCH($B309,$B$19:$B$150,0)-1,0,COUNTA($B$19:$B$24),COUNTA($AK$17:$BB$17)),MATCH($F309,$F$19:$F$24,0),MATCH(BA$17,$AK$17:$BB$17,0))*INDEX($10:$13,MATCH($O309,$R$10:$R$13,0),COLUMN())</f>
        <v>0</v>
      </c>
      <c r="BB309" s="1047" cm="1">
        <f t="array" aca="1" ref="BB309" ca="1">INDEX(OFFSET($AK$19,MATCH($B309,$B$19:$B$150,0)-1,0,COUNTA($B$19:$B$24),COUNTA($AK$17:$BB$17)),MATCH($F309,$F$19:$F$24,0),MATCH(BB$17,$AK$17:$BB$17,0))*INDEX($10:$13,MATCH($O309,$R$10:$R$13,0),COLUMN())</f>
        <v>0</v>
      </c>
      <c r="BC309" s="1049">
        <f t="shared" ca="1" si="165"/>
        <v>0.11579300535873265</v>
      </c>
      <c r="BE309" s="1"/>
      <c r="BF309" s="1"/>
      <c r="BG309" s="1"/>
      <c r="BH309" s="1"/>
      <c r="BI309" s="1"/>
      <c r="BJ309" s="1"/>
      <c r="BK309" s="1"/>
      <c r="BL309" s="1"/>
      <c r="BM309" s="1"/>
      <c r="BN309" s="1"/>
      <c r="BO309" s="1"/>
      <c r="BP309" s="1"/>
      <c r="BQ309" s="1"/>
      <c r="BR309" s="1"/>
      <c r="BS309" s="1"/>
      <c r="BT309" s="1"/>
      <c r="BU309" s="1"/>
      <c r="BV309" s="1"/>
      <c r="BW309" s="1"/>
      <c r="BX309" s="1"/>
      <c r="BY309" s="1"/>
      <c r="BZ309" s="1"/>
    </row>
    <row r="310" spans="2:78" ht="12" customHeight="1" outlineLevel="1" x14ac:dyDescent="0.25">
      <c r="B310" s="104" t="s">
        <v>100</v>
      </c>
      <c r="C310" s="104" t="s">
        <v>121</v>
      </c>
      <c r="D310" s="2" t="s">
        <v>132</v>
      </c>
      <c r="E310" s="2" t="s">
        <v>135</v>
      </c>
      <c r="F310" s="105" t="s">
        <v>122</v>
      </c>
      <c r="G310" s="27" t="s">
        <v>1579</v>
      </c>
      <c r="H310" s="106" t="s">
        <v>128</v>
      </c>
      <c r="I310" s="107" t="s">
        <v>129</v>
      </c>
      <c r="J310" s="147">
        <v>3.7523941999999999</v>
      </c>
      <c r="K310" s="148">
        <v>0.4056506487491307</v>
      </c>
      <c r="L310" s="149">
        <f t="shared" ca="1" si="162"/>
        <v>0.59142415908352897</v>
      </c>
      <c r="M310" s="148">
        <f t="shared" ca="1" si="163"/>
        <v>0.64556224256727335</v>
      </c>
      <c r="N310" s="163">
        <f t="shared" ca="1" si="164"/>
        <v>0.23991159381814259</v>
      </c>
      <c r="O310" s="1061" t="s">
        <v>1583</v>
      </c>
      <c r="P310" s="104"/>
      <c r="R310" s="119"/>
      <c r="S310" s="1072"/>
      <c r="T310" s="1072"/>
      <c r="U310" s="1072"/>
      <c r="V310" s="1072"/>
      <c r="W310" s="1072"/>
      <c r="X310" s="1072"/>
      <c r="Y310" s="1072"/>
      <c r="Z310" s="1072"/>
      <c r="AA310" s="1072"/>
      <c r="AB310" s="1072"/>
      <c r="AC310" s="1072"/>
      <c r="AD310" s="1072"/>
      <c r="AE310" s="1072"/>
      <c r="AF310" s="1072"/>
      <c r="AG310" s="1072"/>
      <c r="AH310" s="1072"/>
      <c r="AI310" s="1072"/>
      <c r="AJ310" s="1073"/>
      <c r="AK310" s="1052" cm="1">
        <f t="array" aca="1" ref="AK310" ca="1">INDEX(OFFSET($AK$19,MATCH($B310,$B$19:$B$150,0)-1,0,COUNTA($B$19:$B$24),COUNTA($AK$17:$BB$17)),MATCH($F310,$F$19:$F$24,0),MATCH(AK$17,$AK$17:$BB$17,0))*INDEX($10:$13,MATCH($O310,$R$10:$R$13,0),COLUMN())</f>
        <v>4.2650916749999997E-2</v>
      </c>
      <c r="AL310" s="1050" cm="1">
        <f t="array" aca="1" ref="AL310" ca="1">INDEX(OFFSET($AK$19,MATCH($B310,$B$19:$B$150,0)-1,0,COUNTA($B$19:$B$24),COUNTA($AK$17:$BB$17)),MATCH($F310,$F$19:$F$24,0),MATCH(AL$17,$AK$17:$BB$17,0))*INDEX($10:$13,MATCH($O310,$R$10:$R$13,0),COLUMN())</f>
        <v>4.1785556959999996E-8</v>
      </c>
      <c r="AM310" s="1050" cm="1">
        <f t="array" aca="1" ref="AM310" ca="1">INDEX(OFFSET($AK$19,MATCH($B310,$B$19:$B$150,0)-1,0,COUNTA($B$19:$B$24),COUNTA($AK$17:$BB$17)),MATCH($F310,$F$19:$F$24,0),MATCH(AM$17,$AK$17:$BB$17,0))*INDEX($10:$13,MATCH($O310,$R$10:$R$13,0),COLUMN())</f>
        <v>7.7470326230000007E-5</v>
      </c>
      <c r="AN310" s="1050" cm="1">
        <f t="array" aca="1" ref="AN310" ca="1">INDEX(OFFSET($AK$19,MATCH($B310,$B$19:$B$150,0)-1,0,COUNTA($B$19:$B$24),COUNTA($AK$17:$BB$17)),MATCH($F310,$F$19:$F$24,0),MATCH(AN$17,$AK$17:$BB$17,0))*INDEX($10:$13,MATCH($O310,$R$10:$R$13,0),COLUMN())</f>
        <v>8.6817169649999987E-4</v>
      </c>
      <c r="AO310" s="1050" cm="1">
        <f t="array" aca="1" ref="AO310" ca="1">INDEX(OFFSET($AK$19,MATCH($B310,$B$19:$B$150,0)-1,0,COUNTA($B$19:$B$24),COUNTA($AK$17:$BB$17)),MATCH($F310,$F$19:$F$24,0),MATCH(AO$17,$AK$17:$BB$17,0))*INDEX($10:$13,MATCH($O310,$R$10:$R$13,0),COLUMN())</f>
        <v>1.3079533544000002E-2</v>
      </c>
      <c r="AP310" s="1050" cm="1">
        <f t="array" aca="1" ref="AP310" ca="1">INDEX(OFFSET($AK$19,MATCH($B310,$B$19:$B$150,0)-1,0,COUNTA($B$19:$B$24),COUNTA($AK$17:$BB$17)),MATCH($F310,$F$19:$F$24,0),MATCH(AP$17,$AK$17:$BB$17,0))*INDEX($10:$13,MATCH($O310,$R$10:$R$13,0),COLUMN())</f>
        <v>6.9441540769999994E-3</v>
      </c>
      <c r="AQ310" s="1050" cm="1">
        <f t="array" aca="1" ref="AQ310" ca="1">INDEX(OFFSET($AK$19,MATCH($B310,$B$19:$B$150,0)-1,0,COUNTA($B$19:$B$24),COUNTA($AK$17:$BB$17)),MATCH($F310,$F$19:$F$24,0),MATCH(AQ$17,$AK$17:$BB$17,0))*INDEX($10:$13,MATCH($O310,$R$10:$R$13,0),COLUMN())</f>
        <v>4.5550269120000003E-5</v>
      </c>
      <c r="AR310" s="1050" cm="1">
        <f t="array" aca="1" ref="AR310" ca="1">INDEX(OFFSET($AK$19,MATCH($B310,$B$19:$B$150,0)-1,0,COUNTA($B$19:$B$24),COUNTA($AK$17:$BB$17)),MATCH($F310,$F$19:$F$24,0),MATCH(AR$17,$AK$17:$BB$17,0))*INDEX($10:$13,MATCH($O310,$R$10:$R$13,0),COLUMN())</f>
        <v>1.1163135075E-2</v>
      </c>
      <c r="AS310" s="1050" cm="1">
        <f t="array" aca="1" ref="AS310" ca="1">INDEX(OFFSET($AK$19,MATCH($B310,$B$19:$B$150,0)-1,0,COUNTA($B$19:$B$24),COUNTA($AK$17:$BB$17)),MATCH($F310,$F$19:$F$24,0),MATCH(AS$17,$AK$17:$BB$17,0))*INDEX($10:$13,MATCH($O310,$R$10:$R$13,0),COLUMN())</f>
        <v>-6.3965559690999996E-5</v>
      </c>
      <c r="AT310" s="1050" cm="1">
        <f t="array" aca="1" ref="AT310" ca="1">INDEX(OFFSET($AK$19,MATCH($B310,$B$19:$B$150,0)-1,0,COUNTA($B$19:$B$24),COUNTA($AK$17:$BB$17)),MATCH($F310,$F$19:$F$24,0),MATCH(AT$17,$AK$17:$BB$17,0))*INDEX($10:$13,MATCH($O310,$R$10:$R$13,0),COLUMN())</f>
        <v>3.8229531779999998E-6</v>
      </c>
      <c r="AU310" s="1050" cm="1">
        <f t="array" aca="1" ref="AU310" ca="1">INDEX(OFFSET($AK$19,MATCH($B310,$B$19:$B$150,0)-1,0,COUNTA($B$19:$B$24),COUNTA($AK$17:$BB$17)),MATCH($F310,$F$19:$F$24,0),MATCH(AU$17,$AK$17:$BB$17,0))*INDEX($10:$13,MATCH($O310,$R$10:$R$13,0),COLUMN())</f>
        <v>8.1771258969999994E-7</v>
      </c>
      <c r="AV310" s="1050" cm="1">
        <f t="array" aca="1" ref="AV310" ca="1">INDEX(OFFSET($AK$19,MATCH($B310,$B$19:$B$150,0)-1,0,COUNTA($B$19:$B$24),COUNTA($AK$17:$BB$17)),MATCH($F310,$F$19:$F$24,0),MATCH(AV$17,$AK$17:$BB$17,0))*INDEX($10:$13,MATCH($O310,$R$10:$R$13,0),COLUMN())</f>
        <v>3.7466173120999998E-4</v>
      </c>
      <c r="AW310" s="1050" cm="1">
        <f t="array" aca="1" ref="AW310" ca="1">INDEX(OFFSET($AK$19,MATCH($B310,$B$19:$B$150,0)-1,0,COUNTA($B$19:$B$24),COUNTA($AK$17:$BB$17)),MATCH($F310,$F$19:$F$24,0),MATCH(AW$17,$AK$17:$BB$17,0))*INDEX($10:$13,MATCH($O310,$R$10:$R$13,0),COLUMN())</f>
        <v>0.16476723445000002</v>
      </c>
      <c r="AX310" s="1050" cm="1">
        <f t="array" aca="1" ref="AX310" ca="1">INDEX(OFFSET($AK$19,MATCH($B310,$B$19:$B$150,0)-1,0,COUNTA($B$19:$B$24),COUNTA($AK$17:$BB$17)),MATCH($F310,$F$19:$F$24,0),MATCH(AX$17,$AK$17:$BB$17,0))*INDEX($10:$13,MATCH($O310,$R$10:$R$13,0),COLUMN())</f>
        <v>4.9007448945000004E-8</v>
      </c>
      <c r="AY310" s="1050" cm="1">
        <f t="array" aca="1" ref="AY310" ca="1">INDEX(OFFSET($AK$19,MATCH($B310,$B$19:$B$150,0)-1,0,COUNTA($B$19:$B$24),COUNTA($AK$17:$BB$17)),MATCH($F310,$F$19:$F$24,0),MATCH(AY$17,$AK$17:$BB$17,0))*INDEX($10:$13,MATCH($O310,$R$10:$R$13,0),COLUMN())</f>
        <v>0</v>
      </c>
      <c r="AZ310" s="1050" cm="1">
        <f t="array" aca="1" ref="AZ310" ca="1">INDEX(OFFSET($AK$19,MATCH($B310,$B$19:$B$150,0)-1,0,COUNTA($B$19:$B$24),COUNTA($AK$17:$BB$17)),MATCH($F310,$F$19:$F$24,0),MATCH(AZ$17,$AK$17:$BB$17,0))*INDEX($10:$13,MATCH($O310,$R$10:$R$13,0),COLUMN())</f>
        <v>0</v>
      </c>
      <c r="BA310" s="1050" cm="1">
        <f t="array" aca="1" ref="BA310" ca="1">INDEX(OFFSET($AK$19,MATCH($B310,$B$19:$B$150,0)-1,0,COUNTA($B$19:$B$24),COUNTA($AK$17:$BB$17)),MATCH($F310,$F$19:$F$24,0),MATCH(BA$17,$AK$17:$BB$17,0))*INDEX($10:$13,MATCH($O310,$R$10:$R$13,0),COLUMN())</f>
        <v>0</v>
      </c>
      <c r="BB310" s="1051" cm="1">
        <f t="array" aca="1" ref="BB310" ca="1">INDEX(OFFSET($AK$19,MATCH($B310,$B$19:$B$150,0)-1,0,COUNTA($B$19:$B$24),COUNTA($AK$17:$BB$17)),MATCH($F310,$F$19:$F$24,0),MATCH(BB$17,$AK$17:$BB$17,0))*INDEX($10:$13,MATCH($O310,$R$10:$R$13,0),COLUMN())</f>
        <v>0</v>
      </c>
      <c r="BC310" s="1053">
        <f t="shared" ca="1" si="165"/>
        <v>0.16476728345744895</v>
      </c>
      <c r="BE310" s="1"/>
      <c r="BF310" s="1"/>
      <c r="BG310" s="1"/>
      <c r="BH310" s="1"/>
      <c r="BI310" s="1"/>
      <c r="BJ310" s="1"/>
      <c r="BK310" s="1"/>
      <c r="BL310" s="1"/>
      <c r="BM310" s="1"/>
      <c r="BN310" s="1"/>
      <c r="BO310" s="1"/>
      <c r="BP310" s="1"/>
      <c r="BQ310" s="1"/>
      <c r="BR310" s="1"/>
      <c r="BS310" s="1"/>
      <c r="BT310" s="1"/>
      <c r="BU310" s="1"/>
      <c r="BV310" s="1"/>
      <c r="BW310" s="1"/>
      <c r="BX310" s="1"/>
      <c r="BY310" s="1"/>
      <c r="BZ310" s="1"/>
    </row>
    <row r="311" spans="2:78" ht="12" customHeight="1" outlineLevel="1" x14ac:dyDescent="0.25">
      <c r="B311" s="104" t="s">
        <v>100</v>
      </c>
      <c r="C311" s="104" t="s">
        <v>121</v>
      </c>
      <c r="D311" s="2" t="s">
        <v>132</v>
      </c>
      <c r="E311" s="2" t="s">
        <v>135</v>
      </c>
      <c r="F311" s="105" t="s">
        <v>93</v>
      </c>
      <c r="G311" s="27" t="s">
        <v>1578</v>
      </c>
      <c r="H311" s="106" t="s">
        <v>130</v>
      </c>
      <c r="I311" s="107" t="s">
        <v>129</v>
      </c>
      <c r="J311" s="147">
        <v>3.7523941999999999</v>
      </c>
      <c r="K311" s="148">
        <v>0.4056506487491307</v>
      </c>
      <c r="L311" s="149">
        <f t="shared" ca="1" si="162"/>
        <v>0.75247182866683782</v>
      </c>
      <c r="M311" s="148">
        <f t="shared" ca="1" si="163"/>
        <v>0.71089133421327821</v>
      </c>
      <c r="N311" s="163">
        <f t="shared" ca="1" si="164"/>
        <v>0.30524068546414751</v>
      </c>
      <c r="O311" s="1061" t="s">
        <v>1583</v>
      </c>
      <c r="P311" s="104"/>
      <c r="R311" s="119"/>
      <c r="S311" s="1072"/>
      <c r="T311" s="1072"/>
      <c r="U311" s="1072"/>
      <c r="V311" s="1072"/>
      <c r="W311" s="1072"/>
      <c r="X311" s="1072"/>
      <c r="Y311" s="1072"/>
      <c r="Z311" s="1072"/>
      <c r="AA311" s="1072"/>
      <c r="AB311" s="1072"/>
      <c r="AC311" s="1072"/>
      <c r="AD311" s="1072"/>
      <c r="AE311" s="1072"/>
      <c r="AF311" s="1072"/>
      <c r="AG311" s="1072"/>
      <c r="AH311" s="1072"/>
      <c r="AI311" s="1072"/>
      <c r="AJ311" s="1073"/>
      <c r="AK311" s="1052" cm="1">
        <f t="array" aca="1" ref="AK311" ca="1">INDEX(OFFSET($AK$19,MATCH($B311,$B$19:$B$150,0)-1,0,COUNTA($B$19:$B$24),COUNTA($AK$17:$BB$17)),MATCH($F311,$F$19:$F$24,0),MATCH(AK$17,$AK$17:$BB$17,0))*INDEX($10:$13,MATCH($O311,$R$10:$R$13,0),COLUMN())</f>
        <v>5.4219492600000002E-2</v>
      </c>
      <c r="AL311" s="1050" cm="1">
        <f t="array" aca="1" ref="AL311" ca="1">INDEX(OFFSET($AK$19,MATCH($B311,$B$19:$B$150,0)-1,0,COUNTA($B$19:$B$24),COUNTA($AK$17:$BB$17)),MATCH($F311,$F$19:$F$24,0),MATCH(AL$17,$AK$17:$BB$17,0))*INDEX($10:$13,MATCH($O311,$R$10:$R$13,0),COLUMN())</f>
        <v>5.3119412640000003E-8</v>
      </c>
      <c r="AM311" s="1050" cm="1">
        <f t="array" aca="1" ref="AM311" ca="1">INDEX(OFFSET($AK$19,MATCH($B311,$B$19:$B$150,0)-1,0,COUNTA($B$19:$B$24),COUNTA($AK$17:$BB$17)),MATCH($F311,$F$19:$F$24,0),MATCH(AM$17,$AK$17:$BB$17,0))*INDEX($10:$13,MATCH($O311,$R$10:$R$13,0),COLUMN())</f>
        <v>9.8483268650000004E-5</v>
      </c>
      <c r="AN311" s="1050" cm="1">
        <f t="array" aca="1" ref="AN311" ca="1">INDEX(OFFSET($AK$19,MATCH($B311,$B$19:$B$150,0)-1,0,COUNTA($B$19:$B$24),COUNTA($AK$17:$BB$17)),MATCH($F311,$F$19:$F$24,0),MATCH(AN$17,$AK$17:$BB$17,0))*INDEX($10:$13,MATCH($O311,$R$10:$R$13,0),COLUMN())</f>
        <v>1.1036533669999998E-3</v>
      </c>
      <c r="AO311" s="1050" cm="1">
        <f t="array" aca="1" ref="AO311" ca="1">INDEX(OFFSET($AK$19,MATCH($B311,$B$19:$B$150,0)-1,0,COUNTA($B$19:$B$24),COUNTA($AK$17:$BB$17)),MATCH($F311,$F$19:$F$24,0),MATCH(AO$17,$AK$17:$BB$17,0))*INDEX($10:$13,MATCH($O311,$R$10:$R$13,0),COLUMN())</f>
        <v>1.6627207631999999E-2</v>
      </c>
      <c r="AP311" s="1050" cm="1">
        <f t="array" aca="1" ref="AP311" ca="1">INDEX(OFFSET($AK$19,MATCH($B311,$B$19:$B$150,0)-1,0,COUNTA($B$19:$B$24),COUNTA($AK$17:$BB$17)),MATCH($F311,$F$19:$F$24,0),MATCH(AP$17,$AK$17:$BB$17,0))*INDEX($10:$13,MATCH($O311,$R$10:$R$13,0),COLUMN())</f>
        <v>8.8276767249999989E-3</v>
      </c>
      <c r="AQ311" s="1050" cm="1">
        <f t="array" aca="1" ref="AQ311" ca="1">INDEX(OFFSET($AK$19,MATCH($B311,$B$19:$B$150,0)-1,0,COUNTA($B$19:$B$24),COUNTA($AK$17:$BB$17)),MATCH($F311,$F$19:$F$24,0),MATCH(AQ$17,$AK$17:$BB$17,0))*INDEX($10:$13,MATCH($O311,$R$10:$R$13,0),COLUMN())</f>
        <v>5.7905259600000007E-5</v>
      </c>
      <c r="AR311" s="1050" cm="1">
        <f t="array" aca="1" ref="AR311" ca="1">INDEX(OFFSET($AK$19,MATCH($B311,$B$19:$B$150,0)-1,0,COUNTA($B$19:$B$24),COUNTA($AK$17:$BB$17)),MATCH($F311,$F$19:$F$24,0),MATCH(AR$17,$AK$17:$BB$17,0))*INDEX($10:$13,MATCH($O311,$R$10:$R$13,0),COLUMN())</f>
        <v>1.4191008372E-2</v>
      </c>
      <c r="AS311" s="1050" cm="1">
        <f t="array" aca="1" ref="AS311" ca="1">INDEX(OFFSET($AK$19,MATCH($B311,$B$19:$B$150,0)-1,0,COUNTA($B$19:$B$24),COUNTA($AK$17:$BB$17)),MATCH($F311,$F$19:$F$24,0),MATCH(AS$17,$AK$17:$BB$17,0))*INDEX($10:$13,MATCH($O311,$R$10:$R$13,0),COLUMN())</f>
        <v>4.5685645884999998E-6</v>
      </c>
      <c r="AT311" s="1050" cm="1">
        <f t="array" aca="1" ref="AT311" ca="1">INDEX(OFFSET($AK$19,MATCH($B311,$B$19:$B$150,0)-1,0,COUNTA($B$19:$B$24),COUNTA($AK$17:$BB$17)),MATCH($F311,$F$19:$F$24,0),MATCH(AT$17,$AK$17:$BB$17,0))*INDEX($10:$13,MATCH($O311,$R$10:$R$13,0),COLUMN())</f>
        <v>4.8891674E-6</v>
      </c>
      <c r="AU311" s="1050" cm="1">
        <f t="array" aca="1" ref="AU311" ca="1">INDEX(OFFSET($AK$19,MATCH($B311,$B$19:$B$150,0)-1,0,COUNTA($B$19:$B$24),COUNTA($AK$17:$BB$17)),MATCH($F311,$F$19:$F$24,0),MATCH(AU$17,$AK$17:$BB$17,0))*INDEX($10:$13,MATCH($O311,$R$10:$R$13,0),COLUMN())</f>
        <v>1.0426163764E-6</v>
      </c>
      <c r="AV311" s="1050" cm="1">
        <f t="array" aca="1" ref="AV311" ca="1">INDEX(OFFSET($AK$19,MATCH($B311,$B$19:$B$150,0)-1,0,COUNTA($B$19:$B$24),COUNTA($AK$17:$BB$17)),MATCH($F311,$F$19:$F$24,0),MATCH(AV$17,$AK$17:$BB$17,0))*INDEX($10:$13,MATCH($O311,$R$10:$R$13,0),COLUMN())</f>
        <v>6.4616922196000001E-4</v>
      </c>
      <c r="AW311" s="1050" cm="1">
        <f t="array" aca="1" ref="AW311" ca="1">INDEX(OFFSET($AK$19,MATCH($B311,$B$19:$B$150,0)-1,0,COUNTA($B$19:$B$24),COUNTA($AK$17:$BB$17)),MATCH($F311,$F$19:$F$24,0),MATCH(AW$17,$AK$17:$BB$17,0))*INDEX($10:$13,MATCH($O311,$R$10:$R$13,0),COLUMN())</f>
        <v>0.20945847325</v>
      </c>
      <c r="AX311" s="1050" cm="1">
        <f t="array" aca="1" ref="AX311" ca="1">INDEX(OFFSET($AK$19,MATCH($B311,$B$19:$B$150,0)-1,0,COUNTA($B$19:$B$24),COUNTA($AK$17:$BB$17)),MATCH($F311,$F$19:$F$24,0),MATCH(AX$17,$AK$17:$BB$17,0))*INDEX($10:$13,MATCH($O311,$R$10:$R$13,0),COLUMN())</f>
        <v>6.2300160000000007E-8</v>
      </c>
      <c r="AY311" s="1050" cm="1">
        <f t="array" aca="1" ref="AY311" ca="1">INDEX(OFFSET($AK$19,MATCH($B311,$B$19:$B$150,0)-1,0,COUNTA($B$19:$B$24),COUNTA($AK$17:$BB$17)),MATCH($F311,$F$19:$F$24,0),MATCH(AY$17,$AK$17:$BB$17,0))*INDEX($10:$13,MATCH($O311,$R$10:$R$13,0),COLUMN())</f>
        <v>0</v>
      </c>
      <c r="AZ311" s="1050" cm="1">
        <f t="array" aca="1" ref="AZ311" ca="1">INDEX(OFFSET($AK$19,MATCH($B311,$B$19:$B$150,0)-1,0,COUNTA($B$19:$B$24),COUNTA($AK$17:$BB$17)),MATCH($F311,$F$19:$F$24,0),MATCH(AZ$17,$AK$17:$BB$17,0))*INDEX($10:$13,MATCH($O311,$R$10:$R$13,0),COLUMN())</f>
        <v>0</v>
      </c>
      <c r="BA311" s="1050" cm="1">
        <f t="array" aca="1" ref="BA311" ca="1">INDEX(OFFSET($AK$19,MATCH($B311,$B$19:$B$150,0)-1,0,COUNTA($B$19:$B$24),COUNTA($AK$17:$BB$17)),MATCH($F311,$F$19:$F$24,0),MATCH(BA$17,$AK$17:$BB$17,0))*INDEX($10:$13,MATCH($O311,$R$10:$R$13,0),COLUMN())</f>
        <v>0</v>
      </c>
      <c r="BB311" s="1051" cm="1">
        <f t="array" aca="1" ref="BB311" ca="1">INDEX(OFFSET($AK$19,MATCH($B311,$B$19:$B$150,0)-1,0,COUNTA($B$19:$B$24),COUNTA($AK$17:$BB$17)),MATCH($F311,$F$19:$F$24,0),MATCH(BB$17,$AK$17:$BB$17,0))*INDEX($10:$13,MATCH($O311,$R$10:$R$13,0),COLUMN())</f>
        <v>0</v>
      </c>
      <c r="BC311" s="1053">
        <f t="shared" ca="1" si="165"/>
        <v>0.20945853555016</v>
      </c>
      <c r="BE311" s="1"/>
      <c r="BF311" s="1"/>
      <c r="BG311" s="1"/>
      <c r="BH311" s="1"/>
      <c r="BI311" s="1"/>
      <c r="BJ311" s="1"/>
      <c r="BK311" s="1"/>
      <c r="BL311" s="1"/>
      <c r="BM311" s="1"/>
      <c r="BN311" s="1"/>
      <c r="BO311" s="1"/>
      <c r="BP311" s="1"/>
      <c r="BQ311" s="1"/>
      <c r="BR311" s="1"/>
      <c r="BS311" s="1"/>
      <c r="BT311" s="1"/>
      <c r="BU311" s="1"/>
      <c r="BV311" s="1"/>
      <c r="BW311" s="1"/>
      <c r="BX311" s="1"/>
      <c r="BY311" s="1"/>
      <c r="BZ311" s="1"/>
    </row>
    <row r="312" spans="2:78" ht="12" customHeight="1" outlineLevel="1" x14ac:dyDescent="0.25">
      <c r="B312" s="104" t="s">
        <v>100</v>
      </c>
      <c r="C312" s="104" t="s">
        <v>121</v>
      </c>
      <c r="D312" s="2" t="s">
        <v>132</v>
      </c>
      <c r="E312" s="2" t="s">
        <v>135</v>
      </c>
      <c r="F312" s="105" t="s">
        <v>94</v>
      </c>
      <c r="G312" s="27" t="s">
        <v>1580</v>
      </c>
      <c r="H312" s="106" t="s">
        <v>131</v>
      </c>
      <c r="I312" s="107" t="s">
        <v>129</v>
      </c>
      <c r="J312" s="147">
        <v>3.7523941999999999</v>
      </c>
      <c r="K312" s="148">
        <v>0.4056506487491307</v>
      </c>
      <c r="L312" s="149">
        <f t="shared" ca="1" si="162"/>
        <v>0.48697228463651859</v>
      </c>
      <c r="M312" s="148">
        <f t="shared" ca="1" si="163"/>
        <v>0.60319127193478084</v>
      </c>
      <c r="N312" s="148">
        <f t="shared" ca="1" si="164"/>
        <v>0.1975406231856501</v>
      </c>
      <c r="O312" s="1062" t="s">
        <v>1583</v>
      </c>
      <c r="P312" s="104"/>
      <c r="R312" s="119"/>
      <c r="S312" s="1072"/>
      <c r="T312" s="1072"/>
      <c r="U312" s="1072"/>
      <c r="V312" s="1072"/>
      <c r="W312" s="1072"/>
      <c r="X312" s="1072"/>
      <c r="Y312" s="1072"/>
      <c r="Z312" s="1072"/>
      <c r="AA312" s="1072"/>
      <c r="AB312" s="1072"/>
      <c r="AC312" s="1072"/>
      <c r="AD312" s="1072"/>
      <c r="AE312" s="1072"/>
      <c r="AF312" s="1072"/>
      <c r="AG312" s="1072"/>
      <c r="AH312" s="1072"/>
      <c r="AI312" s="1072"/>
      <c r="AJ312" s="1073"/>
      <c r="AK312" s="1052" cm="1">
        <f t="array" aca="1" ref="AK312" ca="1">INDEX(OFFSET($AK$19,MATCH($B312,$B$19:$B$150,0)-1,0,COUNTA($B$19:$B$24),COUNTA($AK$17:$BB$17)),MATCH($F312,$F$19:$F$24,0),MATCH(AK$17,$AK$17:$BB$17,0))*INDEX($10:$13,MATCH($O312,$R$10:$R$13,0),COLUMN())</f>
        <v>3.5147784750000001E-2</v>
      </c>
      <c r="AL312" s="1050" cm="1">
        <f t="array" aca="1" ref="AL312" ca="1">INDEX(OFFSET($AK$19,MATCH($B312,$B$19:$B$150,0)-1,0,COUNTA($B$19:$B$24),COUNTA($AK$17:$BB$17)),MATCH($F312,$F$19:$F$24,0),MATCH(AL$17,$AK$17:$BB$17,0))*INDEX($10:$13,MATCH($O312,$R$10:$R$13,0),COLUMN())</f>
        <v>3.44346576E-8</v>
      </c>
      <c r="AM312" s="1050" cm="1">
        <f t="array" aca="1" ref="AM312" ca="1">INDEX(OFFSET($AK$19,MATCH($B312,$B$19:$B$150,0)-1,0,COUNTA($B$19:$B$24),COUNTA($AK$17:$BB$17)),MATCH($F312,$F$19:$F$24,0),MATCH(AM$17,$AK$17:$BB$17,0))*INDEX($10:$13,MATCH($O312,$R$10:$R$13,0),COLUMN())</f>
        <v>6.3841774010000001E-5</v>
      </c>
      <c r="AN312" s="1050" cm="1">
        <f t="array" aca="1" ref="AN312" ca="1">INDEX(OFFSET($AK$19,MATCH($B312,$B$19:$B$150,0)-1,0,COUNTA($B$19:$B$24),COUNTA($AK$17:$BB$17)),MATCH($F312,$F$19:$F$24,0),MATCH(AN$17,$AK$17:$BB$17,0))*INDEX($10:$13,MATCH($O312,$R$10:$R$13,0),COLUMN())</f>
        <v>7.1544326699999998E-4</v>
      </c>
      <c r="AO312" s="1050" cm="1">
        <f t="array" aca="1" ref="AO312" ca="1">INDEX(OFFSET($AK$19,MATCH($B312,$B$19:$B$150,0)-1,0,COUNTA($B$19:$B$24),COUNTA($AK$17:$BB$17)),MATCH($F312,$F$19:$F$24,0),MATCH(AO$17,$AK$17:$BB$17,0))*INDEX($10:$13,MATCH($O312,$R$10:$R$13,0),COLUMN())</f>
        <v>1.077858684E-2</v>
      </c>
      <c r="AP312" s="1050" cm="1">
        <f t="array" aca="1" ref="AP312" ca="1">INDEX(OFFSET($AK$19,MATCH($B312,$B$19:$B$150,0)-1,0,COUNTA($B$19:$B$24),COUNTA($AK$17:$BB$17)),MATCH($F312,$F$19:$F$24,0),MATCH(AP$17,$AK$17:$BB$17,0))*INDEX($10:$13,MATCH($O312,$R$10:$R$13,0),COLUMN())</f>
        <v>5.7225409989999998E-3</v>
      </c>
      <c r="AQ312" s="1050" cm="1">
        <f t="array" aca="1" ref="AQ312" ca="1">INDEX(OFFSET($AK$19,MATCH($B312,$B$19:$B$150,0)-1,0,COUNTA($B$19:$B$24),COUNTA($AK$17:$BB$17)),MATCH($F312,$F$19:$F$24,0),MATCH(AQ$17,$AK$17:$BB$17,0))*INDEX($10:$13,MATCH($O312,$R$10:$R$13,0),COLUMN())</f>
        <v>3.7537082220000004E-5</v>
      </c>
      <c r="AR312" s="1050" cm="1">
        <f t="array" aca="1" ref="AR312" ca="1">INDEX(OFFSET($AK$19,MATCH($B312,$B$19:$B$150,0)-1,0,COUNTA($B$19:$B$24),COUNTA($AK$17:$BB$17)),MATCH($F312,$F$19:$F$24,0),MATCH(AR$17,$AK$17:$BB$17,0))*INDEX($10:$13,MATCH($O312,$R$10:$R$13,0),COLUMN())</f>
        <v>9.1993209099999994E-3</v>
      </c>
      <c r="AS312" s="1050" cm="1">
        <f t="array" aca="1" ref="AS312" ca="1">INDEX(OFFSET($AK$19,MATCH($B312,$B$19:$B$150,0)-1,0,COUNTA($B$19:$B$24),COUNTA($AK$17:$BB$17)),MATCH($F312,$F$19:$F$24,0),MATCH(AS$17,$AK$17:$BB$17,0))*INDEX($10:$13,MATCH($O312,$R$10:$R$13,0),COLUMN())</f>
        <v>-1.0838708517999999E-4</v>
      </c>
      <c r="AT312" s="1050" cm="1">
        <f t="array" aca="1" ref="AT312" ca="1">INDEX(OFFSET($AK$19,MATCH($B312,$B$19:$B$150,0)-1,0,COUNTA($B$19:$B$24),COUNTA($AK$17:$BB$17)),MATCH($F312,$F$19:$F$24,0),MATCH(AT$17,$AK$17:$BB$17,0))*INDEX($10:$13,MATCH($O312,$R$10:$R$13,0),COLUMN())</f>
        <v>3.1314391226000001E-6</v>
      </c>
      <c r="AU312" s="1050" cm="1">
        <f t="array" aca="1" ref="AU312" ca="1">INDEX(OFFSET($AK$19,MATCH($B312,$B$19:$B$150,0)-1,0,COUNTA($B$19:$B$24),COUNTA($AK$17:$BB$17)),MATCH($F312,$F$19:$F$24,0),MATCH(AU$17,$AK$17:$BB$17,0))*INDEX($10:$13,MATCH($O312,$R$10:$R$13,0),COLUMN())</f>
        <v>6.7184570284999994E-7</v>
      </c>
      <c r="AV312" s="1050" cm="1">
        <f t="array" aca="1" ref="AV312" ca="1">INDEX(OFFSET($AK$19,MATCH($B312,$B$19:$B$150,0)-1,0,COUNTA($B$19:$B$24),COUNTA($AK$17:$BB$17)),MATCH($F312,$F$19:$F$24,0),MATCH(AV$17,$AK$17:$BB$17,0))*INDEX($10:$13,MATCH($O312,$R$10:$R$13,0),COLUMN())</f>
        <v>1.9862359303999999E-4</v>
      </c>
      <c r="AW312" s="1050" cm="1">
        <f t="array" aca="1" ref="AW312" ca="1">INDEX(OFFSET($AK$19,MATCH($B312,$B$19:$B$150,0)-1,0,COUNTA($B$19:$B$24),COUNTA($AK$17:$BB$17)),MATCH($F312,$F$19:$F$24,0),MATCH(AW$17,$AK$17:$BB$17,0))*INDEX($10:$13,MATCH($O312,$R$10:$R$13,0),COLUMN())</f>
        <v>0.13578145295000002</v>
      </c>
      <c r="AX312" s="1050" cm="1">
        <f t="array" aca="1" ref="AX312" ca="1">INDEX(OFFSET($AK$19,MATCH($B312,$B$19:$B$150,0)-1,0,COUNTA($B$19:$B$24),COUNTA($AK$17:$BB$17)),MATCH($F312,$F$19:$F$24,0),MATCH(AX$17,$AK$17:$BB$17,0))*INDEX($10:$13,MATCH($O312,$R$10:$R$13,0),COLUMN())</f>
        <v>4.0386077030000004E-8</v>
      </c>
      <c r="AY312" s="1050" cm="1">
        <f t="array" aca="1" ref="AY312" ca="1">INDEX(OFFSET($AK$19,MATCH($B312,$B$19:$B$150,0)-1,0,COUNTA($B$19:$B$24),COUNTA($AK$17:$BB$17)),MATCH($F312,$F$19:$F$24,0),MATCH(AY$17,$AK$17:$BB$17,0))*INDEX($10:$13,MATCH($O312,$R$10:$R$13,0),COLUMN())</f>
        <v>0</v>
      </c>
      <c r="AZ312" s="1050" cm="1">
        <f t="array" aca="1" ref="AZ312" ca="1">INDEX(OFFSET($AK$19,MATCH($B312,$B$19:$B$150,0)-1,0,COUNTA($B$19:$B$24),COUNTA($AK$17:$BB$17)),MATCH($F312,$F$19:$F$24,0),MATCH(AZ$17,$AK$17:$BB$17,0))*INDEX($10:$13,MATCH($O312,$R$10:$R$13,0),COLUMN())</f>
        <v>0</v>
      </c>
      <c r="BA312" s="1050" cm="1">
        <f t="array" aca="1" ref="BA312" ca="1">INDEX(OFFSET($AK$19,MATCH($B312,$B$19:$B$150,0)-1,0,COUNTA($B$19:$B$24),COUNTA($AK$17:$BB$17)),MATCH($F312,$F$19:$F$24,0),MATCH(BA$17,$AK$17:$BB$17,0))*INDEX($10:$13,MATCH($O312,$R$10:$R$13,0),COLUMN())</f>
        <v>0</v>
      </c>
      <c r="BB312" s="1051" cm="1">
        <f t="array" aca="1" ref="BB312" ca="1">INDEX(OFFSET($AK$19,MATCH($B312,$B$19:$B$150,0)-1,0,COUNTA($B$19:$B$24),COUNTA($AK$17:$BB$17)),MATCH($F312,$F$19:$F$24,0),MATCH(BB$17,$AK$17:$BB$17,0))*INDEX($10:$13,MATCH($O312,$R$10:$R$13,0),COLUMN())</f>
        <v>0</v>
      </c>
      <c r="BC312" s="1053">
        <f t="shared" ca="1" si="165"/>
        <v>0.13578149333607706</v>
      </c>
      <c r="BE312" s="1"/>
      <c r="BF312" s="1"/>
      <c r="BG312" s="1"/>
      <c r="BH312" s="1"/>
      <c r="BI312" s="1"/>
      <c r="BJ312" s="1"/>
      <c r="BK312" s="1"/>
      <c r="BL312" s="1"/>
      <c r="BM312" s="1"/>
      <c r="BN312" s="1"/>
      <c r="BO312" s="1"/>
      <c r="BP312" s="1"/>
      <c r="BQ312" s="1"/>
      <c r="BR312" s="1"/>
      <c r="BS312" s="1"/>
      <c r="BT312" s="1"/>
      <c r="BU312" s="1"/>
      <c r="BV312" s="1"/>
      <c r="BW312" s="1"/>
      <c r="BX312" s="1"/>
      <c r="BY312" s="1"/>
      <c r="BZ312" s="1"/>
    </row>
    <row r="313" spans="2:78" ht="12" customHeight="1" outlineLevel="1" x14ac:dyDescent="0.25">
      <c r="B313" s="104" t="s">
        <v>100</v>
      </c>
      <c r="C313" s="104" t="s">
        <v>121</v>
      </c>
      <c r="D313" s="2" t="s">
        <v>132</v>
      </c>
      <c r="E313" s="2" t="s">
        <v>135</v>
      </c>
      <c r="F313" s="105" t="s">
        <v>95</v>
      </c>
      <c r="G313" s="27" t="s">
        <v>1581</v>
      </c>
      <c r="H313" s="106" t="s">
        <v>128</v>
      </c>
      <c r="I313" s="107" t="s">
        <v>127</v>
      </c>
      <c r="J313" s="147">
        <v>3.7523941999999999</v>
      </c>
      <c r="K313" s="148">
        <v>0.4056506487491307</v>
      </c>
      <c r="L313" s="149">
        <f t="shared" ca="1" si="162"/>
        <v>0.7134394271283</v>
      </c>
      <c r="M313" s="148">
        <f t="shared" ca="1" si="163"/>
        <v>0.69505781520693377</v>
      </c>
      <c r="N313" s="148">
        <f t="shared" ca="1" si="164"/>
        <v>0.28940716645780307</v>
      </c>
      <c r="O313" s="1062" t="s">
        <v>1583</v>
      </c>
      <c r="P313" s="104"/>
      <c r="R313" s="119"/>
      <c r="S313" s="1072"/>
      <c r="T313" s="1072"/>
      <c r="U313" s="1072"/>
      <c r="V313" s="1072"/>
      <c r="W313" s="1072"/>
      <c r="X313" s="1072"/>
      <c r="Y313" s="1072"/>
      <c r="Z313" s="1072"/>
      <c r="AA313" s="1072"/>
      <c r="AB313" s="1072"/>
      <c r="AC313" s="1072"/>
      <c r="AD313" s="1072"/>
      <c r="AE313" s="1072"/>
      <c r="AF313" s="1072"/>
      <c r="AG313" s="1072"/>
      <c r="AH313" s="1072"/>
      <c r="AI313" s="1072"/>
      <c r="AJ313" s="1073"/>
      <c r="AK313" s="1052" cm="1">
        <f t="array" aca="1" ref="AK313" ca="1">INDEX(OFFSET($AK$19,MATCH($B313,$B$19:$B$150,0)-1,0,COUNTA($B$19:$B$24),COUNTA($AK$17:$BB$17)),MATCH($F313,$F$19:$F$24,0),MATCH(AK$17,$AK$17:$BB$17,0))*INDEX($10:$13,MATCH($O313,$R$10:$R$13,0),COLUMN())</f>
        <v>4.8604740600000002E-2</v>
      </c>
      <c r="AL313" s="1050" cm="1">
        <f t="array" aca="1" ref="AL313" ca="1">INDEX(OFFSET($AK$19,MATCH($B313,$B$19:$B$150,0)-1,0,COUNTA($B$19:$B$24),COUNTA($AK$17:$BB$17)),MATCH($F313,$F$19:$F$24,0),MATCH(AL$17,$AK$17:$BB$17,0))*INDEX($10:$13,MATCH($O313,$R$10:$R$13,0),COLUMN())</f>
        <v>4.2095752480000001E-8</v>
      </c>
      <c r="AM313" s="1050" cm="1">
        <f t="array" aca="1" ref="AM313" ca="1">INDEX(OFFSET($AK$19,MATCH($B313,$B$19:$B$150,0)-1,0,COUNTA($B$19:$B$24),COUNTA($AK$17:$BB$17)),MATCH($F313,$F$19:$F$24,0),MATCH(AM$17,$AK$17:$BB$17,0))*INDEX($10:$13,MATCH($O313,$R$10:$R$13,0),COLUMN())</f>
        <v>7.8042763759999997E-5</v>
      </c>
      <c r="AN313" s="1050" cm="1">
        <f t="array" aca="1" ref="AN313" ca="1">INDEX(OFFSET($AK$19,MATCH($B313,$B$19:$B$150,0)-1,0,COUNTA($B$19:$B$24),COUNTA($AK$17:$BB$17)),MATCH($F313,$F$19:$F$24,0),MATCH(AN$17,$AK$17:$BB$17,0))*INDEX($10:$13,MATCH($O313,$R$10:$R$13,0),COLUMN())</f>
        <v>9.2866689449999987E-4</v>
      </c>
      <c r="AO313" s="1050" cm="1">
        <f t="array" aca="1" ref="AO313" ca="1">INDEX(OFFSET($AK$19,MATCH($B313,$B$19:$B$150,0)-1,0,COUNTA($B$19:$B$24),COUNTA($AK$17:$BB$17)),MATCH($F313,$F$19:$F$24,0),MATCH(AO$17,$AK$17:$BB$17,0))*INDEX($10:$13,MATCH($O313,$R$10:$R$13,0),COLUMN())</f>
        <v>3.0493770944000003E-2</v>
      </c>
      <c r="AP313" s="1050" cm="1">
        <f t="array" aca="1" ref="AP313" ca="1">INDEX(OFFSET($AK$19,MATCH($B313,$B$19:$B$150,0)-1,0,COUNTA($B$19:$B$24),COUNTA($AK$17:$BB$17)),MATCH($F313,$F$19:$F$24,0),MATCH(AP$17,$AK$17:$BB$17,0))*INDEX($10:$13,MATCH($O313,$R$10:$R$13,0),COLUMN())</f>
        <v>2.3521619394E-2</v>
      </c>
      <c r="AQ313" s="1050" cm="1">
        <f t="array" aca="1" ref="AQ313" ca="1">INDEX(OFFSET($AK$19,MATCH($B313,$B$19:$B$150,0)-1,0,COUNTA($B$19:$B$24),COUNTA($AK$17:$BB$17)),MATCH($F313,$F$19:$F$24,0),MATCH(AQ$17,$AK$17:$BB$17,0))*INDEX($10:$13,MATCH($O313,$R$10:$R$13,0),COLUMN())</f>
        <v>1.8023560332E-4</v>
      </c>
      <c r="AR313" s="1050" cm="1">
        <f t="array" aca="1" ref="AR313" ca="1">INDEX(OFFSET($AK$19,MATCH($B313,$B$19:$B$150,0)-1,0,COUNTA($B$19:$B$24),COUNTA($AK$17:$BB$17)),MATCH($F313,$F$19:$F$24,0),MATCH(AR$17,$AK$17:$BB$17,0))*INDEX($10:$13,MATCH($O313,$R$10:$R$13,0),COLUMN())</f>
        <v>1.5577711032999998E-2</v>
      </c>
      <c r="AS313" s="1050" cm="1">
        <f t="array" aca="1" ref="AS313" ca="1">INDEX(OFFSET($AK$19,MATCH($B313,$B$19:$B$150,0)-1,0,COUNTA($B$19:$B$24),COUNTA($AK$17:$BB$17)),MATCH($F313,$F$19:$F$24,0),MATCH(AS$17,$AK$17:$BB$17,0))*INDEX($10:$13,MATCH($O313,$R$10:$R$13,0),COLUMN())</f>
        <v>1.9213238055E-3</v>
      </c>
      <c r="AT313" s="1050" cm="1">
        <f t="array" aca="1" ref="AT313" ca="1">INDEX(OFFSET($AK$19,MATCH($B313,$B$19:$B$150,0)-1,0,COUNTA($B$19:$B$24),COUNTA($AK$17:$BB$17)),MATCH($F313,$F$19:$F$24,0),MATCH(AT$17,$AK$17:$BB$17,0))*INDEX($10:$13,MATCH($O313,$R$10:$R$13,0),COLUMN())</f>
        <v>5.3136402249999999E-6</v>
      </c>
      <c r="AU313" s="1050" cm="1">
        <f t="array" aca="1" ref="AU313" ca="1">INDEX(OFFSET($AK$19,MATCH($B313,$B$19:$B$150,0)-1,0,COUNTA($B$19:$B$24),COUNTA($AK$17:$BB$17)),MATCH($F313,$F$19:$F$24,0),MATCH(AU$17,$AK$17:$BB$17,0))*INDEX($10:$13,MATCH($O313,$R$10:$R$13,0),COLUMN())</f>
        <v>1.0463200965999999E-6</v>
      </c>
      <c r="AV313" s="1050" cm="1">
        <f t="array" aca="1" ref="AV313" ca="1">INDEX(OFFSET($AK$19,MATCH($B313,$B$19:$B$150,0)-1,0,COUNTA($B$19:$B$24),COUNTA($AK$17:$BB$17)),MATCH($F313,$F$19:$F$24,0),MATCH(AV$17,$AK$17:$BB$17,0))*INDEX($10:$13,MATCH($O313,$R$10:$R$13,0),COLUMN())</f>
        <v>3.3273699061999997E-3</v>
      </c>
      <c r="AW313" s="1050" cm="1">
        <f t="array" aca="1" ref="AW313" ca="1">INDEX(OFFSET($AK$19,MATCH($B313,$B$19:$B$150,0)-1,0,COUNTA($B$19:$B$24),COUNTA($AK$17:$BB$17)),MATCH($F313,$F$19:$F$24,0),MATCH(AW$17,$AK$17:$BB$17,0))*INDEX($10:$13,MATCH($O313,$R$10:$R$13,0),COLUMN())</f>
        <v>0.16476723445000002</v>
      </c>
      <c r="AX313" s="1050" cm="1">
        <f t="array" aca="1" ref="AX313" ca="1">INDEX(OFFSET($AK$19,MATCH($B313,$B$19:$B$150,0)-1,0,COUNTA($B$19:$B$24),COUNTA($AK$17:$BB$17)),MATCH($F313,$F$19:$F$24,0),MATCH(AX$17,$AK$17:$BB$17,0))*INDEX($10:$13,MATCH($O313,$R$10:$R$13,0),COLUMN())</f>
        <v>4.9007448945000004E-8</v>
      </c>
      <c r="AY313" s="1050" cm="1">
        <f t="array" aca="1" ref="AY313" ca="1">INDEX(OFFSET($AK$19,MATCH($B313,$B$19:$B$150,0)-1,0,COUNTA($B$19:$B$24),COUNTA($AK$17:$BB$17)),MATCH($F313,$F$19:$F$24,0),MATCH(AY$17,$AK$17:$BB$17,0))*INDEX($10:$13,MATCH($O313,$R$10:$R$13,0),COLUMN())</f>
        <v>0</v>
      </c>
      <c r="AZ313" s="1050" cm="1">
        <f t="array" aca="1" ref="AZ313" ca="1">INDEX(OFFSET($AK$19,MATCH($B313,$B$19:$B$150,0)-1,0,COUNTA($B$19:$B$24),COUNTA($AK$17:$BB$17)),MATCH($F313,$F$19:$F$24,0),MATCH(AZ$17,$AK$17:$BB$17,0))*INDEX($10:$13,MATCH($O313,$R$10:$R$13,0),COLUMN())</f>
        <v>0</v>
      </c>
      <c r="BA313" s="1050" cm="1">
        <f t="array" aca="1" ref="BA313" ca="1">INDEX(OFFSET($AK$19,MATCH($B313,$B$19:$B$150,0)-1,0,COUNTA($B$19:$B$24),COUNTA($AK$17:$BB$17)),MATCH($F313,$F$19:$F$24,0),MATCH(BA$17,$AK$17:$BB$17,0))*INDEX($10:$13,MATCH($O313,$R$10:$R$13,0),COLUMN())</f>
        <v>0</v>
      </c>
      <c r="BB313" s="1051" cm="1">
        <f t="array" aca="1" ref="BB313" ca="1">INDEX(OFFSET($AK$19,MATCH($B313,$B$19:$B$150,0)-1,0,COUNTA($B$19:$B$24),COUNTA($AK$17:$BB$17)),MATCH($F313,$F$19:$F$24,0),MATCH(BB$17,$AK$17:$BB$17,0))*INDEX($10:$13,MATCH($O313,$R$10:$R$13,0),COLUMN())</f>
        <v>0</v>
      </c>
      <c r="BC313" s="1053">
        <f t="shared" ca="1" si="165"/>
        <v>0.16476728345744895</v>
      </c>
      <c r="BE313" s="1"/>
      <c r="BF313" s="1"/>
      <c r="BG313" s="1"/>
      <c r="BH313" s="1"/>
      <c r="BI313" s="1"/>
      <c r="BJ313" s="1"/>
      <c r="BK313" s="1"/>
      <c r="BL313" s="1"/>
      <c r="BM313" s="1"/>
      <c r="BN313" s="1"/>
      <c r="BO313" s="1"/>
      <c r="BP313" s="1"/>
      <c r="BQ313" s="1"/>
      <c r="BR313" s="1"/>
      <c r="BS313" s="1"/>
      <c r="BT313" s="1"/>
      <c r="BU313" s="1"/>
      <c r="BV313" s="1"/>
      <c r="BW313" s="1"/>
      <c r="BX313" s="1"/>
      <c r="BY313" s="1"/>
      <c r="BZ313" s="1"/>
    </row>
    <row r="314" spans="2:78" ht="12" customHeight="1" outlineLevel="1" x14ac:dyDescent="0.25">
      <c r="B314" s="104" t="s">
        <v>100</v>
      </c>
      <c r="C314" s="104" t="s">
        <v>121</v>
      </c>
      <c r="D314" s="2" t="s">
        <v>132</v>
      </c>
      <c r="E314" s="2" t="s">
        <v>135</v>
      </c>
      <c r="F314" s="105" t="s">
        <v>96</v>
      </c>
      <c r="G314" s="27" t="s">
        <v>1582</v>
      </c>
      <c r="H314" s="106" t="s">
        <v>128</v>
      </c>
      <c r="I314" s="107" t="s">
        <v>1577</v>
      </c>
      <c r="J314" s="147">
        <v>3.7523941999999999</v>
      </c>
      <c r="K314" s="148">
        <v>0.4056506487491307</v>
      </c>
      <c r="L314" s="149">
        <f t="shared" ca="1" si="162"/>
        <v>0.80296719396869864</v>
      </c>
      <c r="M314" s="148">
        <f t="shared" ca="1" si="163"/>
        <v>0.73137481190680242</v>
      </c>
      <c r="N314" s="148">
        <f t="shared" ca="1" si="164"/>
        <v>0.32572416315767166</v>
      </c>
      <c r="O314" s="1062" t="s">
        <v>1583</v>
      </c>
      <c r="P314" s="104"/>
      <c r="R314" s="119"/>
      <c r="S314" s="1072"/>
      <c r="T314" s="1072"/>
      <c r="U314" s="1072"/>
      <c r="V314" s="1072"/>
      <c r="W314" s="1072"/>
      <c r="X314" s="1072"/>
      <c r="Y314" s="1072"/>
      <c r="Z314" s="1072"/>
      <c r="AA314" s="1072"/>
      <c r="AB314" s="1072"/>
      <c r="AC314" s="1072"/>
      <c r="AD314" s="1072"/>
      <c r="AE314" s="1072"/>
      <c r="AF314" s="1072"/>
      <c r="AG314" s="1072"/>
      <c r="AH314" s="1072"/>
      <c r="AI314" s="1072"/>
      <c r="AJ314" s="1073"/>
      <c r="AK314" s="1052" cm="1">
        <f t="array" aca="1" ref="AK314" ca="1">INDEX(OFFSET($AK$19,MATCH($B314,$B$19:$B$150,0)-1,0,COUNTA($B$19:$B$24),COUNTA($AK$17:$BB$17)),MATCH($F314,$F$19:$F$24,0),MATCH(AK$17,$AK$17:$BB$17,0))*INDEX($10:$13,MATCH($O314,$R$10:$R$13,0),COLUMN())</f>
        <v>5.2871748150000002E-2</v>
      </c>
      <c r="AL314" s="1050" cm="1">
        <f t="array" aca="1" ref="AL314" ca="1">INDEX(OFFSET($AK$19,MATCH($B314,$B$19:$B$150,0)-1,0,COUNTA($B$19:$B$24),COUNTA($AK$17:$BB$17)),MATCH($F314,$F$19:$F$24,0),MATCH(AL$17,$AK$17:$BB$17,0))*INDEX($10:$13,MATCH($O314,$R$10:$R$13,0),COLUMN())</f>
        <v>4.2298192159999998E-8</v>
      </c>
      <c r="AM314" s="1050" cm="1">
        <f t="array" aca="1" ref="AM314" ca="1">INDEX(OFFSET($AK$19,MATCH($B314,$B$19:$B$150,0)-1,0,COUNTA($B$19:$B$24),COUNTA($AK$17:$BB$17)),MATCH($F314,$F$19:$F$24,0),MATCH(AM$17,$AK$17:$BB$17,0))*INDEX($10:$13,MATCH($O314,$R$10:$R$13,0),COLUMN())</f>
        <v>7.8416344329999995E-5</v>
      </c>
      <c r="AN314" s="1050" cm="1">
        <f t="array" aca="1" ref="AN314" ca="1">INDEX(OFFSET($AK$19,MATCH($B314,$B$19:$B$150,0)-1,0,COUNTA($B$19:$B$24),COUNTA($AK$17:$BB$17)),MATCH($F314,$F$19:$F$24,0),MATCH(AN$17,$AK$17:$BB$17,0))*INDEX($10:$13,MATCH($O314,$R$10:$R$13,0),COLUMN())</f>
        <v>9.6814701549999987E-4</v>
      </c>
      <c r="AO314" s="1050" cm="1">
        <f t="array" aca="1" ref="AO314" ca="1">INDEX(OFFSET($AK$19,MATCH($B314,$B$19:$B$150,0)-1,0,COUNTA($B$19:$B$24),COUNTA($AK$17:$BB$17)),MATCH($F314,$F$19:$F$24,0),MATCH(AO$17,$AK$17:$BB$17,0))*INDEX($10:$13,MATCH($O314,$R$10:$R$13,0),COLUMN())</f>
        <v>4.3154292160000003E-2</v>
      </c>
      <c r="AP314" s="1050" cm="1">
        <f t="array" aca="1" ref="AP314" ca="1">INDEX(OFFSET($AK$19,MATCH($B314,$B$19:$B$150,0)-1,0,COUNTA($B$19:$B$24),COUNTA($AK$17:$BB$17)),MATCH($F314,$F$19:$F$24,0),MATCH(AP$17,$AK$17:$BB$17,0))*INDEX($10:$13,MATCH($O314,$R$10:$R$13,0),COLUMN())</f>
        <v>3.5598091185999998E-2</v>
      </c>
      <c r="AQ314" s="1050" cm="1">
        <f t="array" aca="1" ref="AQ314" ca="1">INDEX(OFFSET($AK$19,MATCH($B314,$B$19:$B$150,0)-1,0,COUNTA($B$19:$B$24),COUNTA($AK$17:$BB$17)),MATCH($F314,$F$19:$F$24,0),MATCH(AQ$17,$AK$17:$BB$17,0))*INDEX($10:$13,MATCH($O314,$R$10:$R$13,0),COLUMN())</f>
        <v>2.7615570660000002E-4</v>
      </c>
      <c r="AR314" s="1050" cm="1">
        <f t="array" aca="1" ref="AR314" ca="1">INDEX(OFFSET($AK$19,MATCH($B314,$B$19:$B$150,0)-1,0,COUNTA($B$19:$B$24),COUNTA($AK$17:$BB$17)),MATCH($F314,$F$19:$F$24,0),MATCH(AR$17,$AK$17:$BB$17,0))*INDEX($10:$13,MATCH($O314,$R$10:$R$13,0),COLUMN())</f>
        <v>1.8796264027999998E-2</v>
      </c>
      <c r="AS314" s="1050" cm="1">
        <f t="array" aca="1" ref="AS314" ca="1">INDEX(OFFSET($AK$19,MATCH($B314,$B$19:$B$150,0)-1,0,COUNTA($B$19:$B$24),COUNTA($AK$17:$BB$17)),MATCH($F314,$F$19:$F$24,0),MATCH(AS$17,$AK$17:$BB$17,0))*INDEX($10:$13,MATCH($O314,$R$10:$R$13,0),COLUMN())</f>
        <v>3.3554723069999996E-3</v>
      </c>
      <c r="AT314" s="1050" cm="1">
        <f t="array" aca="1" ref="AT314" ca="1">INDEX(OFFSET($AK$19,MATCH($B314,$B$19:$B$150,0)-1,0,COUNTA($B$19:$B$24),COUNTA($AK$17:$BB$17)),MATCH($F314,$F$19:$F$24,0),MATCH(AT$17,$AK$17:$BB$17,0))*INDEX($10:$13,MATCH($O314,$R$10:$R$13,0),COLUMN())</f>
        <v>5.9607937340000001E-6</v>
      </c>
      <c r="AU314" s="1050" cm="1">
        <f t="array" aca="1" ref="AU314" ca="1">INDEX(OFFSET($AK$19,MATCH($B314,$B$19:$B$150,0)-1,0,COUNTA($B$19:$B$24),COUNTA($AK$17:$BB$17)),MATCH($F314,$F$19:$F$24,0),MATCH(AU$17,$AK$17:$BB$17,0))*INDEX($10:$13,MATCH($O314,$R$10:$R$13,0),COLUMN())</f>
        <v>1.1388163665E-6</v>
      </c>
      <c r="AV314" s="1050" cm="1">
        <f t="array" aca="1" ref="AV314" ca="1">INDEX(OFFSET($AK$19,MATCH($B314,$B$19:$B$150,0)-1,0,COUNTA($B$19:$B$24),COUNTA($AK$17:$BB$17)),MATCH($F314,$F$19:$F$24,0),MATCH(AV$17,$AK$17:$BB$17,0))*INDEX($10:$13,MATCH($O314,$R$10:$R$13,0),COLUMN())</f>
        <v>5.8511508944999995E-3</v>
      </c>
      <c r="AW314" s="1050" cm="1">
        <f t="array" aca="1" ref="AW314" ca="1">INDEX(OFFSET($AK$19,MATCH($B314,$B$19:$B$150,0)-1,0,COUNTA($B$19:$B$24),COUNTA($AK$17:$BB$17)),MATCH($F314,$F$19:$F$24,0),MATCH(AW$17,$AK$17:$BB$17,0))*INDEX($10:$13,MATCH($O314,$R$10:$R$13,0),COLUMN())</f>
        <v>0.16476723445000002</v>
      </c>
      <c r="AX314" s="1050" cm="1">
        <f t="array" aca="1" ref="AX314" ca="1">INDEX(OFFSET($AK$19,MATCH($B314,$B$19:$B$150,0)-1,0,COUNTA($B$19:$B$24),COUNTA($AK$17:$BB$17)),MATCH($F314,$F$19:$F$24,0),MATCH(AX$17,$AK$17:$BB$17,0))*INDEX($10:$13,MATCH($O314,$R$10:$R$13,0),COLUMN())</f>
        <v>4.9007448945000004E-8</v>
      </c>
      <c r="AY314" s="1050" cm="1">
        <f t="array" aca="1" ref="AY314" ca="1">INDEX(OFFSET($AK$19,MATCH($B314,$B$19:$B$150,0)-1,0,COUNTA($B$19:$B$24),COUNTA($AK$17:$BB$17)),MATCH($F314,$F$19:$F$24,0),MATCH(AY$17,$AK$17:$BB$17,0))*INDEX($10:$13,MATCH($O314,$R$10:$R$13,0),COLUMN())</f>
        <v>0</v>
      </c>
      <c r="AZ314" s="1050" cm="1">
        <f t="array" aca="1" ref="AZ314" ca="1">INDEX(OFFSET($AK$19,MATCH($B314,$B$19:$B$150,0)-1,0,COUNTA($B$19:$B$24),COUNTA($AK$17:$BB$17)),MATCH($F314,$F$19:$F$24,0),MATCH(AZ$17,$AK$17:$BB$17,0))*INDEX($10:$13,MATCH($O314,$R$10:$R$13,0),COLUMN())</f>
        <v>0</v>
      </c>
      <c r="BA314" s="1050" cm="1">
        <f t="array" aca="1" ref="BA314" ca="1">INDEX(OFFSET($AK$19,MATCH($B314,$B$19:$B$150,0)-1,0,COUNTA($B$19:$B$24),COUNTA($AK$17:$BB$17)),MATCH($F314,$F$19:$F$24,0),MATCH(BA$17,$AK$17:$BB$17,0))*INDEX($10:$13,MATCH($O314,$R$10:$R$13,0),COLUMN())</f>
        <v>0</v>
      </c>
      <c r="BB314" s="1051" cm="1">
        <f t="array" aca="1" ref="BB314" ca="1">INDEX(OFFSET($AK$19,MATCH($B314,$B$19:$B$150,0)-1,0,COUNTA($B$19:$B$24),COUNTA($AK$17:$BB$17)),MATCH($F314,$F$19:$F$24,0),MATCH(BB$17,$AK$17:$BB$17,0))*INDEX($10:$13,MATCH($O314,$R$10:$R$13,0),COLUMN())</f>
        <v>0</v>
      </c>
      <c r="BC314" s="1053">
        <f t="shared" ca="1" si="165"/>
        <v>0.16476728345744895</v>
      </c>
      <c r="BE314" s="1"/>
      <c r="BF314" s="1"/>
      <c r="BG314" s="1"/>
      <c r="BH314" s="1"/>
      <c r="BI314" s="1"/>
      <c r="BJ314" s="1"/>
      <c r="BK314" s="1"/>
      <c r="BL314" s="1"/>
      <c r="BM314" s="1"/>
      <c r="BN314" s="1"/>
      <c r="BO314" s="1"/>
      <c r="BP314" s="1"/>
      <c r="BQ314" s="1"/>
      <c r="BR314" s="1"/>
      <c r="BS314" s="1"/>
      <c r="BT314" s="1"/>
      <c r="BU314" s="1"/>
      <c r="BV314" s="1"/>
      <c r="BW314" s="1"/>
      <c r="BX314" s="1"/>
      <c r="BY314" s="1"/>
      <c r="BZ314" s="1"/>
    </row>
    <row r="315" spans="2:78" ht="12" customHeight="1" outlineLevel="1" x14ac:dyDescent="0.25">
      <c r="B315" s="88" t="s">
        <v>101</v>
      </c>
      <c r="C315" s="88" t="s">
        <v>121</v>
      </c>
      <c r="D315" s="89" t="s">
        <v>132</v>
      </c>
      <c r="E315" s="89" t="s">
        <v>136</v>
      </c>
      <c r="F315" s="90" t="s">
        <v>92</v>
      </c>
      <c r="G315" s="18" t="s">
        <v>126</v>
      </c>
      <c r="H315" s="91" t="s">
        <v>127</v>
      </c>
      <c r="I315" s="92" t="s">
        <v>127</v>
      </c>
      <c r="J315" s="142">
        <v>3.7906351599999999</v>
      </c>
      <c r="K315" s="143">
        <v>0.18195499999999998</v>
      </c>
      <c r="L315" s="144">
        <f t="shared" ca="1" si="162"/>
        <v>1.8480399737262256</v>
      </c>
      <c r="M315" s="143">
        <f t="shared" ca="1" si="163"/>
        <v>0.51821511341935533</v>
      </c>
      <c r="N315" s="143">
        <f t="shared" ca="1" si="164"/>
        <v>0.33626011341935536</v>
      </c>
      <c r="O315" s="1063" t="s">
        <v>1583</v>
      </c>
      <c r="P315" s="88"/>
      <c r="Q315" s="89"/>
      <c r="R315" s="150"/>
      <c r="S315" s="1070"/>
      <c r="T315" s="1070"/>
      <c r="U315" s="1070"/>
      <c r="V315" s="1070"/>
      <c r="W315" s="1070"/>
      <c r="X315" s="1070"/>
      <c r="Y315" s="1070"/>
      <c r="Z315" s="1070"/>
      <c r="AA315" s="1070"/>
      <c r="AB315" s="1070"/>
      <c r="AC315" s="1070"/>
      <c r="AD315" s="1070"/>
      <c r="AE315" s="1070"/>
      <c r="AF315" s="1070"/>
      <c r="AG315" s="1070"/>
      <c r="AH315" s="1070"/>
      <c r="AI315" s="1070"/>
      <c r="AJ315" s="1071"/>
      <c r="AK315" s="1048" cm="1">
        <f t="array" aca="1" ref="AK315" ca="1">INDEX(OFFSET($AK$19,MATCH($B315,$B$19:$B$150,0)-1,0,COUNTA($B$19:$B$24),COUNTA($AK$17:$BB$17)),MATCH($F315,$F$19:$F$24,0),MATCH(AK$17,$AK$17:$BB$17,0))*INDEX($10:$13,MATCH($O315,$R$10:$R$13,0),COLUMN())</f>
        <v>7.5861454500000008E-2</v>
      </c>
      <c r="AL315" s="1046" cm="1">
        <f t="array" aca="1" ref="AL315" ca="1">INDEX(OFFSET($AK$19,MATCH($B315,$B$19:$B$150,0)-1,0,COUNTA($B$19:$B$24),COUNTA($AK$17:$BB$17)),MATCH($F315,$F$19:$F$24,0),MATCH(AL$17,$AK$17:$BB$17,0))*INDEX($10:$13,MATCH($O315,$R$10:$R$13,0),COLUMN())</f>
        <v>4.0688712799999996E-8</v>
      </c>
      <c r="AM315" s="1046" cm="1">
        <f t="array" aca="1" ref="AM315" ca="1">INDEX(OFFSET($AK$19,MATCH($B315,$B$19:$B$150,0)-1,0,COUNTA($B$19:$B$24),COUNTA($AK$17:$BB$17)),MATCH($F315,$F$19:$F$24,0),MATCH(AM$17,$AK$17:$BB$17,0))*INDEX($10:$13,MATCH($O315,$R$10:$R$13,0),COLUMN())</f>
        <v>7.7736535290000004E-5</v>
      </c>
      <c r="AN315" s="1046" cm="1">
        <f t="array" aca="1" ref="AN315" ca="1">INDEX(OFFSET($AK$19,MATCH($B315,$B$19:$B$150,0)-1,0,COUNTA($B$19:$B$24),COUNTA($AK$17:$BB$17)),MATCH($F315,$F$19:$F$24,0),MATCH(AN$17,$AK$17:$BB$17,0))*INDEX($10:$13,MATCH($O315,$R$10:$R$13,0),COLUMN())</f>
        <v>5.4249458299999997E-4</v>
      </c>
      <c r="AO315" s="1046" cm="1">
        <f t="array" aca="1" ref="AO315" ca="1">INDEX(OFFSET($AK$19,MATCH($B315,$B$19:$B$150,0)-1,0,COUNTA($B$19:$B$24),COUNTA($AK$17:$BB$17)),MATCH($F315,$F$19:$F$24,0),MATCH(AO$17,$AK$17:$BB$17,0))*INDEX($10:$13,MATCH($O315,$R$10:$R$13,0),COLUMN())</f>
        <v>3.3703186664000004E-2</v>
      </c>
      <c r="AP315" s="1046" cm="1">
        <f t="array" aca="1" ref="AP315" ca="1">INDEX(OFFSET($AK$19,MATCH($B315,$B$19:$B$150,0)-1,0,COUNTA($B$19:$B$24),COUNTA($AK$17:$BB$17)),MATCH($F315,$F$19:$F$24,0),MATCH(AP$17,$AK$17:$BB$17,0))*INDEX($10:$13,MATCH($O315,$R$10:$R$13,0),COLUMN())</f>
        <v>2.9048900026999998E-2</v>
      </c>
      <c r="AQ315" s="1046" cm="1">
        <f t="array" aca="1" ref="AQ315" ca="1">INDEX(OFFSET($AK$19,MATCH($B315,$B$19:$B$150,0)-1,0,COUNTA($B$19:$B$24),COUNTA($AK$17:$BB$17)),MATCH($F315,$F$19:$F$24,0),MATCH(AQ$17,$AK$17:$BB$17,0))*INDEX($10:$13,MATCH($O315,$R$10:$R$13,0),COLUMN())</f>
        <v>1.9970775360000001E-4</v>
      </c>
      <c r="AR315" s="1046" cm="1">
        <f t="array" aca="1" ref="AR315" ca="1">INDEX(OFFSET($AK$19,MATCH($B315,$B$19:$B$150,0)-1,0,COUNTA($B$19:$B$24),COUNTA($AK$17:$BB$17)),MATCH($F315,$F$19:$F$24,0),MATCH(AR$17,$AK$17:$BB$17,0))*INDEX($10:$13,MATCH($O315,$R$10:$R$13,0),COLUMN())</f>
        <v>2.4276135964999997E-2</v>
      </c>
      <c r="AS315" s="1046" cm="1">
        <f t="array" aca="1" ref="AS315" ca="1">INDEX(OFFSET($AK$19,MATCH($B315,$B$19:$B$150,0)-1,0,COUNTA($B$19:$B$24),COUNTA($AK$17:$BB$17)),MATCH($F315,$F$19:$F$24,0),MATCH(AS$17,$AK$17:$BB$17,0))*INDEX($10:$13,MATCH($O315,$R$10:$R$13,0),COLUMN())</f>
        <v>7.7366811038E-2</v>
      </c>
      <c r="AT315" s="1046" cm="1">
        <f t="array" aca="1" ref="AT315" ca="1">INDEX(OFFSET($AK$19,MATCH($B315,$B$19:$B$150,0)-1,0,COUNTA($B$19:$B$24),COUNTA($AK$17:$BB$17)),MATCH($F315,$F$19:$F$24,0),MATCH(AT$17,$AK$17:$BB$17,0))*INDEX($10:$13,MATCH($O315,$R$10:$R$13,0),COLUMN())</f>
        <v>8.6366654409999991E-5</v>
      </c>
      <c r="AU315" s="1046" cm="1">
        <f t="array" aca="1" ref="AU315" ca="1">INDEX(OFFSET($AK$19,MATCH($B315,$B$19:$B$150,0)-1,0,COUNTA($B$19:$B$24),COUNTA($AK$17:$BB$17)),MATCH($F315,$F$19:$F$24,0),MATCH(AU$17,$AK$17:$BB$17,0))*INDEX($10:$13,MATCH($O315,$R$10:$R$13,0),COLUMN())</f>
        <v>4.4086306472999999E-6</v>
      </c>
      <c r="AV315" s="1046" cm="1">
        <f t="array" aca="1" ref="AV315" ca="1">INDEX(OFFSET($AK$19,MATCH($B315,$B$19:$B$150,0)-1,0,COUNTA($B$19:$B$24),COUNTA($AK$17:$BB$17)),MATCH($F315,$F$19:$F$24,0),MATCH(AV$17,$AK$17:$BB$17,0))*INDEX($10:$13,MATCH($O315,$R$10:$R$13,0),COLUMN())</f>
        <v>4.0648919261999997E-3</v>
      </c>
      <c r="AW315" s="1046" cm="1">
        <f t="array" aca="1" ref="AW315" ca="1">INDEX(OFFSET($AK$19,MATCH($B315,$B$19:$B$150,0)-1,0,COUNTA($B$19:$B$24),COUNTA($AK$17:$BB$17)),MATCH($F315,$F$19:$F$24,0),MATCH(AW$17,$AK$17:$BB$17,0))*INDEX($10:$13,MATCH($O315,$R$10:$R$13,0),COLUMN())</f>
        <v>9.102780245E-2</v>
      </c>
      <c r="AX315" s="1046" cm="1">
        <f t="array" aca="1" ref="AX315" ca="1">INDEX(OFFSET($AK$19,MATCH($B315,$B$19:$B$150,0)-1,0,COUNTA($B$19:$B$24),COUNTA($AK$17:$BB$17)),MATCH($F315,$F$19:$F$24,0),MATCH(AX$17,$AK$17:$BB$17,0))*INDEX($10:$13,MATCH($O315,$R$10:$R$13,0),COLUMN())</f>
        <v>1.7600349520000003E-7</v>
      </c>
      <c r="AY315" s="1046" cm="1">
        <f t="array" aca="1" ref="AY315" ca="1">INDEX(OFFSET($AK$19,MATCH($B315,$B$19:$B$150,0)-1,0,COUNTA($B$19:$B$24),COUNTA($AK$17:$BB$17)),MATCH($F315,$F$19:$F$24,0),MATCH(AY$17,$AK$17:$BB$17,0))*INDEX($10:$13,MATCH($O315,$R$10:$R$13,0),COLUMN())</f>
        <v>0</v>
      </c>
      <c r="AZ315" s="1046" cm="1">
        <f t="array" aca="1" ref="AZ315" ca="1">INDEX(OFFSET($AK$19,MATCH($B315,$B$19:$B$150,0)-1,0,COUNTA($B$19:$B$24),COUNTA($AK$17:$BB$17)),MATCH($F315,$F$19:$F$24,0),MATCH(AZ$17,$AK$17:$BB$17,0))*INDEX($10:$13,MATCH($O315,$R$10:$R$13,0),COLUMN())</f>
        <v>0</v>
      </c>
      <c r="BA315" s="1046" cm="1">
        <f t="array" aca="1" ref="BA315" ca="1">INDEX(OFFSET($AK$19,MATCH($B315,$B$19:$B$150,0)-1,0,COUNTA($B$19:$B$24),COUNTA($AK$17:$BB$17)),MATCH($F315,$F$19:$F$24,0),MATCH(BA$17,$AK$17:$BB$17,0))*INDEX($10:$13,MATCH($O315,$R$10:$R$13,0),COLUMN())</f>
        <v>0</v>
      </c>
      <c r="BB315" s="1047" cm="1">
        <f t="array" aca="1" ref="BB315" ca="1">INDEX(OFFSET($AK$19,MATCH($B315,$B$19:$B$150,0)-1,0,COUNTA($B$19:$B$24),COUNTA($AK$17:$BB$17)),MATCH($F315,$F$19:$F$24,0),MATCH(BB$17,$AK$17:$BB$17,0))*INDEX($10:$13,MATCH($O315,$R$10:$R$13,0),COLUMN())</f>
        <v>0</v>
      </c>
      <c r="BC315" s="1049">
        <f t="shared" ca="1" si="165"/>
        <v>9.1027978453495195E-2</v>
      </c>
      <c r="BE315" s="1"/>
      <c r="BF315" s="1"/>
      <c r="BG315" s="1"/>
      <c r="BH315" s="1"/>
      <c r="BI315" s="1"/>
      <c r="BJ315" s="1"/>
      <c r="BK315" s="1"/>
      <c r="BL315" s="1"/>
      <c r="BM315" s="1"/>
      <c r="BN315" s="1"/>
      <c r="BO315" s="1"/>
      <c r="BP315" s="1"/>
      <c r="BQ315" s="1"/>
      <c r="BR315" s="1"/>
      <c r="BS315" s="1"/>
      <c r="BT315" s="1"/>
      <c r="BU315" s="1"/>
      <c r="BV315" s="1"/>
      <c r="BW315" s="1"/>
      <c r="BX315" s="1"/>
      <c r="BY315" s="1"/>
      <c r="BZ315" s="1"/>
    </row>
    <row r="316" spans="2:78" ht="12" customHeight="1" outlineLevel="1" x14ac:dyDescent="0.25">
      <c r="B316" s="104" t="s">
        <v>101</v>
      </c>
      <c r="C316" s="104" t="s">
        <v>121</v>
      </c>
      <c r="D316" s="2" t="s">
        <v>132</v>
      </c>
      <c r="E316" s="2" t="s">
        <v>136</v>
      </c>
      <c r="F316" s="105" t="s">
        <v>122</v>
      </c>
      <c r="G316" s="27" t="s">
        <v>1579</v>
      </c>
      <c r="H316" s="106" t="s">
        <v>128</v>
      </c>
      <c r="I316" s="107" t="s">
        <v>129</v>
      </c>
      <c r="J316" s="147">
        <v>3.7906351599999999</v>
      </c>
      <c r="K316" s="148">
        <v>0.41675000000000001</v>
      </c>
      <c r="L316" s="149">
        <f t="shared" ca="1" si="162"/>
        <v>0.51970680193542762</v>
      </c>
      <c r="M316" s="148">
        <f t="shared" ca="1" si="163"/>
        <v>0.63333780970658948</v>
      </c>
      <c r="N316" s="148">
        <f t="shared" ca="1" si="164"/>
        <v>0.21658780970658945</v>
      </c>
      <c r="O316" s="1062" t="s">
        <v>1583</v>
      </c>
      <c r="P316" s="104"/>
      <c r="R316" s="119"/>
      <c r="S316" s="1072"/>
      <c r="T316" s="1072"/>
      <c r="U316" s="1072"/>
      <c r="V316" s="1072"/>
      <c r="W316" s="1072"/>
      <c r="X316" s="1072"/>
      <c r="Y316" s="1072"/>
      <c r="Z316" s="1072"/>
      <c r="AA316" s="1072"/>
      <c r="AB316" s="1072"/>
      <c r="AC316" s="1072"/>
      <c r="AD316" s="1072"/>
      <c r="AE316" s="1072"/>
      <c r="AF316" s="1072"/>
      <c r="AG316" s="1072"/>
      <c r="AH316" s="1072"/>
      <c r="AI316" s="1072"/>
      <c r="AJ316" s="1073"/>
      <c r="AK316" s="1052" cm="1">
        <f t="array" aca="1" ref="AK316" ca="1">INDEX(OFFSET($AK$19,MATCH($B316,$B$19:$B$150,0)-1,0,COUNTA($B$19:$B$24),COUNTA($AK$17:$BB$17)),MATCH($F316,$F$19:$F$24,0),MATCH(AK$17,$AK$17:$BB$17,0))*INDEX($10:$13,MATCH($O316,$R$10:$R$13,0),COLUMN())</f>
        <v>4.1413425300000001E-2</v>
      </c>
      <c r="AL316" s="1050" cm="1">
        <f t="array" aca="1" ref="AL316" ca="1">INDEX(OFFSET($AK$19,MATCH($B316,$B$19:$B$150,0)-1,0,COUNTA($B$19:$B$24),COUNTA($AK$17:$BB$17)),MATCH($F316,$F$19:$F$24,0),MATCH(AL$17,$AK$17:$BB$17,0))*INDEX($10:$13,MATCH($O316,$R$10:$R$13,0),COLUMN())</f>
        <v>3.550439712E-8</v>
      </c>
      <c r="AM316" s="1050" cm="1">
        <f t="array" aca="1" ref="AM316" ca="1">INDEX(OFFSET($AK$19,MATCH($B316,$B$19:$B$150,0)-1,0,COUNTA($B$19:$B$24),COUNTA($AK$17:$BB$17)),MATCH($F316,$F$19:$F$24,0),MATCH(AM$17,$AK$17:$BB$17,0))*INDEX($10:$13,MATCH($O316,$R$10:$R$13,0),COLUMN())</f>
        <v>6.5843380690000004E-5</v>
      </c>
      <c r="AN316" s="1050" cm="1">
        <f t="array" aca="1" ref="AN316" ca="1">INDEX(OFFSET($AK$19,MATCH($B316,$B$19:$B$150,0)-1,0,COUNTA($B$19:$B$24),COUNTA($AK$17:$BB$17)),MATCH($F316,$F$19:$F$24,0),MATCH(AN$17,$AK$17:$BB$17,0))*INDEX($10:$13,MATCH($O316,$R$10:$R$13,0),COLUMN())</f>
        <v>7.5826790999999991E-4</v>
      </c>
      <c r="AO316" s="1050" cm="1">
        <f t="array" aca="1" ref="AO316" ca="1">INDEX(OFFSET($AK$19,MATCH($B316,$B$19:$B$150,0)-1,0,COUNTA($B$19:$B$24),COUNTA($AK$17:$BB$17)),MATCH($F316,$F$19:$F$24,0),MATCH(AO$17,$AK$17:$BB$17,0))*INDEX($10:$13,MATCH($O316,$R$10:$R$13,0),COLUMN())</f>
        <v>1.1369765960000002E-2</v>
      </c>
      <c r="AP316" s="1050" cm="1">
        <f t="array" aca="1" ref="AP316" ca="1">INDEX(OFFSET($AK$19,MATCH($B316,$B$19:$B$150,0)-1,0,COUNTA($B$19:$B$24),COUNTA($AK$17:$BB$17)),MATCH($F316,$F$19:$F$24,0),MATCH(AP$17,$AK$17:$BB$17,0))*INDEX($10:$13,MATCH($O316,$R$10:$R$13,0),COLUMN())</f>
        <v>6.0182445679999993E-3</v>
      </c>
      <c r="AQ316" s="1050" cm="1">
        <f t="array" aca="1" ref="AQ316" ca="1">INDEX(OFFSET($AK$19,MATCH($B316,$B$19:$B$150,0)-1,0,COUNTA($B$19:$B$24),COUNTA($AK$17:$BB$17)),MATCH($F316,$F$19:$F$24,0),MATCH(AQ$17,$AK$17:$BB$17,0))*INDEX($10:$13,MATCH($O316,$R$10:$R$13,0),COLUMN())</f>
        <v>3.9348021000000001E-5</v>
      </c>
      <c r="AR316" s="1050" cm="1">
        <f t="array" aca="1" ref="AR316" ca="1">INDEX(OFFSET($AK$19,MATCH($B316,$B$19:$B$150,0)-1,0,COUNTA($B$19:$B$24),COUNTA($AK$17:$BB$17)),MATCH($F316,$F$19:$F$24,0),MATCH(AR$17,$AK$17:$BB$17,0))*INDEX($10:$13,MATCH($O316,$R$10:$R$13,0),COLUMN())</f>
        <v>1.4320638770000001E-2</v>
      </c>
      <c r="AS316" s="1050" cm="1">
        <f t="array" aca="1" ref="AS316" ca="1">INDEX(OFFSET($AK$19,MATCH($B316,$B$19:$B$150,0)-1,0,COUNTA($B$19:$B$24),COUNTA($AK$17:$BB$17)),MATCH($F316,$F$19:$F$24,0),MATCH(AS$17,$AK$17:$BB$17,0))*INDEX($10:$13,MATCH($O316,$R$10:$R$13,0),COLUMN())</f>
        <v>-7.7981439095999995E-5</v>
      </c>
      <c r="AT316" s="1050" cm="1">
        <f t="array" aca="1" ref="AT316" ca="1">INDEX(OFFSET($AK$19,MATCH($B316,$B$19:$B$150,0)-1,0,COUNTA($B$19:$B$24),COUNTA($AK$17:$BB$17)),MATCH($F316,$F$19:$F$24,0),MATCH(AT$17,$AK$17:$BB$17,0))*INDEX($10:$13,MATCH($O316,$R$10:$R$13,0),COLUMN())</f>
        <v>3.2804301761999999E-6</v>
      </c>
      <c r="AU316" s="1050" cm="1">
        <f t="array" aca="1" ref="AU316" ca="1">INDEX(OFFSET($AK$19,MATCH($B316,$B$19:$B$150,0)-1,0,COUNTA($B$19:$B$24),COUNTA($AK$17:$BB$17)),MATCH($F316,$F$19:$F$24,0),MATCH(AU$17,$AK$17:$BB$17,0))*INDEX($10:$13,MATCH($O316,$R$10:$R$13,0),COLUMN())</f>
        <v>7.0486184326999989E-7</v>
      </c>
      <c r="AV316" s="1050" cm="1">
        <f t="array" aca="1" ref="AV316" ca="1">INDEX(OFFSET($AK$19,MATCH($B316,$B$19:$B$150,0)-1,0,COUNTA($B$19:$B$24),COUNTA($AK$17:$BB$17)),MATCH($F316,$F$19:$F$24,0),MATCH(AV$17,$AK$17:$BB$17,0))*INDEX($10:$13,MATCH($O316,$R$10:$R$13,0),COLUMN())</f>
        <v>3.6126821756E-4</v>
      </c>
      <c r="AW316" s="1050" cm="1">
        <f t="array" aca="1" ref="AW316" ca="1">INDEX(OFFSET($AK$19,MATCH($B316,$B$19:$B$150,0)-1,0,COUNTA($B$19:$B$24),COUNTA($AK$17:$BB$17)),MATCH($F316,$F$19:$F$24,0),MATCH(AW$17,$AK$17:$BB$17,0))*INDEX($10:$13,MATCH($O316,$R$10:$R$13,0),COLUMN())</f>
        <v>0.14231492535000001</v>
      </c>
      <c r="AX316" s="1050" cm="1">
        <f t="array" aca="1" ref="AX316" ca="1">INDEX(OFFSET($AK$19,MATCH($B316,$B$19:$B$150,0)-1,0,COUNTA($B$19:$B$24),COUNTA($AK$17:$BB$17)),MATCH($F316,$F$19:$F$24,0),MATCH(AX$17,$AK$17:$BB$17,0))*INDEX($10:$13,MATCH($O316,$R$10:$R$13,0),COLUMN())</f>
        <v>4.2872018864999999E-8</v>
      </c>
      <c r="AY316" s="1050" cm="1">
        <f t="array" aca="1" ref="AY316" ca="1">INDEX(OFFSET($AK$19,MATCH($B316,$B$19:$B$150,0)-1,0,COUNTA($B$19:$B$24),COUNTA($AK$17:$BB$17)),MATCH($F316,$F$19:$F$24,0),MATCH(AY$17,$AK$17:$BB$17,0))*INDEX($10:$13,MATCH($O316,$R$10:$R$13,0),COLUMN())</f>
        <v>0</v>
      </c>
      <c r="AZ316" s="1050" cm="1">
        <f t="array" aca="1" ref="AZ316" ca="1">INDEX(OFFSET($AK$19,MATCH($B316,$B$19:$B$150,0)-1,0,COUNTA($B$19:$B$24),COUNTA($AK$17:$BB$17)),MATCH($F316,$F$19:$F$24,0),MATCH(AZ$17,$AK$17:$BB$17,0))*INDEX($10:$13,MATCH($O316,$R$10:$R$13,0),COLUMN())</f>
        <v>0</v>
      </c>
      <c r="BA316" s="1050" cm="1">
        <f t="array" aca="1" ref="BA316" ca="1">INDEX(OFFSET($AK$19,MATCH($B316,$B$19:$B$150,0)-1,0,COUNTA($B$19:$B$24),COUNTA($AK$17:$BB$17)),MATCH($F316,$F$19:$F$24,0),MATCH(BA$17,$AK$17:$BB$17,0))*INDEX($10:$13,MATCH($O316,$R$10:$R$13,0),COLUMN())</f>
        <v>0</v>
      </c>
      <c r="BB316" s="1051" cm="1">
        <f t="array" aca="1" ref="BB316" ca="1">INDEX(OFFSET($AK$19,MATCH($B316,$B$19:$B$150,0)-1,0,COUNTA($B$19:$B$24),COUNTA($AK$17:$BB$17)),MATCH($F316,$F$19:$F$24,0),MATCH(BB$17,$AK$17:$BB$17,0))*INDEX($10:$13,MATCH($O316,$R$10:$R$13,0),COLUMN())</f>
        <v>0</v>
      </c>
      <c r="BC316" s="1053">
        <f t="shared" ca="1" si="165"/>
        <v>0.14231496822201886</v>
      </c>
      <c r="BE316" s="1"/>
      <c r="BF316" s="1"/>
      <c r="BG316" s="1"/>
      <c r="BH316" s="1"/>
      <c r="BI316" s="1"/>
      <c r="BJ316" s="1"/>
      <c r="BK316" s="1"/>
      <c r="BL316" s="1"/>
      <c r="BM316" s="1"/>
      <c r="BN316" s="1"/>
      <c r="BO316" s="1"/>
      <c r="BP316" s="1"/>
      <c r="BQ316" s="1"/>
      <c r="BR316" s="1"/>
      <c r="BS316" s="1"/>
      <c r="BT316" s="1"/>
      <c r="BU316" s="1"/>
      <c r="BV316" s="1"/>
      <c r="BW316" s="1"/>
      <c r="BX316" s="1"/>
      <c r="BY316" s="1"/>
      <c r="BZ316" s="1"/>
    </row>
    <row r="317" spans="2:78" ht="12" customHeight="1" outlineLevel="1" x14ac:dyDescent="0.25">
      <c r="B317" s="104" t="s">
        <v>101</v>
      </c>
      <c r="C317" s="104" t="s">
        <v>121</v>
      </c>
      <c r="D317" s="2" t="s">
        <v>132</v>
      </c>
      <c r="E317" s="2" t="s">
        <v>136</v>
      </c>
      <c r="F317" s="105" t="s">
        <v>93</v>
      </c>
      <c r="G317" s="27" t="s">
        <v>1578</v>
      </c>
      <c r="H317" s="106" t="s">
        <v>130</v>
      </c>
      <c r="I317" s="107" t="s">
        <v>129</v>
      </c>
      <c r="J317" s="147">
        <v>3.7906351599999999</v>
      </c>
      <c r="K317" s="148">
        <v>0.41675000000000001</v>
      </c>
      <c r="L317" s="149">
        <f t="shared" ca="1" si="162"/>
        <v>0.65588402383649858</v>
      </c>
      <c r="M317" s="148">
        <f t="shared" ca="1" si="163"/>
        <v>0.69008966693386076</v>
      </c>
      <c r="N317" s="148">
        <f t="shared" ca="1" si="164"/>
        <v>0.2733396669338608</v>
      </c>
      <c r="O317" s="1062" t="s">
        <v>1583</v>
      </c>
      <c r="P317" s="104"/>
      <c r="R317" s="119"/>
      <c r="S317" s="1072"/>
      <c r="T317" s="1072"/>
      <c r="U317" s="1072"/>
      <c r="V317" s="1072"/>
      <c r="W317" s="1072"/>
      <c r="X317" s="1072"/>
      <c r="Y317" s="1072"/>
      <c r="Z317" s="1072"/>
      <c r="AA317" s="1072"/>
      <c r="AB317" s="1072"/>
      <c r="AC317" s="1072"/>
      <c r="AD317" s="1072"/>
      <c r="AE317" s="1072"/>
      <c r="AF317" s="1072"/>
      <c r="AG317" s="1072"/>
      <c r="AH317" s="1072"/>
      <c r="AI317" s="1072"/>
      <c r="AJ317" s="1073"/>
      <c r="AK317" s="1052" cm="1">
        <f t="array" aca="1" ref="AK317" ca="1">INDEX(OFFSET($AK$19,MATCH($B317,$B$19:$B$150,0)-1,0,COUNTA($B$19:$B$24),COUNTA($AK$17:$BB$17)),MATCH($F317,$F$19:$F$24,0),MATCH(AK$17,$AK$17:$BB$17,0))*INDEX($10:$13,MATCH($O317,$R$10:$R$13,0),COLUMN())</f>
        <v>5.2230007049999999E-2</v>
      </c>
      <c r="AL317" s="1050" cm="1">
        <f t="array" aca="1" ref="AL317" ca="1">INDEX(OFFSET($AK$19,MATCH($B317,$B$19:$B$150,0)-1,0,COUNTA($B$19:$B$24),COUNTA($AK$17:$BB$17)),MATCH($F317,$F$19:$F$24,0),MATCH(AL$17,$AK$17:$BB$17,0))*INDEX($10:$13,MATCH($O317,$R$10:$R$13,0),COLUMN())</f>
        <v>4.4777625279999997E-8</v>
      </c>
      <c r="AM317" s="1050" cm="1">
        <f t="array" aca="1" ref="AM317" ca="1">INDEX(OFFSET($AK$19,MATCH($B317,$B$19:$B$150,0)-1,0,COUNTA($B$19:$B$24),COUNTA($AK$17:$BB$17)),MATCH($F317,$F$19:$F$24,0),MATCH(AM$17,$AK$17:$BB$17,0))*INDEX($10:$13,MATCH($O317,$R$10:$R$13,0),COLUMN())</f>
        <v>8.3040709090000006E-5</v>
      </c>
      <c r="AN317" s="1050" cm="1">
        <f t="array" aca="1" ref="AN317" ca="1">INDEX(OFFSET($AK$19,MATCH($B317,$B$19:$B$150,0)-1,0,COUNTA($B$19:$B$24),COUNTA($AK$17:$BB$17)),MATCH($F317,$F$19:$F$24,0),MATCH(AN$17,$AK$17:$BB$17,0))*INDEX($10:$13,MATCH($O317,$R$10:$R$13,0),COLUMN())</f>
        <v>9.563164135E-4</v>
      </c>
      <c r="AO317" s="1050" cm="1">
        <f t="array" aca="1" ref="AO317" ca="1">INDEX(OFFSET($AK$19,MATCH($B317,$B$19:$B$150,0)-1,0,COUNTA($B$19:$B$24),COUNTA($AK$17:$BB$17)),MATCH($F317,$F$19:$F$24,0),MATCH(AO$17,$AK$17:$BB$17,0))*INDEX($10:$13,MATCH($O317,$R$10:$R$13,0),COLUMN())</f>
        <v>1.4339382344000002E-2</v>
      </c>
      <c r="AP317" s="1050" cm="1">
        <f t="array" aca="1" ref="AP317" ca="1">INDEX(OFFSET($AK$19,MATCH($B317,$B$19:$B$150,0)-1,0,COUNTA($B$19:$B$24),COUNTA($AK$17:$BB$17)),MATCH($F317,$F$19:$F$24,0),MATCH(AP$17,$AK$17:$BB$17,0))*INDEX($10:$13,MATCH($O317,$R$10:$R$13,0),COLUMN())</f>
        <v>7.5901218749999987E-3</v>
      </c>
      <c r="AQ317" s="1050" cm="1">
        <f t="array" aca="1" ref="AQ317" ca="1">INDEX(OFFSET($AK$19,MATCH($B317,$B$19:$B$150,0)-1,0,COUNTA($B$19:$B$24),COUNTA($AK$17:$BB$17)),MATCH($F317,$F$19:$F$24,0),MATCH(AQ$17,$AK$17:$BB$17,0))*INDEX($10:$13,MATCH($O317,$R$10:$R$13,0),COLUMN())</f>
        <v>4.9625147820000001E-5</v>
      </c>
      <c r="AR317" s="1050" cm="1">
        <f t="array" aca="1" ref="AR317" ca="1">INDEX(OFFSET($AK$19,MATCH($B317,$B$19:$B$150,0)-1,0,COUNTA($B$19:$B$24),COUNTA($AK$17:$BB$17)),MATCH($F317,$F$19:$F$24,0),MATCH(AR$17,$AK$17:$BB$17,0))*INDEX($10:$13,MATCH($O317,$R$10:$R$13,0),COLUMN())</f>
        <v>1.8060980411999997E-2</v>
      </c>
      <c r="AS317" s="1050" cm="1">
        <f t="array" aca="1" ref="AS317" ca="1">INDEX(OFFSET($AK$19,MATCH($B317,$B$19:$B$150,0)-1,0,COUNTA($B$19:$B$24),COUNTA($AK$17:$BB$17)),MATCH($F317,$F$19:$F$24,0),MATCH(AS$17,$AK$17:$BB$17,0))*INDEX($10:$13,MATCH($O317,$R$10:$R$13,0),COLUMN())</f>
        <v>-3.3107163737999999E-5</v>
      </c>
      <c r="AT317" s="1050" cm="1">
        <f t="array" aca="1" ref="AT317" ca="1">INDEX(OFFSET($AK$19,MATCH($B317,$B$19:$B$150,0)-1,0,COUNTA($B$19:$B$24),COUNTA($AK$17:$BB$17)),MATCH($F317,$F$19:$F$24,0),MATCH(AT$17,$AK$17:$BB$17,0))*INDEX($10:$13,MATCH($O317,$R$10:$R$13,0),COLUMN())</f>
        <v>4.1604430530000002E-6</v>
      </c>
      <c r="AU317" s="1050" cm="1">
        <f t="array" aca="1" ref="AU317" ca="1">INDEX(OFFSET($AK$19,MATCH($B317,$B$19:$B$150,0)-1,0,COUNTA($B$19:$B$24),COUNTA($AK$17:$BB$17)),MATCH($F317,$F$19:$F$24,0),MATCH(AU$17,$AK$17:$BB$17,0))*INDEX($10:$13,MATCH($O317,$R$10:$R$13,0),COLUMN())</f>
        <v>8.914569563E-7</v>
      </c>
      <c r="AV317" s="1050" cm="1">
        <f t="array" aca="1" ref="AV317" ca="1">INDEX(OFFSET($AK$19,MATCH($B317,$B$19:$B$150,0)-1,0,COUNTA($B$19:$B$24),COUNTA($AK$17:$BB$17)),MATCH($F317,$F$19:$F$24,0),MATCH(AV$17,$AK$17:$BB$17,0))*INDEX($10:$13,MATCH($O317,$R$10:$R$13,0),COLUMN())</f>
        <v>5.7263734898999996E-4</v>
      </c>
      <c r="AW317" s="1050" cm="1">
        <f t="array" aca="1" ref="AW317" ca="1">INDEX(OFFSET($AK$19,MATCH($B317,$B$19:$B$150,0)-1,0,COUNTA($B$19:$B$24),COUNTA($AK$17:$BB$17)),MATCH($F317,$F$19:$F$24,0),MATCH(AW$17,$AK$17:$BB$17,0))*INDEX($10:$13,MATCH($O317,$R$10:$R$13,0),COLUMN())</f>
        <v>0.17948551204999999</v>
      </c>
      <c r="AX317" s="1050" cm="1">
        <f t="array" aca="1" ref="AX317" ca="1">INDEX(OFFSET($AK$19,MATCH($B317,$B$19:$B$150,0)-1,0,COUNTA($B$19:$B$24),COUNTA($AK$17:$BB$17)),MATCH($F317,$F$19:$F$24,0),MATCH(AX$17,$AK$17:$BB$17,0))*INDEX($10:$13,MATCH($O317,$R$10:$R$13,0),COLUMN())</f>
        <v>5.4069564250000001E-8</v>
      </c>
      <c r="AY317" s="1050" cm="1">
        <f t="array" aca="1" ref="AY317" ca="1">INDEX(OFFSET($AK$19,MATCH($B317,$B$19:$B$150,0)-1,0,COUNTA($B$19:$B$24),COUNTA($AK$17:$BB$17)),MATCH($F317,$F$19:$F$24,0),MATCH(AY$17,$AK$17:$BB$17,0))*INDEX($10:$13,MATCH($O317,$R$10:$R$13,0),COLUMN())</f>
        <v>0</v>
      </c>
      <c r="AZ317" s="1050" cm="1">
        <f t="array" aca="1" ref="AZ317" ca="1">INDEX(OFFSET($AK$19,MATCH($B317,$B$19:$B$150,0)-1,0,COUNTA($B$19:$B$24),COUNTA($AK$17:$BB$17)),MATCH($F317,$F$19:$F$24,0),MATCH(AZ$17,$AK$17:$BB$17,0))*INDEX($10:$13,MATCH($O317,$R$10:$R$13,0),COLUMN())</f>
        <v>0</v>
      </c>
      <c r="BA317" s="1050" cm="1">
        <f t="array" aca="1" ref="BA317" ca="1">INDEX(OFFSET($AK$19,MATCH($B317,$B$19:$B$150,0)-1,0,COUNTA($B$19:$B$24),COUNTA($AK$17:$BB$17)),MATCH($F317,$F$19:$F$24,0),MATCH(BA$17,$AK$17:$BB$17,0))*INDEX($10:$13,MATCH($O317,$R$10:$R$13,0),COLUMN())</f>
        <v>0</v>
      </c>
      <c r="BB317" s="1051" cm="1">
        <f t="array" aca="1" ref="BB317" ca="1">INDEX(OFFSET($AK$19,MATCH($B317,$B$19:$B$150,0)-1,0,COUNTA($B$19:$B$24),COUNTA($AK$17:$BB$17)),MATCH($F317,$F$19:$F$24,0),MATCH(BB$17,$AK$17:$BB$17,0))*INDEX($10:$13,MATCH($O317,$R$10:$R$13,0),COLUMN())</f>
        <v>0</v>
      </c>
      <c r="BC317" s="1053">
        <f t="shared" ca="1" si="165"/>
        <v>0.17948556611956423</v>
      </c>
      <c r="BE317" s="1"/>
      <c r="BF317" s="1"/>
      <c r="BG317" s="1"/>
      <c r="BH317" s="1"/>
      <c r="BI317" s="1"/>
      <c r="BJ317" s="1"/>
      <c r="BK317" s="1"/>
      <c r="BL317" s="1"/>
      <c r="BM317" s="1"/>
      <c r="BN317" s="1"/>
      <c r="BO317" s="1"/>
      <c r="BP317" s="1"/>
      <c r="BQ317" s="1"/>
      <c r="BR317" s="1"/>
      <c r="BS317" s="1"/>
      <c r="BT317" s="1"/>
      <c r="BU317" s="1"/>
      <c r="BV317" s="1"/>
      <c r="BW317" s="1"/>
      <c r="BX317" s="1"/>
      <c r="BY317" s="1"/>
      <c r="BZ317" s="1"/>
    </row>
    <row r="318" spans="2:78" ht="12" customHeight="1" outlineLevel="1" x14ac:dyDescent="0.25">
      <c r="B318" s="104" t="s">
        <v>101</v>
      </c>
      <c r="C318" s="104" t="s">
        <v>121</v>
      </c>
      <c r="D318" s="2" t="s">
        <v>132</v>
      </c>
      <c r="E318" s="2" t="s">
        <v>136</v>
      </c>
      <c r="F318" s="105" t="s">
        <v>94</v>
      </c>
      <c r="G318" s="27" t="s">
        <v>1580</v>
      </c>
      <c r="H318" s="106" t="s">
        <v>131</v>
      </c>
      <c r="I318" s="107" t="s">
        <v>129</v>
      </c>
      <c r="J318" s="147">
        <v>3.7906351599999999</v>
      </c>
      <c r="K318" s="148">
        <v>0.41675000000000001</v>
      </c>
      <c r="L318" s="149">
        <f t="shared" ca="1" si="162"/>
        <v>0.43023090816742188</v>
      </c>
      <c r="M318" s="148">
        <f t="shared" ca="1" si="163"/>
        <v>0.59604873097877309</v>
      </c>
      <c r="N318" s="148">
        <f t="shared" ca="1" si="164"/>
        <v>0.17929873097877308</v>
      </c>
      <c r="O318" s="1062" t="s">
        <v>1583</v>
      </c>
      <c r="P318" s="104"/>
      <c r="R318" s="119"/>
      <c r="S318" s="1072"/>
      <c r="T318" s="1072"/>
      <c r="U318" s="1072"/>
      <c r="V318" s="1072"/>
      <c r="W318" s="1072"/>
      <c r="X318" s="1072"/>
      <c r="Y318" s="1072"/>
      <c r="Z318" s="1072"/>
      <c r="AA318" s="1072"/>
      <c r="AB318" s="1072"/>
      <c r="AC318" s="1072"/>
      <c r="AD318" s="1072"/>
      <c r="AE318" s="1072"/>
      <c r="AF318" s="1072"/>
      <c r="AG318" s="1072"/>
      <c r="AH318" s="1072"/>
      <c r="AI318" s="1072"/>
      <c r="AJ318" s="1073"/>
      <c r="AK318" s="1052" cm="1">
        <f t="array" aca="1" ref="AK318" ca="1">INDEX(OFFSET($AK$19,MATCH($B318,$B$19:$B$150,0)-1,0,COUNTA($B$19:$B$24),COUNTA($AK$17:$BB$17)),MATCH($F318,$F$19:$F$24,0),MATCH(AK$17,$AK$17:$BB$17,0))*INDEX($10:$13,MATCH($O318,$R$10:$R$13,0),COLUMN())</f>
        <v>3.4306330500000003E-2</v>
      </c>
      <c r="AL318" s="1050" cm="1">
        <f t="array" aca="1" ref="AL318" ca="1">INDEX(OFFSET($AK$19,MATCH($B318,$B$19:$B$150,0)-1,0,COUNTA($B$19:$B$24),COUNTA($AK$17:$BB$17)),MATCH($F318,$F$19:$F$24,0),MATCH(AL$17,$AK$17:$BB$17,0))*INDEX($10:$13,MATCH($O318,$R$10:$R$13,0),COLUMN())</f>
        <v>2.9411368895999997E-8</v>
      </c>
      <c r="AM318" s="1050" cm="1">
        <f t="array" aca="1" ref="AM318" ca="1">INDEX(OFFSET($AK$19,MATCH($B318,$B$19:$B$150,0)-1,0,COUNTA($B$19:$B$24),COUNTA($AK$17:$BB$17)),MATCH($F318,$F$19:$F$24,0),MATCH(AM$17,$AK$17:$BB$17,0))*INDEX($10:$13,MATCH($O318,$R$10:$R$13,0),COLUMN())</f>
        <v>5.4543777420000001E-5</v>
      </c>
      <c r="AN318" s="1050" cm="1">
        <f t="array" aca="1" ref="AN318" ca="1">INDEX(OFFSET($AK$19,MATCH($B318,$B$19:$B$150,0)-1,0,COUNTA($B$19:$B$24),COUNTA($AK$17:$BB$17)),MATCH($F318,$F$19:$F$24,0),MATCH(AN$17,$AK$17:$BB$17,0))*INDEX($10:$13,MATCH($O318,$R$10:$R$13,0),COLUMN())</f>
        <v>6.2813903899999995E-4</v>
      </c>
      <c r="AO318" s="1050" cm="1">
        <f t="array" aca="1" ref="AO318" ca="1">INDEX(OFFSET($AK$19,MATCH($B318,$B$19:$B$150,0)-1,0,COUNTA($B$19:$B$24),COUNTA($AK$17:$BB$17)),MATCH($F318,$F$19:$F$24,0),MATCH(AO$17,$AK$17:$BB$17,0))*INDEX($10:$13,MATCH($O318,$R$10:$R$13,0),COLUMN())</f>
        <v>9.4185624400000001E-3</v>
      </c>
      <c r="AP318" s="1050" cm="1">
        <f t="array" aca="1" ref="AP318" ca="1">INDEX(OFFSET($AK$19,MATCH($B318,$B$19:$B$150,0)-1,0,COUNTA($B$19:$B$24),COUNTA($AK$17:$BB$17)),MATCH($F318,$F$19:$F$24,0),MATCH(AP$17,$AK$17:$BB$17,0))*INDEX($10:$13,MATCH($O318,$R$10:$R$13,0),COLUMN())</f>
        <v>4.9854338379999993E-3</v>
      </c>
      <c r="AQ318" s="1050" cm="1">
        <f t="array" aca="1" ref="AQ318" ca="1">INDEX(OFFSET($AK$19,MATCH($B318,$B$19:$B$150,0)-1,0,COUNTA($B$19:$B$24),COUNTA($AK$17:$BB$17)),MATCH($F318,$F$19:$F$24,0),MATCH(AQ$17,$AK$17:$BB$17,0))*INDEX($10:$13,MATCH($O318,$R$10:$R$13,0),COLUMN())</f>
        <v>3.2595376560000001E-5</v>
      </c>
      <c r="AR318" s="1050" cm="1">
        <f t="array" aca="1" ref="AR318" ca="1">INDEX(OFFSET($AK$19,MATCH($B318,$B$19:$B$150,0)-1,0,COUNTA($B$19:$B$24),COUNTA($AK$17:$BB$17)),MATCH($F318,$F$19:$F$24,0),MATCH(AR$17,$AK$17:$BB$17,0))*INDEX($10:$13,MATCH($O318,$R$10:$R$13,0),COLUMN())</f>
        <v>1.1863026269E-2</v>
      </c>
      <c r="AS318" s="1050" cm="1">
        <f t="array" aca="1" ref="AS318" ca="1">INDEX(OFFSET($AK$19,MATCH($B318,$B$19:$B$150,0)-1,0,COUNTA($B$19:$B$24),COUNTA($AK$17:$BB$17)),MATCH($F318,$F$19:$F$24,0),MATCH(AS$17,$AK$17:$BB$17,0))*INDEX($10:$13,MATCH($O318,$R$10:$R$13,0),COLUMN())</f>
        <v>-1.0745173703E-4</v>
      </c>
      <c r="AT318" s="1050" cm="1">
        <f t="array" aca="1" ref="AT318" ca="1">INDEX(OFFSET($AK$19,MATCH($B318,$B$19:$B$150,0)-1,0,COUNTA($B$19:$B$24),COUNTA($AK$17:$BB$17)),MATCH($F318,$F$19:$F$24,0),MATCH(AT$17,$AK$17:$BB$17,0))*INDEX($10:$13,MATCH($O318,$R$10:$R$13,0),COLUMN())</f>
        <v>2.7022179563000001E-6</v>
      </c>
      <c r="AU318" s="1050" cm="1">
        <f t="array" aca="1" ref="AU318" ca="1">INDEX(OFFSET($AK$19,MATCH($B318,$B$19:$B$150,0)-1,0,COUNTA($B$19:$B$24),COUNTA($AK$17:$BB$17)),MATCH($F318,$F$19:$F$24,0),MATCH(AU$17,$AK$17:$BB$17,0))*INDEX($10:$13,MATCH($O318,$R$10:$R$13,0),COLUMN())</f>
        <v>5.8225906808999998E-7</v>
      </c>
      <c r="AV318" s="1050" cm="1">
        <f t="array" aca="1" ref="AV318" ca="1">INDEX(OFFSET($AK$19,MATCH($B318,$B$19:$B$150,0)-1,0,COUNTA($B$19:$B$24),COUNTA($AK$17:$BB$17)),MATCH($F318,$F$19:$F$24,0),MATCH(AV$17,$AK$17:$BB$17,0))*INDEX($10:$13,MATCH($O318,$R$10:$R$13,0),COLUMN())</f>
        <v>2.2241312281999999E-4</v>
      </c>
      <c r="AW318" s="1050" cm="1">
        <f t="array" aca="1" ref="AW318" ca="1">INDEX(OFFSET($AK$19,MATCH($B318,$B$19:$B$150,0)-1,0,COUNTA($B$19:$B$24),COUNTA($AK$17:$BB$17)),MATCH($F318,$F$19:$F$24,0),MATCH(AW$17,$AK$17:$BB$17,0))*INDEX($10:$13,MATCH($O318,$R$10:$R$13,0),COLUMN())</f>
        <v>0.11789178895000001</v>
      </c>
      <c r="AX318" s="1050" cm="1">
        <f t="array" aca="1" ref="AX318" ca="1">INDEX(OFFSET($AK$19,MATCH($B318,$B$19:$B$150,0)-1,0,COUNTA($B$19:$B$24),COUNTA($AK$17:$BB$17)),MATCH($F318,$F$19:$F$24,0),MATCH(AX$17,$AK$17:$BB$17,0))*INDEX($10:$13,MATCH($O318,$R$10:$R$13,0),COLUMN())</f>
        <v>3.5514609780000006E-8</v>
      </c>
      <c r="AY318" s="1050" cm="1">
        <f t="array" aca="1" ref="AY318" ca="1">INDEX(OFFSET($AK$19,MATCH($B318,$B$19:$B$150,0)-1,0,COUNTA($B$19:$B$24),COUNTA($AK$17:$BB$17)),MATCH($F318,$F$19:$F$24,0),MATCH(AY$17,$AK$17:$BB$17,0))*INDEX($10:$13,MATCH($O318,$R$10:$R$13,0),COLUMN())</f>
        <v>0</v>
      </c>
      <c r="AZ318" s="1050" cm="1">
        <f t="array" aca="1" ref="AZ318" ca="1">INDEX(OFFSET($AK$19,MATCH($B318,$B$19:$B$150,0)-1,0,COUNTA($B$19:$B$24),COUNTA($AK$17:$BB$17)),MATCH($F318,$F$19:$F$24,0),MATCH(AZ$17,$AK$17:$BB$17,0))*INDEX($10:$13,MATCH($O318,$R$10:$R$13,0),COLUMN())</f>
        <v>0</v>
      </c>
      <c r="BA318" s="1050" cm="1">
        <f t="array" aca="1" ref="BA318" ca="1">INDEX(OFFSET($AK$19,MATCH($B318,$B$19:$B$150,0)-1,0,COUNTA($B$19:$B$24),COUNTA($AK$17:$BB$17)),MATCH($F318,$F$19:$F$24,0),MATCH(BA$17,$AK$17:$BB$17,0))*INDEX($10:$13,MATCH($O318,$R$10:$R$13,0),COLUMN())</f>
        <v>0</v>
      </c>
      <c r="BB318" s="1051" cm="1">
        <f t="array" aca="1" ref="BB318" ca="1">INDEX(OFFSET($AK$19,MATCH($B318,$B$19:$B$150,0)-1,0,COUNTA($B$19:$B$24),COUNTA($AK$17:$BB$17)),MATCH($F318,$F$19:$F$24,0),MATCH(BB$17,$AK$17:$BB$17,0))*INDEX($10:$13,MATCH($O318,$R$10:$R$13,0),COLUMN())</f>
        <v>0</v>
      </c>
      <c r="BC318" s="1053">
        <f t="shared" ca="1" si="165"/>
        <v>0.11789182446460979</v>
      </c>
      <c r="BE318" s="1"/>
      <c r="BF318" s="1"/>
      <c r="BG318" s="1"/>
      <c r="BH318" s="1"/>
      <c r="BI318" s="1"/>
      <c r="BJ318" s="1"/>
      <c r="BK318" s="1"/>
      <c r="BL318" s="1"/>
      <c r="BM318" s="1"/>
      <c r="BN318" s="1"/>
      <c r="BO318" s="1"/>
      <c r="BP318" s="1"/>
      <c r="BQ318" s="1"/>
      <c r="BR318" s="1"/>
      <c r="BS318" s="1"/>
      <c r="BT318" s="1"/>
      <c r="BU318" s="1"/>
      <c r="BV318" s="1"/>
      <c r="BW318" s="1"/>
      <c r="BX318" s="1"/>
      <c r="BY318" s="1"/>
      <c r="BZ318" s="1"/>
    </row>
    <row r="319" spans="2:78" ht="12" customHeight="1" outlineLevel="1" x14ac:dyDescent="0.25">
      <c r="B319" s="104" t="s">
        <v>101</v>
      </c>
      <c r="C319" s="104" t="s">
        <v>121</v>
      </c>
      <c r="D319" s="2" t="s">
        <v>132</v>
      </c>
      <c r="E319" s="2" t="s">
        <v>136</v>
      </c>
      <c r="F319" s="105" t="s">
        <v>95</v>
      </c>
      <c r="G319" s="27" t="s">
        <v>1581</v>
      </c>
      <c r="H319" s="106" t="s">
        <v>128</v>
      </c>
      <c r="I319" s="107" t="s">
        <v>127</v>
      </c>
      <c r="J319" s="147">
        <v>3.7906351599999999</v>
      </c>
      <c r="K319" s="148">
        <v>0.41675000000000001</v>
      </c>
      <c r="L319" s="149">
        <f t="shared" ca="1" si="162"/>
        <v>0.62233767940908269</v>
      </c>
      <c r="M319" s="148">
        <f t="shared" ca="1" si="163"/>
        <v>0.67610922789373529</v>
      </c>
      <c r="N319" s="148">
        <f t="shared" ca="1" si="164"/>
        <v>0.25935922789373522</v>
      </c>
      <c r="O319" s="1062" t="s">
        <v>1583</v>
      </c>
      <c r="P319" s="104"/>
      <c r="R319" s="119"/>
      <c r="S319" s="1072"/>
      <c r="T319" s="1072"/>
      <c r="U319" s="1072"/>
      <c r="V319" s="1072"/>
      <c r="W319" s="1072"/>
      <c r="X319" s="1072"/>
      <c r="Y319" s="1072"/>
      <c r="Z319" s="1072"/>
      <c r="AA319" s="1072"/>
      <c r="AB319" s="1072"/>
      <c r="AC319" s="1072"/>
      <c r="AD319" s="1072"/>
      <c r="AE319" s="1072"/>
      <c r="AF319" s="1072"/>
      <c r="AG319" s="1072"/>
      <c r="AH319" s="1072"/>
      <c r="AI319" s="1072"/>
      <c r="AJ319" s="1073"/>
      <c r="AK319" s="1052" cm="1">
        <f t="array" aca="1" ref="AK319" ca="1">INDEX(OFFSET($AK$19,MATCH($B319,$B$19:$B$150,0)-1,0,COUNTA($B$19:$B$24),COUNTA($AK$17:$BB$17)),MATCH($F319,$F$19:$F$24,0),MATCH(AK$17,$AK$17:$BB$17,0))*INDEX($10:$13,MATCH($O319,$R$10:$R$13,0),COLUMN())</f>
        <v>4.655593995E-2</v>
      </c>
      <c r="AL319" s="1050" cm="1">
        <f t="array" aca="1" ref="AL319" ca="1">INDEX(OFFSET($AK$19,MATCH($B319,$B$19:$B$150,0)-1,0,COUNTA($B$19:$B$24),COUNTA($AK$17:$BB$17)),MATCH($F319,$F$19:$F$24,0),MATCH(AL$17,$AK$17:$BB$17,0))*INDEX($10:$13,MATCH($O319,$R$10:$R$13,0),COLUMN())</f>
        <v>3.5772321439999997E-8</v>
      </c>
      <c r="AM319" s="1050" cm="1">
        <f t="array" aca="1" ref="AM319" ca="1">INDEX(OFFSET($AK$19,MATCH($B319,$B$19:$B$150,0)-1,0,COUNTA($B$19:$B$24),COUNTA($AK$17:$BB$17)),MATCH($F319,$F$19:$F$24,0),MATCH(AM$17,$AK$17:$BB$17,0))*INDEX($10:$13,MATCH($O319,$R$10:$R$13,0),COLUMN())</f>
        <v>6.6337812410000003E-5</v>
      </c>
      <c r="AN319" s="1050" cm="1">
        <f t="array" aca="1" ref="AN319" ca="1">INDEX(OFFSET($AK$19,MATCH($B319,$B$19:$B$150,0)-1,0,COUNTA($B$19:$B$24),COUNTA($AK$17:$BB$17)),MATCH($F319,$F$19:$F$24,0),MATCH(AN$17,$AK$17:$BB$17,0))*INDEX($10:$13,MATCH($O319,$R$10:$R$13,0),COLUMN())</f>
        <v>8.1051960899999984E-4</v>
      </c>
      <c r="AO319" s="1050" cm="1">
        <f t="array" aca="1" ref="AO319" ca="1">INDEX(OFFSET($AK$19,MATCH($B319,$B$19:$B$150,0)-1,0,COUNTA($B$19:$B$24),COUNTA($AK$17:$BB$17)),MATCH($F319,$F$19:$F$24,0),MATCH(AO$17,$AK$17:$BB$17,0))*INDEX($10:$13,MATCH($O319,$R$10:$R$13,0),COLUMN())</f>
        <v>2.6411020383999999E-2</v>
      </c>
      <c r="AP319" s="1050" cm="1">
        <f t="array" aca="1" ref="AP319" ca="1">INDEX(OFFSET($AK$19,MATCH($B319,$B$19:$B$150,0)-1,0,COUNTA($B$19:$B$24),COUNTA($AK$17:$BB$17)),MATCH($F319,$F$19:$F$24,0),MATCH(AP$17,$AK$17:$BB$17,0))*INDEX($10:$13,MATCH($O319,$R$10:$R$13,0),COLUMN())</f>
        <v>2.0336750952E-2</v>
      </c>
      <c r="AQ319" s="1050" cm="1">
        <f t="array" aca="1" ref="AQ319" ca="1">INDEX(OFFSET($AK$19,MATCH($B319,$B$19:$B$150,0)-1,0,COUNTA($B$19:$B$24),COUNTA($AK$17:$BB$17)),MATCH($F319,$F$19:$F$24,0),MATCH(AQ$17,$AK$17:$BB$17,0))*INDEX($10:$13,MATCH($O319,$R$10:$R$13,0),COLUMN())</f>
        <v>1.5568020882E-4</v>
      </c>
      <c r="AR319" s="1050" cm="1">
        <f t="array" aca="1" ref="AR319" ca="1">INDEX(OFFSET($AK$19,MATCH($B319,$B$19:$B$150,0)-1,0,COUNTA($B$19:$B$24),COUNTA($AK$17:$BB$17)),MATCH($F319,$F$19:$F$24,0),MATCH(AR$17,$AK$17:$BB$17,0))*INDEX($10:$13,MATCH($O319,$R$10:$R$13,0),COLUMN())</f>
        <v>1.8133654269999997E-2</v>
      </c>
      <c r="AS319" s="1050" cm="1">
        <f t="array" aca="1" ref="AS319" ca="1">INDEX(OFFSET($AK$19,MATCH($B319,$B$19:$B$150,0)-1,0,COUNTA($B$19:$B$24),COUNTA($AK$17:$BB$17)),MATCH($F319,$F$19:$F$24,0),MATCH(AS$17,$AK$17:$BB$17,0))*INDEX($10:$13,MATCH($O319,$R$10:$R$13,0),COLUMN())</f>
        <v>1.6384225065999999E-3</v>
      </c>
      <c r="AT319" s="1050" cm="1">
        <f t="array" aca="1" ref="AT319" ca="1">INDEX(OFFSET($AK$19,MATCH($B319,$B$19:$B$150,0)-1,0,COUNTA($B$19:$B$24),COUNTA($AK$17:$BB$17)),MATCH($F319,$F$19:$F$24,0),MATCH(AT$17,$AK$17:$BB$17,0))*INDEX($10:$13,MATCH($O319,$R$10:$R$13,0),COLUMN())</f>
        <v>4.5727646179999998E-6</v>
      </c>
      <c r="AU319" s="1050" cm="1">
        <f t="array" aca="1" ref="AU319" ca="1">INDEX(OFFSET($AK$19,MATCH($B319,$B$19:$B$150,0)-1,0,COUNTA($B$19:$B$24),COUNTA($AK$17:$BB$17)),MATCH($F319,$F$19:$F$24,0),MATCH(AU$17,$AK$17:$BB$17,0))*INDEX($10:$13,MATCH($O319,$R$10:$R$13,0),COLUMN())</f>
        <v>9.0306324689999999E-7</v>
      </c>
      <c r="AV319" s="1050" cm="1">
        <f t="array" aca="1" ref="AV319" ca="1">INDEX(OFFSET($AK$19,MATCH($B319,$B$19:$B$150,0)-1,0,COUNTA($B$19:$B$24),COUNTA($AK$17:$BB$17)),MATCH($F319,$F$19:$F$24,0),MATCH(AV$17,$AK$17:$BB$17,0))*INDEX($10:$13,MATCH($O319,$R$10:$R$13,0),COLUMN())</f>
        <v>2.9304223786999995E-3</v>
      </c>
      <c r="AW319" s="1050" cm="1">
        <f t="array" aca="1" ref="AW319" ca="1">INDEX(OFFSET($AK$19,MATCH($B319,$B$19:$B$150,0)-1,0,COUNTA($B$19:$B$24),COUNTA($AK$17:$BB$17)),MATCH($F319,$F$19:$F$24,0),MATCH(AW$17,$AK$17:$BB$17,0))*INDEX($10:$13,MATCH($O319,$R$10:$R$13,0),COLUMN())</f>
        <v>0.14231492535000001</v>
      </c>
      <c r="AX319" s="1050" cm="1">
        <f t="array" aca="1" ref="AX319" ca="1">INDEX(OFFSET($AK$19,MATCH($B319,$B$19:$B$150,0)-1,0,COUNTA($B$19:$B$24),COUNTA($AK$17:$BB$17)),MATCH($F319,$F$19:$F$24,0),MATCH(AX$17,$AK$17:$BB$17,0))*INDEX($10:$13,MATCH($O319,$R$10:$R$13,0),COLUMN())</f>
        <v>4.2872018864999999E-8</v>
      </c>
      <c r="AY319" s="1050" cm="1">
        <f t="array" aca="1" ref="AY319" ca="1">INDEX(OFFSET($AK$19,MATCH($B319,$B$19:$B$150,0)-1,0,COUNTA($B$19:$B$24),COUNTA($AK$17:$BB$17)),MATCH($F319,$F$19:$F$24,0),MATCH(AY$17,$AK$17:$BB$17,0))*INDEX($10:$13,MATCH($O319,$R$10:$R$13,0),COLUMN())</f>
        <v>0</v>
      </c>
      <c r="AZ319" s="1050" cm="1">
        <f t="array" aca="1" ref="AZ319" ca="1">INDEX(OFFSET($AK$19,MATCH($B319,$B$19:$B$150,0)-1,0,COUNTA($B$19:$B$24),COUNTA($AK$17:$BB$17)),MATCH($F319,$F$19:$F$24,0),MATCH(AZ$17,$AK$17:$BB$17,0))*INDEX($10:$13,MATCH($O319,$R$10:$R$13,0),COLUMN())</f>
        <v>0</v>
      </c>
      <c r="BA319" s="1050" cm="1">
        <f t="array" aca="1" ref="BA319" ca="1">INDEX(OFFSET($AK$19,MATCH($B319,$B$19:$B$150,0)-1,0,COUNTA($B$19:$B$24),COUNTA($AK$17:$BB$17)),MATCH($F319,$F$19:$F$24,0),MATCH(BA$17,$AK$17:$BB$17,0))*INDEX($10:$13,MATCH($O319,$R$10:$R$13,0),COLUMN())</f>
        <v>0</v>
      </c>
      <c r="BB319" s="1051" cm="1">
        <f t="array" aca="1" ref="BB319" ca="1">INDEX(OFFSET($AK$19,MATCH($B319,$B$19:$B$150,0)-1,0,COUNTA($B$19:$B$24),COUNTA($AK$17:$BB$17)),MATCH($F319,$F$19:$F$24,0),MATCH(BB$17,$AK$17:$BB$17,0))*INDEX($10:$13,MATCH($O319,$R$10:$R$13,0),COLUMN())</f>
        <v>0</v>
      </c>
      <c r="BC319" s="1053">
        <f t="shared" ca="1" si="165"/>
        <v>0.14231496822201886</v>
      </c>
      <c r="BE319" s="1"/>
      <c r="BF319" s="1"/>
      <c r="BG319" s="1"/>
      <c r="BH319" s="1"/>
      <c r="BI319" s="1"/>
      <c r="BJ319" s="1"/>
      <c r="BK319" s="1"/>
      <c r="BL319" s="1"/>
      <c r="BM319" s="1"/>
      <c r="BN319" s="1"/>
      <c r="BO319" s="1"/>
      <c r="BP319" s="1"/>
      <c r="BQ319" s="1"/>
      <c r="BR319" s="1"/>
      <c r="BS319" s="1"/>
      <c r="BT319" s="1"/>
      <c r="BU319" s="1"/>
      <c r="BV319" s="1"/>
      <c r="BW319" s="1"/>
      <c r="BX319" s="1"/>
      <c r="BY319" s="1"/>
      <c r="BZ319" s="1"/>
    </row>
    <row r="320" spans="2:78" ht="12" customHeight="1" outlineLevel="1" x14ac:dyDescent="0.25">
      <c r="B320" s="104" t="s">
        <v>101</v>
      </c>
      <c r="C320" s="104" t="s">
        <v>121</v>
      </c>
      <c r="D320" s="2" t="s">
        <v>132</v>
      </c>
      <c r="E320" s="2" t="s">
        <v>136</v>
      </c>
      <c r="F320" s="105" t="s">
        <v>96</v>
      </c>
      <c r="G320" s="27" t="s">
        <v>1582</v>
      </c>
      <c r="H320" s="106" t="s">
        <v>128</v>
      </c>
      <c r="I320" s="107" t="s">
        <v>1577</v>
      </c>
      <c r="J320" s="147">
        <v>3.7906351599999999</v>
      </c>
      <c r="K320" s="148">
        <v>0.41675000000000001</v>
      </c>
      <c r="L320" s="149">
        <f t="shared" ca="1" si="162"/>
        <v>0.69760979411413648</v>
      </c>
      <c r="M320" s="148">
        <f t="shared" ca="1" si="163"/>
        <v>0.70747888169706641</v>
      </c>
      <c r="N320" s="148">
        <f t="shared" ca="1" si="164"/>
        <v>0.2907288816970664</v>
      </c>
      <c r="O320" s="1062" t="s">
        <v>1583</v>
      </c>
      <c r="P320" s="104"/>
      <c r="R320" s="119"/>
      <c r="S320" s="1072"/>
      <c r="T320" s="1072"/>
      <c r="U320" s="1072"/>
      <c r="V320" s="1072"/>
      <c r="W320" s="1072"/>
      <c r="X320" s="1072"/>
      <c r="Y320" s="1072"/>
      <c r="Z320" s="1072"/>
      <c r="AA320" s="1072"/>
      <c r="AB320" s="1072"/>
      <c r="AC320" s="1072"/>
      <c r="AD320" s="1072"/>
      <c r="AE320" s="1072"/>
      <c r="AF320" s="1072"/>
      <c r="AG320" s="1072"/>
      <c r="AH320" s="1072"/>
      <c r="AI320" s="1072"/>
      <c r="AJ320" s="1073"/>
      <c r="AK320" s="1052" cm="1">
        <f t="array" aca="1" ref="AK320" ca="1">INDEX(OFFSET($AK$19,MATCH($B320,$B$19:$B$150,0)-1,0,COUNTA($B$19:$B$24),COUNTA($AK$17:$BB$17)),MATCH($F320,$F$19:$F$24,0),MATCH(AK$17,$AK$17:$BB$17,0))*INDEX($10:$13,MATCH($O320,$R$10:$R$13,0),COLUMN())</f>
        <v>5.0241496500000003E-2</v>
      </c>
      <c r="AL320" s="1050" cm="1">
        <f t="array" aca="1" ref="AL320" ca="1">INDEX(OFFSET($AK$19,MATCH($B320,$B$19:$B$150,0)-1,0,COUNTA($B$19:$B$24),COUNTA($AK$17:$BB$17)),MATCH($F320,$F$19:$F$24,0),MATCH(AL$17,$AK$17:$BB$17,0))*INDEX($10:$13,MATCH($O320,$R$10:$R$13,0),COLUMN())</f>
        <v>3.5947176159999998E-8</v>
      </c>
      <c r="AM320" s="1050" cm="1">
        <f t="array" aca="1" ref="AM320" ca="1">INDEX(OFFSET($AK$19,MATCH($B320,$B$19:$B$150,0)-1,0,COUNTA($B$19:$B$24),COUNTA($AK$17:$BB$17)),MATCH($F320,$F$19:$F$24,0),MATCH(AM$17,$AK$17:$BB$17,0))*INDEX($10:$13,MATCH($O320,$R$10:$R$13,0),COLUMN())</f>
        <v>6.6660489360000007E-5</v>
      </c>
      <c r="AN320" s="1050" cm="1">
        <f t="array" aca="1" ref="AN320" ca="1">INDEX(OFFSET($AK$19,MATCH($B320,$B$19:$B$150,0)-1,0,COUNTA($B$19:$B$24),COUNTA($AK$17:$BB$17)),MATCH($F320,$F$19:$F$24,0),MATCH(AN$17,$AK$17:$BB$17,0))*INDEX($10:$13,MATCH($O320,$R$10:$R$13,0),COLUMN())</f>
        <v>8.4461990349999987E-4</v>
      </c>
      <c r="AO320" s="1050" cm="1">
        <f t="array" aca="1" ref="AO320" ca="1">INDEX(OFFSET($AK$19,MATCH($B320,$B$19:$B$150,0)-1,0,COUNTA($B$19:$B$24),COUNTA($AK$17:$BB$17)),MATCH($F320,$F$19:$F$24,0),MATCH(AO$17,$AK$17:$BB$17,0))*INDEX($10:$13,MATCH($O320,$R$10:$R$13,0),COLUMN())</f>
        <v>3.7346333920000002E-2</v>
      </c>
      <c r="AP320" s="1050" cm="1">
        <f t="array" aca="1" ref="AP320" ca="1">INDEX(OFFSET($AK$19,MATCH($B320,$B$19:$B$150,0)-1,0,COUNTA($B$19:$B$24),COUNTA($AK$17:$BB$17)),MATCH($F320,$F$19:$F$24,0),MATCH(AP$17,$AK$17:$BB$17,0))*INDEX($10:$13,MATCH($O320,$R$10:$R$13,0),COLUMN())</f>
        <v>3.0767600079999999E-2</v>
      </c>
      <c r="AQ320" s="1050" cm="1">
        <f t="array" aca="1" ref="AQ320" ca="1">INDEX(OFFSET($AK$19,MATCH($B320,$B$19:$B$150,0)-1,0,COUNTA($B$19:$B$24),COUNTA($AK$17:$BB$17)),MATCH($F320,$F$19:$F$24,0),MATCH(AQ$17,$AK$17:$BB$17,0))*INDEX($10:$13,MATCH($O320,$R$10:$R$13,0),COLUMN())</f>
        <v>2.3852958060000001E-4</v>
      </c>
      <c r="AR320" s="1050" cm="1">
        <f t="array" aca="1" ref="AR320" ca="1">INDEX(OFFSET($AK$19,MATCH($B320,$B$19:$B$150,0)-1,0,COUNTA($B$19:$B$24),COUNTA($AK$17:$BB$17)),MATCH($F320,$F$19:$F$24,0),MATCH(AR$17,$AK$17:$BB$17,0))*INDEX($10:$13,MATCH($O320,$R$10:$R$13,0),COLUMN())</f>
        <v>2.0913625113E-2</v>
      </c>
      <c r="AS320" s="1050" cm="1">
        <f t="array" aca="1" ref="AS320" ca="1">INDEX(OFFSET($AK$19,MATCH($B320,$B$19:$B$150,0)-1,0,COUNTA($B$19:$B$24),COUNTA($AK$17:$BB$17)),MATCH($F320,$F$19:$F$24,0),MATCH(AS$17,$AK$17:$BB$17,0))*INDEX($10:$13,MATCH($O320,$R$10:$R$13,0),COLUMN())</f>
        <v>2.8772609118000001E-3</v>
      </c>
      <c r="AT320" s="1050" cm="1">
        <f t="array" aca="1" ref="AT320" ca="1">INDEX(OFFSET($AK$19,MATCH($B320,$B$19:$B$150,0)-1,0,COUNTA($B$19:$B$24),COUNTA($AK$17:$BB$17)),MATCH($F320,$F$19:$F$24,0),MATCH(AT$17,$AK$17:$BB$17,0))*INDEX($10:$13,MATCH($O320,$R$10:$R$13,0),COLUMN())</f>
        <v>5.1317337690000003E-6</v>
      </c>
      <c r="AU320" s="1050" cm="1">
        <f t="array" aca="1" ref="AU320" ca="1">INDEX(OFFSET($AK$19,MATCH($B320,$B$19:$B$150,0)-1,0,COUNTA($B$19:$B$24),COUNTA($AK$17:$BB$17)),MATCH($F320,$F$19:$F$24,0),MATCH(AU$17,$AK$17:$BB$17,0))*INDEX($10:$13,MATCH($O320,$R$10:$R$13,0),COLUMN())</f>
        <v>9.8292594230000004E-7</v>
      </c>
      <c r="AV320" s="1050" cm="1">
        <f t="array" aca="1" ref="AV320" ca="1">INDEX(OFFSET($AK$19,MATCH($B320,$B$19:$B$150,0)-1,0,COUNTA($B$19:$B$24),COUNTA($AK$17:$BB$17)),MATCH($F320,$F$19:$F$24,0),MATCH(AV$17,$AK$17:$BB$17,0))*INDEX($10:$13,MATCH($O320,$R$10:$R$13,0),COLUMN())</f>
        <v>5.1116363698999997E-3</v>
      </c>
      <c r="AW320" s="1050" cm="1">
        <f t="array" aca="1" ref="AW320" ca="1">INDEX(OFFSET($AK$19,MATCH($B320,$B$19:$B$150,0)-1,0,COUNTA($B$19:$B$24),COUNTA($AK$17:$BB$17)),MATCH($F320,$F$19:$F$24,0),MATCH(AW$17,$AK$17:$BB$17,0))*INDEX($10:$13,MATCH($O320,$R$10:$R$13,0),COLUMN())</f>
        <v>0.14231492535000001</v>
      </c>
      <c r="AX320" s="1050" cm="1">
        <f t="array" aca="1" ref="AX320" ca="1">INDEX(OFFSET($AK$19,MATCH($B320,$B$19:$B$150,0)-1,0,COUNTA($B$19:$B$24),COUNTA($AK$17:$BB$17)),MATCH($F320,$F$19:$F$24,0),MATCH(AX$17,$AK$17:$BB$17,0))*INDEX($10:$13,MATCH($O320,$R$10:$R$13,0),COLUMN())</f>
        <v>4.2872018864999999E-8</v>
      </c>
      <c r="AY320" s="1050" cm="1">
        <f t="array" aca="1" ref="AY320" ca="1">INDEX(OFFSET($AK$19,MATCH($B320,$B$19:$B$150,0)-1,0,COUNTA($B$19:$B$24),COUNTA($AK$17:$BB$17)),MATCH($F320,$F$19:$F$24,0),MATCH(AY$17,$AK$17:$BB$17,0))*INDEX($10:$13,MATCH($O320,$R$10:$R$13,0),COLUMN())</f>
        <v>0</v>
      </c>
      <c r="AZ320" s="1050" cm="1">
        <f t="array" aca="1" ref="AZ320" ca="1">INDEX(OFFSET($AK$19,MATCH($B320,$B$19:$B$150,0)-1,0,COUNTA($B$19:$B$24),COUNTA($AK$17:$BB$17)),MATCH($F320,$F$19:$F$24,0),MATCH(AZ$17,$AK$17:$BB$17,0))*INDEX($10:$13,MATCH($O320,$R$10:$R$13,0),COLUMN())</f>
        <v>0</v>
      </c>
      <c r="BA320" s="1050" cm="1">
        <f t="array" aca="1" ref="BA320" ca="1">INDEX(OFFSET($AK$19,MATCH($B320,$B$19:$B$150,0)-1,0,COUNTA($B$19:$B$24),COUNTA($AK$17:$BB$17)),MATCH($F320,$F$19:$F$24,0),MATCH(BA$17,$AK$17:$BB$17,0))*INDEX($10:$13,MATCH($O320,$R$10:$R$13,0),COLUMN())</f>
        <v>0</v>
      </c>
      <c r="BB320" s="1051" cm="1">
        <f t="array" aca="1" ref="BB320" ca="1">INDEX(OFFSET($AK$19,MATCH($B320,$B$19:$B$150,0)-1,0,COUNTA($B$19:$B$24),COUNTA($AK$17:$BB$17)),MATCH($F320,$F$19:$F$24,0),MATCH(BB$17,$AK$17:$BB$17,0))*INDEX($10:$13,MATCH($O320,$R$10:$R$13,0),COLUMN())</f>
        <v>0</v>
      </c>
      <c r="BC320" s="1053">
        <f t="shared" ref="BC320:BC343" ca="1" si="166">SUM(AW320:AY320)</f>
        <v>0.14231496822201886</v>
      </c>
      <c r="BE320" s="1"/>
      <c r="BF320" s="1"/>
      <c r="BG320" s="1"/>
      <c r="BH320" s="1"/>
      <c r="BI320" s="1"/>
      <c r="BJ320" s="1"/>
      <c r="BK320" s="1"/>
      <c r="BL320" s="1"/>
      <c r="BM320" s="1"/>
      <c r="BN320" s="1"/>
      <c r="BO320" s="1"/>
      <c r="BP320" s="1"/>
      <c r="BQ320" s="1"/>
      <c r="BR320" s="1"/>
      <c r="BS320" s="1"/>
      <c r="BT320" s="1"/>
      <c r="BU320" s="1"/>
      <c r="BV320" s="1"/>
      <c r="BW320" s="1"/>
      <c r="BX320" s="1"/>
      <c r="BY320" s="1"/>
      <c r="BZ320" s="1"/>
    </row>
    <row r="321" spans="2:78" ht="12" customHeight="1" outlineLevel="1" x14ac:dyDescent="0.25">
      <c r="B321" s="88" t="s">
        <v>102</v>
      </c>
      <c r="C321" s="88" t="s">
        <v>121</v>
      </c>
      <c r="D321" s="89" t="s">
        <v>137</v>
      </c>
      <c r="E321" s="89" t="s">
        <v>138</v>
      </c>
      <c r="F321" s="90" t="s">
        <v>92</v>
      </c>
      <c r="G321" s="18" t="s">
        <v>126</v>
      </c>
      <c r="H321" s="91" t="s">
        <v>127</v>
      </c>
      <c r="I321" s="92" t="s">
        <v>127</v>
      </c>
      <c r="J321" s="142">
        <v>3.8814574399999997</v>
      </c>
      <c r="K321" s="143">
        <v>1.4249898934019873</v>
      </c>
      <c r="L321" s="144">
        <f t="shared" ca="1" si="162"/>
        <v>0.51804672590317535</v>
      </c>
      <c r="M321" s="143">
        <f t="shared" ca="1" si="163"/>
        <v>2.1632012421240017</v>
      </c>
      <c r="N321" s="143">
        <f t="shared" ca="1" si="164"/>
        <v>0.73821134872201433</v>
      </c>
      <c r="O321" s="1063" t="s">
        <v>1583</v>
      </c>
      <c r="P321" s="88"/>
      <c r="Q321" s="89"/>
      <c r="R321" s="150"/>
      <c r="S321" s="1070"/>
      <c r="T321" s="1070"/>
      <c r="U321" s="1070"/>
      <c r="V321" s="1070"/>
      <c r="W321" s="1070"/>
      <c r="X321" s="1070"/>
      <c r="Y321" s="1070"/>
      <c r="Z321" s="1070"/>
      <c r="AA321" s="1070"/>
      <c r="AB321" s="1070"/>
      <c r="AC321" s="1070"/>
      <c r="AD321" s="1070"/>
      <c r="AE321" s="1070"/>
      <c r="AF321" s="1070"/>
      <c r="AG321" s="1070"/>
      <c r="AH321" s="1070"/>
      <c r="AI321" s="1070"/>
      <c r="AJ321" s="1071"/>
      <c r="AK321" s="1048" cm="1">
        <f t="array" aca="1" ref="AK321" ca="1">INDEX(OFFSET($AK$19,MATCH($B321,$B$19:$B$150,0)-1,0,COUNTA($B$19:$B$24),COUNTA($AK$17:$BB$17)),MATCH($F321,$F$19:$F$24,0),MATCH(AK$17,$AK$17:$BB$17,0))*INDEX($10:$13,MATCH($O321,$R$10:$R$13,0),COLUMN())</f>
        <v>7.9327431300000001E-2</v>
      </c>
      <c r="AL321" s="1046" cm="1">
        <f t="array" aca="1" ref="AL321" ca="1">INDEX(OFFSET($AK$19,MATCH($B321,$B$19:$B$150,0)-1,0,COUNTA($B$19:$B$24),COUNTA($AK$17:$BB$17)),MATCH($F321,$F$19:$F$24,0),MATCH(AL$17,$AK$17:$BB$17,0))*INDEX($10:$13,MATCH($O321,$R$10:$R$13,0),COLUMN())</f>
        <v>1.2995827631999999E-7</v>
      </c>
      <c r="AM321" s="1046" cm="1">
        <f t="array" aca="1" ref="AM321" ca="1">INDEX(OFFSET($AK$19,MATCH($B321,$B$19:$B$150,0)-1,0,COUNTA($B$19:$B$24),COUNTA($AK$17:$BB$17)),MATCH($F321,$F$19:$F$24,0),MATCH(AM$17,$AK$17:$BB$17,0))*INDEX($10:$13,MATCH($O321,$R$10:$R$13,0),COLUMN())</f>
        <v>2.4285511809000004E-4</v>
      </c>
      <c r="AN321" s="1046" cm="1">
        <f t="array" aca="1" ref="AN321" ca="1">INDEX(OFFSET($AK$19,MATCH($B321,$B$19:$B$150,0)-1,0,COUNTA($B$19:$B$24),COUNTA($AK$17:$BB$17)),MATCH($F321,$F$19:$F$24,0),MATCH(AN$17,$AK$17:$BB$17,0))*INDEX($10:$13,MATCH($O321,$R$10:$R$13,0),COLUMN())</f>
        <v>1.0753392399999999E-3</v>
      </c>
      <c r="AO321" s="1046" cm="1">
        <f t="array" aca="1" ref="AO321" ca="1">INDEX(OFFSET($AK$19,MATCH($B321,$B$19:$B$150,0)-1,0,COUNTA($B$19:$B$24),COUNTA($AK$17:$BB$17)),MATCH($F321,$F$19:$F$24,0),MATCH(AO$17,$AK$17:$BB$17,0))*INDEX($10:$13,MATCH($O321,$R$10:$R$13,0),COLUMN())</f>
        <v>4.6103715840000004E-2</v>
      </c>
      <c r="AP321" s="1046" cm="1">
        <f t="array" aca="1" ref="AP321" ca="1">INDEX(OFFSET($AK$19,MATCH($B321,$B$19:$B$150,0)-1,0,COUNTA($B$19:$B$24),COUNTA($AK$17:$BB$17)),MATCH($F321,$F$19:$F$24,0),MATCH(AP$17,$AK$17:$BB$17,0))*INDEX($10:$13,MATCH($O321,$R$10:$R$13,0),COLUMN())</f>
        <v>3.7145701970999999E-2</v>
      </c>
      <c r="AQ321" s="1046" cm="1">
        <f t="array" aca="1" ref="AQ321" ca="1">INDEX(OFFSET($AK$19,MATCH($B321,$B$19:$B$150,0)-1,0,COUNTA($B$19:$B$24),COUNTA($AK$17:$BB$17)),MATCH($F321,$F$19:$F$24,0),MATCH(AQ$17,$AK$17:$BB$17,0))*INDEX($10:$13,MATCH($O321,$R$10:$R$13,0),COLUMN())</f>
        <v>4.8312164520000002E-4</v>
      </c>
      <c r="AR321" s="1046" cm="1">
        <f t="array" aca="1" ref="AR321" ca="1">INDEX(OFFSET($AK$19,MATCH($B321,$B$19:$B$150,0)-1,0,COUNTA($B$19:$B$24),COUNTA($AK$17:$BB$17)),MATCH($F321,$F$19:$F$24,0),MATCH(AR$17,$AK$17:$BB$17,0))*INDEX($10:$13,MATCH($O321,$R$10:$R$13,0),COLUMN())</f>
        <v>2.4040986377000001E-2</v>
      </c>
      <c r="AS321" s="1046" cm="1">
        <f t="array" aca="1" ref="AS321" ca="1">INDEX(OFFSET($AK$19,MATCH($B321,$B$19:$B$150,0)-1,0,COUNTA($B$19:$B$24),COUNTA($AK$17:$BB$17)),MATCH($F321,$F$19:$F$24,0),MATCH(AS$17,$AK$17:$BB$17,0))*INDEX($10:$13,MATCH($O321,$R$10:$R$13,0),COLUMN())</f>
        <v>0.31931856010999998</v>
      </c>
      <c r="AT321" s="1046" cm="1">
        <f t="array" aca="1" ref="AT321" ca="1">INDEX(OFFSET($AK$19,MATCH($B321,$B$19:$B$150,0)-1,0,COUNTA($B$19:$B$24),COUNTA($AK$17:$BB$17)),MATCH($F321,$F$19:$F$24,0),MATCH(AT$17,$AK$17:$BB$17,0))*INDEX($10:$13,MATCH($O321,$R$10:$R$13,0),COLUMN())</f>
        <v>3.5523713678999995E-4</v>
      </c>
      <c r="AU321" s="1046" cm="1">
        <f t="array" aca="1" ref="AU321" ca="1">INDEX(OFFSET($AK$19,MATCH($B321,$B$19:$B$150,0)-1,0,COUNTA($B$19:$B$24),COUNTA($AK$17:$BB$17)),MATCH($F321,$F$19:$F$24,0),MATCH(AU$17,$AK$17:$BB$17,0))*INDEX($10:$13,MATCH($O321,$R$10:$R$13,0),COLUMN())</f>
        <v>2.0763979338999999E-5</v>
      </c>
      <c r="AV321" s="1046" cm="1">
        <f t="array" aca="1" ref="AV321" ca="1">INDEX(OFFSET($AK$19,MATCH($B321,$B$19:$B$150,0)-1,0,COUNTA($B$19:$B$24),COUNTA($AK$17:$BB$17)),MATCH($F321,$F$19:$F$24,0),MATCH(AV$17,$AK$17:$BB$17,0))*INDEX($10:$13,MATCH($O321,$R$10:$R$13,0),COLUMN())</f>
        <v>9.7167758109999985E-3</v>
      </c>
      <c r="AW321" s="1046" cm="1">
        <f t="array" aca="1" ref="AW321" ca="1">INDEX(OFFSET($AK$19,MATCH($B321,$B$19:$B$150,0)-1,0,COUNTA($B$19:$B$24),COUNTA($AK$17:$BB$17)),MATCH($F321,$F$19:$F$24,0),MATCH(AW$17,$AK$17:$BB$17,0))*INDEX($10:$13,MATCH($O321,$R$10:$R$13,0),COLUMN())</f>
        <v>0.22038050385000002</v>
      </c>
      <c r="AX321" s="1046" cm="1">
        <f t="array" aca="1" ref="AX321" ca="1">INDEX(OFFSET($AK$19,MATCH($B321,$B$19:$B$150,0)-1,0,COUNTA($B$19:$B$24),COUNTA($AK$17:$BB$17)),MATCH($F321,$F$19:$F$24,0),MATCH(AX$17,$AK$17:$BB$17,0))*INDEX($10:$13,MATCH($O321,$R$10:$R$13,0),COLUMN())</f>
        <v>2.263853189E-7</v>
      </c>
      <c r="AY321" s="1046" cm="1">
        <f t="array" aca="1" ref="AY321" ca="1">INDEX(OFFSET($AK$19,MATCH($B321,$B$19:$B$150,0)-1,0,COUNTA($B$19:$B$24),COUNTA($AK$17:$BB$17)),MATCH($F321,$F$19:$F$24,0),MATCH(AY$17,$AK$17:$BB$17,0))*INDEX($10:$13,MATCH($O321,$R$10:$R$13,0),COLUMN())</f>
        <v>0</v>
      </c>
      <c r="AZ321" s="1046" cm="1">
        <f t="array" aca="1" ref="AZ321" ca="1">INDEX(OFFSET($AK$19,MATCH($B321,$B$19:$B$150,0)-1,0,COUNTA($B$19:$B$24),COUNTA($AK$17:$BB$17)),MATCH($F321,$F$19:$F$24,0),MATCH(AZ$17,$AK$17:$BB$17,0))*INDEX($10:$13,MATCH($O321,$R$10:$R$13,0),COLUMN())</f>
        <v>0</v>
      </c>
      <c r="BA321" s="1046" cm="1">
        <f t="array" aca="1" ref="BA321" ca="1">INDEX(OFFSET($AK$19,MATCH($B321,$B$19:$B$150,0)-1,0,COUNTA($B$19:$B$24),COUNTA($AK$17:$BB$17)),MATCH($F321,$F$19:$F$24,0),MATCH(BA$17,$AK$17:$BB$17,0))*INDEX($10:$13,MATCH($O321,$R$10:$R$13,0),COLUMN())</f>
        <v>0</v>
      </c>
      <c r="BB321" s="1047" cm="1">
        <f t="array" aca="1" ref="BB321" ca="1">INDEX(OFFSET($AK$19,MATCH($B321,$B$19:$B$150,0)-1,0,COUNTA($B$19:$B$24),COUNTA($AK$17:$BB$17)),MATCH($F321,$F$19:$F$24,0),MATCH(BB$17,$AK$17:$BB$17,0))*INDEX($10:$13,MATCH($O321,$R$10:$R$13,0),COLUMN())</f>
        <v>0</v>
      </c>
      <c r="BC321" s="1049">
        <f t="shared" ca="1" si="166"/>
        <v>0.22038073023531893</v>
      </c>
      <c r="BE321" s="1"/>
      <c r="BF321" s="1"/>
      <c r="BG321" s="1"/>
      <c r="BH321" s="1"/>
      <c r="BI321" s="1"/>
      <c r="BJ321" s="1"/>
      <c r="BK321" s="1"/>
      <c r="BL321" s="1"/>
      <c r="BM321" s="1"/>
      <c r="BN321" s="1"/>
      <c r="BO321" s="1"/>
      <c r="BP321" s="1"/>
      <c r="BQ321" s="1"/>
      <c r="BR321" s="1"/>
      <c r="BS321" s="1"/>
      <c r="BT321" s="1"/>
      <c r="BU321" s="1"/>
      <c r="BV321" s="1"/>
      <c r="BW321" s="1"/>
      <c r="BX321" s="1"/>
      <c r="BY321" s="1"/>
      <c r="BZ321" s="1"/>
    </row>
    <row r="322" spans="2:78" ht="12" customHeight="1" outlineLevel="1" x14ac:dyDescent="0.25">
      <c r="B322" s="104" t="s">
        <v>102</v>
      </c>
      <c r="C322" s="104" t="s">
        <v>121</v>
      </c>
      <c r="D322" s="2" t="s">
        <v>137</v>
      </c>
      <c r="E322" s="2" t="s">
        <v>138</v>
      </c>
      <c r="F322" s="105" t="s">
        <v>122</v>
      </c>
      <c r="G322" s="27" t="s">
        <v>1579</v>
      </c>
      <c r="H322" s="106" t="s">
        <v>128</v>
      </c>
      <c r="I322" s="107" t="s">
        <v>129</v>
      </c>
      <c r="J322" s="147">
        <v>3.8814574399999997</v>
      </c>
      <c r="K322" s="148">
        <v>3.49</v>
      </c>
      <c r="L322" s="149">
        <f t="shared" ca="1" si="162"/>
        <v>0.10131938521475886</v>
      </c>
      <c r="M322" s="148">
        <f t="shared" ca="1" si="163"/>
        <v>3.8436046543995088</v>
      </c>
      <c r="N322" s="148">
        <f t="shared" ca="1" si="164"/>
        <v>0.35360465439950844</v>
      </c>
      <c r="O322" s="1062" t="s">
        <v>1583</v>
      </c>
      <c r="P322" s="104"/>
      <c r="R322" s="119"/>
      <c r="S322" s="1072"/>
      <c r="T322" s="1072"/>
      <c r="U322" s="1072"/>
      <c r="V322" s="1072"/>
      <c r="W322" s="1072"/>
      <c r="X322" s="1072"/>
      <c r="Y322" s="1072"/>
      <c r="Z322" s="1072"/>
      <c r="AA322" s="1072"/>
      <c r="AB322" s="1072"/>
      <c r="AC322" s="1072"/>
      <c r="AD322" s="1072"/>
      <c r="AE322" s="1072"/>
      <c r="AF322" s="1072"/>
      <c r="AG322" s="1072"/>
      <c r="AH322" s="1072"/>
      <c r="AI322" s="1072"/>
      <c r="AJ322" s="1073"/>
      <c r="AK322" s="1052" cm="1">
        <f t="array" aca="1" ref="AK322" ca="1">INDEX(OFFSET($AK$19,MATCH($B322,$B$19:$B$150,0)-1,0,COUNTA($B$19:$B$24),COUNTA($AK$17:$BB$17)),MATCH($F322,$F$19:$F$24,0),MATCH(AK$17,$AK$17:$BB$17,0))*INDEX($10:$13,MATCH($O322,$R$10:$R$13,0),COLUMN())</f>
        <v>5.6216559750000006E-2</v>
      </c>
      <c r="AL322" s="1050" cm="1">
        <f t="array" aca="1" ref="AL322" ca="1">INDEX(OFFSET($AK$19,MATCH($B322,$B$19:$B$150,0)-1,0,COUNTA($B$19:$B$24),COUNTA($AK$17:$BB$17)),MATCH($F322,$F$19:$F$24,0),MATCH(AL$17,$AK$17:$BB$17,0))*INDEX($10:$13,MATCH($O322,$R$10:$R$13,0),COLUMN())</f>
        <v>5.478327456E-8</v>
      </c>
      <c r="AM322" s="1050" cm="1">
        <f t="array" aca="1" ref="AM322" ca="1">INDEX(OFFSET($AK$19,MATCH($B322,$B$19:$B$150,0)-1,0,COUNTA($B$19:$B$24),COUNTA($AK$17:$BB$17)),MATCH($F322,$F$19:$F$24,0),MATCH(AM$17,$AK$17:$BB$17,0))*INDEX($10:$13,MATCH($O322,$R$10:$R$13,0),COLUMN())</f>
        <v>1.0153536986E-4</v>
      </c>
      <c r="AN322" s="1050" cm="1">
        <f t="array" aca="1" ref="AN322" ca="1">INDEX(OFFSET($AK$19,MATCH($B322,$B$19:$B$150,0)-1,0,COUNTA($B$19:$B$24),COUNTA($AK$17:$BB$17)),MATCH($F322,$F$19:$F$24,0),MATCH(AN$17,$AK$17:$BB$17,0))*INDEX($10:$13,MATCH($O322,$R$10:$R$13,0),COLUMN())</f>
        <v>1.1111974589999999E-3</v>
      </c>
      <c r="AO322" s="1050" cm="1">
        <f t="array" aca="1" ref="AO322" ca="1">INDEX(OFFSET($AK$19,MATCH($B322,$B$19:$B$150,0)-1,0,COUNTA($B$19:$B$24),COUNTA($AK$17:$BB$17)),MATCH($F322,$F$19:$F$24,0),MATCH(AO$17,$AK$17:$BB$17,0))*INDEX($10:$13,MATCH($O322,$R$10:$R$13,0),COLUMN())</f>
        <v>1.8088248080000001E-2</v>
      </c>
      <c r="AP322" s="1050" cm="1">
        <f t="array" aca="1" ref="AP322" ca="1">INDEX(OFFSET($AK$19,MATCH($B322,$B$19:$B$150,0)-1,0,COUNTA($B$19:$B$24),COUNTA($AK$17:$BB$17)),MATCH($F322,$F$19:$F$24,0),MATCH(AP$17,$AK$17:$BB$17,0))*INDEX($10:$13,MATCH($O322,$R$10:$R$13,0),COLUMN())</f>
        <v>1.0066085420999999E-2</v>
      </c>
      <c r="AQ322" s="1050" cm="1">
        <f t="array" aca="1" ref="AQ322" ca="1">INDEX(OFFSET($AK$19,MATCH($B322,$B$19:$B$150,0)-1,0,COUNTA($B$19:$B$24),COUNTA($AK$17:$BB$17)),MATCH($F322,$F$19:$F$24,0),MATCH(AQ$17,$AK$17:$BB$17,0))*INDEX($10:$13,MATCH($O322,$R$10:$R$13,0),COLUMN())</f>
        <v>6.9465866400000015E-5</v>
      </c>
      <c r="AR322" s="1050" cm="1">
        <f t="array" aca="1" ref="AR322" ca="1">INDEX(OFFSET($AK$19,MATCH($B322,$B$19:$B$150,0)-1,0,COUNTA($B$19:$B$24),COUNTA($AK$17:$BB$17)),MATCH($F322,$F$19:$F$24,0),MATCH(AR$17,$AK$17:$BB$17,0))*INDEX($10:$13,MATCH($O322,$R$10:$R$13,0),COLUMN())</f>
        <v>1.4887871359E-2</v>
      </c>
      <c r="AS322" s="1050" cm="1">
        <f t="array" aca="1" ref="AS322" ca="1">INDEX(OFFSET($AK$19,MATCH($B322,$B$19:$B$150,0)-1,0,COUNTA($B$19:$B$24),COUNTA($AK$17:$BB$17)),MATCH($F322,$F$19:$F$24,0),MATCH(AS$17,$AK$17:$BB$17,0))*INDEX($10:$13,MATCH($O322,$R$10:$R$13,0),COLUMN())</f>
        <v>9.8109656810000003E-5</v>
      </c>
      <c r="AT322" s="1050" cm="1">
        <f t="array" aca="1" ref="AT322" ca="1">INDEX(OFFSET($AK$19,MATCH($B322,$B$19:$B$150,0)-1,0,COUNTA($B$19:$B$24),COUNTA($AK$17:$BB$17)),MATCH($F322,$F$19:$F$24,0),MATCH(AT$17,$AK$17:$BB$17,0))*INDEX($10:$13,MATCH($O322,$R$10:$R$13,0),COLUMN())</f>
        <v>5.8423178660000002E-6</v>
      </c>
      <c r="AU322" s="1050" cm="1">
        <f t="array" aca="1" ref="AU322" ca="1">INDEX(OFFSET($AK$19,MATCH($B322,$B$19:$B$150,0)-1,0,COUNTA($B$19:$B$24),COUNTA($AK$17:$BB$17)),MATCH($F322,$F$19:$F$24,0),MATCH(AU$17,$AK$17:$BB$17,0))*INDEX($10:$13,MATCH($O322,$R$10:$R$13,0),COLUMN())</f>
        <v>1.2077542771E-6</v>
      </c>
      <c r="AV322" s="1050" cm="1">
        <f t="array" aca="1" ref="AV322" ca="1">INDEX(OFFSET($AK$19,MATCH($B322,$B$19:$B$150,0)-1,0,COUNTA($B$19:$B$24),COUNTA($AK$17:$BB$17)),MATCH($F322,$F$19:$F$24,0),MATCH(AV$17,$AK$17:$BB$17,0))*INDEX($10:$13,MATCH($O322,$R$10:$R$13,0),COLUMN())</f>
        <v>1.2408744066999999E-3</v>
      </c>
      <c r="AW322" s="1050" cm="1">
        <f t="array" aca="1" ref="AW322" ca="1">INDEX(OFFSET($AK$19,MATCH($B322,$B$19:$B$150,0)-1,0,COUNTA($B$19:$B$24),COUNTA($AK$17:$BB$17)),MATCH($F322,$F$19:$F$24,0),MATCH(AW$17,$AK$17:$BB$17,0))*INDEX($10:$13,MATCH($O322,$R$10:$R$13,0),COLUMN())</f>
        <v>0.25171754010000003</v>
      </c>
      <c r="AX322" s="1050" cm="1">
        <f t="array" aca="1" ref="AX322" ca="1">INDEX(OFFSET($AK$19,MATCH($B322,$B$19:$B$150,0)-1,0,COUNTA($B$19:$B$24),COUNTA($AK$17:$BB$17)),MATCH($F322,$F$19:$F$24,0),MATCH(AX$17,$AK$17:$BB$17,0))*INDEX($10:$13,MATCH($O322,$R$10:$R$13,0),COLUMN())</f>
        <v>6.2075320710000011E-8</v>
      </c>
      <c r="AY322" s="1050" cm="1">
        <f t="array" aca="1" ref="AY322" ca="1">INDEX(OFFSET($AK$19,MATCH($B322,$B$19:$B$150,0)-1,0,COUNTA($B$19:$B$24),COUNTA($AK$17:$BB$17)),MATCH($F322,$F$19:$F$24,0),MATCH(AY$17,$AK$17:$BB$17,0))*INDEX($10:$13,MATCH($O322,$R$10:$R$13,0),COLUMN())</f>
        <v>0</v>
      </c>
      <c r="AZ322" s="1050" cm="1">
        <f t="array" aca="1" ref="AZ322" ca="1">INDEX(OFFSET($AK$19,MATCH($B322,$B$19:$B$150,0)-1,0,COUNTA($B$19:$B$24),COUNTA($AK$17:$BB$17)),MATCH($F322,$F$19:$F$24,0),MATCH(AZ$17,$AK$17:$BB$17,0))*INDEX($10:$13,MATCH($O322,$R$10:$R$13,0),COLUMN())</f>
        <v>0</v>
      </c>
      <c r="BA322" s="1050" cm="1">
        <f t="array" aca="1" ref="BA322" ca="1">INDEX(OFFSET($AK$19,MATCH($B322,$B$19:$B$150,0)-1,0,COUNTA($B$19:$B$24),COUNTA($AK$17:$BB$17)),MATCH($F322,$F$19:$F$24,0),MATCH(BA$17,$AK$17:$BB$17,0))*INDEX($10:$13,MATCH($O322,$R$10:$R$13,0),COLUMN())</f>
        <v>0</v>
      </c>
      <c r="BB322" s="1051" cm="1">
        <f t="array" aca="1" ref="BB322" ca="1">INDEX(OFFSET($AK$19,MATCH($B322,$B$19:$B$150,0)-1,0,COUNTA($B$19:$B$24),COUNTA($AK$17:$BB$17)),MATCH($F322,$F$19:$F$24,0),MATCH(BB$17,$AK$17:$BB$17,0))*INDEX($10:$13,MATCH($O322,$R$10:$R$13,0),COLUMN())</f>
        <v>0</v>
      </c>
      <c r="BC322" s="1053">
        <f t="shared" ca="1" si="166"/>
        <v>0.25171760217532074</v>
      </c>
      <c r="BE322" s="1"/>
      <c r="BF322" s="1"/>
      <c r="BG322" s="1"/>
      <c r="BH322" s="1"/>
      <c r="BI322" s="1"/>
      <c r="BJ322" s="1"/>
      <c r="BK322" s="1"/>
      <c r="BL322" s="1"/>
      <c r="BM322" s="1"/>
      <c r="BN322" s="1"/>
      <c r="BO322" s="1"/>
      <c r="BP322" s="1"/>
      <c r="BQ322" s="1"/>
      <c r="BR322" s="1"/>
      <c r="BS322" s="1"/>
      <c r="BT322" s="1"/>
      <c r="BU322" s="1"/>
      <c r="BV322" s="1"/>
      <c r="BW322" s="1"/>
      <c r="BX322" s="1"/>
      <c r="BY322" s="1"/>
      <c r="BZ322" s="1"/>
    </row>
    <row r="323" spans="2:78" ht="12" customHeight="1" outlineLevel="1" x14ac:dyDescent="0.25">
      <c r="B323" s="104" t="s">
        <v>102</v>
      </c>
      <c r="C323" s="104" t="s">
        <v>121</v>
      </c>
      <c r="D323" s="2" t="s">
        <v>137</v>
      </c>
      <c r="E323" s="2" t="s">
        <v>138</v>
      </c>
      <c r="F323" s="105" t="s">
        <v>93</v>
      </c>
      <c r="G323" s="27" t="s">
        <v>1578</v>
      </c>
      <c r="H323" s="106" t="s">
        <v>130</v>
      </c>
      <c r="I323" s="107" t="s">
        <v>129</v>
      </c>
      <c r="J323" s="147">
        <v>3.8814574399999997</v>
      </c>
      <c r="K323" s="148">
        <v>3.49</v>
      </c>
      <c r="L323" s="149">
        <f t="shared" ca="1" si="162"/>
        <v>0.13537021448444078</v>
      </c>
      <c r="M323" s="148">
        <f t="shared" ca="1" si="163"/>
        <v>3.9624420485506984</v>
      </c>
      <c r="N323" s="148">
        <f t="shared" ca="1" si="164"/>
        <v>0.47244204855069832</v>
      </c>
      <c r="O323" s="1062" t="s">
        <v>1583</v>
      </c>
      <c r="P323" s="104"/>
      <c r="R323" s="119"/>
      <c r="S323" s="1072"/>
      <c r="T323" s="1072"/>
      <c r="U323" s="1072"/>
      <c r="V323" s="1072"/>
      <c r="W323" s="1072"/>
      <c r="X323" s="1072"/>
      <c r="Y323" s="1072"/>
      <c r="Z323" s="1072"/>
      <c r="AA323" s="1072"/>
      <c r="AB323" s="1072"/>
      <c r="AC323" s="1072"/>
      <c r="AD323" s="1072"/>
      <c r="AE323" s="1072"/>
      <c r="AF323" s="1072"/>
      <c r="AG323" s="1072"/>
      <c r="AH323" s="1072"/>
      <c r="AI323" s="1072"/>
      <c r="AJ323" s="1073"/>
      <c r="AK323" s="1052" cm="1">
        <f t="array" aca="1" ref="AK323" ca="1">INDEX(OFFSET($AK$19,MATCH($B323,$B$19:$B$150,0)-1,0,COUNTA($B$19:$B$24),COUNTA($AK$17:$BB$17)),MATCH($F323,$F$19:$F$24,0),MATCH(AK$17,$AK$17:$BB$17,0))*INDEX($10:$13,MATCH($O323,$R$10:$R$13,0),COLUMN())</f>
        <v>7.5044640450000005E-2</v>
      </c>
      <c r="AL323" s="1050" cm="1">
        <f t="array" aca="1" ref="AL323" ca="1">INDEX(OFFSET($AK$19,MATCH($B323,$B$19:$B$150,0)-1,0,COUNTA($B$19:$B$24),COUNTA($AK$17:$BB$17)),MATCH($F323,$F$19:$F$24,0),MATCH(AL$17,$AK$17:$BB$17,0))*INDEX($10:$13,MATCH($O323,$R$10:$R$13,0),COLUMN())</f>
        <v>7.3131322239999994E-8</v>
      </c>
      <c r="AM323" s="1050" cm="1">
        <f t="array" aca="1" ref="AM323" ca="1">INDEX(OFFSET($AK$19,MATCH($B323,$B$19:$B$150,0)-1,0,COUNTA($B$19:$B$24),COUNTA($AK$17:$BB$17)),MATCH($F323,$F$19:$F$24,0),MATCH(AM$17,$AK$17:$BB$17,0))*INDEX($10:$13,MATCH($O323,$R$10:$R$13,0),COLUMN())</f>
        <v>1.3554165260000001E-4</v>
      </c>
      <c r="AN323" s="1050" cm="1">
        <f t="array" aca="1" ref="AN323" ca="1">INDEX(OFFSET($AK$19,MATCH($B323,$B$19:$B$150,0)-1,0,COUNTA($B$19:$B$24),COUNTA($AK$17:$BB$17)),MATCH($F323,$F$19:$F$24,0),MATCH(AN$17,$AK$17:$BB$17,0))*INDEX($10:$13,MATCH($O323,$R$10:$R$13,0),COLUMN())</f>
        <v>1.4833603899999997E-3</v>
      </c>
      <c r="AO323" s="1050" cm="1">
        <f t="array" aca="1" ref="AO323" ca="1">INDEX(OFFSET($AK$19,MATCH($B323,$B$19:$B$150,0)-1,0,COUNTA($B$19:$B$24),COUNTA($AK$17:$BB$17)),MATCH($F323,$F$19:$F$24,0),MATCH(AO$17,$AK$17:$BB$17,0))*INDEX($10:$13,MATCH($O323,$R$10:$R$13,0),COLUMN())</f>
        <v>2.4146374448000003E-2</v>
      </c>
      <c r="AP323" s="1050" cm="1">
        <f t="array" aca="1" ref="AP323" ca="1">INDEX(OFFSET($AK$19,MATCH($B323,$B$19:$B$150,0)-1,0,COUNTA($B$19:$B$24),COUNTA($AK$17:$BB$17)),MATCH($F323,$F$19:$F$24,0),MATCH(AP$17,$AK$17:$BB$17,0))*INDEX($10:$13,MATCH($O323,$R$10:$R$13,0),COLUMN())</f>
        <v>1.3437424287E-2</v>
      </c>
      <c r="AQ323" s="1050" cm="1">
        <f t="array" aca="1" ref="AQ323" ca="1">INDEX(OFFSET($AK$19,MATCH($B323,$B$19:$B$150,0)-1,0,COUNTA($B$19:$B$24),COUNTA($AK$17:$BB$17)),MATCH($F323,$F$19:$F$24,0),MATCH(AQ$17,$AK$17:$BB$17,0))*INDEX($10:$13,MATCH($O323,$R$10:$R$13,0),COLUMN())</f>
        <v>9.2731414140000007E-5</v>
      </c>
      <c r="AR323" s="1050" cm="1">
        <f t="array" aca="1" ref="AR323" ca="1">INDEX(OFFSET($AK$19,MATCH($B323,$B$19:$B$150,0)-1,0,COUNTA($B$19:$B$24),COUNTA($AK$17:$BB$17)),MATCH($F323,$F$19:$F$24,0),MATCH(AR$17,$AK$17:$BB$17,0))*INDEX($10:$13,MATCH($O323,$R$10:$R$13,0),COLUMN())</f>
        <v>1.9874125651E-2</v>
      </c>
      <c r="AS323" s="1050" cm="1">
        <f t="array" aca="1" ref="AS323" ca="1">INDEX(OFFSET($AK$19,MATCH($B323,$B$19:$B$150,0)-1,0,COUNTA($B$19:$B$24),COUNTA($AK$17:$BB$17)),MATCH($F323,$F$19:$F$24,0),MATCH(AS$17,$AK$17:$BB$17,0))*INDEX($10:$13,MATCH($O323,$R$10:$R$13,0),COLUMN())</f>
        <v>2.9729316418999999E-4</v>
      </c>
      <c r="AT323" s="1050" cm="1">
        <f t="array" aca="1" ref="AT323" ca="1">INDEX(OFFSET($AK$19,MATCH($B323,$B$19:$B$150,0)-1,0,COUNTA($B$19:$B$24),COUNTA($AK$17:$BB$17)),MATCH($F323,$F$19:$F$24,0),MATCH(AT$17,$AK$17:$BB$17,0))*INDEX($10:$13,MATCH($O323,$R$10:$R$13,0),COLUMN())</f>
        <v>7.8600981250000002E-6</v>
      </c>
      <c r="AU323" s="1050" cm="1">
        <f t="array" aca="1" ref="AU323" ca="1">INDEX(OFFSET($AK$19,MATCH($B323,$B$19:$B$150,0)-1,0,COUNTA($B$19:$B$24),COUNTA($AK$17:$BB$17)),MATCH($F323,$F$19:$F$24,0),MATCH(AU$17,$AK$17:$BB$17,0))*INDEX($10:$13,MATCH($O323,$R$10:$R$13,0),COLUMN())</f>
        <v>1.6187559998E-6</v>
      </c>
      <c r="AV323" s="1050" cm="1">
        <f t="array" aca="1" ref="AV323" ca="1">INDEX(OFFSET($AK$19,MATCH($B323,$B$19:$B$150,0)-1,0,COUNTA($B$19:$B$24),COUNTA($AK$17:$BB$17)),MATCH($F323,$F$19:$F$24,0),MATCH(AV$17,$AK$17:$BB$17,0))*INDEX($10:$13,MATCH($O323,$R$10:$R$13,0),COLUMN())</f>
        <v>1.8980025426999999E-3</v>
      </c>
      <c r="AW323" s="1050" cm="1">
        <f t="array" aca="1" ref="AW323" ca="1">INDEX(OFFSET($AK$19,MATCH($B323,$B$19:$B$150,0)-1,0,COUNTA($B$19:$B$24),COUNTA($AK$17:$BB$17)),MATCH($F323,$F$19:$F$24,0),MATCH(AW$17,$AK$17:$BB$17,0))*INDEX($10:$13,MATCH($O323,$R$10:$R$13,0),COLUMN())</f>
        <v>0.33602291970000003</v>
      </c>
      <c r="AX323" s="1050" cm="1">
        <f t="array" aca="1" ref="AX323" ca="1">INDEX(OFFSET($AK$19,MATCH($B323,$B$19:$B$150,0)-1,0,COUNTA($B$19:$B$24),COUNTA($AK$17:$BB$17)),MATCH($F323,$F$19:$F$24,0),MATCH(AX$17,$AK$17:$BB$17,0))*INDEX($10:$13,MATCH($O323,$R$10:$R$13,0),COLUMN())</f>
        <v>8.2865621279999999E-8</v>
      </c>
      <c r="AY323" s="1050" cm="1">
        <f t="array" aca="1" ref="AY323" ca="1">INDEX(OFFSET($AK$19,MATCH($B323,$B$19:$B$150,0)-1,0,COUNTA($B$19:$B$24),COUNTA($AK$17:$BB$17)),MATCH($F323,$F$19:$F$24,0),MATCH(AY$17,$AK$17:$BB$17,0))*INDEX($10:$13,MATCH($O323,$R$10:$R$13,0),COLUMN())</f>
        <v>0</v>
      </c>
      <c r="AZ323" s="1050" cm="1">
        <f t="array" aca="1" ref="AZ323" ca="1">INDEX(OFFSET($AK$19,MATCH($B323,$B$19:$B$150,0)-1,0,COUNTA($B$19:$B$24),COUNTA($AK$17:$BB$17)),MATCH($F323,$F$19:$F$24,0),MATCH(AZ$17,$AK$17:$BB$17,0))*INDEX($10:$13,MATCH($O323,$R$10:$R$13,0),COLUMN())</f>
        <v>0</v>
      </c>
      <c r="BA323" s="1050" cm="1">
        <f t="array" aca="1" ref="BA323" ca="1">INDEX(OFFSET($AK$19,MATCH($B323,$B$19:$B$150,0)-1,0,COUNTA($B$19:$B$24),COUNTA($AK$17:$BB$17)),MATCH($F323,$F$19:$F$24,0),MATCH(BA$17,$AK$17:$BB$17,0))*INDEX($10:$13,MATCH($O323,$R$10:$R$13,0),COLUMN())</f>
        <v>0</v>
      </c>
      <c r="BB323" s="1051" cm="1">
        <f t="array" aca="1" ref="BB323" ca="1">INDEX(OFFSET($AK$19,MATCH($B323,$B$19:$B$150,0)-1,0,COUNTA($B$19:$B$24),COUNTA($AK$17:$BB$17)),MATCH($F323,$F$19:$F$24,0),MATCH(BB$17,$AK$17:$BB$17,0))*INDEX($10:$13,MATCH($O323,$R$10:$R$13,0),COLUMN())</f>
        <v>0</v>
      </c>
      <c r="BC323" s="1053">
        <f t="shared" ca="1" si="166"/>
        <v>0.33602300256562129</v>
      </c>
      <c r="BE323" s="1"/>
      <c r="BF323" s="1"/>
      <c r="BG323" s="1"/>
      <c r="BH323" s="1"/>
      <c r="BI323" s="1"/>
      <c r="BJ323" s="1"/>
      <c r="BK323" s="1"/>
      <c r="BL323" s="1"/>
      <c r="BM323" s="1"/>
      <c r="BN323" s="1"/>
      <c r="BO323" s="1"/>
      <c r="BP323" s="1"/>
      <c r="BQ323" s="1"/>
      <c r="BR323" s="1"/>
      <c r="BS323" s="1"/>
      <c r="BT323" s="1"/>
      <c r="BU323" s="1"/>
      <c r="BV323" s="1"/>
      <c r="BW323" s="1"/>
      <c r="BX323" s="1"/>
      <c r="BY323" s="1"/>
      <c r="BZ323" s="1"/>
    </row>
    <row r="324" spans="2:78" ht="12" customHeight="1" outlineLevel="1" x14ac:dyDescent="0.25">
      <c r="B324" s="104" t="s">
        <v>102</v>
      </c>
      <c r="C324" s="104" t="s">
        <v>121</v>
      </c>
      <c r="D324" s="2" t="s">
        <v>137</v>
      </c>
      <c r="E324" s="2" t="s">
        <v>138</v>
      </c>
      <c r="F324" s="105" t="s">
        <v>94</v>
      </c>
      <c r="G324" s="27" t="s">
        <v>1580</v>
      </c>
      <c r="H324" s="106" t="s">
        <v>131</v>
      </c>
      <c r="I324" s="107" t="s">
        <v>129</v>
      </c>
      <c r="J324" s="147">
        <v>3.8814574399999997</v>
      </c>
      <c r="K324" s="148">
        <v>3.49</v>
      </c>
      <c r="L324" s="149">
        <f t="shared" ca="1" si="162"/>
        <v>8.0922401337363087E-2</v>
      </c>
      <c r="M324" s="148">
        <f t="shared" ca="1" si="163"/>
        <v>3.7724191806673972</v>
      </c>
      <c r="N324" s="148">
        <f t="shared" ca="1" si="164"/>
        <v>0.28241918066739718</v>
      </c>
      <c r="O324" s="1062" t="s">
        <v>1583</v>
      </c>
      <c r="P324" s="104"/>
      <c r="R324" s="119"/>
      <c r="S324" s="1072"/>
      <c r="T324" s="1072"/>
      <c r="U324" s="1072"/>
      <c r="V324" s="1072"/>
      <c r="W324" s="1072"/>
      <c r="X324" s="1072"/>
      <c r="Y324" s="1072"/>
      <c r="Z324" s="1072"/>
      <c r="AA324" s="1072"/>
      <c r="AB324" s="1072"/>
      <c r="AC324" s="1072"/>
      <c r="AD324" s="1072"/>
      <c r="AE324" s="1072"/>
      <c r="AF324" s="1072"/>
      <c r="AG324" s="1072"/>
      <c r="AH324" s="1072"/>
      <c r="AI324" s="1072"/>
      <c r="AJ324" s="1073"/>
      <c r="AK324" s="1052" cm="1">
        <f t="array" aca="1" ref="AK324" ca="1">INDEX(OFFSET($AK$19,MATCH($B324,$B$19:$B$150,0)-1,0,COUNTA($B$19:$B$24),COUNTA($AK$17:$BB$17)),MATCH($F324,$F$19:$F$24,0),MATCH(AK$17,$AK$17:$BB$17,0))*INDEX($10:$13,MATCH($O324,$R$10:$R$13,0),COLUMN())</f>
        <v>4.4938229699999999E-2</v>
      </c>
      <c r="AL324" s="1050" cm="1">
        <f t="array" aca="1" ref="AL324" ca="1">INDEX(OFFSET($AK$19,MATCH($B324,$B$19:$B$150,0)-1,0,COUNTA($B$19:$B$24),COUNTA($AK$17:$BB$17)),MATCH($F324,$F$19:$F$24,0),MATCH(AL$17,$AK$17:$BB$17,0))*INDEX($10:$13,MATCH($O324,$R$10:$R$13,0),COLUMN())</f>
        <v>4.3792495040000001E-8</v>
      </c>
      <c r="AM324" s="1050" cm="1">
        <f t="array" aca="1" ref="AM324" ca="1">INDEX(OFFSET($AK$19,MATCH($B324,$B$19:$B$150,0)-1,0,COUNTA($B$19:$B$24),COUNTA($AK$17:$BB$17)),MATCH($F324,$F$19:$F$24,0),MATCH(AM$17,$AK$17:$BB$17,0))*INDEX($10:$13,MATCH($O324,$R$10:$R$13,0),COLUMN())</f>
        <v>8.1165047610000008E-5</v>
      </c>
      <c r="AN324" s="1050" cm="1">
        <f t="array" aca="1" ref="AN324" ca="1">INDEX(OFFSET($AK$19,MATCH($B324,$B$19:$B$150,0)-1,0,COUNTA($B$19:$B$24),COUNTA($AK$17:$BB$17)),MATCH($F324,$F$19:$F$24,0),MATCH(AN$17,$AK$17:$BB$17,0))*INDEX($10:$13,MATCH($O324,$R$10:$R$13,0),COLUMN())</f>
        <v>8.882657729999999E-4</v>
      </c>
      <c r="AO324" s="1050" cm="1">
        <f t="array" aca="1" ref="AO324" ca="1">INDEX(OFFSET($AK$19,MATCH($B324,$B$19:$B$150,0)-1,0,COUNTA($B$19:$B$24),COUNTA($AK$17:$BB$17)),MATCH($F324,$F$19:$F$24,0),MATCH(AO$17,$AK$17:$BB$17,0))*INDEX($10:$13,MATCH($O324,$R$10:$R$13,0),COLUMN())</f>
        <v>1.4459330816000001E-2</v>
      </c>
      <c r="AP324" s="1050" cm="1">
        <f t="array" aca="1" ref="AP324" ca="1">INDEX(OFFSET($AK$19,MATCH($B324,$B$19:$B$150,0)-1,0,COUNTA($B$19:$B$24),COUNTA($AK$17:$BB$17)),MATCH($F324,$F$19:$F$24,0),MATCH(AP$17,$AK$17:$BB$17,0))*INDEX($10:$13,MATCH($O324,$R$10:$R$13,0),COLUMN())</f>
        <v>8.0465979859999995E-3</v>
      </c>
      <c r="AQ324" s="1050" cm="1">
        <f t="array" aca="1" ref="AQ324" ca="1">INDEX(OFFSET($AK$19,MATCH($B324,$B$19:$B$150,0)-1,0,COUNTA($B$19:$B$24),COUNTA($AK$17:$BB$17)),MATCH($F324,$F$19:$F$24,0),MATCH(AQ$17,$AK$17:$BB$17,0))*INDEX($10:$13,MATCH($O324,$R$10:$R$13,0),COLUMN())</f>
        <v>5.5529422080000003E-5</v>
      </c>
      <c r="AR324" s="1050" cm="1">
        <f t="array" aca="1" ref="AR324" ca="1">INDEX(OFFSET($AK$19,MATCH($B324,$B$19:$B$150,0)-1,0,COUNTA($B$19:$B$24),COUNTA($AK$17:$BB$17)),MATCH($F324,$F$19:$F$24,0),MATCH(AR$17,$AK$17:$BB$17,0))*INDEX($10:$13,MATCH($O324,$R$10:$R$13,0),COLUMN())</f>
        <v>1.1901023315999999E-2</v>
      </c>
      <c r="AS324" s="1050" cm="1">
        <f t="array" aca="1" ref="AS324" ca="1">INDEX(OFFSET($AK$19,MATCH($B324,$B$19:$B$150,0)-1,0,COUNTA($B$19:$B$24),COUNTA($AK$17:$BB$17)),MATCH($F324,$F$19:$F$24,0),MATCH(AS$17,$AK$17:$BB$17,0))*INDEX($10:$13,MATCH($O324,$R$10:$R$13,0),COLUMN())</f>
        <v>-2.1171856299000001E-5</v>
      </c>
      <c r="AT324" s="1050" cm="1">
        <f t="array" aca="1" ref="AT324" ca="1">INDEX(OFFSET($AK$19,MATCH($B324,$B$19:$B$150,0)-1,0,COUNTA($B$19:$B$24),COUNTA($AK$17:$BB$17)),MATCH($F324,$F$19:$F$24,0),MATCH(AT$17,$AK$17:$BB$17,0))*INDEX($10:$13,MATCH($O324,$R$10:$R$13,0),COLUMN())</f>
        <v>4.6336461850000001E-6</v>
      </c>
      <c r="AU324" s="1050" cm="1">
        <f t="array" aca="1" ref="AU324" ca="1">INDEX(OFFSET($AK$19,MATCH($B324,$B$19:$B$150,0)-1,0,COUNTA($B$19:$B$24),COUNTA($AK$17:$BB$17)),MATCH($F324,$F$19:$F$24,0),MATCH(AU$17,$AK$17:$BB$17,0))*INDEX($10:$13,MATCH($O324,$R$10:$R$13,0),COLUMN())</f>
        <v>9.61558718E-7</v>
      </c>
      <c r="AV324" s="1050" cm="1">
        <f t="array" aca="1" ref="AV324" ca="1">INDEX(OFFSET($AK$19,MATCH($B324,$B$19:$B$150,0)-1,0,COUNTA($B$19:$B$24),COUNTA($AK$17:$BB$17)),MATCH($F324,$F$19:$F$24,0),MATCH(AV$17,$AK$17:$BB$17,0))*INDEX($10:$13,MATCH($O324,$R$10:$R$13,0),COLUMN())</f>
        <v>8.472913440199999E-4</v>
      </c>
      <c r="AW324" s="1050" cm="1">
        <f t="array" aca="1" ref="AW324" ca="1">INDEX(OFFSET($AK$19,MATCH($B324,$B$19:$B$150,0)-1,0,COUNTA($B$19:$B$24),COUNTA($AK$17:$BB$17)),MATCH($F324,$F$19:$F$24,0),MATCH(AW$17,$AK$17:$BB$17,0))*INDEX($10:$13,MATCH($O324,$R$10:$R$13,0),COLUMN())</f>
        <v>0.20121723050000001</v>
      </c>
      <c r="AX324" s="1050" cm="1">
        <f t="array" aca="1" ref="AX324" ca="1">INDEX(OFFSET($AK$19,MATCH($B324,$B$19:$B$150,0)-1,0,COUNTA($B$19:$B$24),COUNTA($AK$17:$BB$17)),MATCH($F324,$F$19:$F$24,0),MATCH(AX$17,$AK$17:$BB$17,0))*INDEX($10:$13,MATCH($O324,$R$10:$R$13,0),COLUMN())</f>
        <v>4.9621588185000003E-8</v>
      </c>
      <c r="AY324" s="1050" cm="1">
        <f t="array" aca="1" ref="AY324" ca="1">INDEX(OFFSET($AK$19,MATCH($B324,$B$19:$B$150,0)-1,0,COUNTA($B$19:$B$24),COUNTA($AK$17:$BB$17)),MATCH($F324,$F$19:$F$24,0),MATCH(AY$17,$AK$17:$BB$17,0))*INDEX($10:$13,MATCH($O324,$R$10:$R$13,0),COLUMN())</f>
        <v>0</v>
      </c>
      <c r="AZ324" s="1050" cm="1">
        <f t="array" aca="1" ref="AZ324" ca="1">INDEX(OFFSET($AK$19,MATCH($B324,$B$19:$B$150,0)-1,0,COUNTA($B$19:$B$24),COUNTA($AK$17:$BB$17)),MATCH($F324,$F$19:$F$24,0),MATCH(AZ$17,$AK$17:$BB$17,0))*INDEX($10:$13,MATCH($O324,$R$10:$R$13,0),COLUMN())</f>
        <v>0</v>
      </c>
      <c r="BA324" s="1050" cm="1">
        <f t="array" aca="1" ref="BA324" ca="1">INDEX(OFFSET($AK$19,MATCH($B324,$B$19:$B$150,0)-1,0,COUNTA($B$19:$B$24),COUNTA($AK$17:$BB$17)),MATCH($F324,$F$19:$F$24,0),MATCH(BA$17,$AK$17:$BB$17,0))*INDEX($10:$13,MATCH($O324,$R$10:$R$13,0),COLUMN())</f>
        <v>0</v>
      </c>
      <c r="BB324" s="1051" cm="1">
        <f t="array" aca="1" ref="BB324" ca="1">INDEX(OFFSET($AK$19,MATCH($B324,$B$19:$B$150,0)-1,0,COUNTA($B$19:$B$24),COUNTA($AK$17:$BB$17)),MATCH($F324,$F$19:$F$24,0),MATCH(BB$17,$AK$17:$BB$17,0))*INDEX($10:$13,MATCH($O324,$R$10:$R$13,0),COLUMN())</f>
        <v>0</v>
      </c>
      <c r="BC324" s="1053">
        <f t="shared" ca="1" si="166"/>
        <v>0.20121728012158818</v>
      </c>
      <c r="BE324" s="1"/>
      <c r="BF324" s="1"/>
      <c r="BG324" s="1"/>
      <c r="BH324" s="1"/>
      <c r="BI324" s="1"/>
      <c r="BJ324" s="1"/>
      <c r="BK324" s="1"/>
      <c r="BL324" s="1"/>
      <c r="BM324" s="1"/>
      <c r="BN324" s="1"/>
      <c r="BO324" s="1"/>
      <c r="BP324" s="1"/>
      <c r="BQ324" s="1"/>
      <c r="BR324" s="1"/>
      <c r="BS324" s="1"/>
      <c r="BT324" s="1"/>
      <c r="BU324" s="1"/>
      <c r="BV324" s="1"/>
      <c r="BW324" s="1"/>
      <c r="BX324" s="1"/>
      <c r="BY324" s="1"/>
      <c r="BZ324" s="1"/>
    </row>
    <row r="325" spans="2:78" ht="12" customHeight="1" outlineLevel="1" x14ac:dyDescent="0.25">
      <c r="B325" s="104" t="s">
        <v>102</v>
      </c>
      <c r="C325" s="104" t="s">
        <v>121</v>
      </c>
      <c r="D325" s="2" t="s">
        <v>137</v>
      </c>
      <c r="E325" s="2" t="s">
        <v>138</v>
      </c>
      <c r="F325" s="105" t="s">
        <v>95</v>
      </c>
      <c r="G325" s="27" t="s">
        <v>1581</v>
      </c>
      <c r="H325" s="106" t="s">
        <v>128</v>
      </c>
      <c r="I325" s="107" t="s">
        <v>127</v>
      </c>
      <c r="J325" s="147">
        <v>3.8814574399999997</v>
      </c>
      <c r="K325" s="148">
        <v>3.49</v>
      </c>
      <c r="L325" s="149">
        <f t="shared" ca="1" si="162"/>
        <v>0.1231257503904557</v>
      </c>
      <c r="M325" s="148">
        <f t="shared" ca="1" si="163"/>
        <v>3.9197088688626907</v>
      </c>
      <c r="N325" s="148">
        <f t="shared" ca="1" si="164"/>
        <v>0.42970886886269044</v>
      </c>
      <c r="O325" s="1062" t="s">
        <v>1583</v>
      </c>
      <c r="P325" s="104"/>
      <c r="R325" s="119"/>
      <c r="S325" s="1072"/>
      <c r="T325" s="1072"/>
      <c r="U325" s="1072"/>
      <c r="V325" s="1072"/>
      <c r="W325" s="1072"/>
      <c r="X325" s="1072"/>
      <c r="Y325" s="1072"/>
      <c r="Z325" s="1072"/>
      <c r="AA325" s="1072"/>
      <c r="AB325" s="1072"/>
      <c r="AC325" s="1072"/>
      <c r="AD325" s="1072"/>
      <c r="AE325" s="1072"/>
      <c r="AF325" s="1072"/>
      <c r="AG325" s="1072"/>
      <c r="AH325" s="1072"/>
      <c r="AI325" s="1072"/>
      <c r="AJ325" s="1073"/>
      <c r="AK325" s="1052" cm="1">
        <f t="array" aca="1" ref="AK325" ca="1">INDEX(OFFSET($AK$19,MATCH($B325,$B$19:$B$150,0)-1,0,COUNTA($B$19:$B$24),COUNTA($AK$17:$BB$17)),MATCH($F325,$F$19:$F$24,0),MATCH(AK$17,$AK$17:$BB$17,0))*INDEX($10:$13,MATCH($O325,$R$10:$R$13,0),COLUMN())</f>
        <v>6.5312311350000013E-2</v>
      </c>
      <c r="AL325" s="1050" cm="1">
        <f t="array" aca="1" ref="AL325" ca="1">INDEX(OFFSET($AK$19,MATCH($B325,$B$19:$B$150,0)-1,0,COUNTA($B$19:$B$24),COUNTA($AK$17:$BB$17)),MATCH($F325,$F$19:$F$24,0),MATCH(AL$17,$AK$17:$BB$17,0))*INDEX($10:$13,MATCH($O325,$R$10:$R$13,0),COLUMN())</f>
        <v>5.5257164959999993E-8</v>
      </c>
      <c r="AM325" s="1050" cm="1">
        <f t="array" aca="1" ref="AM325" ca="1">INDEX(OFFSET($AK$19,MATCH($B325,$B$19:$B$150,0)-1,0,COUNTA($B$19:$B$24),COUNTA($AK$17:$BB$17)),MATCH($F325,$F$19:$F$24,0),MATCH(AM$17,$AK$17:$BB$17,0))*INDEX($10:$13,MATCH($O325,$R$10:$R$13,0),COLUMN())</f>
        <v>1.0240989147000001E-4</v>
      </c>
      <c r="AN325" s="1050" cm="1">
        <f t="array" aca="1" ref="AN325" ca="1">INDEX(OFFSET($AK$19,MATCH($B325,$B$19:$B$150,0)-1,0,COUNTA($B$19:$B$24),COUNTA($AK$17:$BB$17)),MATCH($F325,$F$19:$F$24,0),MATCH(AN$17,$AK$17:$BB$17,0))*INDEX($10:$13,MATCH($O325,$R$10:$R$13,0),COLUMN())</f>
        <v>1.2036169099999999E-3</v>
      </c>
      <c r="AO325" s="1050" cm="1">
        <f t="array" aca="1" ref="AO325" ca="1">INDEX(OFFSET($AK$19,MATCH($B325,$B$19:$B$150,0)-1,0,COUNTA($B$19:$B$24),COUNTA($AK$17:$BB$17)),MATCH($F325,$F$19:$F$24,0),MATCH(AO$17,$AK$17:$BB$17,0))*INDEX($10:$13,MATCH($O325,$R$10:$R$13,0),COLUMN())</f>
        <v>4.469226104E-2</v>
      </c>
      <c r="AP325" s="1050" cm="1">
        <f t="array" aca="1" ref="AP325" ca="1">INDEX(OFFSET($AK$19,MATCH($B325,$B$19:$B$150,0)-1,0,COUNTA($B$19:$B$24),COUNTA($AK$17:$BB$17)),MATCH($F325,$F$19:$F$24,0),MATCH(AP$17,$AK$17:$BB$17,0))*INDEX($10:$13,MATCH($O325,$R$10:$R$13,0),COLUMN())</f>
        <v>3.5391748713999999E-2</v>
      </c>
      <c r="AQ325" s="1050" cm="1">
        <f t="array" aca="1" ref="AQ325" ca="1">INDEX(OFFSET($AK$19,MATCH($B325,$B$19:$B$150,0)-1,0,COUNTA($B$19:$B$24),COUNTA($AK$17:$BB$17)),MATCH($F325,$F$19:$F$24,0),MATCH(AQ$17,$AK$17:$BB$17,0))*INDEX($10:$13,MATCH($O325,$R$10:$R$13,0),COLUMN())</f>
        <v>2.7522684120000001E-4</v>
      </c>
      <c r="AR325" s="1050" cm="1">
        <f t="array" aca="1" ref="AR325" ca="1">INDEX(OFFSET($AK$19,MATCH($B325,$B$19:$B$150,0)-1,0,COUNTA($B$19:$B$24),COUNTA($AK$17:$BB$17)),MATCH($F325,$F$19:$F$24,0),MATCH(AR$17,$AK$17:$BB$17,0))*INDEX($10:$13,MATCH($O325,$R$10:$R$13,0),COLUMN())</f>
        <v>2.1632090470999999E-2</v>
      </c>
      <c r="AS325" s="1050" cm="1">
        <f t="array" aca="1" ref="AS325" ca="1">INDEX(OFFSET($AK$19,MATCH($B325,$B$19:$B$150,0)-1,0,COUNTA($B$19:$B$24),COUNTA($AK$17:$BB$17)),MATCH($F325,$F$19:$F$24,0),MATCH(AS$17,$AK$17:$BB$17,0))*INDEX($10:$13,MATCH($O325,$R$10:$R$13,0),COLUMN())</f>
        <v>3.2255121404E-3</v>
      </c>
      <c r="AT325" s="1050" cm="1">
        <f t="array" aca="1" ref="AT325" ca="1">INDEX(OFFSET($AK$19,MATCH($B325,$B$19:$B$150,0)-1,0,COUNTA($B$19:$B$24),COUNTA($AK$17:$BB$17)),MATCH($F325,$F$19:$F$24,0),MATCH(AT$17,$AK$17:$BB$17,0))*INDEX($10:$13,MATCH($O325,$R$10:$R$13,0),COLUMN())</f>
        <v>8.1550567850000003E-6</v>
      </c>
      <c r="AU325" s="1050" cm="1">
        <f t="array" aca="1" ref="AU325" ca="1">INDEX(OFFSET($AK$19,MATCH($B325,$B$19:$B$150,0)-1,0,COUNTA($B$19:$B$24),COUNTA($AK$17:$BB$17)),MATCH($F325,$F$19:$F$24,0),MATCH(AU$17,$AK$17:$BB$17,0))*INDEX($10:$13,MATCH($O325,$R$10:$R$13,0),COLUMN())</f>
        <v>1.5615456497E-6</v>
      </c>
      <c r="AV325" s="1050" cm="1">
        <f t="array" aca="1" ref="AV325" ca="1">INDEX(OFFSET($AK$19,MATCH($B325,$B$19:$B$150,0)-1,0,COUNTA($B$19:$B$24),COUNTA($AK$17:$BB$17)),MATCH($F325,$F$19:$F$24,0),MATCH(AV$17,$AK$17:$BB$17,0))*INDEX($10:$13,MATCH($O325,$R$10:$R$13,0),COLUMN())</f>
        <v>6.1463174696999995E-3</v>
      </c>
      <c r="AW325" s="1050" cm="1">
        <f t="array" aca="1" ref="AW325" ca="1">INDEX(OFFSET($AK$19,MATCH($B325,$B$19:$B$150,0)-1,0,COUNTA($B$19:$B$24),COUNTA($AK$17:$BB$17)),MATCH($F325,$F$19:$F$24,0),MATCH(AW$17,$AK$17:$BB$17,0))*INDEX($10:$13,MATCH($O325,$R$10:$R$13,0),COLUMN())</f>
        <v>0.25171754010000003</v>
      </c>
      <c r="AX325" s="1050" cm="1">
        <f t="array" aca="1" ref="AX325" ca="1">INDEX(OFFSET($AK$19,MATCH($B325,$B$19:$B$150,0)-1,0,COUNTA($B$19:$B$24),COUNTA($AK$17:$BB$17)),MATCH($F325,$F$19:$F$24,0),MATCH(AX$17,$AK$17:$BB$17,0))*INDEX($10:$13,MATCH($O325,$R$10:$R$13,0),COLUMN())</f>
        <v>6.2075320710000011E-8</v>
      </c>
      <c r="AY325" s="1050" cm="1">
        <f t="array" aca="1" ref="AY325" ca="1">INDEX(OFFSET($AK$19,MATCH($B325,$B$19:$B$150,0)-1,0,COUNTA($B$19:$B$24),COUNTA($AK$17:$BB$17)),MATCH($F325,$F$19:$F$24,0),MATCH(AY$17,$AK$17:$BB$17,0))*INDEX($10:$13,MATCH($O325,$R$10:$R$13,0),COLUMN())</f>
        <v>0</v>
      </c>
      <c r="AZ325" s="1050" cm="1">
        <f t="array" aca="1" ref="AZ325" ca="1">INDEX(OFFSET($AK$19,MATCH($B325,$B$19:$B$150,0)-1,0,COUNTA($B$19:$B$24),COUNTA($AK$17:$BB$17)),MATCH($F325,$F$19:$F$24,0),MATCH(AZ$17,$AK$17:$BB$17,0))*INDEX($10:$13,MATCH($O325,$R$10:$R$13,0),COLUMN())</f>
        <v>0</v>
      </c>
      <c r="BA325" s="1050" cm="1">
        <f t="array" aca="1" ref="BA325" ca="1">INDEX(OFFSET($AK$19,MATCH($B325,$B$19:$B$150,0)-1,0,COUNTA($B$19:$B$24),COUNTA($AK$17:$BB$17)),MATCH($F325,$F$19:$F$24,0),MATCH(BA$17,$AK$17:$BB$17,0))*INDEX($10:$13,MATCH($O325,$R$10:$R$13,0),COLUMN())</f>
        <v>0</v>
      </c>
      <c r="BB325" s="1051" cm="1">
        <f t="array" aca="1" ref="BB325" ca="1">INDEX(OFFSET($AK$19,MATCH($B325,$B$19:$B$150,0)-1,0,COUNTA($B$19:$B$24),COUNTA($AK$17:$BB$17)),MATCH($F325,$F$19:$F$24,0),MATCH(BB$17,$AK$17:$BB$17,0))*INDEX($10:$13,MATCH($O325,$R$10:$R$13,0),COLUMN())</f>
        <v>0</v>
      </c>
      <c r="BC325" s="1053">
        <f t="shared" ca="1" si="166"/>
        <v>0.25171760217532074</v>
      </c>
      <c r="BE325" s="1"/>
      <c r="BF325" s="1"/>
      <c r="BG325" s="1"/>
      <c r="BH325" s="1"/>
      <c r="BI325" s="1"/>
      <c r="BJ325" s="1"/>
      <c r="BK325" s="1"/>
      <c r="BL325" s="1"/>
      <c r="BM325" s="1"/>
      <c r="BN325" s="1"/>
      <c r="BO325" s="1"/>
      <c r="BP325" s="1"/>
      <c r="BQ325" s="1"/>
      <c r="BR325" s="1"/>
      <c r="BS325" s="1"/>
      <c r="BT325" s="1"/>
      <c r="BU325" s="1"/>
      <c r="BV325" s="1"/>
      <c r="BW325" s="1"/>
      <c r="BX325" s="1"/>
      <c r="BY325" s="1"/>
      <c r="BZ325" s="1"/>
    </row>
    <row r="326" spans="2:78" ht="12" customHeight="1" outlineLevel="1" x14ac:dyDescent="0.25">
      <c r="B326" s="104" t="s">
        <v>102</v>
      </c>
      <c r="C326" s="104" t="s">
        <v>121</v>
      </c>
      <c r="D326" s="2" t="s">
        <v>137</v>
      </c>
      <c r="E326" s="2" t="s">
        <v>138</v>
      </c>
      <c r="F326" s="105" t="s">
        <v>96</v>
      </c>
      <c r="G326" s="27" t="s">
        <v>1582</v>
      </c>
      <c r="H326" s="106" t="s">
        <v>128</v>
      </c>
      <c r="I326" s="107" t="s">
        <v>1577</v>
      </c>
      <c r="J326" s="147">
        <v>3.8814574399999997</v>
      </c>
      <c r="K326" s="148">
        <v>3.49</v>
      </c>
      <c r="L326" s="149">
        <f t="shared" ca="1" si="162"/>
        <v>0.13904865879958178</v>
      </c>
      <c r="M326" s="148">
        <f t="shared" ca="1" si="163"/>
        <v>3.9752798192105407</v>
      </c>
      <c r="N326" s="148">
        <f t="shared" ca="1" si="164"/>
        <v>0.48527981921054048</v>
      </c>
      <c r="O326" s="1062" t="s">
        <v>1583</v>
      </c>
      <c r="P326" s="104"/>
      <c r="R326" s="119"/>
      <c r="S326" s="1072"/>
      <c r="T326" s="1072"/>
      <c r="U326" s="1072"/>
      <c r="V326" s="1072"/>
      <c r="W326" s="1072"/>
      <c r="X326" s="1072"/>
      <c r="Y326" s="1072"/>
      <c r="Z326" s="1072"/>
      <c r="AA326" s="1072"/>
      <c r="AB326" s="1072"/>
      <c r="AC326" s="1072"/>
      <c r="AD326" s="1072"/>
      <c r="AE326" s="1072"/>
      <c r="AF326" s="1072"/>
      <c r="AG326" s="1072"/>
      <c r="AH326" s="1072"/>
      <c r="AI326" s="1072"/>
      <c r="AJ326" s="1073"/>
      <c r="AK326" s="1052" cm="1">
        <f t="array" aca="1" ref="AK326" ca="1">INDEX(OFFSET($AK$19,MATCH($B326,$B$19:$B$150,0)-1,0,COUNTA($B$19:$B$24),COUNTA($AK$17:$BB$17)),MATCH($F326,$F$19:$F$24,0),MATCH(AK$17,$AK$17:$BB$17,0))*INDEX($10:$13,MATCH($O326,$R$10:$R$13,0),COLUMN())</f>
        <v>7.1831089200000003E-2</v>
      </c>
      <c r="AL326" s="1050" cm="1">
        <f t="array" aca="1" ref="AL326" ca="1">INDEX(OFFSET($AK$19,MATCH($B326,$B$19:$B$150,0)-1,0,COUNTA($B$19:$B$24),COUNTA($AK$17:$BB$17)),MATCH($F326,$F$19:$F$24,0),MATCH(AL$17,$AK$17:$BB$17,0))*INDEX($10:$13,MATCH($O326,$R$10:$R$13,0),COLUMN())</f>
        <v>5.5566436319999998E-8</v>
      </c>
      <c r="AM326" s="1050" cm="1">
        <f t="array" aca="1" ref="AM326" ca="1">INDEX(OFFSET($AK$19,MATCH($B326,$B$19:$B$150,0)-1,0,COUNTA($B$19:$B$24),COUNTA($AK$17:$BB$17)),MATCH($F326,$F$19:$F$24,0),MATCH(AM$17,$AK$17:$BB$17,0))*INDEX($10:$13,MATCH($O326,$R$10:$R$13,0),COLUMN())</f>
        <v>1.0298061869000001E-4</v>
      </c>
      <c r="AN326" s="1050" cm="1">
        <f t="array" aca="1" ref="AN326" ca="1">INDEX(OFFSET($AK$19,MATCH($B326,$B$19:$B$150,0)-1,0,COUNTA($B$19:$B$24),COUNTA($AK$17:$BB$17)),MATCH($F326,$F$19:$F$24,0),MATCH(AN$17,$AK$17:$BB$17,0))*INDEX($10:$13,MATCH($O326,$R$10:$R$13,0),COLUMN())</f>
        <v>1.2639314199999999E-3</v>
      </c>
      <c r="AO326" s="1050" cm="1">
        <f t="array" aca="1" ref="AO326" ca="1">INDEX(OFFSET($AK$19,MATCH($B326,$B$19:$B$150,0)-1,0,COUNTA($B$19:$B$24),COUNTA($AK$17:$BB$17)),MATCH($F326,$F$19:$F$24,0),MATCH(AO$17,$AK$17:$BB$17,0))*INDEX($10:$13,MATCH($O326,$R$10:$R$13,0),COLUMN())</f>
        <v>6.4033948719999997E-2</v>
      </c>
      <c r="AP326" s="1050" cm="1">
        <f t="array" aca="1" ref="AP326" ca="1">INDEX(OFFSET($AK$19,MATCH($B326,$B$19:$B$150,0)-1,0,COUNTA($B$19:$B$24),COUNTA($AK$17:$BB$17)),MATCH($F326,$F$19:$F$24,0),MATCH(AP$17,$AK$17:$BB$17,0))*INDEX($10:$13,MATCH($O326,$R$10:$R$13,0),COLUMN())</f>
        <v>5.3841172979999997E-2</v>
      </c>
      <c r="AQ326" s="1050" cm="1">
        <f t="array" aca="1" ref="AQ326" ca="1">INDEX(OFFSET($AK$19,MATCH($B326,$B$19:$B$150,0)-1,0,COUNTA($B$19:$B$24),COUNTA($AK$17:$BB$17)),MATCH($F326,$F$19:$F$24,0),MATCH(AQ$17,$AK$17:$BB$17,0))*INDEX($10:$13,MATCH($O326,$R$10:$R$13,0),COLUMN())</f>
        <v>4.2176554620000005E-4</v>
      </c>
      <c r="AR326" s="1050" cm="1">
        <f t="array" aca="1" ref="AR326" ca="1">INDEX(OFFSET($AK$19,MATCH($B326,$B$19:$B$150,0)-1,0,COUNTA($B$19:$B$24),COUNTA($AK$17:$BB$17)),MATCH($F326,$F$19:$F$24,0),MATCH(AR$17,$AK$17:$BB$17,0))*INDEX($10:$13,MATCH($O326,$R$10:$R$13,0),COLUMN())</f>
        <v>2.6549126425999995E-2</v>
      </c>
      <c r="AS326" s="1050" cm="1">
        <f t="array" aca="1" ref="AS326" ca="1">INDEX(OFFSET($AK$19,MATCH($B326,$B$19:$B$150,0)-1,0,COUNTA($B$19:$B$24),COUNTA($AK$17:$BB$17)),MATCH($F326,$F$19:$F$24,0),MATCH(AS$17,$AK$17:$BB$17,0))*INDEX($10:$13,MATCH($O326,$R$10:$R$13,0),COLUMN())</f>
        <v>5.4337629742000002E-3</v>
      </c>
      <c r="AT326" s="1050" cm="1">
        <f t="array" aca="1" ref="AT326" ca="1">INDEX(OFFSET($AK$19,MATCH($B326,$B$19:$B$150,0)-1,0,COUNTA($B$19:$B$24),COUNTA($AK$17:$BB$17)),MATCH($F326,$F$19:$F$24,0),MATCH(AT$17,$AK$17:$BB$17,0))*INDEX($10:$13,MATCH($O326,$R$10:$R$13,0),COLUMN())</f>
        <v>9.1491962740000011E-6</v>
      </c>
      <c r="AU326" s="1050" cm="1">
        <f t="array" aca="1" ref="AU326" ca="1">INDEX(OFFSET($AK$19,MATCH($B326,$B$19:$B$150,0)-1,0,COUNTA($B$19:$B$24),COUNTA($AK$17:$BB$17)),MATCH($F326,$F$19:$F$24,0),MATCH(AU$17,$AK$17:$BB$17,0))*INDEX($10:$13,MATCH($O326,$R$10:$R$13,0),COLUMN())</f>
        <v>1.7035314194000001E-6</v>
      </c>
      <c r="AV326" s="1050" cm="1">
        <f t="array" aca="1" ref="AV326" ca="1">INDEX(OFFSET($AK$19,MATCH($B326,$B$19:$B$150,0)-1,0,COUNTA($B$19:$B$24),COUNTA($AK$17:$BB$17)),MATCH($F326,$F$19:$F$24,0),MATCH(AV$17,$AK$17:$BB$17,0))*INDEX($10:$13,MATCH($O326,$R$10:$R$13,0),COLUMN())</f>
        <v>1.0073530855999999E-2</v>
      </c>
      <c r="AW326" s="1050" cm="1">
        <f t="array" aca="1" ref="AW326" ca="1">INDEX(OFFSET($AK$19,MATCH($B326,$B$19:$B$150,0)-1,0,COUNTA($B$19:$B$24),COUNTA($AK$17:$BB$17)),MATCH($F326,$F$19:$F$24,0),MATCH(AW$17,$AK$17:$BB$17,0))*INDEX($10:$13,MATCH($O326,$R$10:$R$13,0),COLUMN())</f>
        <v>0.25171754010000003</v>
      </c>
      <c r="AX326" s="1050" cm="1">
        <f t="array" aca="1" ref="AX326" ca="1">INDEX(OFFSET($AK$19,MATCH($B326,$B$19:$B$150,0)-1,0,COUNTA($B$19:$B$24),COUNTA($AK$17:$BB$17)),MATCH($F326,$F$19:$F$24,0),MATCH(AX$17,$AK$17:$BB$17,0))*INDEX($10:$13,MATCH($O326,$R$10:$R$13,0),COLUMN())</f>
        <v>6.2075320710000011E-8</v>
      </c>
      <c r="AY326" s="1050" cm="1">
        <f t="array" aca="1" ref="AY326" ca="1">INDEX(OFFSET($AK$19,MATCH($B326,$B$19:$B$150,0)-1,0,COUNTA($B$19:$B$24),COUNTA($AK$17:$BB$17)),MATCH($F326,$F$19:$F$24,0),MATCH(AY$17,$AK$17:$BB$17,0))*INDEX($10:$13,MATCH($O326,$R$10:$R$13,0),COLUMN())</f>
        <v>0</v>
      </c>
      <c r="AZ326" s="1050" cm="1">
        <f t="array" aca="1" ref="AZ326" ca="1">INDEX(OFFSET($AK$19,MATCH($B326,$B$19:$B$150,0)-1,0,COUNTA($B$19:$B$24),COUNTA($AK$17:$BB$17)),MATCH($F326,$F$19:$F$24,0),MATCH(AZ$17,$AK$17:$BB$17,0))*INDEX($10:$13,MATCH($O326,$R$10:$R$13,0),COLUMN())</f>
        <v>0</v>
      </c>
      <c r="BA326" s="1050" cm="1">
        <f t="array" aca="1" ref="BA326" ca="1">INDEX(OFFSET($AK$19,MATCH($B326,$B$19:$B$150,0)-1,0,COUNTA($B$19:$B$24),COUNTA($AK$17:$BB$17)),MATCH($F326,$F$19:$F$24,0),MATCH(BA$17,$AK$17:$BB$17,0))*INDEX($10:$13,MATCH($O326,$R$10:$R$13,0),COLUMN())</f>
        <v>0</v>
      </c>
      <c r="BB326" s="1051" cm="1">
        <f t="array" aca="1" ref="BB326" ca="1">INDEX(OFFSET($AK$19,MATCH($B326,$B$19:$B$150,0)-1,0,COUNTA($B$19:$B$24),COUNTA($AK$17:$BB$17)),MATCH($F326,$F$19:$F$24,0),MATCH(BB$17,$AK$17:$BB$17,0))*INDEX($10:$13,MATCH($O326,$R$10:$R$13,0),COLUMN())</f>
        <v>0</v>
      </c>
      <c r="BC326" s="1053">
        <f t="shared" ca="1" si="166"/>
        <v>0.25171760217532074</v>
      </c>
      <c r="BE326" s="1"/>
      <c r="BF326" s="1"/>
      <c r="BG326" s="1"/>
      <c r="BH326" s="1"/>
      <c r="BI326" s="1"/>
      <c r="BJ326" s="1"/>
      <c r="BK326" s="1"/>
      <c r="BL326" s="1"/>
      <c r="BM326" s="1"/>
      <c r="BN326" s="1"/>
      <c r="BO326" s="1"/>
      <c r="BP326" s="1"/>
      <c r="BQ326" s="1"/>
      <c r="BR326" s="1"/>
      <c r="BS326" s="1"/>
      <c r="BT326" s="1"/>
      <c r="BU326" s="1"/>
      <c r="BV326" s="1"/>
      <c r="BW326" s="1"/>
      <c r="BX326" s="1"/>
      <c r="BY326" s="1"/>
      <c r="BZ326" s="1"/>
    </row>
    <row r="327" spans="2:78" ht="12" customHeight="1" outlineLevel="1" x14ac:dyDescent="0.25">
      <c r="B327" s="88" t="s">
        <v>103</v>
      </c>
      <c r="C327" s="88" t="s">
        <v>121</v>
      </c>
      <c r="D327" s="89" t="s">
        <v>137</v>
      </c>
      <c r="E327" s="89" t="s">
        <v>139</v>
      </c>
      <c r="F327" s="90" t="s">
        <v>92</v>
      </c>
      <c r="G327" s="18" t="s">
        <v>126</v>
      </c>
      <c r="H327" s="91" t="s">
        <v>127</v>
      </c>
      <c r="I327" s="92" t="s">
        <v>127</v>
      </c>
      <c r="J327" s="142">
        <v>0.31070780000000003</v>
      </c>
      <c r="K327" s="143">
        <v>1.7680061710892687</v>
      </c>
      <c r="L327" s="144">
        <f t="shared" ca="1" si="162"/>
        <v>0.19366601372719194</v>
      </c>
      <c r="M327" s="143">
        <f t="shared" ca="1" si="163"/>
        <v>2.1104088784892032</v>
      </c>
      <c r="N327" s="143">
        <f t="shared" ca="1" si="164"/>
        <v>0.34240270739993439</v>
      </c>
      <c r="O327" s="1063" t="s">
        <v>1583</v>
      </c>
      <c r="P327" s="88"/>
      <c r="Q327" s="89"/>
      <c r="R327" s="150"/>
      <c r="S327" s="1070"/>
      <c r="T327" s="1070"/>
      <c r="U327" s="1070"/>
      <c r="V327" s="1070"/>
      <c r="W327" s="1070"/>
      <c r="X327" s="1070"/>
      <c r="Y327" s="1070"/>
      <c r="Z327" s="1070"/>
      <c r="AA327" s="1070"/>
      <c r="AB327" s="1070"/>
      <c r="AC327" s="1070"/>
      <c r="AD327" s="1070"/>
      <c r="AE327" s="1070"/>
      <c r="AF327" s="1070"/>
      <c r="AG327" s="1070"/>
      <c r="AH327" s="1070"/>
      <c r="AI327" s="1070"/>
      <c r="AJ327" s="1071"/>
      <c r="AK327" s="1048" cm="1">
        <f t="array" aca="1" ref="AK327" ca="1">INDEX(OFFSET($AK$19,MATCH($B327,$B$19:$B$150,0)-1,0,COUNTA($B$19:$B$24),COUNTA($AK$17:$BB$17)),MATCH($F327,$F$19:$F$24,0),MATCH(AK$17,$AK$17:$BB$17,0))*INDEX($10:$13,MATCH($O327,$R$10:$R$13,0),COLUMN())</f>
        <v>5.0436952800000004E-2</v>
      </c>
      <c r="AL327" s="1046" cm="1">
        <f t="array" aca="1" ref="AL327" ca="1">INDEX(OFFSET($AK$19,MATCH($B327,$B$19:$B$150,0)-1,0,COUNTA($B$19:$B$24),COUNTA($AK$17:$BB$17)),MATCH($F327,$F$19:$F$24,0),MATCH(AL$17,$AK$17:$BB$17,0))*INDEX($10:$13,MATCH($O327,$R$10:$R$13,0),COLUMN())</f>
        <v>6.3539362239999996E-8</v>
      </c>
      <c r="AM327" s="1046" cm="1">
        <f t="array" aca="1" ref="AM327" ca="1">INDEX(OFFSET($AK$19,MATCH($B327,$B$19:$B$150,0)-1,0,COUNTA($B$19:$B$24),COUNTA($AK$17:$BB$17)),MATCH($F327,$F$19:$F$24,0),MATCH(AM$17,$AK$17:$BB$17,0))*INDEX($10:$13,MATCH($O327,$R$10:$R$13,0),COLUMN())</f>
        <v>1.1943353812E-4</v>
      </c>
      <c r="AN327" s="1046" cm="1">
        <f t="array" aca="1" ref="AN327" ca="1">INDEX(OFFSET($AK$19,MATCH($B327,$B$19:$B$150,0)-1,0,COUNTA($B$19:$B$24),COUNTA($AK$17:$BB$17)),MATCH($F327,$F$19:$F$24,0),MATCH(AN$17,$AK$17:$BB$17,0))*INDEX($10:$13,MATCH($O327,$R$10:$R$13,0),COLUMN())</f>
        <v>4.2498030349999997E-4</v>
      </c>
      <c r="AO327" s="1046" cm="1">
        <f t="array" aca="1" ref="AO327" ca="1">INDEX(OFFSET($AK$19,MATCH($B327,$B$19:$B$150,0)-1,0,COUNTA($B$19:$B$24),COUNTA($AK$17:$BB$17)),MATCH($F327,$F$19:$F$24,0),MATCH(AO$17,$AK$17:$BB$17,0))*INDEX($10:$13,MATCH($O327,$R$10:$R$13,0),COLUMN())</f>
        <v>2.6462039576000001E-2</v>
      </c>
      <c r="AP327" s="1046" cm="1">
        <f t="array" aca="1" ref="AP327" ca="1">INDEX(OFFSET($AK$19,MATCH($B327,$B$19:$B$150,0)-1,0,COUNTA($B$19:$B$24),COUNTA($AK$17:$BB$17)),MATCH($F327,$F$19:$F$24,0),MATCH(AP$17,$AK$17:$BB$17,0))*INDEX($10:$13,MATCH($O327,$R$10:$R$13,0),COLUMN())</f>
        <v>2.2759714915E-2</v>
      </c>
      <c r="AQ327" s="1046" cm="1">
        <f t="array" aca="1" ref="AQ327" ca="1">INDEX(OFFSET($AK$19,MATCH($B327,$B$19:$B$150,0)-1,0,COUNTA($B$19:$B$24),COUNTA($AK$17:$BB$17)),MATCH($F327,$F$19:$F$24,0),MATCH(AQ$17,$AK$17:$BB$17,0))*INDEX($10:$13,MATCH($O327,$R$10:$R$13,0),COLUMN())</f>
        <v>1.2733710474E-4</v>
      </c>
      <c r="AR327" s="1046" cm="1">
        <f t="array" aca="1" ref="AR327" ca="1">INDEX(OFFSET($AK$19,MATCH($B327,$B$19:$B$150,0)-1,0,COUNTA($B$19:$B$24),COUNTA($AK$17:$BB$17)),MATCH($F327,$F$19:$F$24,0),MATCH(AR$17,$AK$17:$BB$17,0))*INDEX($10:$13,MATCH($O327,$R$10:$R$13,0),COLUMN())</f>
        <v>1.2749954728999998E-2</v>
      </c>
      <c r="AS327" s="1046" cm="1">
        <f t="array" aca="1" ref="AS327" ca="1">INDEX(OFFSET($AK$19,MATCH($B327,$B$19:$B$150,0)-1,0,COUNTA($B$19:$B$24),COUNTA($AK$17:$BB$17)),MATCH($F327,$F$19:$F$24,0),MATCH(AS$17,$AK$17:$BB$17,0))*INDEX($10:$13,MATCH($O327,$R$10:$R$13,0),COLUMN())</f>
        <v>0.14824700286</v>
      </c>
      <c r="AT327" s="1046" cm="1">
        <f t="array" aca="1" ref="AT327" ca="1">INDEX(OFFSET($AK$19,MATCH($B327,$B$19:$B$150,0)-1,0,COUNTA($B$19:$B$24),COUNTA($AK$17:$BB$17)),MATCH($F327,$F$19:$F$24,0),MATCH(AT$17,$AK$17:$BB$17,0))*INDEX($10:$13,MATCH($O327,$R$10:$R$13,0),COLUMN())</f>
        <v>1.6527966601E-4</v>
      </c>
      <c r="AU327" s="1046" cm="1">
        <f t="array" aca="1" ref="AU327" ca="1">INDEX(OFFSET($AK$19,MATCH($B327,$B$19:$B$150,0)-1,0,COUNTA($B$19:$B$24),COUNTA($AK$17:$BB$17)),MATCH($F327,$F$19:$F$24,0),MATCH(AU$17,$AK$17:$BB$17,0))*INDEX($10:$13,MATCH($O327,$R$10:$R$13,0),COLUMN())</f>
        <v>1.1050768042E-5</v>
      </c>
      <c r="AV327" s="1046" cm="1">
        <f t="array" aca="1" ref="AV327" ca="1">INDEX(OFFSET($AK$19,MATCH($B327,$B$19:$B$150,0)-1,0,COUNTA($B$19:$B$24),COUNTA($AK$17:$BB$17)),MATCH($F327,$F$19:$F$24,0),MATCH(AV$17,$AK$17:$BB$17,0))*INDEX($10:$13,MATCH($O327,$R$10:$R$13,0),COLUMN())</f>
        <v>4.3361998790999992E-3</v>
      </c>
      <c r="AW327" s="1046" cm="1">
        <f t="array" aca="1" ref="AW327" ca="1">INDEX(OFFSET($AK$19,MATCH($B327,$B$19:$B$150,0)-1,0,COUNTA($B$19:$B$24),COUNTA($AK$17:$BB$17)),MATCH($F327,$F$19:$F$24,0),MATCH(AW$17,$AK$17:$BB$17,0))*INDEX($10:$13,MATCH($O327,$R$10:$R$13,0),COLUMN())</f>
        <v>7.6562538975000011E-2</v>
      </c>
      <c r="AX327" s="1046" cm="1">
        <f t="array" aca="1" ref="AX327" ca="1">INDEX(OFFSET($AK$19,MATCH($B327,$B$19:$B$150,0)-1,0,COUNTA($B$19:$B$24),COUNTA($AK$17:$BB$17)),MATCH($F327,$F$19:$F$24,0),MATCH(AX$17,$AK$17:$BB$17,0))*INDEX($10:$13,MATCH($O327,$R$10:$R$13,0),COLUMN())</f>
        <v>1.5874606020000001E-7</v>
      </c>
      <c r="AY327" s="1046" cm="1">
        <f t="array" aca="1" ref="AY327" ca="1">INDEX(OFFSET($AK$19,MATCH($B327,$B$19:$B$150,0)-1,0,COUNTA($B$19:$B$24),COUNTA($AK$17:$BB$17)),MATCH($F327,$F$19:$F$24,0),MATCH(AY$17,$AK$17:$BB$17,0))*INDEX($10:$13,MATCH($O327,$R$10:$R$13,0),COLUMN())</f>
        <v>0</v>
      </c>
      <c r="AZ327" s="1046" cm="1">
        <f t="array" aca="1" ref="AZ327" ca="1">INDEX(OFFSET($AK$19,MATCH($B327,$B$19:$B$150,0)-1,0,COUNTA($B$19:$B$24),COUNTA($AK$17:$BB$17)),MATCH($F327,$F$19:$F$24,0),MATCH(AZ$17,$AK$17:$BB$17,0))*INDEX($10:$13,MATCH($O327,$R$10:$R$13,0),COLUMN())</f>
        <v>0</v>
      </c>
      <c r="BA327" s="1046" cm="1">
        <f t="array" aca="1" ref="BA327" ca="1">INDEX(OFFSET($AK$19,MATCH($B327,$B$19:$B$150,0)-1,0,COUNTA($B$19:$B$24),COUNTA($AK$17:$BB$17)),MATCH($F327,$F$19:$F$24,0),MATCH(BA$17,$AK$17:$BB$17,0))*INDEX($10:$13,MATCH($O327,$R$10:$R$13,0),COLUMN())</f>
        <v>0</v>
      </c>
      <c r="BB327" s="1047" cm="1">
        <f t="array" aca="1" ref="BB327" ca="1">INDEX(OFFSET($AK$19,MATCH($B327,$B$19:$B$150,0)-1,0,COUNTA($B$19:$B$24),COUNTA($AK$17:$BB$17)),MATCH($F327,$F$19:$F$24,0),MATCH(BB$17,$AK$17:$BB$17,0))*INDEX($10:$13,MATCH($O327,$R$10:$R$13,0),COLUMN())</f>
        <v>0</v>
      </c>
      <c r="BC327" s="1049">
        <f t="shared" ca="1" si="166"/>
        <v>7.6562697721060211E-2</v>
      </c>
      <c r="BE327" s="1"/>
      <c r="BF327" s="1"/>
      <c r="BG327" s="1"/>
      <c r="BH327" s="1"/>
      <c r="BI327" s="1"/>
      <c r="BJ327" s="1"/>
      <c r="BK327" s="1"/>
      <c r="BL327" s="1"/>
      <c r="BM327" s="1"/>
      <c r="BN327" s="1"/>
      <c r="BO327" s="1"/>
      <c r="BP327" s="1"/>
      <c r="BQ327" s="1"/>
      <c r="BR327" s="1"/>
      <c r="BS327" s="1"/>
      <c r="BT327" s="1"/>
      <c r="BU327" s="1"/>
      <c r="BV327" s="1"/>
      <c r="BW327" s="1"/>
      <c r="BX327" s="1"/>
      <c r="BY327" s="1"/>
      <c r="BZ327" s="1"/>
    </row>
    <row r="328" spans="2:78" ht="12" customHeight="1" outlineLevel="1" x14ac:dyDescent="0.25">
      <c r="B328" s="104" t="s">
        <v>103</v>
      </c>
      <c r="C328" s="104" t="s">
        <v>121</v>
      </c>
      <c r="D328" s="2" t="s">
        <v>137</v>
      </c>
      <c r="E328" s="2" t="s">
        <v>139</v>
      </c>
      <c r="F328" s="105" t="s">
        <v>122</v>
      </c>
      <c r="G328" s="27" t="s">
        <v>1579</v>
      </c>
      <c r="H328" s="106" t="s">
        <v>128</v>
      </c>
      <c r="I328" s="107" t="s">
        <v>129</v>
      </c>
      <c r="J328" s="147">
        <v>0.31070780000000003</v>
      </c>
      <c r="K328" s="148">
        <v>4.28</v>
      </c>
      <c r="L328" s="149">
        <f t="shared" ca="1" si="162"/>
        <v>2.67737301917398E-2</v>
      </c>
      <c r="M328" s="148">
        <f t="shared" ca="1" si="163"/>
        <v>4.3945915652206464</v>
      </c>
      <c r="N328" s="148">
        <f t="shared" ca="1" si="164"/>
        <v>0.11459156522064635</v>
      </c>
      <c r="O328" s="1062" t="s">
        <v>1583</v>
      </c>
      <c r="P328" s="104"/>
      <c r="R328" s="119"/>
      <c r="S328" s="1072"/>
      <c r="T328" s="1072"/>
      <c r="U328" s="1072"/>
      <c r="V328" s="1072"/>
      <c r="W328" s="1072"/>
      <c r="X328" s="1072"/>
      <c r="Y328" s="1072"/>
      <c r="Z328" s="1072"/>
      <c r="AA328" s="1072"/>
      <c r="AB328" s="1072"/>
      <c r="AC328" s="1072"/>
      <c r="AD328" s="1072"/>
      <c r="AE328" s="1072"/>
      <c r="AF328" s="1072"/>
      <c r="AG328" s="1072"/>
      <c r="AH328" s="1072"/>
      <c r="AI328" s="1072"/>
      <c r="AJ328" s="1073"/>
      <c r="AK328" s="1052" cm="1">
        <f t="array" aca="1" ref="AK328" ca="1">INDEX(OFFSET($AK$19,MATCH($B328,$B$19:$B$150,0)-1,0,COUNTA($B$19:$B$24),COUNTA($AK$17:$BB$17)),MATCH($F328,$F$19:$F$24,0),MATCH(AK$17,$AK$17:$BB$17,0))*INDEX($10:$13,MATCH($O328,$R$10:$R$13,0),COLUMN())</f>
        <v>1.4222805870000002E-2</v>
      </c>
      <c r="AL328" s="1050" cm="1">
        <f t="array" aca="1" ref="AL328" ca="1">INDEX(OFFSET($AK$19,MATCH($B328,$B$19:$B$150,0)-1,0,COUNTA($B$19:$B$24),COUNTA($AK$17:$BB$17)),MATCH($F328,$F$19:$F$24,0),MATCH(AL$17,$AK$17:$BB$17,0))*INDEX($10:$13,MATCH($O328,$R$10:$R$13,0),COLUMN())</f>
        <v>2.0743961056E-8</v>
      </c>
      <c r="AM328" s="1050" cm="1">
        <f t="array" aca="1" ref="AM328" ca="1">INDEX(OFFSET($AK$19,MATCH($B328,$B$19:$B$150,0)-1,0,COUNTA($B$19:$B$24),COUNTA($AK$17:$BB$17)),MATCH($F328,$F$19:$F$24,0),MATCH(AM$17,$AK$17:$BB$17,0))*INDEX($10:$13,MATCH($O328,$R$10:$R$13,0),COLUMN())</f>
        <v>3.8445557383E-5</v>
      </c>
      <c r="AN328" s="1050" cm="1">
        <f t="array" aca="1" ref="AN328" ca="1">INDEX(OFFSET($AK$19,MATCH($B328,$B$19:$B$150,0)-1,0,COUNTA($B$19:$B$24),COUNTA($AK$17:$BB$17)),MATCH($F328,$F$19:$F$24,0),MATCH(AN$17,$AK$17:$BB$17,0))*INDEX($10:$13,MATCH($O328,$R$10:$R$13,0),COLUMN())</f>
        <v>4.1593149399999995E-4</v>
      </c>
      <c r="AO328" s="1050" cm="1">
        <f t="array" aca="1" ref="AO328" ca="1">INDEX(OFFSET($AK$19,MATCH($B328,$B$19:$B$150,0)-1,0,COUNTA($B$19:$B$24),COUNTA($AK$17:$BB$17)),MATCH($F328,$F$19:$F$24,0),MATCH(AO$17,$AK$17:$BB$17,0))*INDEX($10:$13,MATCH($O328,$R$10:$R$13,0),COLUMN())</f>
        <v>6.5404349360000001E-3</v>
      </c>
      <c r="AP328" s="1050" cm="1">
        <f t="array" aca="1" ref="AP328" ca="1">INDEX(OFFSET($AK$19,MATCH($B328,$B$19:$B$150,0)-1,0,COUNTA($B$19:$B$24),COUNTA($AK$17:$BB$17)),MATCH($F328,$F$19:$F$24,0),MATCH(AP$17,$AK$17:$BB$17,0))*INDEX($10:$13,MATCH($O328,$R$10:$R$13,0),COLUMN())</f>
        <v>3.5655991685999999E-3</v>
      </c>
      <c r="AQ328" s="1050" cm="1">
        <f t="array" aca="1" ref="AQ328" ca="1">INDEX(OFFSET($AK$19,MATCH($B328,$B$19:$B$150,0)-1,0,COUNTA($B$19:$B$24),COUNTA($AK$17:$BB$17)),MATCH($F328,$F$19:$F$24,0),MATCH(AQ$17,$AK$17:$BB$17,0))*INDEX($10:$13,MATCH($O328,$R$10:$R$13,0),COLUMN())</f>
        <v>2.4081180060000003E-5</v>
      </c>
      <c r="AR328" s="1050" cm="1">
        <f t="array" aca="1" ref="AR328" ca="1">INDEX(OFFSET($AK$19,MATCH($B328,$B$19:$B$150,0)-1,0,COUNTA($B$19:$B$24),COUNTA($AK$17:$BB$17)),MATCH($F328,$F$19:$F$24,0),MATCH(AR$17,$AK$17:$BB$17,0))*INDEX($10:$13,MATCH($O328,$R$10:$R$13,0),COLUMN())</f>
        <v>1.6592791396999997E-3</v>
      </c>
      <c r="AS328" s="1050" cm="1">
        <f t="array" aca="1" ref="AS328" ca="1">INDEX(OFFSET($AK$19,MATCH($B328,$B$19:$B$150,0)-1,0,COUNTA($B$19:$B$24),COUNTA($AK$17:$BB$17)),MATCH($F328,$F$19:$F$24,0),MATCH(AS$17,$AK$17:$BB$17,0))*INDEX($10:$13,MATCH($O328,$R$10:$R$13,0),COLUMN())</f>
        <v>2.2741226849000001E-4</v>
      </c>
      <c r="AT328" s="1050" cm="1">
        <f t="array" aca="1" ref="AT328" ca="1">INDEX(OFFSET($AK$19,MATCH($B328,$B$19:$B$150,0)-1,0,COUNTA($B$19:$B$24),COUNTA($AK$17:$BB$17)),MATCH($F328,$F$19:$F$24,0),MATCH(AT$17,$AK$17:$BB$17,0))*INDEX($10:$13,MATCH($O328,$R$10:$R$13,0),COLUMN())</f>
        <v>2.0918502390000003E-6</v>
      </c>
      <c r="AU328" s="1050" cm="1">
        <f t="array" aca="1" ref="AU328" ca="1">INDEX(OFFSET($AK$19,MATCH($B328,$B$19:$B$150,0)-1,0,COUNTA($B$19:$B$24),COUNTA($AK$17:$BB$17)),MATCH($F328,$F$19:$F$24,0),MATCH(AU$17,$AK$17:$BB$17,0))*INDEX($10:$13,MATCH($O328,$R$10:$R$13,0),COLUMN())</f>
        <v>4.3054036539999997E-7</v>
      </c>
      <c r="AV328" s="1050" cm="1">
        <f t="array" aca="1" ref="AV328" ca="1">INDEX(OFFSET($AK$19,MATCH($B328,$B$19:$B$150,0)-1,0,COUNTA($B$19:$B$24),COUNTA($AK$17:$BB$17)),MATCH($F328,$F$19:$F$24,0),MATCH(AV$17,$AK$17:$BB$17,0))*INDEX($10:$13,MATCH($O328,$R$10:$R$13,0),COLUMN())</f>
        <v>6.9823380517999997E-4</v>
      </c>
      <c r="AW328" s="1050" cm="1">
        <f t="array" aca="1" ref="AW328" ca="1">INDEX(OFFSET($AK$19,MATCH($B328,$B$19:$B$150,0)-1,0,COUNTA($B$19:$B$24),COUNTA($AK$17:$BB$17)),MATCH($F328,$F$19:$F$24,0),MATCH(AW$17,$AK$17:$BB$17,0))*INDEX($10:$13,MATCH($O328,$R$10:$R$13,0),COLUMN())</f>
        <v>8.7196775250000011E-2</v>
      </c>
      <c r="AX328" s="1050" cm="1">
        <f t="array" aca="1" ref="AX328" ca="1">INDEX(OFFSET($AK$19,MATCH($B328,$B$19:$B$150,0)-1,0,COUNTA($B$19:$B$24),COUNTA($AK$17:$BB$17)),MATCH($F328,$F$19:$F$24,0),MATCH(AX$17,$AK$17:$BB$17,0))*INDEX($10:$13,MATCH($O328,$R$10:$R$13,0),COLUMN())</f>
        <v>2.3416667885000002E-8</v>
      </c>
      <c r="AY328" s="1050" cm="1">
        <f t="array" aca="1" ref="AY328" ca="1">INDEX(OFFSET($AK$19,MATCH($B328,$B$19:$B$150,0)-1,0,COUNTA($B$19:$B$24),COUNTA($AK$17:$BB$17)),MATCH($F328,$F$19:$F$24,0),MATCH(AY$17,$AK$17:$BB$17,0))*INDEX($10:$13,MATCH($O328,$R$10:$R$13,0),COLUMN())</f>
        <v>0</v>
      </c>
      <c r="AZ328" s="1050" cm="1">
        <f t="array" aca="1" ref="AZ328" ca="1">INDEX(OFFSET($AK$19,MATCH($B328,$B$19:$B$150,0)-1,0,COUNTA($B$19:$B$24),COUNTA($AK$17:$BB$17)),MATCH($F328,$F$19:$F$24,0),MATCH(AZ$17,$AK$17:$BB$17,0))*INDEX($10:$13,MATCH($O328,$R$10:$R$13,0),COLUMN())</f>
        <v>0</v>
      </c>
      <c r="BA328" s="1050" cm="1">
        <f t="array" aca="1" ref="BA328" ca="1">INDEX(OFFSET($AK$19,MATCH($B328,$B$19:$B$150,0)-1,0,COUNTA($B$19:$B$24),COUNTA($AK$17:$BB$17)),MATCH($F328,$F$19:$F$24,0),MATCH(BA$17,$AK$17:$BB$17,0))*INDEX($10:$13,MATCH($O328,$R$10:$R$13,0),COLUMN())</f>
        <v>0</v>
      </c>
      <c r="BB328" s="1051" cm="1">
        <f t="array" aca="1" ref="BB328" ca="1">INDEX(OFFSET($AK$19,MATCH($B328,$B$19:$B$150,0)-1,0,COUNTA($B$19:$B$24),COUNTA($AK$17:$BB$17)),MATCH($F328,$F$19:$F$24,0),MATCH(BB$17,$AK$17:$BB$17,0))*INDEX($10:$13,MATCH($O328,$R$10:$R$13,0),COLUMN())</f>
        <v>0</v>
      </c>
      <c r="BC328" s="1053">
        <f t="shared" ca="1" si="166"/>
        <v>8.7196798666667893E-2</v>
      </c>
      <c r="BE328" s="1"/>
      <c r="BF328" s="1"/>
      <c r="BG328" s="1"/>
      <c r="BH328" s="1"/>
      <c r="BI328" s="1"/>
      <c r="BJ328" s="1"/>
      <c r="BK328" s="1"/>
      <c r="BL328" s="1"/>
      <c r="BM328" s="1"/>
      <c r="BN328" s="1"/>
      <c r="BO328" s="1"/>
      <c r="BP328" s="1"/>
      <c r="BQ328" s="1"/>
      <c r="BR328" s="1"/>
      <c r="BS328" s="1"/>
      <c r="BT328" s="1"/>
      <c r="BU328" s="1"/>
      <c r="BV328" s="1"/>
      <c r="BW328" s="1"/>
      <c r="BX328" s="1"/>
      <c r="BY328" s="1"/>
      <c r="BZ328" s="1"/>
    </row>
    <row r="329" spans="2:78" ht="12" customHeight="1" outlineLevel="1" x14ac:dyDescent="0.25">
      <c r="B329" s="104" t="s">
        <v>103</v>
      </c>
      <c r="C329" s="104" t="s">
        <v>121</v>
      </c>
      <c r="D329" s="2" t="s">
        <v>137</v>
      </c>
      <c r="E329" s="2" t="s">
        <v>139</v>
      </c>
      <c r="F329" s="105" t="s">
        <v>93</v>
      </c>
      <c r="G329" s="27" t="s">
        <v>1578</v>
      </c>
      <c r="H329" s="106" t="s">
        <v>130</v>
      </c>
      <c r="I329" s="107" t="s">
        <v>129</v>
      </c>
      <c r="J329" s="147">
        <v>0.31070780000000003</v>
      </c>
      <c r="K329" s="148">
        <v>4.28</v>
      </c>
      <c r="L329" s="149">
        <f t="shared" ca="1" si="162"/>
        <v>3.550128473972803E-2</v>
      </c>
      <c r="M329" s="148">
        <f t="shared" ca="1" si="163"/>
        <v>4.4319454986860363</v>
      </c>
      <c r="N329" s="148">
        <f t="shared" ca="1" si="164"/>
        <v>0.15194549868603596</v>
      </c>
      <c r="O329" s="1062" t="s">
        <v>1583</v>
      </c>
      <c r="P329" s="104"/>
      <c r="R329" s="119"/>
      <c r="S329" s="1072"/>
      <c r="T329" s="1072"/>
      <c r="U329" s="1072"/>
      <c r="V329" s="1072"/>
      <c r="W329" s="1072"/>
      <c r="X329" s="1072"/>
      <c r="Y329" s="1072"/>
      <c r="Z329" s="1072"/>
      <c r="AA329" s="1072"/>
      <c r="AB329" s="1072"/>
      <c r="AC329" s="1072"/>
      <c r="AD329" s="1072"/>
      <c r="AE329" s="1072"/>
      <c r="AF329" s="1072"/>
      <c r="AG329" s="1072"/>
      <c r="AH329" s="1072"/>
      <c r="AI329" s="1072"/>
      <c r="AJ329" s="1073"/>
      <c r="AK329" s="1052" cm="1">
        <f t="array" aca="1" ref="AK329" ca="1">INDEX(OFFSET($AK$19,MATCH($B329,$B$19:$B$150,0)-1,0,COUNTA($B$19:$B$24),COUNTA($AK$17:$BB$17)),MATCH($F329,$F$19:$F$24,0),MATCH(AK$17,$AK$17:$BB$17,0))*INDEX($10:$13,MATCH($O329,$R$10:$R$13,0),COLUMN())</f>
        <v>1.885815243E-2</v>
      </c>
      <c r="AL329" s="1050" cm="1">
        <f t="array" aca="1" ref="AL329" ca="1">INDEX(OFFSET($AK$19,MATCH($B329,$B$19:$B$150,0)-1,0,COUNTA($B$19:$B$24),COUNTA($AK$17:$BB$17)),MATCH($F329,$F$19:$F$24,0),MATCH(AL$17,$AK$17:$BB$17,0))*INDEX($10:$13,MATCH($O329,$R$10:$R$13,0),COLUMN())</f>
        <v>2.7504613408000001E-8</v>
      </c>
      <c r="AM329" s="1050" cm="1">
        <f t="array" aca="1" ref="AM329" ca="1">INDEX(OFFSET($AK$19,MATCH($B329,$B$19:$B$150,0)-1,0,COUNTA($B$19:$B$24),COUNTA($AK$17:$BB$17)),MATCH($F329,$F$19:$F$24,0),MATCH(AM$17,$AK$17:$BB$17,0))*INDEX($10:$13,MATCH($O329,$R$10:$R$13,0),COLUMN())</f>
        <v>5.097532855000001E-5</v>
      </c>
      <c r="AN329" s="1050" cm="1">
        <f t="array" aca="1" ref="AN329" ca="1">INDEX(OFFSET($AK$19,MATCH($B329,$B$19:$B$150,0)-1,0,COUNTA($B$19:$B$24),COUNTA($AK$17:$BB$17)),MATCH($F329,$F$19:$F$24,0),MATCH(AN$17,$AK$17:$BB$17,0))*INDEX($10:$13,MATCH($O329,$R$10:$R$13,0),COLUMN())</f>
        <v>5.5148749099999991E-4</v>
      </c>
      <c r="AO329" s="1050" cm="1">
        <f t="array" aca="1" ref="AO329" ca="1">INDEX(OFFSET($AK$19,MATCH($B329,$B$19:$B$150,0)-1,0,COUNTA($B$19:$B$24),COUNTA($AK$17:$BB$17)),MATCH($F329,$F$19:$F$24,0),MATCH(AO$17,$AK$17:$BB$17,0))*INDEX($10:$13,MATCH($O329,$R$10:$R$13,0),COLUMN())</f>
        <v>8.6720243120000009E-3</v>
      </c>
      <c r="AP329" s="1050" cm="1">
        <f t="array" aca="1" ref="AP329" ca="1">INDEX(OFFSET($AK$19,MATCH($B329,$B$19:$B$150,0)-1,0,COUNTA($B$19:$B$24),COUNTA($AK$17:$BB$17)),MATCH($F329,$F$19:$F$24,0),MATCH(AP$17,$AK$17:$BB$17,0))*INDEX($10:$13,MATCH($O329,$R$10:$R$13,0),COLUMN())</f>
        <v>4.7276615574999995E-3</v>
      </c>
      <c r="AQ329" s="1050" cm="1">
        <f t="array" aca="1" ref="AQ329" ca="1">INDEX(OFFSET($AK$19,MATCH($B329,$B$19:$B$150,0)-1,0,COUNTA($B$19:$B$24),COUNTA($AK$17:$BB$17)),MATCH($F329,$F$19:$F$24,0),MATCH(AQ$17,$AK$17:$BB$17,0))*INDEX($10:$13,MATCH($O329,$R$10:$R$13,0),COLUMN())</f>
        <v>3.1929463079999997E-5</v>
      </c>
      <c r="AR329" s="1050" cm="1">
        <f t="array" aca="1" ref="AR329" ca="1">INDEX(OFFSET($AK$19,MATCH($B329,$B$19:$B$150,0)-1,0,COUNTA($B$19:$B$24),COUNTA($AK$17:$BB$17)),MATCH($F329,$F$19:$F$24,0),MATCH(AR$17,$AK$17:$BB$17,0))*INDEX($10:$13,MATCH($O329,$R$10:$R$13,0),COLUMN())</f>
        <v>2.2000538391E-3</v>
      </c>
      <c r="AS329" s="1050" cm="1">
        <f t="array" aca="1" ref="AS329" ca="1">INDEX(OFFSET($AK$19,MATCH($B329,$B$19:$B$150,0)-1,0,COUNTA($B$19:$B$24),COUNTA($AK$17:$BB$17)),MATCH($F329,$F$19:$F$24,0),MATCH(AS$17,$AK$17:$BB$17,0))*INDEX($10:$13,MATCH($O329,$R$10:$R$13,0),COLUMN())</f>
        <v>3.0309061079000001E-4</v>
      </c>
      <c r="AT329" s="1050" cm="1">
        <f t="array" aca="1" ref="AT329" ca="1">INDEX(OFFSET($AK$19,MATCH($B329,$B$19:$B$150,0)-1,0,COUNTA($B$19:$B$24),COUNTA($AK$17:$BB$17)),MATCH($F329,$F$19:$F$24,0),MATCH(AT$17,$AK$17:$BB$17,0))*INDEX($10:$13,MATCH($O329,$R$10:$R$13,0),COLUMN())</f>
        <v>2.7741328384999999E-6</v>
      </c>
      <c r="AU329" s="1050" cm="1">
        <f t="array" aca="1" ref="AU329" ca="1">INDEX(OFFSET($AK$19,MATCH($B329,$B$19:$B$150,0)-1,0,COUNTA($B$19:$B$24),COUNTA($AK$17:$BB$17)),MATCH($F329,$F$19:$F$24,0),MATCH(AU$17,$AK$17:$BB$17,0))*INDEX($10:$13,MATCH($O329,$R$10:$R$13,0),COLUMN())</f>
        <v>5.7091636400999994E-7</v>
      </c>
      <c r="AV329" s="1050" cm="1">
        <f t="array" aca="1" ref="AV329" ca="1">INDEX(OFFSET($AK$19,MATCH($B329,$B$19:$B$150,0)-1,0,COUNTA($B$19:$B$24),COUNTA($AK$17:$BB$17)),MATCH($F329,$F$19:$F$24,0),MATCH(AV$17,$AK$17:$BB$17,0))*INDEX($10:$13,MATCH($O329,$R$10:$R$13,0),COLUMN())</f>
        <v>9.3169065181999988E-4</v>
      </c>
      <c r="AW329" s="1050" cm="1">
        <f t="array" aca="1" ref="AW329" ca="1">INDEX(OFFSET($AK$19,MATCH($B329,$B$19:$B$150,0)-1,0,COUNTA($B$19:$B$24),COUNTA($AK$17:$BB$17)),MATCH($F329,$F$19:$F$24,0),MATCH(AW$17,$AK$17:$BB$17,0))*INDEX($10:$13,MATCH($O329,$R$10:$R$13,0),COLUMN())</f>
        <v>0.1156150294</v>
      </c>
      <c r="AX329" s="1050" cm="1">
        <f t="array" aca="1" ref="AX329" ca="1">INDEX(OFFSET($AK$19,MATCH($B329,$B$19:$B$150,0)-1,0,COUNTA($B$19:$B$24),COUNTA($AK$17:$BB$17)),MATCH($F329,$F$19:$F$24,0),MATCH(AX$17,$AK$17:$BB$17,0))*INDEX($10:$13,MATCH($O329,$R$10:$R$13,0),COLUMN())</f>
        <v>3.1048380025000002E-8</v>
      </c>
      <c r="AY329" s="1050" cm="1">
        <f t="array" aca="1" ref="AY329" ca="1">INDEX(OFFSET($AK$19,MATCH($B329,$B$19:$B$150,0)-1,0,COUNTA($B$19:$B$24),COUNTA($AK$17:$BB$17)),MATCH($F329,$F$19:$F$24,0),MATCH(AY$17,$AK$17:$BB$17,0))*INDEX($10:$13,MATCH($O329,$R$10:$R$13,0),COLUMN())</f>
        <v>0</v>
      </c>
      <c r="AZ329" s="1050" cm="1">
        <f t="array" aca="1" ref="AZ329" ca="1">INDEX(OFFSET($AK$19,MATCH($B329,$B$19:$B$150,0)-1,0,COUNTA($B$19:$B$24),COUNTA($AK$17:$BB$17)),MATCH($F329,$F$19:$F$24,0),MATCH(AZ$17,$AK$17:$BB$17,0))*INDEX($10:$13,MATCH($O329,$R$10:$R$13,0),COLUMN())</f>
        <v>0</v>
      </c>
      <c r="BA329" s="1050" cm="1">
        <f t="array" aca="1" ref="BA329" ca="1">INDEX(OFFSET($AK$19,MATCH($B329,$B$19:$B$150,0)-1,0,COUNTA($B$19:$B$24),COUNTA($AK$17:$BB$17)),MATCH($F329,$F$19:$F$24,0),MATCH(BA$17,$AK$17:$BB$17,0))*INDEX($10:$13,MATCH($O329,$R$10:$R$13,0),COLUMN())</f>
        <v>0</v>
      </c>
      <c r="BB329" s="1051" cm="1">
        <f t="array" aca="1" ref="BB329" ca="1">INDEX(OFFSET($AK$19,MATCH($B329,$B$19:$B$150,0)-1,0,COUNTA($B$19:$B$24),COUNTA($AK$17:$BB$17)),MATCH($F329,$F$19:$F$24,0),MATCH(BB$17,$AK$17:$BB$17,0))*INDEX($10:$13,MATCH($O329,$R$10:$R$13,0),COLUMN())</f>
        <v>0</v>
      </c>
      <c r="BC329" s="1053">
        <f t="shared" ca="1" si="166"/>
        <v>0.11561506044838002</v>
      </c>
      <c r="BE329" s="1"/>
      <c r="BF329" s="1"/>
      <c r="BG329" s="1"/>
      <c r="BH329" s="1"/>
      <c r="BI329" s="1"/>
      <c r="BJ329" s="1"/>
      <c r="BK329" s="1"/>
      <c r="BL329" s="1"/>
      <c r="BM329" s="1"/>
      <c r="BN329" s="1"/>
      <c r="BO329" s="1"/>
      <c r="BP329" s="1"/>
      <c r="BQ329" s="1"/>
      <c r="BR329" s="1"/>
      <c r="BS329" s="1"/>
      <c r="BT329" s="1"/>
      <c r="BU329" s="1"/>
      <c r="BV329" s="1"/>
      <c r="BW329" s="1"/>
      <c r="BX329" s="1"/>
      <c r="BY329" s="1"/>
      <c r="BZ329" s="1"/>
    </row>
    <row r="330" spans="2:78" ht="12" customHeight="1" outlineLevel="1" x14ac:dyDescent="0.25">
      <c r="B330" s="104" t="s">
        <v>103</v>
      </c>
      <c r="C330" s="104" t="s">
        <v>121</v>
      </c>
      <c r="D330" s="2" t="s">
        <v>137</v>
      </c>
      <c r="E330" s="2" t="s">
        <v>139</v>
      </c>
      <c r="F330" s="105" t="s">
        <v>94</v>
      </c>
      <c r="G330" s="27" t="s">
        <v>1580</v>
      </c>
      <c r="H330" s="106" t="s">
        <v>131</v>
      </c>
      <c r="I330" s="107" t="s">
        <v>129</v>
      </c>
      <c r="J330" s="147">
        <v>0.31070780000000003</v>
      </c>
      <c r="K330" s="148">
        <v>4.28</v>
      </c>
      <c r="L330" s="149">
        <f t="shared" ca="1" si="162"/>
        <v>2.149008431706197E-2</v>
      </c>
      <c r="M330" s="148">
        <f t="shared" ca="1" si="163"/>
        <v>4.371977560877025</v>
      </c>
      <c r="N330" s="148">
        <f t="shared" ca="1" si="164"/>
        <v>9.197756087702523E-2</v>
      </c>
      <c r="O330" s="1062" t="s">
        <v>1583</v>
      </c>
      <c r="P330" s="104"/>
      <c r="R330" s="119"/>
      <c r="S330" s="1072"/>
      <c r="T330" s="1072"/>
      <c r="U330" s="1072"/>
      <c r="V330" s="1072"/>
      <c r="W330" s="1072"/>
      <c r="X330" s="1072"/>
      <c r="Y330" s="1072"/>
      <c r="Z330" s="1072"/>
      <c r="AA330" s="1072"/>
      <c r="AB330" s="1072"/>
      <c r="AC330" s="1072"/>
      <c r="AD330" s="1072"/>
      <c r="AE330" s="1072"/>
      <c r="AF330" s="1072"/>
      <c r="AG330" s="1072"/>
      <c r="AH330" s="1072"/>
      <c r="AI330" s="1072"/>
      <c r="AJ330" s="1073"/>
      <c r="AK330" s="1052" cm="1">
        <f t="array" aca="1" ref="AK330" ca="1">INDEX(OFFSET($AK$19,MATCH($B330,$B$19:$B$150,0)-1,0,COUNTA($B$19:$B$24),COUNTA($AK$17:$BB$17)),MATCH($F330,$F$19:$F$24,0),MATCH(AK$17,$AK$17:$BB$17,0))*INDEX($10:$13,MATCH($O330,$R$10:$R$13,0),COLUMN())</f>
        <v>1.1416575105E-2</v>
      </c>
      <c r="AL330" s="1050" cm="1">
        <f t="array" aca="1" ref="AL330" ca="1">INDEX(OFFSET($AK$19,MATCH($B330,$B$19:$B$150,0)-1,0,COUNTA($B$19:$B$24),COUNTA($AK$17:$BB$17)),MATCH($F330,$F$19:$F$24,0),MATCH(AL$17,$AK$17:$BB$17,0))*INDEX($10:$13,MATCH($O330,$R$10:$R$13,0),COLUMN())</f>
        <v>1.6651073776000001E-8</v>
      </c>
      <c r="AM330" s="1050" cm="1">
        <f t="array" aca="1" ref="AM330" ca="1">INDEX(OFFSET($AK$19,MATCH($B330,$B$19:$B$150,0)-1,0,COUNTA($B$19:$B$24),COUNTA($AK$17:$BB$17)),MATCH($F330,$F$19:$F$24,0),MATCH(AM$17,$AK$17:$BB$17,0))*INDEX($10:$13,MATCH($O330,$R$10:$R$13,0),COLUMN())</f>
        <v>3.0860056855000003E-5</v>
      </c>
      <c r="AN330" s="1050" cm="1">
        <f t="array" aca="1" ref="AN330" ca="1">INDEX(OFFSET($AK$19,MATCH($B330,$B$19:$B$150,0)-1,0,COUNTA($B$19:$B$24),COUNTA($AK$17:$BB$17)),MATCH($F330,$F$19:$F$24,0),MATCH(AN$17,$AK$17:$BB$17,0))*INDEX($10:$13,MATCH($O330,$R$10:$R$13,0),COLUMN())</f>
        <v>3.3386613699999999E-4</v>
      </c>
      <c r="AO330" s="1050" cm="1">
        <f t="array" aca="1" ref="AO330" ca="1">INDEX(OFFSET($AK$19,MATCH($B330,$B$19:$B$150,0)-1,0,COUNTA($B$19:$B$24),COUNTA($AK$17:$BB$17)),MATCH($F330,$F$19:$F$24,0),MATCH(AO$17,$AK$17:$BB$17,0))*INDEX($10:$13,MATCH($O330,$R$10:$R$13,0),COLUMN())</f>
        <v>5.2499744640000009E-3</v>
      </c>
      <c r="AP330" s="1050" cm="1">
        <f t="array" aca="1" ref="AP330" ca="1">INDEX(OFFSET($AK$19,MATCH($B330,$B$19:$B$150,0)-1,0,COUNTA($B$19:$B$24),COUNTA($AK$17:$BB$17)),MATCH($F330,$F$19:$F$24,0),MATCH(AP$17,$AK$17:$BB$17,0))*INDEX($10:$13,MATCH($O330,$R$10:$R$13,0),COLUMN())</f>
        <v>2.8620886608999997E-3</v>
      </c>
      <c r="AQ330" s="1050" cm="1">
        <f t="array" aca="1" ref="AQ330" ca="1">INDEX(OFFSET($AK$19,MATCH($B330,$B$19:$B$150,0)-1,0,COUNTA($B$19:$B$24),COUNTA($AK$17:$BB$17)),MATCH($F330,$F$19:$F$24,0),MATCH(AQ$17,$AK$17:$BB$17,0))*INDEX($10:$13,MATCH($O330,$R$10:$R$13,0),COLUMN())</f>
        <v>1.9329843540000001E-5</v>
      </c>
      <c r="AR330" s="1050" cm="1">
        <f t="array" aca="1" ref="AR330" ca="1">INDEX(OFFSET($AK$19,MATCH($B330,$B$19:$B$150,0)-1,0,COUNTA($B$19:$B$24),COUNTA($AK$17:$BB$17)),MATCH($F330,$F$19:$F$24,0),MATCH(AR$17,$AK$17:$BB$17,0))*INDEX($10:$13,MATCH($O330,$R$10:$R$13,0),COLUMN())</f>
        <v>1.3318950688E-3</v>
      </c>
      <c r="AS330" s="1050" cm="1">
        <f t="array" aca="1" ref="AS330" ca="1">INDEX(OFFSET($AK$19,MATCH($B330,$B$19:$B$150,0)-1,0,COUNTA($B$19:$B$24),COUNTA($AK$17:$BB$17)),MATCH($F330,$F$19:$F$24,0),MATCH(AS$17,$AK$17:$BB$17,0))*INDEX($10:$13,MATCH($O330,$R$10:$R$13,0),COLUMN())</f>
        <v>1.8159673751999997E-4</v>
      </c>
      <c r="AT330" s="1050" cm="1">
        <f t="array" aca="1" ref="AT330" ca="1">INDEX(OFFSET($AK$19,MATCH($B330,$B$19:$B$150,0)-1,0,COUNTA($B$19:$B$24),COUNTA($AK$17:$BB$17)),MATCH($F330,$F$19:$F$24,0),MATCH(AT$17,$AK$17:$BB$17,0))*INDEX($10:$13,MATCH($O330,$R$10:$R$13,0),COLUMN())</f>
        <v>1.6787975407E-6</v>
      </c>
      <c r="AU330" s="1050" cm="1">
        <f t="array" aca="1" ref="AU330" ca="1">INDEX(OFFSET($AK$19,MATCH($B330,$B$19:$B$150,0)-1,0,COUNTA($B$19:$B$24),COUNTA($AK$17:$BB$17)),MATCH($F330,$F$19:$F$24,0),MATCH(AU$17,$AK$17:$BB$17,0))*INDEX($10:$13,MATCH($O330,$R$10:$R$13,0),COLUMN())</f>
        <v>3.4555698381000002E-7</v>
      </c>
      <c r="AV330" s="1050" cm="1">
        <f t="array" aca="1" ref="AV330" ca="1">INDEX(OFFSET($AK$19,MATCH($B330,$B$19:$B$150,0)-1,0,COUNTA($B$19:$B$24),COUNTA($AK$17:$BB$17)),MATCH($F330,$F$19:$F$24,0),MATCH(AV$17,$AK$17:$BB$17,0))*INDEX($10:$13,MATCH($O330,$R$10:$R$13,0),COLUMN())</f>
        <v>5.5689945636999997E-4</v>
      </c>
      <c r="AW330" s="1050" cm="1">
        <f t="array" aca="1" ref="AW330" ca="1">INDEX(OFFSET($AK$19,MATCH($B330,$B$19:$B$150,0)-1,0,COUNTA($B$19:$B$24),COUNTA($AK$17:$BB$17)),MATCH($F330,$F$19:$F$24,0),MATCH(AW$17,$AK$17:$BB$17,0))*INDEX($10:$13,MATCH($O330,$R$10:$R$13,0),COLUMN())</f>
        <v>6.9992415545000006E-2</v>
      </c>
      <c r="AX330" s="1050" cm="1">
        <f t="array" aca="1" ref="AX330" ca="1">INDEX(OFFSET($AK$19,MATCH($B330,$B$19:$B$150,0)-1,0,COUNTA($B$19:$B$24),COUNTA($AK$17:$BB$17)),MATCH($F330,$F$19:$F$24,0),MATCH(AX$17,$AK$17:$BB$17,0))*INDEX($10:$13,MATCH($O330,$R$10:$R$13,0),COLUMN())</f>
        <v>1.8796441949999999E-8</v>
      </c>
      <c r="AY330" s="1050" cm="1">
        <f t="array" aca="1" ref="AY330" ca="1">INDEX(OFFSET($AK$19,MATCH($B330,$B$19:$B$150,0)-1,0,COUNTA($B$19:$B$24),COUNTA($AK$17:$BB$17)),MATCH($F330,$F$19:$F$24,0),MATCH(AY$17,$AK$17:$BB$17,0))*INDEX($10:$13,MATCH($O330,$R$10:$R$13,0),COLUMN())</f>
        <v>0</v>
      </c>
      <c r="AZ330" s="1050" cm="1">
        <f t="array" aca="1" ref="AZ330" ca="1">INDEX(OFFSET($AK$19,MATCH($B330,$B$19:$B$150,0)-1,0,COUNTA($B$19:$B$24),COUNTA($AK$17:$BB$17)),MATCH($F330,$F$19:$F$24,0),MATCH(AZ$17,$AK$17:$BB$17,0))*INDEX($10:$13,MATCH($O330,$R$10:$R$13,0),COLUMN())</f>
        <v>0</v>
      </c>
      <c r="BA330" s="1050" cm="1">
        <f t="array" aca="1" ref="BA330" ca="1">INDEX(OFFSET($AK$19,MATCH($B330,$B$19:$B$150,0)-1,0,COUNTA($B$19:$B$24),COUNTA($AK$17:$BB$17)),MATCH($F330,$F$19:$F$24,0),MATCH(BA$17,$AK$17:$BB$17,0))*INDEX($10:$13,MATCH($O330,$R$10:$R$13,0),COLUMN())</f>
        <v>0</v>
      </c>
      <c r="BB330" s="1051" cm="1">
        <f t="array" aca="1" ref="BB330" ca="1">INDEX(OFFSET($AK$19,MATCH($B330,$B$19:$B$150,0)-1,0,COUNTA($B$19:$B$24),COUNTA($AK$17:$BB$17)),MATCH($F330,$F$19:$F$24,0),MATCH(BB$17,$AK$17:$BB$17,0))*INDEX($10:$13,MATCH($O330,$R$10:$R$13,0),COLUMN())</f>
        <v>0</v>
      </c>
      <c r="BC330" s="1053">
        <f t="shared" ca="1" si="166"/>
        <v>6.999243434144195E-2</v>
      </c>
      <c r="BE330" s="1"/>
      <c r="BF330" s="1"/>
      <c r="BG330" s="1"/>
      <c r="BH330" s="1"/>
      <c r="BI330" s="1"/>
      <c r="BJ330" s="1"/>
      <c r="BK330" s="1"/>
      <c r="BL330" s="1"/>
      <c r="BM330" s="1"/>
      <c r="BN330" s="1"/>
      <c r="BO330" s="1"/>
      <c r="BP330" s="1"/>
      <c r="BQ330" s="1"/>
      <c r="BR330" s="1"/>
      <c r="BS330" s="1"/>
      <c r="BT330" s="1"/>
      <c r="BU330" s="1"/>
      <c r="BV330" s="1"/>
      <c r="BW330" s="1"/>
      <c r="BX330" s="1"/>
      <c r="BY330" s="1"/>
      <c r="BZ330" s="1"/>
    </row>
    <row r="331" spans="2:78" ht="12" customHeight="1" outlineLevel="1" x14ac:dyDescent="0.25">
      <c r="B331" s="104" t="s">
        <v>103</v>
      </c>
      <c r="C331" s="104" t="s">
        <v>121</v>
      </c>
      <c r="D331" s="2" t="s">
        <v>137</v>
      </c>
      <c r="E331" s="2" t="s">
        <v>139</v>
      </c>
      <c r="F331" s="105" t="s">
        <v>95</v>
      </c>
      <c r="G331" s="27" t="s">
        <v>1581</v>
      </c>
      <c r="H331" s="106" t="s">
        <v>128</v>
      </c>
      <c r="I331" s="107" t="s">
        <v>127</v>
      </c>
      <c r="J331" s="147">
        <v>0.31070780000000003</v>
      </c>
      <c r="K331" s="148">
        <v>4.28</v>
      </c>
      <c r="L331" s="149">
        <f t="shared" ca="1" si="162"/>
        <v>3.2982043303086399E-2</v>
      </c>
      <c r="M331" s="148">
        <f t="shared" ca="1" si="163"/>
        <v>4.4211631453372098</v>
      </c>
      <c r="N331" s="148">
        <f t="shared" ca="1" si="164"/>
        <v>0.14116314533720981</v>
      </c>
      <c r="O331" s="1062" t="s">
        <v>1583</v>
      </c>
      <c r="P331" s="104"/>
      <c r="R331" s="119"/>
      <c r="S331" s="1072"/>
      <c r="T331" s="1072"/>
      <c r="U331" s="1072"/>
      <c r="V331" s="1072"/>
      <c r="W331" s="1072"/>
      <c r="X331" s="1072"/>
      <c r="Y331" s="1072"/>
      <c r="Z331" s="1072"/>
      <c r="AA331" s="1072"/>
      <c r="AB331" s="1072"/>
      <c r="AC331" s="1072"/>
      <c r="AD331" s="1072"/>
      <c r="AE331" s="1072"/>
      <c r="AF331" s="1072"/>
      <c r="AG331" s="1072"/>
      <c r="AH331" s="1072"/>
      <c r="AI331" s="1072"/>
      <c r="AJ331" s="1073"/>
      <c r="AK331" s="1052" cm="1">
        <f t="array" aca="1" ref="AK331" ca="1">INDEX(OFFSET($AK$19,MATCH($B331,$B$19:$B$150,0)-1,0,COUNTA($B$19:$B$24),COUNTA($AK$17:$BB$17)),MATCH($F331,$F$19:$F$24,0),MATCH(AK$17,$AK$17:$BB$17,0))*INDEX($10:$13,MATCH($O331,$R$10:$R$13,0),COLUMN())</f>
        <v>1.737364005E-2</v>
      </c>
      <c r="AL331" s="1050" cm="1">
        <f t="array" aca="1" ref="AL331" ca="1">INDEX(OFFSET($AK$19,MATCH($B331,$B$19:$B$150,0)-1,0,COUNTA($B$19:$B$24),COUNTA($AK$17:$BB$17)),MATCH($F331,$F$19:$F$24,0),MATCH(AL$17,$AK$17:$BB$17,0))*INDEX($10:$13,MATCH($O331,$R$10:$R$13,0),COLUMN())</f>
        <v>2.0908120144000001E-8</v>
      </c>
      <c r="AM331" s="1050" cm="1">
        <f t="array" aca="1" ref="AM331" ca="1">INDEX(OFFSET($AK$19,MATCH($B331,$B$19:$B$150,0)-1,0,COUNTA($B$19:$B$24),COUNTA($AK$17:$BB$17)),MATCH($F331,$F$19:$F$24,0),MATCH(AM$17,$AK$17:$BB$17,0))*INDEX($10:$13,MATCH($O331,$R$10:$R$13,0),COLUMN())</f>
        <v>3.8748497539999999E-5</v>
      </c>
      <c r="AN331" s="1050" cm="1">
        <f t="array" aca="1" ref="AN331" ca="1">INDEX(OFFSET($AK$19,MATCH($B331,$B$19:$B$150,0)-1,0,COUNTA($B$19:$B$24),COUNTA($AK$17:$BB$17)),MATCH($F331,$F$19:$F$24,0),MATCH(AN$17,$AK$17:$BB$17,0))*INDEX($10:$13,MATCH($O331,$R$10:$R$13,0),COLUMN())</f>
        <v>4.4794627499999994E-4</v>
      </c>
      <c r="AO331" s="1050" cm="1">
        <f t="array" aca="1" ref="AO331" ca="1">INDEX(OFFSET($AK$19,MATCH($B331,$B$19:$B$150,0)-1,0,COUNTA($B$19:$B$24),COUNTA($AK$17:$BB$17)),MATCH($F331,$F$19:$F$24,0),MATCH(AO$17,$AK$17:$BB$17,0))*INDEX($10:$13,MATCH($O331,$R$10:$R$13,0),COLUMN())</f>
        <v>1.5756256935999999E-2</v>
      </c>
      <c r="AP331" s="1050" cm="1">
        <f t="array" aca="1" ref="AP331" ca="1">INDEX(OFFSET($AK$19,MATCH($B331,$B$19:$B$150,0)-1,0,COUNTA($B$19:$B$24),COUNTA($AK$17:$BB$17)),MATCH($F331,$F$19:$F$24,0),MATCH(AP$17,$AK$17:$BB$17,0))*INDEX($10:$13,MATCH($O331,$R$10:$R$13,0),COLUMN())</f>
        <v>1.2338591083E-2</v>
      </c>
      <c r="AQ331" s="1050" cm="1">
        <f t="array" aca="1" ref="AQ331" ca="1">INDEX(OFFSET($AK$19,MATCH($B331,$B$19:$B$150,0)-1,0,COUNTA($B$19:$B$24),COUNTA($AK$17:$BB$17)),MATCH($F331,$F$19:$F$24,0),MATCH(AQ$17,$AK$17:$BB$17,0))*INDEX($10:$13,MATCH($O331,$R$10:$R$13,0),COLUMN())</f>
        <v>9.5358264240000002E-5</v>
      </c>
      <c r="AR331" s="1050" cm="1">
        <f t="array" aca="1" ref="AR331" ca="1">INDEX(OFFSET($AK$19,MATCH($B331,$B$19:$B$150,0)-1,0,COUNTA($B$19:$B$24),COUNTA($AK$17:$BB$17)),MATCH($F331,$F$19:$F$24,0),MATCH(AR$17,$AK$17:$BB$17,0))*INDEX($10:$13,MATCH($O331,$R$10:$R$13,0),COLUMN())</f>
        <v>3.9955252280000006E-3</v>
      </c>
      <c r="AS331" s="1050" cm="1">
        <f t="array" aca="1" ref="AS331" ca="1">INDEX(OFFSET($AK$19,MATCH($B331,$B$19:$B$150,0)-1,0,COUNTA($B$19:$B$24),COUNTA($AK$17:$BB$17)),MATCH($F331,$F$19:$F$24,0),MATCH(AS$17,$AK$17:$BB$17,0))*INDEX($10:$13,MATCH($O331,$R$10:$R$13,0),COLUMN())</f>
        <v>1.3576189736999999E-3</v>
      </c>
      <c r="AT331" s="1050" cm="1">
        <f t="array" aca="1" ref="AT331" ca="1">INDEX(OFFSET($AK$19,MATCH($B331,$B$19:$B$150,0)-1,0,COUNTA($B$19:$B$24),COUNTA($AK$17:$BB$17)),MATCH($F331,$F$19:$F$24,0),MATCH(AT$17,$AK$17:$BB$17,0))*INDEX($10:$13,MATCH($O331,$R$10:$R$13,0),COLUMN())</f>
        <v>2.9128151039000002E-6</v>
      </c>
      <c r="AU331" s="1050" cm="1">
        <f t="array" aca="1" ref="AU331" ca="1">INDEX(OFFSET($AK$19,MATCH($B331,$B$19:$B$150,0)-1,0,COUNTA($B$19:$B$24),COUNTA($AK$17:$BB$17)),MATCH($F331,$F$19:$F$24,0),MATCH(AU$17,$AK$17:$BB$17,0))*INDEX($10:$13,MATCH($O331,$R$10:$R$13,0),COLUMN())</f>
        <v>5.5576223786999999E-7</v>
      </c>
      <c r="AV331" s="1050" cm="1">
        <f t="array" aca="1" ref="AV331" ca="1">INDEX(OFFSET($AK$19,MATCH($B331,$B$19:$B$150,0)-1,0,COUNTA($B$19:$B$24),COUNTA($AK$17:$BB$17)),MATCH($F331,$F$19:$F$24,0),MATCH(AV$17,$AK$17:$BB$17,0))*INDEX($10:$13,MATCH($O331,$R$10:$R$13,0),COLUMN())</f>
        <v>2.5591718775999999E-3</v>
      </c>
      <c r="AW331" s="1050" cm="1">
        <f t="array" aca="1" ref="AW331" ca="1">INDEX(OFFSET($AK$19,MATCH($B331,$B$19:$B$150,0)-1,0,COUNTA($B$19:$B$24),COUNTA($AK$17:$BB$17)),MATCH($F331,$F$19:$F$24,0),MATCH(AW$17,$AK$17:$BB$17,0))*INDEX($10:$13,MATCH($O331,$R$10:$R$13,0),COLUMN())</f>
        <v>8.7196775250000011E-2</v>
      </c>
      <c r="AX331" s="1050" cm="1">
        <f t="array" aca="1" ref="AX331" ca="1">INDEX(OFFSET($AK$19,MATCH($B331,$B$19:$B$150,0)-1,0,COUNTA($B$19:$B$24),COUNTA($AK$17:$BB$17)),MATCH($F331,$F$19:$F$24,0),MATCH(AX$17,$AK$17:$BB$17,0))*INDEX($10:$13,MATCH($O331,$R$10:$R$13,0),COLUMN())</f>
        <v>2.3416667885000002E-8</v>
      </c>
      <c r="AY331" s="1050" cm="1">
        <f t="array" aca="1" ref="AY331" ca="1">INDEX(OFFSET($AK$19,MATCH($B331,$B$19:$B$150,0)-1,0,COUNTA($B$19:$B$24),COUNTA($AK$17:$BB$17)),MATCH($F331,$F$19:$F$24,0),MATCH(AY$17,$AK$17:$BB$17,0))*INDEX($10:$13,MATCH($O331,$R$10:$R$13,0),COLUMN())</f>
        <v>0</v>
      </c>
      <c r="AZ331" s="1050" cm="1">
        <f t="array" aca="1" ref="AZ331" ca="1">INDEX(OFFSET($AK$19,MATCH($B331,$B$19:$B$150,0)-1,0,COUNTA($B$19:$B$24),COUNTA($AK$17:$BB$17)),MATCH($F331,$F$19:$F$24,0),MATCH(AZ$17,$AK$17:$BB$17,0))*INDEX($10:$13,MATCH($O331,$R$10:$R$13,0),COLUMN())</f>
        <v>0</v>
      </c>
      <c r="BA331" s="1050" cm="1">
        <f t="array" aca="1" ref="BA331" ca="1">INDEX(OFFSET($AK$19,MATCH($B331,$B$19:$B$150,0)-1,0,COUNTA($B$19:$B$24),COUNTA($AK$17:$BB$17)),MATCH($F331,$F$19:$F$24,0),MATCH(BA$17,$AK$17:$BB$17,0))*INDEX($10:$13,MATCH($O331,$R$10:$R$13,0),COLUMN())</f>
        <v>0</v>
      </c>
      <c r="BB331" s="1051" cm="1">
        <f t="array" aca="1" ref="BB331" ca="1">INDEX(OFFSET($AK$19,MATCH($B331,$B$19:$B$150,0)-1,0,COUNTA($B$19:$B$24),COUNTA($AK$17:$BB$17)),MATCH($F331,$F$19:$F$24,0),MATCH(BB$17,$AK$17:$BB$17,0))*INDEX($10:$13,MATCH($O331,$R$10:$R$13,0),COLUMN())</f>
        <v>0</v>
      </c>
      <c r="BC331" s="1053">
        <f t="shared" ca="1" si="166"/>
        <v>8.7196798666667893E-2</v>
      </c>
      <c r="BE331" s="1"/>
      <c r="BF331" s="1"/>
      <c r="BG331" s="1"/>
      <c r="BH331" s="1"/>
      <c r="BI331" s="1"/>
      <c r="BJ331" s="1"/>
      <c r="BK331" s="1"/>
      <c r="BL331" s="1"/>
      <c r="BM331" s="1"/>
      <c r="BN331" s="1"/>
      <c r="BO331" s="1"/>
      <c r="BP331" s="1"/>
      <c r="BQ331" s="1"/>
      <c r="BR331" s="1"/>
      <c r="BS331" s="1"/>
      <c r="BT331" s="1"/>
      <c r="BU331" s="1"/>
      <c r="BV331" s="1"/>
      <c r="BW331" s="1"/>
      <c r="BX331" s="1"/>
      <c r="BY331" s="1"/>
      <c r="BZ331" s="1"/>
    </row>
    <row r="332" spans="2:78" ht="12" customHeight="1" outlineLevel="1" x14ac:dyDescent="0.25">
      <c r="B332" s="104" t="s">
        <v>103</v>
      </c>
      <c r="C332" s="104" t="s">
        <v>121</v>
      </c>
      <c r="D332" s="2" t="s">
        <v>137</v>
      </c>
      <c r="E332" s="2" t="s">
        <v>139</v>
      </c>
      <c r="F332" s="105" t="s">
        <v>96</v>
      </c>
      <c r="G332" s="27" t="s">
        <v>1582</v>
      </c>
      <c r="H332" s="106" t="s">
        <v>128</v>
      </c>
      <c r="I332" s="107" t="s">
        <v>1577</v>
      </c>
      <c r="J332" s="147">
        <v>0.31070780000000003</v>
      </c>
      <c r="K332" s="148">
        <v>4.28</v>
      </c>
      <c r="L332" s="149">
        <f t="shared" ca="1" si="162"/>
        <v>3.7488812001956605E-2</v>
      </c>
      <c r="M332" s="148">
        <f t="shared" ca="1" si="163"/>
        <v>4.4404521153683749</v>
      </c>
      <c r="N332" s="148">
        <f t="shared" ca="1" si="164"/>
        <v>0.16045211536837428</v>
      </c>
      <c r="O332" s="1062" t="s">
        <v>1583</v>
      </c>
      <c r="P332" s="104"/>
      <c r="R332" s="119"/>
      <c r="S332" s="1072"/>
      <c r="T332" s="1072"/>
      <c r="U332" s="1072"/>
      <c r="V332" s="1072"/>
      <c r="W332" s="1072"/>
      <c r="X332" s="1072"/>
      <c r="Y332" s="1072"/>
      <c r="Z332" s="1072"/>
      <c r="AA332" s="1072"/>
      <c r="AB332" s="1072"/>
      <c r="AC332" s="1072"/>
      <c r="AD332" s="1072"/>
      <c r="AE332" s="1072"/>
      <c r="AF332" s="1072"/>
      <c r="AG332" s="1072"/>
      <c r="AH332" s="1072"/>
      <c r="AI332" s="1072"/>
      <c r="AJ332" s="1073"/>
      <c r="AK332" s="1052" cm="1">
        <f t="array" aca="1" ref="AK332" ca="1">INDEX(OFFSET($AK$19,MATCH($B332,$B$19:$B$150,0)-1,0,COUNTA($B$19:$B$24),COUNTA($AK$17:$BB$17)),MATCH($F332,$F$19:$F$24,0),MATCH(AK$17,$AK$17:$BB$17,0))*INDEX($10:$13,MATCH($O332,$R$10:$R$13,0),COLUMN())</f>
        <v>1.9631790749999999E-2</v>
      </c>
      <c r="AL332" s="1050" cm="1">
        <f t="array" aca="1" ref="AL332" ca="1">INDEX(OFFSET($AK$19,MATCH($B332,$B$19:$B$150,0)-1,0,COUNTA($B$19:$B$24),COUNTA($AK$17:$BB$17)),MATCH($F332,$F$19:$F$24,0),MATCH(AL$17,$AK$17:$BB$17,0))*INDEX($10:$13,MATCH($O332,$R$10:$R$13,0),COLUMN())</f>
        <v>2.1015253087999998E-8</v>
      </c>
      <c r="AM332" s="1050" cm="1">
        <f t="array" aca="1" ref="AM332" ca="1">INDEX(OFFSET($AK$19,MATCH($B332,$B$19:$B$150,0)-1,0,COUNTA($B$19:$B$24),COUNTA($AK$17:$BB$17)),MATCH($F332,$F$19:$F$24,0),MATCH(AM$17,$AK$17:$BB$17,0))*INDEX($10:$13,MATCH($O332,$R$10:$R$13,0),COLUMN())</f>
        <v>3.8946201539000003E-5</v>
      </c>
      <c r="AN332" s="1050" cm="1">
        <f t="array" aca="1" ref="AN332" ca="1">INDEX(OFFSET($AK$19,MATCH($B332,$B$19:$B$150,0)-1,0,COUNTA($B$19:$B$24),COUNTA($AK$17:$BB$17)),MATCH($F332,$F$19:$F$24,0),MATCH(AN$17,$AK$17:$BB$17,0))*INDEX($10:$13,MATCH($O332,$R$10:$R$13,0),COLUMN())</f>
        <v>4.6883962449999997E-4</v>
      </c>
      <c r="AO332" s="1050" cm="1">
        <f t="array" aca="1" ref="AO332" ca="1">INDEX(OFFSET($AK$19,MATCH($B332,$B$19:$B$150,0)-1,0,COUNTA($B$19:$B$24),COUNTA($AK$17:$BB$17)),MATCH($F332,$F$19:$F$24,0),MATCH(AO$17,$AK$17:$BB$17,0))*INDEX($10:$13,MATCH($O332,$R$10:$R$13,0),COLUMN())</f>
        <v>2.2456356608000001E-2</v>
      </c>
      <c r="AP332" s="1050" cm="1">
        <f t="array" aca="1" ref="AP332" ca="1">INDEX(OFFSET($AK$19,MATCH($B332,$B$19:$B$150,0)-1,0,COUNTA($B$19:$B$24),COUNTA($AK$17:$BB$17)),MATCH($F332,$F$19:$F$24,0),MATCH(AP$17,$AK$17:$BB$17,0))*INDEX($10:$13,MATCH($O332,$R$10:$R$13,0),COLUMN())</f>
        <v>1.8729604039999997E-2</v>
      </c>
      <c r="AQ332" s="1050" cm="1">
        <f t="array" aca="1" ref="AQ332" ca="1">INDEX(OFFSET($AK$19,MATCH($B332,$B$19:$B$150,0)-1,0,COUNTA($B$19:$B$24),COUNTA($AK$17:$BB$17)),MATCH($F332,$F$19:$F$24,0),MATCH(AQ$17,$AK$17:$BB$17,0))*INDEX($10:$13,MATCH($O332,$R$10:$R$13,0),COLUMN())</f>
        <v>1.4612032404000001E-4</v>
      </c>
      <c r="AR332" s="1050" cm="1">
        <f t="array" aca="1" ref="AR332" ca="1">INDEX(OFFSET($AK$19,MATCH($B332,$B$19:$B$150,0)-1,0,COUNTA($B$19:$B$24),COUNTA($AK$17:$BB$17)),MATCH($F332,$F$19:$F$24,0),MATCH(AR$17,$AK$17:$BB$17,0))*INDEX($10:$13,MATCH($O332,$R$10:$R$13,0),COLUMN())</f>
        <v>5.6988218459999998E-3</v>
      </c>
      <c r="AS332" s="1050" cm="1">
        <f t="array" aca="1" ref="AS332" ca="1">INDEX(OFFSET($AK$19,MATCH($B332,$B$19:$B$150,0)-1,0,COUNTA($B$19:$B$24),COUNTA($AK$17:$BB$17)),MATCH($F332,$F$19:$F$24,0),MATCH(AS$17,$AK$17:$BB$17,0))*INDEX($10:$13,MATCH($O332,$R$10:$R$13,0),COLUMN())</f>
        <v>2.1305003609999999E-3</v>
      </c>
      <c r="AT332" s="1050" cm="1">
        <f t="array" aca="1" ref="AT332" ca="1">INDEX(OFFSET($AK$19,MATCH($B332,$B$19:$B$150,0)-1,0,COUNTA($B$19:$B$24),COUNTA($AK$17:$BB$17)),MATCH($F332,$F$19:$F$24,0),MATCH(AT$17,$AK$17:$BB$17,0))*INDEX($10:$13,MATCH($O332,$R$10:$R$13,0),COLUMN())</f>
        <v>3.2596771887E-6</v>
      </c>
      <c r="AU332" s="1050" cm="1">
        <f t="array" aca="1" ref="AU332" ca="1">INDEX(OFFSET($AK$19,MATCH($B332,$B$19:$B$150,0)-1,0,COUNTA($B$19:$B$24),COUNTA($AK$17:$BB$17)),MATCH($F332,$F$19:$F$24,0),MATCH(AU$17,$AK$17:$BB$17,0))*INDEX($10:$13,MATCH($O332,$R$10:$R$13,0),COLUMN())</f>
        <v>6.0530528561000005E-7</v>
      </c>
      <c r="AV332" s="1050" cm="1">
        <f t="array" aca="1" ref="AV332" ca="1">INDEX(OFFSET($AK$19,MATCH($B332,$B$19:$B$150,0)-1,0,COUNTA($B$19:$B$24),COUNTA($AK$17:$BB$17)),MATCH($F332,$F$19:$F$24,0),MATCH(AV$17,$AK$17:$BB$17,0))*INDEX($10:$13,MATCH($O332,$R$10:$R$13,0),COLUMN())</f>
        <v>3.9504509488999997E-3</v>
      </c>
      <c r="AW332" s="1050" cm="1">
        <f t="array" aca="1" ref="AW332" ca="1">INDEX(OFFSET($AK$19,MATCH($B332,$B$19:$B$150,0)-1,0,COUNTA($B$19:$B$24),COUNTA($AK$17:$BB$17)),MATCH($F332,$F$19:$F$24,0),MATCH(AW$17,$AK$17:$BB$17,0))*INDEX($10:$13,MATCH($O332,$R$10:$R$13,0),COLUMN())</f>
        <v>8.7196775250000011E-2</v>
      </c>
      <c r="AX332" s="1050" cm="1">
        <f t="array" aca="1" ref="AX332" ca="1">INDEX(OFFSET($AK$19,MATCH($B332,$B$19:$B$150,0)-1,0,COUNTA($B$19:$B$24),COUNTA($AK$17:$BB$17)),MATCH($F332,$F$19:$F$24,0),MATCH(AX$17,$AK$17:$BB$17,0))*INDEX($10:$13,MATCH($O332,$R$10:$R$13,0),COLUMN())</f>
        <v>2.3416667885000002E-8</v>
      </c>
      <c r="AY332" s="1050" cm="1">
        <f t="array" aca="1" ref="AY332" ca="1">INDEX(OFFSET($AK$19,MATCH($B332,$B$19:$B$150,0)-1,0,COUNTA($B$19:$B$24),COUNTA($AK$17:$BB$17)),MATCH($F332,$F$19:$F$24,0),MATCH(AY$17,$AK$17:$BB$17,0))*INDEX($10:$13,MATCH($O332,$R$10:$R$13,0),COLUMN())</f>
        <v>0</v>
      </c>
      <c r="AZ332" s="1050" cm="1">
        <f t="array" aca="1" ref="AZ332" ca="1">INDEX(OFFSET($AK$19,MATCH($B332,$B$19:$B$150,0)-1,0,COUNTA($B$19:$B$24),COUNTA($AK$17:$BB$17)),MATCH($F332,$F$19:$F$24,0),MATCH(AZ$17,$AK$17:$BB$17,0))*INDEX($10:$13,MATCH($O332,$R$10:$R$13,0),COLUMN())</f>
        <v>0</v>
      </c>
      <c r="BA332" s="1050" cm="1">
        <f t="array" aca="1" ref="BA332" ca="1">INDEX(OFFSET($AK$19,MATCH($B332,$B$19:$B$150,0)-1,0,COUNTA($B$19:$B$24),COUNTA($AK$17:$BB$17)),MATCH($F332,$F$19:$F$24,0),MATCH(BA$17,$AK$17:$BB$17,0))*INDEX($10:$13,MATCH($O332,$R$10:$R$13,0),COLUMN())</f>
        <v>0</v>
      </c>
      <c r="BB332" s="1051" cm="1">
        <f t="array" aca="1" ref="BB332" ca="1">INDEX(OFFSET($AK$19,MATCH($B332,$B$19:$B$150,0)-1,0,COUNTA($B$19:$B$24),COUNTA($AK$17:$BB$17)),MATCH($F332,$F$19:$F$24,0),MATCH(BB$17,$AK$17:$BB$17,0))*INDEX($10:$13,MATCH($O332,$R$10:$R$13,0),COLUMN())</f>
        <v>0</v>
      </c>
      <c r="BC332" s="1053">
        <f t="shared" ca="1" si="166"/>
        <v>8.7196798666667893E-2</v>
      </c>
      <c r="BE332" s="1"/>
      <c r="BF332" s="1"/>
      <c r="BG332" s="1"/>
      <c r="BH332" s="1"/>
      <c r="BI332" s="1"/>
      <c r="BJ332" s="1"/>
      <c r="BK332" s="1"/>
      <c r="BL332" s="1"/>
      <c r="BM332" s="1"/>
      <c r="BN332" s="1"/>
      <c r="BO332" s="1"/>
      <c r="BP332" s="1"/>
      <c r="BQ332" s="1"/>
      <c r="BR332" s="1"/>
      <c r="BS332" s="1"/>
      <c r="BT332" s="1"/>
      <c r="BU332" s="1"/>
      <c r="BV332" s="1"/>
      <c r="BW332" s="1"/>
      <c r="BX332" s="1"/>
      <c r="BY332" s="1"/>
      <c r="BZ332" s="1"/>
    </row>
    <row r="333" spans="2:78" ht="12" customHeight="1" outlineLevel="1" x14ac:dyDescent="0.25">
      <c r="B333" s="88" t="s">
        <v>104</v>
      </c>
      <c r="C333" s="88" t="s">
        <v>121</v>
      </c>
      <c r="D333" s="89" t="s">
        <v>137</v>
      </c>
      <c r="E333" s="89" t="s">
        <v>140</v>
      </c>
      <c r="F333" s="90" t="s">
        <v>92</v>
      </c>
      <c r="G333" s="18" t="s">
        <v>126</v>
      </c>
      <c r="H333" s="91" t="s">
        <v>127</v>
      </c>
      <c r="I333" s="92" t="s">
        <v>127</v>
      </c>
      <c r="J333" s="142">
        <v>4.4622420200000006</v>
      </c>
      <c r="K333" s="143">
        <v>1.5016681086919641</v>
      </c>
      <c r="L333" s="144">
        <f t="shared" ca="1" si="162"/>
        <v>1.0853902945237786</v>
      </c>
      <c r="M333" s="143">
        <f t="shared" ca="1" si="163"/>
        <v>3.1315640994621008</v>
      </c>
      <c r="N333" s="143">
        <f t="shared" ca="1" si="164"/>
        <v>1.6298959907701365</v>
      </c>
      <c r="O333" s="1063" t="s">
        <v>1583</v>
      </c>
      <c r="P333" s="88"/>
      <c r="Q333" s="89"/>
      <c r="R333" s="150"/>
      <c r="S333" s="1070"/>
      <c r="T333" s="1070"/>
      <c r="U333" s="1070"/>
      <c r="V333" s="1070"/>
      <c r="W333" s="1070"/>
      <c r="X333" s="1070"/>
      <c r="Y333" s="1070"/>
      <c r="Z333" s="1070"/>
      <c r="AA333" s="1070"/>
      <c r="AB333" s="1070"/>
      <c r="AC333" s="1070"/>
      <c r="AD333" s="1070"/>
      <c r="AE333" s="1070"/>
      <c r="AF333" s="1070"/>
      <c r="AG333" s="1070"/>
      <c r="AH333" s="1070"/>
      <c r="AI333" s="1070"/>
      <c r="AJ333" s="1071"/>
      <c r="AK333" s="1048" cm="1">
        <f t="array" aca="1" ref="AK333" ca="1">INDEX(OFFSET($AK$19,MATCH($B333,$B$19:$B$150,0)-1,0,COUNTA($B$19:$B$24),COUNTA($AK$17:$BB$17)),MATCH($F333,$F$19:$F$24,0),MATCH(AK$17,$AK$17:$BB$17,0))*INDEX($10:$13,MATCH($O333,$R$10:$R$13,0),COLUMN())</f>
        <v>0.16377187905000001</v>
      </c>
      <c r="AL333" s="1046" cm="1">
        <f t="array" aca="1" ref="AL333" ca="1">INDEX(OFFSET($AK$19,MATCH($B333,$B$19:$B$150,0)-1,0,COUNTA($B$19:$B$24),COUNTA($AK$17:$BB$17)),MATCH($F333,$F$19:$F$24,0),MATCH(AL$17,$AK$17:$BB$17,0))*INDEX($10:$13,MATCH($O333,$R$10:$R$13,0),COLUMN())</f>
        <v>2.9245867344000002E-7</v>
      </c>
      <c r="AM333" s="1046" cm="1">
        <f t="array" aca="1" ref="AM333" ca="1">INDEX(OFFSET($AK$19,MATCH($B333,$B$19:$B$150,0)-1,0,COUNTA($B$19:$B$24),COUNTA($AK$17:$BB$17)),MATCH($F333,$F$19:$F$24,0),MATCH(AM$17,$AK$17:$BB$17,0))*INDEX($10:$13,MATCH($O333,$R$10:$R$13,0),COLUMN())</f>
        <v>5.4725309999999997E-4</v>
      </c>
      <c r="AN333" s="1046" cm="1">
        <f t="array" aca="1" ref="AN333" ca="1">INDEX(OFFSET($AK$19,MATCH($B333,$B$19:$B$150,0)-1,0,COUNTA($B$19:$B$24),COUNTA($AK$17:$BB$17)),MATCH($F333,$F$19:$F$24,0),MATCH(AN$17,$AK$17:$BB$17,0))*INDEX($10:$13,MATCH($O333,$R$10:$R$13,0),COLUMN())</f>
        <v>2.4527259799999998E-3</v>
      </c>
      <c r="AO333" s="1046" cm="1">
        <f t="array" aca="1" ref="AO333" ca="1">INDEX(OFFSET($AK$19,MATCH($B333,$B$19:$B$150,0)-1,0,COUNTA($B$19:$B$24),COUNTA($AK$17:$BB$17)),MATCH($F333,$F$19:$F$24,0),MATCH(AO$17,$AK$17:$BB$17,0))*INDEX($10:$13,MATCH($O333,$R$10:$R$13,0),COLUMN())</f>
        <v>9.2305878559999999E-2</v>
      </c>
      <c r="AP333" s="1046" cm="1">
        <f t="array" aca="1" ref="AP333" ca="1">INDEX(OFFSET($AK$19,MATCH($B333,$B$19:$B$150,0)-1,0,COUNTA($B$19:$B$24),COUNTA($AK$17:$BB$17)),MATCH($F333,$F$19:$F$24,0),MATCH(AP$17,$AK$17:$BB$17,0))*INDEX($10:$13,MATCH($O333,$R$10:$R$13,0),COLUMN())</f>
        <v>7.1946689150000007E-2</v>
      </c>
      <c r="AQ333" s="1046" cm="1">
        <f t="array" aca="1" ref="AQ333" ca="1">INDEX(OFFSET($AK$19,MATCH($B333,$B$19:$B$150,0)-1,0,COUNTA($B$19:$B$24),COUNTA($AK$17:$BB$17)),MATCH($F333,$F$19:$F$24,0),MATCH(AQ$17,$AK$17:$BB$17,0))*INDEX($10:$13,MATCH($O333,$R$10:$R$13,0),COLUMN())</f>
        <v>1.6001706666000002E-3</v>
      </c>
      <c r="AR333" s="1046" cm="1">
        <f t="array" aca="1" ref="AR333" ca="1">INDEX(OFFSET($AK$19,MATCH($B333,$B$19:$B$150,0)-1,0,COUNTA($B$19:$B$24),COUNTA($AK$17:$BB$17)),MATCH($F333,$F$19:$F$24,0),MATCH(AR$17,$AK$17:$BB$17,0))*INDEX($10:$13,MATCH($O333,$R$10:$R$13,0),COLUMN())</f>
        <v>3.1514768259999999E-2</v>
      </c>
      <c r="AS333" s="1046" cm="1">
        <f t="array" aca="1" ref="AS333" ca="1">INDEX(OFFSET($AK$19,MATCH($B333,$B$19:$B$150,0)-1,0,COUNTA($B$19:$B$24),COUNTA($AK$17:$BB$17)),MATCH($F333,$F$19:$F$24,0),MATCH(AS$17,$AK$17:$BB$17,0))*INDEX($10:$13,MATCH($O333,$R$10:$R$13,0),COLUMN())</f>
        <v>0.73248524447999996</v>
      </c>
      <c r="AT333" s="1046" cm="1">
        <f t="array" aca="1" ref="AT333" ca="1">INDEX(OFFSET($AK$19,MATCH($B333,$B$19:$B$150,0)-1,0,COUNTA($B$19:$B$24),COUNTA($AK$17:$BB$17)),MATCH($F333,$F$19:$F$24,0),MATCH(AT$17,$AK$17:$BB$17,0))*INDEX($10:$13,MATCH($O333,$R$10:$R$13,0),COLUMN())</f>
        <v>8.1410012499999994E-4</v>
      </c>
      <c r="AU333" s="1046" cm="1">
        <f t="array" aca="1" ref="AU333" ca="1">INDEX(OFFSET($AK$19,MATCH($B333,$B$19:$B$150,0)-1,0,COUNTA($B$19:$B$24),COUNTA($AK$17:$BB$17)),MATCH($F333,$F$19:$F$24,0),MATCH(AU$17,$AK$17:$BB$17,0))*INDEX($10:$13,MATCH($O333,$R$10:$R$13,0),COLUMN())</f>
        <v>4.7611974229999999E-5</v>
      </c>
      <c r="AV333" s="1046" cm="1">
        <f t="array" aca="1" ref="AV333" ca="1">INDEX(OFFSET($AK$19,MATCH($B333,$B$19:$B$150,0)-1,0,COUNTA($B$19:$B$24),COUNTA($AK$17:$BB$17)),MATCH($F333,$F$19:$F$24,0),MATCH(AV$17,$AK$17:$BB$17,0))*INDEX($10:$13,MATCH($O333,$R$10:$R$13,0),COLUMN())</f>
        <v>2.7577335925999997E-2</v>
      </c>
      <c r="AW333" s="1046" cm="1">
        <f t="array" aca="1" ref="AW333" ca="1">INDEX(OFFSET($AK$19,MATCH($B333,$B$19:$B$150,0)-1,0,COUNTA($B$19:$B$24),COUNTA($AK$17:$BB$17)),MATCH($F333,$F$19:$F$24,0),MATCH(AW$17,$AK$17:$BB$17,0))*INDEX($10:$13,MATCH($O333,$R$10:$R$13,0),COLUMN())</f>
        <v>0.50483151874999999</v>
      </c>
      <c r="AX333" s="1046" cm="1">
        <f t="array" aca="1" ref="AX333" ca="1">INDEX(OFFSET($AK$19,MATCH($B333,$B$19:$B$150,0)-1,0,COUNTA($B$19:$B$24),COUNTA($AK$17:$BB$17)),MATCH($F333,$F$19:$F$24,0),MATCH(AX$17,$AK$17:$BB$17,0))*INDEX($10:$13,MATCH($O333,$R$10:$R$13,0),COLUMN())</f>
        <v>5.222896328E-7</v>
      </c>
      <c r="AY333" s="1046" cm="1">
        <f t="array" aca="1" ref="AY333" ca="1">INDEX(OFFSET($AK$19,MATCH($B333,$B$19:$B$150,0)-1,0,COUNTA($B$19:$B$24),COUNTA($AK$17:$BB$17)),MATCH($F333,$F$19:$F$24,0),MATCH(AY$17,$AK$17:$BB$17,0))*INDEX($10:$13,MATCH($O333,$R$10:$R$13,0),COLUMN())</f>
        <v>0</v>
      </c>
      <c r="AZ333" s="1046" cm="1">
        <f t="array" aca="1" ref="AZ333" ca="1">INDEX(OFFSET($AK$19,MATCH($B333,$B$19:$B$150,0)-1,0,COUNTA($B$19:$B$24),COUNTA($AK$17:$BB$17)),MATCH($F333,$F$19:$F$24,0),MATCH(AZ$17,$AK$17:$BB$17,0))*INDEX($10:$13,MATCH($O333,$R$10:$R$13,0),COLUMN())</f>
        <v>0</v>
      </c>
      <c r="BA333" s="1046" cm="1">
        <f t="array" aca="1" ref="BA333" ca="1">INDEX(OFFSET($AK$19,MATCH($B333,$B$19:$B$150,0)-1,0,COUNTA($B$19:$B$24),COUNTA($AK$17:$BB$17)),MATCH($F333,$F$19:$F$24,0),MATCH(BA$17,$AK$17:$BB$17,0))*INDEX($10:$13,MATCH($O333,$R$10:$R$13,0),COLUMN())</f>
        <v>0</v>
      </c>
      <c r="BB333" s="1047" cm="1">
        <f t="array" aca="1" ref="BB333" ca="1">INDEX(OFFSET($AK$19,MATCH($B333,$B$19:$B$150,0)-1,0,COUNTA($B$19:$B$24),COUNTA($AK$17:$BB$17)),MATCH($F333,$F$19:$F$24,0),MATCH(BB$17,$AK$17:$BB$17,0))*INDEX($10:$13,MATCH($O333,$R$10:$R$13,0),COLUMN())</f>
        <v>0</v>
      </c>
      <c r="BC333" s="1049">
        <f t="shared" ca="1" si="166"/>
        <v>0.50483204103963275</v>
      </c>
      <c r="BE333" s="1"/>
      <c r="BF333" s="1"/>
      <c r="BG333" s="1"/>
      <c r="BH333" s="1"/>
      <c r="BI333" s="1"/>
      <c r="BJ333" s="1"/>
      <c r="BK333" s="1"/>
      <c r="BL333" s="1"/>
      <c r="BM333" s="1"/>
      <c r="BN333" s="1"/>
      <c r="BO333" s="1"/>
      <c r="BP333" s="1"/>
      <c r="BQ333" s="1"/>
      <c r="BR333" s="1"/>
      <c r="BS333" s="1"/>
      <c r="BT333" s="1"/>
      <c r="BU333" s="1"/>
      <c r="BV333" s="1"/>
      <c r="BW333" s="1"/>
      <c r="BX333" s="1"/>
      <c r="BY333" s="1"/>
      <c r="BZ333" s="1"/>
    </row>
    <row r="334" spans="2:78" ht="12" customHeight="1" outlineLevel="1" x14ac:dyDescent="0.25">
      <c r="B334" s="104" t="s">
        <v>104</v>
      </c>
      <c r="C334" s="104" t="s">
        <v>121</v>
      </c>
      <c r="D334" s="2" t="s">
        <v>137</v>
      </c>
      <c r="E334" s="2" t="s">
        <v>140</v>
      </c>
      <c r="F334" s="105" t="s">
        <v>122</v>
      </c>
      <c r="G334" s="27" t="s">
        <v>1579</v>
      </c>
      <c r="H334" s="106" t="s">
        <v>128</v>
      </c>
      <c r="I334" s="107" t="s">
        <v>129</v>
      </c>
      <c r="J334" s="147">
        <v>4.4622420200000006</v>
      </c>
      <c r="K334" s="148">
        <v>3.677795697780804</v>
      </c>
      <c r="L334" s="149">
        <f t="shared" ca="1" si="162"/>
        <v>0.22316325909003668</v>
      </c>
      <c r="M334" s="148">
        <f t="shared" ca="1" si="163"/>
        <v>4.4985445719648833</v>
      </c>
      <c r="N334" s="148">
        <f t="shared" ca="1" si="164"/>
        <v>0.82074887418407982</v>
      </c>
      <c r="O334" s="1062" t="s">
        <v>1583</v>
      </c>
      <c r="P334" s="104"/>
      <c r="R334" s="119"/>
      <c r="S334" s="1072"/>
      <c r="T334" s="1072"/>
      <c r="U334" s="1072"/>
      <c r="V334" s="1072"/>
      <c r="W334" s="1072"/>
      <c r="X334" s="1072"/>
      <c r="Y334" s="1072"/>
      <c r="Z334" s="1072"/>
      <c r="AA334" s="1072"/>
      <c r="AB334" s="1072"/>
      <c r="AC334" s="1072"/>
      <c r="AD334" s="1072"/>
      <c r="AE334" s="1072"/>
      <c r="AF334" s="1072"/>
      <c r="AG334" s="1072"/>
      <c r="AH334" s="1072"/>
      <c r="AI334" s="1072"/>
      <c r="AJ334" s="1073"/>
      <c r="AK334" s="1052" cm="1">
        <f t="array" aca="1" ref="AK334" ca="1">INDEX(OFFSET($AK$19,MATCH($B334,$B$19:$B$150,0)-1,0,COUNTA($B$19:$B$24),COUNTA($AK$17:$BB$17)),MATCH($F334,$F$19:$F$24,0),MATCH(AK$17,$AK$17:$BB$17,0))*INDEX($10:$13,MATCH($O334,$R$10:$R$13,0),COLUMN())</f>
        <v>0.15100366514999999</v>
      </c>
      <c r="AL334" s="1050" cm="1">
        <f t="array" aca="1" ref="AL334" ca="1">INDEX(OFFSET($AK$19,MATCH($B334,$B$19:$B$150,0)-1,0,COUNTA($B$19:$B$24),COUNTA($AK$17:$BB$17)),MATCH($F334,$F$19:$F$24,0),MATCH(AL$17,$AK$17:$BB$17,0))*INDEX($10:$13,MATCH($O334,$R$10:$R$13,0),COLUMN())</f>
        <v>1.2328068831999998E-7</v>
      </c>
      <c r="AM334" s="1050" cm="1">
        <f t="array" aca="1" ref="AM334" ca="1">INDEX(OFFSET($AK$19,MATCH($B334,$B$19:$B$150,0)-1,0,COUNTA($B$19:$B$24),COUNTA($AK$17:$BB$17)),MATCH($F334,$F$19:$F$24,0),MATCH(AM$17,$AK$17:$BB$17,0))*INDEX($10:$13,MATCH($O334,$R$10:$R$13,0),COLUMN())</f>
        <v>2.2846738646000003E-4</v>
      </c>
      <c r="AN334" s="1050" cm="1">
        <f t="array" aca="1" ref="AN334" ca="1">INDEX(OFFSET($AK$19,MATCH($B334,$B$19:$B$150,0)-1,0,COUNTA($B$19:$B$24),COUNTA($AK$17:$BB$17)),MATCH($F334,$F$19:$F$24,0),MATCH(AN$17,$AK$17:$BB$17,0))*INDEX($10:$13,MATCH($O334,$R$10:$R$13,0),COLUMN())</f>
        <v>2.4784721799999999E-3</v>
      </c>
      <c r="AO334" s="1050" cm="1">
        <f t="array" aca="1" ref="AO334" ca="1">INDEX(OFFSET($AK$19,MATCH($B334,$B$19:$B$150,0)-1,0,COUNTA($B$19:$B$24),COUNTA($AK$17:$BB$17)),MATCH($F334,$F$19:$F$24,0),MATCH(AO$17,$AK$17:$BB$17,0))*INDEX($10:$13,MATCH($O334,$R$10:$R$13,0),COLUMN())</f>
        <v>4.0882612960000002E-2</v>
      </c>
      <c r="AP334" s="1050" cm="1">
        <f t="array" aca="1" ref="AP334" ca="1">INDEX(OFFSET($AK$19,MATCH($B334,$B$19:$B$150,0)-1,0,COUNTA($B$19:$B$24),COUNTA($AK$17:$BB$17)),MATCH($F334,$F$19:$F$24,0),MATCH(AP$17,$AK$17:$BB$17,0))*INDEX($10:$13,MATCH($O334,$R$10:$R$13,0),COLUMN())</f>
        <v>2.2920791123999997E-2</v>
      </c>
      <c r="AQ334" s="1050" cm="1">
        <f t="array" aca="1" ref="AQ334" ca="1">INDEX(OFFSET($AK$19,MATCH($B334,$B$19:$B$150,0)-1,0,COUNTA($B$19:$B$24),COUNTA($AK$17:$BB$17)),MATCH($F334,$F$19:$F$24,0),MATCH(AQ$17,$AK$17:$BB$17,0))*INDEX($10:$13,MATCH($O334,$R$10:$R$13,0),COLUMN())</f>
        <v>1.5937897506E-4</v>
      </c>
      <c r="AR334" s="1050" cm="1">
        <f t="array" aca="1" ref="AR334" ca="1">INDEX(OFFSET($AK$19,MATCH($B334,$B$19:$B$150,0)-1,0,COUNTA($B$19:$B$24),COUNTA($AK$17:$BB$17)),MATCH($F334,$F$19:$F$24,0),MATCH(AR$17,$AK$17:$BB$17,0))*INDEX($10:$13,MATCH($O334,$R$10:$R$13,0),COLUMN())</f>
        <v>2.0555670021999997E-2</v>
      </c>
      <c r="AS334" s="1050" cm="1">
        <f t="array" aca="1" ref="AS334" ca="1">INDEX(OFFSET($AK$19,MATCH($B334,$B$19:$B$150,0)-1,0,COUNTA($B$19:$B$24),COUNTA($AK$17:$BB$17)),MATCH($F334,$F$19:$F$24,0),MATCH(AS$17,$AK$17:$BB$17,0))*INDEX($10:$13,MATCH($O334,$R$10:$R$13,0),COLUMN())</f>
        <v>9.454189909999999E-4</v>
      </c>
      <c r="AT334" s="1050" cm="1">
        <f t="array" aca="1" ref="AT334" ca="1">INDEX(OFFSET($AK$19,MATCH($B334,$B$19:$B$150,0)-1,0,COUNTA($B$19:$B$24),COUNTA($AK$17:$BB$17)),MATCH($F334,$F$19:$F$24,0),MATCH(AT$17,$AK$17:$BB$17,0))*INDEX($10:$13,MATCH($O334,$R$10:$R$13,0),COLUMN())</f>
        <v>1.3645753070000001E-5</v>
      </c>
      <c r="AU334" s="1050" cm="1">
        <f t="array" aca="1" ref="AU334" ca="1">INDEX(OFFSET($AK$19,MATCH($B334,$B$19:$B$150,0)-1,0,COUNTA($B$19:$B$24),COUNTA($AK$17:$BB$17)),MATCH($F334,$F$19:$F$24,0),MATCH(AU$17,$AK$17:$BB$17,0))*INDEX($10:$13,MATCH($O334,$R$10:$R$13,0),COLUMN())</f>
        <v>2.7820386609999997E-6</v>
      </c>
      <c r="AV334" s="1050" cm="1">
        <f t="array" aca="1" ref="AV334" ca="1">INDEX(OFFSET($AK$19,MATCH($B334,$B$19:$B$150,0)-1,0,COUNTA($B$19:$B$24),COUNTA($AK$17:$BB$17)),MATCH($F334,$F$19:$F$24,0),MATCH(AV$17,$AK$17:$BB$17,0))*INDEX($10:$13,MATCH($O334,$R$10:$R$13,0),COLUMN())</f>
        <v>3.8829811913999998E-3</v>
      </c>
      <c r="AW334" s="1050" cm="1">
        <f t="array" aca="1" ref="AW334" ca="1">INDEX(OFFSET($AK$19,MATCH($B334,$B$19:$B$150,0)-1,0,COUNTA($B$19:$B$24),COUNTA($AK$17:$BB$17)),MATCH($F334,$F$19:$F$24,0),MATCH(AW$17,$AK$17:$BB$17,0))*INDEX($10:$13,MATCH($O334,$R$10:$R$13,0),COLUMN())</f>
        <v>0.5776747268500001</v>
      </c>
      <c r="AX334" s="1050" cm="1">
        <f t="array" aca="1" ref="AX334" ca="1">INDEX(OFFSET($AK$19,MATCH($B334,$B$19:$B$150,0)-1,0,COUNTA($B$19:$B$24),COUNTA($AK$17:$BB$17)),MATCH($F334,$F$19:$F$24,0),MATCH(AX$17,$AK$17:$BB$17,0))*INDEX($10:$13,MATCH($O334,$R$10:$R$13,0),COLUMN())</f>
        <v>1.3828174035E-7</v>
      </c>
      <c r="AY334" s="1050" cm="1">
        <f t="array" aca="1" ref="AY334" ca="1">INDEX(OFFSET($AK$19,MATCH($B334,$B$19:$B$150,0)-1,0,COUNTA($B$19:$B$24),COUNTA($AK$17:$BB$17)),MATCH($F334,$F$19:$F$24,0),MATCH(AY$17,$AK$17:$BB$17,0))*INDEX($10:$13,MATCH($O334,$R$10:$R$13,0),COLUMN())</f>
        <v>0</v>
      </c>
      <c r="AZ334" s="1050" cm="1">
        <f t="array" aca="1" ref="AZ334" ca="1">INDEX(OFFSET($AK$19,MATCH($B334,$B$19:$B$150,0)-1,0,COUNTA($B$19:$B$24),COUNTA($AK$17:$BB$17)),MATCH($F334,$F$19:$F$24,0),MATCH(AZ$17,$AK$17:$BB$17,0))*INDEX($10:$13,MATCH($O334,$R$10:$R$13,0),COLUMN())</f>
        <v>0</v>
      </c>
      <c r="BA334" s="1050" cm="1">
        <f t="array" aca="1" ref="BA334" ca="1">INDEX(OFFSET($AK$19,MATCH($B334,$B$19:$B$150,0)-1,0,COUNTA($B$19:$B$24),COUNTA($AK$17:$BB$17)),MATCH($F334,$F$19:$F$24,0),MATCH(BA$17,$AK$17:$BB$17,0))*INDEX($10:$13,MATCH($O334,$R$10:$R$13,0),COLUMN())</f>
        <v>0</v>
      </c>
      <c r="BB334" s="1051" cm="1">
        <f t="array" aca="1" ref="BB334" ca="1">INDEX(OFFSET($AK$19,MATCH($B334,$B$19:$B$150,0)-1,0,COUNTA($B$19:$B$24),COUNTA($AK$17:$BB$17)),MATCH($F334,$F$19:$F$24,0),MATCH(BB$17,$AK$17:$BB$17,0))*INDEX($10:$13,MATCH($O334,$R$10:$R$13,0),COLUMN())</f>
        <v>0</v>
      </c>
      <c r="BC334" s="1053">
        <f t="shared" ca="1" si="166"/>
        <v>0.57767486513174049</v>
      </c>
      <c r="BE334" s="1"/>
      <c r="BF334" s="1"/>
      <c r="BG334" s="1"/>
      <c r="BH334" s="1"/>
      <c r="BI334" s="1"/>
      <c r="BJ334" s="1"/>
      <c r="BK334" s="1"/>
      <c r="BL334" s="1"/>
      <c r="BM334" s="1"/>
      <c r="BN334" s="1"/>
      <c r="BO334" s="1"/>
      <c r="BP334" s="1"/>
      <c r="BQ334" s="1"/>
      <c r="BR334" s="1"/>
      <c r="BS334" s="1"/>
      <c r="BT334" s="1"/>
      <c r="BU334" s="1"/>
      <c r="BV334" s="1"/>
      <c r="BW334" s="1"/>
      <c r="BX334" s="1"/>
      <c r="BY334" s="1"/>
      <c r="BZ334" s="1"/>
    </row>
    <row r="335" spans="2:78" ht="12" customHeight="1" outlineLevel="1" x14ac:dyDescent="0.25">
      <c r="B335" s="104" t="s">
        <v>104</v>
      </c>
      <c r="C335" s="104" t="s">
        <v>121</v>
      </c>
      <c r="D335" s="2" t="s">
        <v>137</v>
      </c>
      <c r="E335" s="2" t="s">
        <v>140</v>
      </c>
      <c r="F335" s="105" t="s">
        <v>93</v>
      </c>
      <c r="G335" s="27" t="s">
        <v>1578</v>
      </c>
      <c r="H335" s="106" t="s">
        <v>130</v>
      </c>
      <c r="I335" s="107" t="s">
        <v>129</v>
      </c>
      <c r="J335" s="147">
        <v>4.4622420200000006</v>
      </c>
      <c r="K335" s="148">
        <v>3.677795697780804</v>
      </c>
      <c r="L335" s="149">
        <f t="shared" ca="1" si="162"/>
        <v>0.29941766283718013</v>
      </c>
      <c r="M335" s="148">
        <f t="shared" ca="1" si="163"/>
        <v>4.7789926900029682</v>
      </c>
      <c r="N335" s="148">
        <f t="shared" ca="1" si="164"/>
        <v>1.1011969922221645</v>
      </c>
      <c r="O335" s="1062" t="s">
        <v>1583</v>
      </c>
      <c r="P335" s="104"/>
      <c r="R335" s="119"/>
      <c r="S335" s="1072"/>
      <c r="T335" s="1072"/>
      <c r="U335" s="1072"/>
      <c r="V335" s="1072"/>
      <c r="W335" s="1072"/>
      <c r="X335" s="1072"/>
      <c r="Y335" s="1072"/>
      <c r="Z335" s="1072"/>
      <c r="AA335" s="1072"/>
      <c r="AB335" s="1072"/>
      <c r="AC335" s="1072"/>
      <c r="AD335" s="1072"/>
      <c r="AE335" s="1072"/>
      <c r="AF335" s="1072"/>
      <c r="AG335" s="1072"/>
      <c r="AH335" s="1072"/>
      <c r="AI335" s="1072"/>
      <c r="AJ335" s="1073"/>
      <c r="AK335" s="1052" cm="1">
        <f t="array" aca="1" ref="AK335" ca="1">INDEX(OFFSET($AK$19,MATCH($B335,$B$19:$B$150,0)-1,0,COUNTA($B$19:$B$24),COUNTA($AK$17:$BB$17)),MATCH($F335,$F$19:$F$24,0),MATCH(AK$17,$AK$17:$BB$17,0))*INDEX($10:$13,MATCH($O335,$R$10:$R$13,0),COLUMN())</f>
        <v>0.20247442800000001</v>
      </c>
      <c r="AL335" s="1050" cm="1">
        <f t="array" aca="1" ref="AL335" ca="1">INDEX(OFFSET($AK$19,MATCH($B335,$B$19:$B$150,0)-1,0,COUNTA($B$19:$B$24),COUNTA($AK$17:$BB$17)),MATCH($F335,$F$19:$F$24,0),MATCH(AL$17,$AK$17:$BB$17,0))*INDEX($10:$13,MATCH($O335,$R$10:$R$13,0),COLUMN())</f>
        <v>1.6523214111999999E-7</v>
      </c>
      <c r="AM335" s="1050" cm="1">
        <f t="array" aca="1" ref="AM335" ca="1">INDEX(OFFSET($AK$19,MATCH($B335,$B$19:$B$150,0)-1,0,COUNTA($B$19:$B$24),COUNTA($AK$17:$BB$17)),MATCH($F335,$F$19:$F$24,0),MATCH(AM$17,$AK$17:$BB$17,0))*INDEX($10:$13,MATCH($O335,$R$10:$R$13,0),COLUMN())</f>
        <v>3.0621191088000003E-4</v>
      </c>
      <c r="AN335" s="1050" cm="1">
        <f t="array" aca="1" ref="AN335" ca="1">INDEX(OFFSET($AK$19,MATCH($B335,$B$19:$B$150,0)-1,0,COUNTA($B$19:$B$24),COUNTA($AK$17:$BB$17)),MATCH($F335,$F$19:$F$24,0),MATCH(AN$17,$AK$17:$BB$17,0))*INDEX($10:$13,MATCH($O335,$R$10:$R$13,0),COLUMN())</f>
        <v>3.3208176249999999E-3</v>
      </c>
      <c r="AO335" s="1050" cm="1">
        <f t="array" aca="1" ref="AO335" ca="1">INDEX(OFFSET($AK$19,MATCH($B335,$B$19:$B$150,0)-1,0,COUNTA($B$19:$B$24),COUNTA($AK$17:$BB$17)),MATCH($F335,$F$19:$F$24,0),MATCH(AO$17,$AK$17:$BB$17,0))*INDEX($10:$13,MATCH($O335,$R$10:$R$13,0),COLUMN())</f>
        <v>5.4805131920000007E-2</v>
      </c>
      <c r="AP335" s="1050" cm="1">
        <f t="array" aca="1" ref="AP335" ca="1">INDEX(OFFSET($AK$19,MATCH($B335,$B$19:$B$150,0)-1,0,COUNTA($B$19:$B$24),COUNTA($AK$17:$BB$17)),MATCH($F335,$F$19:$F$24,0),MATCH(AP$17,$AK$17:$BB$17,0))*INDEX($10:$13,MATCH($O335,$R$10:$R$13,0),COLUMN())</f>
        <v>3.0735222021E-2</v>
      </c>
      <c r="AQ335" s="1050" cm="1">
        <f t="array" aca="1" ref="AQ335" ca="1">INDEX(OFFSET($AK$19,MATCH($B335,$B$19:$B$150,0)-1,0,COUNTA($B$19:$B$24),COUNTA($AK$17:$BB$17)),MATCH($F335,$F$19:$F$24,0),MATCH(AQ$17,$AK$17:$BB$17,0))*INDEX($10:$13,MATCH($O335,$R$10:$R$13,0),COLUMN())</f>
        <v>2.1377789100000003E-4</v>
      </c>
      <c r="AR335" s="1050" cm="1">
        <f t="array" aca="1" ref="AR335" ca="1">INDEX(OFFSET($AK$19,MATCH($B335,$B$19:$B$150,0)-1,0,COUNTA($B$19:$B$24),COUNTA($AK$17:$BB$17)),MATCH($F335,$F$19:$F$24,0),MATCH(AR$17,$AK$17:$BB$17,0))*INDEX($10:$13,MATCH($O335,$R$10:$R$13,0),COLUMN())</f>
        <v>2.7571609833999998E-2</v>
      </c>
      <c r="AS335" s="1050" cm="1">
        <f t="array" aca="1" ref="AS335" ca="1">INDEX(OFFSET($AK$19,MATCH($B335,$B$19:$B$150,0)-1,0,COUNTA($B$19:$B$24),COUNTA($AK$17:$BB$17)),MATCH($F335,$F$19:$F$24,0),MATCH(AS$17,$AK$17:$BB$17,0))*INDEX($10:$13,MATCH($O335,$R$10:$R$13,0),COLUMN())</f>
        <v>1.4388195503E-3</v>
      </c>
      <c r="AT335" s="1050" cm="1">
        <f t="array" aca="1" ref="AT335" ca="1">INDEX(OFFSET($AK$19,MATCH($B335,$B$19:$B$150,0)-1,0,COUNTA($B$19:$B$24),COUNTA($AK$17:$BB$17)),MATCH($F335,$F$19:$F$24,0),MATCH(AT$17,$AK$17:$BB$17,0))*INDEX($10:$13,MATCH($O335,$R$10:$R$13,0),COLUMN())</f>
        <v>1.8365654068000002E-5</v>
      </c>
      <c r="AU335" s="1050" cm="1">
        <f t="array" aca="1" ref="AU335" ca="1">INDEX(OFFSET($AK$19,MATCH($B335,$B$19:$B$150,0)-1,0,COUNTA($B$19:$B$24),COUNTA($AK$17:$BB$17)),MATCH($F335,$F$19:$F$24,0),MATCH(AU$17,$AK$17:$BB$17,0))*INDEX($10:$13,MATCH($O335,$R$10:$R$13,0),COLUMN())</f>
        <v>3.7375814756000003E-6</v>
      </c>
      <c r="AV335" s="1050" cm="1">
        <f t="array" aca="1" ref="AV335" ca="1">INDEX(OFFSET($AK$19,MATCH($B335,$B$19:$B$150,0)-1,0,COUNTA($B$19:$B$24),COUNTA($AK$17:$BB$17)),MATCH($F335,$F$19:$F$24,0),MATCH(AV$17,$AK$17:$BB$17,0))*INDEX($10:$13,MATCH($O335,$R$10:$R$13,0),COLUMN())</f>
        <v>5.4555440908999999E-3</v>
      </c>
      <c r="AW335" s="1050" cm="1">
        <f t="array" aca="1" ref="AW335" ca="1">INDEX(OFFSET($AK$19,MATCH($B335,$B$19:$B$150,0)-1,0,COUNTA($B$19:$B$24),COUNTA($AK$17:$BB$17)),MATCH($F335,$F$19:$F$24,0),MATCH(AW$17,$AK$17:$BB$17,0))*INDEX($10:$13,MATCH($O335,$R$10:$R$13,0),COLUMN())</f>
        <v>0.77485297565</v>
      </c>
      <c r="AX335" s="1050" cm="1">
        <f t="array" aca="1" ref="AX335" ca="1">INDEX(OFFSET($AK$19,MATCH($B335,$B$19:$B$150,0)-1,0,COUNTA($B$19:$B$24),COUNTA($AK$17:$BB$17)),MATCH($F335,$F$19:$F$24,0),MATCH(AX$17,$AK$17:$BB$17,0))*INDEX($10:$13,MATCH($O335,$R$10:$R$13,0),COLUMN())</f>
        <v>1.8526139970000002E-7</v>
      </c>
      <c r="AY335" s="1050" cm="1">
        <f t="array" aca="1" ref="AY335" ca="1">INDEX(OFFSET($AK$19,MATCH($B335,$B$19:$B$150,0)-1,0,COUNTA($B$19:$B$24),COUNTA($AK$17:$BB$17)),MATCH($F335,$F$19:$F$24,0),MATCH(AY$17,$AK$17:$BB$17,0))*INDEX($10:$13,MATCH($O335,$R$10:$R$13,0),COLUMN())</f>
        <v>0</v>
      </c>
      <c r="AZ335" s="1050" cm="1">
        <f t="array" aca="1" ref="AZ335" ca="1">INDEX(OFFSET($AK$19,MATCH($B335,$B$19:$B$150,0)-1,0,COUNTA($B$19:$B$24),COUNTA($AK$17:$BB$17)),MATCH($F335,$F$19:$F$24,0),MATCH(AZ$17,$AK$17:$BB$17,0))*INDEX($10:$13,MATCH($O335,$R$10:$R$13,0),COLUMN())</f>
        <v>0</v>
      </c>
      <c r="BA335" s="1050" cm="1">
        <f t="array" aca="1" ref="BA335" ca="1">INDEX(OFFSET($AK$19,MATCH($B335,$B$19:$B$150,0)-1,0,COUNTA($B$19:$B$24),COUNTA($AK$17:$BB$17)),MATCH($F335,$F$19:$F$24,0),MATCH(BA$17,$AK$17:$BB$17,0))*INDEX($10:$13,MATCH($O335,$R$10:$R$13,0),COLUMN())</f>
        <v>0</v>
      </c>
      <c r="BB335" s="1051" cm="1">
        <f t="array" aca="1" ref="BB335" ca="1">INDEX(OFFSET($AK$19,MATCH($B335,$B$19:$B$150,0)-1,0,COUNTA($B$19:$B$24),COUNTA($AK$17:$BB$17)),MATCH($F335,$F$19:$F$24,0),MATCH(BB$17,$AK$17:$BB$17,0))*INDEX($10:$13,MATCH($O335,$R$10:$R$13,0),COLUMN())</f>
        <v>0</v>
      </c>
      <c r="BC335" s="1053">
        <f t="shared" ca="1" si="166"/>
        <v>0.77485316091139966</v>
      </c>
      <c r="BE335" s="1"/>
      <c r="BF335" s="1"/>
      <c r="BG335" s="1"/>
      <c r="BH335" s="1"/>
      <c r="BI335" s="1"/>
      <c r="BJ335" s="1"/>
      <c r="BK335" s="1"/>
      <c r="BL335" s="1"/>
      <c r="BM335" s="1"/>
      <c r="BN335" s="1"/>
      <c r="BO335" s="1"/>
      <c r="BP335" s="1"/>
      <c r="BQ335" s="1"/>
      <c r="BR335" s="1"/>
      <c r="BS335" s="1"/>
      <c r="BT335" s="1"/>
      <c r="BU335" s="1"/>
      <c r="BV335" s="1"/>
      <c r="BW335" s="1"/>
      <c r="BX335" s="1"/>
      <c r="BY335" s="1"/>
      <c r="BZ335" s="1"/>
    </row>
    <row r="336" spans="2:78" ht="12" customHeight="1" outlineLevel="1" x14ac:dyDescent="0.25">
      <c r="B336" s="104" t="s">
        <v>104</v>
      </c>
      <c r="C336" s="104" t="s">
        <v>121</v>
      </c>
      <c r="D336" s="2" t="s">
        <v>137</v>
      </c>
      <c r="E336" s="2" t="s">
        <v>140</v>
      </c>
      <c r="F336" s="105" t="s">
        <v>94</v>
      </c>
      <c r="G336" s="27" t="s">
        <v>1580</v>
      </c>
      <c r="H336" s="106" t="s">
        <v>131</v>
      </c>
      <c r="I336" s="107" t="s">
        <v>129</v>
      </c>
      <c r="J336" s="147">
        <v>4.4622420200000006</v>
      </c>
      <c r="K336" s="148">
        <v>3.677795697780804</v>
      </c>
      <c r="L336" s="149">
        <f t="shared" ca="1" si="162"/>
        <v>0.17780901238244987</v>
      </c>
      <c r="M336" s="148">
        <f t="shared" ca="1" si="163"/>
        <v>4.3317409185476317</v>
      </c>
      <c r="N336" s="148">
        <f t="shared" ca="1" si="164"/>
        <v>0.65394522076682782</v>
      </c>
      <c r="O336" s="1062" t="s">
        <v>1583</v>
      </c>
      <c r="P336" s="104"/>
      <c r="R336" s="119"/>
      <c r="S336" s="1072"/>
      <c r="T336" s="1072"/>
      <c r="U336" s="1072"/>
      <c r="V336" s="1072"/>
      <c r="W336" s="1072"/>
      <c r="X336" s="1072"/>
      <c r="Y336" s="1072"/>
      <c r="Z336" s="1072"/>
      <c r="AA336" s="1072"/>
      <c r="AB336" s="1072"/>
      <c r="AC336" s="1072"/>
      <c r="AD336" s="1072"/>
      <c r="AE336" s="1072"/>
      <c r="AF336" s="1072"/>
      <c r="AG336" s="1072"/>
      <c r="AH336" s="1072"/>
      <c r="AI336" s="1072"/>
      <c r="AJ336" s="1073"/>
      <c r="AK336" s="1052" cm="1">
        <f t="array" aca="1" ref="AK336" ca="1">INDEX(OFFSET($AK$19,MATCH($B336,$B$19:$B$150,0)-1,0,COUNTA($B$19:$B$24),COUNTA($AK$17:$BB$17)),MATCH($F336,$F$19:$F$24,0),MATCH(AK$17,$AK$17:$BB$17,0))*INDEX($10:$13,MATCH($O336,$R$10:$R$13,0),COLUMN())</f>
        <v>0.12037876695000001</v>
      </c>
      <c r="AL336" s="1050" cm="1">
        <f t="array" aca="1" ref="AL336" ca="1">INDEX(OFFSET($AK$19,MATCH($B336,$B$19:$B$150,0)-1,0,COUNTA($B$19:$B$24),COUNTA($AK$17:$BB$17)),MATCH($F336,$F$19:$F$24,0),MATCH(AL$17,$AK$17:$BB$17,0))*INDEX($10:$13,MATCH($O336,$R$10:$R$13,0),COLUMN())</f>
        <v>9.8303923679999999E-8</v>
      </c>
      <c r="AM336" s="1050" cm="1">
        <f t="array" aca="1" ref="AM336" ca="1">INDEX(OFFSET($AK$19,MATCH($B336,$B$19:$B$150,0)-1,0,COUNTA($B$19:$B$24),COUNTA($AK$17:$BB$17)),MATCH($F336,$F$19:$F$24,0),MATCH(AM$17,$AK$17:$BB$17,0))*INDEX($10:$13,MATCH($O336,$R$10:$R$13,0),COLUMN())</f>
        <v>1.8218013747999998E-4</v>
      </c>
      <c r="AN336" s="1050" cm="1">
        <f t="array" aca="1" ref="AN336" ca="1">INDEX(OFFSET($AK$19,MATCH($B336,$B$19:$B$150,0)-1,0,COUNTA($B$19:$B$24),COUNTA($AK$17:$BB$17)),MATCH($F336,$F$19:$F$24,0),MATCH(AN$17,$AK$17:$BB$17,0))*INDEX($10:$13,MATCH($O336,$R$10:$R$13,0),COLUMN())</f>
        <v>1.9767218899999998E-3</v>
      </c>
      <c r="AO336" s="1050" cm="1">
        <f t="array" aca="1" ref="AO336" ca="1">INDEX(OFFSET($AK$19,MATCH($B336,$B$19:$B$150,0)-1,0,COUNTA($B$19:$B$24),COUNTA($AK$17:$BB$17)),MATCH($F336,$F$19:$F$24,0),MATCH(AO$17,$AK$17:$BB$17,0))*INDEX($10:$13,MATCH($O336,$R$10:$R$13,0),COLUMN())</f>
        <v>3.2595902304000002E-2</v>
      </c>
      <c r="AP336" s="1050" cm="1">
        <f t="array" aca="1" ref="AP336" ca="1">INDEX(OFFSET($AK$19,MATCH($B336,$B$19:$B$150,0)-1,0,COUNTA($B$19:$B$24),COUNTA($AK$17:$BB$17)),MATCH($F336,$F$19:$F$24,0),MATCH(AP$17,$AK$17:$BB$17,0))*INDEX($10:$13,MATCH($O336,$R$10:$R$13,0),COLUMN())</f>
        <v>1.8271622018999997E-2</v>
      </c>
      <c r="AQ336" s="1050" cm="1">
        <f t="array" aca="1" ref="AQ336" ca="1">INDEX(OFFSET($AK$19,MATCH($B336,$B$19:$B$150,0)-1,0,COUNTA($B$19:$B$24),COUNTA($AK$17:$BB$17)),MATCH($F336,$F$19:$F$24,0),MATCH(AQ$17,$AK$17:$BB$17,0))*INDEX($10:$13,MATCH($O336,$R$10:$R$13,0),COLUMN())</f>
        <v>1.2702847680000001E-4</v>
      </c>
      <c r="AR336" s="1050" cm="1">
        <f t="array" aca="1" ref="AR336" ca="1">INDEX(OFFSET($AK$19,MATCH($B336,$B$19:$B$150,0)-1,0,COUNTA($B$19:$B$24),COUNTA($AK$17:$BB$17)),MATCH($F336,$F$19:$F$24,0),MATCH(AR$17,$AK$17:$BB$17,0))*INDEX($10:$13,MATCH($O336,$R$10:$R$13,0),COLUMN())</f>
        <v>1.6383341293999997E-2</v>
      </c>
      <c r="AS336" s="1050" cm="1">
        <f t="array" aca="1" ref="AS336" ca="1">INDEX(OFFSET($AK$19,MATCH($B336,$B$19:$B$150,0)-1,0,COUNTA($B$19:$B$24),COUNTA($AK$17:$BB$17)),MATCH($F336,$F$19:$F$24,0),MATCH(AS$17,$AK$17:$BB$17,0))*INDEX($10:$13,MATCH($O336,$R$10:$R$13,0),COLUMN())</f>
        <v>6.5208155825999996E-4</v>
      </c>
      <c r="AT336" s="1050" cm="1">
        <f t="array" aca="1" ref="AT336" ca="1">INDEX(OFFSET($AK$19,MATCH($B336,$B$19:$B$150,0)-1,0,COUNTA($B$19:$B$24),COUNTA($AK$17:$BB$17)),MATCH($F336,$F$19:$F$24,0),MATCH(AT$17,$AK$17:$BB$17,0))*INDEX($10:$13,MATCH($O336,$R$10:$R$13,0),COLUMN())</f>
        <v>1.0838825367E-5</v>
      </c>
      <c r="AU336" s="1050" cm="1">
        <f t="array" aca="1" ref="AU336" ca="1">INDEX(OFFSET($AK$19,MATCH($B336,$B$19:$B$150,0)-1,0,COUNTA($B$19:$B$24),COUNTA($AK$17:$BB$17)),MATCH($F336,$F$19:$F$24,0),MATCH(AU$17,$AK$17:$BB$17,0))*INDEX($10:$13,MATCH($O336,$R$10:$R$13,0),COLUMN())</f>
        <v>2.2136335594E-6</v>
      </c>
      <c r="AV336" s="1050" cm="1">
        <f t="array" aca="1" ref="AV336" ca="1">INDEX(OFFSET($AK$19,MATCH($B336,$B$19:$B$150,0)-1,0,COUNTA($B$19:$B$24),COUNTA($AK$17:$BB$17)),MATCH($F336,$F$19:$F$24,0),MATCH(AV$17,$AK$17:$BB$17,0))*INDEX($10:$13,MATCH($O336,$R$10:$R$13,0),COLUMN())</f>
        <v>2.9478637804999995E-3</v>
      </c>
      <c r="AW336" s="1050" cm="1">
        <f t="array" aca="1" ref="AW336" ca="1">INDEX(OFFSET($AK$19,MATCH($B336,$B$19:$B$150,0)-1,0,COUNTA($B$19:$B$24),COUNTA($AK$17:$BB$17)),MATCH($F336,$F$19:$F$24,0),MATCH(AW$17,$AK$17:$BB$17,0))*INDEX($10:$13,MATCH($O336,$R$10:$R$13,0),COLUMN())</f>
        <v>0.46041645130000003</v>
      </c>
      <c r="AX336" s="1050" cm="1">
        <f t="array" aca="1" ref="AX336" ca="1">INDEX(OFFSET($AK$19,MATCH($B336,$B$19:$B$150,0)-1,0,COUNTA($B$19:$B$24),COUNTA($AK$17:$BB$17)),MATCH($F336,$F$19:$F$24,0),MATCH(AX$17,$AK$17:$BB$17,0))*INDEX($10:$13,MATCH($O336,$R$10:$R$13,0),COLUMN())</f>
        <v>1.1029393765000001E-7</v>
      </c>
      <c r="AY336" s="1050" cm="1">
        <f t="array" aca="1" ref="AY336" ca="1">INDEX(OFFSET($AK$19,MATCH($B336,$B$19:$B$150,0)-1,0,COUNTA($B$19:$B$24),COUNTA($AK$17:$BB$17)),MATCH($F336,$F$19:$F$24,0),MATCH(AY$17,$AK$17:$BB$17,0))*INDEX($10:$13,MATCH($O336,$R$10:$R$13,0),COLUMN())</f>
        <v>0</v>
      </c>
      <c r="AZ336" s="1050" cm="1">
        <f t="array" aca="1" ref="AZ336" ca="1">INDEX(OFFSET($AK$19,MATCH($B336,$B$19:$B$150,0)-1,0,COUNTA($B$19:$B$24),COUNTA($AK$17:$BB$17)),MATCH($F336,$F$19:$F$24,0),MATCH(AZ$17,$AK$17:$BB$17,0))*INDEX($10:$13,MATCH($O336,$R$10:$R$13,0),COLUMN())</f>
        <v>0</v>
      </c>
      <c r="BA336" s="1050" cm="1">
        <f t="array" aca="1" ref="BA336" ca="1">INDEX(OFFSET($AK$19,MATCH($B336,$B$19:$B$150,0)-1,0,COUNTA($B$19:$B$24),COUNTA($AK$17:$BB$17)),MATCH($F336,$F$19:$F$24,0),MATCH(BA$17,$AK$17:$BB$17,0))*INDEX($10:$13,MATCH($O336,$R$10:$R$13,0),COLUMN())</f>
        <v>0</v>
      </c>
      <c r="BB336" s="1051" cm="1">
        <f t="array" aca="1" ref="BB336" ca="1">INDEX(OFFSET($AK$19,MATCH($B336,$B$19:$B$150,0)-1,0,COUNTA($B$19:$B$24),COUNTA($AK$17:$BB$17)),MATCH($F336,$F$19:$F$24,0),MATCH(BB$17,$AK$17:$BB$17,0))*INDEX($10:$13,MATCH($O336,$R$10:$R$13,0),COLUMN())</f>
        <v>0</v>
      </c>
      <c r="BC336" s="1053">
        <f t="shared" ca="1" si="166"/>
        <v>0.46041656159393768</v>
      </c>
      <c r="BE336" s="1"/>
      <c r="BF336" s="1"/>
      <c r="BG336" s="1"/>
      <c r="BH336" s="1"/>
      <c r="BI336" s="1"/>
      <c r="BJ336" s="1"/>
      <c r="BK336" s="1"/>
      <c r="BL336" s="1"/>
      <c r="BM336" s="1"/>
      <c r="BN336" s="1"/>
      <c r="BO336" s="1"/>
      <c r="BP336" s="1"/>
      <c r="BQ336" s="1"/>
      <c r="BR336" s="1"/>
      <c r="BS336" s="1"/>
      <c r="BT336" s="1"/>
      <c r="BU336" s="1"/>
      <c r="BV336" s="1"/>
      <c r="BW336" s="1"/>
      <c r="BX336" s="1"/>
      <c r="BY336" s="1"/>
      <c r="BZ336" s="1"/>
    </row>
    <row r="337" spans="2:78" ht="12" customHeight="1" outlineLevel="1" x14ac:dyDescent="0.25">
      <c r="B337" s="104" t="s">
        <v>104</v>
      </c>
      <c r="C337" s="104" t="s">
        <v>121</v>
      </c>
      <c r="D337" s="2" t="s">
        <v>137</v>
      </c>
      <c r="E337" s="2" t="s">
        <v>140</v>
      </c>
      <c r="F337" s="105" t="s">
        <v>95</v>
      </c>
      <c r="G337" s="27" t="s">
        <v>1581</v>
      </c>
      <c r="H337" s="106" t="s">
        <v>128</v>
      </c>
      <c r="I337" s="107" t="s">
        <v>127</v>
      </c>
      <c r="J337" s="147">
        <v>4.4622420200000006</v>
      </c>
      <c r="K337" s="148">
        <v>3.677795697780804</v>
      </c>
      <c r="L337" s="149">
        <f t="shared" ca="1" si="162"/>
        <v>0.27086686590029246</v>
      </c>
      <c r="M337" s="148">
        <f t="shared" ca="1" si="163"/>
        <v>4.67398869186027</v>
      </c>
      <c r="N337" s="148">
        <f t="shared" ca="1" si="164"/>
        <v>0.9961929940794656</v>
      </c>
      <c r="O337" s="1062" t="s">
        <v>1583</v>
      </c>
      <c r="P337" s="104"/>
      <c r="R337" s="119"/>
      <c r="S337" s="1072"/>
      <c r="T337" s="1072"/>
      <c r="U337" s="1072"/>
      <c r="V337" s="1072"/>
      <c r="W337" s="1072"/>
      <c r="X337" s="1072"/>
      <c r="Y337" s="1072"/>
      <c r="Z337" s="1072"/>
      <c r="AA337" s="1072"/>
      <c r="AB337" s="1072"/>
      <c r="AC337" s="1072"/>
      <c r="AD337" s="1072"/>
      <c r="AE337" s="1072"/>
      <c r="AF337" s="1072"/>
      <c r="AG337" s="1072"/>
      <c r="AH337" s="1072"/>
      <c r="AI337" s="1072"/>
      <c r="AJ337" s="1073"/>
      <c r="AK337" s="1052" cm="1">
        <f t="array" aca="1" ref="AK337" ca="1">INDEX(OFFSET($AK$19,MATCH($B337,$B$19:$B$150,0)-1,0,COUNTA($B$19:$B$24),COUNTA($AK$17:$BB$17)),MATCH($F337,$F$19:$F$24,0),MATCH(AK$17,$AK$17:$BB$17,0))*INDEX($10:$13,MATCH($O337,$R$10:$R$13,0),COLUMN())</f>
        <v>0.17187780285000001</v>
      </c>
      <c r="AL337" s="1050" cm="1">
        <f t="array" aca="1" ref="AL337" ca="1">INDEX(OFFSET($AK$19,MATCH($B337,$B$19:$B$150,0)-1,0,COUNTA($B$19:$B$24),COUNTA($AK$17:$BB$17)),MATCH($F337,$F$19:$F$24,0),MATCH(AL$17,$AK$17:$BB$17,0))*INDEX($10:$13,MATCH($O337,$R$10:$R$13,0),COLUMN())</f>
        <v>1.2436823312E-7</v>
      </c>
      <c r="AM337" s="1050" cm="1">
        <f t="array" aca="1" ref="AM337" ca="1">INDEX(OFFSET($AK$19,MATCH($B337,$B$19:$B$150,0)-1,0,COUNTA($B$19:$B$24),COUNTA($AK$17:$BB$17)),MATCH($F337,$F$19:$F$24,0),MATCH(AM$17,$AK$17:$BB$17,0))*INDEX($10:$13,MATCH($O337,$R$10:$R$13,0),COLUMN())</f>
        <v>2.3047434996000001E-4</v>
      </c>
      <c r="AN337" s="1050" cm="1">
        <f t="array" aca="1" ref="AN337" ca="1">INDEX(OFFSET($AK$19,MATCH($B337,$B$19:$B$150,0)-1,0,COUNTA($B$19:$B$24),COUNTA($AK$17:$BB$17)),MATCH($F337,$F$19:$F$24,0),MATCH(AN$17,$AK$17:$BB$17,0))*INDEX($10:$13,MATCH($O337,$R$10:$R$13,0),COLUMN())</f>
        <v>2.690568635E-3</v>
      </c>
      <c r="AO337" s="1050" cm="1">
        <f t="array" aca="1" ref="AO337" ca="1">INDEX(OFFSET($AK$19,MATCH($B337,$B$19:$B$150,0)-1,0,COUNTA($B$19:$B$24),COUNTA($AK$17:$BB$17)),MATCH($F337,$F$19:$F$24,0),MATCH(AO$17,$AK$17:$BB$17,0))*INDEX($10:$13,MATCH($O337,$R$10:$R$13,0),COLUMN())</f>
        <v>0.10193702848000001</v>
      </c>
      <c r="AP337" s="1050" cm="1">
        <f t="array" aca="1" ref="AP337" ca="1">INDEX(OFFSET($AK$19,MATCH($B337,$B$19:$B$150,0)-1,0,COUNTA($B$19:$B$24),COUNTA($AK$17:$BB$17)),MATCH($F337,$F$19:$F$24,0),MATCH(AP$17,$AK$17:$BB$17,0))*INDEX($10:$13,MATCH($O337,$R$10:$R$13,0),COLUMN())</f>
        <v>8.1041476040000004E-2</v>
      </c>
      <c r="AQ337" s="1050" cm="1">
        <f t="array" aca="1" ref="AQ337" ca="1">INDEX(OFFSET($AK$19,MATCH($B337,$B$19:$B$150,0)-1,0,COUNTA($B$19:$B$24),COUNTA($AK$17:$BB$17)),MATCH($F337,$F$19:$F$24,0),MATCH(AQ$17,$AK$17:$BB$17,0))*INDEX($10:$13,MATCH($O337,$R$10:$R$13,0),COLUMN())</f>
        <v>6.315865104E-4</v>
      </c>
      <c r="AR337" s="1050" cm="1">
        <f t="array" aca="1" ref="AR337" ca="1">INDEX(OFFSET($AK$19,MATCH($B337,$B$19:$B$150,0)-1,0,COUNTA($B$19:$B$24),COUNTA($AK$17:$BB$17)),MATCH($F337,$F$19:$F$24,0),MATCH(AR$17,$AK$17:$BB$17,0))*INDEX($10:$13,MATCH($O337,$R$10:$R$13,0),COLUMN())</f>
        <v>3.6033197069999995E-2</v>
      </c>
      <c r="AS337" s="1050" cm="1">
        <f t="array" aca="1" ref="AS337" ca="1">INDEX(OFFSET($AK$19,MATCH($B337,$B$19:$B$150,0)-1,0,COUNTA($B$19:$B$24),COUNTA($AK$17:$BB$17)),MATCH($F337,$F$19:$F$24,0),MATCH(AS$17,$AK$17:$BB$17,0))*INDEX($10:$13,MATCH($O337,$R$10:$R$13,0),COLUMN())</f>
        <v>8.2956266833000003E-3</v>
      </c>
      <c r="AT337" s="1050" cm="1">
        <f t="array" aca="1" ref="AT337" ca="1">INDEX(OFFSET($AK$19,MATCH($B337,$B$19:$B$150,0)-1,0,COUNTA($B$19:$B$24),COUNTA($AK$17:$BB$17)),MATCH($F337,$F$19:$F$24,0),MATCH(AT$17,$AK$17:$BB$17,0))*INDEX($10:$13,MATCH($O337,$R$10:$R$13,0),COLUMN())</f>
        <v>1.9012168967999999E-5</v>
      </c>
      <c r="AU337" s="1050" cm="1">
        <f t="array" aca="1" ref="AU337" ca="1">INDEX(OFFSET($AK$19,MATCH($B337,$B$19:$B$150,0)-1,0,COUNTA($B$19:$B$24),COUNTA($AK$17:$BB$17)),MATCH($F337,$F$19:$F$24,0),MATCH(AU$17,$AK$17:$BB$17,0))*INDEX($10:$13,MATCH($O337,$R$10:$R$13,0),COLUMN())</f>
        <v>3.6014248639999999E-6</v>
      </c>
      <c r="AV337" s="1050" cm="1">
        <f t="array" aca="1" ref="AV337" ca="1">INDEX(OFFSET($AK$19,MATCH($B337,$B$19:$B$150,0)-1,0,COUNTA($B$19:$B$24),COUNTA($AK$17:$BB$17)),MATCH($F337,$F$19:$F$24,0),MATCH(AV$17,$AK$17:$BB$17,0))*INDEX($10:$13,MATCH($O337,$R$10:$R$13,0),COLUMN())</f>
        <v>1.5757630367000001E-2</v>
      </c>
      <c r="AW337" s="1050" cm="1">
        <f t="array" aca="1" ref="AW337" ca="1">INDEX(OFFSET($AK$19,MATCH($B337,$B$19:$B$150,0)-1,0,COUNTA($B$19:$B$24),COUNTA($AK$17:$BB$17)),MATCH($F337,$F$19:$F$24,0),MATCH(AW$17,$AK$17:$BB$17,0))*INDEX($10:$13,MATCH($O337,$R$10:$R$13,0),COLUMN())</f>
        <v>0.5776747268500001</v>
      </c>
      <c r="AX337" s="1050" cm="1">
        <f t="array" aca="1" ref="AX337" ca="1">INDEX(OFFSET($AK$19,MATCH($B337,$B$19:$B$150,0)-1,0,COUNTA($B$19:$B$24),COUNTA($AK$17:$BB$17)),MATCH($F337,$F$19:$F$24,0),MATCH(AX$17,$AK$17:$BB$17,0))*INDEX($10:$13,MATCH($O337,$R$10:$R$13,0),COLUMN())</f>
        <v>1.3828174035E-7</v>
      </c>
      <c r="AY337" s="1050" cm="1">
        <f t="array" aca="1" ref="AY337" ca="1">INDEX(OFFSET($AK$19,MATCH($B337,$B$19:$B$150,0)-1,0,COUNTA($B$19:$B$24),COUNTA($AK$17:$BB$17)),MATCH($F337,$F$19:$F$24,0),MATCH(AY$17,$AK$17:$BB$17,0))*INDEX($10:$13,MATCH($O337,$R$10:$R$13,0),COLUMN())</f>
        <v>0</v>
      </c>
      <c r="AZ337" s="1050" cm="1">
        <f t="array" aca="1" ref="AZ337" ca="1">INDEX(OFFSET($AK$19,MATCH($B337,$B$19:$B$150,0)-1,0,COUNTA($B$19:$B$24),COUNTA($AK$17:$BB$17)),MATCH($F337,$F$19:$F$24,0),MATCH(AZ$17,$AK$17:$BB$17,0))*INDEX($10:$13,MATCH($O337,$R$10:$R$13,0),COLUMN())</f>
        <v>0</v>
      </c>
      <c r="BA337" s="1050" cm="1">
        <f t="array" aca="1" ref="BA337" ca="1">INDEX(OFFSET($AK$19,MATCH($B337,$B$19:$B$150,0)-1,0,COUNTA($B$19:$B$24),COUNTA($AK$17:$BB$17)),MATCH($F337,$F$19:$F$24,0),MATCH(BA$17,$AK$17:$BB$17,0))*INDEX($10:$13,MATCH($O337,$R$10:$R$13,0),COLUMN())</f>
        <v>0</v>
      </c>
      <c r="BB337" s="1051" cm="1">
        <f t="array" aca="1" ref="BB337" ca="1">INDEX(OFFSET($AK$19,MATCH($B337,$B$19:$B$150,0)-1,0,COUNTA($B$19:$B$24),COUNTA($AK$17:$BB$17)),MATCH($F337,$F$19:$F$24,0),MATCH(BB$17,$AK$17:$BB$17,0))*INDEX($10:$13,MATCH($O337,$R$10:$R$13,0),COLUMN())</f>
        <v>0</v>
      </c>
      <c r="BC337" s="1053">
        <f t="shared" ca="1" si="166"/>
        <v>0.57767486513174049</v>
      </c>
      <c r="BE337" s="1"/>
      <c r="BF337" s="1"/>
      <c r="BG337" s="1"/>
      <c r="BH337" s="1"/>
      <c r="BI337" s="1"/>
      <c r="BJ337" s="1"/>
      <c r="BK337" s="1"/>
      <c r="BL337" s="1"/>
      <c r="BM337" s="1"/>
      <c r="BN337" s="1"/>
      <c r="BO337" s="1"/>
      <c r="BP337" s="1"/>
      <c r="BQ337" s="1"/>
      <c r="BR337" s="1"/>
      <c r="BS337" s="1"/>
      <c r="BT337" s="1"/>
      <c r="BU337" s="1"/>
      <c r="BV337" s="1"/>
      <c r="BW337" s="1"/>
      <c r="BX337" s="1"/>
      <c r="BY337" s="1"/>
      <c r="BZ337" s="1"/>
    </row>
    <row r="338" spans="2:78" ht="12" customHeight="1" outlineLevel="1" x14ac:dyDescent="0.25">
      <c r="B338" s="104" t="s">
        <v>104</v>
      </c>
      <c r="C338" s="104" t="s">
        <v>121</v>
      </c>
      <c r="D338" s="2" t="s">
        <v>137</v>
      </c>
      <c r="E338" s="2" t="s">
        <v>140</v>
      </c>
      <c r="F338" s="105" t="s">
        <v>96</v>
      </c>
      <c r="G338" s="27" t="s">
        <v>1582</v>
      </c>
      <c r="H338" s="106" t="s">
        <v>128</v>
      </c>
      <c r="I338" s="107" t="s">
        <v>1577</v>
      </c>
      <c r="J338" s="147">
        <v>4.4622420200000006</v>
      </c>
      <c r="K338" s="148">
        <v>3.677795697780804</v>
      </c>
      <c r="L338" s="149">
        <f t="shared" ca="1" si="162"/>
        <v>0.30558480618553863</v>
      </c>
      <c r="M338" s="148">
        <f t="shared" ca="1" si="163"/>
        <v>4.801674183277159</v>
      </c>
      <c r="N338" s="148">
        <f t="shared" ca="1" si="164"/>
        <v>1.1238784854963548</v>
      </c>
      <c r="O338" s="1062" t="s">
        <v>1583</v>
      </c>
      <c r="P338" s="104"/>
      <c r="R338" s="119"/>
      <c r="S338" s="1072"/>
      <c r="T338" s="1072"/>
      <c r="U338" s="1072"/>
      <c r="V338" s="1072"/>
      <c r="W338" s="1072"/>
      <c r="X338" s="1072"/>
      <c r="Y338" s="1072"/>
      <c r="Z338" s="1072"/>
      <c r="AA338" s="1072"/>
      <c r="AB338" s="1072"/>
      <c r="AC338" s="1072"/>
      <c r="AD338" s="1072"/>
      <c r="AE338" s="1072"/>
      <c r="AF338" s="1072"/>
      <c r="AG338" s="1072"/>
      <c r="AH338" s="1072"/>
      <c r="AI338" s="1072"/>
      <c r="AJ338" s="1073"/>
      <c r="AK338" s="1052" cm="1">
        <f t="array" aca="1" ref="AK338" ca="1">INDEX(OFFSET($AK$19,MATCH($B338,$B$19:$B$150,0)-1,0,COUNTA($B$19:$B$24),COUNTA($AK$17:$BB$17)),MATCH($F338,$F$19:$F$24,0),MATCH(AK$17,$AK$17:$BB$17,0))*INDEX($10:$13,MATCH($O338,$R$10:$R$13,0),COLUMN())</f>
        <v>0.18683795520000002</v>
      </c>
      <c r="AL338" s="1050" cm="1">
        <f t="array" aca="1" ref="AL338" ca="1">INDEX(OFFSET($AK$19,MATCH($B338,$B$19:$B$150,0)-1,0,COUNTA($B$19:$B$24),COUNTA($AK$17:$BB$17)),MATCH($F338,$F$19:$F$24,0),MATCH(AL$17,$AK$17:$BB$17,0))*INDEX($10:$13,MATCH($O338,$R$10:$R$13,0),COLUMN())</f>
        <v>1.2507798495999998E-7</v>
      </c>
      <c r="AM338" s="1050" cm="1">
        <f t="array" aca="1" ref="AM338" ca="1">INDEX(OFFSET($AK$19,MATCH($B338,$B$19:$B$150,0)-1,0,COUNTA($B$19:$B$24),COUNTA($AK$17:$BB$17)),MATCH($F338,$F$19:$F$24,0),MATCH(AM$17,$AK$17:$BB$17,0))*INDEX($10:$13,MATCH($O338,$R$10:$R$13,0),COLUMN())</f>
        <v>2.3178412933000001E-4</v>
      </c>
      <c r="AN338" s="1050" cm="1">
        <f t="array" aca="1" ref="AN338" ca="1">INDEX(OFFSET($AK$19,MATCH($B338,$B$19:$B$150,0)-1,0,COUNTA($B$19:$B$24),COUNTA($AK$17:$BB$17)),MATCH($F338,$F$19:$F$24,0),MATCH(AN$17,$AK$17:$BB$17,0))*INDEX($10:$13,MATCH($O338,$R$10:$R$13,0),COLUMN())</f>
        <v>2.8289862E-3</v>
      </c>
      <c r="AO338" s="1050" cm="1">
        <f t="array" aca="1" ref="AO338" ca="1">INDEX(OFFSET($AK$19,MATCH($B338,$B$19:$B$150,0)-1,0,COUNTA($B$19:$B$24),COUNTA($AK$17:$BB$17)),MATCH($F338,$F$19:$F$24,0),MATCH(AO$17,$AK$17:$BB$17,0))*INDEX($10:$13,MATCH($O338,$R$10:$R$13,0),COLUMN())</f>
        <v>0.14632489368000001</v>
      </c>
      <c r="AP338" s="1050" cm="1">
        <f t="array" aca="1" ref="AP338" ca="1">INDEX(OFFSET($AK$19,MATCH($B338,$B$19:$B$150,0)-1,0,COUNTA($B$19:$B$24),COUNTA($AK$17:$BB$17)),MATCH($F338,$F$19:$F$24,0),MATCH(AP$17,$AK$17:$BB$17,0))*INDEX($10:$13,MATCH($O338,$R$10:$R$13,0),COLUMN())</f>
        <v>0.12338165650999999</v>
      </c>
      <c r="AQ338" s="1050" cm="1">
        <f t="array" aca="1" ref="AQ338" ca="1">INDEX(OFFSET($AK$19,MATCH($B338,$B$19:$B$150,0)-1,0,COUNTA($B$19:$B$24),COUNTA($AK$17:$BB$17)),MATCH($F338,$F$19:$F$24,0),MATCH(AQ$17,$AK$17:$BB$17,0))*INDEX($10:$13,MATCH($O338,$R$10:$R$13,0),COLUMN())</f>
        <v>9.678829362E-4</v>
      </c>
      <c r="AR338" s="1050" cm="1">
        <f t="array" aca="1" ref="AR338" ca="1">INDEX(OFFSET($AK$19,MATCH($B338,$B$19:$B$150,0)-1,0,COUNTA($B$19:$B$24),COUNTA($AK$17:$BB$17)),MATCH($F338,$F$19:$F$24,0),MATCH(AR$17,$AK$17:$BB$17,0))*INDEX($10:$13,MATCH($O338,$R$10:$R$13,0),COLUMN())</f>
        <v>4.7317461979999996E-2</v>
      </c>
      <c r="AS338" s="1050" cm="1">
        <f t="array" aca="1" ref="AS338" ca="1">INDEX(OFFSET($AK$19,MATCH($B338,$B$19:$B$150,0)-1,0,COUNTA($B$19:$B$24),COUNTA($AK$17:$BB$17)),MATCH($F338,$F$19:$F$24,0),MATCH(AS$17,$AK$17:$BB$17,0))*INDEX($10:$13,MATCH($O338,$R$10:$R$13,0),COLUMN())</f>
        <v>1.3392834212999999E-2</v>
      </c>
      <c r="AT338" s="1050" cm="1">
        <f t="array" aca="1" ref="AT338" ca="1">INDEX(OFFSET($AK$19,MATCH($B338,$B$19:$B$150,0)-1,0,COUNTA($B$19:$B$24),COUNTA($AK$17:$BB$17)),MATCH($F338,$F$19:$F$24,0),MATCH(AT$17,$AK$17:$BB$17,0))*INDEX($10:$13,MATCH($O338,$R$10:$R$13,0),COLUMN())</f>
        <v>2.1302051893999999E-5</v>
      </c>
      <c r="AU338" s="1050" cm="1">
        <f t="array" aca="1" ref="AU338" ca="1">INDEX(OFFSET($AK$19,MATCH($B338,$B$19:$B$150,0)-1,0,COUNTA($B$19:$B$24),COUNTA($AK$17:$BB$17)),MATCH($F338,$F$19:$F$24,0),MATCH(AU$17,$AK$17:$BB$17,0))*INDEX($10:$13,MATCH($O338,$R$10:$R$13,0),COLUMN())</f>
        <v>3.9284682055000005E-6</v>
      </c>
      <c r="AV338" s="1050" cm="1">
        <f t="array" aca="1" ref="AV338" ca="1">INDEX(OFFSET($AK$19,MATCH($B338,$B$19:$B$150,0)-1,0,COUNTA($B$19:$B$24),COUNTA($AK$17:$BB$17)),MATCH($F338,$F$19:$F$24,0),MATCH(AV$17,$AK$17:$BB$17,0))*INDEX($10:$13,MATCH($O338,$R$10:$R$13,0),COLUMN())</f>
        <v>2.4894809917999999E-2</v>
      </c>
      <c r="AW338" s="1050" cm="1">
        <f t="array" aca="1" ref="AW338" ca="1">INDEX(OFFSET($AK$19,MATCH($B338,$B$19:$B$150,0)-1,0,COUNTA($B$19:$B$24),COUNTA($AK$17:$BB$17)),MATCH($F338,$F$19:$F$24,0),MATCH(AW$17,$AK$17:$BB$17,0))*INDEX($10:$13,MATCH($O338,$R$10:$R$13,0),COLUMN())</f>
        <v>0.5776747268500001</v>
      </c>
      <c r="AX338" s="1050" cm="1">
        <f t="array" aca="1" ref="AX338" ca="1">INDEX(OFFSET($AK$19,MATCH($B338,$B$19:$B$150,0)-1,0,COUNTA($B$19:$B$24),COUNTA($AK$17:$BB$17)),MATCH($F338,$F$19:$F$24,0),MATCH(AX$17,$AK$17:$BB$17,0))*INDEX($10:$13,MATCH($O338,$R$10:$R$13,0),COLUMN())</f>
        <v>1.3828174035E-7</v>
      </c>
      <c r="AY338" s="1050" cm="1">
        <f t="array" aca="1" ref="AY338" ca="1">INDEX(OFFSET($AK$19,MATCH($B338,$B$19:$B$150,0)-1,0,COUNTA($B$19:$B$24),COUNTA($AK$17:$BB$17)),MATCH($F338,$F$19:$F$24,0),MATCH(AY$17,$AK$17:$BB$17,0))*INDEX($10:$13,MATCH($O338,$R$10:$R$13,0),COLUMN())</f>
        <v>0</v>
      </c>
      <c r="AZ338" s="1050" cm="1">
        <f t="array" aca="1" ref="AZ338" ca="1">INDEX(OFFSET($AK$19,MATCH($B338,$B$19:$B$150,0)-1,0,COUNTA($B$19:$B$24),COUNTA($AK$17:$BB$17)),MATCH($F338,$F$19:$F$24,0),MATCH(AZ$17,$AK$17:$BB$17,0))*INDEX($10:$13,MATCH($O338,$R$10:$R$13,0),COLUMN())</f>
        <v>0</v>
      </c>
      <c r="BA338" s="1050" cm="1">
        <f t="array" aca="1" ref="BA338" ca="1">INDEX(OFFSET($AK$19,MATCH($B338,$B$19:$B$150,0)-1,0,COUNTA($B$19:$B$24),COUNTA($AK$17:$BB$17)),MATCH($F338,$F$19:$F$24,0),MATCH(BA$17,$AK$17:$BB$17,0))*INDEX($10:$13,MATCH($O338,$R$10:$R$13,0),COLUMN())</f>
        <v>0</v>
      </c>
      <c r="BB338" s="1051" cm="1">
        <f t="array" aca="1" ref="BB338" ca="1">INDEX(OFFSET($AK$19,MATCH($B338,$B$19:$B$150,0)-1,0,COUNTA($B$19:$B$24),COUNTA($AK$17:$BB$17)),MATCH($F338,$F$19:$F$24,0),MATCH(BB$17,$AK$17:$BB$17,0))*INDEX($10:$13,MATCH($O338,$R$10:$R$13,0),COLUMN())</f>
        <v>0</v>
      </c>
      <c r="BC338" s="1053">
        <f t="shared" ca="1" si="166"/>
        <v>0.57767486513174049</v>
      </c>
      <c r="BE338" s="1"/>
      <c r="BF338" s="1"/>
      <c r="BG338" s="1"/>
      <c r="BH338" s="1"/>
      <c r="BI338" s="1"/>
      <c r="BJ338" s="1"/>
      <c r="BK338" s="1"/>
      <c r="BL338" s="1"/>
      <c r="BM338" s="1"/>
      <c r="BN338" s="1"/>
      <c r="BO338" s="1"/>
      <c r="BP338" s="1"/>
      <c r="BQ338" s="1"/>
      <c r="BR338" s="1"/>
      <c r="BS338" s="1"/>
      <c r="BT338" s="1"/>
      <c r="BU338" s="1"/>
      <c r="BV338" s="1"/>
      <c r="BW338" s="1"/>
      <c r="BX338" s="1"/>
      <c r="BY338" s="1"/>
      <c r="BZ338" s="1"/>
    </row>
    <row r="339" spans="2:78" ht="12" customHeight="1" outlineLevel="1" x14ac:dyDescent="0.25">
      <c r="B339" s="88" t="s">
        <v>105</v>
      </c>
      <c r="C339" s="88" t="s">
        <v>121</v>
      </c>
      <c r="D339" s="89" t="s">
        <v>137</v>
      </c>
      <c r="E339" s="89" t="s">
        <v>141</v>
      </c>
      <c r="F339" s="90" t="s">
        <v>92</v>
      </c>
      <c r="G339" s="18" t="s">
        <v>126</v>
      </c>
      <c r="H339" s="91" t="s">
        <v>127</v>
      </c>
      <c r="I339" s="92" t="s">
        <v>127</v>
      </c>
      <c r="J339" s="142">
        <v>0.81023034000000005</v>
      </c>
      <c r="K339" s="143">
        <v>1.2070093457943925</v>
      </c>
      <c r="L339" s="144">
        <f t="shared" ca="1" si="162"/>
        <v>0.35075072766467713</v>
      </c>
      <c r="M339" s="143">
        <f t="shared" ca="1" si="163"/>
        <v>1.6303687521298416</v>
      </c>
      <c r="N339" s="162">
        <f t="shared" ca="1" si="164"/>
        <v>0.42335940633544905</v>
      </c>
      <c r="O339" s="1060" t="s">
        <v>1583</v>
      </c>
      <c r="P339" s="88"/>
      <c r="Q339" s="89"/>
      <c r="R339" s="150"/>
      <c r="S339" s="1070"/>
      <c r="T339" s="1070"/>
      <c r="U339" s="1070"/>
      <c r="V339" s="1070"/>
      <c r="W339" s="1070"/>
      <c r="X339" s="1070"/>
      <c r="Y339" s="1070"/>
      <c r="Z339" s="1070"/>
      <c r="AA339" s="1070"/>
      <c r="AB339" s="1070"/>
      <c r="AC339" s="1070"/>
      <c r="AD339" s="1070"/>
      <c r="AE339" s="1070"/>
      <c r="AF339" s="1070"/>
      <c r="AG339" s="1070"/>
      <c r="AH339" s="1070"/>
      <c r="AI339" s="1070"/>
      <c r="AJ339" s="1071"/>
      <c r="AK339" s="1048" cm="1">
        <f t="array" aca="1" ref="AK339" ca="1">INDEX(OFFSET($AK$19,MATCH($B339,$B$19:$B$150,0)-1,0,COUNTA($B$19:$B$24),COUNTA($AK$17:$BB$17)),MATCH($F339,$F$19:$F$24,0),MATCH(AK$17,$AK$17:$BB$17,0))*INDEX($10:$13,MATCH($O339,$R$10:$R$13,0),COLUMN())</f>
        <v>4.9758883200000006E-2</v>
      </c>
      <c r="AL339" s="1046" cm="1">
        <f t="array" aca="1" ref="AL339" ca="1">INDEX(OFFSET($AK$19,MATCH($B339,$B$19:$B$150,0)-1,0,COUNTA($B$19:$B$24),COUNTA($AK$17:$BB$17)),MATCH($F339,$F$19:$F$24,0),MATCH(AL$17,$AK$17:$BB$17,0))*INDEX($10:$13,MATCH($O339,$R$10:$R$13,0),COLUMN())</f>
        <v>7.5006862399999987E-8</v>
      </c>
      <c r="AM339" s="1046" cm="1">
        <f t="array" aca="1" ref="AM339" ca="1">INDEX(OFFSET($AK$19,MATCH($B339,$B$19:$B$150,0)-1,0,COUNTA($B$19:$B$24),COUNTA($AK$17:$BB$17)),MATCH($F339,$F$19:$F$24,0),MATCH(AM$17,$AK$17:$BB$17,0))*INDEX($10:$13,MATCH($O339,$R$10:$R$13,0),COLUMN())</f>
        <v>1.4037084427000001E-4</v>
      </c>
      <c r="AN339" s="1046" cm="1">
        <f t="array" aca="1" ref="AN339" ca="1">INDEX(OFFSET($AK$19,MATCH($B339,$B$19:$B$150,0)-1,0,COUNTA($B$19:$B$24),COUNTA($AK$17:$BB$17)),MATCH($F339,$F$19:$F$24,0),MATCH(AN$17,$AK$17:$BB$17,0))*INDEX($10:$13,MATCH($O339,$R$10:$R$13,0),COLUMN())</f>
        <v>7.3300991949999997E-4</v>
      </c>
      <c r="AO339" s="1046" cm="1">
        <f t="array" aca="1" ref="AO339" ca="1">INDEX(OFFSET($AK$19,MATCH($B339,$B$19:$B$150,0)-1,0,COUNTA($B$19:$B$24),COUNTA($AK$17:$BB$17)),MATCH($F339,$F$19:$F$24,0),MATCH(AO$17,$AK$17:$BB$17,0))*INDEX($10:$13,MATCH($O339,$R$10:$R$13,0),COLUMN())</f>
        <v>3.1068453920000003E-2</v>
      </c>
      <c r="AP339" s="1046" cm="1">
        <f t="array" aca="1" ref="AP339" ca="1">INDEX(OFFSET($AK$19,MATCH($B339,$B$19:$B$150,0)-1,0,COUNTA($B$19:$B$24),COUNTA($AK$17:$BB$17)),MATCH($F339,$F$19:$F$24,0),MATCH(AP$17,$AK$17:$BB$17,0))*INDEX($10:$13,MATCH($O339,$R$10:$R$13,0),COLUMN())</f>
        <v>2.5016712686E-2</v>
      </c>
      <c r="AQ339" s="1046" cm="1">
        <f t="array" aca="1" ref="AQ339" ca="1">INDEX(OFFSET($AK$19,MATCH($B339,$B$19:$B$150,0)-1,0,COUNTA($B$19:$B$24),COUNTA($AK$17:$BB$17)),MATCH($F339,$F$19:$F$24,0),MATCH(AQ$17,$AK$17:$BB$17,0))*INDEX($10:$13,MATCH($O339,$R$10:$R$13,0),COLUMN())</f>
        <v>3.257158158E-4</v>
      </c>
      <c r="AR339" s="1046" cm="1">
        <f t="array" aca="1" ref="AR339" ca="1">INDEX(OFFSET($AK$19,MATCH($B339,$B$19:$B$150,0)-1,0,COUNTA($B$19:$B$24),COUNTA($AK$17:$BB$17)),MATCH($F339,$F$19:$F$24,0),MATCH(AR$17,$AK$17:$BB$17,0))*INDEX($10:$13,MATCH($O339,$R$10:$R$13,0),COLUMN())</f>
        <v>1.0485519255999999E-2</v>
      </c>
      <c r="AS339" s="1046" cm="1">
        <f t="array" aca="1" ref="AS339" ca="1">INDEX(OFFSET($AK$19,MATCH($B339,$B$19:$B$150,0)-1,0,COUNTA($B$19:$B$24),COUNTA($AK$17:$BB$17)),MATCH($F339,$F$19:$F$24,0),MATCH(AS$17,$AK$17:$BB$17,0))*INDEX($10:$13,MATCH($O339,$R$10:$R$13,0),COLUMN())</f>
        <v>0.15002243938000001</v>
      </c>
      <c r="AT339" s="1046" cm="1">
        <f t="array" aca="1" ref="AT339" ca="1">INDEX(OFFSET($AK$19,MATCH($B339,$B$19:$B$150,0)-1,0,COUNTA($B$19:$B$24),COUNTA($AK$17:$BB$17)),MATCH($F339,$F$19:$F$24,0),MATCH(AT$17,$AK$17:$BB$17,0))*INDEX($10:$13,MATCH($O339,$R$10:$R$13,0),COLUMN())</f>
        <v>1.6768023298E-4</v>
      </c>
      <c r="AU339" s="1046" cm="1">
        <f t="array" aca="1" ref="AU339" ca="1">INDEX(OFFSET($AK$19,MATCH($B339,$B$19:$B$150,0)-1,0,COUNTA($B$19:$B$24),COUNTA($AK$17:$BB$17)),MATCH($F339,$F$19:$F$24,0),MATCH(AU$17,$AK$17:$BB$17,0))*INDEX($10:$13,MATCH($O339,$R$10:$R$13,0),COLUMN())</f>
        <v>1.0450816064999999E-5</v>
      </c>
      <c r="AV339" s="1046" cm="1">
        <f t="array" aca="1" ref="AV339" ca="1">INDEX(OFFSET($AK$19,MATCH($B339,$B$19:$B$150,0)-1,0,COUNTA($B$19:$B$24),COUNTA($AK$17:$BB$17)),MATCH($F339,$F$19:$F$24,0),MATCH(AV$17,$AK$17:$BB$17,0))*INDEX($10:$13,MATCH($O339,$R$10:$R$13,0),COLUMN())</f>
        <v>7.0235376876000002E-3</v>
      </c>
      <c r="AW339" s="1046" cm="1">
        <f t="array" aca="1" ref="AW339" ca="1">INDEX(OFFSET($AK$19,MATCH($B339,$B$19:$B$150,0)-1,0,COUNTA($B$19:$B$24),COUNTA($AK$17:$BB$17)),MATCH($F339,$F$19:$F$24,0),MATCH(AW$17,$AK$17:$BB$17,0))*INDEX($10:$13,MATCH($O339,$R$10:$R$13,0),COLUMN())</f>
        <v>0.14860641510000003</v>
      </c>
      <c r="AX339" s="1046" cm="1">
        <f t="array" aca="1" ref="AX339" ca="1">INDEX(OFFSET($AK$19,MATCH($B339,$B$19:$B$150,0)-1,0,COUNTA($B$19:$B$24),COUNTA($AK$17:$BB$17)),MATCH($F339,$F$19:$F$24,0),MATCH(AX$17,$AK$17:$BB$17,0))*INDEX($10:$13,MATCH($O339,$R$10:$R$13,0),COLUMN())</f>
        <v>1.4247037155000001E-7</v>
      </c>
      <c r="AY339" s="1046" cm="1">
        <f t="array" aca="1" ref="AY339" ca="1">INDEX(OFFSET($AK$19,MATCH($B339,$B$19:$B$150,0)-1,0,COUNTA($B$19:$B$24),COUNTA($AK$17:$BB$17)),MATCH($F339,$F$19:$F$24,0),MATCH(AY$17,$AK$17:$BB$17,0))*INDEX($10:$13,MATCH($O339,$R$10:$R$13,0),COLUMN())</f>
        <v>0</v>
      </c>
      <c r="AZ339" s="1046" cm="1">
        <f t="array" aca="1" ref="AZ339" ca="1">INDEX(OFFSET($AK$19,MATCH($B339,$B$19:$B$150,0)-1,0,COUNTA($B$19:$B$24),COUNTA($AK$17:$BB$17)),MATCH($F339,$F$19:$F$24,0),MATCH(AZ$17,$AK$17:$BB$17,0))*INDEX($10:$13,MATCH($O339,$R$10:$R$13,0),COLUMN())</f>
        <v>0</v>
      </c>
      <c r="BA339" s="1046" cm="1">
        <f t="array" aca="1" ref="BA339" ca="1">INDEX(OFFSET($AK$19,MATCH($B339,$B$19:$B$150,0)-1,0,COUNTA($B$19:$B$24),COUNTA($AK$17:$BB$17)),MATCH($F339,$F$19:$F$24,0),MATCH(BA$17,$AK$17:$BB$17,0))*INDEX($10:$13,MATCH($O339,$R$10:$R$13,0),COLUMN())</f>
        <v>0</v>
      </c>
      <c r="BB339" s="1047" cm="1">
        <f t="array" aca="1" ref="BB339" ca="1">INDEX(OFFSET($AK$19,MATCH($B339,$B$19:$B$150,0)-1,0,COUNTA($B$19:$B$24),COUNTA($AK$17:$BB$17)),MATCH($F339,$F$19:$F$24,0),MATCH(BB$17,$AK$17:$BB$17,0))*INDEX($10:$13,MATCH($O339,$R$10:$R$13,0),COLUMN())</f>
        <v>0</v>
      </c>
      <c r="BC339" s="1049">
        <f t="shared" ca="1" si="166"/>
        <v>0.14860655757037158</v>
      </c>
      <c r="BE339" s="1"/>
      <c r="BF339" s="1"/>
      <c r="BG339" s="1"/>
      <c r="BH339" s="1"/>
      <c r="BI339" s="1"/>
      <c r="BJ339" s="1"/>
      <c r="BK339" s="1"/>
      <c r="BL339" s="1"/>
      <c r="BM339" s="1"/>
      <c r="BN339" s="1"/>
      <c r="BO339" s="1"/>
      <c r="BP339" s="1"/>
      <c r="BQ339" s="1"/>
      <c r="BR339" s="1"/>
      <c r="BS339" s="1"/>
      <c r="BT339" s="1"/>
      <c r="BU339" s="1"/>
      <c r="BV339" s="1"/>
      <c r="BW339" s="1"/>
      <c r="BX339" s="1"/>
      <c r="BY339" s="1"/>
      <c r="BZ339" s="1"/>
    </row>
    <row r="340" spans="2:78" ht="12" customHeight="1" outlineLevel="1" x14ac:dyDescent="0.25">
      <c r="B340" s="104" t="s">
        <v>105</v>
      </c>
      <c r="C340" s="104" t="s">
        <v>121</v>
      </c>
      <c r="D340" s="2" t="s">
        <v>137</v>
      </c>
      <c r="E340" s="2" t="s">
        <v>141</v>
      </c>
      <c r="F340" s="105" t="s">
        <v>122</v>
      </c>
      <c r="G340" s="27" t="s">
        <v>1579</v>
      </c>
      <c r="H340" s="106" t="s">
        <v>128</v>
      </c>
      <c r="I340" s="107" t="s">
        <v>129</v>
      </c>
      <c r="J340" s="147">
        <v>0.81023034000000005</v>
      </c>
      <c r="K340" s="148">
        <v>3.15</v>
      </c>
      <c r="L340" s="149">
        <f t="shared" ref="L340:L394" ca="1" si="167">IFERROR(N340/K340,"?")</f>
        <v>7.2898601801689888E-2</v>
      </c>
      <c r="M340" s="148">
        <f t="shared" ref="M340:M394" ca="1" si="168">IFERROR(K340+N340,"?")</f>
        <v>3.379630595675323</v>
      </c>
      <c r="N340" s="163">
        <f t="shared" ca="1" si="164"/>
        <v>0.22963059567532315</v>
      </c>
      <c r="O340" s="1061" t="s">
        <v>1583</v>
      </c>
      <c r="P340" s="104"/>
      <c r="R340" s="119"/>
      <c r="S340" s="1072"/>
      <c r="T340" s="1072"/>
      <c r="U340" s="1072"/>
      <c r="V340" s="1072"/>
      <c r="W340" s="1072"/>
      <c r="X340" s="1072"/>
      <c r="Y340" s="1072"/>
      <c r="Z340" s="1072"/>
      <c r="AA340" s="1072"/>
      <c r="AB340" s="1072"/>
      <c r="AC340" s="1072"/>
      <c r="AD340" s="1072"/>
      <c r="AE340" s="1072"/>
      <c r="AF340" s="1072"/>
      <c r="AG340" s="1072"/>
      <c r="AH340" s="1072"/>
      <c r="AI340" s="1072"/>
      <c r="AJ340" s="1073"/>
      <c r="AK340" s="1052" cm="1">
        <f t="array" aca="1" ref="AK340" ca="1">INDEX(OFFSET($AK$19,MATCH($B340,$B$19:$B$150,0)-1,0,COUNTA($B$19:$B$24),COUNTA($AK$17:$BB$17)),MATCH($F340,$F$19:$F$24,0),MATCH(AK$17,$AK$17:$BB$17,0))*INDEX($10:$13,MATCH($O340,$R$10:$R$13,0),COLUMN())</f>
        <v>3.4438086149999998E-2</v>
      </c>
      <c r="AL340" s="1050" cm="1">
        <f t="array" aca="1" ref="AL340" ca="1">INDEX(OFFSET($AK$19,MATCH($B340,$B$19:$B$150,0)-1,0,COUNTA($B$19:$B$24),COUNTA($AK$17:$BB$17)),MATCH($F340,$F$19:$F$24,0),MATCH(AL$17,$AK$17:$BB$17,0))*INDEX($10:$13,MATCH($O340,$R$10:$R$13,0),COLUMN())</f>
        <v>3.8759036320000003E-8</v>
      </c>
      <c r="AM340" s="1050" cm="1">
        <f t="array" aca="1" ref="AM340" ca="1">INDEX(OFFSET($AK$19,MATCH($B340,$B$19:$B$150,0)-1,0,COUNTA($B$19:$B$24),COUNTA($AK$17:$BB$17)),MATCH($F340,$F$19:$F$24,0),MATCH(AM$17,$AK$17:$BB$17,0))*INDEX($10:$13,MATCH($O340,$R$10:$R$13,0),COLUMN())</f>
        <v>7.1821776210000005E-5</v>
      </c>
      <c r="AN340" s="1050" cm="1">
        <f t="array" aca="1" ref="AN340" ca="1">INDEX(OFFSET($AK$19,MATCH($B340,$B$19:$B$150,0)-1,0,COUNTA($B$19:$B$24),COUNTA($AK$17:$BB$17)),MATCH($F340,$F$19:$F$24,0),MATCH(AN$17,$AK$17:$BB$17,0))*INDEX($10:$13,MATCH($O340,$R$10:$R$13,0),COLUMN())</f>
        <v>7.6925825299999995E-4</v>
      </c>
      <c r="AO340" s="1050" cm="1">
        <f t="array" aca="1" ref="AO340" ca="1">INDEX(OFFSET($AK$19,MATCH($B340,$B$19:$B$150,0)-1,0,COUNTA($B$19:$B$24),COUNTA($AK$17:$BB$17)),MATCH($F340,$F$19:$F$24,0),MATCH(AO$17,$AK$17:$BB$17,0))*INDEX($10:$13,MATCH($O340,$R$10:$R$13,0),COLUMN())</f>
        <v>1.2375501936E-2</v>
      </c>
      <c r="AP340" s="1050" cm="1">
        <f t="array" aca="1" ref="AP340" ca="1">INDEX(OFFSET($AK$19,MATCH($B340,$B$19:$B$150,0)-1,0,COUNTA($B$19:$B$24),COUNTA($AK$17:$BB$17)),MATCH($F340,$F$19:$F$24,0),MATCH(AP$17,$AK$17:$BB$17,0))*INDEX($10:$13,MATCH($O340,$R$10:$R$13,0),COLUMN())</f>
        <v>6.8403670579999997E-3</v>
      </c>
      <c r="AQ340" s="1050" cm="1">
        <f t="array" aca="1" ref="AQ340" ca="1">INDEX(OFFSET($AK$19,MATCH($B340,$B$19:$B$150,0)-1,0,COUNTA($B$19:$B$24),COUNTA($AK$17:$BB$17)),MATCH($F340,$F$19:$F$24,0),MATCH(AQ$17,$AK$17:$BB$17,0))*INDEX($10:$13,MATCH($O340,$R$10:$R$13,0),COLUMN())</f>
        <v>4.6866875700000003E-5</v>
      </c>
      <c r="AR340" s="1050" cm="1">
        <f t="array" aca="1" ref="AR340" ca="1">INDEX(OFFSET($AK$19,MATCH($B340,$B$19:$B$150,0)-1,0,COUNTA($B$19:$B$24),COUNTA($AK$17:$BB$17)),MATCH($F340,$F$19:$F$24,0),MATCH(AR$17,$AK$17:$BB$17,0))*INDEX($10:$13,MATCH($O340,$R$10:$R$13,0),COLUMN())</f>
        <v>3.4986890439999995E-3</v>
      </c>
      <c r="AS340" s="1050" cm="1">
        <f t="array" aca="1" ref="AS340" ca="1">INDEX(OFFSET($AK$19,MATCH($B340,$B$19:$B$150,0)-1,0,COUNTA($B$19:$B$24),COUNTA($AK$17:$BB$17)),MATCH($F340,$F$19:$F$24,0),MATCH(AS$17,$AK$17:$BB$17,0))*INDEX($10:$13,MATCH($O340,$R$10:$R$13,0),COLUMN())</f>
        <v>4.4220882947999996E-4</v>
      </c>
      <c r="AT340" s="1050" cm="1">
        <f t="array" aca="1" ref="AT340" ca="1">INDEX(OFFSET($AK$19,MATCH($B340,$B$19:$B$150,0)-1,0,COUNTA($B$19:$B$24),COUNTA($AK$17:$BB$17)),MATCH($F340,$F$19:$F$24,0),MATCH(AT$17,$AK$17:$BB$17,0))*INDEX($10:$13,MATCH($O340,$R$10:$R$13,0),COLUMN())</f>
        <v>4.0679234460000002E-6</v>
      </c>
      <c r="AU340" s="1050" cm="1">
        <f t="array" aca="1" ref="AU340" ca="1">INDEX(OFFSET($AK$19,MATCH($B340,$B$19:$B$150,0)-1,0,COUNTA($B$19:$B$24),COUNTA($AK$17:$BB$17)),MATCH($F340,$F$19:$F$24,0),MATCH(AU$17,$AK$17:$BB$17,0))*INDEX($10:$13,MATCH($O340,$R$10:$R$13,0),COLUMN())</f>
        <v>8.3121596719999992E-7</v>
      </c>
      <c r="AV340" s="1050" cm="1">
        <f t="array" aca="1" ref="AV340" ca="1">INDEX(OFFSET($AK$19,MATCH($B340,$B$19:$B$150,0)-1,0,COUNTA($B$19:$B$24),COUNTA($AK$17:$BB$17)),MATCH($F340,$F$19:$F$24,0),MATCH(AV$17,$AK$17:$BB$17,0))*INDEX($10:$13,MATCH($O340,$R$10:$R$13,0),COLUMN())</f>
        <v>1.3557650006999998E-3</v>
      </c>
      <c r="AW340" s="1050" cm="1">
        <f t="array" aca="1" ref="AW340" ca="1">INDEX(OFFSET($AK$19,MATCH($B340,$B$19:$B$150,0)-1,0,COUNTA($B$19:$B$24),COUNTA($AK$17:$BB$17)),MATCH($F340,$F$19:$F$24,0),MATCH(AW$17,$AK$17:$BB$17,0))*INDEX($10:$13,MATCH($O340,$R$10:$R$13,0),COLUMN())</f>
        <v>0.16978704990000001</v>
      </c>
      <c r="AX340" s="1050" cm="1">
        <f t="array" aca="1" ref="AX340" ca="1">INDEX(OFFSET($AK$19,MATCH($B340,$B$19:$B$150,0)-1,0,COUNTA($B$19:$B$24),COUNTA($AK$17:$BB$17)),MATCH($F340,$F$19:$F$24,0),MATCH(AX$17,$AK$17:$BB$17,0))*INDEX($10:$13,MATCH($O340,$R$10:$R$13,0),COLUMN())</f>
        <v>4.2953783600000006E-8</v>
      </c>
      <c r="AY340" s="1050" cm="1">
        <f t="array" aca="1" ref="AY340" ca="1">INDEX(OFFSET($AK$19,MATCH($B340,$B$19:$B$150,0)-1,0,COUNTA($B$19:$B$24),COUNTA($AK$17:$BB$17)),MATCH($F340,$F$19:$F$24,0),MATCH(AY$17,$AK$17:$BB$17,0))*INDEX($10:$13,MATCH($O340,$R$10:$R$13,0),COLUMN())</f>
        <v>0</v>
      </c>
      <c r="AZ340" s="1050" cm="1">
        <f t="array" aca="1" ref="AZ340" ca="1">INDEX(OFFSET($AK$19,MATCH($B340,$B$19:$B$150,0)-1,0,COUNTA($B$19:$B$24),COUNTA($AK$17:$BB$17)),MATCH($F340,$F$19:$F$24,0),MATCH(AZ$17,$AK$17:$BB$17,0))*INDEX($10:$13,MATCH($O340,$R$10:$R$13,0),COLUMN())</f>
        <v>0</v>
      </c>
      <c r="BA340" s="1050" cm="1">
        <f t="array" aca="1" ref="BA340" ca="1">INDEX(OFFSET($AK$19,MATCH($B340,$B$19:$B$150,0)-1,0,COUNTA($B$19:$B$24),COUNTA($AK$17:$BB$17)),MATCH($F340,$F$19:$F$24,0),MATCH(BA$17,$AK$17:$BB$17,0))*INDEX($10:$13,MATCH($O340,$R$10:$R$13,0),COLUMN())</f>
        <v>0</v>
      </c>
      <c r="BB340" s="1051" cm="1">
        <f t="array" aca="1" ref="BB340" ca="1">INDEX(OFFSET($AK$19,MATCH($B340,$B$19:$B$150,0)-1,0,COUNTA($B$19:$B$24),COUNTA($AK$17:$BB$17)),MATCH($F340,$F$19:$F$24,0),MATCH(BB$17,$AK$17:$BB$17,0))*INDEX($10:$13,MATCH($O340,$R$10:$R$13,0),COLUMN())</f>
        <v>0</v>
      </c>
      <c r="BC340" s="1053">
        <f t="shared" ca="1" si="166"/>
        <v>0.16978709285378363</v>
      </c>
      <c r="BE340" s="1"/>
      <c r="BF340" s="1"/>
      <c r="BG340" s="1"/>
      <c r="BH340" s="1"/>
      <c r="BI340" s="1"/>
      <c r="BJ340" s="1"/>
      <c r="BK340" s="1"/>
      <c r="BL340" s="1"/>
      <c r="BM340" s="1"/>
      <c r="BN340" s="1"/>
      <c r="BO340" s="1"/>
      <c r="BP340" s="1"/>
      <c r="BQ340" s="1"/>
      <c r="BR340" s="1"/>
      <c r="BS340" s="1"/>
      <c r="BT340" s="1"/>
      <c r="BU340" s="1"/>
      <c r="BV340" s="1"/>
      <c r="BW340" s="1"/>
      <c r="BX340" s="1"/>
      <c r="BY340" s="1"/>
      <c r="BZ340" s="1"/>
    </row>
    <row r="341" spans="2:78" ht="12" customHeight="1" outlineLevel="1" x14ac:dyDescent="0.25">
      <c r="B341" s="104" t="s">
        <v>105</v>
      </c>
      <c r="C341" s="104" t="s">
        <v>121</v>
      </c>
      <c r="D341" s="2" t="s">
        <v>137</v>
      </c>
      <c r="E341" s="2" t="s">
        <v>141</v>
      </c>
      <c r="F341" s="105" t="s">
        <v>93</v>
      </c>
      <c r="G341" s="27" t="s">
        <v>1578</v>
      </c>
      <c r="H341" s="106" t="s">
        <v>130</v>
      </c>
      <c r="I341" s="107" t="s">
        <v>129</v>
      </c>
      <c r="J341" s="147">
        <v>0.81023034000000005</v>
      </c>
      <c r="K341" s="148">
        <v>3.15</v>
      </c>
      <c r="L341" s="149">
        <f t="shared" ca="1" si="167"/>
        <v>9.7354508967909939E-2</v>
      </c>
      <c r="M341" s="148">
        <f t="shared" ca="1" si="168"/>
        <v>3.4566667032489162</v>
      </c>
      <c r="N341" s="163">
        <f t="shared" ca="1" si="164"/>
        <v>0.30666670324891632</v>
      </c>
      <c r="O341" s="1061" t="s">
        <v>1583</v>
      </c>
      <c r="P341" s="104"/>
      <c r="R341" s="119"/>
      <c r="S341" s="1072"/>
      <c r="T341" s="1072"/>
      <c r="U341" s="1072"/>
      <c r="V341" s="1072"/>
      <c r="W341" s="1072"/>
      <c r="X341" s="1072"/>
      <c r="Y341" s="1072"/>
      <c r="Z341" s="1072"/>
      <c r="AA341" s="1072"/>
      <c r="AB341" s="1072"/>
      <c r="AC341" s="1072"/>
      <c r="AD341" s="1072"/>
      <c r="AE341" s="1072"/>
      <c r="AF341" s="1072"/>
      <c r="AG341" s="1072"/>
      <c r="AH341" s="1072"/>
      <c r="AI341" s="1072"/>
      <c r="AJ341" s="1073"/>
      <c r="AK341" s="1052" cm="1">
        <f t="array" aca="1" ref="AK341" ca="1">INDEX(OFFSET($AK$19,MATCH($B341,$B$19:$B$150,0)-1,0,COUNTA($B$19:$B$24),COUNTA($AK$17:$BB$17)),MATCH($F341,$F$19:$F$24,0),MATCH(AK$17,$AK$17:$BB$17,0))*INDEX($10:$13,MATCH($O341,$R$10:$R$13,0),COLUMN())</f>
        <v>4.5988899450000002E-2</v>
      </c>
      <c r="AL341" s="1050" cm="1">
        <f t="array" aca="1" ref="AL341" ca="1">INDEX(OFFSET($AK$19,MATCH($B341,$B$19:$B$150,0)-1,0,COUNTA($B$19:$B$24),COUNTA($AK$17:$BB$17)),MATCH($F341,$F$19:$F$24,0),MATCH(AL$17,$AK$17:$BB$17,0))*INDEX($10:$13,MATCH($O341,$R$10:$R$13,0),COLUMN())</f>
        <v>5.1759131199999996E-8</v>
      </c>
      <c r="AM341" s="1050" cm="1">
        <f t="array" aca="1" ref="AM341" ca="1">INDEX(OFFSET($AK$19,MATCH($B341,$B$19:$B$150,0)-1,0,COUNTA($B$19:$B$24),COUNTA($AK$17:$BB$17)),MATCH($F341,$F$19:$F$24,0),MATCH(AM$17,$AK$17:$BB$17,0))*INDEX($10:$13,MATCH($O341,$R$10:$R$13,0),COLUMN())</f>
        <v>9.5911377310000013E-5</v>
      </c>
      <c r="AN341" s="1050" cm="1">
        <f t="array" aca="1" ref="AN341" ca="1">INDEX(OFFSET($AK$19,MATCH($B341,$B$19:$B$150,0)-1,0,COUNTA($B$19:$B$24),COUNTA($AK$17:$BB$17)),MATCH($F341,$F$19:$F$24,0),MATCH(AN$17,$AK$17:$BB$17,0))*INDEX($10:$13,MATCH($O341,$R$10:$R$13,0),COLUMN())</f>
        <v>1.0272736904999998E-3</v>
      </c>
      <c r="AO341" s="1050" cm="1">
        <f t="array" aca="1" ref="AO341" ca="1">INDEX(OFFSET($AK$19,MATCH($B341,$B$19:$B$150,0)-1,0,COUNTA($B$19:$B$24),COUNTA($AK$17:$BB$17)),MATCH($F341,$F$19:$F$24,0),MATCH(AO$17,$AK$17:$BB$17,0))*INDEX($10:$13,MATCH($O341,$R$10:$R$13,0),COLUMN())</f>
        <v>1.6526345248E-2</v>
      </c>
      <c r="AP341" s="1050" cm="1">
        <f t="array" aca="1" ref="AP341" ca="1">INDEX(OFFSET($AK$19,MATCH($B341,$B$19:$B$150,0)-1,0,COUNTA($B$19:$B$24),COUNTA($AK$17:$BB$17)),MATCH($F341,$F$19:$F$24,0),MATCH(AP$17,$AK$17:$BB$17,0))*INDEX($10:$13,MATCH($O341,$R$10:$R$13,0),COLUMN())</f>
        <v>9.1346810800000001E-3</v>
      </c>
      <c r="AQ341" s="1050" cm="1">
        <f t="array" aca="1" ref="AQ341" ca="1">INDEX(OFFSET($AK$19,MATCH($B341,$B$19:$B$150,0)-1,0,COUNTA($B$19:$B$24),COUNTA($AK$17:$BB$17)),MATCH($F341,$F$19:$F$24,0),MATCH(AQ$17,$AK$17:$BB$17,0))*INDEX($10:$13,MATCH($O341,$R$10:$R$13,0),COLUMN())</f>
        <v>6.258640530000001E-5</v>
      </c>
      <c r="AR341" s="1050" cm="1">
        <f t="array" aca="1" ref="AR341" ca="1">INDEX(OFFSET($AK$19,MATCH($B341,$B$19:$B$150,0)-1,0,COUNTA($B$19:$B$24),COUNTA($AK$17:$BB$17)),MATCH($F341,$F$19:$F$24,0),MATCH(AR$17,$AK$17:$BB$17,0))*INDEX($10:$13,MATCH($O341,$R$10:$R$13,0),COLUMN())</f>
        <v>4.6721778799999995E-3</v>
      </c>
      <c r="AS341" s="1050" cm="1">
        <f t="array" aca="1" ref="AS341" ca="1">INDEX(OFFSET($AK$19,MATCH($B341,$B$19:$B$150,0)-1,0,COUNTA($B$19:$B$24),COUNTA($AK$17:$BB$17)),MATCH($F341,$F$19:$F$24,0),MATCH(AS$17,$AK$17:$BB$17,0))*INDEX($10:$13,MATCH($O341,$R$10:$R$13,0),COLUMN())</f>
        <v>5.9391031589999996E-4</v>
      </c>
      <c r="AT341" s="1050" cm="1">
        <f t="array" aca="1" ref="AT341" ca="1">INDEX(OFFSET($AK$19,MATCH($B341,$B$19:$B$150,0)-1,0,COUNTA($B$19:$B$24),COUNTA($AK$17:$BB$17)),MATCH($F341,$F$19:$F$24,0),MATCH(AT$17,$AK$17:$BB$17,0))*INDEX($10:$13,MATCH($O341,$R$10:$R$13,0),COLUMN())</f>
        <v>5.4334824779999999E-6</v>
      </c>
      <c r="AU341" s="1050" cm="1">
        <f t="array" aca="1" ref="AU341" ca="1">INDEX(OFFSET($AK$19,MATCH($B341,$B$19:$B$150,0)-1,0,COUNTA($B$19:$B$24),COUNTA($AK$17:$BB$17)),MATCH($F341,$F$19:$F$24,0),MATCH(AU$17,$AK$17:$BB$17,0))*INDEX($10:$13,MATCH($O341,$R$10:$R$13,0),COLUMN())</f>
        <v>1.1101397671E-6</v>
      </c>
      <c r="AV341" s="1050" cm="1">
        <f t="array" aca="1" ref="AV341" ca="1">INDEX(OFFSET($AK$19,MATCH($B341,$B$19:$B$150,0)-1,0,COUNTA($B$19:$B$24),COUNTA($AK$17:$BB$17)),MATCH($F341,$F$19:$F$24,0),MATCH(AV$17,$AK$17:$BB$17,0))*INDEX($10:$13,MATCH($O341,$R$10:$R$13,0),COLUMN())</f>
        <v>1.8232682596999999E-3</v>
      </c>
      <c r="AW341" s="1050" cm="1">
        <f t="array" aca="1" ref="AW341" ca="1">INDEX(OFFSET($AK$19,MATCH($B341,$B$19:$B$150,0)-1,0,COUNTA($B$19:$B$24),COUNTA($AK$17:$BB$17)),MATCH($F341,$F$19:$F$24,0),MATCH(AW$17,$AK$17:$BB$17,0))*INDEX($10:$13,MATCH($O341,$R$10:$R$13,0),COLUMN())</f>
        <v>0.2267349968</v>
      </c>
      <c r="AX341" s="1050" cm="1">
        <f t="array" aca="1" ref="AX341" ca="1">INDEX(OFFSET($AK$19,MATCH($B341,$B$19:$B$150,0)-1,0,COUNTA($B$19:$B$24),COUNTA($AK$17:$BB$17)),MATCH($F341,$F$19:$F$24,0),MATCH(AX$17,$AK$17:$BB$17,0))*INDEX($10:$13,MATCH($O341,$R$10:$R$13,0),COLUMN())</f>
        <v>5.7360829955000004E-8</v>
      </c>
      <c r="AY341" s="1050" cm="1">
        <f t="array" aca="1" ref="AY341" ca="1">INDEX(OFFSET($AK$19,MATCH($B341,$B$19:$B$150,0)-1,0,COUNTA($B$19:$B$24),COUNTA($AK$17:$BB$17)),MATCH($F341,$F$19:$F$24,0),MATCH(AY$17,$AK$17:$BB$17,0))*INDEX($10:$13,MATCH($O341,$R$10:$R$13,0),COLUMN())</f>
        <v>0</v>
      </c>
      <c r="AZ341" s="1050" cm="1">
        <f t="array" aca="1" ref="AZ341" ca="1">INDEX(OFFSET($AK$19,MATCH($B341,$B$19:$B$150,0)-1,0,COUNTA($B$19:$B$24),COUNTA($AK$17:$BB$17)),MATCH($F341,$F$19:$F$24,0),MATCH(AZ$17,$AK$17:$BB$17,0))*INDEX($10:$13,MATCH($O341,$R$10:$R$13,0),COLUMN())</f>
        <v>0</v>
      </c>
      <c r="BA341" s="1050" cm="1">
        <f t="array" aca="1" ref="BA341" ca="1">INDEX(OFFSET($AK$19,MATCH($B341,$B$19:$B$150,0)-1,0,COUNTA($B$19:$B$24),COUNTA($AK$17:$BB$17)),MATCH($F341,$F$19:$F$24,0),MATCH(BA$17,$AK$17:$BB$17,0))*INDEX($10:$13,MATCH($O341,$R$10:$R$13,0),COLUMN())</f>
        <v>0</v>
      </c>
      <c r="BB341" s="1051" cm="1">
        <f t="array" aca="1" ref="BB341" ca="1">INDEX(OFFSET($AK$19,MATCH($B341,$B$19:$B$150,0)-1,0,COUNTA($B$19:$B$24),COUNTA($AK$17:$BB$17)),MATCH($F341,$F$19:$F$24,0),MATCH(BB$17,$AK$17:$BB$17,0))*INDEX($10:$13,MATCH($O341,$R$10:$R$13,0),COLUMN())</f>
        <v>0</v>
      </c>
      <c r="BC341" s="1053">
        <f t="shared" ca="1" si="166"/>
        <v>0.22673505416082995</v>
      </c>
      <c r="BE341" s="1"/>
      <c r="BF341" s="1"/>
      <c r="BG341" s="1"/>
      <c r="BH341" s="1"/>
      <c r="BI341" s="1"/>
      <c r="BJ341" s="1"/>
      <c r="BK341" s="1"/>
      <c r="BL341" s="1"/>
      <c r="BM341" s="1"/>
      <c r="BN341" s="1"/>
      <c r="BO341" s="1"/>
      <c r="BP341" s="1"/>
      <c r="BQ341" s="1"/>
      <c r="BR341" s="1"/>
      <c r="BS341" s="1"/>
      <c r="BT341" s="1"/>
      <c r="BU341" s="1"/>
      <c r="BV341" s="1"/>
      <c r="BW341" s="1"/>
      <c r="BX341" s="1"/>
      <c r="BY341" s="1"/>
      <c r="BZ341" s="1"/>
    </row>
    <row r="342" spans="2:78" ht="12" customHeight="1" outlineLevel="1" x14ac:dyDescent="0.25">
      <c r="B342" s="104" t="s">
        <v>105</v>
      </c>
      <c r="C342" s="104" t="s">
        <v>121</v>
      </c>
      <c r="D342" s="2" t="s">
        <v>137</v>
      </c>
      <c r="E342" s="2" t="s">
        <v>141</v>
      </c>
      <c r="F342" s="105" t="s">
        <v>94</v>
      </c>
      <c r="G342" s="27" t="s">
        <v>1580</v>
      </c>
      <c r="H342" s="106" t="s">
        <v>131</v>
      </c>
      <c r="I342" s="107" t="s">
        <v>129</v>
      </c>
      <c r="J342" s="147">
        <v>0.81023034000000005</v>
      </c>
      <c r="K342" s="148">
        <v>3.15</v>
      </c>
      <c r="L342" s="149">
        <f t="shared" ca="1" si="167"/>
        <v>5.8257315996681942E-2</v>
      </c>
      <c r="M342" s="148">
        <f t="shared" ca="1" si="168"/>
        <v>3.3335105453895482</v>
      </c>
      <c r="N342" s="148">
        <f t="shared" ca="1" si="164"/>
        <v>0.18351054538954811</v>
      </c>
      <c r="O342" s="1062" t="s">
        <v>1583</v>
      </c>
      <c r="P342" s="104"/>
      <c r="R342" s="119"/>
      <c r="S342" s="1072"/>
      <c r="T342" s="1072"/>
      <c r="U342" s="1072"/>
      <c r="V342" s="1072"/>
      <c r="W342" s="1072"/>
      <c r="X342" s="1072"/>
      <c r="Y342" s="1072"/>
      <c r="Z342" s="1072"/>
      <c r="AA342" s="1072"/>
      <c r="AB342" s="1072"/>
      <c r="AC342" s="1072"/>
      <c r="AD342" s="1072"/>
      <c r="AE342" s="1072"/>
      <c r="AF342" s="1072"/>
      <c r="AG342" s="1072"/>
      <c r="AH342" s="1072"/>
      <c r="AI342" s="1072"/>
      <c r="AJ342" s="1073"/>
      <c r="AK342" s="1052" cm="1">
        <f t="array" aca="1" ref="AK342" ca="1">INDEX(OFFSET($AK$19,MATCH($B342,$B$19:$B$150,0)-1,0,COUNTA($B$19:$B$24),COUNTA($AK$17:$BB$17)),MATCH($F342,$F$19:$F$24,0),MATCH(AK$17,$AK$17:$BB$17,0))*INDEX($10:$13,MATCH($O342,$R$10:$R$13,0),COLUMN())</f>
        <v>2.75228343E-2</v>
      </c>
      <c r="AL342" s="1050" cm="1">
        <f t="array" aca="1" ref="AL342" ca="1">INDEX(OFFSET($AK$19,MATCH($B342,$B$19:$B$150,0)-1,0,COUNTA($B$19:$B$24),COUNTA($AK$17:$BB$17)),MATCH($F342,$F$19:$F$24,0),MATCH(AL$17,$AK$17:$BB$17,0))*INDEX($10:$13,MATCH($O342,$R$10:$R$13,0),COLUMN())</f>
        <v>3.0976128639999996E-8</v>
      </c>
      <c r="AM342" s="1050" cm="1">
        <f t="array" aca="1" ref="AM342" ca="1">INDEX(OFFSET($AK$19,MATCH($B342,$B$19:$B$150,0)-1,0,COUNTA($B$19:$B$24),COUNTA($AK$17:$BB$17)),MATCH($F342,$F$19:$F$24,0),MATCH(AM$17,$AK$17:$BB$17,0))*INDEX($10:$13,MATCH($O342,$R$10:$R$13,0),COLUMN())</f>
        <v>5.7399787670000009E-5</v>
      </c>
      <c r="AN342" s="1050" cm="1">
        <f t="array" aca="1" ref="AN342" ca="1">INDEX(OFFSET($AK$19,MATCH($B342,$B$19:$B$150,0)-1,0,COUNTA($B$19:$B$24),COUNTA($AK$17:$BB$17)),MATCH($F342,$F$19:$F$24,0),MATCH(AN$17,$AK$17:$BB$17,0))*INDEX($10:$13,MATCH($O342,$R$10:$R$13,0),COLUMN())</f>
        <v>6.1478932149999993E-4</v>
      </c>
      <c r="AO342" s="1050" cm="1">
        <f t="array" aca="1" ref="AO342" ca="1">INDEX(OFFSET($AK$19,MATCH($B342,$B$19:$B$150,0)-1,0,COUNTA($B$19:$B$24),COUNTA($AK$17:$BB$17)),MATCH($F342,$F$19:$F$24,0),MATCH(AO$17,$AK$17:$BB$17,0))*INDEX($10:$13,MATCH($O342,$R$10:$R$13,0),COLUMN())</f>
        <v>9.8904708560000002E-3</v>
      </c>
      <c r="AP342" s="1050" cm="1">
        <f t="array" aca="1" ref="AP342" ca="1">INDEX(OFFSET($AK$19,MATCH($B342,$B$19:$B$150,0)-1,0,COUNTA($B$19:$B$24),COUNTA($AK$17:$BB$17)),MATCH($F342,$F$19:$F$24,0),MATCH(AP$17,$AK$17:$BB$17,0))*INDEX($10:$13,MATCH($O342,$R$10:$R$13,0),COLUMN())</f>
        <v>5.466804678999999E-3</v>
      </c>
      <c r="AQ342" s="1050" cm="1">
        <f t="array" aca="1" ref="AQ342" ca="1">INDEX(OFFSET($AK$19,MATCH($B342,$B$19:$B$150,0)-1,0,COUNTA($B$19:$B$24),COUNTA($AK$17:$BB$17)),MATCH($F342,$F$19:$F$24,0),MATCH(AQ$17,$AK$17:$BB$17,0))*INDEX($10:$13,MATCH($O342,$R$10:$R$13,0),COLUMN())</f>
        <v>3.7455893219999999E-5</v>
      </c>
      <c r="AR342" s="1050" cm="1">
        <f t="array" aca="1" ref="AR342" ca="1">INDEX(OFFSET($AK$19,MATCH($B342,$B$19:$B$150,0)-1,0,COUNTA($B$19:$B$24),COUNTA($AK$17:$BB$17)),MATCH($F342,$F$19:$F$24,0),MATCH(AR$17,$AK$17:$BB$17,0))*INDEX($10:$13,MATCH($O342,$R$10:$R$13,0),COLUMN())</f>
        <v>2.7961438381999999E-3</v>
      </c>
      <c r="AS342" s="1050" cm="1">
        <f t="array" aca="1" ref="AS342" ca="1">INDEX(OFFSET($AK$19,MATCH($B342,$B$19:$B$150,0)-1,0,COUNTA($B$19:$B$24),COUNTA($AK$17:$BB$17)),MATCH($F342,$F$19:$F$24,0),MATCH(AS$17,$AK$17:$BB$17,0))*INDEX($10:$13,MATCH($O342,$R$10:$R$13,0),COLUMN())</f>
        <v>3.5138877048000001E-4</v>
      </c>
      <c r="AT342" s="1050" cm="1">
        <f t="array" aca="1" ref="AT342" ca="1">INDEX(OFFSET($AK$19,MATCH($B342,$B$19:$B$150,0)-1,0,COUNTA($B$19:$B$24),COUNTA($AK$17:$BB$17)),MATCH($F342,$F$19:$F$24,0),MATCH(AT$17,$AK$17:$BB$17,0))*INDEX($10:$13,MATCH($O342,$R$10:$R$13,0),COLUMN())</f>
        <v>3.2503898139000001E-6</v>
      </c>
      <c r="AU342" s="1050" cm="1">
        <f t="array" aca="1" ref="AU342" ca="1">INDEX(OFFSET($AK$19,MATCH($B342,$B$19:$B$150,0)-1,0,COUNTA($B$19:$B$24),COUNTA($AK$17:$BB$17)),MATCH($F342,$F$19:$F$24,0),MATCH(AU$17,$AK$17:$BB$17,0))*INDEX($10:$13,MATCH($O342,$R$10:$R$13,0),COLUMN())</f>
        <v>6.6422957623999997E-7</v>
      </c>
      <c r="AV342" s="1050" cm="1">
        <f t="array" aca="1" ref="AV342" ca="1">INDEX(OFFSET($AK$19,MATCH($B342,$B$19:$B$150,0)-1,0,COUNTA($B$19:$B$24),COUNTA($AK$17:$BB$17)),MATCH($F342,$F$19:$F$24,0),MATCH(AV$17,$AK$17:$BB$17,0))*INDEX($10:$13,MATCH($O342,$R$10:$R$13,0),COLUMN())</f>
        <v>1.0758825193999998E-3</v>
      </c>
      <c r="AW342" s="1050" cm="1">
        <f t="array" aca="1" ref="AW342" ca="1">INDEX(OFFSET($AK$19,MATCH($B342,$B$19:$B$150,0)-1,0,COUNTA($B$19:$B$24),COUNTA($AK$17:$BB$17)),MATCH($F342,$F$19:$F$24,0),MATCH(AW$17,$AK$17:$BB$17,0))*INDEX($10:$13,MATCH($O342,$R$10:$R$13,0),COLUMN())</f>
        <v>0.13569339550000001</v>
      </c>
      <c r="AX342" s="1050" cm="1">
        <f t="array" aca="1" ref="AX342" ca="1">INDEX(OFFSET($AK$19,MATCH($B342,$B$19:$B$150,0)-1,0,COUNTA($B$19:$B$24),COUNTA($AK$17:$BB$17)),MATCH($F342,$F$19:$F$24,0),MATCH(AX$17,$AK$17:$BB$17,0))*INDEX($10:$13,MATCH($O342,$R$10:$R$13,0),COLUMN())</f>
        <v>3.4328559330000004E-8</v>
      </c>
      <c r="AY342" s="1050" cm="1">
        <f t="array" aca="1" ref="AY342" ca="1">INDEX(OFFSET($AK$19,MATCH($B342,$B$19:$B$150,0)-1,0,COUNTA($B$19:$B$24),COUNTA($AK$17:$BB$17)),MATCH($F342,$F$19:$F$24,0),MATCH(AY$17,$AK$17:$BB$17,0))*INDEX($10:$13,MATCH($O342,$R$10:$R$13,0),COLUMN())</f>
        <v>0</v>
      </c>
      <c r="AZ342" s="1050" cm="1">
        <f t="array" aca="1" ref="AZ342" ca="1">INDEX(OFFSET($AK$19,MATCH($B342,$B$19:$B$150,0)-1,0,COUNTA($B$19:$B$24),COUNTA($AK$17:$BB$17)),MATCH($F342,$F$19:$F$24,0),MATCH(AZ$17,$AK$17:$BB$17,0))*INDEX($10:$13,MATCH($O342,$R$10:$R$13,0),COLUMN())</f>
        <v>0</v>
      </c>
      <c r="BA342" s="1050" cm="1">
        <f t="array" aca="1" ref="BA342" ca="1">INDEX(OFFSET($AK$19,MATCH($B342,$B$19:$B$150,0)-1,0,COUNTA($B$19:$B$24),COUNTA($AK$17:$BB$17)),MATCH($F342,$F$19:$F$24,0),MATCH(BA$17,$AK$17:$BB$17,0))*INDEX($10:$13,MATCH($O342,$R$10:$R$13,0),COLUMN())</f>
        <v>0</v>
      </c>
      <c r="BB342" s="1051" cm="1">
        <f t="array" aca="1" ref="BB342" ca="1">INDEX(OFFSET($AK$19,MATCH($B342,$B$19:$B$150,0)-1,0,COUNTA($B$19:$B$24),COUNTA($AK$17:$BB$17)),MATCH($F342,$F$19:$F$24,0),MATCH(BB$17,$AK$17:$BB$17,0))*INDEX($10:$13,MATCH($O342,$R$10:$R$13,0),COLUMN())</f>
        <v>0</v>
      </c>
      <c r="BC342" s="1053">
        <f t="shared" ca="1" si="166"/>
        <v>0.13569342982855934</v>
      </c>
      <c r="BE342" s="1"/>
      <c r="BF342" s="1"/>
      <c r="BG342" s="1"/>
      <c r="BH342" s="1"/>
      <c r="BI342" s="1"/>
      <c r="BJ342" s="1"/>
      <c r="BK342" s="1"/>
      <c r="BL342" s="1"/>
      <c r="BM342" s="1"/>
      <c r="BN342" s="1"/>
      <c r="BO342" s="1"/>
      <c r="BP342" s="1"/>
      <c r="BQ342" s="1"/>
      <c r="BR342" s="1"/>
      <c r="BS342" s="1"/>
      <c r="BT342" s="1"/>
      <c r="BU342" s="1"/>
      <c r="BV342" s="1"/>
      <c r="BW342" s="1"/>
      <c r="BX342" s="1"/>
      <c r="BY342" s="1"/>
      <c r="BZ342" s="1"/>
    </row>
    <row r="343" spans="2:78" ht="12" customHeight="1" outlineLevel="1" x14ac:dyDescent="0.25">
      <c r="B343" s="104" t="s">
        <v>105</v>
      </c>
      <c r="C343" s="104" t="s">
        <v>121</v>
      </c>
      <c r="D343" s="2" t="s">
        <v>137</v>
      </c>
      <c r="E343" s="2" t="s">
        <v>141</v>
      </c>
      <c r="F343" s="105" t="s">
        <v>95</v>
      </c>
      <c r="G343" s="27" t="s">
        <v>1581</v>
      </c>
      <c r="H343" s="106" t="s">
        <v>128</v>
      </c>
      <c r="I343" s="107" t="s">
        <v>127</v>
      </c>
      <c r="J343" s="147">
        <v>0.81023034000000005</v>
      </c>
      <c r="K343" s="148">
        <v>3.15</v>
      </c>
      <c r="L343" s="149">
        <f t="shared" ca="1" si="167"/>
        <v>8.9323053422533744E-2</v>
      </c>
      <c r="M343" s="148">
        <f t="shared" ca="1" si="168"/>
        <v>3.4313676182809814</v>
      </c>
      <c r="N343" s="148">
        <f t="shared" ca="1" si="164"/>
        <v>0.28136761828098128</v>
      </c>
      <c r="O343" s="1062" t="s">
        <v>1583</v>
      </c>
      <c r="P343" s="104"/>
      <c r="R343" s="119"/>
      <c r="S343" s="1072"/>
      <c r="T343" s="1072"/>
      <c r="U343" s="1072"/>
      <c r="V343" s="1072"/>
      <c r="W343" s="1072"/>
      <c r="X343" s="1072"/>
      <c r="Y343" s="1072"/>
      <c r="Z343" s="1072"/>
      <c r="AA343" s="1072"/>
      <c r="AB343" s="1072"/>
      <c r="AC343" s="1072"/>
      <c r="AD343" s="1072"/>
      <c r="AE343" s="1072"/>
      <c r="AF343" s="1072"/>
      <c r="AG343" s="1072"/>
      <c r="AH343" s="1072"/>
      <c r="AI343" s="1072"/>
      <c r="AJ343" s="1073"/>
      <c r="AK343" s="1052" cm="1">
        <f t="array" aca="1" ref="AK343" ca="1">INDEX(OFFSET($AK$19,MATCH($B343,$B$19:$B$150,0)-1,0,COUNTA($B$19:$B$24),COUNTA($AK$17:$BB$17)),MATCH($F343,$F$19:$F$24,0),MATCH(AK$17,$AK$17:$BB$17,0))*INDEX($10:$13,MATCH($O343,$R$10:$R$13,0),COLUMN())</f>
        <v>4.0573300950000002E-2</v>
      </c>
      <c r="AL343" s="1050" cm="1">
        <f t="array" aca="1" ref="AL343" ca="1">INDEX(OFFSET($AK$19,MATCH($B343,$B$19:$B$150,0)-1,0,COUNTA($B$19:$B$24),COUNTA($AK$17:$BB$17)),MATCH($F343,$F$19:$F$24,0),MATCH(AL$17,$AK$17:$BB$17,0))*INDEX($10:$13,MATCH($O343,$R$10:$R$13,0),COLUMN())</f>
        <v>3.9078683199999994E-8</v>
      </c>
      <c r="AM343" s="1050" cm="1">
        <f t="array" aca="1" ref="AM343" ca="1">INDEX(OFFSET($AK$19,MATCH($B343,$B$19:$B$150,0)-1,0,COUNTA($B$19:$B$24),COUNTA($AK$17:$BB$17)),MATCH($F343,$F$19:$F$24,0),MATCH(AM$17,$AK$17:$BB$17,0))*INDEX($10:$13,MATCH($O343,$R$10:$R$13,0),COLUMN())</f>
        <v>7.2411653369999998E-5</v>
      </c>
      <c r="AN343" s="1050" cm="1">
        <f t="array" aca="1" ref="AN343" ca="1">INDEX(OFFSET($AK$19,MATCH($B343,$B$19:$B$150,0)-1,0,COUNTA($B$19:$B$24),COUNTA($AK$17:$BB$17)),MATCH($F343,$F$19:$F$24,0),MATCH(AN$17,$AK$17:$BB$17,0))*INDEX($10:$13,MATCH($O343,$R$10:$R$13,0),COLUMN())</f>
        <v>8.3159649849999994E-4</v>
      </c>
      <c r="AO343" s="1050" cm="1">
        <f t="array" aca="1" ref="AO343" ca="1">INDEX(OFFSET($AK$19,MATCH($B343,$B$19:$B$150,0)-1,0,COUNTA($B$19:$B$24),COUNTA($AK$17:$BB$17)),MATCH($F343,$F$19:$F$24,0),MATCH(AO$17,$AK$17:$BB$17,0))*INDEX($10:$13,MATCH($O343,$R$10:$R$13,0),COLUMN())</f>
        <v>3.0320286248000001E-2</v>
      </c>
      <c r="AP343" s="1050" cm="1">
        <f t="array" aca="1" ref="AP343" ca="1">INDEX(OFFSET($AK$19,MATCH($B343,$B$19:$B$150,0)-1,0,COUNTA($B$19:$B$24),COUNTA($AK$17:$BB$17)),MATCH($F343,$F$19:$F$24,0),MATCH(AP$17,$AK$17:$BB$17,0))*INDEX($10:$13,MATCH($O343,$R$10:$R$13,0),COLUMN())</f>
        <v>2.3922885266000001E-2</v>
      </c>
      <c r="AQ343" s="1050" cm="1">
        <f t="array" aca="1" ref="AQ343" ca="1">INDEX(OFFSET($AK$19,MATCH($B343,$B$19:$B$150,0)-1,0,COUNTA($B$19:$B$24),COUNTA($AK$17:$BB$17)),MATCH($F343,$F$19:$F$24,0),MATCH(AQ$17,$AK$17:$BB$17,0))*INDEX($10:$13,MATCH($O343,$R$10:$R$13,0),COLUMN())</f>
        <v>1.8565556706000001E-4</v>
      </c>
      <c r="AR343" s="1050" cm="1">
        <f t="array" aca="1" ref="AR343" ca="1">INDEX(OFFSET($AK$19,MATCH($B343,$B$19:$B$150,0)-1,0,COUNTA($B$19:$B$24),COUNTA($AK$17:$BB$17)),MATCH($F343,$F$19:$F$24,0),MATCH(AR$17,$AK$17:$BB$17,0))*INDEX($10:$13,MATCH($O343,$R$10:$R$13,0),COLUMN())</f>
        <v>8.0477603729999982E-3</v>
      </c>
      <c r="AS343" s="1050" cm="1">
        <f t="array" aca="1" ref="AS343" ca="1">INDEX(OFFSET($AK$19,MATCH($B343,$B$19:$B$150,0)-1,0,COUNTA($B$19:$B$24),COUNTA($AK$17:$BB$17)),MATCH($F343,$F$19:$F$24,0),MATCH(AS$17,$AK$17:$BB$17,0))*INDEX($10:$13,MATCH($O343,$R$10:$R$13,0),COLUMN())</f>
        <v>2.6426167470999999E-3</v>
      </c>
      <c r="AT343" s="1050" cm="1">
        <f t="array" aca="1" ref="AT343" ca="1">INDEX(OFFSET($AK$19,MATCH($B343,$B$19:$B$150,0)-1,0,COUNTA($B$19:$B$24),COUNTA($AK$17:$BB$17)),MATCH($F343,$F$19:$F$24,0),MATCH(AT$17,$AK$17:$BB$17,0))*INDEX($10:$13,MATCH($O343,$R$10:$R$13,0),COLUMN())</f>
        <v>5.6659011369999996E-6</v>
      </c>
      <c r="AU343" s="1050" cm="1">
        <f t="array" aca="1" ref="AU343" ca="1">INDEX(OFFSET($AK$19,MATCH($B343,$B$19:$B$150,0)-1,0,COUNTA($B$19:$B$24),COUNTA($AK$17:$BB$17)),MATCH($F343,$F$19:$F$24,0),MATCH(AU$17,$AK$17:$BB$17,0))*INDEX($10:$13,MATCH($O343,$R$10:$R$13,0),COLUMN())</f>
        <v>1.0749512475000001E-6</v>
      </c>
      <c r="AV343" s="1050" cm="1">
        <f t="array" aca="1" ref="AV343" ca="1">INDEX(OFFSET($AK$19,MATCH($B343,$B$19:$B$150,0)-1,0,COUNTA($B$19:$B$24),COUNTA($AK$17:$BB$17)),MATCH($F343,$F$19:$F$24,0),MATCH(AV$17,$AK$17:$BB$17,0))*INDEX($10:$13,MATCH($O343,$R$10:$R$13,0),COLUMN())</f>
        <v>4.9772321930999994E-3</v>
      </c>
      <c r="AW343" s="1050" cm="1">
        <f t="array" aca="1" ref="AW343" ca="1">INDEX(OFFSET($AK$19,MATCH($B343,$B$19:$B$150,0)-1,0,COUNTA($B$19:$B$24),COUNTA($AK$17:$BB$17)),MATCH($F343,$F$19:$F$24,0),MATCH(AW$17,$AK$17:$BB$17,0))*INDEX($10:$13,MATCH($O343,$R$10:$R$13,0),COLUMN())</f>
        <v>0.16978704990000001</v>
      </c>
      <c r="AX343" s="1050" cm="1">
        <f t="array" aca="1" ref="AX343" ca="1">INDEX(OFFSET($AK$19,MATCH($B343,$B$19:$B$150,0)-1,0,COUNTA($B$19:$B$24),COUNTA($AK$17:$BB$17)),MATCH($F343,$F$19:$F$24,0),MATCH(AX$17,$AK$17:$BB$17,0))*INDEX($10:$13,MATCH($O343,$R$10:$R$13,0),COLUMN())</f>
        <v>4.2953783600000006E-8</v>
      </c>
      <c r="AY343" s="1050" cm="1">
        <f t="array" aca="1" ref="AY343" ca="1">INDEX(OFFSET($AK$19,MATCH($B343,$B$19:$B$150,0)-1,0,COUNTA($B$19:$B$24),COUNTA($AK$17:$BB$17)),MATCH($F343,$F$19:$F$24,0),MATCH(AY$17,$AK$17:$BB$17,0))*INDEX($10:$13,MATCH($O343,$R$10:$R$13,0),COLUMN())</f>
        <v>0</v>
      </c>
      <c r="AZ343" s="1050" cm="1">
        <f t="array" aca="1" ref="AZ343" ca="1">INDEX(OFFSET($AK$19,MATCH($B343,$B$19:$B$150,0)-1,0,COUNTA($B$19:$B$24),COUNTA($AK$17:$BB$17)),MATCH($F343,$F$19:$F$24,0),MATCH(AZ$17,$AK$17:$BB$17,0))*INDEX($10:$13,MATCH($O343,$R$10:$R$13,0),COLUMN())</f>
        <v>0</v>
      </c>
      <c r="BA343" s="1050" cm="1">
        <f t="array" aca="1" ref="BA343" ca="1">INDEX(OFFSET($AK$19,MATCH($B343,$B$19:$B$150,0)-1,0,COUNTA($B$19:$B$24),COUNTA($AK$17:$BB$17)),MATCH($F343,$F$19:$F$24,0),MATCH(BA$17,$AK$17:$BB$17,0))*INDEX($10:$13,MATCH($O343,$R$10:$R$13,0),COLUMN())</f>
        <v>0</v>
      </c>
      <c r="BB343" s="1051" cm="1">
        <f t="array" aca="1" ref="BB343" ca="1">INDEX(OFFSET($AK$19,MATCH($B343,$B$19:$B$150,0)-1,0,COUNTA($B$19:$B$24),COUNTA($AK$17:$BB$17)),MATCH($F343,$F$19:$F$24,0),MATCH(BB$17,$AK$17:$BB$17,0))*INDEX($10:$13,MATCH($O343,$R$10:$R$13,0),COLUMN())</f>
        <v>0</v>
      </c>
      <c r="BC343" s="1053">
        <f t="shared" ca="1" si="166"/>
        <v>0.16978709285378363</v>
      </c>
      <c r="BE343" s="1"/>
      <c r="BF343" s="1"/>
      <c r="BG343" s="1"/>
      <c r="BH343" s="1"/>
      <c r="BI343" s="1"/>
      <c r="BJ343" s="1"/>
      <c r="BK343" s="1"/>
      <c r="BL343" s="1"/>
      <c r="BM343" s="1"/>
      <c r="BN343" s="1"/>
      <c r="BO343" s="1"/>
      <c r="BP343" s="1"/>
      <c r="BQ343" s="1"/>
      <c r="BR343" s="1"/>
      <c r="BS343" s="1"/>
      <c r="BT343" s="1"/>
      <c r="BU343" s="1"/>
      <c r="BV343" s="1"/>
      <c r="BW343" s="1"/>
      <c r="BX343" s="1"/>
      <c r="BY343" s="1"/>
      <c r="BZ343" s="1"/>
    </row>
    <row r="344" spans="2:78" ht="12" customHeight="1" outlineLevel="1" x14ac:dyDescent="0.25">
      <c r="B344" s="104" t="s">
        <v>105</v>
      </c>
      <c r="C344" s="104" t="s">
        <v>121</v>
      </c>
      <c r="D344" s="2" t="s">
        <v>137</v>
      </c>
      <c r="E344" s="2" t="s">
        <v>141</v>
      </c>
      <c r="F344" s="105" t="s">
        <v>96</v>
      </c>
      <c r="G344" s="27" t="s">
        <v>1582</v>
      </c>
      <c r="H344" s="106" t="s">
        <v>128</v>
      </c>
      <c r="I344" s="107" t="s">
        <v>1577</v>
      </c>
      <c r="J344" s="147">
        <v>0.81023034000000005</v>
      </c>
      <c r="K344" s="148">
        <v>3.15</v>
      </c>
      <c r="L344" s="149">
        <f t="shared" ca="1" si="167"/>
        <v>0.10124626103203363</v>
      </c>
      <c r="M344" s="148">
        <f t="shared" ca="1" si="168"/>
        <v>3.4689257222509058</v>
      </c>
      <c r="N344" s="148">
        <f t="shared" ca="1" si="164"/>
        <v>0.31892572225090593</v>
      </c>
      <c r="O344" s="1062" t="s">
        <v>1583</v>
      </c>
      <c r="P344" s="104"/>
      <c r="R344" s="119"/>
      <c r="S344" s="1072"/>
      <c r="T344" s="1072"/>
      <c r="U344" s="1072"/>
      <c r="V344" s="1072"/>
      <c r="W344" s="1072"/>
      <c r="X344" s="1072"/>
      <c r="Y344" s="1072"/>
      <c r="Z344" s="1072"/>
      <c r="AA344" s="1072"/>
      <c r="AB344" s="1072"/>
      <c r="AC344" s="1072"/>
      <c r="AD344" s="1072"/>
      <c r="AE344" s="1072"/>
      <c r="AF344" s="1072"/>
      <c r="AG344" s="1072"/>
      <c r="AH344" s="1072"/>
      <c r="AI344" s="1072"/>
      <c r="AJ344" s="1073"/>
      <c r="AK344" s="1052" cm="1">
        <f t="array" aca="1" ref="AK344" ca="1">INDEX(OFFSET($AK$19,MATCH($B344,$B$19:$B$150,0)-1,0,COUNTA($B$19:$B$24),COUNTA($AK$17:$BB$17)),MATCH($F344,$F$19:$F$24,0),MATCH(AK$17,$AK$17:$BB$17,0))*INDEX($10:$13,MATCH($O344,$R$10:$R$13,0),COLUMN())</f>
        <v>4.4970307200000004E-2</v>
      </c>
      <c r="AL344" s="1050" cm="1">
        <f t="array" aca="1" ref="AL344" ca="1">INDEX(OFFSET($AK$19,MATCH($B344,$B$19:$B$150,0)-1,0,COUNTA($B$19:$B$24),COUNTA($AK$17:$BB$17)),MATCH($F344,$F$19:$F$24,0),MATCH(AL$17,$AK$17:$BB$17,0))*INDEX($10:$13,MATCH($O344,$R$10:$R$13,0),COLUMN())</f>
        <v>3.9287287999999999E-8</v>
      </c>
      <c r="AM344" s="1050" cm="1">
        <f t="array" aca="1" ref="AM344" ca="1">INDEX(OFFSET($AK$19,MATCH($B344,$B$19:$B$150,0)-1,0,COUNTA($B$19:$B$24),COUNTA($AK$17:$BB$17)),MATCH($F344,$F$19:$F$24,0),MATCH(AM$17,$AK$17:$BB$17,0))*INDEX($10:$13,MATCH($O344,$R$10:$R$13,0),COLUMN())</f>
        <v>7.2796616030000014E-5</v>
      </c>
      <c r="AN344" s="1050" cm="1">
        <f t="array" aca="1" ref="AN344" ca="1">INDEX(OFFSET($AK$19,MATCH($B344,$B$19:$B$150,0)-1,0,COUNTA($B$19:$B$24),COUNTA($AK$17:$BB$17)),MATCH($F344,$F$19:$F$24,0),MATCH(AN$17,$AK$17:$BB$17,0))*INDEX($10:$13,MATCH($O344,$R$10:$R$13,0),COLUMN())</f>
        <v>8.7227943899999998E-4</v>
      </c>
      <c r="AO344" s="1050" cm="1">
        <f t="array" aca="1" ref="AO344" ca="1">INDEX(OFFSET($AK$19,MATCH($B344,$B$19:$B$150,0)-1,0,COUNTA($B$19:$B$24),COUNTA($AK$17:$BB$17)),MATCH($F344,$F$19:$F$24,0),MATCH(AO$17,$AK$17:$BB$17,0))*INDEX($10:$13,MATCH($O344,$R$10:$R$13,0),COLUMN())</f>
        <v>4.3366528800000005E-2</v>
      </c>
      <c r="AP344" s="1050" cm="1">
        <f t="array" aca="1" ref="AP344" ca="1">INDEX(OFFSET($AK$19,MATCH($B344,$B$19:$B$150,0)-1,0,COUNTA($B$19:$B$24),COUNTA($AK$17:$BB$17)),MATCH($F344,$F$19:$F$24,0),MATCH(AP$17,$AK$17:$BB$17,0))*INDEX($10:$13,MATCH($O344,$R$10:$R$13,0),COLUMN())</f>
        <v>3.6367281684999996E-2</v>
      </c>
      <c r="AQ344" s="1050" cm="1">
        <f t="array" aca="1" ref="AQ344" ca="1">INDEX(OFFSET($AK$19,MATCH($B344,$B$19:$B$150,0)-1,0,COUNTA($B$19:$B$24),COUNTA($AK$17:$BB$17)),MATCH($F344,$F$19:$F$24,0),MATCH(AQ$17,$AK$17:$BB$17,0))*INDEX($10:$13,MATCH($O344,$R$10:$R$13,0),COLUMN())</f>
        <v>2.8449799260000001E-4</v>
      </c>
      <c r="AR344" s="1050" cm="1">
        <f t="array" aca="1" ref="AR344" ca="1">INDEX(OFFSET($AK$19,MATCH($B344,$B$19:$B$150,0)-1,0,COUNTA($B$19:$B$24),COUNTA($AK$17:$BB$17)),MATCH($F344,$F$19:$F$24,0),MATCH(AR$17,$AK$17:$BB$17,0))*INDEX($10:$13,MATCH($O344,$R$10:$R$13,0),COLUMN())</f>
        <v>1.1364370735E-2</v>
      </c>
      <c r="AS344" s="1050" cm="1">
        <f t="array" aca="1" ref="AS344" ca="1">INDEX(OFFSET($AK$19,MATCH($B344,$B$19:$B$150,0)-1,0,COUNTA($B$19:$B$24),COUNTA($AK$17:$BB$17)),MATCH($F344,$F$19:$F$24,0),MATCH(AS$17,$AK$17:$BB$17,0))*INDEX($10:$13,MATCH($O344,$R$10:$R$13,0),COLUMN())</f>
        <v>4.1474910729999998E-3</v>
      </c>
      <c r="AT344" s="1050" cm="1">
        <f t="array" aca="1" ref="AT344" ca="1">INDEX(OFFSET($AK$19,MATCH($B344,$B$19:$B$150,0)-1,0,COUNTA($B$19:$B$24),COUNTA($AK$17:$BB$17)),MATCH($F344,$F$19:$F$24,0),MATCH(AT$17,$AK$17:$BB$17,0))*INDEX($10:$13,MATCH($O344,$R$10:$R$13,0),COLUMN())</f>
        <v>6.341253078E-6</v>
      </c>
      <c r="AU344" s="1050" cm="1">
        <f t="array" aca="1" ref="AU344" ca="1">INDEX(OFFSET($AK$19,MATCH($B344,$B$19:$B$150,0)-1,0,COUNTA($B$19:$B$24),COUNTA($AK$17:$BB$17)),MATCH($F344,$F$19:$F$24,0),MATCH(AU$17,$AK$17:$BB$17,0))*INDEX($10:$13,MATCH($O344,$R$10:$R$13,0),COLUMN())</f>
        <v>1.1714123263E-6</v>
      </c>
      <c r="AV344" s="1050" cm="1">
        <f t="array" aca="1" ref="AV344" ca="1">INDEX(OFFSET($AK$19,MATCH($B344,$B$19:$B$150,0)-1,0,COUNTA($B$19:$B$24),COUNTA($AK$17:$BB$17)),MATCH($F344,$F$19:$F$24,0),MATCH(AV$17,$AK$17:$BB$17,0))*INDEX($10:$13,MATCH($O344,$R$10:$R$13,0),COLUMN())</f>
        <v>7.6855239037999989E-3</v>
      </c>
      <c r="AW344" s="1050" cm="1">
        <f t="array" aca="1" ref="AW344" ca="1">INDEX(OFFSET($AK$19,MATCH($B344,$B$19:$B$150,0)-1,0,COUNTA($B$19:$B$24),COUNTA($AK$17:$BB$17)),MATCH($F344,$F$19:$F$24,0),MATCH(AW$17,$AK$17:$BB$17,0))*INDEX($10:$13,MATCH($O344,$R$10:$R$13,0),COLUMN())</f>
        <v>0.16978704990000001</v>
      </c>
      <c r="AX344" s="1050" cm="1">
        <f t="array" aca="1" ref="AX344" ca="1">INDEX(OFFSET($AK$19,MATCH($B344,$B$19:$B$150,0)-1,0,COUNTA($B$19:$B$24),COUNTA($AK$17:$BB$17)),MATCH($F344,$F$19:$F$24,0),MATCH(AX$17,$AK$17:$BB$17,0))*INDEX($10:$13,MATCH($O344,$R$10:$R$13,0),COLUMN())</f>
        <v>4.2953783600000006E-8</v>
      </c>
      <c r="AY344" s="1050" cm="1">
        <f t="array" aca="1" ref="AY344" ca="1">INDEX(OFFSET($AK$19,MATCH($B344,$B$19:$B$150,0)-1,0,COUNTA($B$19:$B$24),COUNTA($AK$17:$BB$17)),MATCH($F344,$F$19:$F$24,0),MATCH(AY$17,$AK$17:$BB$17,0))*INDEX($10:$13,MATCH($O344,$R$10:$R$13,0),COLUMN())</f>
        <v>0</v>
      </c>
      <c r="AZ344" s="1050" cm="1">
        <f t="array" aca="1" ref="AZ344" ca="1">INDEX(OFFSET($AK$19,MATCH($B344,$B$19:$B$150,0)-1,0,COUNTA($B$19:$B$24),COUNTA($AK$17:$BB$17)),MATCH($F344,$F$19:$F$24,0),MATCH(AZ$17,$AK$17:$BB$17,0))*INDEX($10:$13,MATCH($O344,$R$10:$R$13,0),COLUMN())</f>
        <v>0</v>
      </c>
      <c r="BA344" s="1050" cm="1">
        <f t="array" aca="1" ref="BA344" ca="1">INDEX(OFFSET($AK$19,MATCH($B344,$B$19:$B$150,0)-1,0,COUNTA($B$19:$B$24),COUNTA($AK$17:$BB$17)),MATCH($F344,$F$19:$F$24,0),MATCH(BA$17,$AK$17:$BB$17,0))*INDEX($10:$13,MATCH($O344,$R$10:$R$13,0),COLUMN())</f>
        <v>0</v>
      </c>
      <c r="BB344" s="1051" cm="1">
        <f t="array" aca="1" ref="BB344" ca="1">INDEX(OFFSET($AK$19,MATCH($B344,$B$19:$B$150,0)-1,0,COUNTA($B$19:$B$24),COUNTA($AK$17:$BB$17)),MATCH($F344,$F$19:$F$24,0),MATCH(BB$17,$AK$17:$BB$17,0))*INDEX($10:$13,MATCH($O344,$R$10:$R$13,0),COLUMN())</f>
        <v>0</v>
      </c>
      <c r="BC344" s="1053">
        <f t="shared" ref="BC344:BC375" ca="1" si="169">SUM(AW344:AY344)</f>
        <v>0.16978709285378363</v>
      </c>
      <c r="BE344" s="1"/>
      <c r="BF344" s="1"/>
      <c r="BG344" s="1"/>
      <c r="BH344" s="1"/>
      <c r="BI344" s="1"/>
      <c r="BJ344" s="1"/>
      <c r="BK344" s="1"/>
      <c r="BL344" s="1"/>
      <c r="BM344" s="1"/>
      <c r="BN344" s="1"/>
      <c r="BO344" s="1"/>
      <c r="BP344" s="1"/>
      <c r="BQ344" s="1"/>
      <c r="BR344" s="1"/>
      <c r="BS344" s="1"/>
      <c r="BT344" s="1"/>
      <c r="BU344" s="1"/>
      <c r="BV344" s="1"/>
      <c r="BW344" s="1"/>
      <c r="BX344" s="1"/>
      <c r="BY344" s="1"/>
      <c r="BZ344" s="1"/>
    </row>
    <row r="345" spans="2:78" ht="12" customHeight="1" outlineLevel="1" x14ac:dyDescent="0.25">
      <c r="B345" s="88" t="s">
        <v>106</v>
      </c>
      <c r="C345" s="88" t="s">
        <v>121</v>
      </c>
      <c r="D345" s="89" t="s">
        <v>137</v>
      </c>
      <c r="E345" s="89" t="s">
        <v>142</v>
      </c>
      <c r="F345" s="90" t="s">
        <v>92</v>
      </c>
      <c r="G345" s="18" t="s">
        <v>126</v>
      </c>
      <c r="H345" s="91" t="s">
        <v>127</v>
      </c>
      <c r="I345" s="92" t="s">
        <v>127</v>
      </c>
      <c r="J345" s="142">
        <v>4.9808850400000004</v>
      </c>
      <c r="K345" s="143">
        <v>0.32371000000000005</v>
      </c>
      <c r="L345" s="144">
        <f t="shared" ca="1" si="167"/>
        <v>3.0286252192786853</v>
      </c>
      <c r="M345" s="143">
        <f t="shared" ca="1" si="168"/>
        <v>1.3041062697327033</v>
      </c>
      <c r="N345" s="143">
        <f t="shared" ca="1" si="164"/>
        <v>0.98039626973270333</v>
      </c>
      <c r="O345" s="1063" t="s">
        <v>1583</v>
      </c>
      <c r="P345" s="88"/>
      <c r="Q345" s="89"/>
      <c r="R345" s="150"/>
      <c r="S345" s="1070"/>
      <c r="T345" s="1070"/>
      <c r="U345" s="1070"/>
      <c r="V345" s="1070"/>
      <c r="W345" s="1070"/>
      <c r="X345" s="1070"/>
      <c r="Y345" s="1070"/>
      <c r="Z345" s="1070"/>
      <c r="AA345" s="1070"/>
      <c r="AB345" s="1070"/>
      <c r="AC345" s="1070"/>
      <c r="AD345" s="1070"/>
      <c r="AE345" s="1070"/>
      <c r="AF345" s="1070"/>
      <c r="AG345" s="1070"/>
      <c r="AH345" s="1070"/>
      <c r="AI345" s="1070"/>
      <c r="AJ345" s="1071"/>
      <c r="AK345" s="1048" cm="1">
        <f t="array" aca="1" ref="AK345" ca="1">INDEX(OFFSET($AK$19,MATCH($B345,$B$19:$B$150,0)-1,0,COUNTA($B$19:$B$24),COUNTA($AK$17:$BB$17)),MATCH($F345,$F$19:$F$24,0),MATCH(AK$17,$AK$17:$BB$17,0))*INDEX($10:$13,MATCH($O345,$R$10:$R$13,0),COLUMN())</f>
        <v>0.18059980185000002</v>
      </c>
      <c r="AL345" s="1046" cm="1">
        <f t="array" aca="1" ref="AL345" ca="1">INDEX(OFFSET($AK$19,MATCH($B345,$B$19:$B$150,0)-1,0,COUNTA($B$19:$B$24),COUNTA($AK$17:$BB$17)),MATCH($F345,$F$19:$F$24,0),MATCH(AL$17,$AK$17:$BB$17,0))*INDEX($10:$13,MATCH($O345,$R$10:$R$13,0),COLUMN())</f>
        <v>2.0377377791999999E-7</v>
      </c>
      <c r="AM345" s="1046" cm="1">
        <f t="array" aca="1" ref="AM345" ca="1">INDEX(OFFSET($AK$19,MATCH($B345,$B$19:$B$150,0)-1,0,COUNTA($B$19:$B$24),COUNTA($AK$17:$BB$17)),MATCH($F345,$F$19:$F$24,0),MATCH(AM$17,$AK$17:$BB$17,0))*INDEX($10:$13,MATCH($O345,$R$10:$R$13,0),COLUMN())</f>
        <v>3.8198733834000003E-4</v>
      </c>
      <c r="AN345" s="1046" cm="1">
        <f t="array" aca="1" ref="AN345" ca="1">INDEX(OFFSET($AK$19,MATCH($B345,$B$19:$B$150,0)-1,0,COUNTA($B$19:$B$24),COUNTA($AK$17:$BB$17)),MATCH($F345,$F$19:$F$24,0),MATCH(AN$17,$AK$17:$BB$17,0))*INDEX($10:$13,MATCH($O345,$R$10:$R$13,0),COLUMN())</f>
        <v>1.9397762999999999E-3</v>
      </c>
      <c r="AO345" s="1046" cm="1">
        <f t="array" aca="1" ref="AO345" ca="1">INDEX(OFFSET($AK$19,MATCH($B345,$B$19:$B$150,0)-1,0,COUNTA($B$19:$B$24),COUNTA($AK$17:$BB$17)),MATCH($F345,$F$19:$F$24,0),MATCH(AO$17,$AK$17:$BB$17,0))*INDEX($10:$13,MATCH($O345,$R$10:$R$13,0),COLUMN())</f>
        <v>8.9422930240000004E-2</v>
      </c>
      <c r="AP345" s="1046" cm="1">
        <f t="array" aca="1" ref="AP345" ca="1">INDEX(OFFSET($AK$19,MATCH($B345,$B$19:$B$150,0)-1,0,COUNTA($B$19:$B$24),COUNTA($AK$17:$BB$17)),MATCH($F345,$F$19:$F$24,0),MATCH(AP$17,$AK$17:$BB$17,0))*INDEX($10:$13,MATCH($O345,$R$10:$R$13,0),COLUMN())</f>
        <v>7.3244231899999998E-2</v>
      </c>
      <c r="AQ345" s="1046" cm="1">
        <f t="array" aca="1" ref="AQ345" ca="1">INDEX(OFFSET($AK$19,MATCH($B345,$B$19:$B$150,0)-1,0,COUNTA($B$19:$B$24),COUNTA($AK$17:$BB$17)),MATCH($F345,$F$19:$F$24,0),MATCH(AQ$17,$AK$17:$BB$17,0))*INDEX($10:$13,MATCH($O345,$R$10:$R$13,0),COLUMN())</f>
        <v>8.3364788940000001E-4</v>
      </c>
      <c r="AR345" s="1046" cm="1">
        <f t="array" aca="1" ref="AR345" ca="1">INDEX(OFFSET($AK$19,MATCH($B345,$B$19:$B$150,0)-1,0,COUNTA($B$19:$B$24),COUNTA($AK$17:$BB$17)),MATCH($F345,$F$19:$F$24,0),MATCH(AR$17,$AK$17:$BB$17,0))*INDEX($10:$13,MATCH($O345,$R$10:$R$13,0),COLUMN())</f>
        <v>3.9988644349999998E-2</v>
      </c>
      <c r="AS345" s="1046" cm="1">
        <f t="array" aca="1" ref="AS345" ca="1">INDEX(OFFSET($AK$19,MATCH($B345,$B$19:$B$150,0)-1,0,COUNTA($B$19:$B$24),COUNTA($AK$17:$BB$17)),MATCH($F345,$F$19:$F$24,0),MATCH(AS$17,$AK$17:$BB$17,0))*INDEX($10:$13,MATCH($O345,$R$10:$R$13,0),COLUMN())</f>
        <v>0.19873492958</v>
      </c>
      <c r="AT345" s="1046" cm="1">
        <f t="array" aca="1" ref="AT345" ca="1">INDEX(OFFSET($AK$19,MATCH($B345,$B$19:$B$150,0)-1,0,COUNTA($B$19:$B$24),COUNTA($AK$17:$BB$17)),MATCH($F345,$F$19:$F$24,0),MATCH(AT$17,$AK$17:$BB$17,0))*INDEX($10:$13,MATCH($O345,$R$10:$R$13,0),COLUMN())</f>
        <v>2.2728781292999999E-4</v>
      </c>
      <c r="AU345" s="1046" cm="1">
        <f t="array" aca="1" ref="AU345" ca="1">INDEX(OFFSET($AK$19,MATCH($B345,$B$19:$B$150,0)-1,0,COUNTA($B$19:$B$24),COUNTA($AK$17:$BB$17)),MATCH($F345,$F$19:$F$24,0),MATCH(AU$17,$AK$17:$BB$17,0))*INDEX($10:$13,MATCH($O345,$R$10:$R$13,0),COLUMN())</f>
        <v>1.6141889059000001E-5</v>
      </c>
      <c r="AV345" s="1046" cm="1">
        <f t="array" aca="1" ref="AV345" ca="1">INDEX(OFFSET($AK$19,MATCH($B345,$B$19:$B$150,0)-1,0,COUNTA($B$19:$B$24),COUNTA($AK$17:$BB$17)),MATCH($F345,$F$19:$F$24,0),MATCH(AV$17,$AK$17:$BB$17,0))*INDEX($10:$13,MATCH($O345,$R$10:$R$13,0),COLUMN())</f>
        <v>1.474758632E-2</v>
      </c>
      <c r="AW345" s="1046" cm="1">
        <f t="array" aca="1" ref="AW345" ca="1">INDEX(OFFSET($AK$19,MATCH($B345,$B$19:$B$150,0)-1,0,COUNTA($B$19:$B$24),COUNTA($AK$17:$BB$17)),MATCH($F345,$F$19:$F$24,0),MATCH(AW$17,$AK$17:$BB$17,0))*INDEX($10:$13,MATCH($O345,$R$10:$R$13,0),COLUMN())</f>
        <v>0.3802586697</v>
      </c>
      <c r="AX345" s="1046" cm="1">
        <f t="array" aca="1" ref="AX345" ca="1">INDEX(OFFSET($AK$19,MATCH($B345,$B$19:$B$150,0)-1,0,COUNTA($B$19:$B$24),COUNTA($AK$17:$BB$17)),MATCH($F345,$F$19:$F$24,0),MATCH(AX$17,$AK$17:$BB$17,0))*INDEX($10:$13,MATCH($O345,$R$10:$R$13,0),COLUMN())</f>
        <v>4.3078919650000001E-7</v>
      </c>
      <c r="AY345" s="1046" cm="1">
        <f t="array" aca="1" ref="AY345" ca="1">INDEX(OFFSET($AK$19,MATCH($B345,$B$19:$B$150,0)-1,0,COUNTA($B$19:$B$24),COUNTA($AK$17:$BB$17)),MATCH($F345,$F$19:$F$24,0),MATCH(AY$17,$AK$17:$BB$17,0))*INDEX($10:$13,MATCH($O345,$R$10:$R$13,0),COLUMN())</f>
        <v>0</v>
      </c>
      <c r="AZ345" s="1046" cm="1">
        <f t="array" aca="1" ref="AZ345" ca="1">INDEX(OFFSET($AK$19,MATCH($B345,$B$19:$B$150,0)-1,0,COUNTA($B$19:$B$24),COUNTA($AK$17:$BB$17)),MATCH($F345,$F$19:$F$24,0),MATCH(AZ$17,$AK$17:$BB$17,0))*INDEX($10:$13,MATCH($O345,$R$10:$R$13,0),COLUMN())</f>
        <v>0</v>
      </c>
      <c r="BA345" s="1046" cm="1">
        <f t="array" aca="1" ref="BA345" ca="1">INDEX(OFFSET($AK$19,MATCH($B345,$B$19:$B$150,0)-1,0,COUNTA($B$19:$B$24),COUNTA($AK$17:$BB$17)),MATCH($F345,$F$19:$F$24,0),MATCH(BA$17,$AK$17:$BB$17,0))*INDEX($10:$13,MATCH($O345,$R$10:$R$13,0),COLUMN())</f>
        <v>0</v>
      </c>
      <c r="BB345" s="1047" cm="1">
        <f t="array" aca="1" ref="BB345" ca="1">INDEX(OFFSET($AK$19,MATCH($B345,$B$19:$B$150,0)-1,0,COUNTA($B$19:$B$24),COUNTA($AK$17:$BB$17)),MATCH($F345,$F$19:$F$24,0),MATCH(BB$17,$AK$17:$BB$17,0))*INDEX($10:$13,MATCH($O345,$R$10:$R$13,0),COLUMN())</f>
        <v>0</v>
      </c>
      <c r="BC345" s="1049">
        <f t="shared" ca="1" si="169"/>
        <v>0.38025910048919648</v>
      </c>
      <c r="BE345" s="1"/>
      <c r="BF345" s="1"/>
      <c r="BG345" s="1"/>
      <c r="BH345" s="1"/>
      <c r="BI345" s="1"/>
      <c r="BJ345" s="1"/>
      <c r="BK345" s="1"/>
      <c r="BL345" s="1"/>
      <c r="BM345" s="1"/>
      <c r="BN345" s="1"/>
      <c r="BO345" s="1"/>
      <c r="BP345" s="1"/>
      <c r="BQ345" s="1"/>
      <c r="BR345" s="1"/>
      <c r="BS345" s="1"/>
      <c r="BT345" s="1"/>
      <c r="BU345" s="1"/>
      <c r="BV345" s="1"/>
      <c r="BW345" s="1"/>
      <c r="BX345" s="1"/>
      <c r="BY345" s="1"/>
      <c r="BZ345" s="1"/>
    </row>
    <row r="346" spans="2:78" ht="12" customHeight="1" outlineLevel="1" x14ac:dyDescent="0.25">
      <c r="B346" s="104" t="s">
        <v>106</v>
      </c>
      <c r="C346" s="104" t="s">
        <v>121</v>
      </c>
      <c r="D346" s="2" t="s">
        <v>137</v>
      </c>
      <c r="E346" s="2" t="s">
        <v>142</v>
      </c>
      <c r="F346" s="105" t="s">
        <v>122</v>
      </c>
      <c r="G346" s="27" t="s">
        <v>1579</v>
      </c>
      <c r="H346" s="106" t="s">
        <v>128</v>
      </c>
      <c r="I346" s="107" t="s">
        <v>129</v>
      </c>
      <c r="J346" s="147">
        <v>4.9808850400000004</v>
      </c>
      <c r="K346" s="148">
        <v>0.70413000000000003</v>
      </c>
      <c r="L346" s="149">
        <f t="shared" ca="1" si="167"/>
        <v>0.88919838048416544</v>
      </c>
      <c r="M346" s="148">
        <f t="shared" ca="1" si="168"/>
        <v>1.3302412556503156</v>
      </c>
      <c r="N346" s="148">
        <f t="shared" ca="1" si="164"/>
        <v>0.62611125565031545</v>
      </c>
      <c r="O346" s="1062" t="s">
        <v>1583</v>
      </c>
      <c r="P346" s="104"/>
      <c r="R346" s="119"/>
      <c r="S346" s="1072"/>
      <c r="T346" s="1072"/>
      <c r="U346" s="1072"/>
      <c r="V346" s="1072"/>
      <c r="W346" s="1072"/>
      <c r="X346" s="1072"/>
      <c r="Y346" s="1072"/>
      <c r="Z346" s="1072"/>
      <c r="AA346" s="1072"/>
      <c r="AB346" s="1072"/>
      <c r="AC346" s="1072"/>
      <c r="AD346" s="1072"/>
      <c r="AE346" s="1072"/>
      <c r="AF346" s="1072"/>
      <c r="AG346" s="1072"/>
      <c r="AH346" s="1072"/>
      <c r="AI346" s="1072"/>
      <c r="AJ346" s="1073"/>
      <c r="AK346" s="1052" cm="1">
        <f t="array" aca="1" ref="AK346" ca="1">INDEX(OFFSET($AK$19,MATCH($B346,$B$19:$B$150,0)-1,0,COUNTA($B$19:$B$24),COUNTA($AK$17:$BB$17)),MATCH($F346,$F$19:$F$24,0),MATCH(AK$17,$AK$17:$BB$17,0))*INDEX($10:$13,MATCH($O346,$R$10:$R$13,0),COLUMN())</f>
        <v>0.1201339854</v>
      </c>
      <c r="AL346" s="1050" cm="1">
        <f t="array" aca="1" ref="AL346" ca="1">INDEX(OFFSET($AK$19,MATCH($B346,$B$19:$B$150,0)-1,0,COUNTA($B$19:$B$24),COUNTA($AK$17:$BB$17)),MATCH($F346,$F$19:$F$24,0),MATCH(AL$17,$AK$17:$BB$17,0))*INDEX($10:$13,MATCH($O346,$R$10:$R$13,0),COLUMN())</f>
        <v>9.8425572320000001E-8</v>
      </c>
      <c r="AM346" s="1050" cm="1">
        <f t="array" aca="1" ref="AM346" ca="1">INDEX(OFFSET($AK$19,MATCH($B346,$B$19:$B$150,0)-1,0,COUNTA($B$19:$B$24),COUNTA($AK$17:$BB$17)),MATCH($F346,$F$19:$F$24,0),MATCH(AM$17,$AK$17:$BB$17,0))*INDEX($10:$13,MATCH($O346,$R$10:$R$13,0),COLUMN())</f>
        <v>1.8245298955000001E-4</v>
      </c>
      <c r="AN346" s="1050" cm="1">
        <f t="array" aca="1" ref="AN346" ca="1">INDEX(OFFSET($AK$19,MATCH($B346,$B$19:$B$150,0)-1,0,COUNTA($B$19:$B$24),COUNTA($AK$17:$BB$17)),MATCH($F346,$F$19:$F$24,0),MATCH(AN$17,$AK$17:$BB$17,0))*INDEX($10:$13,MATCH($O346,$R$10:$R$13,0),COLUMN())</f>
        <v>2.0233202349999998E-3</v>
      </c>
      <c r="AO346" s="1050" cm="1">
        <f t="array" aca="1" ref="AO346" ca="1">INDEX(OFFSET($AK$19,MATCH($B346,$B$19:$B$150,0)-1,0,COUNTA($B$19:$B$24),COUNTA($AK$17:$BB$17)),MATCH($F346,$F$19:$F$24,0),MATCH(AO$17,$AK$17:$BB$17,0))*INDEX($10:$13,MATCH($O346,$R$10:$R$13,0),COLUMN())</f>
        <v>3.2202228855999999E-2</v>
      </c>
      <c r="AP346" s="1050" cm="1">
        <f t="array" aca="1" ref="AP346" ca="1">INDEX(OFFSET($AK$19,MATCH($B346,$B$19:$B$150,0)-1,0,COUNTA($B$19:$B$24),COUNTA($AK$17:$BB$17)),MATCH($F346,$F$19:$F$24,0),MATCH(AP$17,$AK$17:$BB$17,0))*INDEX($10:$13,MATCH($O346,$R$10:$R$13,0),COLUMN())</f>
        <v>1.7685834460000001E-2</v>
      </c>
      <c r="AQ346" s="1050" cm="1">
        <f t="array" aca="1" ref="AQ346" ca="1">INDEX(OFFSET($AK$19,MATCH($B346,$B$19:$B$150,0)-1,0,COUNTA($B$19:$B$24),COUNTA($AK$17:$BB$17)),MATCH($F346,$F$19:$F$24,0),MATCH(AQ$17,$AK$17:$BB$17,0))*INDEX($10:$13,MATCH($O346,$R$10:$R$13,0),COLUMN())</f>
        <v>1.2039821478000001E-4</v>
      </c>
      <c r="AR346" s="1050" cm="1">
        <f t="array" aca="1" ref="AR346" ca="1">INDEX(OFFSET($AK$19,MATCH($B346,$B$19:$B$150,0)-1,0,COUNTA($B$19:$B$24),COUNTA($AK$17:$BB$17)),MATCH($F346,$F$19:$F$24,0),MATCH(AR$17,$AK$17:$BB$17,0))*INDEX($10:$13,MATCH($O346,$R$10:$R$13,0),COLUMN())</f>
        <v>1.5974496650999998E-2</v>
      </c>
      <c r="AS346" s="1050" cm="1">
        <f t="array" aca="1" ref="AS346" ca="1">INDEX(OFFSET($AK$19,MATCH($B346,$B$19:$B$150,0)-1,0,COUNTA($B$19:$B$24),COUNTA($AK$17:$BB$17)),MATCH($F346,$F$19:$F$24,0),MATCH(AS$17,$AK$17:$BB$17,0))*INDEX($10:$13,MATCH($O346,$R$10:$R$13,0),COLUMN())</f>
        <v>-3.2167621793999999E-6</v>
      </c>
      <c r="AT346" s="1050" cm="1">
        <f t="array" aca="1" ref="AT346" ca="1">INDEX(OFFSET($AK$19,MATCH($B346,$B$19:$B$150,0)-1,0,COUNTA($B$19:$B$24),COUNTA($AK$17:$BB$17)),MATCH($F346,$F$19:$F$24,0),MATCH(AT$17,$AK$17:$BB$17,0))*INDEX($10:$13,MATCH($O346,$R$10:$R$13,0),COLUMN())</f>
        <v>1.0075615773000001E-5</v>
      </c>
      <c r="AU346" s="1050" cm="1">
        <f t="array" aca="1" ref="AU346" ca="1">INDEX(OFFSET($AK$19,MATCH($B346,$B$19:$B$150,0)-1,0,COUNTA($B$19:$B$24),COUNTA($AK$17:$BB$17)),MATCH($F346,$F$19:$F$24,0),MATCH(AU$17,$AK$17:$BB$17,0))*INDEX($10:$13,MATCH($O346,$R$10:$R$13,0),COLUMN())</f>
        <v>2.1066203735000001E-6</v>
      </c>
      <c r="AV346" s="1050" cm="1">
        <f t="array" aca="1" ref="AV346" ca="1">INDEX(OFFSET($AK$19,MATCH($B346,$B$19:$B$150,0)-1,0,COUNTA($B$19:$B$24),COUNTA($AK$17:$BB$17)),MATCH($F346,$F$19:$F$24,0),MATCH(AV$17,$AK$17:$BB$17,0))*INDEX($10:$13,MATCH($O346,$R$10:$R$13,0),COLUMN())</f>
        <v>1.7053911881000001E-3</v>
      </c>
      <c r="AW346" s="1050" cm="1">
        <f t="array" aca="1" ref="AW346" ca="1">INDEX(OFFSET($AK$19,MATCH($B346,$B$19:$B$150,0)-1,0,COUNTA($B$19:$B$24),COUNTA($AK$17:$BB$17)),MATCH($F346,$F$19:$F$24,0),MATCH(AW$17,$AK$17:$BB$17,0))*INDEX($10:$13,MATCH($O346,$R$10:$R$13,0),COLUMN())</f>
        <v>0.43607397014999999</v>
      </c>
      <c r="AX346" s="1050" cm="1">
        <f t="array" aca="1" ref="AX346" ca="1">INDEX(OFFSET($AK$19,MATCH($B346,$B$19:$B$150,0)-1,0,COUNTA($B$19:$B$24),COUNTA($AK$17:$BB$17)),MATCH($F346,$F$19:$F$24,0),MATCH(AX$17,$AK$17:$BB$17,0))*INDEX($10:$13,MATCH($O346,$R$10:$R$13,0),COLUMN())</f>
        <v>1.136063461E-7</v>
      </c>
      <c r="AY346" s="1050" cm="1">
        <f t="array" aca="1" ref="AY346" ca="1">INDEX(OFFSET($AK$19,MATCH($B346,$B$19:$B$150,0)-1,0,COUNTA($B$19:$B$24),COUNTA($AK$17:$BB$17)),MATCH($F346,$F$19:$F$24,0),MATCH(AY$17,$AK$17:$BB$17,0))*INDEX($10:$13,MATCH($O346,$R$10:$R$13,0),COLUMN())</f>
        <v>0</v>
      </c>
      <c r="AZ346" s="1050" cm="1">
        <f t="array" aca="1" ref="AZ346" ca="1">INDEX(OFFSET($AK$19,MATCH($B346,$B$19:$B$150,0)-1,0,COUNTA($B$19:$B$24),COUNTA($AK$17:$BB$17)),MATCH($F346,$F$19:$F$24,0),MATCH(AZ$17,$AK$17:$BB$17,0))*INDEX($10:$13,MATCH($O346,$R$10:$R$13,0),COLUMN())</f>
        <v>0</v>
      </c>
      <c r="BA346" s="1050" cm="1">
        <f t="array" aca="1" ref="BA346" ca="1">INDEX(OFFSET($AK$19,MATCH($B346,$B$19:$B$150,0)-1,0,COUNTA($B$19:$B$24),COUNTA($AK$17:$BB$17)),MATCH($F346,$F$19:$F$24,0),MATCH(BA$17,$AK$17:$BB$17,0))*INDEX($10:$13,MATCH($O346,$R$10:$R$13,0),COLUMN())</f>
        <v>0</v>
      </c>
      <c r="BB346" s="1051" cm="1">
        <f t="array" aca="1" ref="BB346" ca="1">INDEX(OFFSET($AK$19,MATCH($B346,$B$19:$B$150,0)-1,0,COUNTA($B$19:$B$24),COUNTA($AK$17:$BB$17)),MATCH($F346,$F$19:$F$24,0),MATCH(BB$17,$AK$17:$BB$17,0))*INDEX($10:$13,MATCH($O346,$R$10:$R$13,0),COLUMN())</f>
        <v>0</v>
      </c>
      <c r="BC346" s="1053">
        <f t="shared" ca="1" si="169"/>
        <v>0.4360740837563461</v>
      </c>
      <c r="BE346" s="1"/>
      <c r="BF346" s="1"/>
      <c r="BG346" s="1"/>
      <c r="BH346" s="1"/>
      <c r="BI346" s="1"/>
      <c r="BJ346" s="1"/>
      <c r="BK346" s="1"/>
      <c r="BL346" s="1"/>
      <c r="BM346" s="1"/>
      <c r="BN346" s="1"/>
      <c r="BO346" s="1"/>
      <c r="BP346" s="1"/>
      <c r="BQ346" s="1"/>
      <c r="BR346" s="1"/>
      <c r="BS346" s="1"/>
      <c r="BT346" s="1"/>
      <c r="BU346" s="1"/>
      <c r="BV346" s="1"/>
      <c r="BW346" s="1"/>
      <c r="BX346" s="1"/>
      <c r="BY346" s="1"/>
      <c r="BZ346" s="1"/>
    </row>
    <row r="347" spans="2:78" ht="12" customHeight="1" outlineLevel="1" x14ac:dyDescent="0.25">
      <c r="B347" s="104" t="s">
        <v>106</v>
      </c>
      <c r="C347" s="104" t="s">
        <v>121</v>
      </c>
      <c r="D347" s="2" t="s">
        <v>137</v>
      </c>
      <c r="E347" s="2" t="s">
        <v>142</v>
      </c>
      <c r="F347" s="105" t="s">
        <v>93</v>
      </c>
      <c r="G347" s="27" t="s">
        <v>1578</v>
      </c>
      <c r="H347" s="106" t="s">
        <v>130</v>
      </c>
      <c r="I347" s="107" t="s">
        <v>129</v>
      </c>
      <c r="J347" s="147">
        <v>4.9808850400000004</v>
      </c>
      <c r="K347" s="148">
        <v>0.70413000000000003</v>
      </c>
      <c r="L347" s="149">
        <f t="shared" ca="1" si="167"/>
        <v>1.1999872434815531</v>
      </c>
      <c r="M347" s="148">
        <f t="shared" ca="1" si="168"/>
        <v>1.549077017752666</v>
      </c>
      <c r="N347" s="148">
        <f t="shared" ca="1" si="164"/>
        <v>0.84494701775266601</v>
      </c>
      <c r="O347" s="1062" t="s">
        <v>1583</v>
      </c>
      <c r="P347" s="104"/>
      <c r="R347" s="119"/>
      <c r="S347" s="1072"/>
      <c r="T347" s="1072"/>
      <c r="U347" s="1072"/>
      <c r="V347" s="1072"/>
      <c r="W347" s="1072"/>
      <c r="X347" s="1072"/>
      <c r="Y347" s="1072"/>
      <c r="Z347" s="1072"/>
      <c r="AA347" s="1072"/>
      <c r="AB347" s="1072"/>
      <c r="AC347" s="1072"/>
      <c r="AD347" s="1072"/>
      <c r="AE347" s="1072"/>
      <c r="AF347" s="1072"/>
      <c r="AG347" s="1072"/>
      <c r="AH347" s="1072"/>
      <c r="AI347" s="1072"/>
      <c r="AJ347" s="1073"/>
      <c r="AK347" s="1052" cm="1">
        <f t="array" aca="1" ref="AK347" ca="1">INDEX(OFFSET($AK$19,MATCH($B347,$B$19:$B$150,0)-1,0,COUNTA($B$19:$B$24),COUNTA($AK$17:$BB$17)),MATCH($F347,$F$19:$F$24,0),MATCH(AK$17,$AK$17:$BB$17,0))*INDEX($10:$13,MATCH($O347,$R$10:$R$13,0),COLUMN())</f>
        <v>0.16199441309999998</v>
      </c>
      <c r="AL347" s="1050" cm="1">
        <f t="array" aca="1" ref="AL347" ca="1">INDEX(OFFSET($AK$19,MATCH($B347,$B$19:$B$150,0)-1,0,COUNTA($B$19:$B$24),COUNTA($AK$17:$BB$17)),MATCH($F347,$F$19:$F$24,0),MATCH(AL$17,$AK$17:$BB$17,0))*INDEX($10:$13,MATCH($O347,$R$10:$R$13,0),COLUMN())</f>
        <v>1.3272174879999999E-7</v>
      </c>
      <c r="AM347" s="1050" cm="1">
        <f t="array" aca="1" ref="AM347" ca="1">INDEX(OFFSET($AK$19,MATCH($B347,$B$19:$B$150,0)-1,0,COUNTA($B$19:$B$24),COUNTA($AK$17:$BB$17)),MATCH($F347,$F$19:$F$24,0),MATCH(AM$17,$AK$17:$BB$17,0))*INDEX($10:$13,MATCH($O347,$R$10:$R$13,0),COLUMN())</f>
        <v>2.4602833783E-4</v>
      </c>
      <c r="AN347" s="1050" cm="1">
        <f t="array" aca="1" ref="AN347" ca="1">INDEX(OFFSET($AK$19,MATCH($B347,$B$19:$B$150,0)-1,0,COUNTA($B$19:$B$24),COUNTA($AK$17:$BB$17)),MATCH($F347,$F$19:$F$24,0),MATCH(AN$17,$AK$17:$BB$17,0))*INDEX($10:$13,MATCH($O347,$R$10:$R$13,0),COLUMN())</f>
        <v>2.728341765E-3</v>
      </c>
      <c r="AO347" s="1050" cm="1">
        <f t="array" aca="1" ref="AO347" ca="1">INDEX(OFFSET($AK$19,MATCH($B347,$B$19:$B$150,0)-1,0,COUNTA($B$19:$B$24),COUNTA($AK$17:$BB$17)),MATCH($F347,$F$19:$F$24,0),MATCH(AO$17,$AK$17:$BB$17,0))*INDEX($10:$13,MATCH($O347,$R$10:$R$13,0),COLUMN())</f>
        <v>4.3423027760000003E-2</v>
      </c>
      <c r="AP347" s="1050" cm="1">
        <f t="array" aca="1" ref="AP347" ca="1">INDEX(OFFSET($AK$19,MATCH($B347,$B$19:$B$150,0)-1,0,COUNTA($B$19:$B$24),COUNTA($AK$17:$BB$17)),MATCH($F347,$F$19:$F$24,0),MATCH(AP$17,$AK$17:$BB$17,0))*INDEX($10:$13,MATCH($O347,$R$10:$R$13,0),COLUMN())</f>
        <v>2.3848425222999996E-2</v>
      </c>
      <c r="AQ347" s="1050" cm="1">
        <f t="array" aca="1" ref="AQ347" ca="1">INDEX(OFFSET($AK$19,MATCH($B347,$B$19:$B$150,0)-1,0,COUNTA($B$19:$B$24),COUNTA($AK$17:$BB$17)),MATCH($F347,$F$19:$F$24,0),MATCH(AQ$17,$AK$17:$BB$17,0))*INDEX($10:$13,MATCH($O347,$R$10:$R$13,0),COLUMN())</f>
        <v>1.6235071194000002E-4</v>
      </c>
      <c r="AR347" s="1050" cm="1">
        <f t="array" aca="1" ref="AR347" ca="1">INDEX(OFFSET($AK$19,MATCH($B347,$B$19:$B$150,0)-1,0,COUNTA($B$19:$B$24),COUNTA($AK$17:$BB$17)),MATCH($F347,$F$19:$F$24,0),MATCH(AR$17,$AK$17:$BB$17,0))*INDEX($10:$13,MATCH($O347,$R$10:$R$13,0),COLUMN())</f>
        <v>2.1540775272999999E-2</v>
      </c>
      <c r="AS347" s="1050" cm="1">
        <f t="array" aca="1" ref="AS347" ca="1">INDEX(OFFSET($AK$19,MATCH($B347,$B$19:$B$150,0)-1,0,COUNTA($B$19:$B$24),COUNTA($AK$17:$BB$17)),MATCH($F347,$F$19:$F$24,0),MATCH(AS$17,$AK$17:$BB$17,0))*INDEX($10:$13,MATCH($O347,$R$10:$R$13,0),COLUMN())</f>
        <v>2.4925925870999998E-4</v>
      </c>
      <c r="AT347" s="1050" cm="1">
        <f t="array" aca="1" ref="AT347" ca="1">INDEX(OFFSET($AK$19,MATCH($B347,$B$19:$B$150,0)-1,0,COUNTA($B$19:$B$24),COUNTA($AK$17:$BB$17)),MATCH($F347,$F$19:$F$24,0),MATCH(AT$17,$AK$17:$BB$17,0))*INDEX($10:$13,MATCH($O347,$R$10:$R$13,0),COLUMN())</f>
        <v>1.3679895005999999E-5</v>
      </c>
      <c r="AU347" s="1050" cm="1">
        <f t="array" aca="1" ref="AU347" ca="1">INDEX(OFFSET($AK$19,MATCH($B347,$B$19:$B$150,0)-1,0,COUNTA($B$19:$B$24),COUNTA($AK$17:$BB$17)),MATCH($F347,$F$19:$F$24,0),MATCH(AU$17,$AK$17:$BB$17,0))*INDEX($10:$13,MATCH($O347,$R$10:$R$13,0),COLUMN())</f>
        <v>2.8503414011000001E-6</v>
      </c>
      <c r="AV347" s="1050" cm="1">
        <f t="array" aca="1" ref="AV347" ca="1">INDEX(OFFSET($AK$19,MATCH($B347,$B$19:$B$150,0)-1,0,COUNTA($B$19:$B$24),COUNTA($AK$17:$BB$17)),MATCH($F347,$F$19:$F$24,0),MATCH(AV$17,$AK$17:$BB$17,0))*INDEX($10:$13,MATCH($O347,$R$10:$R$13,0),COLUMN())</f>
        <v>2.7145777227999997E-3</v>
      </c>
      <c r="AW347" s="1050" cm="1">
        <f t="array" aca="1" ref="AW347" ca="1">INDEX(OFFSET($AK$19,MATCH($B347,$B$19:$B$150,0)-1,0,COUNTA($B$19:$B$24),COUNTA($AK$17:$BB$17)),MATCH($F347,$F$19:$F$24,0),MATCH(AW$17,$AK$17:$BB$17,0))*INDEX($10:$13,MATCH($O347,$R$10:$R$13,0),COLUMN())</f>
        <v>0.58802300245000005</v>
      </c>
      <c r="AX347" s="1050" cm="1">
        <f t="array" aca="1" ref="AX347" ca="1">INDEX(OFFSET($AK$19,MATCH($B347,$B$19:$B$150,0)-1,0,COUNTA($B$19:$B$24),COUNTA($AK$17:$BB$17)),MATCH($F347,$F$19:$F$24,0),MATCH(AX$17,$AK$17:$BB$17,0))*INDEX($10:$13,MATCH($O347,$R$10:$R$13,0),COLUMN())</f>
        <v>1.5319223010000002E-7</v>
      </c>
      <c r="AY347" s="1050" cm="1">
        <f t="array" aca="1" ref="AY347" ca="1">INDEX(OFFSET($AK$19,MATCH($B347,$B$19:$B$150,0)-1,0,COUNTA($B$19:$B$24),COUNTA($AK$17:$BB$17)),MATCH($F347,$F$19:$F$24,0),MATCH(AY$17,$AK$17:$BB$17,0))*INDEX($10:$13,MATCH($O347,$R$10:$R$13,0),COLUMN())</f>
        <v>0</v>
      </c>
      <c r="AZ347" s="1050" cm="1">
        <f t="array" aca="1" ref="AZ347" ca="1">INDEX(OFFSET($AK$19,MATCH($B347,$B$19:$B$150,0)-1,0,COUNTA($B$19:$B$24),COUNTA($AK$17:$BB$17)),MATCH($F347,$F$19:$F$24,0),MATCH(AZ$17,$AK$17:$BB$17,0))*INDEX($10:$13,MATCH($O347,$R$10:$R$13,0),COLUMN())</f>
        <v>0</v>
      </c>
      <c r="BA347" s="1050" cm="1">
        <f t="array" aca="1" ref="BA347" ca="1">INDEX(OFFSET($AK$19,MATCH($B347,$B$19:$B$150,0)-1,0,COUNTA($B$19:$B$24),COUNTA($AK$17:$BB$17)),MATCH($F347,$F$19:$F$24,0),MATCH(BA$17,$AK$17:$BB$17,0))*INDEX($10:$13,MATCH($O347,$R$10:$R$13,0),COLUMN())</f>
        <v>0</v>
      </c>
      <c r="BB347" s="1051" cm="1">
        <f t="array" aca="1" ref="BB347" ca="1">INDEX(OFFSET($AK$19,MATCH($B347,$B$19:$B$150,0)-1,0,COUNTA($B$19:$B$24),COUNTA($AK$17:$BB$17)),MATCH($F347,$F$19:$F$24,0),MATCH(BB$17,$AK$17:$BB$17,0))*INDEX($10:$13,MATCH($O347,$R$10:$R$13,0),COLUMN())</f>
        <v>0</v>
      </c>
      <c r="BC347" s="1053">
        <f t="shared" ca="1" si="169"/>
        <v>0.58802315564223018</v>
      </c>
      <c r="BE347" s="1"/>
      <c r="BF347" s="1"/>
      <c r="BG347" s="1"/>
      <c r="BH347" s="1"/>
      <c r="BI347" s="1"/>
      <c r="BJ347" s="1"/>
      <c r="BK347" s="1"/>
      <c r="BL347" s="1"/>
      <c r="BM347" s="1"/>
      <c r="BN347" s="1"/>
      <c r="BO347" s="1"/>
      <c r="BP347" s="1"/>
      <c r="BQ347" s="1"/>
      <c r="BR347" s="1"/>
      <c r="BS347" s="1"/>
      <c r="BT347" s="1"/>
      <c r="BU347" s="1"/>
      <c r="BV347" s="1"/>
      <c r="BW347" s="1"/>
      <c r="BX347" s="1"/>
      <c r="BY347" s="1"/>
      <c r="BZ347" s="1"/>
    </row>
    <row r="348" spans="2:78" ht="12" customHeight="1" outlineLevel="1" x14ac:dyDescent="0.25">
      <c r="B348" s="104" t="s">
        <v>106</v>
      </c>
      <c r="C348" s="104" t="s">
        <v>121</v>
      </c>
      <c r="D348" s="2" t="s">
        <v>137</v>
      </c>
      <c r="E348" s="2" t="s">
        <v>142</v>
      </c>
      <c r="F348" s="105" t="s">
        <v>94</v>
      </c>
      <c r="G348" s="27" t="s">
        <v>1580</v>
      </c>
      <c r="H348" s="106" t="s">
        <v>131</v>
      </c>
      <c r="I348" s="107" t="s">
        <v>129</v>
      </c>
      <c r="J348" s="147">
        <v>4.9808850400000004</v>
      </c>
      <c r="K348" s="148">
        <v>0.70413000000000003</v>
      </c>
      <c r="L348" s="149">
        <f t="shared" ca="1" si="167"/>
        <v>0.7058164751317626</v>
      </c>
      <c r="M348" s="148">
        <f t="shared" ca="1" si="168"/>
        <v>1.2011165546345279</v>
      </c>
      <c r="N348" s="148">
        <f t="shared" ca="1" si="164"/>
        <v>0.49698655463452801</v>
      </c>
      <c r="O348" s="1062" t="s">
        <v>1583</v>
      </c>
      <c r="P348" s="104"/>
      <c r="R348" s="119"/>
      <c r="S348" s="1072"/>
      <c r="T348" s="1072"/>
      <c r="U348" s="1072"/>
      <c r="V348" s="1072"/>
      <c r="W348" s="1072"/>
      <c r="X348" s="1072"/>
      <c r="Y348" s="1072"/>
      <c r="Z348" s="1072"/>
      <c r="AA348" s="1072"/>
      <c r="AB348" s="1072"/>
      <c r="AC348" s="1072"/>
      <c r="AD348" s="1072"/>
      <c r="AE348" s="1072"/>
      <c r="AF348" s="1072"/>
      <c r="AG348" s="1072"/>
      <c r="AH348" s="1072"/>
      <c r="AI348" s="1072"/>
      <c r="AJ348" s="1073"/>
      <c r="AK348" s="1052" cm="1">
        <f t="array" aca="1" ref="AK348" ca="1">INDEX(OFFSET($AK$19,MATCH($B348,$B$19:$B$150,0)-1,0,COUNTA($B$19:$B$24),COUNTA($AK$17:$BB$17)),MATCH($F348,$F$19:$F$24,0),MATCH(AK$17,$AK$17:$BB$17,0))*INDEX($10:$13,MATCH($O348,$R$10:$R$13,0),COLUMN())</f>
        <v>9.5433994499999994E-2</v>
      </c>
      <c r="AL348" s="1050" cm="1">
        <f t="array" aca="1" ref="AL348" ca="1">INDEX(OFFSET($AK$19,MATCH($B348,$B$19:$B$150,0)-1,0,COUNTA($B$19:$B$24),COUNTA($AK$17:$BB$17)),MATCH($F348,$F$19:$F$24,0),MATCH(AL$17,$AK$17:$BB$17,0))*INDEX($10:$13,MATCH($O348,$R$10:$R$13,0),COLUMN())</f>
        <v>7.818890944E-8</v>
      </c>
      <c r="AM348" s="1050" cm="1">
        <f t="array" aca="1" ref="AM348" ca="1">INDEX(OFFSET($AK$19,MATCH($B348,$B$19:$B$150,0)-1,0,COUNTA($B$19:$B$24),COUNTA($AK$17:$BB$17)),MATCH($F348,$F$19:$F$24,0),MATCH(AM$17,$AK$17:$BB$17,0))*INDEX($10:$13,MATCH($O348,$R$10:$R$13,0),COLUMN())</f>
        <v>1.4493998123000002E-4</v>
      </c>
      <c r="AN348" s="1050" cm="1">
        <f t="array" aca="1" ref="AN348" ca="1">INDEX(OFFSET($AK$19,MATCH($B348,$B$19:$B$150,0)-1,0,COUNTA($B$19:$B$24),COUNTA($AK$17:$BB$17)),MATCH($F348,$F$19:$F$24,0),MATCH(AN$17,$AK$17:$BB$17,0))*INDEX($10:$13,MATCH($O348,$R$10:$R$13,0),COLUMN())</f>
        <v>1.607318085E-3</v>
      </c>
      <c r="AO348" s="1050" cm="1">
        <f t="array" aca="1" ref="AO348" ca="1">INDEX(OFFSET($AK$19,MATCH($B348,$B$19:$B$150,0)-1,0,COUNTA($B$19:$B$24),COUNTA($AK$17:$BB$17)),MATCH($F348,$F$19:$F$24,0),MATCH(AO$17,$AK$17:$BB$17,0))*INDEX($10:$13,MATCH($O348,$R$10:$R$13,0),COLUMN())</f>
        <v>2.5581331608000003E-2</v>
      </c>
      <c r="AP348" s="1050" cm="1">
        <f t="array" aca="1" ref="AP348" ca="1">INDEX(OFFSET($AK$19,MATCH($B348,$B$19:$B$150,0)-1,0,COUNTA($B$19:$B$24),COUNTA($AK$17:$BB$17)),MATCH($F348,$F$19:$F$24,0),MATCH(AP$17,$AK$17:$BB$17,0))*INDEX($10:$13,MATCH($O348,$R$10:$R$13,0),COLUMN())</f>
        <v>1.4049561791999999E-2</v>
      </c>
      <c r="AQ348" s="1050" cm="1">
        <f t="array" aca="1" ref="AQ348" ca="1">INDEX(OFFSET($AK$19,MATCH($B348,$B$19:$B$150,0)-1,0,COUNTA($B$19:$B$24),COUNTA($AK$17:$BB$17)),MATCH($F348,$F$19:$F$24,0),MATCH(AQ$17,$AK$17:$BB$17,0))*INDEX($10:$13,MATCH($O348,$R$10:$R$13,0),COLUMN())</f>
        <v>9.5643896999999999E-5</v>
      </c>
      <c r="AR348" s="1050" cm="1">
        <f t="array" aca="1" ref="AR348" ca="1">INDEX(OFFSET($AK$19,MATCH($B348,$B$19:$B$150,0)-1,0,COUNTA($B$19:$B$24),COUNTA($AK$17:$BB$17)),MATCH($F348,$F$19:$F$24,0),MATCH(AR$17,$AK$17:$BB$17,0))*INDEX($10:$13,MATCH($O348,$R$10:$R$13,0),COLUMN())</f>
        <v>1.2690081008999999E-2</v>
      </c>
      <c r="AS348" s="1050" cm="1">
        <f t="array" aca="1" ref="AS348" ca="1">INDEX(OFFSET($AK$19,MATCH($B348,$B$19:$B$150,0)-1,0,COUNTA($B$19:$B$24),COUNTA($AK$17:$BB$17)),MATCH($F348,$F$19:$F$24,0),MATCH(AS$17,$AK$17:$BB$17,0))*INDEX($10:$13,MATCH($O348,$R$10:$R$13,0),COLUMN())</f>
        <v>-1.5195411340999997E-4</v>
      </c>
      <c r="AT348" s="1050" cm="1">
        <f t="array" aca="1" ref="AT348" ca="1">INDEX(OFFSET($AK$19,MATCH($B348,$B$19:$B$150,0)-1,0,COUNTA($B$19:$B$24),COUNTA($AK$17:$BB$17)),MATCH($F348,$F$19:$F$24,0),MATCH(AT$17,$AK$17:$BB$17,0))*INDEX($10:$13,MATCH($O348,$R$10:$R$13,0),COLUMN())</f>
        <v>7.9489770469999999E-6</v>
      </c>
      <c r="AU348" s="1050" cm="1">
        <f t="array" aca="1" ref="AU348" ca="1">INDEX(OFFSET($AK$19,MATCH($B348,$B$19:$B$150,0)-1,0,COUNTA($B$19:$B$24),COUNTA($AK$17:$BB$17)),MATCH($F348,$F$19:$F$24,0),MATCH(AU$17,$AK$17:$BB$17,0))*INDEX($10:$13,MATCH($O348,$R$10:$R$13,0),COLUMN())</f>
        <v>1.6677924925999998E-6</v>
      </c>
      <c r="AV348" s="1050" cm="1">
        <f t="array" aca="1" ref="AV348" ca="1">INDEX(OFFSET($AK$19,MATCH($B348,$B$19:$B$150,0)-1,0,COUNTA($B$19:$B$24),COUNTA($AK$17:$BB$17)),MATCH($F348,$F$19:$F$24,0),MATCH(AV$17,$AK$17:$BB$17,0))*INDEX($10:$13,MATCH($O348,$R$10:$R$13,0),COLUMN())</f>
        <v>1.1103033188000001E-3</v>
      </c>
      <c r="AW348" s="1050" cm="1">
        <f t="array" aca="1" ref="AW348" ca="1">INDEX(OFFSET($AK$19,MATCH($B348,$B$19:$B$150,0)-1,0,COUNTA($B$19:$B$24),COUNTA($AK$17:$BB$17)),MATCH($F348,$F$19:$F$24,0),MATCH(AW$17,$AK$17:$BB$17,0))*INDEX($10:$13,MATCH($O348,$R$10:$R$13,0),COLUMN())</f>
        <v>0.34641554935000007</v>
      </c>
      <c r="AX348" s="1050" cm="1">
        <f t="array" aca="1" ref="AX348" ca="1">INDEX(OFFSET($AK$19,MATCH($B348,$B$19:$B$150,0)-1,0,COUNTA($B$19:$B$24),COUNTA($AK$17:$BB$17)),MATCH($F348,$F$19:$F$24,0),MATCH(AX$17,$AK$17:$BB$17,0))*INDEX($10:$13,MATCH($O348,$R$10:$R$13,0),COLUMN())</f>
        <v>9.0248458950000015E-8</v>
      </c>
      <c r="AY348" s="1050" cm="1">
        <f t="array" aca="1" ref="AY348" ca="1">INDEX(OFFSET($AK$19,MATCH($B348,$B$19:$B$150,0)-1,0,COUNTA($B$19:$B$24),COUNTA($AK$17:$BB$17)),MATCH($F348,$F$19:$F$24,0),MATCH(AY$17,$AK$17:$BB$17,0))*INDEX($10:$13,MATCH($O348,$R$10:$R$13,0),COLUMN())</f>
        <v>0</v>
      </c>
      <c r="AZ348" s="1050" cm="1">
        <f t="array" aca="1" ref="AZ348" ca="1">INDEX(OFFSET($AK$19,MATCH($B348,$B$19:$B$150,0)-1,0,COUNTA($B$19:$B$24),COUNTA($AK$17:$BB$17)),MATCH($F348,$F$19:$F$24,0),MATCH(AZ$17,$AK$17:$BB$17,0))*INDEX($10:$13,MATCH($O348,$R$10:$R$13,0),COLUMN())</f>
        <v>0</v>
      </c>
      <c r="BA348" s="1050" cm="1">
        <f t="array" aca="1" ref="BA348" ca="1">INDEX(OFFSET($AK$19,MATCH($B348,$B$19:$B$150,0)-1,0,COUNTA($B$19:$B$24),COUNTA($AK$17:$BB$17)),MATCH($F348,$F$19:$F$24,0),MATCH(BA$17,$AK$17:$BB$17,0))*INDEX($10:$13,MATCH($O348,$R$10:$R$13,0),COLUMN())</f>
        <v>0</v>
      </c>
      <c r="BB348" s="1051" cm="1">
        <f t="array" aca="1" ref="BB348" ca="1">INDEX(OFFSET($AK$19,MATCH($B348,$B$19:$B$150,0)-1,0,COUNTA($B$19:$B$24),COUNTA($AK$17:$BB$17)),MATCH($F348,$F$19:$F$24,0),MATCH(BB$17,$AK$17:$BB$17,0))*INDEX($10:$13,MATCH($O348,$R$10:$R$13,0),COLUMN())</f>
        <v>0</v>
      </c>
      <c r="BC348" s="1053">
        <f t="shared" ca="1" si="169"/>
        <v>0.346415639598459</v>
      </c>
      <c r="BE348" s="1"/>
      <c r="BF348" s="1"/>
      <c r="BG348" s="1"/>
      <c r="BH348" s="1"/>
      <c r="BI348" s="1"/>
      <c r="BJ348" s="1"/>
      <c r="BK348" s="1"/>
      <c r="BL348" s="1"/>
      <c r="BM348" s="1"/>
      <c r="BN348" s="1"/>
      <c r="BO348" s="1"/>
      <c r="BP348" s="1"/>
      <c r="BQ348" s="1"/>
      <c r="BR348" s="1"/>
      <c r="BS348" s="1"/>
      <c r="BT348" s="1"/>
      <c r="BU348" s="1"/>
      <c r="BV348" s="1"/>
      <c r="BW348" s="1"/>
      <c r="BX348" s="1"/>
      <c r="BY348" s="1"/>
      <c r="BZ348" s="1"/>
    </row>
    <row r="349" spans="2:78" ht="12" customHeight="1" outlineLevel="1" x14ac:dyDescent="0.25">
      <c r="B349" s="104" t="s">
        <v>106</v>
      </c>
      <c r="C349" s="104" t="s">
        <v>121</v>
      </c>
      <c r="D349" s="2" t="s">
        <v>137</v>
      </c>
      <c r="E349" s="2" t="s">
        <v>142</v>
      </c>
      <c r="F349" s="105" t="s">
        <v>95</v>
      </c>
      <c r="G349" s="27" t="s">
        <v>1581</v>
      </c>
      <c r="H349" s="106" t="s">
        <v>128</v>
      </c>
      <c r="I349" s="107" t="s">
        <v>127</v>
      </c>
      <c r="J349" s="147">
        <v>4.9808850400000004</v>
      </c>
      <c r="K349" s="148">
        <v>0.70413000000000003</v>
      </c>
      <c r="L349" s="149">
        <f t="shared" ca="1" si="167"/>
        <v>1.0760104325401887</v>
      </c>
      <c r="M349" s="148">
        <f t="shared" ca="1" si="168"/>
        <v>1.4617812258645233</v>
      </c>
      <c r="N349" s="148">
        <f t="shared" ref="N349:N412" ca="1" si="170">SUMIFS($S349:$BB349,$S$14:$BB$14,$D$13)</f>
        <v>0.75765122586452316</v>
      </c>
      <c r="O349" s="1062" t="s">
        <v>1583</v>
      </c>
      <c r="P349" s="104"/>
      <c r="R349" s="119"/>
      <c r="S349" s="1072"/>
      <c r="T349" s="1072"/>
      <c r="U349" s="1072"/>
      <c r="V349" s="1072"/>
      <c r="W349" s="1072"/>
      <c r="X349" s="1072"/>
      <c r="Y349" s="1072"/>
      <c r="Z349" s="1072"/>
      <c r="AA349" s="1072"/>
      <c r="AB349" s="1072"/>
      <c r="AC349" s="1072"/>
      <c r="AD349" s="1072"/>
      <c r="AE349" s="1072"/>
      <c r="AF349" s="1072"/>
      <c r="AG349" s="1072"/>
      <c r="AH349" s="1072"/>
      <c r="AI349" s="1072"/>
      <c r="AJ349" s="1073"/>
      <c r="AK349" s="1052" cm="1">
        <f t="array" aca="1" ref="AK349" ca="1">INDEX(OFFSET($AK$19,MATCH($B349,$B$19:$B$150,0)-1,0,COUNTA($B$19:$B$24),COUNTA($AK$17:$BB$17)),MATCH($F349,$F$19:$F$24,0),MATCH(AK$17,$AK$17:$BB$17,0))*INDEX($10:$13,MATCH($O349,$R$10:$R$13,0),COLUMN())</f>
        <v>0.1358914128</v>
      </c>
      <c r="AL349" s="1050" cm="1">
        <f t="array" aca="1" ref="AL349" ca="1">INDEX(OFFSET($AK$19,MATCH($B349,$B$19:$B$150,0)-1,0,COUNTA($B$19:$B$24),COUNTA($AK$17:$BB$17)),MATCH($F349,$F$19:$F$24,0),MATCH(AL$17,$AK$17:$BB$17,0))*INDEX($10:$13,MATCH($O349,$R$10:$R$13,0),COLUMN())</f>
        <v>9.9246536479999992E-8</v>
      </c>
      <c r="AM349" s="1050" cm="1">
        <f t="array" aca="1" ref="AM349" ca="1">INDEX(OFFSET($AK$19,MATCH($B349,$B$19:$B$150,0)-1,0,COUNTA($B$19:$B$24),COUNTA($AK$17:$BB$17)),MATCH($F349,$F$19:$F$24,0),MATCH(AM$17,$AK$17:$BB$17,0))*INDEX($10:$13,MATCH($O349,$R$10:$R$13,0),COLUMN())</f>
        <v>1.8396800612E-4</v>
      </c>
      <c r="AN349" s="1050" cm="1">
        <f t="array" aca="1" ref="AN349" ca="1">INDEX(OFFSET($AK$19,MATCH($B349,$B$19:$B$150,0)-1,0,COUNTA($B$19:$B$24),COUNTA($AK$17:$BB$17)),MATCH($F349,$F$19:$F$24,0),MATCH(AN$17,$AK$17:$BB$17,0))*INDEX($10:$13,MATCH($O349,$R$10:$R$13,0),COLUMN())</f>
        <v>2.1834271449999998E-3</v>
      </c>
      <c r="AO349" s="1050" cm="1">
        <f t="array" aca="1" ref="AO349" ca="1">INDEX(OFFSET($AK$19,MATCH($B349,$B$19:$B$150,0)-1,0,COUNTA($B$19:$B$24),COUNTA($AK$17:$BB$17)),MATCH($F349,$F$19:$F$24,0),MATCH(AO$17,$AK$17:$BB$17,0))*INDEX($10:$13,MATCH($O349,$R$10:$R$13,0),COLUMN())</f>
        <v>7.8290863280000011E-2</v>
      </c>
      <c r="AP349" s="1050" cm="1">
        <f t="array" aca="1" ref="AP349" ca="1">INDEX(OFFSET($AK$19,MATCH($B349,$B$19:$B$150,0)-1,0,COUNTA($B$19:$B$24),COUNTA($AK$17:$BB$17)),MATCH($F349,$F$19:$F$24,0),MATCH(AP$17,$AK$17:$BB$17,0))*INDEX($10:$13,MATCH($O349,$R$10:$R$13,0),COLUMN())</f>
        <v>6.1559861299999998E-2</v>
      </c>
      <c r="AQ349" s="1050" cm="1">
        <f t="array" aca="1" ref="AQ349" ca="1">INDEX(OFFSET($AK$19,MATCH($B349,$B$19:$B$150,0)-1,0,COUNTA($B$19:$B$24),COUNTA($AK$17:$BB$17)),MATCH($F349,$F$19:$F$24,0),MATCH(AQ$17,$AK$17:$BB$17,0))*INDEX($10:$13,MATCH($O349,$R$10:$R$13,0),COLUMN())</f>
        <v>4.768572954E-4</v>
      </c>
      <c r="AR349" s="1050" cm="1">
        <f t="array" aca="1" ref="AR349" ca="1">INDEX(OFFSET($AK$19,MATCH($B349,$B$19:$B$150,0)-1,0,COUNTA($B$19:$B$24),COUNTA($AK$17:$BB$17)),MATCH($F349,$F$19:$F$24,0),MATCH(AR$17,$AK$17:$BB$17,0))*INDEX($10:$13,MATCH($O349,$R$10:$R$13,0),COLUMN())</f>
        <v>2.7658141540999999E-2</v>
      </c>
      <c r="AS349" s="1050" cm="1">
        <f t="array" aca="1" ref="AS349" ca="1">INDEX(OFFSET($AK$19,MATCH($B349,$B$19:$B$150,0)-1,0,COUNTA($B$19:$B$24),COUNTA($AK$17:$BB$17)),MATCH($F349,$F$19:$F$24,0),MATCH(AS$17,$AK$17:$BB$17,0))*INDEX($10:$13,MATCH($O349,$R$10:$R$13,0),COLUMN())</f>
        <v>5.385719266399999E-3</v>
      </c>
      <c r="AT349" s="1050" cm="1">
        <f t="array" aca="1" ref="AT349" ca="1">INDEX(OFFSET($AK$19,MATCH($B349,$B$19:$B$150,0)-1,0,COUNTA($B$19:$B$24),COUNTA($AK$17:$BB$17)),MATCH($F349,$F$19:$F$24,0),MATCH(AT$17,$AK$17:$BB$17,0))*INDEX($10:$13,MATCH($O349,$R$10:$R$13,0),COLUMN())</f>
        <v>1.4070429859999999E-5</v>
      </c>
      <c r="AU349" s="1050" cm="1">
        <f t="array" aca="1" ref="AU349" ca="1">INDEX(OFFSET($AK$19,MATCH($B349,$B$19:$B$150,0)-1,0,COUNTA($B$19:$B$24),COUNTA($AK$17:$BB$17)),MATCH($F349,$F$19:$F$24,0),MATCH(AU$17,$AK$17:$BB$17,0))*INDEX($10:$13,MATCH($O349,$R$10:$R$13,0),COLUMN())</f>
        <v>2.7184628605E-6</v>
      </c>
      <c r="AV349" s="1050" cm="1">
        <f t="array" aca="1" ref="AV349" ca="1">INDEX(OFFSET($AK$19,MATCH($B349,$B$19:$B$150,0)-1,0,COUNTA($B$19:$B$24),COUNTA($AK$17:$BB$17)),MATCH($F349,$F$19:$F$24,0),MATCH(AV$17,$AK$17:$BB$17,0))*INDEX($10:$13,MATCH($O349,$R$10:$R$13,0),COLUMN())</f>
        <v>9.9300033349999997E-3</v>
      </c>
      <c r="AW349" s="1050" cm="1">
        <f t="array" aca="1" ref="AW349" ca="1">INDEX(OFFSET($AK$19,MATCH($B349,$B$19:$B$150,0)-1,0,COUNTA($B$19:$B$24),COUNTA($AK$17:$BB$17)),MATCH($F349,$F$19:$F$24,0),MATCH(AW$17,$AK$17:$BB$17,0))*INDEX($10:$13,MATCH($O349,$R$10:$R$13,0),COLUMN())</f>
        <v>0.43607397014999999</v>
      </c>
      <c r="AX349" s="1050" cm="1">
        <f t="array" aca="1" ref="AX349" ca="1">INDEX(OFFSET($AK$19,MATCH($B349,$B$19:$B$150,0)-1,0,COUNTA($B$19:$B$24),COUNTA($AK$17:$BB$17)),MATCH($F349,$F$19:$F$24,0),MATCH(AX$17,$AK$17:$BB$17,0))*INDEX($10:$13,MATCH($O349,$R$10:$R$13,0),COLUMN())</f>
        <v>1.136063461E-7</v>
      </c>
      <c r="AY349" s="1050" cm="1">
        <f t="array" aca="1" ref="AY349" ca="1">INDEX(OFFSET($AK$19,MATCH($B349,$B$19:$B$150,0)-1,0,COUNTA($B$19:$B$24),COUNTA($AK$17:$BB$17)),MATCH($F349,$F$19:$F$24,0),MATCH(AY$17,$AK$17:$BB$17,0))*INDEX($10:$13,MATCH($O349,$R$10:$R$13,0),COLUMN())</f>
        <v>0</v>
      </c>
      <c r="AZ349" s="1050" cm="1">
        <f t="array" aca="1" ref="AZ349" ca="1">INDEX(OFFSET($AK$19,MATCH($B349,$B$19:$B$150,0)-1,0,COUNTA($B$19:$B$24),COUNTA($AK$17:$BB$17)),MATCH($F349,$F$19:$F$24,0),MATCH(AZ$17,$AK$17:$BB$17,0))*INDEX($10:$13,MATCH($O349,$R$10:$R$13,0),COLUMN())</f>
        <v>0</v>
      </c>
      <c r="BA349" s="1050" cm="1">
        <f t="array" aca="1" ref="BA349" ca="1">INDEX(OFFSET($AK$19,MATCH($B349,$B$19:$B$150,0)-1,0,COUNTA($B$19:$B$24),COUNTA($AK$17:$BB$17)),MATCH($F349,$F$19:$F$24,0),MATCH(BA$17,$AK$17:$BB$17,0))*INDEX($10:$13,MATCH($O349,$R$10:$R$13,0),COLUMN())</f>
        <v>0</v>
      </c>
      <c r="BB349" s="1051" cm="1">
        <f t="array" aca="1" ref="BB349" ca="1">INDEX(OFFSET($AK$19,MATCH($B349,$B$19:$B$150,0)-1,0,COUNTA($B$19:$B$24),COUNTA($AK$17:$BB$17)),MATCH($F349,$F$19:$F$24,0),MATCH(BB$17,$AK$17:$BB$17,0))*INDEX($10:$13,MATCH($O349,$R$10:$R$13,0),COLUMN())</f>
        <v>0</v>
      </c>
      <c r="BC349" s="1053">
        <f t="shared" ca="1" si="169"/>
        <v>0.4360740837563461</v>
      </c>
      <c r="BE349" s="1"/>
      <c r="BF349" s="1"/>
      <c r="BG349" s="1"/>
      <c r="BH349" s="1"/>
      <c r="BI349" s="1"/>
      <c r="BJ349" s="1"/>
      <c r="BK349" s="1"/>
      <c r="BL349" s="1"/>
      <c r="BM349" s="1"/>
      <c r="BN349" s="1"/>
      <c r="BO349" s="1"/>
      <c r="BP349" s="1"/>
      <c r="BQ349" s="1"/>
      <c r="BR349" s="1"/>
      <c r="BS349" s="1"/>
      <c r="BT349" s="1"/>
      <c r="BU349" s="1"/>
      <c r="BV349" s="1"/>
      <c r="BW349" s="1"/>
      <c r="BX349" s="1"/>
      <c r="BY349" s="1"/>
      <c r="BZ349" s="1"/>
    </row>
    <row r="350" spans="2:78" ht="12" customHeight="1" outlineLevel="1" x14ac:dyDescent="0.25">
      <c r="B350" s="104" t="s">
        <v>106</v>
      </c>
      <c r="C350" s="104" t="s">
        <v>121</v>
      </c>
      <c r="D350" s="2" t="s">
        <v>137</v>
      </c>
      <c r="E350" s="2" t="s">
        <v>142</v>
      </c>
      <c r="F350" s="105" t="s">
        <v>96</v>
      </c>
      <c r="G350" s="27" t="s">
        <v>1582</v>
      </c>
      <c r="H350" s="106" t="s">
        <v>128</v>
      </c>
      <c r="I350" s="107" t="s">
        <v>1577</v>
      </c>
      <c r="J350" s="147">
        <v>4.9808850400000004</v>
      </c>
      <c r="K350" s="148">
        <v>0.70413000000000003</v>
      </c>
      <c r="L350" s="149">
        <f t="shared" ca="1" si="167"/>
        <v>1.2125733245773325</v>
      </c>
      <c r="M350" s="148">
        <f t="shared" ca="1" si="168"/>
        <v>1.5579392550346371</v>
      </c>
      <c r="N350" s="148">
        <f t="shared" ca="1" si="170"/>
        <v>0.85380925503463712</v>
      </c>
      <c r="O350" s="1062" t="s">
        <v>1583</v>
      </c>
      <c r="P350" s="104"/>
      <c r="R350" s="119"/>
      <c r="S350" s="1072"/>
      <c r="T350" s="1072"/>
      <c r="U350" s="1072"/>
      <c r="V350" s="1072"/>
      <c r="W350" s="1072"/>
      <c r="X350" s="1072"/>
      <c r="Y350" s="1072"/>
      <c r="Z350" s="1072"/>
      <c r="AA350" s="1072"/>
      <c r="AB350" s="1072"/>
      <c r="AC350" s="1072"/>
      <c r="AD350" s="1072"/>
      <c r="AE350" s="1072"/>
      <c r="AF350" s="1072"/>
      <c r="AG350" s="1072"/>
      <c r="AH350" s="1072"/>
      <c r="AI350" s="1072"/>
      <c r="AJ350" s="1073"/>
      <c r="AK350" s="1052" cm="1">
        <f t="array" aca="1" ref="AK350" ca="1">INDEX(OFFSET($AK$19,MATCH($B350,$B$19:$B$150,0)-1,0,COUNTA($B$19:$B$24),COUNTA($AK$17:$BB$17)),MATCH($F350,$F$19:$F$24,0),MATCH(AK$17,$AK$17:$BB$17,0))*INDEX($10:$13,MATCH($O350,$R$10:$R$13,0),COLUMN())</f>
        <v>0.1471845024</v>
      </c>
      <c r="AL350" s="1050" cm="1">
        <f t="array" aca="1" ref="AL350" ca="1">INDEX(OFFSET($AK$19,MATCH($B350,$B$19:$B$150,0)-1,0,COUNTA($B$19:$B$24),COUNTA($AK$17:$BB$17)),MATCH($F350,$F$19:$F$24,0),MATCH(AL$17,$AK$17:$BB$17,0))*INDEX($10:$13,MATCH($O350,$R$10:$R$13,0),COLUMN())</f>
        <v>9.9782312160000004E-8</v>
      </c>
      <c r="AM350" s="1050" cm="1">
        <f t="array" aca="1" ref="AM350" ca="1">INDEX(OFFSET($AK$19,MATCH($B350,$B$19:$B$150,0)-1,0,COUNTA($B$19:$B$24),COUNTA($AK$17:$BB$17)),MATCH($F350,$F$19:$F$24,0),MATCH(AM$17,$AK$17:$BB$17,0))*INDEX($10:$13,MATCH($O350,$R$10:$R$13,0),COLUMN())</f>
        <v>1.8495672665E-4</v>
      </c>
      <c r="AN350" s="1050" cm="1">
        <f t="array" aca="1" ref="AN350" ca="1">INDEX(OFFSET($AK$19,MATCH($B350,$B$19:$B$150,0)-1,0,COUNTA($B$19:$B$24),COUNTA($AK$17:$BB$17)),MATCH($F350,$F$19:$F$24,0),MATCH(AN$17,$AK$17:$BB$17,0))*INDEX($10:$13,MATCH($O350,$R$10:$R$13,0),COLUMN())</f>
        <v>2.2879155700000001E-3</v>
      </c>
      <c r="AO350" s="1050" cm="1">
        <f t="array" aca="1" ref="AO350" ca="1">INDEX(OFFSET($AK$19,MATCH($B350,$B$19:$B$150,0)-1,0,COUNTA($B$19:$B$24),COUNTA($AK$17:$BB$17)),MATCH($F350,$F$19:$F$24,0),MATCH(AO$17,$AK$17:$BB$17,0))*INDEX($10:$13,MATCH($O350,$R$10:$R$13,0),COLUMN())</f>
        <v>0.11179828632</v>
      </c>
      <c r="AP350" s="1050" cm="1">
        <f t="array" aca="1" ref="AP350" ca="1">INDEX(OFFSET($AK$19,MATCH($B350,$B$19:$B$150,0)-1,0,COUNTA($B$19:$B$24),COUNTA($AK$17:$BB$17)),MATCH($F350,$F$19:$F$24,0),MATCH(AP$17,$AK$17:$BB$17,0))*INDEX($10:$13,MATCH($O350,$R$10:$R$13,0),COLUMN())</f>
        <v>9.3521528729999998E-2</v>
      </c>
      <c r="AQ350" s="1050" cm="1">
        <f t="array" aca="1" ref="AQ350" ca="1">INDEX(OFFSET($AK$19,MATCH($B350,$B$19:$B$150,0)-1,0,COUNTA($B$19:$B$24),COUNTA($AK$17:$BB$17)),MATCH($F350,$F$19:$F$24,0),MATCH(AQ$17,$AK$17:$BB$17,0))*INDEX($10:$13,MATCH($O350,$R$10:$R$13,0),COLUMN())</f>
        <v>7.3072004640000008E-4</v>
      </c>
      <c r="AR350" s="1050" cm="1">
        <f t="array" aca="1" ref="AR350" ca="1">INDEX(OFFSET($AK$19,MATCH($B350,$B$19:$B$150,0)-1,0,COUNTA($B$19:$B$24),COUNTA($AK$17:$BB$17)),MATCH($F350,$F$19:$F$24,0),MATCH(AR$17,$AK$17:$BB$17,0))*INDEX($10:$13,MATCH($O350,$R$10:$R$13,0),COLUMN())</f>
        <v>3.6176384579999998E-2</v>
      </c>
      <c r="AS350" s="1050" cm="1">
        <f t="array" aca="1" ref="AS350" ca="1">INDEX(OFFSET($AK$19,MATCH($B350,$B$19:$B$150,0)-1,0,COUNTA($B$19:$B$24),COUNTA($AK$17:$BB$17)),MATCH($F350,$F$19:$F$24,0),MATCH(AS$17,$AK$17:$BB$17,0))*INDEX($10:$13,MATCH($O350,$R$10:$R$13,0),COLUMN())</f>
        <v>9.2084810289999978E-3</v>
      </c>
      <c r="AT350" s="1050" cm="1">
        <f t="array" aca="1" ref="AT350" ca="1">INDEX(OFFSET($AK$19,MATCH($B350,$B$19:$B$150,0)-1,0,COUNTA($B$19:$B$24),COUNTA($AK$17:$BB$17)),MATCH($F350,$F$19:$F$24,0),MATCH(AT$17,$AK$17:$BB$17,0))*INDEX($10:$13,MATCH($O350,$R$10:$R$13,0),COLUMN())</f>
        <v>1.5792109977000001E-5</v>
      </c>
      <c r="AU350" s="1050" cm="1">
        <f t="array" aca="1" ref="AU350" ca="1">INDEX(OFFSET($AK$19,MATCH($B350,$B$19:$B$150,0)-1,0,COUNTA($B$19:$B$24),COUNTA($AK$17:$BB$17)),MATCH($F350,$F$19:$F$24,0),MATCH(AU$17,$AK$17:$BB$17,0))*INDEX($10:$13,MATCH($O350,$R$10:$R$13,0),COLUMN())</f>
        <v>2.9645739519000001E-6</v>
      </c>
      <c r="AV350" s="1050" cm="1">
        <f t="array" aca="1" ref="AV350" ca="1">INDEX(OFFSET($AK$19,MATCH($B350,$B$19:$B$150,0)-1,0,COUNTA($B$19:$B$24),COUNTA($AK$17:$BB$17)),MATCH($F350,$F$19:$F$24,0),MATCH(AV$17,$AK$17:$BB$17,0))*INDEX($10:$13,MATCH($O350,$R$10:$R$13,0),COLUMN())</f>
        <v>1.6623539409999999E-2</v>
      </c>
      <c r="AW350" s="1050" cm="1">
        <f t="array" aca="1" ref="AW350" ca="1">INDEX(OFFSET($AK$19,MATCH($B350,$B$19:$B$150,0)-1,0,COUNTA($B$19:$B$24),COUNTA($AK$17:$BB$17)),MATCH($F350,$F$19:$F$24,0),MATCH(AW$17,$AK$17:$BB$17,0))*INDEX($10:$13,MATCH($O350,$R$10:$R$13,0),COLUMN())</f>
        <v>0.43607397014999999</v>
      </c>
      <c r="AX350" s="1050" cm="1">
        <f t="array" aca="1" ref="AX350" ca="1">INDEX(OFFSET($AK$19,MATCH($B350,$B$19:$B$150,0)-1,0,COUNTA($B$19:$B$24),COUNTA($AK$17:$BB$17)),MATCH($F350,$F$19:$F$24,0),MATCH(AX$17,$AK$17:$BB$17,0))*INDEX($10:$13,MATCH($O350,$R$10:$R$13,0),COLUMN())</f>
        <v>1.136063461E-7</v>
      </c>
      <c r="AY350" s="1050" cm="1">
        <f t="array" aca="1" ref="AY350" ca="1">INDEX(OFFSET($AK$19,MATCH($B350,$B$19:$B$150,0)-1,0,COUNTA($B$19:$B$24),COUNTA($AK$17:$BB$17)),MATCH($F350,$F$19:$F$24,0),MATCH(AY$17,$AK$17:$BB$17,0))*INDEX($10:$13,MATCH($O350,$R$10:$R$13,0),COLUMN())</f>
        <v>0</v>
      </c>
      <c r="AZ350" s="1050" cm="1">
        <f t="array" aca="1" ref="AZ350" ca="1">INDEX(OFFSET($AK$19,MATCH($B350,$B$19:$B$150,0)-1,0,COUNTA($B$19:$B$24),COUNTA($AK$17:$BB$17)),MATCH($F350,$F$19:$F$24,0),MATCH(AZ$17,$AK$17:$BB$17,0))*INDEX($10:$13,MATCH($O350,$R$10:$R$13,0),COLUMN())</f>
        <v>0</v>
      </c>
      <c r="BA350" s="1050" cm="1">
        <f t="array" aca="1" ref="BA350" ca="1">INDEX(OFFSET($AK$19,MATCH($B350,$B$19:$B$150,0)-1,0,COUNTA($B$19:$B$24),COUNTA($AK$17:$BB$17)),MATCH($F350,$F$19:$F$24,0),MATCH(BA$17,$AK$17:$BB$17,0))*INDEX($10:$13,MATCH($O350,$R$10:$R$13,0),COLUMN())</f>
        <v>0</v>
      </c>
      <c r="BB350" s="1051" cm="1">
        <f t="array" aca="1" ref="BB350" ca="1">INDEX(OFFSET($AK$19,MATCH($B350,$B$19:$B$150,0)-1,0,COUNTA($B$19:$B$24),COUNTA($AK$17:$BB$17)),MATCH($F350,$F$19:$F$24,0),MATCH(BB$17,$AK$17:$BB$17,0))*INDEX($10:$13,MATCH($O350,$R$10:$R$13,0),COLUMN())</f>
        <v>0</v>
      </c>
      <c r="BC350" s="1053">
        <f t="shared" ca="1" si="169"/>
        <v>0.4360740837563461</v>
      </c>
      <c r="BE350" s="1"/>
      <c r="BF350" s="1"/>
      <c r="BG350" s="1"/>
      <c r="BH350" s="1"/>
      <c r="BI350" s="1"/>
      <c r="BJ350" s="1"/>
      <c r="BK350" s="1"/>
      <c r="BL350" s="1"/>
      <c r="BM350" s="1"/>
      <c r="BN350" s="1"/>
      <c r="BO350" s="1"/>
      <c r="BP350" s="1"/>
      <c r="BQ350" s="1"/>
      <c r="BR350" s="1"/>
      <c r="BS350" s="1"/>
      <c r="BT350" s="1"/>
      <c r="BU350" s="1"/>
      <c r="BV350" s="1"/>
      <c r="BW350" s="1"/>
      <c r="BX350" s="1"/>
      <c r="BY350" s="1"/>
      <c r="BZ350" s="1"/>
    </row>
    <row r="351" spans="2:78" ht="12" customHeight="1" outlineLevel="1" x14ac:dyDescent="0.25">
      <c r="B351" s="88" t="s">
        <v>107</v>
      </c>
      <c r="C351" s="88" t="s">
        <v>121</v>
      </c>
      <c r="D351" s="89" t="s">
        <v>143</v>
      </c>
      <c r="E351" s="89" t="s">
        <v>144</v>
      </c>
      <c r="F351" s="90" t="s">
        <v>92</v>
      </c>
      <c r="G351" s="18" t="s">
        <v>126</v>
      </c>
      <c r="H351" s="91" t="s">
        <v>127</v>
      </c>
      <c r="I351" s="92" t="s">
        <v>127</v>
      </c>
      <c r="J351" s="142">
        <v>5.9321289200000002</v>
      </c>
      <c r="K351" s="143">
        <v>0.33</v>
      </c>
      <c r="L351" s="144">
        <f t="shared" ca="1" si="167"/>
        <v>5.7037713808007391</v>
      </c>
      <c r="M351" s="143">
        <f t="shared" ca="1" si="168"/>
        <v>2.2122445556642441</v>
      </c>
      <c r="N351" s="143">
        <f t="shared" ca="1" si="170"/>
        <v>1.882244555664244</v>
      </c>
      <c r="O351" s="1063" t="s">
        <v>1583</v>
      </c>
      <c r="P351" s="88"/>
      <c r="Q351" s="89"/>
      <c r="R351" s="150"/>
      <c r="S351" s="1070"/>
      <c r="T351" s="1070"/>
      <c r="U351" s="1070"/>
      <c r="V351" s="1070"/>
      <c r="W351" s="1070"/>
      <c r="X351" s="1070"/>
      <c r="Y351" s="1070"/>
      <c r="Z351" s="1070"/>
      <c r="AA351" s="1070"/>
      <c r="AB351" s="1070"/>
      <c r="AC351" s="1070"/>
      <c r="AD351" s="1070"/>
      <c r="AE351" s="1070"/>
      <c r="AF351" s="1070"/>
      <c r="AG351" s="1070"/>
      <c r="AH351" s="1070"/>
      <c r="AI351" s="1070"/>
      <c r="AJ351" s="1071"/>
      <c r="AK351" s="1048" cm="1">
        <f t="array" aca="1" ref="AK351" ca="1">INDEX(OFFSET($AK$19,MATCH($B351,$B$19:$B$150,0)-1,0,COUNTA($B$19:$B$24),COUNTA($AK$17:$BB$17)),MATCH($F351,$F$19:$F$24,0),MATCH(AK$17,$AK$17:$BB$17,0))*INDEX($10:$13,MATCH($O351,$R$10:$R$13,0),COLUMN())</f>
        <v>0.2203848075</v>
      </c>
      <c r="AL351" s="1046" cm="1">
        <f t="array" aca="1" ref="AL351" ca="1">INDEX(OFFSET($AK$19,MATCH($B351,$B$19:$B$150,0)-1,0,COUNTA($B$19:$B$24),COUNTA($AK$17:$BB$17)),MATCH($F351,$F$19:$F$24,0),MATCH(AL$17,$AK$17:$BB$17,0))*INDEX($10:$13,MATCH($O351,$R$10:$R$13,0),COLUMN())</f>
        <v>3.9410243839999995E-7</v>
      </c>
      <c r="AM351" s="1046" cm="1">
        <f t="array" aca="1" ref="AM351" ca="1">INDEX(OFFSET($AK$19,MATCH($B351,$B$19:$B$150,0)-1,0,COUNTA($B$19:$B$24),COUNTA($AK$17:$BB$17)),MATCH($F351,$F$19:$F$24,0),MATCH(AM$17,$AK$17:$BB$17,0))*INDEX($10:$13,MATCH($O351,$R$10:$R$13,0),COLUMN())</f>
        <v>7.3673202919999998E-4</v>
      </c>
      <c r="AN351" s="1046" cm="1">
        <f t="array" aca="1" ref="AN351" ca="1">INDEX(OFFSET($AK$19,MATCH($B351,$B$19:$B$150,0)-1,0,COUNTA($B$19:$B$24),COUNTA($AK$17:$BB$17)),MATCH($F351,$F$19:$F$24,0),MATCH(AN$17,$AK$17:$BB$17,0))*INDEX($10:$13,MATCH($O351,$R$10:$R$13,0),COLUMN())</f>
        <v>3.1420136699999998E-3</v>
      </c>
      <c r="AO351" s="1046" cm="1">
        <f t="array" aca="1" ref="AO351" ca="1">INDEX(OFFSET($AK$19,MATCH($B351,$B$19:$B$150,0)-1,0,COUNTA($B$19:$B$24),COUNTA($AK$17:$BB$17)),MATCH($F351,$F$19:$F$24,0),MATCH(AO$17,$AK$17:$BB$17,0))*INDEX($10:$13,MATCH($O351,$R$10:$R$13,0),COLUMN())</f>
        <v>0.13530746712000002</v>
      </c>
      <c r="AP351" s="1046" cm="1">
        <f t="array" aca="1" ref="AP351" ca="1">INDEX(OFFSET($AK$19,MATCH($B351,$B$19:$B$150,0)-1,0,COUNTA($B$19:$B$24),COUNTA($AK$17:$BB$17)),MATCH($F351,$F$19:$F$24,0),MATCH(AP$17,$AK$17:$BB$17,0))*INDEX($10:$13,MATCH($O351,$R$10:$R$13,0),COLUMN())</f>
        <v>0.10942837654</v>
      </c>
      <c r="AQ351" s="1046" cm="1">
        <f t="array" aca="1" ref="AQ351" ca="1">INDEX(OFFSET($AK$19,MATCH($B351,$B$19:$B$150,0)-1,0,COUNTA($B$19:$B$24),COUNTA($AK$17:$BB$17)),MATCH($F351,$F$19:$F$24,0),MATCH(AQ$17,$AK$17:$BB$17,0))*INDEX($10:$13,MATCH($O351,$R$10:$R$13,0),COLUMN())</f>
        <v>1.2349506456000002E-3</v>
      </c>
      <c r="AR351" s="1046" cm="1">
        <f t="array" aca="1" ref="AR351" ca="1">INDEX(OFFSET($AK$19,MATCH($B351,$B$19:$B$150,0)-1,0,COUNTA($B$19:$B$24),COUNTA($AK$17:$BB$17)),MATCH($F351,$F$19:$F$24,0),MATCH(AR$17,$AK$17:$BB$17,0))*INDEX($10:$13,MATCH($O351,$R$10:$R$13,0),COLUMN())</f>
        <v>5.7485096940000001E-2</v>
      </c>
      <c r="AS351" s="1046" cm="1">
        <f t="array" aca="1" ref="AS351" ca="1">INDEX(OFFSET($AK$19,MATCH($B351,$B$19:$B$150,0)-1,0,COUNTA($B$19:$B$24),COUNTA($AK$17:$BB$17)),MATCH($F351,$F$19:$F$24,0),MATCH(AS$17,$AK$17:$BB$17,0))*INDEX($10:$13,MATCH($O351,$R$10:$R$13,0),COLUMN())</f>
        <v>0.76459760134999999</v>
      </c>
      <c r="AT351" s="1046" cm="1">
        <f t="array" aca="1" ref="AT351" ca="1">INDEX(OFFSET($AK$19,MATCH($B351,$B$19:$B$150,0)-1,0,COUNTA($B$19:$B$24),COUNTA($AK$17:$BB$17)),MATCH($F351,$F$19:$F$24,0),MATCH(AT$17,$AK$17:$BB$17,0))*INDEX($10:$13,MATCH($O351,$R$10:$R$13,0),COLUMN())</f>
        <v>8.5634806329999995E-4</v>
      </c>
      <c r="AU351" s="1046" cm="1">
        <f t="array" aca="1" ref="AU351" ca="1">INDEX(OFFSET($AK$19,MATCH($B351,$B$19:$B$150,0)-1,0,COUNTA($B$19:$B$24),COUNTA($AK$17:$BB$17)),MATCH($F351,$F$19:$F$24,0),MATCH(AU$17,$AK$17:$BB$17,0))*INDEX($10:$13,MATCH($O351,$R$10:$R$13,0),COLUMN())</f>
        <v>5.8032178698000004E-5</v>
      </c>
      <c r="AV351" s="1046" cm="1">
        <f t="array" aca="1" ref="AV351" ca="1">INDEX(OFFSET($AK$19,MATCH($B351,$B$19:$B$150,0)-1,0,COUNTA($B$19:$B$24),COUNTA($AK$17:$BB$17)),MATCH($F351,$F$19:$F$24,0),MATCH(AV$17,$AK$17:$BB$17,0))*INDEX($10:$13,MATCH($O351,$R$10:$R$13,0),COLUMN())</f>
        <v>2.5969192658E-2</v>
      </c>
      <c r="AW351" s="1046" cm="1">
        <f t="array" aca="1" ref="AW351" ca="1">INDEX(OFFSET($AK$19,MATCH($B351,$B$19:$B$150,0)-1,0,COUNTA($B$19:$B$24),COUNTA($AK$17:$BB$17)),MATCH($F351,$F$19:$F$24,0),MATCH(AW$17,$AK$17:$BB$17,0))*INDEX($10:$13,MATCH($O351,$R$10:$R$13,0),COLUMN())</f>
        <v>0.56304283360000007</v>
      </c>
      <c r="AX351" s="1046" cm="1">
        <f t="array" aca="1" ref="AX351" ca="1">INDEX(OFFSET($AK$19,MATCH($B351,$B$19:$B$150,0)-1,0,COUNTA($B$19:$B$24),COUNTA($AK$17:$BB$17)),MATCH($F351,$F$19:$F$24,0),MATCH(AX$17,$AK$17:$BB$17,0))*INDEX($10:$13,MATCH($O351,$R$10:$R$13,0),COLUMN())</f>
        <v>7.0926700780000006E-7</v>
      </c>
      <c r="AY351" s="1046" cm="1">
        <f t="array" aca="1" ref="AY351" ca="1">INDEX(OFFSET($AK$19,MATCH($B351,$B$19:$B$150,0)-1,0,COUNTA($B$19:$B$24),COUNTA($AK$17:$BB$17)),MATCH($F351,$F$19:$F$24,0),MATCH(AY$17,$AK$17:$BB$17,0))*INDEX($10:$13,MATCH($O351,$R$10:$R$13,0),COLUMN())</f>
        <v>0</v>
      </c>
      <c r="AZ351" s="1046" cm="1">
        <f t="array" aca="1" ref="AZ351" ca="1">INDEX(OFFSET($AK$19,MATCH($B351,$B$19:$B$150,0)-1,0,COUNTA($B$19:$B$24),COUNTA($AK$17:$BB$17)),MATCH($F351,$F$19:$F$24,0),MATCH(AZ$17,$AK$17:$BB$17,0))*INDEX($10:$13,MATCH($O351,$R$10:$R$13,0),COLUMN())</f>
        <v>0</v>
      </c>
      <c r="BA351" s="1046" cm="1">
        <f t="array" aca="1" ref="BA351" ca="1">INDEX(OFFSET($AK$19,MATCH($B351,$B$19:$B$150,0)-1,0,COUNTA($B$19:$B$24),COUNTA($AK$17:$BB$17)),MATCH($F351,$F$19:$F$24,0),MATCH(BA$17,$AK$17:$BB$17,0))*INDEX($10:$13,MATCH($O351,$R$10:$R$13,0),COLUMN())</f>
        <v>0</v>
      </c>
      <c r="BB351" s="1047" cm="1">
        <f t="array" aca="1" ref="BB351" ca="1">INDEX(OFFSET($AK$19,MATCH($B351,$B$19:$B$150,0)-1,0,COUNTA($B$19:$B$24),COUNTA($AK$17:$BB$17)),MATCH($F351,$F$19:$F$24,0),MATCH(BB$17,$AK$17:$BB$17,0))*INDEX($10:$13,MATCH($O351,$R$10:$R$13,0),COLUMN())</f>
        <v>0</v>
      </c>
      <c r="BC351" s="1049">
        <f t="shared" ca="1" si="169"/>
        <v>0.56304354286700786</v>
      </c>
      <c r="BE351" s="1"/>
      <c r="BF351" s="1"/>
      <c r="BG351" s="1"/>
      <c r="BH351" s="1"/>
      <c r="BI351" s="1"/>
      <c r="BJ351" s="1"/>
      <c r="BK351" s="1"/>
      <c r="BL351" s="1"/>
      <c r="BM351" s="1"/>
      <c r="BN351" s="1"/>
      <c r="BO351" s="1"/>
      <c r="BP351" s="1"/>
      <c r="BQ351" s="1"/>
      <c r="BR351" s="1"/>
      <c r="BS351" s="1"/>
      <c r="BT351" s="1"/>
      <c r="BU351" s="1"/>
      <c r="BV351" s="1"/>
      <c r="BW351" s="1"/>
      <c r="BX351" s="1"/>
      <c r="BY351" s="1"/>
      <c r="BZ351" s="1"/>
    </row>
    <row r="352" spans="2:78" ht="12" customHeight="1" outlineLevel="1" x14ac:dyDescent="0.25">
      <c r="B352" s="104" t="s">
        <v>107</v>
      </c>
      <c r="C352" s="104" t="s">
        <v>121</v>
      </c>
      <c r="D352" s="2" t="s">
        <v>143</v>
      </c>
      <c r="E352" s="2" t="s">
        <v>144</v>
      </c>
      <c r="F352" s="105" t="s">
        <v>122</v>
      </c>
      <c r="G352" s="27" t="s">
        <v>1579</v>
      </c>
      <c r="H352" s="106" t="s">
        <v>128</v>
      </c>
      <c r="I352" s="107" t="s">
        <v>129</v>
      </c>
      <c r="J352" s="147">
        <v>5.9321289200000002</v>
      </c>
      <c r="K352" s="148">
        <v>3</v>
      </c>
      <c r="L352" s="149">
        <f t="shared" ca="1" si="167"/>
        <v>0.37110867282447485</v>
      </c>
      <c r="M352" s="148">
        <f t="shared" ca="1" si="168"/>
        <v>4.1133260184734244</v>
      </c>
      <c r="N352" s="148">
        <f t="shared" ca="1" si="170"/>
        <v>1.1133260184734246</v>
      </c>
      <c r="O352" s="1062" t="s">
        <v>1583</v>
      </c>
      <c r="P352" s="104"/>
      <c r="R352" s="119"/>
      <c r="S352" s="1072"/>
      <c r="T352" s="1072"/>
      <c r="U352" s="1072"/>
      <c r="V352" s="1072"/>
      <c r="W352" s="1072"/>
      <c r="X352" s="1072"/>
      <c r="Y352" s="1072"/>
      <c r="Z352" s="1072"/>
      <c r="AA352" s="1072"/>
      <c r="AB352" s="1072"/>
      <c r="AC352" s="1072"/>
      <c r="AD352" s="1072"/>
      <c r="AE352" s="1072"/>
      <c r="AF352" s="1072"/>
      <c r="AG352" s="1072"/>
      <c r="AH352" s="1072"/>
      <c r="AI352" s="1072"/>
      <c r="AJ352" s="1073"/>
      <c r="AK352" s="1052" cm="1">
        <f t="array" aca="1" ref="AK352" ca="1">INDEX(OFFSET($AK$19,MATCH($B352,$B$19:$B$150,0)-1,0,COUNTA($B$19:$B$24),COUNTA($AK$17:$BB$17)),MATCH($F352,$F$19:$F$24,0),MATCH(AK$17,$AK$17:$BB$17,0))*INDEX($10:$13,MATCH($O352,$R$10:$R$13,0),COLUMN())</f>
        <v>0.15327133379999999</v>
      </c>
      <c r="AL352" s="1050" cm="1">
        <f t="array" aca="1" ref="AL352" ca="1">INDEX(OFFSET($AK$19,MATCH($B352,$B$19:$B$150,0)-1,0,COUNTA($B$19:$B$24),COUNTA($AK$17:$BB$17)),MATCH($F352,$F$19:$F$24,0),MATCH(AL$17,$AK$17:$BB$17,0))*INDEX($10:$13,MATCH($O352,$R$10:$R$13,0),COLUMN())</f>
        <v>2.0194263999999999E-7</v>
      </c>
      <c r="AM352" s="1050" cm="1">
        <f t="array" aca="1" ref="AM352" ca="1">INDEX(OFFSET($AK$19,MATCH($B352,$B$19:$B$150,0)-1,0,COUNTA($B$19:$B$24),COUNTA($AK$17:$BB$17)),MATCH($F352,$F$19:$F$24,0),MATCH(AM$17,$AK$17:$BB$17,0))*INDEX($10:$13,MATCH($O352,$R$10:$R$13,0),COLUMN())</f>
        <v>3.7440085035000004E-4</v>
      </c>
      <c r="AN352" s="1050" cm="1">
        <f t="array" aca="1" ref="AN352" ca="1">INDEX(OFFSET($AK$19,MATCH($B352,$B$19:$B$150,0)-1,0,COUNTA($B$19:$B$24),COUNTA($AK$17:$BB$17)),MATCH($F352,$F$19:$F$24,0),MATCH(AN$17,$AK$17:$BB$17,0))*INDEX($10:$13,MATCH($O352,$R$10:$R$13,0),COLUMN())</f>
        <v>4.1798216249999999E-3</v>
      </c>
      <c r="AO352" s="1050" cm="1">
        <f t="array" aca="1" ref="AO352" ca="1">INDEX(OFFSET($AK$19,MATCH($B352,$B$19:$B$150,0)-1,0,COUNTA($B$19:$B$24),COUNTA($AK$17:$BB$17)),MATCH($F352,$F$19:$F$24,0),MATCH(AO$17,$AK$17:$BB$17,0))*INDEX($10:$13,MATCH($O352,$R$10:$R$13,0),COLUMN())</f>
        <v>6.3986795040000002E-2</v>
      </c>
      <c r="AP352" s="1050" cm="1">
        <f t="array" aca="1" ref="AP352" ca="1">INDEX(OFFSET($AK$19,MATCH($B352,$B$19:$B$150,0)-1,0,COUNTA($B$19:$B$24),COUNTA($AK$17:$BB$17)),MATCH($F352,$F$19:$F$24,0),MATCH(AP$17,$AK$17:$BB$17,0))*INDEX($10:$13,MATCH($O352,$R$10:$R$13,0),COLUMN())</f>
        <v>3.4307720643E-2</v>
      </c>
      <c r="AQ352" s="1050" cm="1">
        <f t="array" aca="1" ref="AQ352" ca="1">INDEX(OFFSET($AK$19,MATCH($B352,$B$19:$B$150,0)-1,0,COUNTA($B$19:$B$24),COUNTA($AK$17:$BB$17)),MATCH($F352,$F$19:$F$24,0),MATCH(AQ$17,$AK$17:$BB$17,0))*INDEX($10:$13,MATCH($O352,$R$10:$R$13,0),COLUMN())</f>
        <v>2.2759545900000001E-4</v>
      </c>
      <c r="AR352" s="1050" cm="1">
        <f t="array" aca="1" ref="AR352" ca="1">INDEX(OFFSET($AK$19,MATCH($B352,$B$19:$B$150,0)-1,0,COUNTA($B$19:$B$24),COUNTA($AK$17:$BB$17)),MATCH($F352,$F$19:$F$24,0),MATCH(AR$17,$AK$17:$BB$17,0))*INDEX($10:$13,MATCH($O352,$R$10:$R$13,0),COLUMN())</f>
        <v>2.7638808225999997E-2</v>
      </c>
      <c r="AS352" s="1050" cm="1">
        <f t="array" aca="1" ref="AS352" ca="1">INDEX(OFFSET($AK$19,MATCH($B352,$B$19:$B$150,0)-1,0,COUNTA($B$19:$B$24),COUNTA($AK$17:$BB$17)),MATCH($F352,$F$19:$F$24,0),MATCH(AS$17,$AK$17:$BB$17,0))*INDEX($10:$13,MATCH($O352,$R$10:$R$13,0),COLUMN())</f>
        <v>9.4291227359999993E-4</v>
      </c>
      <c r="AT352" s="1050" cm="1">
        <f t="array" aca="1" ref="AT352" ca="1">INDEX(OFFSET($AK$19,MATCH($B352,$B$19:$B$150,0)-1,0,COUNTA($B$19:$B$24),COUNTA($AK$17:$BB$17)),MATCH($F352,$F$19:$F$24,0),MATCH(AT$17,$AK$17:$BB$17,0))*INDEX($10:$13,MATCH($O352,$R$10:$R$13,0),COLUMN())</f>
        <v>1.9395921714999998E-5</v>
      </c>
      <c r="AU352" s="1050" cm="1">
        <f t="array" aca="1" ref="AU352" ca="1">INDEX(OFFSET($AK$19,MATCH($B352,$B$19:$B$150,0)-1,0,COUNTA($B$19:$B$24),COUNTA($AK$17:$BB$17)),MATCH($F352,$F$19:$F$24,0),MATCH(AU$17,$AK$17:$BB$17,0))*INDEX($10:$13,MATCH($O352,$R$10:$R$13,0),COLUMN())</f>
        <v>4.0769902085000003E-6</v>
      </c>
      <c r="AV352" s="1050" cm="1">
        <f t="array" aca="1" ref="AV352" ca="1">INDEX(OFFSET($AK$19,MATCH($B352,$B$19:$B$150,0)-1,0,COUNTA($B$19:$B$24),COUNTA($AK$17:$BB$17)),MATCH($F352,$F$19:$F$24,0),MATCH(AV$17,$AK$17:$BB$17,0))*INDEX($10:$13,MATCH($O352,$R$10:$R$13,0),COLUMN())</f>
        <v>4.7787404427E-3</v>
      </c>
      <c r="AW352" s="1050" cm="1">
        <f t="array" aca="1" ref="AW352" ca="1">INDEX(OFFSET($AK$19,MATCH($B352,$B$19:$B$150,0)-1,0,COUNTA($B$19:$B$24),COUNTA($AK$17:$BB$17)),MATCH($F352,$F$19:$F$24,0),MATCH(AW$17,$AK$17:$BB$17,0))*INDEX($10:$13,MATCH($O352,$R$10:$R$13,0),COLUMN())</f>
        <v>0.82359397835000014</v>
      </c>
      <c r="AX352" s="1050" cm="1">
        <f t="array" aca="1" ref="AX352" ca="1">INDEX(OFFSET($AK$19,MATCH($B352,$B$19:$B$150,0)-1,0,COUNTA($B$19:$B$24),COUNTA($AK$17:$BB$17)),MATCH($F352,$F$19:$F$24,0),MATCH(AX$17,$AK$17:$BB$17,0))*INDEX($10:$13,MATCH($O352,$R$10:$R$13,0),COLUMN())</f>
        <v>2.3690921085000001E-7</v>
      </c>
      <c r="AY352" s="1050" cm="1">
        <f t="array" aca="1" ref="AY352" ca="1">INDEX(OFFSET($AK$19,MATCH($B352,$B$19:$B$150,0)-1,0,COUNTA($B$19:$B$24),COUNTA($AK$17:$BB$17)),MATCH($F352,$F$19:$F$24,0),MATCH(AY$17,$AK$17:$BB$17,0))*INDEX($10:$13,MATCH($O352,$R$10:$R$13,0),COLUMN())</f>
        <v>0</v>
      </c>
      <c r="AZ352" s="1050" cm="1">
        <f t="array" aca="1" ref="AZ352" ca="1">INDEX(OFFSET($AK$19,MATCH($B352,$B$19:$B$150,0)-1,0,COUNTA($B$19:$B$24),COUNTA($AK$17:$BB$17)),MATCH($F352,$F$19:$F$24,0),MATCH(AZ$17,$AK$17:$BB$17,0))*INDEX($10:$13,MATCH($O352,$R$10:$R$13,0),COLUMN())</f>
        <v>0</v>
      </c>
      <c r="BA352" s="1050" cm="1">
        <f t="array" aca="1" ref="BA352" ca="1">INDEX(OFFSET($AK$19,MATCH($B352,$B$19:$B$150,0)-1,0,COUNTA($B$19:$B$24),COUNTA($AK$17:$BB$17)),MATCH($F352,$F$19:$F$24,0),MATCH(BA$17,$AK$17:$BB$17,0))*INDEX($10:$13,MATCH($O352,$R$10:$R$13,0),COLUMN())</f>
        <v>0</v>
      </c>
      <c r="BB352" s="1051" cm="1">
        <f t="array" aca="1" ref="BB352" ca="1">INDEX(OFFSET($AK$19,MATCH($B352,$B$19:$B$150,0)-1,0,COUNTA($B$19:$B$24),COUNTA($AK$17:$BB$17)),MATCH($F352,$F$19:$F$24,0),MATCH(BB$17,$AK$17:$BB$17,0))*INDEX($10:$13,MATCH($O352,$R$10:$R$13,0),COLUMN())</f>
        <v>0</v>
      </c>
      <c r="BC352" s="1053">
        <f t="shared" ca="1" si="169"/>
        <v>0.82359421525921095</v>
      </c>
      <c r="BE352" s="1"/>
      <c r="BF352" s="1"/>
      <c r="BG352" s="1"/>
      <c r="BH352" s="1"/>
      <c r="BI352" s="1"/>
      <c r="BJ352" s="1"/>
      <c r="BK352" s="1"/>
      <c r="BL352" s="1"/>
      <c r="BM352" s="1"/>
      <c r="BN352" s="1"/>
      <c r="BO352" s="1"/>
      <c r="BP352" s="1"/>
      <c r="BQ352" s="1"/>
      <c r="BR352" s="1"/>
      <c r="BS352" s="1"/>
      <c r="BT352" s="1"/>
      <c r="BU352" s="1"/>
      <c r="BV352" s="1"/>
      <c r="BW352" s="1"/>
      <c r="BX352" s="1"/>
      <c r="BY352" s="1"/>
      <c r="BZ352" s="1"/>
    </row>
    <row r="353" spans="2:78" ht="12" customHeight="1" outlineLevel="1" x14ac:dyDescent="0.25">
      <c r="B353" s="104" t="s">
        <v>107</v>
      </c>
      <c r="C353" s="104" t="s">
        <v>121</v>
      </c>
      <c r="D353" s="2" t="s">
        <v>143</v>
      </c>
      <c r="E353" s="2" t="s">
        <v>144</v>
      </c>
      <c r="F353" s="105" t="s">
        <v>93</v>
      </c>
      <c r="G353" s="27" t="s">
        <v>1578</v>
      </c>
      <c r="H353" s="106" t="s">
        <v>130</v>
      </c>
      <c r="I353" s="107" t="s">
        <v>129</v>
      </c>
      <c r="J353" s="147">
        <v>5.9321289200000002</v>
      </c>
      <c r="K353" s="148">
        <v>3</v>
      </c>
      <c r="L353" s="149">
        <f t="shared" ca="1" si="167"/>
        <v>0.46538783279066892</v>
      </c>
      <c r="M353" s="148">
        <f t="shared" ca="1" si="168"/>
        <v>4.3961634983720064</v>
      </c>
      <c r="N353" s="148">
        <f t="shared" ca="1" si="170"/>
        <v>1.3961634983720068</v>
      </c>
      <c r="O353" s="1062" t="s">
        <v>1583</v>
      </c>
      <c r="P353" s="104"/>
      <c r="R353" s="119"/>
      <c r="S353" s="1072"/>
      <c r="T353" s="1072"/>
      <c r="U353" s="1072"/>
      <c r="V353" s="1072"/>
      <c r="W353" s="1072"/>
      <c r="X353" s="1072"/>
      <c r="Y353" s="1072"/>
      <c r="Z353" s="1072"/>
      <c r="AA353" s="1072"/>
      <c r="AB353" s="1072"/>
      <c r="AC353" s="1072"/>
      <c r="AD353" s="1072"/>
      <c r="AE353" s="1072"/>
      <c r="AF353" s="1072"/>
      <c r="AG353" s="1072"/>
      <c r="AH353" s="1072"/>
      <c r="AI353" s="1072"/>
      <c r="AJ353" s="1073"/>
      <c r="AK353" s="1052" cm="1">
        <f t="array" aca="1" ref="AK353" ca="1">INDEX(OFFSET($AK$19,MATCH($B353,$B$19:$B$150,0)-1,0,COUNTA($B$19:$B$24),COUNTA($AK$17:$BB$17)),MATCH($F353,$F$19:$F$24,0),MATCH(AK$17,$AK$17:$BB$17,0))*INDEX($10:$13,MATCH($O353,$R$10:$R$13,0),COLUMN())</f>
        <v>0.19211745929999999</v>
      </c>
      <c r="AL353" s="1050" cm="1">
        <f t="array" aca="1" ref="AL353" ca="1">INDEX(OFFSET($AK$19,MATCH($B353,$B$19:$B$150,0)-1,0,COUNTA($B$19:$B$24),COUNTA($AK$17:$BB$17)),MATCH($F353,$F$19:$F$24,0),MATCH(AL$17,$AK$17:$BB$17,0))*INDEX($10:$13,MATCH($O353,$R$10:$R$13,0),COLUMN())</f>
        <v>2.5315392063999998E-7</v>
      </c>
      <c r="AM353" s="1050" cm="1">
        <f t="array" aca="1" ref="AM353" ca="1">INDEX(OFFSET($AK$19,MATCH($B353,$B$19:$B$150,0)-1,0,COUNTA($B$19:$B$24),COUNTA($AK$17:$BB$17)),MATCH($F353,$F$19:$F$24,0),MATCH(AM$17,$AK$17:$BB$17,0))*INDEX($10:$13,MATCH($O353,$R$10:$R$13,0),COLUMN())</f>
        <v>4.6934645110000001E-4</v>
      </c>
      <c r="AN353" s="1050" cm="1">
        <f t="array" aca="1" ref="AN353" ca="1">INDEX(OFFSET($AK$19,MATCH($B353,$B$19:$B$150,0)-1,0,COUNTA($B$19:$B$24),COUNTA($AK$17:$BB$17)),MATCH($F353,$F$19:$F$24,0),MATCH(AN$17,$AK$17:$BB$17,0))*INDEX($10:$13,MATCH($O353,$R$10:$R$13,0),COLUMN())</f>
        <v>5.2381477649999994E-3</v>
      </c>
      <c r="AO353" s="1050" cm="1">
        <f t="array" aca="1" ref="AO353" ca="1">INDEX(OFFSET($AK$19,MATCH($B353,$B$19:$B$150,0)-1,0,COUNTA($B$19:$B$24),COUNTA($AK$17:$BB$17)),MATCH($F353,$F$19:$F$24,0),MATCH(AO$17,$AK$17:$BB$17,0))*INDEX($10:$13,MATCH($O353,$R$10:$R$13,0),COLUMN())</f>
        <v>8.0201447760000003E-2</v>
      </c>
      <c r="AP353" s="1050" cm="1">
        <f t="array" aca="1" ref="AP353" ca="1">INDEX(OFFSET($AK$19,MATCH($B353,$B$19:$B$150,0)-1,0,COUNTA($B$19:$B$24),COUNTA($AK$17:$BB$17)),MATCH($F353,$F$19:$F$24,0),MATCH(AP$17,$AK$17:$BB$17,0))*INDEX($10:$13,MATCH($O353,$R$10:$R$13,0),COLUMN())</f>
        <v>4.3004965184999994E-2</v>
      </c>
      <c r="AQ353" s="1050" cm="1">
        <f t="array" aca="1" ref="AQ353" ca="1">INDEX(OFFSET($AK$19,MATCH($B353,$B$19:$B$150,0)-1,0,COUNTA($B$19:$B$24),COUNTA($AK$17:$BB$17)),MATCH($F353,$F$19:$F$24,0),MATCH(AQ$17,$AK$17:$BB$17,0))*INDEX($10:$13,MATCH($O353,$R$10:$R$13,0),COLUMN())</f>
        <v>2.8532186100000003E-4</v>
      </c>
      <c r="AR353" s="1050" cm="1">
        <f t="array" aca="1" ref="AR353" ca="1">INDEX(OFFSET($AK$19,MATCH($B353,$B$19:$B$150,0)-1,0,COUNTA($B$19:$B$24),COUNTA($AK$17:$BB$17)),MATCH($F353,$F$19:$F$24,0),MATCH(AR$17,$AK$17:$BB$17,0))*INDEX($10:$13,MATCH($O353,$R$10:$R$13,0),COLUMN())</f>
        <v>3.4648932959999997E-2</v>
      </c>
      <c r="AS353" s="1050" cm="1">
        <f t="array" aca="1" ref="AS353" ca="1">INDEX(OFFSET($AK$19,MATCH($B353,$B$19:$B$150,0)-1,0,COUNTA($B$19:$B$24),COUNTA($AK$17:$BB$17)),MATCH($F353,$F$19:$F$24,0),MATCH(AS$17,$AK$17:$BB$17,0))*INDEX($10:$13,MATCH($O353,$R$10:$R$13,0),COLUMN())</f>
        <v>1.3739951918E-3</v>
      </c>
      <c r="AT353" s="1050" cm="1">
        <f t="array" aca="1" ref="AT353" ca="1">INDEX(OFFSET($AK$19,MATCH($B353,$B$19:$B$150,0)-1,0,COUNTA($B$19:$B$24),COUNTA($AK$17:$BB$17)),MATCH($F353,$F$19:$F$24,0),MATCH(AT$17,$AK$17:$BB$17,0))*INDEX($10:$13,MATCH($O353,$R$10:$R$13,0),COLUMN())</f>
        <v>2.4385786454999998E-5</v>
      </c>
      <c r="AU353" s="1050" cm="1">
        <f t="array" aca="1" ref="AU353" ca="1">INDEX(OFFSET($AK$19,MATCH($B353,$B$19:$B$150,0)-1,0,COUNTA($B$19:$B$24),COUNTA($AK$17:$BB$17)),MATCH($F353,$F$19:$F$24,0),MATCH(AU$17,$AK$17:$BB$17,0))*INDEX($10:$13,MATCH($O353,$R$10:$R$13,0),COLUMN())</f>
        <v>5.1174615635000003E-6</v>
      </c>
      <c r="AV353" s="1050" cm="1">
        <f t="array" aca="1" ref="AV353" ca="1">INDEX(OFFSET($AK$19,MATCH($B353,$B$19:$B$150,0)-1,0,COUNTA($B$19:$B$24),COUNTA($AK$17:$BB$17)),MATCH($F353,$F$19:$F$24,0),MATCH(AV$17,$AK$17:$BB$17,0))*INDEX($10:$13,MATCH($O353,$R$10:$R$13,0),COLUMN())</f>
        <v>6.3034539972999992E-3</v>
      </c>
      <c r="AW353" s="1050" cm="1">
        <f t="array" aca="1" ref="AW353" ca="1">INDEX(OFFSET($AK$19,MATCH($B353,$B$19:$B$150,0)-1,0,COUNTA($B$19:$B$24),COUNTA($AK$17:$BB$17)),MATCH($F353,$F$19:$F$24,0),MATCH(AW$17,$AK$17:$BB$17,0))*INDEX($10:$13,MATCH($O353,$R$10:$R$13,0),COLUMN())</f>
        <v>1.0324903745</v>
      </c>
      <c r="AX353" s="1050" cm="1">
        <f t="array" aca="1" ref="AX353" ca="1">INDEX(OFFSET($AK$19,MATCH($B353,$B$19:$B$150,0)-1,0,COUNTA($B$19:$B$24),COUNTA($AK$17:$BB$17)),MATCH($F353,$F$19:$F$24,0),MATCH(AX$17,$AK$17:$BB$17,0))*INDEX($10:$13,MATCH($O353,$R$10:$R$13,0),COLUMN())</f>
        <v>2.9699886775000002E-7</v>
      </c>
      <c r="AY353" s="1050" cm="1">
        <f t="array" aca="1" ref="AY353" ca="1">INDEX(OFFSET($AK$19,MATCH($B353,$B$19:$B$150,0)-1,0,COUNTA($B$19:$B$24),COUNTA($AK$17:$BB$17)),MATCH($F353,$F$19:$F$24,0),MATCH(AY$17,$AK$17:$BB$17,0))*INDEX($10:$13,MATCH($O353,$R$10:$R$13,0),COLUMN())</f>
        <v>0</v>
      </c>
      <c r="AZ353" s="1050" cm="1">
        <f t="array" aca="1" ref="AZ353" ca="1">INDEX(OFFSET($AK$19,MATCH($B353,$B$19:$B$150,0)-1,0,COUNTA($B$19:$B$24),COUNTA($AK$17:$BB$17)),MATCH($F353,$F$19:$F$24,0),MATCH(AZ$17,$AK$17:$BB$17,0))*INDEX($10:$13,MATCH($O353,$R$10:$R$13,0),COLUMN())</f>
        <v>0</v>
      </c>
      <c r="BA353" s="1050" cm="1">
        <f t="array" aca="1" ref="BA353" ca="1">INDEX(OFFSET($AK$19,MATCH($B353,$B$19:$B$150,0)-1,0,COUNTA($B$19:$B$24),COUNTA($AK$17:$BB$17)),MATCH($F353,$F$19:$F$24,0),MATCH(BA$17,$AK$17:$BB$17,0))*INDEX($10:$13,MATCH($O353,$R$10:$R$13,0),COLUMN())</f>
        <v>0</v>
      </c>
      <c r="BB353" s="1051" cm="1">
        <f t="array" aca="1" ref="BB353" ca="1">INDEX(OFFSET($AK$19,MATCH($B353,$B$19:$B$150,0)-1,0,COUNTA($B$19:$B$24),COUNTA($AK$17:$BB$17)),MATCH($F353,$F$19:$F$24,0),MATCH(BB$17,$AK$17:$BB$17,0))*INDEX($10:$13,MATCH($O353,$R$10:$R$13,0),COLUMN())</f>
        <v>0</v>
      </c>
      <c r="BC353" s="1053">
        <f t="shared" ca="1" si="169"/>
        <v>1.0324906714988678</v>
      </c>
      <c r="BE353" s="1"/>
      <c r="BF353" s="1"/>
      <c r="BG353" s="1"/>
      <c r="BH353" s="1"/>
      <c r="BI353" s="1"/>
      <c r="BJ353" s="1"/>
      <c r="BK353" s="1"/>
      <c r="BL353" s="1"/>
      <c r="BM353" s="1"/>
      <c r="BN353" s="1"/>
      <c r="BO353" s="1"/>
      <c r="BP353" s="1"/>
      <c r="BQ353" s="1"/>
      <c r="BR353" s="1"/>
      <c r="BS353" s="1"/>
      <c r="BT353" s="1"/>
      <c r="BU353" s="1"/>
      <c r="BV353" s="1"/>
      <c r="BW353" s="1"/>
      <c r="BX353" s="1"/>
      <c r="BY353" s="1"/>
      <c r="BZ353" s="1"/>
    </row>
    <row r="354" spans="2:78" ht="12" customHeight="1" outlineLevel="1" x14ac:dyDescent="0.25">
      <c r="B354" s="104" t="s">
        <v>107</v>
      </c>
      <c r="C354" s="104" t="s">
        <v>121</v>
      </c>
      <c r="D354" s="2" t="s">
        <v>143</v>
      </c>
      <c r="E354" s="2" t="s">
        <v>144</v>
      </c>
      <c r="F354" s="105" t="s">
        <v>94</v>
      </c>
      <c r="G354" s="27" t="s">
        <v>1580</v>
      </c>
      <c r="H354" s="106" t="s">
        <v>131</v>
      </c>
      <c r="I354" s="107" t="s">
        <v>129</v>
      </c>
      <c r="J354" s="147">
        <v>5.9321289200000002</v>
      </c>
      <c r="K354" s="148">
        <v>3</v>
      </c>
      <c r="L354" s="149">
        <f t="shared" ca="1" si="167"/>
        <v>0.30848652304047636</v>
      </c>
      <c r="M354" s="148">
        <f t="shared" ca="1" si="168"/>
        <v>3.9254595691214291</v>
      </c>
      <c r="N354" s="148">
        <f t="shared" ca="1" si="170"/>
        <v>0.92545956912142902</v>
      </c>
      <c r="O354" s="1062" t="s">
        <v>1583</v>
      </c>
      <c r="P354" s="104"/>
      <c r="R354" s="119"/>
      <c r="S354" s="1072"/>
      <c r="T354" s="1072"/>
      <c r="U354" s="1072"/>
      <c r="V354" s="1072"/>
      <c r="W354" s="1072"/>
      <c r="X354" s="1072"/>
      <c r="Y354" s="1072"/>
      <c r="Z354" s="1072"/>
      <c r="AA354" s="1072"/>
      <c r="AB354" s="1072"/>
      <c r="AC354" s="1072"/>
      <c r="AD354" s="1072"/>
      <c r="AE354" s="1072"/>
      <c r="AF354" s="1072"/>
      <c r="AG354" s="1072"/>
      <c r="AH354" s="1072"/>
      <c r="AI354" s="1072"/>
      <c r="AJ354" s="1073"/>
      <c r="AK354" s="1052" cm="1">
        <f t="array" aca="1" ref="AK354" ca="1">INDEX(OFFSET($AK$19,MATCH($B354,$B$19:$B$150,0)-1,0,COUNTA($B$19:$B$24),COUNTA($AK$17:$BB$17)),MATCH($F354,$F$19:$F$24,0),MATCH(AK$17,$AK$17:$BB$17,0))*INDEX($10:$13,MATCH($O354,$R$10:$R$13,0),COLUMN())</f>
        <v>0.12746431620000001</v>
      </c>
      <c r="AL354" s="1050" cm="1">
        <f t="array" aca="1" ref="AL354" ca="1">INDEX(OFFSET($AK$19,MATCH($B354,$B$19:$B$150,0)-1,0,COUNTA($B$19:$B$24),COUNTA($AK$17:$BB$17)),MATCH($F354,$F$19:$F$24,0),MATCH(AL$17,$AK$17:$BB$17,0))*INDEX($10:$13,MATCH($O354,$R$10:$R$13,0),COLUMN())</f>
        <v>1.6792696431999999E-7</v>
      </c>
      <c r="AM354" s="1050" cm="1">
        <f t="array" aca="1" ref="AM354" ca="1">INDEX(OFFSET($AK$19,MATCH($B354,$B$19:$B$150,0)-1,0,COUNTA($B$19:$B$24),COUNTA($AK$17:$BB$17)),MATCH($F354,$F$19:$F$24,0),MATCH(AM$17,$AK$17:$BB$17,0))*INDEX($10:$13,MATCH($O354,$R$10:$R$13,0),COLUMN())</f>
        <v>3.1133588439000002E-4</v>
      </c>
      <c r="AN354" s="1050" cm="1">
        <f t="array" aca="1" ref="AN354" ca="1">INDEX(OFFSET($AK$19,MATCH($B354,$B$19:$B$150,0)-1,0,COUNTA($B$19:$B$24),COUNTA($AK$17:$BB$17)),MATCH($F354,$F$19:$F$24,0),MATCH(AN$17,$AK$17:$BB$17,0))*INDEX($10:$13,MATCH($O354,$R$10:$R$13,0),COLUMN())</f>
        <v>3.4765234849999998E-3</v>
      </c>
      <c r="AO354" s="1050" cm="1">
        <f t="array" aca="1" ref="AO354" ca="1">INDEX(OFFSET($AK$19,MATCH($B354,$B$19:$B$150,0)-1,0,COUNTA($B$19:$B$24),COUNTA($AK$17:$BB$17)),MATCH($F354,$F$19:$F$24,0),MATCH(AO$17,$AK$17:$BB$17,0))*INDEX($10:$13,MATCH($O354,$R$10:$R$13,0),COLUMN())</f>
        <v>5.3214235200000008E-2</v>
      </c>
      <c r="AP354" s="1050" cm="1">
        <f t="array" aca="1" ref="AP354" ca="1">INDEX(OFFSET($AK$19,MATCH($B354,$B$19:$B$150,0)-1,0,COUNTA($B$19:$B$24),COUNTA($AK$17:$BB$17)),MATCH($F354,$F$19:$F$24,0),MATCH(AP$17,$AK$17:$BB$17,0))*INDEX($10:$13,MATCH($O354,$R$10:$R$13,0),COLUMN())</f>
        <v>2.8530215916999998E-2</v>
      </c>
      <c r="AQ354" s="1050" cm="1">
        <f t="array" aca="1" ref="AQ354" ca="1">INDEX(OFFSET($AK$19,MATCH($B354,$B$19:$B$150,0)-1,0,COUNTA($B$19:$B$24),COUNTA($AK$17:$BB$17)),MATCH($F354,$F$19:$F$24,0),MATCH(AQ$17,$AK$17:$BB$17,0))*INDEX($10:$13,MATCH($O354,$R$10:$R$13,0),COLUMN())</f>
        <v>1.8925427460000002E-4</v>
      </c>
      <c r="AR354" s="1050" cm="1">
        <f t="array" aca="1" ref="AR354" ca="1">INDEX(OFFSET($AK$19,MATCH($B354,$B$19:$B$150,0)-1,0,COUNTA($B$19:$B$24),COUNTA($AK$17:$BB$17)),MATCH($F354,$F$19:$F$24,0),MATCH(AR$17,$AK$17:$BB$17,0))*INDEX($10:$13,MATCH($O354,$R$10:$R$13,0),COLUMN())</f>
        <v>2.2982752896999997E-2</v>
      </c>
      <c r="AS354" s="1050" cm="1">
        <f t="array" aca="1" ref="AS354" ca="1">INDEX(OFFSET($AK$19,MATCH($B354,$B$19:$B$150,0)-1,0,COUNTA($B$19:$B$24),COUNTA($AK$17:$BB$17)),MATCH($F354,$F$19:$F$24,0),MATCH(AS$17,$AK$17:$BB$17,0))*INDEX($10:$13,MATCH($O354,$R$10:$R$13,0),COLUMN())</f>
        <v>6.5673791227E-4</v>
      </c>
      <c r="AT354" s="1050" cm="1">
        <f t="array" aca="1" ref="AT354" ca="1">INDEX(OFFSET($AK$19,MATCH($B354,$B$19:$B$150,0)-1,0,COUNTA($B$19:$B$24),COUNTA($AK$17:$BB$17)),MATCH($F354,$F$19:$F$24,0),MATCH(AT$17,$AK$17:$BB$17,0))*INDEX($10:$13,MATCH($O354,$R$10:$R$13,0),COLUMN())</f>
        <v>1.6081681795000002E-5</v>
      </c>
      <c r="AU354" s="1050" cm="1">
        <f t="array" aca="1" ref="AU354" ca="1">INDEX(OFFSET($AK$19,MATCH($B354,$B$19:$B$150,0)-1,0,COUNTA($B$19:$B$24),COUNTA($AK$17:$BB$17)),MATCH($F354,$F$19:$F$24,0),MATCH(AU$17,$AK$17:$BB$17,0))*INDEX($10:$13,MATCH($O354,$R$10:$R$13,0),COLUMN())</f>
        <v>3.3857391415999996E-6</v>
      </c>
      <c r="AV354" s="1050" cm="1">
        <f t="array" aca="1" ref="AV354" ca="1">INDEX(OFFSET($AK$19,MATCH($B354,$B$19:$B$150,0)-1,0,COUNTA($B$19:$B$24),COUNTA($AK$17:$BB$17)),MATCH($F354,$F$19:$F$24,0),MATCH(AV$17,$AK$17:$BB$17,0))*INDEX($10:$13,MATCH($O354,$R$10:$R$13,0),COLUMN())</f>
        <v>3.7662179046999999E-3</v>
      </c>
      <c r="AW354" s="1050" cm="1">
        <f t="array" aca="1" ref="AW354" ca="1">INDEX(OFFSET($AK$19,MATCH($B354,$B$19:$B$150,0)-1,0,COUNTA($B$19:$B$24),COUNTA($AK$17:$BB$17)),MATCH($F354,$F$19:$F$24,0),MATCH(AW$17,$AK$17:$BB$17,0))*INDEX($10:$13,MATCH($O354,$R$10:$R$13,0),COLUMN())</f>
        <v>0.68484814710000008</v>
      </c>
      <c r="AX354" s="1050" cm="1">
        <f t="array" aca="1" ref="AX354" ca="1">INDEX(OFFSET($AK$19,MATCH($B354,$B$19:$B$150,0)-1,0,COUNTA($B$19:$B$24),COUNTA($AK$17:$BB$17)),MATCH($F354,$F$19:$F$24,0),MATCH(AX$17,$AK$17:$BB$17,0))*INDEX($10:$13,MATCH($O354,$R$10:$R$13,0),COLUMN())</f>
        <v>1.96998568E-7</v>
      </c>
      <c r="AY354" s="1050" cm="1">
        <f t="array" aca="1" ref="AY354" ca="1">INDEX(OFFSET($AK$19,MATCH($B354,$B$19:$B$150,0)-1,0,COUNTA($B$19:$B$24),COUNTA($AK$17:$BB$17)),MATCH($F354,$F$19:$F$24,0),MATCH(AY$17,$AK$17:$BB$17,0))*INDEX($10:$13,MATCH($O354,$R$10:$R$13,0),COLUMN())</f>
        <v>0</v>
      </c>
      <c r="AZ354" s="1050" cm="1">
        <f t="array" aca="1" ref="AZ354" ca="1">INDEX(OFFSET($AK$19,MATCH($B354,$B$19:$B$150,0)-1,0,COUNTA($B$19:$B$24),COUNTA($AK$17:$BB$17)),MATCH($F354,$F$19:$F$24,0),MATCH(AZ$17,$AK$17:$BB$17,0))*INDEX($10:$13,MATCH($O354,$R$10:$R$13,0),COLUMN())</f>
        <v>0</v>
      </c>
      <c r="BA354" s="1050" cm="1">
        <f t="array" aca="1" ref="BA354" ca="1">INDEX(OFFSET($AK$19,MATCH($B354,$B$19:$B$150,0)-1,0,COUNTA($B$19:$B$24),COUNTA($AK$17:$BB$17)),MATCH($F354,$F$19:$F$24,0),MATCH(BA$17,$AK$17:$BB$17,0))*INDEX($10:$13,MATCH($O354,$R$10:$R$13,0),COLUMN())</f>
        <v>0</v>
      </c>
      <c r="BB354" s="1051" cm="1">
        <f t="array" aca="1" ref="BB354" ca="1">INDEX(OFFSET($AK$19,MATCH($B354,$B$19:$B$150,0)-1,0,COUNTA($B$19:$B$24),COUNTA($AK$17:$BB$17)),MATCH($F354,$F$19:$F$24,0),MATCH(BB$17,$AK$17:$BB$17,0))*INDEX($10:$13,MATCH($O354,$R$10:$R$13,0),COLUMN())</f>
        <v>0</v>
      </c>
      <c r="BC354" s="1053">
        <f t="shared" ca="1" si="169"/>
        <v>0.6848483440985681</v>
      </c>
      <c r="BE354" s="1"/>
      <c r="BF354" s="1"/>
      <c r="BG354" s="1"/>
      <c r="BH354" s="1"/>
      <c r="BI354" s="1"/>
      <c r="BJ354" s="1"/>
      <c r="BK354" s="1"/>
      <c r="BL354" s="1"/>
      <c r="BM354" s="1"/>
      <c r="BN354" s="1"/>
      <c r="BO354" s="1"/>
      <c r="BP354" s="1"/>
      <c r="BQ354" s="1"/>
      <c r="BR354" s="1"/>
      <c r="BS354" s="1"/>
      <c r="BT354" s="1"/>
      <c r="BU354" s="1"/>
      <c r="BV354" s="1"/>
      <c r="BW354" s="1"/>
      <c r="BX354" s="1"/>
      <c r="BY354" s="1"/>
      <c r="BZ354" s="1"/>
    </row>
    <row r="355" spans="2:78" ht="12" customHeight="1" outlineLevel="1" x14ac:dyDescent="0.25">
      <c r="B355" s="104" t="s">
        <v>107</v>
      </c>
      <c r="C355" s="104" t="s">
        <v>121</v>
      </c>
      <c r="D355" s="2" t="s">
        <v>143</v>
      </c>
      <c r="E355" s="2" t="s">
        <v>144</v>
      </c>
      <c r="F355" s="105" t="s">
        <v>95</v>
      </c>
      <c r="G355" s="27" t="s">
        <v>1581</v>
      </c>
      <c r="H355" s="106" t="s">
        <v>128</v>
      </c>
      <c r="I355" s="107" t="s">
        <v>127</v>
      </c>
      <c r="J355" s="147">
        <v>5.9321289200000002</v>
      </c>
      <c r="K355" s="148">
        <v>3</v>
      </c>
      <c r="L355" s="149">
        <f t="shared" ca="1" si="167"/>
        <v>0.45412680480300827</v>
      </c>
      <c r="M355" s="148">
        <f t="shared" ca="1" si="168"/>
        <v>4.3623804144090244</v>
      </c>
      <c r="N355" s="148">
        <f t="shared" ca="1" si="170"/>
        <v>1.3623804144090248</v>
      </c>
      <c r="O355" s="1062" t="s">
        <v>1583</v>
      </c>
      <c r="P355" s="104"/>
      <c r="R355" s="119"/>
      <c r="S355" s="1072"/>
      <c r="T355" s="1072"/>
      <c r="U355" s="1072"/>
      <c r="V355" s="1072"/>
      <c r="W355" s="1072"/>
      <c r="X355" s="1072"/>
      <c r="Y355" s="1072"/>
      <c r="Z355" s="1072"/>
      <c r="AA355" s="1072"/>
      <c r="AB355" s="1072"/>
      <c r="AC355" s="1072"/>
      <c r="AD355" s="1072"/>
      <c r="AE355" s="1072"/>
      <c r="AF355" s="1072"/>
      <c r="AG355" s="1072"/>
      <c r="AH355" s="1072"/>
      <c r="AI355" s="1072"/>
      <c r="AJ355" s="1073"/>
      <c r="AK355" s="1052" cm="1">
        <f t="array" aca="1" ref="AK355" ca="1">INDEX(OFFSET($AK$19,MATCH($B355,$B$19:$B$150,0)-1,0,COUNTA($B$19:$B$24),COUNTA($AK$17:$BB$17)),MATCH($F355,$F$19:$F$24,0),MATCH(AK$17,$AK$17:$BB$17,0))*INDEX($10:$13,MATCH($O355,$R$10:$R$13,0),COLUMN())</f>
        <v>0.18274070295</v>
      </c>
      <c r="AL355" s="1050" cm="1">
        <f t="array" aca="1" ref="AL355" ca="1">INDEX(OFFSET($AK$19,MATCH($B355,$B$19:$B$150,0)-1,0,COUNTA($B$19:$B$24),COUNTA($AK$17:$BB$17)),MATCH($F355,$F$19:$F$24,0),MATCH(AL$17,$AK$17:$BB$17,0))*INDEX($10:$13,MATCH($O355,$R$10:$R$13,0),COLUMN())</f>
        <v>2.0340026527999999E-7</v>
      </c>
      <c r="AM355" s="1050" cm="1">
        <f t="array" aca="1" ref="AM355" ca="1">INDEX(OFFSET($AK$19,MATCH($B355,$B$19:$B$150,0)-1,0,COUNTA($B$19:$B$24),COUNTA($AK$17:$BB$17)),MATCH($F355,$F$19:$F$24,0),MATCH(AM$17,$AK$17:$BB$17,0))*INDEX($10:$13,MATCH($O355,$R$10:$R$13,0),COLUMN())</f>
        <v>3.7709076229999999E-4</v>
      </c>
      <c r="AN355" s="1050" cm="1">
        <f t="array" aca="1" ref="AN355" ca="1">INDEX(OFFSET($AK$19,MATCH($B355,$B$19:$B$150,0)-1,0,COUNTA($B$19:$B$24),COUNTA($AK$17:$BB$17)),MATCH($F355,$F$19:$F$24,0),MATCH(AN$17,$AK$17:$BB$17,0))*INDEX($10:$13,MATCH($O355,$R$10:$R$13,0),COLUMN())</f>
        <v>4.4640921949999999E-3</v>
      </c>
      <c r="AO355" s="1050" cm="1">
        <f t="array" aca="1" ref="AO355" ca="1">INDEX(OFFSET($AK$19,MATCH($B355,$B$19:$B$150,0)-1,0,COUNTA($B$19:$B$24),COUNTA($AK$17:$BB$17)),MATCH($F355,$F$19:$F$24,0),MATCH(AO$17,$AK$17:$BB$17,0))*INDEX($10:$13,MATCH($O355,$R$10:$R$13,0),COLUMN())</f>
        <v>0.15088541384000001</v>
      </c>
      <c r="AP355" s="1050" cm="1">
        <f t="array" aca="1" ref="AP355" ca="1">INDEX(OFFSET($AK$19,MATCH($B355,$B$19:$B$150,0)-1,0,COUNTA($B$19:$B$24),COUNTA($AK$17:$BB$17)),MATCH($F355,$F$19:$F$24,0),MATCH(AP$17,$AK$17:$BB$17,0))*INDEX($10:$13,MATCH($O355,$R$10:$R$13,0),COLUMN())</f>
        <v>0.11712581810999999</v>
      </c>
      <c r="AQ355" s="1050" cm="1">
        <f t="array" aca="1" ref="AQ355" ca="1">INDEX(OFFSET($AK$19,MATCH($B355,$B$19:$B$150,0)-1,0,COUNTA($B$19:$B$24),COUNTA($AK$17:$BB$17)),MATCH($F355,$F$19:$F$24,0),MATCH(AQ$17,$AK$17:$BB$17,0))*INDEX($10:$13,MATCH($O355,$R$10:$R$13,0),COLUMN())</f>
        <v>9.0081522359999997E-4</v>
      </c>
      <c r="AR355" s="1050" cm="1">
        <f t="array" aca="1" ref="AR355" ca="1">INDEX(OFFSET($AK$19,MATCH($B355,$B$19:$B$150,0)-1,0,COUNTA($B$19:$B$24),COUNTA($AK$17:$BB$17)),MATCH($F355,$F$19:$F$24,0),MATCH(AR$17,$AK$17:$BB$17,0))*INDEX($10:$13,MATCH($O355,$R$10:$R$13,0),COLUMN())</f>
        <v>4.9703385559999994E-2</v>
      </c>
      <c r="AS355" s="1050" cm="1">
        <f t="array" aca="1" ref="AS355" ca="1">INDEX(OFFSET($AK$19,MATCH($B355,$B$19:$B$150,0)-1,0,COUNTA($B$19:$B$24),COUNTA($AK$17:$BB$17)),MATCH($F355,$F$19:$F$24,0),MATCH(AS$17,$AK$17:$BB$17,0))*INDEX($10:$13,MATCH($O355,$R$10:$R$13,0),COLUMN())</f>
        <v>1.1336799331E-2</v>
      </c>
      <c r="AT355" s="1050" cm="1">
        <f t="array" aca="1" ref="AT355" ca="1">INDEX(OFFSET($AK$19,MATCH($B355,$B$19:$B$150,0)-1,0,COUNTA($B$19:$B$24),COUNTA($AK$17:$BB$17)),MATCH($F355,$F$19:$F$24,0),MATCH(AT$17,$AK$17:$BB$17,0))*INDEX($10:$13,MATCH($O355,$R$10:$R$13,0),COLUMN())</f>
        <v>2.7024923885000002E-5</v>
      </c>
      <c r="AU355" s="1050" cm="1">
        <f t="array" aca="1" ref="AU355" ca="1">INDEX(OFFSET($AK$19,MATCH($B355,$B$19:$B$150,0)-1,0,COUNTA($B$19:$B$24),COUNTA($AK$17:$BB$17)),MATCH($F355,$F$19:$F$24,0),MATCH(AU$17,$AK$17:$BB$17,0))*INDEX($10:$13,MATCH($O355,$R$10:$R$13,0),COLUMN())</f>
        <v>5.2348147634999999E-6</v>
      </c>
      <c r="AV355" s="1050" cm="1">
        <f t="array" aca="1" ref="AV355" ca="1">INDEX(OFFSET($AK$19,MATCH($B355,$B$19:$B$150,0)-1,0,COUNTA($B$19:$B$24),COUNTA($AK$17:$BB$17)),MATCH($F355,$F$19:$F$24,0),MATCH(AV$17,$AK$17:$BB$17,0))*INDEX($10:$13,MATCH($O355,$R$10:$R$13,0),COLUMN())</f>
        <v>2.1219618038999997E-2</v>
      </c>
      <c r="AW355" s="1050" cm="1">
        <f t="array" aca="1" ref="AW355" ca="1">INDEX(OFFSET($AK$19,MATCH($B355,$B$19:$B$150,0)-1,0,COUNTA($B$19:$B$24),COUNTA($AK$17:$BB$17)),MATCH($F355,$F$19:$F$24,0),MATCH(AW$17,$AK$17:$BB$17,0))*INDEX($10:$13,MATCH($O355,$R$10:$R$13,0),COLUMN())</f>
        <v>0.82359397835000014</v>
      </c>
      <c r="AX355" s="1050" cm="1">
        <f t="array" aca="1" ref="AX355" ca="1">INDEX(OFFSET($AK$19,MATCH($B355,$B$19:$B$150,0)-1,0,COUNTA($B$19:$B$24),COUNTA($AK$17:$BB$17)),MATCH($F355,$F$19:$F$24,0),MATCH(AX$17,$AK$17:$BB$17,0))*INDEX($10:$13,MATCH($O355,$R$10:$R$13,0),COLUMN())</f>
        <v>2.3690921085000001E-7</v>
      </c>
      <c r="AY355" s="1050" cm="1">
        <f t="array" aca="1" ref="AY355" ca="1">INDEX(OFFSET($AK$19,MATCH($B355,$B$19:$B$150,0)-1,0,COUNTA($B$19:$B$24),COUNTA($AK$17:$BB$17)),MATCH($F355,$F$19:$F$24,0),MATCH(AY$17,$AK$17:$BB$17,0))*INDEX($10:$13,MATCH($O355,$R$10:$R$13,0),COLUMN())</f>
        <v>0</v>
      </c>
      <c r="AZ355" s="1050" cm="1">
        <f t="array" aca="1" ref="AZ355" ca="1">INDEX(OFFSET($AK$19,MATCH($B355,$B$19:$B$150,0)-1,0,COUNTA($B$19:$B$24),COUNTA($AK$17:$BB$17)),MATCH($F355,$F$19:$F$24,0),MATCH(AZ$17,$AK$17:$BB$17,0))*INDEX($10:$13,MATCH($O355,$R$10:$R$13,0),COLUMN())</f>
        <v>0</v>
      </c>
      <c r="BA355" s="1050" cm="1">
        <f t="array" aca="1" ref="BA355" ca="1">INDEX(OFFSET($AK$19,MATCH($B355,$B$19:$B$150,0)-1,0,COUNTA($B$19:$B$24),COUNTA($AK$17:$BB$17)),MATCH($F355,$F$19:$F$24,0),MATCH(BA$17,$AK$17:$BB$17,0))*INDEX($10:$13,MATCH($O355,$R$10:$R$13,0),COLUMN())</f>
        <v>0</v>
      </c>
      <c r="BB355" s="1051" cm="1">
        <f t="array" aca="1" ref="BB355" ca="1">INDEX(OFFSET($AK$19,MATCH($B355,$B$19:$B$150,0)-1,0,COUNTA($B$19:$B$24),COUNTA($AK$17:$BB$17)),MATCH($F355,$F$19:$F$24,0),MATCH(BB$17,$AK$17:$BB$17,0))*INDEX($10:$13,MATCH($O355,$R$10:$R$13,0),COLUMN())</f>
        <v>0</v>
      </c>
      <c r="BC355" s="1053">
        <f t="shared" ca="1" si="169"/>
        <v>0.82359421525921095</v>
      </c>
      <c r="BE355" s="1"/>
      <c r="BF355" s="1"/>
      <c r="BG355" s="1"/>
      <c r="BH355" s="1"/>
      <c r="BI355" s="1"/>
      <c r="BJ355" s="1"/>
      <c r="BK355" s="1"/>
      <c r="BL355" s="1"/>
      <c r="BM355" s="1"/>
      <c r="BN355" s="1"/>
      <c r="BO355" s="1"/>
      <c r="BP355" s="1"/>
      <c r="BQ355" s="1"/>
      <c r="BR355" s="1"/>
      <c r="BS355" s="1"/>
      <c r="BT355" s="1"/>
      <c r="BU355" s="1"/>
      <c r="BV355" s="1"/>
      <c r="BW355" s="1"/>
      <c r="BX355" s="1"/>
      <c r="BY355" s="1"/>
      <c r="BZ355" s="1"/>
    </row>
    <row r="356" spans="2:78" ht="12" customHeight="1" outlineLevel="1" x14ac:dyDescent="0.25">
      <c r="B356" s="104" t="s">
        <v>107</v>
      </c>
      <c r="C356" s="104" t="s">
        <v>121</v>
      </c>
      <c r="D356" s="2" t="s">
        <v>143</v>
      </c>
      <c r="E356" s="2" t="s">
        <v>144</v>
      </c>
      <c r="F356" s="105" t="s">
        <v>96</v>
      </c>
      <c r="G356" s="27" t="s">
        <v>1582</v>
      </c>
      <c r="H356" s="106" t="s">
        <v>128</v>
      </c>
      <c r="I356" s="107" t="s">
        <v>1577</v>
      </c>
      <c r="J356" s="147">
        <v>5.9321289200000002</v>
      </c>
      <c r="K356" s="148">
        <v>3</v>
      </c>
      <c r="L356" s="149">
        <f t="shared" ca="1" si="167"/>
        <v>0.51464068476799485</v>
      </c>
      <c r="M356" s="148">
        <f t="shared" ca="1" si="168"/>
        <v>4.5439220543039847</v>
      </c>
      <c r="N356" s="148">
        <f t="shared" ca="1" si="170"/>
        <v>1.5439220543039844</v>
      </c>
      <c r="O356" s="1062" t="s">
        <v>1583</v>
      </c>
      <c r="P356" s="104"/>
      <c r="R356" s="119"/>
      <c r="S356" s="1072"/>
      <c r="T356" s="1072"/>
      <c r="U356" s="1072"/>
      <c r="V356" s="1072"/>
      <c r="W356" s="1072"/>
      <c r="X356" s="1072"/>
      <c r="Y356" s="1072"/>
      <c r="Z356" s="1072"/>
      <c r="AA356" s="1072"/>
      <c r="AB356" s="1072"/>
      <c r="AC356" s="1072"/>
      <c r="AD356" s="1072"/>
      <c r="AE356" s="1072"/>
      <c r="AF356" s="1072"/>
      <c r="AG356" s="1072"/>
      <c r="AH356" s="1072"/>
      <c r="AI356" s="1072"/>
      <c r="AJ356" s="1073"/>
      <c r="AK356" s="1052" cm="1">
        <f t="array" aca="1" ref="AK356" ca="1">INDEX(OFFSET($AK$19,MATCH($B356,$B$19:$B$150,0)-1,0,COUNTA($B$19:$B$24),COUNTA($AK$17:$BB$17)),MATCH($F356,$F$19:$F$24,0),MATCH(AK$17,$AK$17:$BB$17,0))*INDEX($10:$13,MATCH($O356,$R$10:$R$13,0),COLUMN())</f>
        <v>0.20387955899999999</v>
      </c>
      <c r="AL356" s="1050" cm="1">
        <f t="array" aca="1" ref="AL356" ca="1">INDEX(OFFSET($AK$19,MATCH($B356,$B$19:$B$150,0)-1,0,COUNTA($B$19:$B$24),COUNTA($AK$17:$BB$17)),MATCH($F356,$F$19:$F$24,0),MATCH(AL$17,$AK$17:$BB$17,0))*INDEX($10:$13,MATCH($O356,$R$10:$R$13,0),COLUMN())</f>
        <v>2.0435153599999999E-7</v>
      </c>
      <c r="AM356" s="1050" cm="1">
        <f t="array" aca="1" ref="AM356" ca="1">INDEX(OFFSET($AK$19,MATCH($B356,$B$19:$B$150,0)-1,0,COUNTA($B$19:$B$24),COUNTA($AK$17:$BB$17)),MATCH($F356,$F$19:$F$24,0),MATCH(AM$17,$AK$17:$BB$17,0))*INDEX($10:$13,MATCH($O356,$R$10:$R$13,0),COLUMN())</f>
        <v>3.7884624108E-4</v>
      </c>
      <c r="AN356" s="1050" cm="1">
        <f t="array" aca="1" ref="AN356" ca="1">INDEX(OFFSET($AK$19,MATCH($B356,$B$19:$B$150,0)-1,0,COUNTA($B$19:$B$24),COUNTA($AK$17:$BB$17)),MATCH($F356,$F$19:$F$24,0),MATCH(AN$17,$AK$17:$BB$17,0))*INDEX($10:$13,MATCH($O356,$R$10:$R$13,0),COLUMN())</f>
        <v>4.6496115750000004E-3</v>
      </c>
      <c r="AO356" s="1050" cm="1">
        <f t="array" aca="1" ref="AO356" ca="1">INDEX(OFFSET($AK$19,MATCH($B356,$B$19:$B$150,0)-1,0,COUNTA($B$19:$B$24),COUNTA($AK$17:$BB$17)),MATCH($F356,$F$19:$F$24,0),MATCH(AO$17,$AK$17:$BB$17,0))*INDEX($10:$13,MATCH($O356,$R$10:$R$13,0),COLUMN())</f>
        <v>0.21407350104000003</v>
      </c>
      <c r="AP356" s="1050" cm="1">
        <f t="array" aca="1" ref="AP356" ca="1">INDEX(OFFSET($AK$19,MATCH($B356,$B$19:$B$150,0)-1,0,COUNTA($B$19:$B$24),COUNTA($AK$17:$BB$17)),MATCH($F356,$F$19:$F$24,0),MATCH(AP$17,$AK$17:$BB$17,0))*INDEX($10:$13,MATCH($O356,$R$10:$R$13,0),COLUMN())</f>
        <v>0.17746114595999998</v>
      </c>
      <c r="AQ356" s="1050" cm="1">
        <f t="array" aca="1" ref="AQ356" ca="1">INDEX(OFFSET($AK$19,MATCH($B356,$B$19:$B$150,0)-1,0,COUNTA($B$19:$B$24),COUNTA($AK$17:$BB$17)),MATCH($F356,$F$19:$F$24,0),MATCH(AQ$17,$AK$17:$BB$17,0))*INDEX($10:$13,MATCH($O356,$R$10:$R$13,0),COLUMN())</f>
        <v>1.3802688930000002E-3</v>
      </c>
      <c r="AR356" s="1050" cm="1">
        <f t="array" aca="1" ref="AR356" ca="1">INDEX(OFFSET($AK$19,MATCH($B356,$B$19:$B$150,0)-1,0,COUNTA($B$19:$B$24),COUNTA($AK$17:$BB$17)),MATCH($F356,$F$19:$F$24,0),MATCH(AR$17,$AK$17:$BB$17,0))*INDEX($10:$13,MATCH($O356,$R$10:$R$13,0),COLUMN())</f>
        <v>6.5790236869999991E-2</v>
      </c>
      <c r="AS356" s="1050" cm="1">
        <f t="array" aca="1" ref="AS356" ca="1">INDEX(OFFSET($AK$19,MATCH($B356,$B$19:$B$150,0)-1,0,COUNTA($B$19:$B$24),COUNTA($AK$17:$BB$17)),MATCH($F356,$F$19:$F$24,0),MATCH(AS$17,$AK$17:$BB$17,0))*INDEX($10:$13,MATCH($O356,$R$10:$R$13,0),COLUMN())</f>
        <v>1.8591319956E-2</v>
      </c>
      <c r="AT356" s="1050" cm="1">
        <f t="array" aca="1" ref="AT356" ca="1">INDEX(OFFSET($AK$19,MATCH($B356,$B$19:$B$150,0)-1,0,COUNTA($B$19:$B$24),COUNTA($AK$17:$BB$17)),MATCH($F356,$F$19:$F$24,0),MATCH(AT$17,$AK$17:$BB$17,0))*INDEX($10:$13,MATCH($O356,$R$10:$R$13,0),COLUMN())</f>
        <v>3.0283859327000001E-5</v>
      </c>
      <c r="AU356" s="1050" cm="1">
        <f t="array" aca="1" ref="AU356" ca="1">INDEX(OFFSET($AK$19,MATCH($B356,$B$19:$B$150,0)-1,0,COUNTA($B$19:$B$24),COUNTA($AK$17:$BB$17)),MATCH($F356,$F$19:$F$24,0),MATCH(AU$17,$AK$17:$BB$17,0))*INDEX($10:$13,MATCH($O356,$R$10:$R$13,0),COLUMN())</f>
        <v>5.6949318303000004E-6</v>
      </c>
      <c r="AV356" s="1050" cm="1">
        <f t="array" aca="1" ref="AV356" ca="1">INDEX(OFFSET($AK$19,MATCH($B356,$B$19:$B$150,0)-1,0,COUNTA($B$19:$B$24),COUNTA($AK$17:$BB$17)),MATCH($F356,$F$19:$F$24,0),MATCH(AV$17,$AK$17:$BB$17,0))*INDEX($10:$13,MATCH($O356,$R$10:$R$13,0),COLUMN())</f>
        <v>3.4087166366999995E-2</v>
      </c>
      <c r="AW356" s="1050" cm="1">
        <f t="array" aca="1" ref="AW356" ca="1">INDEX(OFFSET($AK$19,MATCH($B356,$B$19:$B$150,0)-1,0,COUNTA($B$19:$B$24),COUNTA($AK$17:$BB$17)),MATCH($F356,$F$19:$F$24,0),MATCH(AW$17,$AK$17:$BB$17,0))*INDEX($10:$13,MATCH($O356,$R$10:$R$13,0),COLUMN())</f>
        <v>0.82359397835000014</v>
      </c>
      <c r="AX356" s="1050" cm="1">
        <f t="array" aca="1" ref="AX356" ca="1">INDEX(OFFSET($AK$19,MATCH($B356,$B$19:$B$150,0)-1,0,COUNTA($B$19:$B$24),COUNTA($AK$17:$BB$17)),MATCH($F356,$F$19:$F$24,0),MATCH(AX$17,$AK$17:$BB$17,0))*INDEX($10:$13,MATCH($O356,$R$10:$R$13,0),COLUMN())</f>
        <v>2.3690921085000001E-7</v>
      </c>
      <c r="AY356" s="1050" cm="1">
        <f t="array" aca="1" ref="AY356" ca="1">INDEX(OFFSET($AK$19,MATCH($B356,$B$19:$B$150,0)-1,0,COUNTA($B$19:$B$24),COUNTA($AK$17:$BB$17)),MATCH($F356,$F$19:$F$24,0),MATCH(AY$17,$AK$17:$BB$17,0))*INDEX($10:$13,MATCH($O356,$R$10:$R$13,0),COLUMN())</f>
        <v>0</v>
      </c>
      <c r="AZ356" s="1050" cm="1">
        <f t="array" aca="1" ref="AZ356" ca="1">INDEX(OFFSET($AK$19,MATCH($B356,$B$19:$B$150,0)-1,0,COUNTA($B$19:$B$24),COUNTA($AK$17:$BB$17)),MATCH($F356,$F$19:$F$24,0),MATCH(AZ$17,$AK$17:$BB$17,0))*INDEX($10:$13,MATCH($O356,$R$10:$R$13,0),COLUMN())</f>
        <v>0</v>
      </c>
      <c r="BA356" s="1050" cm="1">
        <f t="array" aca="1" ref="BA356" ca="1">INDEX(OFFSET($AK$19,MATCH($B356,$B$19:$B$150,0)-1,0,COUNTA($B$19:$B$24),COUNTA($AK$17:$BB$17)),MATCH($F356,$F$19:$F$24,0),MATCH(BA$17,$AK$17:$BB$17,0))*INDEX($10:$13,MATCH($O356,$R$10:$R$13,0),COLUMN())</f>
        <v>0</v>
      </c>
      <c r="BB356" s="1051" cm="1">
        <f t="array" aca="1" ref="BB356" ca="1">INDEX(OFFSET($AK$19,MATCH($B356,$B$19:$B$150,0)-1,0,COUNTA($B$19:$B$24),COUNTA($AK$17:$BB$17)),MATCH($F356,$F$19:$F$24,0),MATCH(BB$17,$AK$17:$BB$17,0))*INDEX($10:$13,MATCH($O356,$R$10:$R$13,0),COLUMN())</f>
        <v>0</v>
      </c>
      <c r="BC356" s="1053">
        <f t="shared" ca="1" si="169"/>
        <v>0.82359421525921095</v>
      </c>
      <c r="BE356" s="1"/>
      <c r="BF356" s="1"/>
      <c r="BG356" s="1"/>
      <c r="BH356" s="1"/>
      <c r="BI356" s="1"/>
      <c r="BJ356" s="1"/>
      <c r="BK356" s="1"/>
      <c r="BL356" s="1"/>
      <c r="BM356" s="1"/>
      <c r="BN356" s="1"/>
      <c r="BO356" s="1"/>
      <c r="BP356" s="1"/>
      <c r="BQ356" s="1"/>
      <c r="BR356" s="1"/>
      <c r="BS356" s="1"/>
      <c r="BT356" s="1"/>
      <c r="BU356" s="1"/>
      <c r="BV356" s="1"/>
      <c r="BW356" s="1"/>
      <c r="BX356" s="1"/>
      <c r="BY356" s="1"/>
      <c r="BZ356" s="1"/>
    </row>
    <row r="357" spans="2:78" ht="12" customHeight="1" outlineLevel="1" x14ac:dyDescent="0.25">
      <c r="B357" s="88" t="s">
        <v>108</v>
      </c>
      <c r="C357" s="88" t="s">
        <v>121</v>
      </c>
      <c r="D357" s="89" t="s">
        <v>143</v>
      </c>
      <c r="E357" s="89" t="s">
        <v>145</v>
      </c>
      <c r="F357" s="90" t="s">
        <v>92</v>
      </c>
      <c r="G357" s="18" t="s">
        <v>126</v>
      </c>
      <c r="H357" s="91" t="s">
        <v>127</v>
      </c>
      <c r="I357" s="92" t="s">
        <v>127</v>
      </c>
      <c r="J357" s="142">
        <v>5.0812675600000006</v>
      </c>
      <c r="K357" s="143">
        <v>0.7434325684016676</v>
      </c>
      <c r="L357" s="144">
        <f t="shared" ca="1" si="167"/>
        <v>3.2621980185824189</v>
      </c>
      <c r="M357" s="143">
        <f t="shared" ca="1" si="168"/>
        <v>3.1686568199912264</v>
      </c>
      <c r="N357" s="143">
        <f t="shared" ca="1" si="170"/>
        <v>2.4252242515895586</v>
      </c>
      <c r="O357" s="1063" t="s">
        <v>1583</v>
      </c>
      <c r="P357" s="88"/>
      <c r="Q357" s="89"/>
      <c r="R357" s="150"/>
      <c r="S357" s="1070"/>
      <c r="T357" s="1070"/>
      <c r="U357" s="1070"/>
      <c r="V357" s="1070"/>
      <c r="W357" s="1070"/>
      <c r="X357" s="1070"/>
      <c r="Y357" s="1070"/>
      <c r="Z357" s="1070"/>
      <c r="AA357" s="1070"/>
      <c r="AB357" s="1070"/>
      <c r="AC357" s="1070"/>
      <c r="AD357" s="1070"/>
      <c r="AE357" s="1070"/>
      <c r="AF357" s="1070"/>
      <c r="AG357" s="1070"/>
      <c r="AH357" s="1070"/>
      <c r="AI357" s="1070"/>
      <c r="AJ357" s="1071"/>
      <c r="AK357" s="1048" cm="1">
        <f t="array" aca="1" ref="AK357" ca="1">INDEX(OFFSET($AK$19,MATCH($B357,$B$19:$B$150,0)-1,0,COUNTA($B$19:$B$24),COUNTA($AK$17:$BB$17)),MATCH($F357,$F$19:$F$24,0),MATCH(AK$17,$AK$17:$BB$17,0))*INDEX($10:$13,MATCH($O357,$R$10:$R$13,0),COLUMN())</f>
        <v>0.37874889</v>
      </c>
      <c r="AL357" s="1046" cm="1">
        <f t="array" aca="1" ref="AL357" ca="1">INDEX(OFFSET($AK$19,MATCH($B357,$B$19:$B$150,0)-1,0,COUNTA($B$19:$B$24),COUNTA($AK$17:$BB$17)),MATCH($F357,$F$19:$F$24,0),MATCH(AL$17,$AK$17:$BB$17,0))*INDEX($10:$13,MATCH($O357,$R$10:$R$13,0),COLUMN())</f>
        <v>5.1006402879999991E-7</v>
      </c>
      <c r="AM357" s="1046" cm="1">
        <f t="array" aca="1" ref="AM357" ca="1">INDEX(OFFSET($AK$19,MATCH($B357,$B$19:$B$150,0)-1,0,COUNTA($B$19:$B$24),COUNTA($AK$17:$BB$17)),MATCH($F357,$F$19:$F$24,0),MATCH(AM$17,$AK$17:$BB$17,0))*INDEX($10:$13,MATCH($O357,$R$10:$R$13,0),COLUMN())</f>
        <v>9.714241327E-4</v>
      </c>
      <c r="AN357" s="1046" cm="1">
        <f t="array" aca="1" ref="AN357" ca="1">INDEX(OFFSET($AK$19,MATCH($B357,$B$19:$B$150,0)-1,0,COUNTA($B$19:$B$24),COUNTA($AK$17:$BB$17)),MATCH($F357,$F$19:$F$24,0),MATCH(AN$17,$AK$17:$BB$17,0))*INDEX($10:$13,MATCH($O357,$R$10:$R$13,0),COLUMN())</f>
        <v>4.1838319049999993E-3</v>
      </c>
      <c r="AO357" s="1046" cm="1">
        <f t="array" aca="1" ref="AO357" ca="1">INDEX(OFFSET($AK$19,MATCH($B357,$B$19:$B$150,0)-1,0,COUNTA($B$19:$B$24),COUNTA($AK$17:$BB$17)),MATCH($F357,$F$19:$F$24,0),MATCH(AO$17,$AK$17:$BB$17,0))*INDEX($10:$13,MATCH($O357,$R$10:$R$13,0),COLUMN())</f>
        <v>0.19610287648000002</v>
      </c>
      <c r="AP357" s="1046" cm="1">
        <f t="array" aca="1" ref="AP357" ca="1">INDEX(OFFSET($AK$19,MATCH($B357,$B$19:$B$150,0)-1,0,COUNTA($B$19:$B$24),COUNTA($AK$17:$BB$17)),MATCH($F357,$F$19:$F$24,0),MATCH(AP$17,$AK$17:$BB$17,0))*INDEX($10:$13,MATCH($O357,$R$10:$R$13,0),COLUMN())</f>
        <v>0.15893549084</v>
      </c>
      <c r="AQ357" s="1046" cm="1">
        <f t="array" aca="1" ref="AQ357" ca="1">INDEX(OFFSET($AK$19,MATCH($B357,$B$19:$B$150,0)-1,0,COUNTA($B$19:$B$24),COUNTA($AK$17:$BB$17)),MATCH($F357,$F$19:$F$24,0),MATCH(AQ$17,$AK$17:$BB$17,0))*INDEX($10:$13,MATCH($O357,$R$10:$R$13,0),COLUMN())</f>
        <v>3.7590735780000002E-3</v>
      </c>
      <c r="AR357" s="1046" cm="1">
        <f t="array" aca="1" ref="AR357" ca="1">INDEX(OFFSET($AK$19,MATCH($B357,$B$19:$B$150,0)-1,0,COUNTA($B$19:$B$24),COUNTA($AK$17:$BB$17)),MATCH($F357,$F$19:$F$24,0),MATCH(AR$17,$AK$17:$BB$17,0))*INDEX($10:$13,MATCH($O357,$R$10:$R$13,0),COLUMN())</f>
        <v>9.4670931540000003E-2</v>
      </c>
      <c r="AS357" s="1046" cm="1">
        <f t="array" aca="1" ref="AS357" ca="1">INDEX(OFFSET($AK$19,MATCH($B357,$B$19:$B$150,0)-1,0,COUNTA($B$19:$B$24),COUNTA($AK$17:$BB$17)),MATCH($F357,$F$19:$F$24,0),MATCH(AS$17,$AK$17:$BB$17,0))*INDEX($10:$13,MATCH($O357,$R$10:$R$13,0),COLUMN())</f>
        <v>0.88234679719999987</v>
      </c>
      <c r="AT357" s="1046" cm="1">
        <f t="array" aca="1" ref="AT357" ca="1">INDEX(OFFSET($AK$19,MATCH($B357,$B$19:$B$150,0)-1,0,COUNTA($B$19:$B$24),COUNTA($AK$17:$BB$17)),MATCH($F357,$F$19:$F$24,0),MATCH(AT$17,$AK$17:$BB$17,0))*INDEX($10:$13,MATCH($O357,$R$10:$R$13,0),COLUMN())</f>
        <v>9.8769231779999994E-4</v>
      </c>
      <c r="AU357" s="1046" cm="1">
        <f t="array" aca="1" ref="AU357" ca="1">INDEX(OFFSET($AK$19,MATCH($B357,$B$19:$B$150,0)-1,0,COUNTA($B$19:$B$24),COUNTA($AK$17:$BB$17)),MATCH($F357,$F$19:$F$24,0),MATCH(AU$17,$AK$17:$BB$17,0))*INDEX($10:$13,MATCH($O357,$R$10:$R$13,0),COLUMN())</f>
        <v>6.7327076088999997E-5</v>
      </c>
      <c r="AV357" s="1046" cm="1">
        <f t="array" aca="1" ref="AV357" ca="1">INDEX(OFFSET($AK$19,MATCH($B357,$B$19:$B$150,0)-1,0,COUNTA($B$19:$B$24),COUNTA($AK$17:$BB$17)),MATCH($F357,$F$19:$F$24,0),MATCH(AV$17,$AK$17:$BB$17,0))*INDEX($10:$13,MATCH($O357,$R$10:$R$13,0),COLUMN())</f>
        <v>5.5929044206999998E-2</v>
      </c>
      <c r="AW357" s="1046" cm="1">
        <f t="array" aca="1" ref="AW357" ca="1">INDEX(OFFSET($AK$19,MATCH($B357,$B$19:$B$150,0)-1,0,COUNTA($B$19:$B$24),COUNTA($AK$17:$BB$17)),MATCH($F357,$F$19:$F$24,0),MATCH(AW$17,$AK$17:$BB$17,0))*INDEX($10:$13,MATCH($O357,$R$10:$R$13,0),COLUMN())</f>
        <v>0.64851853820000005</v>
      </c>
      <c r="AX357" s="1046" cm="1">
        <f t="array" aca="1" ref="AX357" ca="1">INDEX(OFFSET($AK$19,MATCH($B357,$B$19:$B$150,0)-1,0,COUNTA($B$19:$B$24),COUNTA($AK$17:$BB$17)),MATCH($F357,$F$19:$F$24,0),MATCH(AX$17,$AK$17:$BB$17,0))*INDEX($10:$13,MATCH($O357,$R$10:$R$13,0),COLUMN())</f>
        <v>1.8240489410000002E-6</v>
      </c>
      <c r="AY357" s="1046" cm="1">
        <f t="array" aca="1" ref="AY357" ca="1">INDEX(OFFSET($AK$19,MATCH($B357,$B$19:$B$150,0)-1,0,COUNTA($B$19:$B$24),COUNTA($AK$17:$BB$17)),MATCH($F357,$F$19:$F$24,0),MATCH(AY$17,$AK$17:$BB$17,0))*INDEX($10:$13,MATCH($O357,$R$10:$R$13,0),COLUMN())</f>
        <v>0</v>
      </c>
      <c r="AZ357" s="1046" cm="1">
        <f t="array" aca="1" ref="AZ357" ca="1">INDEX(OFFSET($AK$19,MATCH($B357,$B$19:$B$150,0)-1,0,COUNTA($B$19:$B$24),COUNTA($AK$17:$BB$17)),MATCH($F357,$F$19:$F$24,0),MATCH(AZ$17,$AK$17:$BB$17,0))*INDEX($10:$13,MATCH($O357,$R$10:$R$13,0),COLUMN())</f>
        <v>0</v>
      </c>
      <c r="BA357" s="1046" cm="1">
        <f t="array" aca="1" ref="BA357" ca="1">INDEX(OFFSET($AK$19,MATCH($B357,$B$19:$B$150,0)-1,0,COUNTA($B$19:$B$24),COUNTA($AK$17:$BB$17)),MATCH($F357,$F$19:$F$24,0),MATCH(BA$17,$AK$17:$BB$17,0))*INDEX($10:$13,MATCH($O357,$R$10:$R$13,0),COLUMN())</f>
        <v>0</v>
      </c>
      <c r="BB357" s="1047" cm="1">
        <f t="array" aca="1" ref="BB357" ca="1">INDEX(OFFSET($AK$19,MATCH($B357,$B$19:$B$150,0)-1,0,COUNTA($B$19:$B$24),COUNTA($AK$17:$BB$17)),MATCH($F357,$F$19:$F$24,0),MATCH(BB$17,$AK$17:$BB$17,0))*INDEX($10:$13,MATCH($O357,$R$10:$R$13,0),COLUMN())</f>
        <v>0</v>
      </c>
      <c r="BC357" s="1049">
        <f t="shared" ca="1" si="169"/>
        <v>0.64852036224894105</v>
      </c>
      <c r="BE357" s="1"/>
      <c r="BF357" s="1"/>
      <c r="BG357" s="1"/>
      <c r="BH357" s="1"/>
      <c r="BI357" s="1"/>
      <c r="BJ357" s="1"/>
      <c r="BK357" s="1"/>
      <c r="BL357" s="1"/>
      <c r="BM357" s="1"/>
      <c r="BN357" s="1"/>
      <c r="BO357" s="1"/>
      <c r="BP357" s="1"/>
      <c r="BQ357" s="1"/>
      <c r="BR357" s="1"/>
      <c r="BS357" s="1"/>
      <c r="BT357" s="1"/>
      <c r="BU357" s="1"/>
      <c r="BV357" s="1"/>
      <c r="BW357" s="1"/>
      <c r="BX357" s="1"/>
      <c r="BY357" s="1"/>
      <c r="BZ357" s="1"/>
    </row>
    <row r="358" spans="2:78" ht="12" customHeight="1" outlineLevel="1" x14ac:dyDescent="0.25">
      <c r="B358" s="104" t="s">
        <v>108</v>
      </c>
      <c r="C358" s="104" t="s">
        <v>121</v>
      </c>
      <c r="D358" s="2" t="s">
        <v>143</v>
      </c>
      <c r="E358" s="2" t="s">
        <v>145</v>
      </c>
      <c r="F358" s="105" t="s">
        <v>122</v>
      </c>
      <c r="G358" s="27" t="s">
        <v>1579</v>
      </c>
      <c r="H358" s="106" t="s">
        <v>128</v>
      </c>
      <c r="I358" s="107" t="s">
        <v>129</v>
      </c>
      <c r="J358" s="147">
        <v>5.0812675600000006</v>
      </c>
      <c r="K358" s="148">
        <v>3.5</v>
      </c>
      <c r="L358" s="149">
        <f t="shared" ca="1" si="167"/>
        <v>0.36224597997540936</v>
      </c>
      <c r="M358" s="148">
        <f t="shared" ca="1" si="168"/>
        <v>4.7678609299139332</v>
      </c>
      <c r="N358" s="148">
        <f t="shared" ca="1" si="170"/>
        <v>1.2678609299139327</v>
      </c>
      <c r="O358" s="1062" t="s">
        <v>1583</v>
      </c>
      <c r="P358" s="104"/>
      <c r="R358" s="119"/>
      <c r="S358" s="1072"/>
      <c r="T358" s="1072"/>
      <c r="U358" s="1072"/>
      <c r="V358" s="1072"/>
      <c r="W358" s="1072"/>
      <c r="X358" s="1072"/>
      <c r="Y358" s="1072"/>
      <c r="Z358" s="1072"/>
      <c r="AA358" s="1072"/>
      <c r="AB358" s="1072"/>
      <c r="AC358" s="1072"/>
      <c r="AD358" s="1072"/>
      <c r="AE358" s="1072"/>
      <c r="AF358" s="1072"/>
      <c r="AG358" s="1072"/>
      <c r="AH358" s="1072"/>
      <c r="AI358" s="1072"/>
      <c r="AJ358" s="1073"/>
      <c r="AK358" s="1052" cm="1">
        <f t="array" aca="1" ref="AK358" ca="1">INDEX(OFFSET($AK$19,MATCH($B358,$B$19:$B$150,0)-1,0,COUNTA($B$19:$B$24),COUNTA($AK$17:$BB$17)),MATCH($F358,$F$19:$F$24,0),MATCH(AK$17,$AK$17:$BB$17,0))*INDEX($10:$13,MATCH($O358,$R$10:$R$13,0),COLUMN())</f>
        <v>0.1724332428</v>
      </c>
      <c r="AL358" s="1050" cm="1">
        <f t="array" aca="1" ref="AL358" ca="1">INDEX(OFFSET($AK$19,MATCH($B358,$B$19:$B$150,0)-1,0,COUNTA($B$19:$B$24),COUNTA($AK$17:$BB$17)),MATCH($F358,$F$19:$F$24,0),MATCH(AL$17,$AK$17:$BB$17,0))*INDEX($10:$13,MATCH($O358,$R$10:$R$13,0),COLUMN())</f>
        <v>2.2719090704000001E-7</v>
      </c>
      <c r="AM358" s="1050" cm="1">
        <f t="array" aca="1" ref="AM358" ca="1">INDEX(OFFSET($AK$19,MATCH($B358,$B$19:$B$150,0)-1,0,COUNTA($B$19:$B$24),COUNTA($AK$17:$BB$17)),MATCH($F358,$F$19:$F$24,0),MATCH(AM$17,$AK$17:$BB$17,0))*INDEX($10:$13,MATCH($O358,$R$10:$R$13,0),COLUMN())</f>
        <v>4.2127431154000003E-4</v>
      </c>
      <c r="AN358" s="1050" cm="1">
        <f t="array" aca="1" ref="AN358" ca="1">INDEX(OFFSET($AK$19,MATCH($B358,$B$19:$B$150,0)-1,0,COUNTA($B$19:$B$24),COUNTA($AK$17:$BB$17)),MATCH($F358,$F$19:$F$24,0),MATCH(AN$17,$AK$17:$BB$17,0))*INDEX($10:$13,MATCH($O358,$R$10:$R$13,0),COLUMN())</f>
        <v>4.7802883749999995E-3</v>
      </c>
      <c r="AO358" s="1050" cm="1">
        <f t="array" aca="1" ref="AO358" ca="1">INDEX(OFFSET($AK$19,MATCH($B358,$B$19:$B$150,0)-1,0,COUNTA($B$19:$B$24),COUNTA($AK$17:$BB$17)),MATCH($F358,$F$19:$F$24,0),MATCH(AO$17,$AK$17:$BB$17,0))*INDEX($10:$13,MATCH($O358,$R$10:$R$13,0),COLUMN())</f>
        <v>7.311383296E-2</v>
      </c>
      <c r="AP358" s="1050" cm="1">
        <f t="array" aca="1" ref="AP358" ca="1">INDEX(OFFSET($AK$19,MATCH($B358,$B$19:$B$150,0)-1,0,COUNTA($B$19:$B$24),COUNTA($AK$17:$BB$17)),MATCH($F358,$F$19:$F$24,0),MATCH(AP$17,$AK$17:$BB$17,0))*INDEX($10:$13,MATCH($O358,$R$10:$R$13,0),COLUMN())</f>
        <v>3.9184088824999998E-2</v>
      </c>
      <c r="AQ358" s="1050" cm="1">
        <f t="array" aca="1" ref="AQ358" ca="1">INDEX(OFFSET($AK$19,MATCH($B358,$B$19:$B$150,0)-1,0,COUNTA($B$19:$B$24),COUNTA($AK$17:$BB$17)),MATCH($F358,$F$19:$F$24,0),MATCH(AQ$17,$AK$17:$BB$17,0))*INDEX($10:$13,MATCH($O358,$R$10:$R$13,0),COLUMN())</f>
        <v>2.5982803140000004E-4</v>
      </c>
      <c r="AR358" s="1050" cm="1">
        <f t="array" aca="1" ref="AR358" ca="1">INDEX(OFFSET($AK$19,MATCH($B358,$B$19:$B$150,0)-1,0,COUNTA($B$19:$B$24),COUNTA($AK$17:$BB$17)),MATCH($F358,$F$19:$F$24,0),MATCH(AR$17,$AK$17:$BB$17,0))*INDEX($10:$13,MATCH($O358,$R$10:$R$13,0),COLUMN())</f>
        <v>2.9364631196E-2</v>
      </c>
      <c r="AS358" s="1050" cm="1">
        <f t="array" aca="1" ref="AS358" ca="1">INDEX(OFFSET($AK$19,MATCH($B358,$B$19:$B$150,0)-1,0,COUNTA($B$19:$B$24),COUNTA($AK$17:$BB$17)),MATCH($F358,$F$19:$F$24,0),MATCH(AS$17,$AK$17:$BB$17,0))*INDEX($10:$13,MATCH($O358,$R$10:$R$13,0),COLUMN())</f>
        <v>1.6640894643999999E-3</v>
      </c>
      <c r="AT358" s="1050" cm="1">
        <f t="array" aca="1" ref="AT358" ca="1">INDEX(OFFSET($AK$19,MATCH($B358,$B$19:$B$150,0)-1,0,COUNTA($B$19:$B$24),COUNTA($AK$17:$BB$17)),MATCH($F358,$F$19:$F$24,0),MATCH(AT$17,$AK$17:$BB$17,0))*INDEX($10:$13,MATCH($O358,$R$10:$R$13,0),COLUMN())</f>
        <v>2.2323582980000001E-5</v>
      </c>
      <c r="AU358" s="1050" cm="1">
        <f t="array" aca="1" ref="AU358" ca="1">INDEX(OFFSET($AK$19,MATCH($B358,$B$19:$B$150,0)-1,0,COUNTA($B$19:$B$24),COUNTA($AK$17:$BB$17)),MATCH($F358,$F$19:$F$24,0),MATCH(AU$17,$AK$17:$BB$17,0))*INDEX($10:$13,MATCH($O358,$R$10:$R$13,0),COLUMN())</f>
        <v>4.6740167800999998E-6</v>
      </c>
      <c r="AV358" s="1050" cm="1">
        <f t="array" aca="1" ref="AV358" ca="1">INDEX(OFFSET($AK$19,MATCH($B358,$B$19:$B$150,0)-1,0,COUNTA($B$19:$B$24),COUNTA($AK$17:$BB$17)),MATCH($F358,$F$19:$F$24,0),MATCH(AV$17,$AK$17:$BB$17,0))*INDEX($10:$13,MATCH($O358,$R$10:$R$13,0),COLUMN())</f>
        <v>6.3947698904999991E-3</v>
      </c>
      <c r="AW358" s="1050" cm="1">
        <f t="array" aca="1" ref="AW358" ca="1">INDEX(OFFSET($AK$19,MATCH($B358,$B$19:$B$150,0)-1,0,COUNTA($B$19:$B$24),COUNTA($AK$17:$BB$17)),MATCH($F358,$F$19:$F$24,0),MATCH(AW$17,$AK$17:$BB$17,0))*INDEX($10:$13,MATCH($O358,$R$10:$R$13,0),COLUMN())</f>
        <v>0.94021738850000003</v>
      </c>
      <c r="AX358" s="1050" cm="1">
        <f t="array" aca="1" ref="AX358" ca="1">INDEX(OFFSET($AK$19,MATCH($B358,$B$19:$B$150,0)-1,0,COUNTA($B$19:$B$24),COUNTA($AK$17:$BB$17)),MATCH($F358,$F$19:$F$24,0),MATCH(AX$17,$AK$17:$BB$17,0))*INDEX($10:$13,MATCH($O358,$R$10:$R$13,0),COLUMN())</f>
        <v>2.7076942555E-7</v>
      </c>
      <c r="AY358" s="1050" cm="1">
        <f t="array" aca="1" ref="AY358" ca="1">INDEX(OFFSET($AK$19,MATCH($B358,$B$19:$B$150,0)-1,0,COUNTA($B$19:$B$24),COUNTA($AK$17:$BB$17)),MATCH($F358,$F$19:$F$24,0),MATCH(AY$17,$AK$17:$BB$17,0))*INDEX($10:$13,MATCH($O358,$R$10:$R$13,0),COLUMN())</f>
        <v>0</v>
      </c>
      <c r="AZ358" s="1050" cm="1">
        <f t="array" aca="1" ref="AZ358" ca="1">INDEX(OFFSET($AK$19,MATCH($B358,$B$19:$B$150,0)-1,0,COUNTA($B$19:$B$24),COUNTA($AK$17:$BB$17)),MATCH($F358,$F$19:$F$24,0),MATCH(AZ$17,$AK$17:$BB$17,0))*INDEX($10:$13,MATCH($O358,$R$10:$R$13,0),COLUMN())</f>
        <v>0</v>
      </c>
      <c r="BA358" s="1050" cm="1">
        <f t="array" aca="1" ref="BA358" ca="1">INDEX(OFFSET($AK$19,MATCH($B358,$B$19:$B$150,0)-1,0,COUNTA($B$19:$B$24),COUNTA($AK$17:$BB$17)),MATCH($F358,$F$19:$F$24,0),MATCH(BA$17,$AK$17:$BB$17,0))*INDEX($10:$13,MATCH($O358,$R$10:$R$13,0),COLUMN())</f>
        <v>0</v>
      </c>
      <c r="BB358" s="1051" cm="1">
        <f t="array" aca="1" ref="BB358" ca="1">INDEX(OFFSET($AK$19,MATCH($B358,$B$19:$B$150,0)-1,0,COUNTA($B$19:$B$24),COUNTA($AK$17:$BB$17)),MATCH($F358,$F$19:$F$24,0),MATCH(BB$17,$AK$17:$BB$17,0))*INDEX($10:$13,MATCH($O358,$R$10:$R$13,0),COLUMN())</f>
        <v>0</v>
      </c>
      <c r="BC358" s="1053">
        <f t="shared" ca="1" si="169"/>
        <v>0.94021765926942558</v>
      </c>
      <c r="BE358" s="1"/>
      <c r="BF358" s="1"/>
      <c r="BG358" s="1"/>
      <c r="BH358" s="1"/>
      <c r="BI358" s="1"/>
      <c r="BJ358" s="1"/>
      <c r="BK358" s="1"/>
      <c r="BL358" s="1"/>
      <c r="BM358" s="1"/>
      <c r="BN358" s="1"/>
      <c r="BO358" s="1"/>
      <c r="BP358" s="1"/>
      <c r="BQ358" s="1"/>
      <c r="BR358" s="1"/>
      <c r="BS358" s="1"/>
      <c r="BT358" s="1"/>
      <c r="BU358" s="1"/>
      <c r="BV358" s="1"/>
      <c r="BW358" s="1"/>
      <c r="BX358" s="1"/>
      <c r="BY358" s="1"/>
      <c r="BZ358" s="1"/>
    </row>
    <row r="359" spans="2:78" ht="12" customHeight="1" outlineLevel="1" x14ac:dyDescent="0.25">
      <c r="B359" s="104" t="s">
        <v>108</v>
      </c>
      <c r="C359" s="104" t="s">
        <v>121</v>
      </c>
      <c r="D359" s="2" t="s">
        <v>143</v>
      </c>
      <c r="E359" s="2" t="s">
        <v>145</v>
      </c>
      <c r="F359" s="105" t="s">
        <v>93</v>
      </c>
      <c r="G359" s="27" t="s">
        <v>1578</v>
      </c>
      <c r="H359" s="106" t="s">
        <v>130</v>
      </c>
      <c r="I359" s="107" t="s">
        <v>129</v>
      </c>
      <c r="J359" s="147">
        <v>5.0812675600000006</v>
      </c>
      <c r="K359" s="148">
        <v>3.5</v>
      </c>
      <c r="L359" s="149">
        <f t="shared" ca="1" si="167"/>
        <v>0.4512302798046165</v>
      </c>
      <c r="M359" s="148">
        <f t="shared" ca="1" si="168"/>
        <v>5.0793059793161577</v>
      </c>
      <c r="N359" s="148">
        <f t="shared" ca="1" si="170"/>
        <v>1.5793059793161577</v>
      </c>
      <c r="O359" s="1062" t="s">
        <v>1583</v>
      </c>
      <c r="P359" s="104"/>
      <c r="R359" s="119"/>
      <c r="S359" s="1072"/>
      <c r="T359" s="1072"/>
      <c r="U359" s="1072"/>
      <c r="V359" s="1072"/>
      <c r="W359" s="1072"/>
      <c r="X359" s="1072"/>
      <c r="Y359" s="1072"/>
      <c r="Z359" s="1072"/>
      <c r="AA359" s="1072"/>
      <c r="AB359" s="1072"/>
      <c r="AC359" s="1072"/>
      <c r="AD359" s="1072"/>
      <c r="AE359" s="1072"/>
      <c r="AF359" s="1072"/>
      <c r="AG359" s="1072"/>
      <c r="AH359" s="1072"/>
      <c r="AI359" s="1072"/>
      <c r="AJ359" s="1073"/>
      <c r="AK359" s="1052" cm="1">
        <f t="array" aca="1" ref="AK359" ca="1">INDEX(OFFSET($AK$19,MATCH($B359,$B$19:$B$150,0)-1,0,COUNTA($B$19:$B$24),COUNTA($AK$17:$BB$17)),MATCH($F359,$F$19:$F$24,0),MATCH(AK$17,$AK$17:$BB$17,0))*INDEX($10:$13,MATCH($O359,$R$10:$R$13,0),COLUMN())</f>
        <v>0.21471762</v>
      </c>
      <c r="AL359" s="1050" cm="1">
        <f t="array" aca="1" ref="AL359" ca="1">INDEX(OFFSET($AK$19,MATCH($B359,$B$19:$B$150,0)-1,0,COUNTA($B$19:$B$24),COUNTA($AK$17:$BB$17)),MATCH($F359,$F$19:$F$24,0),MATCH(AL$17,$AK$17:$BB$17,0))*INDEX($10:$13,MATCH($O359,$R$10:$R$13,0),COLUMN())</f>
        <v>2.8290305055999998E-7</v>
      </c>
      <c r="AM359" s="1050" cm="1">
        <f t="array" aca="1" ref="AM359" ca="1">INDEX(OFFSET($AK$19,MATCH($B359,$B$19:$B$150,0)-1,0,COUNTA($B$19:$B$24),COUNTA($AK$17:$BB$17)),MATCH($F359,$F$19:$F$24,0),MATCH(AM$17,$AK$17:$BB$17,0))*INDEX($10:$13,MATCH($O359,$R$10:$R$13,0),COLUMN())</f>
        <v>5.2457992140000009E-4</v>
      </c>
      <c r="AN359" s="1050" cm="1">
        <f t="array" aca="1" ref="AN359" ca="1">INDEX(OFFSET($AK$19,MATCH($B359,$B$19:$B$150,0)-1,0,COUNTA($B$19:$B$24),COUNTA($AK$17:$BB$17)),MATCH($F359,$F$19:$F$24,0),MATCH(AN$17,$AK$17:$BB$17,0))*INDEX($10:$13,MATCH($O359,$R$10:$R$13,0),COLUMN())</f>
        <v>5.9525187949999994E-3</v>
      </c>
      <c r="AO359" s="1050" cm="1">
        <f t="array" aca="1" ref="AO359" ca="1">INDEX(OFFSET($AK$19,MATCH($B359,$B$19:$B$150,0)-1,0,COUNTA($B$19:$B$24),COUNTA($AK$17:$BB$17)),MATCH($F359,$F$19:$F$24,0),MATCH(AO$17,$AK$17:$BB$17,0))*INDEX($10:$13,MATCH($O359,$R$10:$R$13,0),COLUMN())</f>
        <v>9.1042929040000012E-2</v>
      </c>
      <c r="AP359" s="1050" cm="1">
        <f t="array" aca="1" ref="AP359" ca="1">INDEX(OFFSET($AK$19,MATCH($B359,$B$19:$B$150,0)-1,0,COUNTA($B$19:$B$24),COUNTA($AK$17:$BB$17)),MATCH($F359,$F$19:$F$24,0),MATCH(AP$17,$AK$17:$BB$17,0))*INDEX($10:$13,MATCH($O359,$R$10:$R$13,0),COLUMN())</f>
        <v>4.8792877588000001E-2</v>
      </c>
      <c r="AQ359" s="1050" cm="1">
        <f t="array" aca="1" ref="AQ359" ca="1">INDEX(OFFSET($AK$19,MATCH($B359,$B$19:$B$150,0)-1,0,COUNTA($B$19:$B$24),COUNTA($AK$17:$BB$17)),MATCH($F359,$F$19:$F$24,0),MATCH(AQ$17,$AK$17:$BB$17,0))*INDEX($10:$13,MATCH($O359,$R$10:$R$13,0),COLUMN())</f>
        <v>3.2354350320000004E-4</v>
      </c>
      <c r="AR359" s="1050" cm="1">
        <f t="array" aca="1" ref="AR359" ca="1">INDEX(OFFSET($AK$19,MATCH($B359,$B$19:$B$150,0)-1,0,COUNTA($B$19:$B$24),COUNTA($AK$17:$BB$17)),MATCH($F359,$F$19:$F$24,0),MATCH(AR$17,$AK$17:$BB$17,0))*INDEX($10:$13,MATCH($O359,$R$10:$R$13,0),COLUMN())</f>
        <v>3.656547668E-2</v>
      </c>
      <c r="AS359" s="1050" cm="1">
        <f t="array" aca="1" ref="AS359" ca="1">INDEX(OFFSET($AK$19,MATCH($B359,$B$19:$B$150,0)-1,0,COUNTA($B$19:$B$24),COUNTA($AK$17:$BB$17)),MATCH($F359,$F$19:$F$24,0),MATCH(AS$17,$AK$17:$BB$17,0))*INDEX($10:$13,MATCH($O359,$R$10:$R$13,0),COLUMN())</f>
        <v>2.2769742215E-3</v>
      </c>
      <c r="AT359" s="1050" cm="1">
        <f t="array" aca="1" ref="AT359" ca="1">INDEX(OFFSET($AK$19,MATCH($B359,$B$19:$B$150,0)-1,0,COUNTA($B$19:$B$24),COUNTA($AK$17:$BB$17)),MATCH($F359,$F$19:$F$24,0),MATCH(AT$17,$AK$17:$BB$17,0))*INDEX($10:$13,MATCH($O359,$R$10:$R$13,0),COLUMN())</f>
        <v>2.7873383628999999E-5</v>
      </c>
      <c r="AU359" s="1050" cm="1">
        <f t="array" aca="1" ref="AU359" ca="1">INDEX(OFFSET($AK$19,MATCH($B359,$B$19:$B$150,0)-1,0,COUNTA($B$19:$B$24),COUNTA($AK$17:$BB$17)),MATCH($F359,$F$19:$F$24,0),MATCH(AU$17,$AK$17:$BB$17,0))*INDEX($10:$13,MATCH($O359,$R$10:$R$13,0),COLUMN())</f>
        <v>5.8280099156999995E-6</v>
      </c>
      <c r="AV359" s="1050" cm="1">
        <f t="array" aca="1" ref="AV359" ca="1">INDEX(OFFSET($AK$19,MATCH($B359,$B$19:$B$150,0)-1,0,COUNTA($B$19:$B$24),COUNTA($AK$17:$BB$17)),MATCH($F359,$F$19:$F$24,0),MATCH(AV$17,$AK$17:$BB$17,0))*INDEX($10:$13,MATCH($O359,$R$10:$R$13,0),COLUMN())</f>
        <v>8.2960351025E-3</v>
      </c>
      <c r="AW359" s="1050" cm="1">
        <f t="array" aca="1" ref="AW359" ca="1">INDEX(OFFSET($AK$19,MATCH($B359,$B$19:$B$150,0)-1,0,COUNTA($B$19:$B$24),COUNTA($AK$17:$BB$17)),MATCH($F359,$F$19:$F$24,0),MATCH(AW$17,$AK$17:$BB$17,0))*INDEX($10:$13,MATCH($O359,$R$10:$R$13,0),COLUMN())</f>
        <v>1.1707791030000001</v>
      </c>
      <c r="AX359" s="1050" cm="1">
        <f t="array" aca="1" ref="AX359" ca="1">INDEX(OFFSET($AK$19,MATCH($B359,$B$19:$B$150,0)-1,0,COUNTA($B$19:$B$24),COUNTA($AK$17:$BB$17)),MATCH($F359,$F$19:$F$24,0),MATCH(AX$17,$AK$17:$BB$17,0))*INDEX($10:$13,MATCH($O359,$R$10:$R$13,0),COLUMN())</f>
        <v>3.3716796230000002E-7</v>
      </c>
      <c r="AY359" s="1050" cm="1">
        <f t="array" aca="1" ref="AY359" ca="1">INDEX(OFFSET($AK$19,MATCH($B359,$B$19:$B$150,0)-1,0,COUNTA($B$19:$B$24),COUNTA($AK$17:$BB$17)),MATCH($F359,$F$19:$F$24,0),MATCH(AY$17,$AK$17:$BB$17,0))*INDEX($10:$13,MATCH($O359,$R$10:$R$13,0),COLUMN())</f>
        <v>0</v>
      </c>
      <c r="AZ359" s="1050" cm="1">
        <f t="array" aca="1" ref="AZ359" ca="1">INDEX(OFFSET($AK$19,MATCH($B359,$B$19:$B$150,0)-1,0,COUNTA($B$19:$B$24),COUNTA($AK$17:$BB$17)),MATCH($F359,$F$19:$F$24,0),MATCH(AZ$17,$AK$17:$BB$17,0))*INDEX($10:$13,MATCH($O359,$R$10:$R$13,0),COLUMN())</f>
        <v>0</v>
      </c>
      <c r="BA359" s="1050" cm="1">
        <f t="array" aca="1" ref="BA359" ca="1">INDEX(OFFSET($AK$19,MATCH($B359,$B$19:$B$150,0)-1,0,COUNTA($B$19:$B$24),COUNTA($AK$17:$BB$17)),MATCH($F359,$F$19:$F$24,0),MATCH(BA$17,$AK$17:$BB$17,0))*INDEX($10:$13,MATCH($O359,$R$10:$R$13,0),COLUMN())</f>
        <v>0</v>
      </c>
      <c r="BB359" s="1051" cm="1">
        <f t="array" aca="1" ref="BB359" ca="1">INDEX(OFFSET($AK$19,MATCH($B359,$B$19:$B$150,0)-1,0,COUNTA($B$19:$B$24),COUNTA($AK$17:$BB$17)),MATCH($F359,$F$19:$F$24,0),MATCH(BB$17,$AK$17:$BB$17,0))*INDEX($10:$13,MATCH($O359,$R$10:$R$13,0),COLUMN())</f>
        <v>0</v>
      </c>
      <c r="BC359" s="1053">
        <f t="shared" ca="1" si="169"/>
        <v>1.1707794401679623</v>
      </c>
      <c r="BE359" s="1"/>
      <c r="BF359" s="1"/>
      <c r="BG359" s="1"/>
      <c r="BH359" s="1"/>
      <c r="BI359" s="1"/>
      <c r="BJ359" s="1"/>
      <c r="BK359" s="1"/>
      <c r="BL359" s="1"/>
      <c r="BM359" s="1"/>
      <c r="BN359" s="1"/>
      <c r="BO359" s="1"/>
      <c r="BP359" s="1"/>
      <c r="BQ359" s="1"/>
      <c r="BR359" s="1"/>
      <c r="BS359" s="1"/>
      <c r="BT359" s="1"/>
      <c r="BU359" s="1"/>
      <c r="BV359" s="1"/>
      <c r="BW359" s="1"/>
      <c r="BX359" s="1"/>
      <c r="BY359" s="1"/>
      <c r="BZ359" s="1"/>
    </row>
    <row r="360" spans="2:78" ht="12" customHeight="1" outlineLevel="1" x14ac:dyDescent="0.25">
      <c r="B360" s="104" t="s">
        <v>108</v>
      </c>
      <c r="C360" s="104" t="s">
        <v>121</v>
      </c>
      <c r="D360" s="2" t="s">
        <v>143</v>
      </c>
      <c r="E360" s="2" t="s">
        <v>145</v>
      </c>
      <c r="F360" s="105" t="s">
        <v>94</v>
      </c>
      <c r="G360" s="27" t="s">
        <v>1580</v>
      </c>
      <c r="H360" s="106" t="s">
        <v>131</v>
      </c>
      <c r="I360" s="107" t="s">
        <v>129</v>
      </c>
      <c r="J360" s="147">
        <v>5.0812675600000006</v>
      </c>
      <c r="K360" s="148">
        <v>3.5</v>
      </c>
      <c r="L360" s="149">
        <f t="shared" ca="1" si="167"/>
        <v>0.30252430140391284</v>
      </c>
      <c r="M360" s="148">
        <f t="shared" ca="1" si="168"/>
        <v>4.5588350549136951</v>
      </c>
      <c r="N360" s="148">
        <f t="shared" ca="1" si="170"/>
        <v>1.0588350549136949</v>
      </c>
      <c r="O360" s="1062" t="s">
        <v>1583</v>
      </c>
      <c r="P360" s="104"/>
      <c r="R360" s="119"/>
      <c r="S360" s="1072"/>
      <c r="T360" s="1072"/>
      <c r="U360" s="1072"/>
      <c r="V360" s="1072"/>
      <c r="W360" s="1072"/>
      <c r="X360" s="1072"/>
      <c r="Y360" s="1072"/>
      <c r="Z360" s="1072"/>
      <c r="AA360" s="1072"/>
      <c r="AB360" s="1072"/>
      <c r="AC360" s="1072"/>
      <c r="AD360" s="1072"/>
      <c r="AE360" s="1072"/>
      <c r="AF360" s="1072"/>
      <c r="AG360" s="1072"/>
      <c r="AH360" s="1072"/>
      <c r="AI360" s="1072"/>
      <c r="AJ360" s="1073"/>
      <c r="AK360" s="1052" cm="1">
        <f t="array" aca="1" ref="AK360" ca="1">INDEX(OFFSET($AK$19,MATCH($B360,$B$19:$B$150,0)-1,0,COUNTA($B$19:$B$24),COUNTA($AK$17:$BB$17)),MATCH($F360,$F$19:$F$24,0),MATCH(AK$17,$AK$17:$BB$17,0))*INDEX($10:$13,MATCH($O360,$R$10:$R$13,0),COLUMN())</f>
        <v>0.14405413035</v>
      </c>
      <c r="AL360" s="1050" cm="1">
        <f t="array" aca="1" ref="AL360" ca="1">INDEX(OFFSET($AK$19,MATCH($B360,$B$19:$B$150,0)-1,0,COUNTA($B$19:$B$24),COUNTA($AK$17:$BB$17)),MATCH($F360,$F$19:$F$24,0),MATCH(AL$17,$AK$17:$BB$17,0))*INDEX($10:$13,MATCH($O360,$R$10:$R$13,0),COLUMN())</f>
        <v>1.8979976128E-7</v>
      </c>
      <c r="AM360" s="1050" cm="1">
        <f t="array" aca="1" ref="AM360" ca="1">INDEX(OFFSET($AK$19,MATCH($B360,$B$19:$B$150,0)-1,0,COUNTA($B$19:$B$24),COUNTA($AK$17:$BB$17)),MATCH($F360,$F$19:$F$24,0),MATCH(AM$17,$AK$17:$BB$17,0))*INDEX($10:$13,MATCH($O360,$R$10:$R$13,0),COLUMN())</f>
        <v>3.5194086120000001E-4</v>
      </c>
      <c r="AN360" s="1050" cm="1">
        <f t="array" aca="1" ref="AN360" ca="1">INDEX(OFFSET($AK$19,MATCH($B360,$B$19:$B$150,0)-1,0,COUNTA($B$19:$B$24),COUNTA($AK$17:$BB$17)),MATCH($F360,$F$19:$F$24,0),MATCH(AN$17,$AK$17:$BB$17,0))*INDEX($10:$13,MATCH($O360,$R$10:$R$13,0),COLUMN())</f>
        <v>3.9935471549999999E-3</v>
      </c>
      <c r="AO360" s="1050" cm="1">
        <f t="array" aca="1" ref="AO360" ca="1">INDEX(OFFSET($AK$19,MATCH($B360,$B$19:$B$150,0)-1,0,COUNTA($B$19:$B$24),COUNTA($AK$17:$BB$17)),MATCH($F360,$F$19:$F$24,0),MATCH(AO$17,$AK$17:$BB$17,0))*INDEX($10:$13,MATCH($O360,$R$10:$R$13,0),COLUMN())</f>
        <v>6.1080734400000003E-2</v>
      </c>
      <c r="AP360" s="1050" cm="1">
        <f t="array" aca="1" ref="AP360" ca="1">INDEX(OFFSET($AK$19,MATCH($B360,$B$19:$B$150,0)-1,0,COUNTA($B$19:$B$24),COUNTA($AK$17:$BB$17)),MATCH($F360,$F$19:$F$24,0),MATCH(AP$17,$AK$17:$BB$17,0))*INDEX($10:$13,MATCH($O360,$R$10:$R$13,0),COLUMN())</f>
        <v>3.2735159961000002E-2</v>
      </c>
      <c r="AQ360" s="1050" cm="1">
        <f t="array" aca="1" ref="AQ360" ca="1">INDEX(OFFSET($AK$19,MATCH($B360,$B$19:$B$150,0)-1,0,COUNTA($B$19:$B$24),COUNTA($AK$17:$BB$17)),MATCH($F360,$F$19:$F$24,0),MATCH(AQ$17,$AK$17:$BB$17,0))*INDEX($10:$13,MATCH($O360,$R$10:$R$13,0),COLUMN())</f>
        <v>2.1706545960000002E-4</v>
      </c>
      <c r="AR360" s="1050" cm="1">
        <f t="array" aca="1" ref="AR360" ca="1">INDEX(OFFSET($AK$19,MATCH($B360,$B$19:$B$150,0)-1,0,COUNTA($B$19:$B$24),COUNTA($AK$17:$BB$17)),MATCH($F360,$F$19:$F$24,0),MATCH(AR$17,$AK$17:$BB$17,0))*INDEX($10:$13,MATCH($O360,$R$10:$R$13,0),COLUMN())</f>
        <v>2.4531791648999997E-2</v>
      </c>
      <c r="AS360" s="1050" cm="1">
        <f t="array" aca="1" ref="AS360" ca="1">INDEX(OFFSET($AK$19,MATCH($B360,$B$19:$B$150,0)-1,0,COUNTA($B$19:$B$24),COUNTA($AK$17:$BB$17)),MATCH($F360,$F$19:$F$24,0),MATCH(AS$17,$AK$17:$BB$17,0))*INDEX($10:$13,MATCH($O360,$R$10:$R$13,0),COLUMN())</f>
        <v>1.2528033220999999E-3</v>
      </c>
      <c r="AT360" s="1050" cm="1">
        <f t="array" aca="1" ref="AT360" ca="1">INDEX(OFFSET($AK$19,MATCH($B360,$B$19:$B$150,0)-1,0,COUNTA($B$19:$B$24),COUNTA($AK$17:$BB$17)),MATCH($F360,$F$19:$F$24,0),MATCH(AT$17,$AK$17:$BB$17,0))*INDEX($10:$13,MATCH($O360,$R$10:$R$13,0),COLUMN())</f>
        <v>1.8598858984999999E-5</v>
      </c>
      <c r="AU360" s="1050" cm="1">
        <f t="array" aca="1" ref="AU360" ca="1">INDEX(OFFSET($AK$19,MATCH($B360,$B$19:$B$150,0)-1,0,COUNTA($B$19:$B$24),COUNTA($AK$17:$BB$17)),MATCH($F360,$F$19:$F$24,0),MATCH(AU$17,$AK$17:$BB$17,0))*INDEX($10:$13,MATCH($O360,$R$10:$R$13,0),COLUMN())</f>
        <v>3.8995174371E-6</v>
      </c>
      <c r="AV360" s="1050" cm="1">
        <f t="array" aca="1" ref="AV360" ca="1">INDEX(OFFSET($AK$19,MATCH($B360,$B$19:$B$150,0)-1,0,COUNTA($B$19:$B$24),COUNTA($AK$17:$BB$17)),MATCH($F360,$F$19:$F$24,0),MATCH(AV$17,$AK$17:$BB$17,0))*INDEX($10:$13,MATCH($O360,$R$10:$R$13,0),COLUMN())</f>
        <v>5.1188207235E-3</v>
      </c>
      <c r="AW360" s="1050" cm="1">
        <f t="array" aca="1" ref="AW360" ca="1">INDEX(OFFSET($AK$19,MATCH($B360,$B$19:$B$150,0)-1,0,COUNTA($B$19:$B$24),COUNTA($AK$17:$BB$17)),MATCH($F360,$F$19:$F$24,0),MATCH(AW$17,$AK$17:$BB$17,0))*INDEX($10:$13,MATCH($O360,$R$10:$R$13,0),COLUMN())</f>
        <v>0.7854761466500001</v>
      </c>
      <c r="AX360" s="1050" cm="1">
        <f t="array" aca="1" ref="AX360" ca="1">INDEX(OFFSET($AK$19,MATCH($B360,$B$19:$B$150,0)-1,0,COUNTA($B$19:$B$24),COUNTA($AK$17:$BB$17)),MATCH($F360,$F$19:$F$24,0),MATCH(AX$17,$AK$17:$BB$17,0))*INDEX($10:$13,MATCH($O360,$R$10:$R$13,0),COLUMN())</f>
        <v>2.2620611130000002E-7</v>
      </c>
      <c r="AY360" s="1050" cm="1">
        <f t="array" aca="1" ref="AY360" ca="1">INDEX(OFFSET($AK$19,MATCH($B360,$B$19:$B$150,0)-1,0,COUNTA($B$19:$B$24),COUNTA($AK$17:$BB$17)),MATCH($F360,$F$19:$F$24,0),MATCH(AY$17,$AK$17:$BB$17,0))*INDEX($10:$13,MATCH($O360,$R$10:$R$13,0),COLUMN())</f>
        <v>0</v>
      </c>
      <c r="AZ360" s="1050" cm="1">
        <f t="array" aca="1" ref="AZ360" ca="1">INDEX(OFFSET($AK$19,MATCH($B360,$B$19:$B$150,0)-1,0,COUNTA($B$19:$B$24),COUNTA($AK$17:$BB$17)),MATCH($F360,$F$19:$F$24,0),MATCH(AZ$17,$AK$17:$BB$17,0))*INDEX($10:$13,MATCH($O360,$R$10:$R$13,0),COLUMN())</f>
        <v>0</v>
      </c>
      <c r="BA360" s="1050" cm="1">
        <f t="array" aca="1" ref="BA360" ca="1">INDEX(OFFSET($AK$19,MATCH($B360,$B$19:$B$150,0)-1,0,COUNTA($B$19:$B$24),COUNTA($AK$17:$BB$17)),MATCH($F360,$F$19:$F$24,0),MATCH(BA$17,$AK$17:$BB$17,0))*INDEX($10:$13,MATCH($O360,$R$10:$R$13,0),COLUMN())</f>
        <v>0</v>
      </c>
      <c r="BB360" s="1051" cm="1">
        <f t="array" aca="1" ref="BB360" ca="1">INDEX(OFFSET($AK$19,MATCH($B360,$B$19:$B$150,0)-1,0,COUNTA($B$19:$B$24),COUNTA($AK$17:$BB$17)),MATCH($F360,$F$19:$F$24,0),MATCH(BB$17,$AK$17:$BB$17,0))*INDEX($10:$13,MATCH($O360,$R$10:$R$13,0),COLUMN())</f>
        <v>0</v>
      </c>
      <c r="BC360" s="1053">
        <f t="shared" ca="1" si="169"/>
        <v>0.78547637285611138</v>
      </c>
      <c r="BE360" s="1"/>
      <c r="BF360" s="1"/>
      <c r="BG360" s="1"/>
      <c r="BH360" s="1"/>
      <c r="BI360" s="1"/>
      <c r="BJ360" s="1"/>
      <c r="BK360" s="1"/>
      <c r="BL360" s="1"/>
      <c r="BM360" s="1"/>
      <c r="BN360" s="1"/>
      <c r="BO360" s="1"/>
      <c r="BP360" s="1"/>
      <c r="BQ360" s="1"/>
      <c r="BR360" s="1"/>
      <c r="BS360" s="1"/>
      <c r="BT360" s="1"/>
      <c r="BU360" s="1"/>
      <c r="BV360" s="1"/>
      <c r="BW360" s="1"/>
      <c r="BX360" s="1"/>
      <c r="BY360" s="1"/>
      <c r="BZ360" s="1"/>
    </row>
    <row r="361" spans="2:78" ht="12" customHeight="1" outlineLevel="1" x14ac:dyDescent="0.25">
      <c r="B361" s="104" t="s">
        <v>108</v>
      </c>
      <c r="C361" s="104" t="s">
        <v>121</v>
      </c>
      <c r="D361" s="2" t="s">
        <v>143</v>
      </c>
      <c r="E361" s="2" t="s">
        <v>145</v>
      </c>
      <c r="F361" s="105" t="s">
        <v>95</v>
      </c>
      <c r="G361" s="27" t="s">
        <v>1581</v>
      </c>
      <c r="H361" s="106" t="s">
        <v>128</v>
      </c>
      <c r="I361" s="107" t="s">
        <v>127</v>
      </c>
      <c r="J361" s="147">
        <v>5.0812675600000006</v>
      </c>
      <c r="K361" s="148">
        <v>3.5</v>
      </c>
      <c r="L361" s="149">
        <f t="shared" ca="1" si="167"/>
        <v>0.44385123515351932</v>
      </c>
      <c r="M361" s="148">
        <f t="shared" ca="1" si="168"/>
        <v>5.0534793230373172</v>
      </c>
      <c r="N361" s="148">
        <f t="shared" ca="1" si="170"/>
        <v>1.5534793230373176</v>
      </c>
      <c r="O361" s="1062" t="s">
        <v>1583</v>
      </c>
      <c r="P361" s="104"/>
      <c r="R361" s="119"/>
      <c r="S361" s="1072"/>
      <c r="T361" s="1072"/>
      <c r="U361" s="1072"/>
      <c r="V361" s="1072"/>
      <c r="W361" s="1072"/>
      <c r="X361" s="1072"/>
      <c r="Y361" s="1072"/>
      <c r="Z361" s="1072"/>
      <c r="AA361" s="1072"/>
      <c r="AB361" s="1072"/>
      <c r="AC361" s="1072"/>
      <c r="AD361" s="1072"/>
      <c r="AE361" s="1072"/>
      <c r="AF361" s="1072"/>
      <c r="AG361" s="1072"/>
      <c r="AH361" s="1072"/>
      <c r="AI361" s="1072"/>
      <c r="AJ361" s="1073"/>
      <c r="AK361" s="1052" cm="1">
        <f t="array" aca="1" ref="AK361" ca="1">INDEX(OFFSET($AK$19,MATCH($B361,$B$19:$B$150,0)-1,0,COUNTA($B$19:$B$24),COUNTA($AK$17:$BB$17)),MATCH($F361,$F$19:$F$24,0),MATCH(AK$17,$AK$17:$BB$17,0))*INDEX($10:$13,MATCH($O361,$R$10:$R$13,0),COLUMN())</f>
        <v>0.20640777299999999</v>
      </c>
      <c r="AL361" s="1050" cm="1">
        <f t="array" aca="1" ref="AL361" ca="1">INDEX(OFFSET($AK$19,MATCH($B361,$B$19:$B$150,0)-1,0,COUNTA($B$19:$B$24),COUNTA($AK$17:$BB$17)),MATCH($F361,$F$19:$F$24,0),MATCH(AL$17,$AK$17:$BB$17,0))*INDEX($10:$13,MATCH($O361,$R$10:$R$13,0),COLUMN())</f>
        <v>2.2896098655999996E-7</v>
      </c>
      <c r="AM361" s="1050" cm="1">
        <f t="array" aca="1" ref="AM361" ca="1">INDEX(OFFSET($AK$19,MATCH($B361,$B$19:$B$150,0)-1,0,COUNTA($B$19:$B$24),COUNTA($AK$17:$BB$17)),MATCH($F361,$F$19:$F$24,0),MATCH(AM$17,$AK$17:$BB$17,0))*INDEX($10:$13,MATCH($O361,$R$10:$R$13,0),COLUMN())</f>
        <v>4.2454082846000004E-4</v>
      </c>
      <c r="AN361" s="1050" cm="1">
        <f t="array" aca="1" ref="AN361" ca="1">INDEX(OFFSET($AK$19,MATCH($B361,$B$19:$B$150,0)-1,0,COUNTA($B$19:$B$24),COUNTA($AK$17:$BB$17)),MATCH($F361,$F$19:$F$24,0),MATCH(AN$17,$AK$17:$BB$17,0))*INDEX($10:$13,MATCH($O361,$R$10:$R$13,0),COLUMN())</f>
        <v>5.1254943399999999E-3</v>
      </c>
      <c r="AO361" s="1050" cm="1">
        <f t="array" aca="1" ref="AO361" ca="1">INDEX(OFFSET($AK$19,MATCH($B361,$B$19:$B$150,0)-1,0,COUNTA($B$19:$B$24),COUNTA($AK$17:$BB$17)),MATCH($F361,$F$19:$F$24,0),MATCH(AO$17,$AK$17:$BB$17,0))*INDEX($10:$13,MATCH($O361,$R$10:$R$13,0),COLUMN())</f>
        <v>0.17248534688</v>
      </c>
      <c r="AP361" s="1050" cm="1">
        <f t="array" aca="1" ref="AP361" ca="1">INDEX(OFFSET($AK$19,MATCH($B361,$B$19:$B$150,0)-1,0,COUNTA($B$19:$B$24),COUNTA($AK$17:$BB$17)),MATCH($F361,$F$19:$F$24,0),MATCH(AP$17,$AK$17:$BB$17,0))*INDEX($10:$13,MATCH($O361,$R$10:$R$13,0),COLUMN())</f>
        <v>0.13378069565</v>
      </c>
      <c r="AQ361" s="1050" cm="1">
        <f t="array" aca="1" ref="AQ361" ca="1">INDEX(OFFSET($AK$19,MATCH($B361,$B$19:$B$150,0)-1,0,COUNTA($B$19:$B$24),COUNTA($AK$17:$BB$17)),MATCH($F361,$F$19:$F$24,0),MATCH(AQ$17,$AK$17:$BB$17,0))*INDEX($10:$13,MATCH($O361,$R$10:$R$13,0),COLUMN())</f>
        <v>1.0283879736000001E-3</v>
      </c>
      <c r="AR361" s="1050" cm="1">
        <f t="array" aca="1" ref="AR361" ca="1">INDEX(OFFSET($AK$19,MATCH($B361,$B$19:$B$150,0)-1,0,COUNTA($B$19:$B$24),COUNTA($AK$17:$BB$17)),MATCH($F361,$F$19:$F$24,0),MATCH(AR$17,$AK$17:$BB$17,0))*INDEX($10:$13,MATCH($O361,$R$10:$R$13,0),COLUMN())</f>
        <v>5.4555688419999998E-2</v>
      </c>
      <c r="AS361" s="1050" cm="1">
        <f t="array" aca="1" ref="AS361" ca="1">INDEX(OFFSET($AK$19,MATCH($B361,$B$19:$B$150,0)-1,0,COUNTA($B$19:$B$24),COUNTA($AK$17:$BB$17)),MATCH($F361,$F$19:$F$24,0),MATCH(AS$17,$AK$17:$BB$17,0))*INDEX($10:$13,MATCH($O361,$R$10:$R$13,0),COLUMN())</f>
        <v>1.3668981556999998E-2</v>
      </c>
      <c r="AT361" s="1050" cm="1">
        <f t="array" aca="1" ref="AT361" ca="1">INDEX(OFFSET($AK$19,MATCH($B361,$B$19:$B$150,0)-1,0,COUNTA($B$19:$B$24),COUNTA($AK$17:$BB$17)),MATCH($F361,$F$19:$F$24,0),MATCH(AT$17,$AK$17:$BB$17,0))*INDEX($10:$13,MATCH($O361,$R$10:$R$13,0),COLUMN())</f>
        <v>3.1103278425999999E-5</v>
      </c>
      <c r="AU361" s="1050" cm="1">
        <f t="array" aca="1" ref="AU361" ca="1">INDEX(OFFSET($AK$19,MATCH($B361,$B$19:$B$150,0)-1,0,COUNTA($B$19:$B$24),COUNTA($AK$17:$BB$17)),MATCH($F361,$F$19:$F$24,0),MATCH(AU$17,$AK$17:$BB$17,0))*INDEX($10:$13,MATCH($O361,$R$10:$R$13,0),COLUMN())</f>
        <v>6.0150304192999999E-6</v>
      </c>
      <c r="AV361" s="1050" cm="1">
        <f t="array" aca="1" ref="AV361" ca="1">INDEX(OFFSET($AK$19,MATCH($B361,$B$19:$B$150,0)-1,0,COUNTA($B$19:$B$24),COUNTA($AK$17:$BB$17)),MATCH($F361,$F$19:$F$24,0),MATCH(AV$17,$AK$17:$BB$17,0))*INDEX($10:$13,MATCH($O361,$R$10:$R$13,0),COLUMN())</f>
        <v>2.5747407848999999E-2</v>
      </c>
      <c r="AW361" s="1050" cm="1">
        <f t="array" aca="1" ref="AW361" ca="1">INDEX(OFFSET($AK$19,MATCH($B361,$B$19:$B$150,0)-1,0,COUNTA($B$19:$B$24),COUNTA($AK$17:$BB$17)),MATCH($F361,$F$19:$F$24,0),MATCH(AW$17,$AK$17:$BB$17,0))*INDEX($10:$13,MATCH($O361,$R$10:$R$13,0),COLUMN())</f>
        <v>0.94021738850000003</v>
      </c>
      <c r="AX361" s="1050" cm="1">
        <f t="array" aca="1" ref="AX361" ca="1">INDEX(OFFSET($AK$19,MATCH($B361,$B$19:$B$150,0)-1,0,COUNTA($B$19:$B$24),COUNTA($AK$17:$BB$17)),MATCH($F361,$F$19:$F$24,0),MATCH(AX$17,$AK$17:$BB$17,0))*INDEX($10:$13,MATCH($O361,$R$10:$R$13,0),COLUMN())</f>
        <v>2.7076942555E-7</v>
      </c>
      <c r="AY361" s="1050" cm="1">
        <f t="array" aca="1" ref="AY361" ca="1">INDEX(OFFSET($AK$19,MATCH($B361,$B$19:$B$150,0)-1,0,COUNTA($B$19:$B$24),COUNTA($AK$17:$BB$17)),MATCH($F361,$F$19:$F$24,0),MATCH(AY$17,$AK$17:$BB$17,0))*INDEX($10:$13,MATCH($O361,$R$10:$R$13,0),COLUMN())</f>
        <v>0</v>
      </c>
      <c r="AZ361" s="1050" cm="1">
        <f t="array" aca="1" ref="AZ361" ca="1">INDEX(OFFSET($AK$19,MATCH($B361,$B$19:$B$150,0)-1,0,COUNTA($B$19:$B$24),COUNTA($AK$17:$BB$17)),MATCH($F361,$F$19:$F$24,0),MATCH(AZ$17,$AK$17:$BB$17,0))*INDEX($10:$13,MATCH($O361,$R$10:$R$13,0),COLUMN())</f>
        <v>0</v>
      </c>
      <c r="BA361" s="1050" cm="1">
        <f t="array" aca="1" ref="BA361" ca="1">INDEX(OFFSET($AK$19,MATCH($B361,$B$19:$B$150,0)-1,0,COUNTA($B$19:$B$24),COUNTA($AK$17:$BB$17)),MATCH($F361,$F$19:$F$24,0),MATCH(BA$17,$AK$17:$BB$17,0))*INDEX($10:$13,MATCH($O361,$R$10:$R$13,0),COLUMN())</f>
        <v>0</v>
      </c>
      <c r="BB361" s="1051" cm="1">
        <f t="array" aca="1" ref="BB361" ca="1">INDEX(OFFSET($AK$19,MATCH($B361,$B$19:$B$150,0)-1,0,COUNTA($B$19:$B$24),COUNTA($AK$17:$BB$17)),MATCH($F361,$F$19:$F$24,0),MATCH(BB$17,$AK$17:$BB$17,0))*INDEX($10:$13,MATCH($O361,$R$10:$R$13,0),COLUMN())</f>
        <v>0</v>
      </c>
      <c r="BC361" s="1053">
        <f t="shared" ca="1" si="169"/>
        <v>0.94021765926942558</v>
      </c>
      <c r="BE361" s="1"/>
      <c r="BF361" s="1"/>
      <c r="BG361" s="1"/>
      <c r="BH361" s="1"/>
      <c r="BI361" s="1"/>
      <c r="BJ361" s="1"/>
      <c r="BK361" s="1"/>
      <c r="BL361" s="1"/>
      <c r="BM361" s="1"/>
      <c r="BN361" s="1"/>
      <c r="BO361" s="1"/>
      <c r="BP361" s="1"/>
      <c r="BQ361" s="1"/>
      <c r="BR361" s="1"/>
      <c r="BS361" s="1"/>
      <c r="BT361" s="1"/>
      <c r="BU361" s="1"/>
      <c r="BV361" s="1"/>
      <c r="BW361" s="1"/>
      <c r="BX361" s="1"/>
      <c r="BY361" s="1"/>
      <c r="BZ361" s="1"/>
    </row>
    <row r="362" spans="2:78" ht="12" customHeight="1" outlineLevel="1" x14ac:dyDescent="0.25">
      <c r="B362" s="104" t="s">
        <v>108</v>
      </c>
      <c r="C362" s="104" t="s">
        <v>121</v>
      </c>
      <c r="D362" s="2" t="s">
        <v>143</v>
      </c>
      <c r="E362" s="2" t="s">
        <v>145</v>
      </c>
      <c r="F362" s="105" t="s">
        <v>96</v>
      </c>
      <c r="G362" s="27" t="s">
        <v>1582</v>
      </c>
      <c r="H362" s="106" t="s">
        <v>128</v>
      </c>
      <c r="I362" s="107" t="s">
        <v>1577</v>
      </c>
      <c r="J362" s="147">
        <v>5.0812675600000006</v>
      </c>
      <c r="K362" s="148">
        <v>3.5</v>
      </c>
      <c r="L362" s="149">
        <f t="shared" ca="1" si="167"/>
        <v>0.50322119329085191</v>
      </c>
      <c r="M362" s="148">
        <f t="shared" ca="1" si="168"/>
        <v>5.2612741765179818</v>
      </c>
      <c r="N362" s="148">
        <f t="shared" ca="1" si="170"/>
        <v>1.7612741765179818</v>
      </c>
      <c r="O362" s="1062" t="s">
        <v>1583</v>
      </c>
      <c r="P362" s="104"/>
      <c r="R362" s="119"/>
      <c r="S362" s="1072"/>
      <c r="T362" s="1072"/>
      <c r="U362" s="1072"/>
      <c r="V362" s="1072"/>
      <c r="W362" s="1072"/>
      <c r="X362" s="1072"/>
      <c r="Y362" s="1072"/>
      <c r="Z362" s="1072"/>
      <c r="AA362" s="1072"/>
      <c r="AB362" s="1072"/>
      <c r="AC362" s="1072"/>
      <c r="AD362" s="1072"/>
      <c r="AE362" s="1072"/>
      <c r="AF362" s="1072"/>
      <c r="AG362" s="1072"/>
      <c r="AH362" s="1072"/>
      <c r="AI362" s="1072"/>
      <c r="AJ362" s="1073"/>
      <c r="AK362" s="1052" cm="1">
        <f t="array" aca="1" ref="AK362" ca="1">INDEX(OFFSET($AK$19,MATCH($B362,$B$19:$B$150,0)-1,0,COUNTA($B$19:$B$24),COUNTA($AK$17:$BB$17)),MATCH($F362,$F$19:$F$24,0),MATCH(AK$17,$AK$17:$BB$17,0))*INDEX($10:$13,MATCH($O362,$R$10:$R$13,0),COLUMN())</f>
        <v>0.23075676000000001</v>
      </c>
      <c r="AL362" s="1050" cm="1">
        <f t="array" aca="1" ref="AL362" ca="1">INDEX(OFFSET($AK$19,MATCH($B362,$B$19:$B$150,0)-1,0,COUNTA($B$19:$B$24),COUNTA($AK$17:$BB$17)),MATCH($F362,$F$19:$F$24,0),MATCH(AL$17,$AK$17:$BB$17,0))*INDEX($10:$13,MATCH($O362,$R$10:$R$13,0),COLUMN())</f>
        <v>2.3011616831999996E-7</v>
      </c>
      <c r="AM362" s="1050" cm="1">
        <f t="array" aca="1" ref="AM362" ca="1">INDEX(OFFSET($AK$19,MATCH($B362,$B$19:$B$150,0)-1,0,COUNTA($B$19:$B$24),COUNTA($AK$17:$BB$17)),MATCH($F362,$F$19:$F$24,0),MATCH(AM$17,$AK$17:$BB$17,0))*INDEX($10:$13,MATCH($O362,$R$10:$R$13,0),COLUMN())</f>
        <v>4.2667260771000001E-4</v>
      </c>
      <c r="AN362" s="1050" cm="1">
        <f t="array" aca="1" ref="AN362" ca="1">INDEX(OFFSET($AK$19,MATCH($B362,$B$19:$B$150,0)-1,0,COUNTA($B$19:$B$24),COUNTA($AK$17:$BB$17)),MATCH($F362,$F$19:$F$24,0),MATCH(AN$17,$AK$17:$BB$17,0))*INDEX($10:$13,MATCH($O362,$R$10:$R$13,0),COLUMN())</f>
        <v>5.3507811799999999E-3</v>
      </c>
      <c r="AO362" s="1050" cm="1">
        <f t="array" aca="1" ref="AO362" ca="1">INDEX(OFFSET($AK$19,MATCH($B362,$B$19:$B$150,0)-1,0,COUNTA($B$19:$B$24),COUNTA($AK$17:$BB$17)),MATCH($F362,$F$19:$F$24,0),MATCH(AO$17,$AK$17:$BB$17,0))*INDEX($10:$13,MATCH($O362,$R$10:$R$13,0),COLUMN())</f>
        <v>0.2447305588</v>
      </c>
      <c r="AP362" s="1050" cm="1">
        <f t="array" aca="1" ref="AP362" ca="1">INDEX(OFFSET($AK$19,MATCH($B362,$B$19:$B$150,0)-1,0,COUNTA($B$19:$B$24),COUNTA($AK$17:$BB$17)),MATCH($F362,$F$19:$F$24,0),MATCH(AP$17,$AK$17:$BB$17,0))*INDEX($10:$13,MATCH($O362,$R$10:$R$13,0),COLUMN())</f>
        <v>0.20269312028</v>
      </c>
      <c r="AQ362" s="1050" cm="1">
        <f t="array" aca="1" ref="AQ362" ca="1">INDEX(OFFSET($AK$19,MATCH($B362,$B$19:$B$150,0)-1,0,COUNTA($B$19:$B$24),COUNTA($AK$17:$BB$17)),MATCH($F362,$F$19:$F$24,0),MATCH(AQ$17,$AK$17:$BB$17,0))*INDEX($10:$13,MATCH($O362,$R$10:$R$13,0),COLUMN())</f>
        <v>1.5757404222000002E-3</v>
      </c>
      <c r="AR362" s="1050" cm="1">
        <f t="array" aca="1" ref="AR362" ca="1">INDEX(OFFSET($AK$19,MATCH($B362,$B$19:$B$150,0)-1,0,COUNTA($B$19:$B$24),COUNTA($AK$17:$BB$17)),MATCH($F362,$F$19:$F$24,0),MATCH(AR$17,$AK$17:$BB$17,0))*INDEX($10:$13,MATCH($O362,$R$10:$R$13,0),COLUMN())</f>
        <v>7.2921840069999994E-2</v>
      </c>
      <c r="AS362" s="1050" cm="1">
        <f t="array" aca="1" ref="AS362" ca="1">INDEX(OFFSET($AK$19,MATCH($B362,$B$19:$B$150,0)-1,0,COUNTA($B$19:$B$24),COUNTA($AK$17:$BB$17)),MATCH($F362,$F$19:$F$24,0),MATCH(AS$17,$AK$17:$BB$17,0))*INDEX($10:$13,MATCH($O362,$R$10:$R$13,0),COLUMN())</f>
        <v>2.1974048447999998E-2</v>
      </c>
      <c r="AT362" s="1050" cm="1">
        <f t="array" aca="1" ref="AT362" ca="1">INDEX(OFFSET($AK$19,MATCH($B362,$B$19:$B$150,0)-1,0,COUNTA($B$19:$B$24),COUNTA($AK$17:$BB$17)),MATCH($F362,$F$19:$F$24,0),MATCH(AT$17,$AK$17:$BB$17,0))*INDEX($10:$13,MATCH($O362,$R$10:$R$13,0),COLUMN())</f>
        <v>3.4834859976999997E-5</v>
      </c>
      <c r="AU362" s="1050" cm="1">
        <f t="array" aca="1" ref="AU362" ca="1">INDEX(OFFSET($AK$19,MATCH($B362,$B$19:$B$150,0)-1,0,COUNTA($B$19:$B$24),COUNTA($AK$17:$BB$17)),MATCH($F362,$F$19:$F$24,0),MATCH(AU$17,$AK$17:$BB$17,0))*INDEX($10:$13,MATCH($O362,$R$10:$R$13,0),COLUMN())</f>
        <v>6.5481765007E-6</v>
      </c>
      <c r="AV362" s="1050" cm="1">
        <f t="array" aca="1" ref="AV362" ca="1">INDEX(OFFSET($AK$19,MATCH($B362,$B$19:$B$150,0)-1,0,COUNTA($B$19:$B$24),COUNTA($AK$17:$BB$17)),MATCH($F362,$F$19:$F$24,0),MATCH(AV$17,$AK$17:$BB$17,0))*INDEX($10:$13,MATCH($O362,$R$10:$R$13,0),COLUMN())</f>
        <v>4.0585382288000002E-2</v>
      </c>
      <c r="AW362" s="1050" cm="1">
        <f t="array" aca="1" ref="AW362" ca="1">INDEX(OFFSET($AK$19,MATCH($B362,$B$19:$B$150,0)-1,0,COUNTA($B$19:$B$24),COUNTA($AK$17:$BB$17)),MATCH($F362,$F$19:$F$24,0),MATCH(AW$17,$AK$17:$BB$17,0))*INDEX($10:$13,MATCH($O362,$R$10:$R$13,0),COLUMN())</f>
        <v>0.94021738850000003</v>
      </c>
      <c r="AX362" s="1050" cm="1">
        <f t="array" aca="1" ref="AX362" ca="1">INDEX(OFFSET($AK$19,MATCH($B362,$B$19:$B$150,0)-1,0,COUNTA($B$19:$B$24),COUNTA($AK$17:$BB$17)),MATCH($F362,$F$19:$F$24,0),MATCH(AX$17,$AK$17:$BB$17,0))*INDEX($10:$13,MATCH($O362,$R$10:$R$13,0),COLUMN())</f>
        <v>2.7076942555E-7</v>
      </c>
      <c r="AY362" s="1050" cm="1">
        <f t="array" aca="1" ref="AY362" ca="1">INDEX(OFFSET($AK$19,MATCH($B362,$B$19:$B$150,0)-1,0,COUNTA($B$19:$B$24),COUNTA($AK$17:$BB$17)),MATCH($F362,$F$19:$F$24,0),MATCH(AY$17,$AK$17:$BB$17,0))*INDEX($10:$13,MATCH($O362,$R$10:$R$13,0),COLUMN())</f>
        <v>0</v>
      </c>
      <c r="AZ362" s="1050" cm="1">
        <f t="array" aca="1" ref="AZ362" ca="1">INDEX(OFFSET($AK$19,MATCH($B362,$B$19:$B$150,0)-1,0,COUNTA($B$19:$B$24),COUNTA($AK$17:$BB$17)),MATCH($F362,$F$19:$F$24,0),MATCH(AZ$17,$AK$17:$BB$17,0))*INDEX($10:$13,MATCH($O362,$R$10:$R$13,0),COLUMN())</f>
        <v>0</v>
      </c>
      <c r="BA362" s="1050" cm="1">
        <f t="array" aca="1" ref="BA362" ca="1">INDEX(OFFSET($AK$19,MATCH($B362,$B$19:$B$150,0)-1,0,COUNTA($B$19:$B$24),COUNTA($AK$17:$BB$17)),MATCH($F362,$F$19:$F$24,0),MATCH(BA$17,$AK$17:$BB$17,0))*INDEX($10:$13,MATCH($O362,$R$10:$R$13,0),COLUMN())</f>
        <v>0</v>
      </c>
      <c r="BB362" s="1051" cm="1">
        <f t="array" aca="1" ref="BB362" ca="1">INDEX(OFFSET($AK$19,MATCH($B362,$B$19:$B$150,0)-1,0,COUNTA($B$19:$B$24),COUNTA($AK$17:$BB$17)),MATCH($F362,$F$19:$F$24,0),MATCH(BB$17,$AK$17:$BB$17,0))*INDEX($10:$13,MATCH($O362,$R$10:$R$13,0),COLUMN())</f>
        <v>0</v>
      </c>
      <c r="BC362" s="1053">
        <f t="shared" ca="1" si="169"/>
        <v>0.94021765926942558</v>
      </c>
      <c r="BE362" s="1"/>
      <c r="BF362" s="1"/>
      <c r="BG362" s="1"/>
      <c r="BH362" s="1"/>
      <c r="BI362" s="1"/>
      <c r="BJ362" s="1"/>
      <c r="BK362" s="1"/>
      <c r="BL362" s="1"/>
      <c r="BM362" s="1"/>
      <c r="BN362" s="1"/>
      <c r="BO362" s="1"/>
      <c r="BP362" s="1"/>
      <c r="BQ362" s="1"/>
      <c r="BR362" s="1"/>
      <c r="BS362" s="1"/>
      <c r="BT362" s="1"/>
      <c r="BU362" s="1"/>
      <c r="BV362" s="1"/>
      <c r="BW362" s="1"/>
      <c r="BX362" s="1"/>
      <c r="BY362" s="1"/>
      <c r="BZ362" s="1"/>
    </row>
    <row r="363" spans="2:78" ht="12" customHeight="1" outlineLevel="1" x14ac:dyDescent="0.25">
      <c r="B363" s="88" t="s">
        <v>109</v>
      </c>
      <c r="C363" s="88" t="s">
        <v>121</v>
      </c>
      <c r="D363" s="89" t="s">
        <v>143</v>
      </c>
      <c r="E363" s="89" t="s">
        <v>146</v>
      </c>
      <c r="F363" s="90" t="s">
        <v>92</v>
      </c>
      <c r="G363" s="18" t="s">
        <v>126</v>
      </c>
      <c r="H363" s="91" t="s">
        <v>127</v>
      </c>
      <c r="I363" s="92" t="s">
        <v>127</v>
      </c>
      <c r="J363" s="142">
        <v>6.4197011599999998</v>
      </c>
      <c r="K363" s="143">
        <v>0.35311999999999999</v>
      </c>
      <c r="L363" s="144">
        <f t="shared" ca="1" si="167"/>
        <v>2.4636361208960893</v>
      </c>
      <c r="M363" s="143">
        <f t="shared" ca="1" si="168"/>
        <v>1.2230791870108271</v>
      </c>
      <c r="N363" s="162">
        <f t="shared" ca="1" si="170"/>
        <v>0.86995918701082708</v>
      </c>
      <c r="O363" s="1060" t="s">
        <v>1583</v>
      </c>
      <c r="P363" s="88"/>
      <c r="Q363" s="89"/>
      <c r="R363" s="150"/>
      <c r="S363" s="1070"/>
      <c r="T363" s="1070"/>
      <c r="U363" s="1070"/>
      <c r="V363" s="1070"/>
      <c r="W363" s="1070"/>
      <c r="X363" s="1070"/>
      <c r="Y363" s="1070"/>
      <c r="Z363" s="1070"/>
      <c r="AA363" s="1070"/>
      <c r="AB363" s="1070"/>
      <c r="AC363" s="1070"/>
      <c r="AD363" s="1070"/>
      <c r="AE363" s="1070"/>
      <c r="AF363" s="1070"/>
      <c r="AG363" s="1070"/>
      <c r="AH363" s="1070"/>
      <c r="AI363" s="1070"/>
      <c r="AJ363" s="1071"/>
      <c r="AK363" s="1048" cm="1">
        <f t="array" aca="1" ref="AK363" ca="1">INDEX(OFFSET($AK$19,MATCH($B363,$B$19:$B$150,0)-1,0,COUNTA($B$19:$B$24),COUNTA($AK$17:$BB$17)),MATCH($F363,$F$19:$F$24,0),MATCH(AK$17,$AK$17:$BB$17,0))*INDEX($10:$13,MATCH($O363,$R$10:$R$13,0),COLUMN())</f>
        <v>0.1798163757</v>
      </c>
      <c r="AL363" s="1046" cm="1">
        <f t="array" aca="1" ref="AL363" ca="1">INDEX(OFFSET($AK$19,MATCH($B363,$B$19:$B$150,0)-1,0,COUNTA($B$19:$B$24),COUNTA($AK$17:$BB$17)),MATCH($F363,$F$19:$F$24,0),MATCH(AL$17,$AK$17:$BB$17,0))*INDEX($10:$13,MATCH($O363,$R$10:$R$13,0),COLUMN())</f>
        <v>1.5016678272E-7</v>
      </c>
      <c r="AM363" s="1046" cm="1">
        <f t="array" aca="1" ref="AM363" ca="1">INDEX(OFFSET($AK$19,MATCH($B363,$B$19:$B$150,0)-1,0,COUNTA($B$19:$B$24),COUNTA($AK$17:$BB$17)),MATCH($F363,$F$19:$F$24,0),MATCH(AM$17,$AK$17:$BB$17,0))*INDEX($10:$13,MATCH($O363,$R$10:$R$13,0),COLUMN())</f>
        <v>2.8533427196000003E-4</v>
      </c>
      <c r="AN363" s="1046" cm="1">
        <f t="array" aca="1" ref="AN363" ca="1">INDEX(OFFSET($AK$19,MATCH($B363,$B$19:$B$150,0)-1,0,COUNTA($B$19:$B$24),COUNTA($AK$17:$BB$17)),MATCH($F363,$F$19:$F$24,0),MATCH(AN$17,$AK$17:$BB$17,0))*INDEX($10:$13,MATCH($O363,$R$10:$R$13,0),COLUMN())</f>
        <v>1.266312035E-3</v>
      </c>
      <c r="AO363" s="1046" cm="1">
        <f t="array" aca="1" ref="AO363" ca="1">INDEX(OFFSET($AK$19,MATCH($B363,$B$19:$B$150,0)-1,0,COUNTA($B$19:$B$24),COUNTA($AK$17:$BB$17)),MATCH($F363,$F$19:$F$24,0),MATCH(AO$17,$AK$17:$BB$17,0))*INDEX($10:$13,MATCH($O363,$R$10:$R$13,0),COLUMN())</f>
        <v>7.9799365519999998E-2</v>
      </c>
      <c r="AP363" s="1046" cm="1">
        <f t="array" aca="1" ref="AP363" ca="1">INDEX(OFFSET($AK$19,MATCH($B363,$B$19:$B$150,0)-1,0,COUNTA($B$19:$B$24),COUNTA($AK$17:$BB$17)),MATCH($F363,$F$19:$F$24,0),MATCH(AP$17,$AK$17:$BB$17,0))*INDEX($10:$13,MATCH($O363,$R$10:$R$13,0),COLUMN())</f>
        <v>6.8665410659999995E-2</v>
      </c>
      <c r="AQ363" s="1046" cm="1">
        <f t="array" aca="1" ref="AQ363" ca="1">INDEX(OFFSET($AK$19,MATCH($B363,$B$19:$B$150,0)-1,0,COUNTA($B$19:$B$24),COUNTA($AK$17:$BB$17)),MATCH($F363,$F$19:$F$24,0),MATCH(AQ$17,$AK$17:$BB$17,0))*INDEX($10:$13,MATCH($O363,$R$10:$R$13,0),COLUMN())</f>
        <v>5.6480953440000005E-4</v>
      </c>
      <c r="AR363" s="1046" cm="1">
        <f t="array" aca="1" ref="AR363" ca="1">INDEX(OFFSET($AK$19,MATCH($B363,$B$19:$B$150,0)-1,0,COUNTA($B$19:$B$24),COUNTA($AK$17:$BB$17)),MATCH($F363,$F$19:$F$24,0),MATCH(AR$17,$AK$17:$BB$17,0))*INDEX($10:$13,MATCH($O363,$R$10:$R$13,0),COLUMN())</f>
        <v>5.222220566E-2</v>
      </c>
      <c r="AS363" s="1046" cm="1">
        <f t="array" aca="1" ref="AS363" ca="1">INDEX(OFFSET($AK$19,MATCH($B363,$B$19:$B$150,0)-1,0,COUNTA($B$19:$B$24),COUNTA($AK$17:$BB$17)),MATCH($F363,$F$19:$F$24,0),MATCH(AS$17,$AK$17:$BB$17,0))*INDEX($10:$13,MATCH($O363,$R$10:$R$13,0),COLUMN())</f>
        <v>0.27169101640999999</v>
      </c>
      <c r="AT363" s="1046" cm="1">
        <f t="array" aca="1" ref="AT363" ca="1">INDEX(OFFSET($AK$19,MATCH($B363,$B$19:$B$150,0)-1,0,COUNTA($B$19:$B$24),COUNTA($AK$17:$BB$17)),MATCH($F363,$F$19:$F$24,0),MATCH(AT$17,$AK$17:$BB$17,0))*INDEX($10:$13,MATCH($O363,$R$10:$R$13,0),COLUMN())</f>
        <v>3.0398512204999999E-4</v>
      </c>
      <c r="AU363" s="1046" cm="1">
        <f t="array" aca="1" ref="AU363" ca="1">INDEX(OFFSET($AK$19,MATCH($B363,$B$19:$B$150,0)-1,0,COUNTA($B$19:$B$24),COUNTA($AK$17:$BB$17)),MATCH($F363,$F$19:$F$24,0),MATCH(AU$17,$AK$17:$BB$17,0))*INDEX($10:$13,MATCH($O363,$R$10:$R$13,0),COLUMN())</f>
        <v>1.9641653387999999E-5</v>
      </c>
      <c r="AV363" s="1046" cm="1">
        <f t="array" aca="1" ref="AV363" ca="1">INDEX(OFFSET($AK$19,MATCH($B363,$B$19:$B$150,0)-1,0,COUNTA($B$19:$B$24),COUNTA($AK$17:$BB$17)),MATCH($F363,$F$19:$F$24,0),MATCH(AV$17,$AK$17:$BB$17,0))*INDEX($10:$13,MATCH($O363,$R$10:$R$13,0),COLUMN())</f>
        <v>1.1395906390999999E-2</v>
      </c>
      <c r="AW363" s="1046" cm="1">
        <f t="array" aca="1" ref="AW363" ca="1">INDEX(OFFSET($AK$19,MATCH($B363,$B$19:$B$150,0)-1,0,COUNTA($B$19:$B$24),COUNTA($AK$17:$BB$17)),MATCH($F363,$F$19:$F$24,0),MATCH(AW$17,$AK$17:$BB$17,0))*INDEX($10:$13,MATCH($O363,$R$10:$R$13,0),COLUMN())</f>
        <v>0.20392812569999999</v>
      </c>
      <c r="AX363" s="1046" cm="1">
        <f t="array" aca="1" ref="AX363" ca="1">INDEX(OFFSET($AK$19,MATCH($B363,$B$19:$B$150,0)-1,0,COUNTA($B$19:$B$24),COUNTA($AK$17:$BB$17)),MATCH($F363,$F$19:$F$24,0),MATCH(AX$17,$AK$17:$BB$17,0))*INDEX($10:$13,MATCH($O363,$R$10:$R$13,0),COLUMN())</f>
        <v>5.4818624640000006E-7</v>
      </c>
      <c r="AY363" s="1046" cm="1">
        <f t="array" aca="1" ref="AY363" ca="1">INDEX(OFFSET($AK$19,MATCH($B363,$B$19:$B$150,0)-1,0,COUNTA($B$19:$B$24),COUNTA($AK$17:$BB$17)),MATCH($F363,$F$19:$F$24,0),MATCH(AY$17,$AK$17:$BB$17,0))*INDEX($10:$13,MATCH($O363,$R$10:$R$13,0),COLUMN())</f>
        <v>0</v>
      </c>
      <c r="AZ363" s="1046" cm="1">
        <f t="array" aca="1" ref="AZ363" ca="1">INDEX(OFFSET($AK$19,MATCH($B363,$B$19:$B$150,0)-1,0,COUNTA($B$19:$B$24),COUNTA($AK$17:$BB$17)),MATCH($F363,$F$19:$F$24,0),MATCH(AZ$17,$AK$17:$BB$17,0))*INDEX($10:$13,MATCH($O363,$R$10:$R$13,0),COLUMN())</f>
        <v>0</v>
      </c>
      <c r="BA363" s="1046" cm="1">
        <f t="array" aca="1" ref="BA363" ca="1">INDEX(OFFSET($AK$19,MATCH($B363,$B$19:$B$150,0)-1,0,COUNTA($B$19:$B$24),COUNTA($AK$17:$BB$17)),MATCH($F363,$F$19:$F$24,0),MATCH(BA$17,$AK$17:$BB$17,0))*INDEX($10:$13,MATCH($O363,$R$10:$R$13,0),COLUMN())</f>
        <v>0</v>
      </c>
      <c r="BB363" s="1047" cm="1">
        <f t="array" aca="1" ref="BB363" ca="1">INDEX(OFFSET($AK$19,MATCH($B363,$B$19:$B$150,0)-1,0,COUNTA($B$19:$B$24),COUNTA($AK$17:$BB$17)),MATCH($F363,$F$19:$F$24,0),MATCH(BB$17,$AK$17:$BB$17,0))*INDEX($10:$13,MATCH($O363,$R$10:$R$13,0),COLUMN())</f>
        <v>0</v>
      </c>
      <c r="BC363" s="1049">
        <f t="shared" ca="1" si="169"/>
        <v>0.20392867388624639</v>
      </c>
      <c r="BE363" s="1"/>
      <c r="BF363" s="1"/>
      <c r="BG363" s="1"/>
      <c r="BH363" s="1"/>
      <c r="BI363" s="1"/>
      <c r="BJ363" s="1"/>
      <c r="BK363" s="1"/>
      <c r="BL363" s="1"/>
      <c r="BM363" s="1"/>
      <c r="BN363" s="1"/>
      <c r="BO363" s="1"/>
      <c r="BP363" s="1"/>
      <c r="BQ363" s="1"/>
      <c r="BR363" s="1"/>
      <c r="BS363" s="1"/>
      <c r="BT363" s="1"/>
      <c r="BU363" s="1"/>
      <c r="BV363" s="1"/>
      <c r="BW363" s="1"/>
      <c r="BX363" s="1"/>
      <c r="BY363" s="1"/>
      <c r="BZ363" s="1"/>
    </row>
    <row r="364" spans="2:78" ht="12" customHeight="1" outlineLevel="1" x14ac:dyDescent="0.25">
      <c r="B364" s="104" t="s">
        <v>109</v>
      </c>
      <c r="C364" s="104" t="s">
        <v>121</v>
      </c>
      <c r="D364" s="2" t="s">
        <v>143</v>
      </c>
      <c r="E364" s="2" t="s">
        <v>146</v>
      </c>
      <c r="F364" s="105" t="s">
        <v>122</v>
      </c>
      <c r="G364" s="27" t="s">
        <v>1579</v>
      </c>
      <c r="H364" s="106" t="s">
        <v>128</v>
      </c>
      <c r="I364" s="107" t="s">
        <v>129</v>
      </c>
      <c r="J364" s="147">
        <v>6.4197011599999998</v>
      </c>
      <c r="K364" s="148">
        <v>0.91249000000000002</v>
      </c>
      <c r="L364" s="149">
        <f t="shared" ca="1" si="167"/>
        <v>0.47448742810384492</v>
      </c>
      <c r="M364" s="148">
        <f t="shared" ca="1" si="168"/>
        <v>1.3454550332704776</v>
      </c>
      <c r="N364" s="163">
        <f t="shared" ca="1" si="170"/>
        <v>0.43296503327047747</v>
      </c>
      <c r="O364" s="1061" t="s">
        <v>1583</v>
      </c>
      <c r="P364" s="104"/>
      <c r="R364" s="119"/>
      <c r="S364" s="1072"/>
      <c r="T364" s="1072"/>
      <c r="U364" s="1072"/>
      <c r="V364" s="1072"/>
      <c r="W364" s="1072"/>
      <c r="X364" s="1072"/>
      <c r="Y364" s="1072"/>
      <c r="Z364" s="1072"/>
      <c r="AA364" s="1072"/>
      <c r="AB364" s="1072"/>
      <c r="AC364" s="1072"/>
      <c r="AD364" s="1072"/>
      <c r="AE364" s="1072"/>
      <c r="AF364" s="1072"/>
      <c r="AG364" s="1072"/>
      <c r="AH364" s="1072"/>
      <c r="AI364" s="1072"/>
      <c r="AJ364" s="1073"/>
      <c r="AK364" s="1052" cm="1">
        <f t="array" aca="1" ref="AK364" ca="1">INDEX(OFFSET($AK$19,MATCH($B364,$B$19:$B$150,0)-1,0,COUNTA($B$19:$B$24),COUNTA($AK$17:$BB$17)),MATCH($F364,$F$19:$F$24,0),MATCH(AK$17,$AK$17:$BB$17,0))*INDEX($10:$13,MATCH($O364,$R$10:$R$13,0),COLUMN())</f>
        <v>7.8290700150000003E-2</v>
      </c>
      <c r="AL364" s="1050" cm="1">
        <f t="array" aca="1" ref="AL364" ca="1">INDEX(OFFSET($AK$19,MATCH($B364,$B$19:$B$150,0)-1,0,COUNTA($B$19:$B$24),COUNTA($AK$17:$BB$17)),MATCH($F364,$F$19:$F$24,0),MATCH(AL$17,$AK$17:$BB$17,0))*INDEX($10:$13,MATCH($O364,$R$10:$R$13,0),COLUMN())</f>
        <v>7.2329005440000003E-8</v>
      </c>
      <c r="AM364" s="1050" cm="1">
        <f t="array" aca="1" ref="AM364" ca="1">INDEX(OFFSET($AK$19,MATCH($B364,$B$19:$B$150,0)-1,0,COUNTA($B$19:$B$24),COUNTA($AK$17:$BB$17)),MATCH($F364,$F$19:$F$24,0),MATCH(AM$17,$AK$17:$BB$17,0))*INDEX($10:$13,MATCH($O364,$R$10:$R$13,0),COLUMN())</f>
        <v>1.3412797765999999E-4</v>
      </c>
      <c r="AN364" s="1050" cm="1">
        <f t="array" aca="1" ref="AN364" ca="1">INDEX(OFFSET($AK$19,MATCH($B364,$B$19:$B$150,0)-1,0,COUNTA($B$19:$B$24),COUNTA($AK$17:$BB$17)),MATCH($F364,$F$19:$F$24,0),MATCH(AN$17,$AK$17:$BB$17,0))*INDEX($10:$13,MATCH($O364,$R$10:$R$13,0),COLUMN())</f>
        <v>1.5314382099999998E-3</v>
      </c>
      <c r="AO364" s="1050" cm="1">
        <f t="array" aca="1" ref="AO364" ca="1">INDEX(OFFSET($AK$19,MATCH($B364,$B$19:$B$150,0)-1,0,COUNTA($B$19:$B$24),COUNTA($AK$17:$BB$17)),MATCH($F364,$F$19:$F$24,0),MATCH(AO$17,$AK$17:$BB$17,0))*INDEX($10:$13,MATCH($O364,$R$10:$R$13,0),COLUMN())</f>
        <v>2.3184664776000001E-2</v>
      </c>
      <c r="AP364" s="1050" cm="1">
        <f t="array" aca="1" ref="AP364" ca="1">INDEX(OFFSET($AK$19,MATCH($B364,$B$19:$B$150,0)-1,0,COUNTA($B$19:$B$24),COUNTA($AK$17:$BB$17)),MATCH($F364,$F$19:$F$24,0),MATCH(AP$17,$AK$17:$BB$17,0))*INDEX($10:$13,MATCH($O364,$R$10:$R$13,0),COLUMN())</f>
        <v>1.2344712134999998E-2</v>
      </c>
      <c r="AQ364" s="1050" cm="1">
        <f t="array" aca="1" ref="AQ364" ca="1">INDEX(OFFSET($AK$19,MATCH($B364,$B$19:$B$150,0)-1,0,COUNTA($B$19:$B$24),COUNTA($AK$17:$BB$17)),MATCH($F364,$F$19:$F$24,0),MATCH(AQ$17,$AK$17:$BB$17,0))*INDEX($10:$13,MATCH($O364,$R$10:$R$13,0),COLUMN())</f>
        <v>8.1265684080000005E-5</v>
      </c>
      <c r="AR364" s="1050" cm="1">
        <f t="array" aca="1" ref="AR364" ca="1">INDEX(OFFSET($AK$19,MATCH($B364,$B$19:$B$150,0)-1,0,COUNTA($B$19:$B$24),COUNTA($AK$17:$BB$17)),MATCH($F364,$F$19:$F$24,0),MATCH(AR$17,$AK$17:$BB$17,0))*INDEX($10:$13,MATCH($O364,$R$10:$R$13,0),COLUMN())</f>
        <v>2.2395347914999999E-2</v>
      </c>
      <c r="AS364" s="1050" cm="1">
        <f t="array" aca="1" ref="AS364" ca="1">INDEX(OFFSET($AK$19,MATCH($B364,$B$19:$B$150,0)-1,0,COUNTA($B$19:$B$24),COUNTA($AK$17:$BB$17)),MATCH($F364,$F$19:$F$24,0),MATCH(AS$17,$AK$17:$BB$17,0))*INDEX($10:$13,MATCH($O364,$R$10:$R$13,0),COLUMN())</f>
        <v>1.3119710119999998E-4</v>
      </c>
      <c r="AT364" s="1050" cm="1">
        <f t="array" aca="1" ref="AT364" ca="1">INDEX(OFFSET($AK$19,MATCH($B364,$B$19:$B$150,0)-1,0,COUNTA($B$19:$B$24),COUNTA($AK$17:$BB$17)),MATCH($F364,$F$19:$F$24,0),MATCH(AT$17,$AK$17:$BB$17,0))*INDEX($10:$13,MATCH($O364,$R$10:$R$13,0),COLUMN())</f>
        <v>6.873803166E-6</v>
      </c>
      <c r="AU364" s="1050" cm="1">
        <f t="array" aca="1" ref="AU364" ca="1">INDEX(OFFSET($AK$19,MATCH($B364,$B$19:$B$150,0)-1,0,COUNTA($B$19:$B$24),COUNTA($AK$17:$BB$17)),MATCH($F364,$F$19:$F$24,0),MATCH(AU$17,$AK$17:$BB$17,0))*INDEX($10:$13,MATCH($O364,$R$10:$R$13,0),COLUMN())</f>
        <v>1.4563483346E-6</v>
      </c>
      <c r="AV364" s="1050" cm="1">
        <f t="array" aca="1" ref="AV364" ca="1">INDEX(OFFSET($AK$19,MATCH($B364,$B$19:$B$150,0)-1,0,COUNTA($B$19:$B$24),COUNTA($AK$17:$BB$17)),MATCH($F364,$F$19:$F$24,0),MATCH(AV$17,$AK$17:$BB$17,0))*INDEX($10:$13,MATCH($O364,$R$10:$R$13,0),COLUMN())</f>
        <v>8.6932950922999992E-4</v>
      </c>
      <c r="AW364" s="1050" cm="1">
        <f t="array" aca="1" ref="AW364" ca="1">INDEX(OFFSET($AK$19,MATCH($B364,$B$19:$B$150,0)-1,0,COUNTA($B$19:$B$24),COUNTA($AK$17:$BB$17)),MATCH($F364,$F$19:$F$24,0),MATCH(AW$17,$AK$17:$BB$17,0))*INDEX($10:$13,MATCH($O364,$R$10:$R$13,0),COLUMN())</f>
        <v>0.29399376045000003</v>
      </c>
      <c r="AX364" s="1050" cm="1">
        <f t="array" aca="1" ref="AX364" ca="1">INDEX(OFFSET($AK$19,MATCH($B364,$B$19:$B$150,0)-1,0,COUNTA($B$19:$B$24),COUNTA($AK$17:$BB$17)),MATCH($F364,$F$19:$F$24,0),MATCH(AX$17,$AK$17:$BB$17,0))*INDEX($10:$13,MATCH($O364,$R$10:$R$13,0),COLUMN())</f>
        <v>8.6881801500000005E-8</v>
      </c>
      <c r="AY364" s="1050" cm="1">
        <f t="array" aca="1" ref="AY364" ca="1">INDEX(OFFSET($AK$19,MATCH($B364,$B$19:$B$150,0)-1,0,COUNTA($B$19:$B$24),COUNTA($AK$17:$BB$17)),MATCH($F364,$F$19:$F$24,0),MATCH(AY$17,$AK$17:$BB$17,0))*INDEX($10:$13,MATCH($O364,$R$10:$R$13,0),COLUMN())</f>
        <v>0</v>
      </c>
      <c r="AZ364" s="1050" cm="1">
        <f t="array" aca="1" ref="AZ364" ca="1">INDEX(OFFSET($AK$19,MATCH($B364,$B$19:$B$150,0)-1,0,COUNTA($B$19:$B$24),COUNTA($AK$17:$BB$17)),MATCH($F364,$F$19:$F$24,0),MATCH(AZ$17,$AK$17:$BB$17,0))*INDEX($10:$13,MATCH($O364,$R$10:$R$13,0),COLUMN())</f>
        <v>0</v>
      </c>
      <c r="BA364" s="1050" cm="1">
        <f t="array" aca="1" ref="BA364" ca="1">INDEX(OFFSET($AK$19,MATCH($B364,$B$19:$B$150,0)-1,0,COUNTA($B$19:$B$24),COUNTA($AK$17:$BB$17)),MATCH($F364,$F$19:$F$24,0),MATCH(BA$17,$AK$17:$BB$17,0))*INDEX($10:$13,MATCH($O364,$R$10:$R$13,0),COLUMN())</f>
        <v>0</v>
      </c>
      <c r="BB364" s="1051" cm="1">
        <f t="array" aca="1" ref="BB364" ca="1">INDEX(OFFSET($AK$19,MATCH($B364,$B$19:$B$150,0)-1,0,COUNTA($B$19:$B$24),COUNTA($AK$17:$BB$17)),MATCH($F364,$F$19:$F$24,0),MATCH(BB$17,$AK$17:$BB$17,0))*INDEX($10:$13,MATCH($O364,$R$10:$R$13,0),COLUMN())</f>
        <v>0</v>
      </c>
      <c r="BC364" s="1053">
        <f t="shared" ca="1" si="169"/>
        <v>0.29399384733180151</v>
      </c>
      <c r="BE364" s="1"/>
      <c r="BF364" s="1"/>
      <c r="BG364" s="1"/>
      <c r="BH364" s="1"/>
      <c r="BI364" s="1"/>
      <c r="BJ364" s="1"/>
      <c r="BK364" s="1"/>
      <c r="BL364" s="1"/>
      <c r="BM364" s="1"/>
      <c r="BN364" s="1"/>
      <c r="BO364" s="1"/>
      <c r="BP364" s="1"/>
      <c r="BQ364" s="1"/>
      <c r="BR364" s="1"/>
      <c r="BS364" s="1"/>
      <c r="BT364" s="1"/>
      <c r="BU364" s="1"/>
      <c r="BV364" s="1"/>
      <c r="BW364" s="1"/>
      <c r="BX364" s="1"/>
      <c r="BY364" s="1"/>
      <c r="BZ364" s="1"/>
    </row>
    <row r="365" spans="2:78" ht="12" customHeight="1" outlineLevel="1" x14ac:dyDescent="0.25">
      <c r="B365" s="104" t="s">
        <v>109</v>
      </c>
      <c r="C365" s="104" t="s">
        <v>121</v>
      </c>
      <c r="D365" s="2" t="s">
        <v>143</v>
      </c>
      <c r="E365" s="2" t="s">
        <v>146</v>
      </c>
      <c r="F365" s="105" t="s">
        <v>93</v>
      </c>
      <c r="G365" s="27" t="s">
        <v>1578</v>
      </c>
      <c r="H365" s="106" t="s">
        <v>130</v>
      </c>
      <c r="I365" s="107" t="s">
        <v>129</v>
      </c>
      <c r="J365" s="147">
        <v>6.4197011599999998</v>
      </c>
      <c r="K365" s="148">
        <v>0.91249000000000002</v>
      </c>
      <c r="L365" s="149">
        <f t="shared" ca="1" si="167"/>
        <v>0.58862504885353473</v>
      </c>
      <c r="M365" s="148">
        <f t="shared" ca="1" si="168"/>
        <v>1.449604470828362</v>
      </c>
      <c r="N365" s="163">
        <f t="shared" ca="1" si="170"/>
        <v>0.53711447082836195</v>
      </c>
      <c r="O365" s="1061" t="s">
        <v>1583</v>
      </c>
      <c r="P365" s="104"/>
      <c r="R365" s="119"/>
      <c r="S365" s="1072"/>
      <c r="T365" s="1072"/>
      <c r="U365" s="1072"/>
      <c r="V365" s="1072"/>
      <c r="W365" s="1072"/>
      <c r="X365" s="1072"/>
      <c r="Y365" s="1072"/>
      <c r="Z365" s="1072"/>
      <c r="AA365" s="1072"/>
      <c r="AB365" s="1072"/>
      <c r="AC365" s="1072"/>
      <c r="AD365" s="1072"/>
      <c r="AE365" s="1072"/>
      <c r="AF365" s="1072"/>
      <c r="AG365" s="1072"/>
      <c r="AH365" s="1072"/>
      <c r="AI365" s="1072"/>
      <c r="AJ365" s="1073"/>
      <c r="AK365" s="1052" cm="1">
        <f t="array" aca="1" ref="AK365" ca="1">INDEX(OFFSET($AK$19,MATCH($B365,$B$19:$B$150,0)-1,0,COUNTA($B$19:$B$24),COUNTA($AK$17:$BB$17)),MATCH($F365,$F$19:$F$24,0),MATCH(AK$17,$AK$17:$BB$17,0))*INDEX($10:$13,MATCH($O365,$R$10:$R$13,0),COLUMN())</f>
        <v>9.7064293950000005E-2</v>
      </c>
      <c r="AL365" s="1050" cm="1">
        <f t="array" aca="1" ref="AL365" ca="1">INDEX(OFFSET($AK$19,MATCH($B365,$B$19:$B$150,0)-1,0,COUNTA($B$19:$B$24),COUNTA($AK$17:$BB$17)),MATCH($F365,$F$19:$F$24,0),MATCH(AL$17,$AK$17:$BB$17,0))*INDEX($10:$13,MATCH($O365,$R$10:$R$13,0),COLUMN())</f>
        <v>8.9673026239999996E-8</v>
      </c>
      <c r="AM365" s="1050" cm="1">
        <f t="array" aca="1" ref="AM365" ca="1">INDEX(OFFSET($AK$19,MATCH($B365,$B$19:$B$150,0)-1,0,COUNTA($B$19:$B$24),COUNTA($AK$17:$BB$17)),MATCH($F365,$F$19:$F$24,0),MATCH(AM$17,$AK$17:$BB$17,0))*INDEX($10:$13,MATCH($O365,$R$10:$R$13,0),COLUMN())</f>
        <v>1.6629098417000001E-4</v>
      </c>
      <c r="AN365" s="1050" cm="1">
        <f t="array" aca="1" ref="AN365" ca="1">INDEX(OFFSET($AK$19,MATCH($B365,$B$19:$B$150,0)-1,0,COUNTA($B$19:$B$24),COUNTA($AK$17:$BB$17)),MATCH($F365,$F$19:$F$24,0),MATCH(AN$17,$AK$17:$BB$17,0))*INDEX($10:$13,MATCH($O365,$R$10:$R$13,0),COLUMN())</f>
        <v>1.8986669049999999E-3</v>
      </c>
      <c r="AO365" s="1050" cm="1">
        <f t="array" aca="1" ref="AO365" ca="1">INDEX(OFFSET($AK$19,MATCH($B365,$B$19:$B$150,0)-1,0,COUNTA($B$19:$B$24),COUNTA($AK$17:$BB$17)),MATCH($F365,$F$19:$F$24,0),MATCH(AO$17,$AK$17:$BB$17,0))*INDEX($10:$13,MATCH($O365,$R$10:$R$13,0),COLUMN())</f>
        <v>2.8744194976000004E-2</v>
      </c>
      <c r="AP365" s="1050" cm="1">
        <f t="array" aca="1" ref="AP365" ca="1">INDEX(OFFSET($AK$19,MATCH($B365,$B$19:$B$150,0)-1,0,COUNTA($B$19:$B$24),COUNTA($AK$17:$BB$17)),MATCH($F365,$F$19:$F$24,0),MATCH(AP$17,$AK$17:$BB$17,0))*INDEX($10:$13,MATCH($O365,$R$10:$R$13,0),COLUMN())</f>
        <v>1.5304893337999999E-2</v>
      </c>
      <c r="AQ365" s="1050" cm="1">
        <f t="array" aca="1" ref="AQ365" ca="1">INDEX(OFFSET($AK$19,MATCH($B365,$B$19:$B$150,0)-1,0,COUNTA($B$19:$B$24),COUNTA($AK$17:$BB$17)),MATCH($F365,$F$19:$F$24,0),MATCH(AQ$17,$AK$17:$BB$17,0))*INDEX($10:$13,MATCH($O365,$R$10:$R$13,0),COLUMN())</f>
        <v>1.0075266042000001E-4</v>
      </c>
      <c r="AR365" s="1050" cm="1">
        <f t="array" aca="1" ref="AR365" ca="1">INDEX(OFFSET($AK$19,MATCH($B365,$B$19:$B$150,0)-1,0,COUNTA($B$19:$B$24),COUNTA($AK$17:$BB$17)),MATCH($F365,$F$19:$F$24,0),MATCH(AR$17,$AK$17:$BB$17,0))*INDEX($10:$13,MATCH($O365,$R$10:$R$13,0),COLUMN())</f>
        <v>2.7765605103E-2</v>
      </c>
      <c r="AS365" s="1050" cm="1">
        <f t="array" aca="1" ref="AS365" ca="1">INDEX(OFFSET($AK$19,MATCH($B365,$B$19:$B$150,0)-1,0,COUNTA($B$19:$B$24),COUNTA($AK$17:$BB$17)),MATCH($F365,$F$19:$F$24,0),MATCH(AS$17,$AK$17:$BB$17,0))*INDEX($10:$13,MATCH($O365,$R$10:$R$13,0),COLUMN())</f>
        <v>2.5926257840999998E-4</v>
      </c>
      <c r="AT365" s="1050" cm="1">
        <f t="array" aca="1" ref="AT365" ca="1">INDEX(OFFSET($AK$19,MATCH($B365,$B$19:$B$150,0)-1,0,COUNTA($B$19:$B$24),COUNTA($AK$17:$BB$17)),MATCH($F365,$F$19:$F$24,0),MATCH(AT$17,$AK$17:$BB$17,0))*INDEX($10:$13,MATCH($O365,$R$10:$R$13,0),COLUMN())</f>
        <v>8.5528253570000001E-6</v>
      </c>
      <c r="AU365" s="1050" cm="1">
        <f t="array" aca="1" ref="AU365" ca="1">INDEX(OFFSET($AK$19,MATCH($B365,$B$19:$B$150,0)-1,0,COUNTA($B$19:$B$24),COUNTA($AK$17:$BB$17)),MATCH($F365,$F$19:$F$24,0),MATCH(AU$17,$AK$17:$BB$17,0))*INDEX($10:$13,MATCH($O365,$R$10:$R$13,0),COLUMN())</f>
        <v>1.8088788993E-6</v>
      </c>
      <c r="AV365" s="1050" cm="1">
        <f t="array" aca="1" ref="AV365" ca="1">INDEX(OFFSET($AK$19,MATCH($B365,$B$19:$B$150,0)-1,0,COUNTA($B$19:$B$24),COUNTA($AK$17:$BB$17)),MATCH($F365,$F$19:$F$24,0),MATCH(AV$17,$AK$17:$BB$17,0))*INDEX($10:$13,MATCH($O365,$R$10:$R$13,0),COLUMN())</f>
        <v>1.3084238405999999E-3</v>
      </c>
      <c r="AW365" s="1050" cm="1">
        <f t="array" aca="1" ref="AW365" ca="1">INDEX(OFFSET($AK$19,MATCH($B365,$B$19:$B$150,0)-1,0,COUNTA($B$19:$B$24),COUNTA($AK$17:$BB$17)),MATCH($F365,$F$19:$F$24,0),MATCH(AW$17,$AK$17:$BB$17,0))*INDEX($10:$13,MATCH($O365,$R$10:$R$13,0),COLUMN())</f>
        <v>0.36449152740000007</v>
      </c>
      <c r="AX365" s="1050" cm="1">
        <f t="array" aca="1" ref="AX365" ca="1">INDEX(OFFSET($AK$19,MATCH($B365,$B$19:$B$150,0)-1,0,COUNTA($B$19:$B$24),COUNTA($AK$17:$BB$17)),MATCH($F365,$F$19:$F$24,0),MATCH(AX$17,$AK$17:$BB$17,0))*INDEX($10:$13,MATCH($O365,$R$10:$R$13,0),COLUMN())</f>
        <v>1.0771547930000001E-7</v>
      </c>
      <c r="AY365" s="1050" cm="1">
        <f t="array" aca="1" ref="AY365" ca="1">INDEX(OFFSET($AK$19,MATCH($B365,$B$19:$B$150,0)-1,0,COUNTA($B$19:$B$24),COUNTA($AK$17:$BB$17)),MATCH($F365,$F$19:$F$24,0),MATCH(AY$17,$AK$17:$BB$17,0))*INDEX($10:$13,MATCH($O365,$R$10:$R$13,0),COLUMN())</f>
        <v>0</v>
      </c>
      <c r="AZ365" s="1050" cm="1">
        <f t="array" aca="1" ref="AZ365" ca="1">INDEX(OFFSET($AK$19,MATCH($B365,$B$19:$B$150,0)-1,0,COUNTA($B$19:$B$24),COUNTA($AK$17:$BB$17)),MATCH($F365,$F$19:$F$24,0),MATCH(AZ$17,$AK$17:$BB$17,0))*INDEX($10:$13,MATCH($O365,$R$10:$R$13,0),COLUMN())</f>
        <v>0</v>
      </c>
      <c r="BA365" s="1050" cm="1">
        <f t="array" aca="1" ref="BA365" ca="1">INDEX(OFFSET($AK$19,MATCH($B365,$B$19:$B$150,0)-1,0,COUNTA($B$19:$B$24),COUNTA($AK$17:$BB$17)),MATCH($F365,$F$19:$F$24,0),MATCH(BA$17,$AK$17:$BB$17,0))*INDEX($10:$13,MATCH($O365,$R$10:$R$13,0),COLUMN())</f>
        <v>0</v>
      </c>
      <c r="BB365" s="1051" cm="1">
        <f t="array" aca="1" ref="BB365" ca="1">INDEX(OFFSET($AK$19,MATCH($B365,$B$19:$B$150,0)-1,0,COUNTA($B$19:$B$24),COUNTA($AK$17:$BB$17)),MATCH($F365,$F$19:$F$24,0),MATCH(BB$17,$AK$17:$BB$17,0))*INDEX($10:$13,MATCH($O365,$R$10:$R$13,0),COLUMN())</f>
        <v>0</v>
      </c>
      <c r="BC365" s="1053">
        <f t="shared" ca="1" si="169"/>
        <v>0.36449163511547938</v>
      </c>
      <c r="BE365" s="1"/>
      <c r="BF365" s="1"/>
      <c r="BG365" s="1"/>
      <c r="BH365" s="1"/>
      <c r="BI365" s="1"/>
      <c r="BJ365" s="1"/>
      <c r="BK365" s="1"/>
      <c r="BL365" s="1"/>
      <c r="BM365" s="1"/>
      <c r="BN365" s="1"/>
      <c r="BO365" s="1"/>
      <c r="BP365" s="1"/>
      <c r="BQ365" s="1"/>
      <c r="BR365" s="1"/>
      <c r="BS365" s="1"/>
      <c r="BT365" s="1"/>
      <c r="BU365" s="1"/>
      <c r="BV365" s="1"/>
      <c r="BW365" s="1"/>
      <c r="BX365" s="1"/>
      <c r="BY365" s="1"/>
      <c r="BZ365" s="1"/>
    </row>
    <row r="366" spans="2:78" ht="12" customHeight="1" outlineLevel="1" x14ac:dyDescent="0.25">
      <c r="B366" s="104" t="s">
        <v>109</v>
      </c>
      <c r="C366" s="104" t="s">
        <v>121</v>
      </c>
      <c r="D366" s="2" t="s">
        <v>143</v>
      </c>
      <c r="E366" s="2" t="s">
        <v>146</v>
      </c>
      <c r="F366" s="105" t="s">
        <v>94</v>
      </c>
      <c r="G366" s="27" t="s">
        <v>1580</v>
      </c>
      <c r="H366" s="106" t="s">
        <v>131</v>
      </c>
      <c r="I366" s="107" t="s">
        <v>129</v>
      </c>
      <c r="J366" s="147">
        <v>6.4197011599999998</v>
      </c>
      <c r="K366" s="148">
        <v>0.91249000000000002</v>
      </c>
      <c r="L366" s="149">
        <f t="shared" ca="1" si="167"/>
        <v>0.39734196033452501</v>
      </c>
      <c r="M366" s="148">
        <f t="shared" ca="1" si="168"/>
        <v>1.2750605653856508</v>
      </c>
      <c r="N366" s="148">
        <f t="shared" ca="1" si="170"/>
        <v>0.36257056538565074</v>
      </c>
      <c r="O366" s="1062" t="s">
        <v>1583</v>
      </c>
      <c r="P366" s="104"/>
      <c r="R366" s="119"/>
      <c r="S366" s="1072"/>
      <c r="T366" s="1072"/>
      <c r="U366" s="1072"/>
      <c r="V366" s="1072"/>
      <c r="W366" s="1072"/>
      <c r="X366" s="1072"/>
      <c r="Y366" s="1072"/>
      <c r="Z366" s="1072"/>
      <c r="AA366" s="1072"/>
      <c r="AB366" s="1072"/>
      <c r="AC366" s="1072"/>
      <c r="AD366" s="1072"/>
      <c r="AE366" s="1072"/>
      <c r="AF366" s="1072"/>
      <c r="AG366" s="1072"/>
      <c r="AH366" s="1072"/>
      <c r="AI366" s="1072"/>
      <c r="AJ366" s="1073"/>
      <c r="AK366" s="1052" cm="1">
        <f t="array" aca="1" ref="AK366" ca="1">INDEX(OFFSET($AK$19,MATCH($B366,$B$19:$B$150,0)-1,0,COUNTA($B$19:$B$24),COUNTA($AK$17:$BB$17)),MATCH($F366,$F$19:$F$24,0),MATCH(AK$17,$AK$17:$BB$17,0))*INDEX($10:$13,MATCH($O366,$R$10:$R$13,0),COLUMN())</f>
        <v>6.5601648450000008E-2</v>
      </c>
      <c r="AL366" s="1050" cm="1">
        <f t="array" aca="1" ref="AL366" ca="1">INDEX(OFFSET($AK$19,MATCH($B366,$B$19:$B$150,0)-1,0,COUNTA($B$19:$B$24),COUNTA($AK$17:$BB$17)),MATCH($F366,$F$19:$F$24,0),MATCH(AL$17,$AK$17:$BB$17,0))*INDEX($10:$13,MATCH($O366,$R$10:$R$13,0),COLUMN())</f>
        <v>6.0606203039999995E-8</v>
      </c>
      <c r="AM366" s="1050" cm="1">
        <f t="array" aca="1" ref="AM366" ca="1">INDEX(OFFSET($AK$19,MATCH($B366,$B$19:$B$150,0)-1,0,COUNTA($B$19:$B$24),COUNTA($AK$17:$BB$17)),MATCH($F366,$F$19:$F$24,0),MATCH(AM$17,$AK$17:$BB$17,0))*INDEX($10:$13,MATCH($O366,$R$10:$R$13,0),COLUMN())</f>
        <v>1.1238903861E-4</v>
      </c>
      <c r="AN366" s="1050" cm="1">
        <f t="array" aca="1" ref="AN366" ca="1">INDEX(OFFSET($AK$19,MATCH($B366,$B$19:$B$150,0)-1,0,COUNTA($B$19:$B$24),COUNTA($AK$17:$BB$17)),MATCH($F366,$F$19:$F$24,0),MATCH(AN$17,$AK$17:$BB$17,0))*INDEX($10:$13,MATCH($O366,$R$10:$R$13,0),COLUMN())</f>
        <v>1.2832286499999998E-3</v>
      </c>
      <c r="AO366" s="1050" cm="1">
        <f t="array" aca="1" ref="AO366" ca="1">INDEX(OFFSET($AK$19,MATCH($B366,$B$19:$B$150,0)-1,0,COUNTA($B$19:$B$24),COUNTA($AK$17:$BB$17)),MATCH($F366,$F$19:$F$24,0),MATCH(AO$17,$AK$17:$BB$17,0))*INDEX($10:$13,MATCH($O366,$R$10:$R$13,0),COLUMN())</f>
        <v>1.9426984920000001E-2</v>
      </c>
      <c r="AP366" s="1050" cm="1">
        <f t="array" aca="1" ref="AP366" ca="1">INDEX(OFFSET($AK$19,MATCH($B366,$B$19:$B$150,0)-1,0,COUNTA($B$19:$B$24),COUNTA($AK$17:$BB$17)),MATCH($F366,$F$19:$F$24,0),MATCH(AP$17,$AK$17:$BB$17,0))*INDEX($10:$13,MATCH($O366,$R$10:$R$13,0),COLUMN())</f>
        <v>1.0343929792E-2</v>
      </c>
      <c r="AQ366" s="1050" cm="1">
        <f t="array" aca="1" ref="AQ366" ca="1">INDEX(OFFSET($AK$19,MATCH($B366,$B$19:$B$150,0)-1,0,COUNTA($B$19:$B$24),COUNTA($AK$17:$BB$17)),MATCH($F366,$F$19:$F$24,0),MATCH(AQ$17,$AK$17:$BB$17,0))*INDEX($10:$13,MATCH($O366,$R$10:$R$13,0),COLUMN())</f>
        <v>6.8094458640000004E-5</v>
      </c>
      <c r="AR366" s="1050" cm="1">
        <f t="array" aca="1" ref="AR366" ca="1">INDEX(OFFSET($AK$19,MATCH($B366,$B$19:$B$150,0)-1,0,COUNTA($B$19:$B$24),COUNTA($AK$17:$BB$17)),MATCH($F366,$F$19:$F$24,0),MATCH(AR$17,$AK$17:$BB$17,0))*INDEX($10:$13,MATCH($O366,$R$10:$R$13,0),COLUMN())</f>
        <v>1.8765597562000001E-2</v>
      </c>
      <c r="AS366" s="1050" cm="1">
        <f t="array" aca="1" ref="AS366" ca="1">INDEX(OFFSET($AK$19,MATCH($B366,$B$19:$B$150,0)-1,0,COUNTA($B$19:$B$24),COUNTA($AK$17:$BB$17)),MATCH($F366,$F$19:$F$24,0),MATCH(AS$17,$AK$17:$BB$17,0))*INDEX($10:$13,MATCH($O366,$R$10:$R$13,0),COLUMN())</f>
        <v>4.4641757027999995E-5</v>
      </c>
      <c r="AT366" s="1050" cm="1">
        <f t="array" aca="1" ref="AT366" ca="1">INDEX(OFFSET($AK$19,MATCH($B366,$B$19:$B$150,0)-1,0,COUNTA($B$19:$B$24),COUNTA($AK$17:$BB$17)),MATCH($F366,$F$19:$F$24,0),MATCH(AT$17,$AK$17:$BB$17,0))*INDEX($10:$13,MATCH($O366,$R$10:$R$13,0),COLUMN())</f>
        <v>5.7389552629999996E-6</v>
      </c>
      <c r="AU366" s="1050" cm="1">
        <f t="array" aca="1" ref="AU366" ca="1">INDEX(OFFSET($AK$19,MATCH($B366,$B$19:$B$150,0)-1,0,COUNTA($B$19:$B$24),COUNTA($AK$17:$BB$17)),MATCH($F366,$F$19:$F$24,0),MATCH(AU$17,$AK$17:$BB$17,0))*INDEX($10:$13,MATCH($O366,$R$10:$R$13,0),COLUMN())</f>
        <v>1.2180734514000001E-6</v>
      </c>
      <c r="AV366" s="1050" cm="1">
        <f t="array" aca="1" ref="AV366" ca="1">INDEX(OFFSET($AK$19,MATCH($B366,$B$19:$B$150,0)-1,0,COUNTA($B$19:$B$24),COUNTA($AK$17:$BB$17)),MATCH($F366,$F$19:$F$24,0),MATCH(AV$17,$AK$17:$BB$17,0))*INDEX($10:$13,MATCH($O366,$R$10:$R$13,0),COLUMN())</f>
        <v>5.7255552211999989E-4</v>
      </c>
      <c r="AW366" s="1050" cm="1">
        <f t="array" aca="1" ref="AW366" ca="1">INDEX(OFFSET($AK$19,MATCH($B366,$B$19:$B$150,0)-1,0,COUNTA($B$19:$B$24),COUNTA($AK$17:$BB$17)),MATCH($F366,$F$19:$F$24,0),MATCH(AW$17,$AK$17:$BB$17,0))*INDEX($10:$13,MATCH($O366,$R$10:$R$13,0),COLUMN())</f>
        <v>0.2463444048</v>
      </c>
      <c r="AX366" s="1050" cm="1">
        <f t="array" aca="1" ref="AX366" ca="1">INDEX(OFFSET($AK$19,MATCH($B366,$B$19:$B$150,0)-1,0,COUNTA($B$19:$B$24),COUNTA($AK$17:$BB$17)),MATCH($F366,$F$19:$F$24,0),MATCH(AX$17,$AK$17:$BB$17,0))*INDEX($10:$13,MATCH($O366,$R$10:$R$13,0),COLUMN())</f>
        <v>7.280033533500001E-8</v>
      </c>
      <c r="AY366" s="1050" cm="1">
        <f t="array" aca="1" ref="AY366" ca="1">INDEX(OFFSET($AK$19,MATCH($B366,$B$19:$B$150,0)-1,0,COUNTA($B$19:$B$24),COUNTA($AK$17:$BB$17)),MATCH($F366,$F$19:$F$24,0),MATCH(AY$17,$AK$17:$BB$17,0))*INDEX($10:$13,MATCH($O366,$R$10:$R$13,0),COLUMN())</f>
        <v>0</v>
      </c>
      <c r="AZ366" s="1050" cm="1">
        <f t="array" aca="1" ref="AZ366" ca="1">INDEX(OFFSET($AK$19,MATCH($B366,$B$19:$B$150,0)-1,0,COUNTA($B$19:$B$24),COUNTA($AK$17:$BB$17)),MATCH($F366,$F$19:$F$24,0),MATCH(AZ$17,$AK$17:$BB$17,0))*INDEX($10:$13,MATCH($O366,$R$10:$R$13,0),COLUMN())</f>
        <v>0</v>
      </c>
      <c r="BA366" s="1050" cm="1">
        <f t="array" aca="1" ref="BA366" ca="1">INDEX(OFFSET($AK$19,MATCH($B366,$B$19:$B$150,0)-1,0,COUNTA($B$19:$B$24),COUNTA($AK$17:$BB$17)),MATCH($F366,$F$19:$F$24,0),MATCH(BA$17,$AK$17:$BB$17,0))*INDEX($10:$13,MATCH($O366,$R$10:$R$13,0),COLUMN())</f>
        <v>0</v>
      </c>
      <c r="BB366" s="1051" cm="1">
        <f t="array" aca="1" ref="BB366" ca="1">INDEX(OFFSET($AK$19,MATCH($B366,$B$19:$B$150,0)-1,0,COUNTA($B$19:$B$24),COUNTA($AK$17:$BB$17)),MATCH($F366,$F$19:$F$24,0),MATCH(BB$17,$AK$17:$BB$17,0))*INDEX($10:$13,MATCH($O366,$R$10:$R$13,0),COLUMN())</f>
        <v>0</v>
      </c>
      <c r="BC366" s="1053">
        <f t="shared" ca="1" si="169"/>
        <v>0.24634447760033534</v>
      </c>
      <c r="BE366" s="1"/>
      <c r="BF366" s="1"/>
      <c r="BG366" s="1"/>
      <c r="BH366" s="1"/>
      <c r="BI366" s="1"/>
      <c r="BJ366" s="1"/>
      <c r="BK366" s="1"/>
      <c r="BL366" s="1"/>
      <c r="BM366" s="1"/>
      <c r="BN366" s="1"/>
      <c r="BO366" s="1"/>
      <c r="BP366" s="1"/>
      <c r="BQ366" s="1"/>
      <c r="BR366" s="1"/>
      <c r="BS366" s="1"/>
      <c r="BT366" s="1"/>
      <c r="BU366" s="1"/>
      <c r="BV366" s="1"/>
      <c r="BW366" s="1"/>
      <c r="BX366" s="1"/>
      <c r="BY366" s="1"/>
      <c r="BZ366" s="1"/>
    </row>
    <row r="367" spans="2:78" ht="12" customHeight="1" outlineLevel="1" x14ac:dyDescent="0.25">
      <c r="B367" s="104" t="s">
        <v>109</v>
      </c>
      <c r="C367" s="104" t="s">
        <v>121</v>
      </c>
      <c r="D367" s="2" t="s">
        <v>143</v>
      </c>
      <c r="E367" s="2" t="s">
        <v>146</v>
      </c>
      <c r="F367" s="105" t="s">
        <v>95</v>
      </c>
      <c r="G367" s="27" t="s">
        <v>1581</v>
      </c>
      <c r="H367" s="106" t="s">
        <v>128</v>
      </c>
      <c r="I367" s="107" t="s">
        <v>127</v>
      </c>
      <c r="J367" s="147">
        <v>6.4197011599999998</v>
      </c>
      <c r="K367" s="148">
        <v>0.91249000000000002</v>
      </c>
      <c r="L367" s="149">
        <f t="shared" ca="1" si="167"/>
        <v>0.57142862805539674</v>
      </c>
      <c r="M367" s="148">
        <f t="shared" ca="1" si="168"/>
        <v>1.433912908814269</v>
      </c>
      <c r="N367" s="148">
        <f t="shared" ca="1" si="170"/>
        <v>0.521422908814269</v>
      </c>
      <c r="O367" s="1062" t="s">
        <v>1583</v>
      </c>
      <c r="P367" s="104"/>
      <c r="R367" s="119"/>
      <c r="S367" s="1072"/>
      <c r="T367" s="1072"/>
      <c r="U367" s="1072"/>
      <c r="V367" s="1072"/>
      <c r="W367" s="1072"/>
      <c r="X367" s="1072"/>
      <c r="Y367" s="1072"/>
      <c r="Z367" s="1072"/>
      <c r="AA367" s="1072"/>
      <c r="AB367" s="1072"/>
      <c r="AC367" s="1072"/>
      <c r="AD367" s="1072"/>
      <c r="AE367" s="1072"/>
      <c r="AF367" s="1072"/>
      <c r="AG367" s="1072"/>
      <c r="AH367" s="1072"/>
      <c r="AI367" s="1072"/>
      <c r="AJ367" s="1073"/>
      <c r="AK367" s="1052" cm="1">
        <f t="array" aca="1" ref="AK367" ca="1">INDEX(OFFSET($AK$19,MATCH($B367,$B$19:$B$150,0)-1,0,COUNTA($B$19:$B$24),COUNTA($AK$17:$BB$17)),MATCH($F367,$F$19:$F$24,0),MATCH(AK$17,$AK$17:$BB$17,0))*INDEX($10:$13,MATCH($O367,$R$10:$R$13,0),COLUMN())</f>
        <v>8.89140915E-2</v>
      </c>
      <c r="AL367" s="1050" cm="1">
        <f t="array" aca="1" ref="AL367" ca="1">INDEX(OFFSET($AK$19,MATCH($B367,$B$19:$B$150,0)-1,0,COUNTA($B$19:$B$24),COUNTA($AK$17:$BB$17)),MATCH($F367,$F$19:$F$24,0),MATCH(AL$17,$AK$17:$BB$17,0))*INDEX($10:$13,MATCH($O367,$R$10:$R$13,0),COLUMN())</f>
        <v>7.2882486079999992E-8</v>
      </c>
      <c r="AM367" s="1050" cm="1">
        <f t="array" aca="1" ref="AM367" ca="1">INDEX(OFFSET($AK$19,MATCH($B367,$B$19:$B$150,0)-1,0,COUNTA($B$19:$B$24),COUNTA($AK$17:$BB$17)),MATCH($F367,$F$19:$F$24,0),MATCH(AM$17,$AK$17:$BB$17,0))*INDEX($10:$13,MATCH($O367,$R$10:$R$13,0),COLUMN())</f>
        <v>1.3514937387000003E-4</v>
      </c>
      <c r="AN367" s="1050" cm="1">
        <f t="array" aca="1" ref="AN367" ca="1">INDEX(OFFSET($AK$19,MATCH($B367,$B$19:$B$150,0)-1,0,COUNTA($B$19:$B$24),COUNTA($AK$17:$BB$17)),MATCH($F367,$F$19:$F$24,0),MATCH(AN$17,$AK$17:$BB$17,0))*INDEX($10:$13,MATCH($O367,$R$10:$R$13,0),COLUMN())</f>
        <v>1.6393796249999999E-3</v>
      </c>
      <c r="AO367" s="1050" cm="1">
        <f t="array" aca="1" ref="AO367" ca="1">INDEX(OFFSET($AK$19,MATCH($B367,$B$19:$B$150,0)-1,0,COUNTA($B$19:$B$24),COUNTA($AK$17:$BB$17)),MATCH($F367,$F$19:$F$24,0),MATCH(AO$17,$AK$17:$BB$17,0))*INDEX($10:$13,MATCH($O367,$R$10:$R$13,0),COLUMN())</f>
        <v>5.4256845440000007E-2</v>
      </c>
      <c r="AP367" s="1050" cm="1">
        <f t="array" aca="1" ref="AP367" ca="1">INDEX(OFFSET($AK$19,MATCH($B367,$B$19:$B$150,0)-1,0,COUNTA($B$19:$B$24),COUNTA($AK$17:$BB$17)),MATCH($F367,$F$19:$F$24,0),MATCH(AP$17,$AK$17:$BB$17,0))*INDEX($10:$13,MATCH($O367,$R$10:$R$13,0),COLUMN())</f>
        <v>4.1923841085000003E-2</v>
      </c>
      <c r="AQ367" s="1050" cm="1">
        <f t="array" aca="1" ref="AQ367" ca="1">INDEX(OFFSET($AK$19,MATCH($B367,$B$19:$B$150,0)-1,0,COUNTA($B$19:$B$24),COUNTA($AK$17:$BB$17)),MATCH($F367,$F$19:$F$24,0),MATCH(AQ$17,$AK$17:$BB$17,0))*INDEX($10:$13,MATCH($O367,$R$10:$R$13,0),COLUMN())</f>
        <v>3.215843838E-4</v>
      </c>
      <c r="AR367" s="1050" cm="1">
        <f t="array" aca="1" ref="AR367" ca="1">INDEX(OFFSET($AK$19,MATCH($B367,$B$19:$B$150,0)-1,0,COUNTA($B$19:$B$24),COUNTA($AK$17:$BB$17)),MATCH($F367,$F$19:$F$24,0),MATCH(AR$17,$AK$17:$BB$17,0))*INDEX($10:$13,MATCH($O367,$R$10:$R$13,0),COLUMN())</f>
        <v>3.027226417E-2</v>
      </c>
      <c r="AS367" s="1050" cm="1">
        <f t="array" aca="1" ref="AS367" ca="1">INDEX(OFFSET($AK$19,MATCH($B367,$B$19:$B$150,0)-1,0,COUNTA($B$19:$B$24),COUNTA($AK$17:$BB$17)),MATCH($F367,$F$19:$F$24,0),MATCH(AS$17,$AK$17:$BB$17,0))*INDEX($10:$13,MATCH($O367,$R$10:$R$13,0),COLUMN())</f>
        <v>3.7128266581999999E-3</v>
      </c>
      <c r="AT367" s="1050" cm="1">
        <f t="array" aca="1" ref="AT367" ca="1">INDEX(OFFSET($AK$19,MATCH($B367,$B$19:$B$150,0)-1,0,COUNTA($B$19:$B$24),COUNTA($AK$17:$BB$17)),MATCH($F367,$F$19:$F$24,0),MATCH(AT$17,$AK$17:$BB$17,0))*INDEX($10:$13,MATCH($O367,$R$10:$R$13,0),COLUMN())</f>
        <v>9.5825161260000004E-6</v>
      </c>
      <c r="AU367" s="1050" cm="1">
        <f t="array" aca="1" ref="AU367" ca="1">INDEX(OFFSET($AK$19,MATCH($B367,$B$19:$B$150,0)-1,0,COUNTA($B$19:$B$24),COUNTA($AK$17:$BB$17)),MATCH($F367,$F$19:$F$24,0),MATCH(AU$17,$AK$17:$BB$17,0))*INDEX($10:$13,MATCH($O367,$R$10:$R$13,0),COLUMN())</f>
        <v>1.8715755853999999E-6</v>
      </c>
      <c r="AV367" s="1050" cm="1">
        <f t="array" aca="1" ref="AV367" ca="1">INDEX(OFFSET($AK$19,MATCH($B367,$B$19:$B$150,0)-1,0,COUNTA($B$19:$B$24),COUNTA($AK$17:$BB$17)),MATCH($F367,$F$19:$F$24,0),MATCH(AV$17,$AK$17:$BB$17,0))*INDEX($10:$13,MATCH($O367,$R$10:$R$13,0),COLUMN())</f>
        <v>6.2415522723999993E-3</v>
      </c>
      <c r="AW367" s="1050" cm="1">
        <f t="array" aca="1" ref="AW367" ca="1">INDEX(OFFSET($AK$19,MATCH($B367,$B$19:$B$150,0)-1,0,COUNTA($B$19:$B$24),COUNTA($AK$17:$BB$17)),MATCH($F367,$F$19:$F$24,0),MATCH(AW$17,$AK$17:$BB$17,0))*INDEX($10:$13,MATCH($O367,$R$10:$R$13,0),COLUMN())</f>
        <v>0.29399376045000003</v>
      </c>
      <c r="AX367" s="1050" cm="1">
        <f t="array" aca="1" ref="AX367" ca="1">INDEX(OFFSET($AK$19,MATCH($B367,$B$19:$B$150,0)-1,0,COUNTA($B$19:$B$24),COUNTA($AK$17:$BB$17)),MATCH($F367,$F$19:$F$24,0),MATCH(AX$17,$AK$17:$BB$17,0))*INDEX($10:$13,MATCH($O367,$R$10:$R$13,0),COLUMN())</f>
        <v>8.6881801500000005E-8</v>
      </c>
      <c r="AY367" s="1050" cm="1">
        <f t="array" aca="1" ref="AY367" ca="1">INDEX(OFFSET($AK$19,MATCH($B367,$B$19:$B$150,0)-1,0,COUNTA($B$19:$B$24),COUNTA($AK$17:$BB$17)),MATCH($F367,$F$19:$F$24,0),MATCH(AY$17,$AK$17:$BB$17,0))*INDEX($10:$13,MATCH($O367,$R$10:$R$13,0),COLUMN())</f>
        <v>0</v>
      </c>
      <c r="AZ367" s="1050" cm="1">
        <f t="array" aca="1" ref="AZ367" ca="1">INDEX(OFFSET($AK$19,MATCH($B367,$B$19:$B$150,0)-1,0,COUNTA($B$19:$B$24),COUNTA($AK$17:$BB$17)),MATCH($F367,$F$19:$F$24,0),MATCH(AZ$17,$AK$17:$BB$17,0))*INDEX($10:$13,MATCH($O367,$R$10:$R$13,0),COLUMN())</f>
        <v>0</v>
      </c>
      <c r="BA367" s="1050" cm="1">
        <f t="array" aca="1" ref="BA367" ca="1">INDEX(OFFSET($AK$19,MATCH($B367,$B$19:$B$150,0)-1,0,COUNTA($B$19:$B$24),COUNTA($AK$17:$BB$17)),MATCH($F367,$F$19:$F$24,0),MATCH(BA$17,$AK$17:$BB$17,0))*INDEX($10:$13,MATCH($O367,$R$10:$R$13,0),COLUMN())</f>
        <v>0</v>
      </c>
      <c r="BB367" s="1051" cm="1">
        <f t="array" aca="1" ref="BB367" ca="1">INDEX(OFFSET($AK$19,MATCH($B367,$B$19:$B$150,0)-1,0,COUNTA($B$19:$B$24),COUNTA($AK$17:$BB$17)),MATCH($F367,$F$19:$F$24,0),MATCH(BB$17,$AK$17:$BB$17,0))*INDEX($10:$13,MATCH($O367,$R$10:$R$13,0),COLUMN())</f>
        <v>0</v>
      </c>
      <c r="BC367" s="1053">
        <f t="shared" ca="1" si="169"/>
        <v>0.29399384733180151</v>
      </c>
      <c r="BE367" s="1"/>
      <c r="BF367" s="1"/>
      <c r="BG367" s="1"/>
      <c r="BH367" s="1"/>
      <c r="BI367" s="1"/>
      <c r="BJ367" s="1"/>
      <c r="BK367" s="1"/>
      <c r="BL367" s="1"/>
      <c r="BM367" s="1"/>
      <c r="BN367" s="1"/>
      <c r="BO367" s="1"/>
      <c r="BP367" s="1"/>
      <c r="BQ367" s="1"/>
      <c r="BR367" s="1"/>
      <c r="BS367" s="1"/>
      <c r="BT367" s="1"/>
      <c r="BU367" s="1"/>
      <c r="BV367" s="1"/>
      <c r="BW367" s="1"/>
      <c r="BX367" s="1"/>
      <c r="BY367" s="1"/>
      <c r="BZ367" s="1"/>
    </row>
    <row r="368" spans="2:78" ht="12" customHeight="1" outlineLevel="1" x14ac:dyDescent="0.25">
      <c r="B368" s="104" t="s">
        <v>109</v>
      </c>
      <c r="C368" s="104" t="s">
        <v>121</v>
      </c>
      <c r="D368" s="2" t="s">
        <v>143</v>
      </c>
      <c r="E368" s="2" t="s">
        <v>146</v>
      </c>
      <c r="F368" s="105" t="s">
        <v>96</v>
      </c>
      <c r="G368" s="27" t="s">
        <v>1582</v>
      </c>
      <c r="H368" s="106" t="s">
        <v>128</v>
      </c>
      <c r="I368" s="107" t="s">
        <v>1577</v>
      </c>
      <c r="J368" s="147">
        <v>6.4197011599999998</v>
      </c>
      <c r="K368" s="148">
        <v>0.91249000000000002</v>
      </c>
      <c r="L368" s="149">
        <f t="shared" ca="1" si="167"/>
        <v>0.64247313422837071</v>
      </c>
      <c r="M368" s="148">
        <f t="shared" ca="1" si="168"/>
        <v>1.498740310252046</v>
      </c>
      <c r="N368" s="148">
        <f t="shared" ca="1" si="170"/>
        <v>0.58625031025204599</v>
      </c>
      <c r="O368" s="1062" t="s">
        <v>1583</v>
      </c>
      <c r="P368" s="104"/>
      <c r="R368" s="119"/>
      <c r="S368" s="1072"/>
      <c r="T368" s="1072"/>
      <c r="U368" s="1072"/>
      <c r="V368" s="1072"/>
      <c r="W368" s="1072"/>
      <c r="X368" s="1072"/>
      <c r="Y368" s="1072"/>
      <c r="Z368" s="1072"/>
      <c r="AA368" s="1072"/>
      <c r="AB368" s="1072"/>
      <c r="AC368" s="1072"/>
      <c r="AD368" s="1072"/>
      <c r="AE368" s="1072"/>
      <c r="AF368" s="1072"/>
      <c r="AG368" s="1072"/>
      <c r="AH368" s="1072"/>
      <c r="AI368" s="1072"/>
      <c r="AJ368" s="1073"/>
      <c r="AK368" s="1052" cm="1">
        <f t="array" aca="1" ref="AK368" ca="1">INDEX(OFFSET($AK$19,MATCH($B368,$B$19:$B$150,0)-1,0,COUNTA($B$19:$B$24),COUNTA($AK$17:$BB$17)),MATCH($F368,$F$19:$F$24,0),MATCH(AK$17,$AK$17:$BB$17,0))*INDEX($10:$13,MATCH($O368,$R$10:$R$13,0),COLUMN())</f>
        <v>9.6527700750000001E-2</v>
      </c>
      <c r="AL368" s="1050" cm="1">
        <f t="array" aca="1" ref="AL368" ca="1">INDEX(OFFSET($AK$19,MATCH($B368,$B$19:$B$150,0)-1,0,COUNTA($B$19:$B$24),COUNTA($AK$17:$BB$17)),MATCH($F368,$F$19:$F$24,0),MATCH(AL$17,$AK$17:$BB$17,0))*INDEX($10:$13,MATCH($O368,$R$10:$R$13,0),COLUMN())</f>
        <v>7.3243698879999993E-8</v>
      </c>
      <c r="AM368" s="1050" cm="1">
        <f t="array" aca="1" ref="AM368" ca="1">INDEX(OFFSET($AK$19,MATCH($B368,$B$19:$B$150,0)-1,0,COUNTA($B$19:$B$24),COUNTA($AK$17:$BB$17)),MATCH($F368,$F$19:$F$24,0),MATCH(AM$17,$AK$17:$BB$17,0))*INDEX($10:$13,MATCH($O368,$R$10:$R$13,0),COLUMN())</f>
        <v>1.3581595682000001E-4</v>
      </c>
      <c r="AN368" s="1050" cm="1">
        <f t="array" aca="1" ref="AN368" ca="1">INDEX(OFFSET($AK$19,MATCH($B368,$B$19:$B$150,0)-1,0,COUNTA($B$19:$B$24),COUNTA($AK$17:$BB$17)),MATCH($F368,$F$19:$F$24,0),MATCH(AN$17,$AK$17:$BB$17,0))*INDEX($10:$13,MATCH($O368,$R$10:$R$13,0),COLUMN())</f>
        <v>1.7098239099999999E-3</v>
      </c>
      <c r="AO368" s="1050" cm="1">
        <f t="array" aca="1" ref="AO368" ca="1">INDEX(OFFSET($AK$19,MATCH($B368,$B$19:$B$150,0)-1,0,COUNTA($B$19:$B$24),COUNTA($AK$17:$BB$17)),MATCH($F368,$F$19:$F$24,0),MATCH(AO$17,$AK$17:$BB$17,0))*INDEX($10:$13,MATCH($O368,$R$10:$R$13,0),COLUMN())</f>
        <v>7.6846982240000014E-2</v>
      </c>
      <c r="AP368" s="1050" cm="1">
        <f t="array" aca="1" ref="AP368" ca="1">INDEX(OFFSET($AK$19,MATCH($B368,$B$19:$B$150,0)-1,0,COUNTA($B$19:$B$24),COUNTA($AK$17:$BB$17)),MATCH($F368,$F$19:$F$24,0),MATCH(AP$17,$AK$17:$BB$17,0))*INDEX($10:$13,MATCH($O368,$R$10:$R$13,0),COLUMN())</f>
        <v>6.3471860059999996E-2</v>
      </c>
      <c r="AQ368" s="1050" cm="1">
        <f t="array" aca="1" ref="AQ368" ca="1">INDEX(OFFSET($AK$19,MATCH($B368,$B$19:$B$150,0)-1,0,COUNTA($B$19:$B$24),COUNTA($AK$17:$BB$17)),MATCH($F368,$F$19:$F$24,0),MATCH(AQ$17,$AK$17:$BB$17,0))*INDEX($10:$13,MATCH($O368,$R$10:$R$13,0),COLUMN())</f>
        <v>4.9273436700000004E-4</v>
      </c>
      <c r="AR368" s="1050" cm="1">
        <f t="array" aca="1" ref="AR368" ca="1">INDEX(OFFSET($AK$19,MATCH($B368,$B$19:$B$150,0)-1,0,COUNTA($B$19:$B$24),COUNTA($AK$17:$BB$17)),MATCH($F368,$F$19:$F$24,0),MATCH(AR$17,$AK$17:$BB$17,0))*INDEX($10:$13,MATCH($O368,$R$10:$R$13,0),COLUMN())</f>
        <v>3.6015121749999997E-2</v>
      </c>
      <c r="AS368" s="1050" cm="1">
        <f t="array" aca="1" ref="AS368" ca="1">INDEX(OFFSET($AK$19,MATCH($B368,$B$19:$B$150,0)-1,0,COUNTA($B$19:$B$24),COUNTA($AK$17:$BB$17)),MATCH($F368,$F$19:$F$24,0),MATCH(AS$17,$AK$17:$BB$17,0))*INDEX($10:$13,MATCH($O368,$R$10:$R$13,0),COLUMN())</f>
        <v>6.2784257602E-3</v>
      </c>
      <c r="AT368" s="1050" cm="1">
        <f t="array" aca="1" ref="AT368" ca="1">INDEX(OFFSET($AK$19,MATCH($B368,$B$19:$B$150,0)-1,0,COUNTA($B$19:$B$24),COUNTA($AK$17:$BB$17)),MATCH($F368,$F$19:$F$24,0),MATCH(AT$17,$AK$17:$BB$17,0))*INDEX($10:$13,MATCH($O368,$R$10:$R$13,0),COLUMN())</f>
        <v>1.0741841633999999E-5</v>
      </c>
      <c r="AU368" s="1050" cm="1">
        <f t="array" aca="1" ref="AU368" ca="1">INDEX(OFFSET($AK$19,MATCH($B368,$B$19:$B$150,0)-1,0,COUNTA($B$19:$B$24),COUNTA($AK$17:$BB$17)),MATCH($F368,$F$19:$F$24,0),MATCH(AU$17,$AK$17:$BB$17,0))*INDEX($10:$13,MATCH($O368,$R$10:$R$13,0),COLUMN())</f>
        <v>2.0372488916000002E-6</v>
      </c>
      <c r="AV368" s="1050" cm="1">
        <f t="array" aca="1" ref="AV368" ca="1">INDEX(OFFSET($AK$19,MATCH($B368,$B$19:$B$150,0)-1,0,COUNTA($B$19:$B$24),COUNTA($AK$17:$BB$17)),MATCH($F368,$F$19:$F$24,0),MATCH(AV$17,$AK$17:$BB$17,0))*INDEX($10:$13,MATCH($O368,$R$10:$R$13,0),COLUMN())</f>
        <v>1.0765145791999999E-2</v>
      </c>
      <c r="AW368" s="1050" cm="1">
        <f t="array" aca="1" ref="AW368" ca="1">INDEX(OFFSET($AK$19,MATCH($B368,$B$19:$B$150,0)-1,0,COUNTA($B$19:$B$24),COUNTA($AK$17:$BB$17)),MATCH($F368,$F$19:$F$24,0),MATCH(AW$17,$AK$17:$BB$17,0))*INDEX($10:$13,MATCH($O368,$R$10:$R$13,0),COLUMN())</f>
        <v>0.29399376045000003</v>
      </c>
      <c r="AX368" s="1050" cm="1">
        <f t="array" aca="1" ref="AX368" ca="1">INDEX(OFFSET($AK$19,MATCH($B368,$B$19:$B$150,0)-1,0,COUNTA($B$19:$B$24),COUNTA($AK$17:$BB$17)),MATCH($F368,$F$19:$F$24,0),MATCH(AX$17,$AK$17:$BB$17,0))*INDEX($10:$13,MATCH($O368,$R$10:$R$13,0),COLUMN())</f>
        <v>8.6881801500000005E-8</v>
      </c>
      <c r="AY368" s="1050" cm="1">
        <f t="array" aca="1" ref="AY368" ca="1">INDEX(OFFSET($AK$19,MATCH($B368,$B$19:$B$150,0)-1,0,COUNTA($B$19:$B$24),COUNTA($AK$17:$BB$17)),MATCH($F368,$F$19:$F$24,0),MATCH(AY$17,$AK$17:$BB$17,0))*INDEX($10:$13,MATCH($O368,$R$10:$R$13,0),COLUMN())</f>
        <v>0</v>
      </c>
      <c r="AZ368" s="1050" cm="1">
        <f t="array" aca="1" ref="AZ368" ca="1">INDEX(OFFSET($AK$19,MATCH($B368,$B$19:$B$150,0)-1,0,COUNTA($B$19:$B$24),COUNTA($AK$17:$BB$17)),MATCH($F368,$F$19:$F$24,0),MATCH(AZ$17,$AK$17:$BB$17,0))*INDEX($10:$13,MATCH($O368,$R$10:$R$13,0),COLUMN())</f>
        <v>0</v>
      </c>
      <c r="BA368" s="1050" cm="1">
        <f t="array" aca="1" ref="BA368" ca="1">INDEX(OFFSET($AK$19,MATCH($B368,$B$19:$B$150,0)-1,0,COUNTA($B$19:$B$24),COUNTA($AK$17:$BB$17)),MATCH($F368,$F$19:$F$24,0),MATCH(BA$17,$AK$17:$BB$17,0))*INDEX($10:$13,MATCH($O368,$R$10:$R$13,0),COLUMN())</f>
        <v>0</v>
      </c>
      <c r="BB368" s="1051" cm="1">
        <f t="array" aca="1" ref="BB368" ca="1">INDEX(OFFSET($AK$19,MATCH($B368,$B$19:$B$150,0)-1,0,COUNTA($B$19:$B$24),COUNTA($AK$17:$BB$17)),MATCH($F368,$F$19:$F$24,0),MATCH(BB$17,$AK$17:$BB$17,0))*INDEX($10:$13,MATCH($O368,$R$10:$R$13,0),COLUMN())</f>
        <v>0</v>
      </c>
      <c r="BC368" s="1053">
        <f t="shared" ca="1" si="169"/>
        <v>0.29399384733180151</v>
      </c>
      <c r="BE368" s="1"/>
      <c r="BF368" s="1"/>
      <c r="BG368" s="1"/>
      <c r="BH368" s="1"/>
      <c r="BI368" s="1"/>
      <c r="BJ368" s="1"/>
      <c r="BK368" s="1"/>
      <c r="BL368" s="1"/>
      <c r="BM368" s="1"/>
      <c r="BN368" s="1"/>
      <c r="BO368" s="1"/>
      <c r="BP368" s="1"/>
      <c r="BQ368" s="1"/>
      <c r="BR368" s="1"/>
      <c r="BS368" s="1"/>
      <c r="BT368" s="1"/>
      <c r="BU368" s="1"/>
      <c r="BV368" s="1"/>
      <c r="BW368" s="1"/>
      <c r="BX368" s="1"/>
      <c r="BY368" s="1"/>
      <c r="BZ368" s="1"/>
    </row>
    <row r="369" spans="2:78" ht="12" customHeight="1" outlineLevel="1" x14ac:dyDescent="0.25">
      <c r="B369" s="88" t="s">
        <v>110</v>
      </c>
      <c r="C369" s="88" t="s">
        <v>121</v>
      </c>
      <c r="D369" s="89" t="s">
        <v>143</v>
      </c>
      <c r="E369" s="89" t="s">
        <v>147</v>
      </c>
      <c r="F369" s="90" t="s">
        <v>92</v>
      </c>
      <c r="G369" s="18" t="s">
        <v>126</v>
      </c>
      <c r="H369" s="91" t="s">
        <v>127</v>
      </c>
      <c r="I369" s="92" t="s">
        <v>127</v>
      </c>
      <c r="J369" s="142">
        <v>6.3623397199999996</v>
      </c>
      <c r="K369" s="143">
        <v>0.29699999999999999</v>
      </c>
      <c r="L369" s="144">
        <f t="shared" ca="1" si="167"/>
        <v>4.5678437361477338</v>
      </c>
      <c r="M369" s="143">
        <f t="shared" ca="1" si="168"/>
        <v>1.6536495896358767</v>
      </c>
      <c r="N369" s="143">
        <f t="shared" ca="1" si="170"/>
        <v>1.3566495896358768</v>
      </c>
      <c r="O369" s="1063" t="s">
        <v>1583</v>
      </c>
      <c r="P369" s="88"/>
      <c r="Q369" s="89"/>
      <c r="R369" s="150"/>
      <c r="S369" s="1070"/>
      <c r="T369" s="1070"/>
      <c r="U369" s="1070"/>
      <c r="V369" s="1070"/>
      <c r="W369" s="1070"/>
      <c r="X369" s="1070"/>
      <c r="Y369" s="1070"/>
      <c r="Z369" s="1070"/>
      <c r="AA369" s="1070"/>
      <c r="AB369" s="1070"/>
      <c r="AC369" s="1070"/>
      <c r="AD369" s="1070"/>
      <c r="AE369" s="1070"/>
      <c r="AF369" s="1070"/>
      <c r="AG369" s="1070"/>
      <c r="AH369" s="1070"/>
      <c r="AI369" s="1070"/>
      <c r="AJ369" s="1071"/>
      <c r="AK369" s="1048" cm="1">
        <f t="array" aca="1" ref="AK369" ca="1">INDEX(OFFSET($AK$19,MATCH($B369,$B$19:$B$150,0)-1,0,COUNTA($B$19:$B$24),COUNTA($AK$17:$BB$17)),MATCH($F369,$F$19:$F$24,0),MATCH(AK$17,$AK$17:$BB$17,0))*INDEX($10:$13,MATCH($O369,$R$10:$R$13,0),COLUMN())</f>
        <v>0.16337612460000001</v>
      </c>
      <c r="AL369" s="1046" cm="1">
        <f t="array" aca="1" ref="AL369" ca="1">INDEX(OFFSET($AK$19,MATCH($B369,$B$19:$B$150,0)-1,0,COUNTA($B$19:$B$24),COUNTA($AK$17:$BB$17)),MATCH($F369,$F$19:$F$24,0),MATCH(AL$17,$AK$17:$BB$17,0))*INDEX($10:$13,MATCH($O369,$R$10:$R$13,0),COLUMN())</f>
        <v>2.8587410032E-7</v>
      </c>
      <c r="AM369" s="1046" cm="1">
        <f t="array" aca="1" ref="AM369" ca="1">INDEX(OFFSET($AK$19,MATCH($B369,$B$19:$B$150,0)-1,0,COUNTA($B$19:$B$24),COUNTA($AK$17:$BB$17)),MATCH($F369,$F$19:$F$24,0),MATCH(AM$17,$AK$17:$BB$17,0))*INDEX($10:$13,MATCH($O369,$R$10:$R$13,0),COLUMN())</f>
        <v>5.3425880080000001E-4</v>
      </c>
      <c r="AN369" s="1046" cm="1">
        <f t="array" aca="1" ref="AN369" ca="1">INDEX(OFFSET($AK$19,MATCH($B369,$B$19:$B$150,0)-1,0,COUNTA($B$19:$B$24),COUNTA($AK$17:$BB$17)),MATCH($F369,$F$19:$F$24,0),MATCH(AN$17,$AK$17:$BB$17,0))*INDEX($10:$13,MATCH($O369,$R$10:$R$13,0),COLUMN())</f>
        <v>2.0692449099999999E-3</v>
      </c>
      <c r="AO369" s="1046" cm="1">
        <f t="array" aca="1" ref="AO369" ca="1">INDEX(OFFSET($AK$19,MATCH($B369,$B$19:$B$150,0)-1,0,COUNTA($B$19:$B$24),COUNTA($AK$17:$BB$17)),MATCH($F369,$F$19:$F$24,0),MATCH(AO$17,$AK$17:$BB$17,0))*INDEX($10:$13,MATCH($O369,$R$10:$R$13,0),COLUMN())</f>
        <v>9.4512975759999993E-2</v>
      </c>
      <c r="AP369" s="1046" cm="1">
        <f t="array" aca="1" ref="AP369" ca="1">INDEX(OFFSET($AK$19,MATCH($B369,$B$19:$B$150,0)-1,0,COUNTA($B$19:$B$24),COUNTA($AK$17:$BB$17)),MATCH($F369,$F$19:$F$24,0),MATCH(AP$17,$AK$17:$BB$17,0))*INDEX($10:$13,MATCH($O369,$R$10:$R$13,0),COLUMN())</f>
        <v>7.7129246109999994E-2</v>
      </c>
      <c r="AQ369" s="1046" cm="1">
        <f t="array" aca="1" ref="AQ369" ca="1">INDEX(OFFSET($AK$19,MATCH($B369,$B$19:$B$150,0)-1,0,COUNTA($B$19:$B$24),COUNTA($AK$17:$BB$17)),MATCH($F369,$F$19:$F$24,0),MATCH(AQ$17,$AK$17:$BB$17,0))*INDEX($10:$13,MATCH($O369,$R$10:$R$13,0),COLUMN())</f>
        <v>8.7426997319999997E-4</v>
      </c>
      <c r="AR369" s="1046" cm="1">
        <f t="array" aca="1" ref="AR369" ca="1">INDEX(OFFSET($AK$19,MATCH($B369,$B$19:$B$150,0)-1,0,COUNTA($B$19:$B$24),COUNTA($AK$17:$BB$17)),MATCH($F369,$F$19:$F$24,0),MATCH(AR$17,$AK$17:$BB$17,0))*INDEX($10:$13,MATCH($O369,$R$10:$R$13,0),COLUMN())</f>
        <v>4.914842472E-2</v>
      </c>
      <c r="AS369" s="1046" cm="1">
        <f t="array" aca="1" ref="AS369" ca="1">INDEX(OFFSET($AK$19,MATCH($B369,$B$19:$B$150,0)-1,0,COUNTA($B$19:$B$24),COUNTA($AK$17:$BB$17)),MATCH($F369,$F$19:$F$24,0),MATCH(AS$17,$AK$17:$BB$17,0))*INDEX($10:$13,MATCH($O369,$R$10:$R$13,0),COLUMN())</f>
        <v>0.55140839489999993</v>
      </c>
      <c r="AT369" s="1046" cm="1">
        <f t="array" aca="1" ref="AT369" ca="1">INDEX(OFFSET($AK$19,MATCH($B369,$B$19:$B$150,0)-1,0,COUNTA($B$19:$B$24),COUNTA($AK$17:$BB$17)),MATCH($F369,$F$19:$F$24,0),MATCH(AT$17,$AK$17:$BB$17,0))*INDEX($10:$13,MATCH($O369,$R$10:$R$13,0),COLUMN())</f>
        <v>6.1885128949999994E-4</v>
      </c>
      <c r="AU369" s="1046" cm="1">
        <f t="array" aca="1" ref="AU369" ca="1">INDEX(OFFSET($AK$19,MATCH($B369,$B$19:$B$150,0)-1,0,COUNTA($B$19:$B$24),COUNTA($AK$17:$BB$17)),MATCH($F369,$F$19:$F$24,0),MATCH(AU$17,$AK$17:$BB$17,0))*INDEX($10:$13,MATCH($O369,$R$10:$R$13,0),COLUMN())</f>
        <v>4.3904026949999996E-5</v>
      </c>
      <c r="AV369" s="1046" cm="1">
        <f t="array" aca="1" ref="AV369" ca="1">INDEX(OFFSET($AK$19,MATCH($B369,$B$19:$B$150,0)-1,0,COUNTA($B$19:$B$24),COUNTA($AK$17:$BB$17)),MATCH($F369,$F$19:$F$24,0),MATCH(AV$17,$AK$17:$BB$17,0))*INDEX($10:$13,MATCH($O369,$R$10:$R$13,0),COLUMN())</f>
        <v>1.8326038760999998E-2</v>
      </c>
      <c r="AW369" s="1046" cm="1">
        <f t="array" aca="1" ref="AW369" ca="1">INDEX(OFFSET($AK$19,MATCH($B369,$B$19:$B$150,0)-1,0,COUNTA($B$19:$B$24),COUNTA($AK$17:$BB$17)),MATCH($F369,$F$19:$F$24,0),MATCH(AW$17,$AK$17:$BB$17,0))*INDEX($10:$13,MATCH($O369,$R$10:$R$13,0),COLUMN())</f>
        <v>0.39860706730000001</v>
      </c>
      <c r="AX369" s="1046" cm="1">
        <f t="array" aca="1" ref="AX369" ca="1">INDEX(OFFSET($AK$19,MATCH($B369,$B$19:$B$150,0)-1,0,COUNTA($B$19:$B$24),COUNTA($AK$17:$BB$17)),MATCH($F369,$F$19:$F$24,0),MATCH(AX$17,$AK$17:$BB$17,0))*INDEX($10:$13,MATCH($O369,$R$10:$R$13,0),COLUMN())</f>
        <v>5.0261032640000002E-7</v>
      </c>
      <c r="AY369" s="1046" cm="1">
        <f t="array" aca="1" ref="AY369" ca="1">INDEX(OFFSET($AK$19,MATCH($B369,$B$19:$B$150,0)-1,0,COUNTA($B$19:$B$24),COUNTA($AK$17:$BB$17)),MATCH($F369,$F$19:$F$24,0),MATCH(AY$17,$AK$17:$BB$17,0))*INDEX($10:$13,MATCH($O369,$R$10:$R$13,0),COLUMN())</f>
        <v>0</v>
      </c>
      <c r="AZ369" s="1046" cm="1">
        <f t="array" aca="1" ref="AZ369" ca="1">INDEX(OFFSET($AK$19,MATCH($B369,$B$19:$B$150,0)-1,0,COUNTA($B$19:$B$24),COUNTA($AK$17:$BB$17)),MATCH($F369,$F$19:$F$24,0),MATCH(AZ$17,$AK$17:$BB$17,0))*INDEX($10:$13,MATCH($O369,$R$10:$R$13,0),COLUMN())</f>
        <v>0</v>
      </c>
      <c r="BA369" s="1046" cm="1">
        <f t="array" aca="1" ref="BA369" ca="1">INDEX(OFFSET($AK$19,MATCH($B369,$B$19:$B$150,0)-1,0,COUNTA($B$19:$B$24),COUNTA($AK$17:$BB$17)),MATCH($F369,$F$19:$F$24,0),MATCH(BA$17,$AK$17:$BB$17,0))*INDEX($10:$13,MATCH($O369,$R$10:$R$13,0),COLUMN())</f>
        <v>0</v>
      </c>
      <c r="BB369" s="1047" cm="1">
        <f t="array" aca="1" ref="BB369" ca="1">INDEX(OFFSET($AK$19,MATCH($B369,$B$19:$B$150,0)-1,0,COUNTA($B$19:$B$24),COUNTA($AK$17:$BB$17)),MATCH($F369,$F$19:$F$24,0),MATCH(BB$17,$AK$17:$BB$17,0))*INDEX($10:$13,MATCH($O369,$R$10:$R$13,0),COLUMN())</f>
        <v>0</v>
      </c>
      <c r="BC369" s="1049">
        <f t="shared" ca="1" si="169"/>
        <v>0.39860756991032642</v>
      </c>
      <c r="BE369" s="1"/>
      <c r="BF369" s="1"/>
      <c r="BG369" s="1"/>
      <c r="BH369" s="1"/>
      <c r="BI369" s="1"/>
      <c r="BJ369" s="1"/>
      <c r="BK369" s="1"/>
      <c r="BL369" s="1"/>
      <c r="BM369" s="1"/>
      <c r="BN369" s="1"/>
      <c r="BO369" s="1"/>
      <c r="BP369" s="1"/>
      <c r="BQ369" s="1"/>
      <c r="BR369" s="1"/>
      <c r="BS369" s="1"/>
      <c r="BT369" s="1"/>
      <c r="BU369" s="1"/>
      <c r="BV369" s="1"/>
      <c r="BW369" s="1"/>
      <c r="BX369" s="1"/>
      <c r="BY369" s="1"/>
      <c r="BZ369" s="1"/>
    </row>
    <row r="370" spans="2:78" ht="12" customHeight="1" outlineLevel="1" x14ac:dyDescent="0.25">
      <c r="B370" s="104" t="s">
        <v>110</v>
      </c>
      <c r="C370" s="104" t="s">
        <v>121</v>
      </c>
      <c r="D370" s="2" t="s">
        <v>143</v>
      </c>
      <c r="E370" s="2" t="s">
        <v>147</v>
      </c>
      <c r="F370" s="105" t="s">
        <v>122</v>
      </c>
      <c r="G370" s="27" t="s">
        <v>1579</v>
      </c>
      <c r="H370" s="106" t="s">
        <v>128</v>
      </c>
      <c r="I370" s="107" t="s">
        <v>129</v>
      </c>
      <c r="J370" s="147">
        <v>6.3623397199999996</v>
      </c>
      <c r="K370" s="148">
        <v>0.72726000000000002</v>
      </c>
      <c r="L370" s="149">
        <f t="shared" ca="1" si="167"/>
        <v>1.0993845795481993</v>
      </c>
      <c r="M370" s="148">
        <f t="shared" ca="1" si="168"/>
        <v>1.5267984293222234</v>
      </c>
      <c r="N370" s="148">
        <f t="shared" ca="1" si="170"/>
        <v>0.79953842932222341</v>
      </c>
      <c r="O370" s="1062" t="s">
        <v>1583</v>
      </c>
      <c r="P370" s="104"/>
      <c r="R370" s="119"/>
      <c r="S370" s="1072"/>
      <c r="T370" s="1072"/>
      <c r="U370" s="1072"/>
      <c r="V370" s="1072"/>
      <c r="W370" s="1072"/>
      <c r="X370" s="1072"/>
      <c r="Y370" s="1072"/>
      <c r="Z370" s="1072"/>
      <c r="AA370" s="1072"/>
      <c r="AB370" s="1072"/>
      <c r="AC370" s="1072"/>
      <c r="AD370" s="1072"/>
      <c r="AE370" s="1072"/>
      <c r="AF370" s="1072"/>
      <c r="AG370" s="1072"/>
      <c r="AH370" s="1072"/>
      <c r="AI370" s="1072"/>
      <c r="AJ370" s="1073"/>
      <c r="AK370" s="1052" cm="1">
        <f t="array" aca="1" ref="AK370" ca="1">INDEX(OFFSET($AK$19,MATCH($B370,$B$19:$B$150,0)-1,0,COUNTA($B$19:$B$24),COUNTA($AK$17:$BB$17)),MATCH($F370,$F$19:$F$24,0),MATCH(AK$17,$AK$17:$BB$17,0))*INDEX($10:$13,MATCH($O370,$R$10:$R$13,0),COLUMN())</f>
        <v>0.11685333465</v>
      </c>
      <c r="AL370" s="1050" cm="1">
        <f t="array" aca="1" ref="AL370" ca="1">INDEX(OFFSET($AK$19,MATCH($B370,$B$19:$B$150,0)-1,0,COUNTA($B$19:$B$24),COUNTA($AK$17:$BB$17)),MATCH($F370,$F$19:$F$24,0),MATCH(AL$17,$AK$17:$BB$17,0))*INDEX($10:$13,MATCH($O370,$R$10:$R$13,0),COLUMN())</f>
        <v>1.303618424E-7</v>
      </c>
      <c r="AM370" s="1050" cm="1">
        <f t="array" aca="1" ref="AM370" ca="1">INDEX(OFFSET($AK$19,MATCH($B370,$B$19:$B$150,0)-1,0,COUNTA($B$19:$B$24),COUNTA($AK$17:$BB$17)),MATCH($F370,$F$19:$F$24,0),MATCH(AM$17,$AK$17:$BB$17,0))*INDEX($10:$13,MATCH($O370,$R$10:$R$13,0),COLUMN())</f>
        <v>2.416537106E-4</v>
      </c>
      <c r="AN370" s="1050" cm="1">
        <f t="array" aca="1" ref="AN370" ca="1">INDEX(OFFSET($AK$19,MATCH($B370,$B$19:$B$150,0)-1,0,COUNTA($B$19:$B$24),COUNTA($AK$17:$BB$17)),MATCH($F370,$F$19:$F$24,0),MATCH(AN$17,$AK$17:$BB$17,0))*INDEX($10:$13,MATCH($O370,$R$10:$R$13,0),COLUMN())</f>
        <v>2.6760012399999998E-3</v>
      </c>
      <c r="AO370" s="1050" cm="1">
        <f t="array" aca="1" ref="AO370" ca="1">INDEX(OFFSET($AK$19,MATCH($B370,$B$19:$B$150,0)-1,0,COUNTA($B$19:$B$24),COUNTA($AK$17:$BB$17)),MATCH($F370,$F$19:$F$24,0),MATCH(AO$17,$AK$17:$BB$17,0))*INDEX($10:$13,MATCH($O370,$R$10:$R$13,0),COLUMN())</f>
        <v>4.2626644480000003E-2</v>
      </c>
      <c r="AP370" s="1050" cm="1">
        <f t="array" aca="1" ref="AP370" ca="1">INDEX(OFFSET($AK$19,MATCH($B370,$B$19:$B$150,0)-1,0,COUNTA($B$19:$B$24),COUNTA($AK$17:$BB$17)),MATCH($F370,$F$19:$F$24,0),MATCH(AP$17,$AK$17:$BB$17,0))*INDEX($10:$13,MATCH($O370,$R$10:$R$13,0),COLUMN())</f>
        <v>2.3420692610000002E-2</v>
      </c>
      <c r="AQ370" s="1050" cm="1">
        <f t="array" aca="1" ref="AQ370" ca="1">INDEX(OFFSET($AK$19,MATCH($B370,$B$19:$B$150,0)-1,0,COUNTA($B$19:$B$24),COUNTA($AK$17:$BB$17)),MATCH($F370,$F$19:$F$24,0),MATCH(AQ$17,$AK$17:$BB$17,0))*INDEX($10:$13,MATCH($O370,$R$10:$R$13,0),COLUMN())</f>
        <v>1.5951686615999999E-4</v>
      </c>
      <c r="AR370" s="1050" cm="1">
        <f t="array" aca="1" ref="AR370" ca="1">INDEX(OFFSET($AK$19,MATCH($B370,$B$19:$B$150,0)-1,0,COUNTA($B$19:$B$24),COUNTA($AK$17:$BB$17)),MATCH($F370,$F$19:$F$24,0),MATCH(AR$17,$AK$17:$BB$17,0))*INDEX($10:$13,MATCH($O370,$R$10:$R$13,0),COLUMN())</f>
        <v>3.1645717919999997E-2</v>
      </c>
      <c r="AS370" s="1050" cm="1">
        <f t="array" aca="1" ref="AS370" ca="1">INDEX(OFFSET($AK$19,MATCH($B370,$B$19:$B$150,0)-1,0,COUNTA($B$19:$B$24),COUNTA($AK$17:$BB$17)),MATCH($F370,$F$19:$F$24,0),MATCH(AS$17,$AK$17:$BB$17,0))*INDEX($10:$13,MATCH($O370,$R$10:$R$13,0),COLUMN())</f>
        <v>7.1453368579999996E-4</v>
      </c>
      <c r="AT370" s="1050" cm="1">
        <f t="array" aca="1" ref="AT370" ca="1">INDEX(OFFSET($AK$19,MATCH($B370,$B$19:$B$150,0)-1,0,COUNTA($B$19:$B$24),COUNTA($AK$17:$BB$17)),MATCH($F370,$F$19:$F$24,0),MATCH(AT$17,$AK$17:$BB$17,0))*INDEX($10:$13,MATCH($O370,$R$10:$R$13,0),COLUMN())</f>
        <v>1.3576921560999998E-5</v>
      </c>
      <c r="AU370" s="1050" cm="1">
        <f t="array" aca="1" ref="AU370" ca="1">INDEX(OFFSET($AK$19,MATCH($B370,$B$19:$B$150,0)-1,0,COUNTA($B$19:$B$24),COUNTA($AK$17:$BB$17)),MATCH($F370,$F$19:$F$24,0),MATCH(AU$17,$AK$17:$BB$17,0))*INDEX($10:$13,MATCH($O370,$R$10:$R$13,0),COLUMN())</f>
        <v>2.8102258207000002E-6</v>
      </c>
      <c r="AV370" s="1050" cm="1">
        <f t="array" aca="1" ref="AV370" ca="1">INDEX(OFFSET($AK$19,MATCH($B370,$B$19:$B$150,0)-1,0,COUNTA($B$19:$B$24),COUNTA($AK$17:$BB$17)),MATCH($F370,$F$19:$F$24,0),MATCH(AV$17,$AK$17:$BB$17,0))*INDEX($10:$13,MATCH($O370,$R$10:$R$13,0),COLUMN())</f>
        <v>3.4159470717999999E-3</v>
      </c>
      <c r="AW370" s="1050" cm="1">
        <f t="array" aca="1" ref="AW370" ca="1">INDEX(OFFSET($AK$19,MATCH($B370,$B$19:$B$150,0)-1,0,COUNTA($B$19:$B$24),COUNTA($AK$17:$BB$17)),MATCH($F370,$F$19:$F$24,0),MATCH(AW$17,$AK$17:$BB$17,0))*INDEX($10:$13,MATCH($O370,$R$10:$R$13,0),COLUMN())</f>
        <v>0.57776771910000002</v>
      </c>
      <c r="AX370" s="1050" cm="1">
        <f t="array" aca="1" ref="AX370" ca="1">INDEX(OFFSET($AK$19,MATCH($B370,$B$19:$B$150,0)-1,0,COUNTA($B$19:$B$24),COUNTA($AK$17:$BB$17)),MATCH($F370,$F$19:$F$24,0),MATCH(AX$17,$AK$17:$BB$17,0))*INDEX($10:$13,MATCH($O370,$R$10:$R$13,0),COLUMN())</f>
        <v>1.5047863934999999E-7</v>
      </c>
      <c r="AY370" s="1050" cm="1">
        <f t="array" aca="1" ref="AY370" ca="1">INDEX(OFFSET($AK$19,MATCH($B370,$B$19:$B$150,0)-1,0,COUNTA($B$19:$B$24),COUNTA($AK$17:$BB$17)),MATCH($F370,$F$19:$F$24,0),MATCH(AY$17,$AK$17:$BB$17,0))*INDEX($10:$13,MATCH($O370,$R$10:$R$13,0),COLUMN())</f>
        <v>0</v>
      </c>
      <c r="AZ370" s="1050" cm="1">
        <f t="array" aca="1" ref="AZ370" ca="1">INDEX(OFFSET($AK$19,MATCH($B370,$B$19:$B$150,0)-1,0,COUNTA($B$19:$B$24),COUNTA($AK$17:$BB$17)),MATCH($F370,$F$19:$F$24,0),MATCH(AZ$17,$AK$17:$BB$17,0))*INDEX($10:$13,MATCH($O370,$R$10:$R$13,0),COLUMN())</f>
        <v>0</v>
      </c>
      <c r="BA370" s="1050" cm="1">
        <f t="array" aca="1" ref="BA370" ca="1">INDEX(OFFSET($AK$19,MATCH($B370,$B$19:$B$150,0)-1,0,COUNTA($B$19:$B$24),COUNTA($AK$17:$BB$17)),MATCH($F370,$F$19:$F$24,0),MATCH(BA$17,$AK$17:$BB$17,0))*INDEX($10:$13,MATCH($O370,$R$10:$R$13,0),COLUMN())</f>
        <v>0</v>
      </c>
      <c r="BB370" s="1051" cm="1">
        <f t="array" aca="1" ref="BB370" ca="1">INDEX(OFFSET($AK$19,MATCH($B370,$B$19:$B$150,0)-1,0,COUNTA($B$19:$B$24),COUNTA($AK$17:$BB$17)),MATCH($F370,$F$19:$F$24,0),MATCH(BB$17,$AK$17:$BB$17,0))*INDEX($10:$13,MATCH($O370,$R$10:$R$13,0),COLUMN())</f>
        <v>0</v>
      </c>
      <c r="BC370" s="1053">
        <f t="shared" ca="1" si="169"/>
        <v>0.57776786957863935</v>
      </c>
      <c r="BE370" s="1"/>
      <c r="BF370" s="1"/>
      <c r="BG370" s="1"/>
      <c r="BH370" s="1"/>
      <c r="BI370" s="1"/>
      <c r="BJ370" s="1"/>
      <c r="BK370" s="1"/>
      <c r="BL370" s="1"/>
      <c r="BM370" s="1"/>
      <c r="BN370" s="1"/>
      <c r="BO370" s="1"/>
      <c r="BP370" s="1"/>
      <c r="BQ370" s="1"/>
      <c r="BR370" s="1"/>
      <c r="BS370" s="1"/>
      <c r="BT370" s="1"/>
      <c r="BU370" s="1"/>
      <c r="BV370" s="1"/>
      <c r="BW370" s="1"/>
      <c r="BX370" s="1"/>
      <c r="BY370" s="1"/>
      <c r="BZ370" s="1"/>
    </row>
    <row r="371" spans="2:78" ht="12" customHeight="1" outlineLevel="1" x14ac:dyDescent="0.25">
      <c r="B371" s="104" t="s">
        <v>110</v>
      </c>
      <c r="C371" s="104" t="s">
        <v>121</v>
      </c>
      <c r="D371" s="2" t="s">
        <v>143</v>
      </c>
      <c r="E371" s="2" t="s">
        <v>147</v>
      </c>
      <c r="F371" s="105" t="s">
        <v>93</v>
      </c>
      <c r="G371" s="27" t="s">
        <v>1578</v>
      </c>
      <c r="H371" s="106" t="s">
        <v>130</v>
      </c>
      <c r="I371" s="107" t="s">
        <v>129</v>
      </c>
      <c r="J371" s="147">
        <v>6.3623397199999996</v>
      </c>
      <c r="K371" s="148">
        <v>0.72726000000000002</v>
      </c>
      <c r="L371" s="149">
        <f t="shared" ca="1" si="167"/>
        <v>1.369526416892902</v>
      </c>
      <c r="M371" s="148">
        <f t="shared" ca="1" si="168"/>
        <v>1.7232617819495319</v>
      </c>
      <c r="N371" s="148">
        <f t="shared" ca="1" si="170"/>
        <v>0.99600178194953193</v>
      </c>
      <c r="O371" s="1062" t="s">
        <v>1583</v>
      </c>
      <c r="P371" s="104"/>
      <c r="R371" s="119"/>
      <c r="S371" s="1072"/>
      <c r="T371" s="1072"/>
      <c r="U371" s="1072"/>
      <c r="V371" s="1072"/>
      <c r="W371" s="1072"/>
      <c r="X371" s="1072"/>
      <c r="Y371" s="1072"/>
      <c r="Z371" s="1072"/>
      <c r="AA371" s="1072"/>
      <c r="AB371" s="1072"/>
      <c r="AC371" s="1072"/>
      <c r="AD371" s="1072"/>
      <c r="AE371" s="1072"/>
      <c r="AF371" s="1072"/>
      <c r="AG371" s="1072"/>
      <c r="AH371" s="1072"/>
      <c r="AI371" s="1072"/>
      <c r="AJ371" s="1073"/>
      <c r="AK371" s="1052" cm="1">
        <f t="array" aca="1" ref="AK371" ca="1">INDEX(OFFSET($AK$19,MATCH($B371,$B$19:$B$150,0)-1,0,COUNTA($B$19:$B$24),COUNTA($AK$17:$BB$17)),MATCH($F371,$F$19:$F$24,0),MATCH(AK$17,$AK$17:$BB$17,0))*INDEX($10:$13,MATCH($O371,$R$10:$R$13,0),COLUMN())</f>
        <v>0.14548959359999999</v>
      </c>
      <c r="AL371" s="1050" cm="1">
        <f t="array" aca="1" ref="AL371" ca="1">INDEX(OFFSET($AK$19,MATCH($B371,$B$19:$B$150,0)-1,0,COUNTA($B$19:$B$24),COUNTA($AK$17:$BB$17)),MATCH($F371,$F$19:$F$24,0),MATCH(AL$17,$AK$17:$BB$17,0))*INDEX($10:$13,MATCH($O371,$R$10:$R$13,0),COLUMN())</f>
        <v>1.6230851535999998E-7</v>
      </c>
      <c r="AM371" s="1050" cm="1">
        <f t="array" aca="1" ref="AM371" ca="1">INDEX(OFFSET($AK$19,MATCH($B371,$B$19:$B$150,0)-1,0,COUNTA($B$19:$B$24),COUNTA($AK$17:$BB$17)),MATCH($F371,$F$19:$F$24,0),MATCH(AM$17,$AK$17:$BB$17,0))*INDEX($10:$13,MATCH($O371,$R$10:$R$13,0),COLUMN())</f>
        <v>3.0087374294E-4</v>
      </c>
      <c r="AN371" s="1050" cm="1">
        <f t="array" aca="1" ref="AN371" ca="1">INDEX(OFFSET($AK$19,MATCH($B371,$B$19:$B$150,0)-1,0,COUNTA($B$19:$B$24),COUNTA($AK$17:$BB$17)),MATCH($F371,$F$19:$F$24,0),MATCH(AN$17,$AK$17:$BB$17,0))*INDEX($10:$13,MATCH($O371,$R$10:$R$13,0),COLUMN())</f>
        <v>3.3317862099999998E-3</v>
      </c>
      <c r="AO371" s="1050" cm="1">
        <f t="array" aca="1" ref="AO371" ca="1">INDEX(OFFSET($AK$19,MATCH($B371,$B$19:$B$150,0)-1,0,COUNTA($B$19:$B$24),COUNTA($AK$17:$BB$17)),MATCH($F371,$F$19:$F$24,0),MATCH(AO$17,$AK$17:$BB$17,0))*INDEX($10:$13,MATCH($O371,$R$10:$R$13,0),COLUMN())</f>
        <v>5.3072797680000006E-2</v>
      </c>
      <c r="AP371" s="1050" cm="1">
        <f t="array" aca="1" ref="AP371" ca="1">INDEX(OFFSET($AK$19,MATCH($B371,$B$19:$B$150,0)-1,0,COUNTA($B$19:$B$24),COUNTA($AK$17:$BB$17)),MATCH($F371,$F$19:$F$24,0),MATCH(AP$17,$AK$17:$BB$17,0))*INDEX($10:$13,MATCH($O371,$R$10:$R$13,0),COLUMN())</f>
        <v>2.9160204171000001E-2</v>
      </c>
      <c r="AQ371" s="1050" cm="1">
        <f t="array" aca="1" ref="AQ371" ca="1">INDEX(OFFSET($AK$19,MATCH($B371,$B$19:$B$150,0)-1,0,COUNTA($B$19:$B$24),COUNTA($AK$17:$BB$17)),MATCH($F371,$F$19:$F$24,0),MATCH(AQ$17,$AK$17:$BB$17,0))*INDEX($10:$13,MATCH($O371,$R$10:$R$13,0),COLUMN())</f>
        <v>1.9860832620000003E-4</v>
      </c>
      <c r="AR371" s="1050" cm="1">
        <f t="array" aca="1" ref="AR371" ca="1">INDEX(OFFSET($AK$19,MATCH($B371,$B$19:$B$150,0)-1,0,COUNTA($B$19:$B$24),COUNTA($AK$17:$BB$17)),MATCH($F371,$F$19:$F$24,0),MATCH(AR$17,$AK$17:$BB$17,0))*INDEX($10:$13,MATCH($O371,$R$10:$R$13,0),COLUMN())</f>
        <v>3.9400866789999996E-2</v>
      </c>
      <c r="AS371" s="1050" cm="1">
        <f t="array" aca="1" ref="AS371" ca="1">INDEX(OFFSET($AK$19,MATCH($B371,$B$19:$B$150,0)-1,0,COUNTA($B$19:$B$24),COUNTA($AK$17:$BB$17)),MATCH($F371,$F$19:$F$24,0),MATCH(AS$17,$AK$17:$BB$17,0))*INDEX($10:$13,MATCH($O371,$R$10:$R$13,0),COLUMN())</f>
        <v>1.0901802262999998E-3</v>
      </c>
      <c r="AT371" s="1050" cm="1">
        <f t="array" aca="1" ref="AT371" ca="1">INDEX(OFFSET($AK$19,MATCH($B371,$B$19:$B$150,0)-1,0,COUNTA($B$19:$B$24),COUNTA($AK$17:$BB$17)),MATCH($F371,$F$19:$F$24,0),MATCH(AT$17,$AK$17:$BB$17,0))*INDEX($10:$13,MATCH($O371,$R$10:$R$13,0),COLUMN())</f>
        <v>1.6978079450999998E-5</v>
      </c>
      <c r="AU371" s="1050" cm="1">
        <f t="array" aca="1" ref="AU371" ca="1">INDEX(OFFSET($AK$19,MATCH($B371,$B$19:$B$150,0)-1,0,COUNTA($B$19:$B$24),COUNTA($AK$17:$BB$17)),MATCH($F371,$F$19:$F$24,0),MATCH(AU$17,$AK$17:$BB$17,0))*INDEX($10:$13,MATCH($O371,$R$10:$R$13,0),COLUMN())</f>
        <v>3.5065616509999999E-6</v>
      </c>
      <c r="AV371" s="1050" cm="1">
        <f t="array" aca="1" ref="AV371" ca="1">INDEX(OFFSET($AK$19,MATCH($B371,$B$19:$B$150,0)-1,0,COUNTA($B$19:$B$24),COUNTA($AK$17:$BB$17)),MATCH($F371,$F$19:$F$24,0),MATCH(AV$17,$AK$17:$BB$17,0))*INDEX($10:$13,MATCH($O371,$R$10:$R$13,0),COLUMN())</f>
        <v>4.5796699482999999E-3</v>
      </c>
      <c r="AW371" s="1050" cm="1">
        <f t="array" aca="1" ref="AW371" ca="1">INDEX(OFFSET($AK$19,MATCH($B371,$B$19:$B$150,0)-1,0,COUNTA($B$19:$B$24),COUNTA($AK$17:$BB$17)),MATCH($F371,$F$19:$F$24,0),MATCH(AW$17,$AK$17:$BB$17,0))*INDEX($10:$13,MATCH($O371,$R$10:$R$13,0),COLUMN())</f>
        <v>0.71935636695000016</v>
      </c>
      <c r="AX371" s="1050" cm="1">
        <f t="array" aca="1" ref="AX371" ca="1">INDEX(OFFSET($AK$19,MATCH($B371,$B$19:$B$150,0)-1,0,COUNTA($B$19:$B$24),COUNTA($AK$17:$BB$17)),MATCH($F371,$F$19:$F$24,0),MATCH(AX$17,$AK$17:$BB$17,0))*INDEX($10:$13,MATCH($O371,$R$10:$R$13,0),COLUMN())</f>
        <v>1.8735517450000002E-7</v>
      </c>
      <c r="AY371" s="1050" cm="1">
        <f t="array" aca="1" ref="AY371" ca="1">INDEX(OFFSET($AK$19,MATCH($B371,$B$19:$B$150,0)-1,0,COUNTA($B$19:$B$24),COUNTA($AK$17:$BB$17)),MATCH($F371,$F$19:$F$24,0),MATCH(AY$17,$AK$17:$BB$17,0))*INDEX($10:$13,MATCH($O371,$R$10:$R$13,0),COLUMN())</f>
        <v>0</v>
      </c>
      <c r="AZ371" s="1050" cm="1">
        <f t="array" aca="1" ref="AZ371" ca="1">INDEX(OFFSET($AK$19,MATCH($B371,$B$19:$B$150,0)-1,0,COUNTA($B$19:$B$24),COUNTA($AK$17:$BB$17)),MATCH($F371,$F$19:$F$24,0),MATCH(AZ$17,$AK$17:$BB$17,0))*INDEX($10:$13,MATCH($O371,$R$10:$R$13,0),COLUMN())</f>
        <v>0</v>
      </c>
      <c r="BA371" s="1050" cm="1">
        <f t="array" aca="1" ref="BA371" ca="1">INDEX(OFFSET($AK$19,MATCH($B371,$B$19:$B$150,0)-1,0,COUNTA($B$19:$B$24),COUNTA($AK$17:$BB$17)),MATCH($F371,$F$19:$F$24,0),MATCH(BA$17,$AK$17:$BB$17,0))*INDEX($10:$13,MATCH($O371,$R$10:$R$13,0),COLUMN())</f>
        <v>0</v>
      </c>
      <c r="BB371" s="1051" cm="1">
        <f t="array" aca="1" ref="BB371" ca="1">INDEX(OFFSET($AK$19,MATCH($B371,$B$19:$B$150,0)-1,0,COUNTA($B$19:$B$24),COUNTA($AK$17:$BB$17)),MATCH($F371,$F$19:$F$24,0),MATCH(BB$17,$AK$17:$BB$17,0))*INDEX($10:$13,MATCH($O371,$R$10:$R$13,0),COLUMN())</f>
        <v>0</v>
      </c>
      <c r="BC371" s="1053">
        <f t="shared" ca="1" si="169"/>
        <v>0.71935655430517464</v>
      </c>
      <c r="BE371" s="1"/>
      <c r="BF371" s="1"/>
      <c r="BG371" s="1"/>
      <c r="BH371" s="1"/>
      <c r="BI371" s="1"/>
      <c r="BJ371" s="1"/>
      <c r="BK371" s="1"/>
      <c r="BL371" s="1"/>
      <c r="BM371" s="1"/>
      <c r="BN371" s="1"/>
      <c r="BO371" s="1"/>
      <c r="BP371" s="1"/>
      <c r="BQ371" s="1"/>
      <c r="BR371" s="1"/>
      <c r="BS371" s="1"/>
      <c r="BT371" s="1"/>
      <c r="BU371" s="1"/>
      <c r="BV371" s="1"/>
      <c r="BW371" s="1"/>
      <c r="BX371" s="1"/>
      <c r="BY371" s="1"/>
      <c r="BZ371" s="1"/>
    </row>
    <row r="372" spans="2:78" ht="12" customHeight="1" outlineLevel="1" x14ac:dyDescent="0.25">
      <c r="B372" s="104" t="s">
        <v>110</v>
      </c>
      <c r="C372" s="104" t="s">
        <v>121</v>
      </c>
      <c r="D372" s="2" t="s">
        <v>143</v>
      </c>
      <c r="E372" s="2" t="s">
        <v>147</v>
      </c>
      <c r="F372" s="105" t="s">
        <v>94</v>
      </c>
      <c r="G372" s="27" t="s">
        <v>1580</v>
      </c>
      <c r="H372" s="106" t="s">
        <v>131</v>
      </c>
      <c r="I372" s="107" t="s">
        <v>129</v>
      </c>
      <c r="J372" s="147">
        <v>6.3623397199999996</v>
      </c>
      <c r="K372" s="148">
        <v>0.72726000000000002</v>
      </c>
      <c r="L372" s="149">
        <f t="shared" ca="1" si="167"/>
        <v>0.91804228775695595</v>
      </c>
      <c r="M372" s="148">
        <f t="shared" ca="1" si="168"/>
        <v>1.3949154341941239</v>
      </c>
      <c r="N372" s="148">
        <f t="shared" ca="1" si="170"/>
        <v>0.66765543419412376</v>
      </c>
      <c r="O372" s="1062" t="s">
        <v>1583</v>
      </c>
      <c r="P372" s="104"/>
      <c r="R372" s="119"/>
      <c r="S372" s="1072"/>
      <c r="T372" s="1072"/>
      <c r="U372" s="1072"/>
      <c r="V372" s="1072"/>
      <c r="W372" s="1072"/>
      <c r="X372" s="1072"/>
      <c r="Y372" s="1072"/>
      <c r="Z372" s="1072"/>
      <c r="AA372" s="1072"/>
      <c r="AB372" s="1072"/>
      <c r="AC372" s="1072"/>
      <c r="AD372" s="1072"/>
      <c r="AE372" s="1072"/>
      <c r="AF372" s="1072"/>
      <c r="AG372" s="1072"/>
      <c r="AH372" s="1072"/>
      <c r="AI372" s="1072"/>
      <c r="AJ372" s="1073"/>
      <c r="AK372" s="1052" cm="1">
        <f t="array" aca="1" ref="AK372" ca="1">INDEX(OFFSET($AK$19,MATCH($B372,$B$19:$B$150,0)-1,0,COUNTA($B$19:$B$24),COUNTA($AK$17:$BB$17)),MATCH($F372,$F$19:$F$24,0),MATCH(AK$17,$AK$17:$BB$17,0))*INDEX($10:$13,MATCH($O372,$R$10:$R$13,0),COLUMN())</f>
        <v>9.7630211250000001E-2</v>
      </c>
      <c r="AL372" s="1050" cm="1">
        <f t="array" aca="1" ref="AL372" ca="1">INDEX(OFFSET($AK$19,MATCH($B372,$B$19:$B$150,0)-1,0,COUNTA($B$19:$B$24),COUNTA($AK$17:$BB$17)),MATCH($F372,$F$19:$F$24,0),MATCH(AL$17,$AK$17:$BB$17,0))*INDEX($10:$13,MATCH($O372,$R$10:$R$13,0),COLUMN())</f>
        <v>1.0891648159999999E-7</v>
      </c>
      <c r="AM372" s="1050" cm="1">
        <f t="array" aca="1" ref="AM372" ca="1">INDEX(OFFSET($AK$19,MATCH($B372,$B$19:$B$150,0)-1,0,COUNTA($B$19:$B$24),COUNTA($AK$17:$BB$17)),MATCH($F372,$F$19:$F$24,0),MATCH(AM$17,$AK$17:$BB$17,0))*INDEX($10:$13,MATCH($O372,$R$10:$R$13,0),COLUMN())</f>
        <v>2.0190012703000002E-4</v>
      </c>
      <c r="AN372" s="1050" cm="1">
        <f t="array" aca="1" ref="AN372" ca="1">INDEX(OFFSET($AK$19,MATCH($B372,$B$19:$B$150,0)-1,0,COUNTA($B$19:$B$24),COUNTA($AK$17:$BB$17)),MATCH($F372,$F$19:$F$24,0),MATCH(AN$17,$AK$17:$BB$17,0))*INDEX($10:$13,MATCH($O372,$R$10:$R$13,0),COLUMN())</f>
        <v>2.2357819299999998E-3</v>
      </c>
      <c r="AO372" s="1050" cm="1">
        <f t="array" aca="1" ref="AO372" ca="1">INDEX(OFFSET($AK$19,MATCH($B372,$B$19:$B$150,0)-1,0,COUNTA($B$19:$B$24),COUNTA($AK$17:$BB$17)),MATCH($F372,$F$19:$F$24,0),MATCH(AO$17,$AK$17:$BB$17,0))*INDEX($10:$13,MATCH($O372,$R$10:$R$13,0),COLUMN())</f>
        <v>3.5614288584000002E-2</v>
      </c>
      <c r="AP372" s="1050" cm="1">
        <f t="array" aca="1" ref="AP372" ca="1">INDEX(OFFSET($AK$19,MATCH($B372,$B$19:$B$150,0)-1,0,COUNTA($B$19:$B$24),COUNTA($AK$17:$BB$17)),MATCH($F372,$F$19:$F$24,0),MATCH(AP$17,$AK$17:$BB$17,0))*INDEX($10:$13,MATCH($O372,$R$10:$R$13,0),COLUMN())</f>
        <v>1.9567838772999998E-2</v>
      </c>
      <c r="AQ372" s="1050" cm="1">
        <f t="array" aca="1" ref="AQ372" ca="1">INDEX(OFFSET($AK$19,MATCH($B372,$B$19:$B$150,0)-1,0,COUNTA($B$19:$B$24),COUNTA($AK$17:$BB$17)),MATCH($F372,$F$19:$F$24,0),MATCH(AQ$17,$AK$17:$BB$17,0))*INDEX($10:$13,MATCH($O372,$R$10:$R$13,0),COLUMN())</f>
        <v>1.3327532028E-4</v>
      </c>
      <c r="AR372" s="1050" cm="1">
        <f t="array" aca="1" ref="AR372" ca="1">INDEX(OFFSET($AK$19,MATCH($B372,$B$19:$B$150,0)-1,0,COUNTA($B$19:$B$24),COUNTA($AK$17:$BB$17)),MATCH($F372,$F$19:$F$24,0),MATCH(AR$17,$AK$17:$BB$17,0))*INDEX($10:$13,MATCH($O372,$R$10:$R$13,0),COLUMN())</f>
        <v>2.6439793443000001E-2</v>
      </c>
      <c r="AS372" s="1050" cm="1">
        <f t="array" aca="1" ref="AS372" ca="1">INDEX(OFFSET($AK$19,MATCH($B372,$B$19:$B$150,0)-1,0,COUNTA($B$19:$B$24),COUNTA($AK$17:$BB$17)),MATCH($F372,$F$19:$F$24,0),MATCH(AS$17,$AK$17:$BB$17,0))*INDEX($10:$13,MATCH($O372,$R$10:$R$13,0),COLUMN())</f>
        <v>4.6241552136999994E-4</v>
      </c>
      <c r="AT372" s="1050" cm="1">
        <f t="array" aca="1" ref="AT372" ca="1">INDEX(OFFSET($AK$19,MATCH($B372,$B$19:$B$150,0)-1,0,COUNTA($B$19:$B$24),COUNTA($AK$17:$BB$17)),MATCH($F372,$F$19:$F$24,0),MATCH(AT$17,$AK$17:$BB$17,0))*INDEX($10:$13,MATCH($O372,$R$10:$R$13,0),COLUMN())</f>
        <v>1.1293789335000001E-5</v>
      </c>
      <c r="AU372" s="1050" cm="1">
        <f t="array" aca="1" ref="AU372" ca="1">INDEX(OFFSET($AK$19,MATCH($B372,$B$19:$B$150,0)-1,0,COUNTA($B$19:$B$24),COUNTA($AK$17:$BB$17)),MATCH($F372,$F$19:$F$24,0),MATCH(AU$17,$AK$17:$BB$17,0))*INDEX($10:$13,MATCH($O372,$R$10:$R$13,0),COLUMN())</f>
        <v>2.3427871853000003E-6</v>
      </c>
      <c r="AV372" s="1050" cm="1">
        <f t="array" aca="1" ref="AV372" ca="1">INDEX(OFFSET($AK$19,MATCH($B372,$B$19:$B$150,0)-1,0,COUNTA($B$19:$B$24),COUNTA($AK$17:$BB$17)),MATCH($F372,$F$19:$F$24,0),MATCH(AV$17,$AK$17:$BB$17,0))*INDEX($10:$13,MATCH($O372,$R$10:$R$13,0),COLUMN())</f>
        <v>2.6348346284999998E-3</v>
      </c>
      <c r="AW372" s="1050" cm="1">
        <f t="array" aca="1" ref="AW372" ca="1">INDEX(OFFSET($AK$19,MATCH($B372,$B$19:$B$150,0)-1,0,COUNTA($B$19:$B$24),COUNTA($AK$17:$BB$17)),MATCH($F372,$F$19:$F$24,0),MATCH(AW$17,$AK$17:$BB$17,0))*INDEX($10:$13,MATCH($O372,$R$10:$R$13,0),COLUMN())</f>
        <v>0.48272122340000001</v>
      </c>
      <c r="AX372" s="1050" cm="1">
        <f t="array" aca="1" ref="AX372" ca="1">INDEX(OFFSET($AK$19,MATCH($B372,$B$19:$B$150,0)-1,0,COUNTA($B$19:$B$24),COUNTA($AK$17:$BB$17)),MATCH($F372,$F$19:$F$24,0),MATCH(AX$17,$AK$17:$BB$17,0))*INDEX($10:$13,MATCH($O372,$R$10:$R$13,0),COLUMN())</f>
        <v>1.2572394185000002E-7</v>
      </c>
      <c r="AY372" s="1050" cm="1">
        <f t="array" aca="1" ref="AY372" ca="1">INDEX(OFFSET($AK$19,MATCH($B372,$B$19:$B$150,0)-1,0,COUNTA($B$19:$B$24),COUNTA($AK$17:$BB$17)),MATCH($F372,$F$19:$F$24,0),MATCH(AY$17,$AK$17:$BB$17,0))*INDEX($10:$13,MATCH($O372,$R$10:$R$13,0),COLUMN())</f>
        <v>0</v>
      </c>
      <c r="AZ372" s="1050" cm="1">
        <f t="array" aca="1" ref="AZ372" ca="1">INDEX(OFFSET($AK$19,MATCH($B372,$B$19:$B$150,0)-1,0,COUNTA($B$19:$B$24),COUNTA($AK$17:$BB$17)),MATCH($F372,$F$19:$F$24,0),MATCH(AZ$17,$AK$17:$BB$17,0))*INDEX($10:$13,MATCH($O372,$R$10:$R$13,0),COLUMN())</f>
        <v>0</v>
      </c>
      <c r="BA372" s="1050" cm="1">
        <f t="array" aca="1" ref="BA372" ca="1">INDEX(OFFSET($AK$19,MATCH($B372,$B$19:$B$150,0)-1,0,COUNTA($B$19:$B$24),COUNTA($AK$17:$BB$17)),MATCH($F372,$F$19:$F$24,0),MATCH(BA$17,$AK$17:$BB$17,0))*INDEX($10:$13,MATCH($O372,$R$10:$R$13,0),COLUMN())</f>
        <v>0</v>
      </c>
      <c r="BB372" s="1051" cm="1">
        <f t="array" aca="1" ref="BB372" ca="1">INDEX(OFFSET($AK$19,MATCH($B372,$B$19:$B$150,0)-1,0,COUNTA($B$19:$B$24),COUNTA($AK$17:$BB$17)),MATCH($F372,$F$19:$F$24,0),MATCH(BB$17,$AK$17:$BB$17,0))*INDEX($10:$13,MATCH($O372,$R$10:$R$13,0),COLUMN())</f>
        <v>0</v>
      </c>
      <c r="BC372" s="1053">
        <f t="shared" ca="1" si="169"/>
        <v>0.48272134912394188</v>
      </c>
      <c r="BE372" s="1"/>
      <c r="BF372" s="1"/>
      <c r="BG372" s="1"/>
      <c r="BH372" s="1"/>
      <c r="BI372" s="1"/>
      <c r="BJ372" s="1"/>
      <c r="BK372" s="1"/>
      <c r="BL372" s="1"/>
      <c r="BM372" s="1"/>
      <c r="BN372" s="1"/>
      <c r="BO372" s="1"/>
      <c r="BP372" s="1"/>
      <c r="BQ372" s="1"/>
      <c r="BR372" s="1"/>
      <c r="BS372" s="1"/>
      <c r="BT372" s="1"/>
      <c r="BU372" s="1"/>
      <c r="BV372" s="1"/>
      <c r="BW372" s="1"/>
      <c r="BX372" s="1"/>
      <c r="BY372" s="1"/>
      <c r="BZ372" s="1"/>
    </row>
    <row r="373" spans="2:78" ht="12" customHeight="1" outlineLevel="1" x14ac:dyDescent="0.25">
      <c r="B373" s="104" t="s">
        <v>110</v>
      </c>
      <c r="C373" s="104" t="s">
        <v>121</v>
      </c>
      <c r="D373" s="2" t="s">
        <v>143</v>
      </c>
      <c r="E373" s="2" t="s">
        <v>147</v>
      </c>
      <c r="F373" s="105" t="s">
        <v>95</v>
      </c>
      <c r="G373" s="27" t="s">
        <v>1581</v>
      </c>
      <c r="H373" s="106" t="s">
        <v>128</v>
      </c>
      <c r="I373" s="107" t="s">
        <v>127</v>
      </c>
      <c r="J373" s="147">
        <v>6.3623397199999996</v>
      </c>
      <c r="K373" s="148">
        <v>0.72726000000000002</v>
      </c>
      <c r="L373" s="149">
        <f t="shared" ca="1" si="167"/>
        <v>1.3402085820108918</v>
      </c>
      <c r="M373" s="148">
        <f t="shared" ca="1" si="168"/>
        <v>1.7019400933532411</v>
      </c>
      <c r="N373" s="148">
        <f t="shared" ca="1" si="170"/>
        <v>0.97468009335324113</v>
      </c>
      <c r="O373" s="1062" t="s">
        <v>1583</v>
      </c>
      <c r="P373" s="104"/>
      <c r="R373" s="119"/>
      <c r="S373" s="1072"/>
      <c r="T373" s="1072"/>
      <c r="U373" s="1072"/>
      <c r="V373" s="1072"/>
      <c r="W373" s="1072"/>
      <c r="X373" s="1072"/>
      <c r="Y373" s="1072"/>
      <c r="Z373" s="1072"/>
      <c r="AA373" s="1072"/>
      <c r="AB373" s="1072"/>
      <c r="AC373" s="1072"/>
      <c r="AD373" s="1072"/>
      <c r="AE373" s="1072"/>
      <c r="AF373" s="1072"/>
      <c r="AG373" s="1072"/>
      <c r="AH373" s="1072"/>
      <c r="AI373" s="1072"/>
      <c r="AJ373" s="1073"/>
      <c r="AK373" s="1052" cm="1">
        <f t="array" aca="1" ref="AK373" ca="1">INDEX(OFFSET($AK$19,MATCH($B373,$B$19:$B$150,0)-1,0,COUNTA($B$19:$B$24),COUNTA($AK$17:$BB$17)),MATCH($F373,$F$19:$F$24,0),MATCH(AK$17,$AK$17:$BB$17,0))*INDEX($10:$13,MATCH($O373,$R$10:$R$13,0),COLUMN())</f>
        <v>0.13773083025000002</v>
      </c>
      <c r="AL373" s="1050" cm="1">
        <f t="array" aca="1" ref="AL373" ca="1">INDEX(OFFSET($AK$19,MATCH($B373,$B$19:$B$150,0)-1,0,COUNTA($B$19:$B$24),COUNTA($AK$17:$BB$17)),MATCH($F373,$F$19:$F$24,0),MATCH(AL$17,$AK$17:$BB$17,0))*INDEX($10:$13,MATCH($O373,$R$10:$R$13,0),COLUMN())</f>
        <v>1.3144956351999999E-7</v>
      </c>
      <c r="AM373" s="1050" cm="1">
        <f t="array" aca="1" ref="AM373" ca="1">INDEX(OFFSET($AK$19,MATCH($B373,$B$19:$B$150,0)-1,0,COUNTA($B$19:$B$24),COUNTA($AK$17:$BB$17)),MATCH($F373,$F$19:$F$24,0),MATCH(AM$17,$AK$17:$BB$17,0))*INDEX($10:$13,MATCH($O373,$R$10:$R$13,0),COLUMN())</f>
        <v>2.4366100141000002E-4</v>
      </c>
      <c r="AN373" s="1050" cm="1">
        <f t="array" aca="1" ref="AN373" ca="1">INDEX(OFFSET($AK$19,MATCH($B373,$B$19:$B$150,0)-1,0,COUNTA($B$19:$B$24),COUNTA($AK$17:$BB$17)),MATCH($F373,$F$19:$F$24,0),MATCH(AN$17,$AK$17:$BB$17,0))*INDEX($10:$13,MATCH($O373,$R$10:$R$13,0),COLUMN())</f>
        <v>2.8881318499999996E-3</v>
      </c>
      <c r="AO373" s="1050" cm="1">
        <f t="array" aca="1" ref="AO373" ca="1">INDEX(OFFSET($AK$19,MATCH($B373,$B$19:$B$150,0)-1,0,COUNTA($B$19:$B$24),COUNTA($AK$17:$BB$17)),MATCH($F373,$F$19:$F$24,0),MATCH(AO$17,$AK$17:$BB$17,0))*INDEX($10:$13,MATCH($O373,$R$10:$R$13,0),COLUMN())</f>
        <v>0.10369088352</v>
      </c>
      <c r="AP373" s="1050" cm="1">
        <f t="array" aca="1" ref="AP373" ca="1">INDEX(OFFSET($AK$19,MATCH($B373,$B$19:$B$150,0)-1,0,COUNTA($B$19:$B$24),COUNTA($AK$17:$BB$17)),MATCH($F373,$F$19:$F$24,0),MATCH(AP$17,$AK$17:$BB$17,0))*INDEX($10:$13,MATCH($O373,$R$10:$R$13,0),COLUMN())</f>
        <v>8.1550732059999992E-2</v>
      </c>
      <c r="AQ373" s="1050" cm="1">
        <f t="array" aca="1" ref="AQ373" ca="1">INDEX(OFFSET($AK$19,MATCH($B373,$B$19:$B$150,0)-1,0,COUNTA($B$19:$B$24),COUNTA($AK$17:$BB$17)),MATCH($F373,$F$19:$F$24,0),MATCH(AQ$17,$AK$17:$BB$17,0))*INDEX($10:$13,MATCH($O373,$R$10:$R$13,0),COLUMN())</f>
        <v>6.3180037320000005E-4</v>
      </c>
      <c r="AR373" s="1050" cm="1">
        <f t="array" aca="1" ref="AR373" ca="1">INDEX(OFFSET($AK$19,MATCH($B373,$B$19:$B$150,0)-1,0,COUNTA($B$19:$B$24),COUNTA($AK$17:$BB$17)),MATCH($F373,$F$19:$F$24,0),MATCH(AR$17,$AK$17:$BB$17,0))*INDEX($10:$13,MATCH($O373,$R$10:$R$13,0),COLUMN())</f>
        <v>4.7125733589999996E-2</v>
      </c>
      <c r="AS373" s="1050" cm="1">
        <f t="array" aca="1" ref="AS373" ca="1">INDEX(OFFSET($AK$19,MATCH($B373,$B$19:$B$150,0)-1,0,COUNTA($B$19:$B$24),COUNTA($AK$17:$BB$17)),MATCH($F373,$F$19:$F$24,0),MATCH(AS$17,$AK$17:$BB$17,0))*INDEX($10:$13,MATCH($O373,$R$10:$R$13,0),COLUMN())</f>
        <v>8.0198696941000003E-3</v>
      </c>
      <c r="AT373" s="1050" cm="1">
        <f t="array" aca="1" ref="AT373" ca="1">INDEX(OFFSET($AK$19,MATCH($B373,$B$19:$B$150,0)-1,0,COUNTA($B$19:$B$24),COUNTA($AK$17:$BB$17)),MATCH($F373,$F$19:$F$24,0),MATCH(AT$17,$AK$17:$BB$17,0))*INDEX($10:$13,MATCH($O373,$R$10:$R$13,0),COLUMN())</f>
        <v>1.8944707092999997E-5</v>
      </c>
      <c r="AU373" s="1050" cm="1">
        <f t="array" aca="1" ref="AU373" ca="1">INDEX(OFFSET($AK$19,MATCH($B373,$B$19:$B$150,0)-1,0,COUNTA($B$19:$B$24),COUNTA($AK$17:$BB$17)),MATCH($F373,$F$19:$F$24,0),MATCH(AU$17,$AK$17:$BB$17,0))*INDEX($10:$13,MATCH($O373,$R$10:$R$13,0),COLUMN())</f>
        <v>3.6308272352999998E-6</v>
      </c>
      <c r="AV373" s="1050" cm="1">
        <f t="array" aca="1" ref="AV373" ca="1">INDEX(OFFSET($AK$19,MATCH($B373,$B$19:$B$150,0)-1,0,COUNTA($B$19:$B$24),COUNTA($AK$17:$BB$17)),MATCH($F373,$F$19:$F$24,0),MATCH(AV$17,$AK$17:$BB$17,0))*INDEX($10:$13,MATCH($O373,$R$10:$R$13,0),COLUMN())</f>
        <v>1.5007874451999999E-2</v>
      </c>
      <c r="AW373" s="1050" cm="1">
        <f t="array" aca="1" ref="AW373" ca="1">INDEX(OFFSET($AK$19,MATCH($B373,$B$19:$B$150,0)-1,0,COUNTA($B$19:$B$24),COUNTA($AK$17:$BB$17)),MATCH($F373,$F$19:$F$24,0),MATCH(AW$17,$AK$17:$BB$17,0))*INDEX($10:$13,MATCH($O373,$R$10:$R$13,0),COLUMN())</f>
        <v>0.57776771910000002</v>
      </c>
      <c r="AX373" s="1050" cm="1">
        <f t="array" aca="1" ref="AX373" ca="1">INDEX(OFFSET($AK$19,MATCH($B373,$B$19:$B$150,0)-1,0,COUNTA($B$19:$B$24),COUNTA($AK$17:$BB$17)),MATCH($F373,$F$19:$F$24,0),MATCH(AX$17,$AK$17:$BB$17,0))*INDEX($10:$13,MATCH($O373,$R$10:$R$13,0),COLUMN())</f>
        <v>1.5047863934999999E-7</v>
      </c>
      <c r="AY373" s="1050" cm="1">
        <f t="array" aca="1" ref="AY373" ca="1">INDEX(OFFSET($AK$19,MATCH($B373,$B$19:$B$150,0)-1,0,COUNTA($B$19:$B$24),COUNTA($AK$17:$BB$17)),MATCH($F373,$F$19:$F$24,0),MATCH(AY$17,$AK$17:$BB$17,0))*INDEX($10:$13,MATCH($O373,$R$10:$R$13,0),COLUMN())</f>
        <v>0</v>
      </c>
      <c r="AZ373" s="1050" cm="1">
        <f t="array" aca="1" ref="AZ373" ca="1">INDEX(OFFSET($AK$19,MATCH($B373,$B$19:$B$150,0)-1,0,COUNTA($B$19:$B$24),COUNTA($AK$17:$BB$17)),MATCH($F373,$F$19:$F$24,0),MATCH(AZ$17,$AK$17:$BB$17,0))*INDEX($10:$13,MATCH($O373,$R$10:$R$13,0),COLUMN())</f>
        <v>0</v>
      </c>
      <c r="BA373" s="1050" cm="1">
        <f t="array" aca="1" ref="BA373" ca="1">INDEX(OFFSET($AK$19,MATCH($B373,$B$19:$B$150,0)-1,0,COUNTA($B$19:$B$24),COUNTA($AK$17:$BB$17)),MATCH($F373,$F$19:$F$24,0),MATCH(BA$17,$AK$17:$BB$17,0))*INDEX($10:$13,MATCH($O373,$R$10:$R$13,0),COLUMN())</f>
        <v>0</v>
      </c>
      <c r="BB373" s="1051" cm="1">
        <f t="array" aca="1" ref="BB373" ca="1">INDEX(OFFSET($AK$19,MATCH($B373,$B$19:$B$150,0)-1,0,COUNTA($B$19:$B$24),COUNTA($AK$17:$BB$17)),MATCH($F373,$F$19:$F$24,0),MATCH(BB$17,$AK$17:$BB$17,0))*INDEX($10:$13,MATCH($O373,$R$10:$R$13,0),COLUMN())</f>
        <v>0</v>
      </c>
      <c r="BC373" s="1053">
        <f t="shared" ca="1" si="169"/>
        <v>0.57776786957863935</v>
      </c>
      <c r="BE373" s="1"/>
      <c r="BF373" s="1"/>
      <c r="BG373" s="1"/>
      <c r="BH373" s="1"/>
      <c r="BI373" s="1"/>
      <c r="BJ373" s="1"/>
      <c r="BK373" s="1"/>
      <c r="BL373" s="1"/>
      <c r="BM373" s="1"/>
      <c r="BN373" s="1"/>
      <c r="BO373" s="1"/>
      <c r="BP373" s="1"/>
      <c r="BQ373" s="1"/>
      <c r="BR373" s="1"/>
      <c r="BS373" s="1"/>
      <c r="BT373" s="1"/>
      <c r="BU373" s="1"/>
      <c r="BV373" s="1"/>
      <c r="BW373" s="1"/>
      <c r="BX373" s="1"/>
      <c r="BY373" s="1"/>
      <c r="BZ373" s="1"/>
    </row>
    <row r="374" spans="2:78" ht="12" customHeight="1" outlineLevel="1" x14ac:dyDescent="0.25">
      <c r="B374" s="104" t="s">
        <v>110</v>
      </c>
      <c r="C374" s="104" t="s">
        <v>121</v>
      </c>
      <c r="D374" s="2" t="s">
        <v>143</v>
      </c>
      <c r="E374" s="2" t="s">
        <v>147</v>
      </c>
      <c r="F374" s="105" t="s">
        <v>96</v>
      </c>
      <c r="G374" s="27" t="s">
        <v>1582</v>
      </c>
      <c r="H374" s="106" t="s">
        <v>128</v>
      </c>
      <c r="I374" s="107" t="s">
        <v>1577</v>
      </c>
      <c r="J374" s="147">
        <v>6.3623397199999996</v>
      </c>
      <c r="K374" s="148">
        <v>0.72726000000000002</v>
      </c>
      <c r="L374" s="149">
        <f t="shared" ca="1" si="167"/>
        <v>1.5156678902519607</v>
      </c>
      <c r="M374" s="148">
        <f t="shared" ca="1" si="168"/>
        <v>1.8295446298646409</v>
      </c>
      <c r="N374" s="148">
        <f t="shared" ca="1" si="170"/>
        <v>1.1022846298646409</v>
      </c>
      <c r="O374" s="1062" t="s">
        <v>1583</v>
      </c>
      <c r="P374" s="104"/>
      <c r="R374" s="119"/>
      <c r="S374" s="1072"/>
      <c r="T374" s="1072"/>
      <c r="U374" s="1072"/>
      <c r="V374" s="1072"/>
      <c r="W374" s="1072"/>
      <c r="X374" s="1072"/>
      <c r="Y374" s="1072"/>
      <c r="Z374" s="1072"/>
      <c r="AA374" s="1072"/>
      <c r="AB374" s="1072"/>
      <c r="AC374" s="1072"/>
      <c r="AD374" s="1072"/>
      <c r="AE374" s="1072"/>
      <c r="AF374" s="1072"/>
      <c r="AG374" s="1072"/>
      <c r="AH374" s="1072"/>
      <c r="AI374" s="1072"/>
      <c r="AJ374" s="1073"/>
      <c r="AK374" s="1052" cm="1">
        <f t="array" aca="1" ref="AK374" ca="1">INDEX(OFFSET($AK$19,MATCH($B374,$B$19:$B$150,0)-1,0,COUNTA($B$19:$B$24),COUNTA($AK$17:$BB$17)),MATCH($F374,$F$19:$F$24,0),MATCH(AK$17,$AK$17:$BB$17,0))*INDEX($10:$13,MATCH($O374,$R$10:$R$13,0),COLUMN())</f>
        <v>0.1526933889</v>
      </c>
      <c r="AL374" s="1050" cm="1">
        <f t="array" aca="1" ref="AL374" ca="1">INDEX(OFFSET($AK$19,MATCH($B374,$B$19:$B$150,0)-1,0,COUNTA($B$19:$B$24),COUNTA($AK$17:$BB$17)),MATCH($F374,$F$19:$F$24,0),MATCH(AL$17,$AK$17:$BB$17,0))*INDEX($10:$13,MATCH($O374,$R$10:$R$13,0),COLUMN())</f>
        <v>1.3215942783999998E-7</v>
      </c>
      <c r="AM374" s="1050" cm="1">
        <f t="array" aca="1" ref="AM374" ca="1">INDEX(OFFSET($AK$19,MATCH($B374,$B$19:$B$150,0)-1,0,COUNTA($B$19:$B$24),COUNTA($AK$17:$BB$17)),MATCH($F374,$F$19:$F$24,0),MATCH(AM$17,$AK$17:$BB$17,0))*INDEX($10:$13,MATCH($O374,$R$10:$R$13,0),COLUMN())</f>
        <v>2.4497098823000001E-4</v>
      </c>
      <c r="AN374" s="1050" cm="1">
        <f t="array" aca="1" ref="AN374" ca="1">INDEX(OFFSET($AK$19,MATCH($B374,$B$19:$B$150,0)-1,0,COUNTA($B$19:$B$24),COUNTA($AK$17:$BB$17)),MATCH($F374,$F$19:$F$24,0),MATCH(AN$17,$AK$17:$BB$17,0))*INDEX($10:$13,MATCH($O374,$R$10:$R$13,0),COLUMN())</f>
        <v>3.0265716099999998E-3</v>
      </c>
      <c r="AO374" s="1050" cm="1">
        <f t="array" aca="1" ref="AO374" ca="1">INDEX(OFFSET($AK$19,MATCH($B374,$B$19:$B$150,0)-1,0,COUNTA($B$19:$B$24),COUNTA($AK$17:$BB$17)),MATCH($F374,$F$19:$F$24,0),MATCH(AO$17,$AK$17:$BB$17,0))*INDEX($10:$13,MATCH($O374,$R$10:$R$13,0),COLUMN())</f>
        <v>0.14808588704</v>
      </c>
      <c r="AP374" s="1050" cm="1">
        <f t="array" aca="1" ref="AP374" ca="1">INDEX(OFFSET($AK$19,MATCH($B374,$B$19:$B$150,0)-1,0,COUNTA($B$19:$B$24),COUNTA($AK$17:$BB$17)),MATCH($F374,$F$19:$F$24,0),MATCH(AP$17,$AK$17:$BB$17,0))*INDEX($10:$13,MATCH($O374,$R$10:$R$13,0),COLUMN())</f>
        <v>0.12389772143</v>
      </c>
      <c r="AQ374" s="1050" cm="1">
        <f t="array" aca="1" ref="AQ374" ca="1">INDEX(OFFSET($AK$19,MATCH($B374,$B$19:$B$150,0)-1,0,COUNTA($B$19:$B$24),COUNTA($AK$17:$BB$17)),MATCH($F374,$F$19:$F$24,0),MATCH(AQ$17,$AK$17:$BB$17,0))*INDEX($10:$13,MATCH($O374,$R$10:$R$13,0),COLUMN())</f>
        <v>9.6815088780000016E-4</v>
      </c>
      <c r="AR374" s="1050" cm="1">
        <f t="array" aca="1" ref="AR374" ca="1">INDEX(OFFSET($AK$19,MATCH($B374,$B$19:$B$150,0)-1,0,COUNTA($B$19:$B$24),COUNTA($AK$17:$BB$17)),MATCH($F374,$F$19:$F$24,0),MATCH(AR$17,$AK$17:$BB$17,0))*INDEX($10:$13,MATCH($O374,$R$10:$R$13,0),COLUMN())</f>
        <v>5.8411814739999998E-2</v>
      </c>
      <c r="AS374" s="1050" cm="1">
        <f t="array" aca="1" ref="AS374" ca="1">INDEX(OFFSET($AK$19,MATCH($B374,$B$19:$B$150,0)-1,0,COUNTA($B$19:$B$24),COUNTA($AK$17:$BB$17)),MATCH($F374,$F$19:$F$24,0),MATCH(AS$17,$AK$17:$BB$17,0))*INDEX($10:$13,MATCH($O374,$R$10:$R$13,0),COLUMN())</f>
        <v>1.3111803089E-2</v>
      </c>
      <c r="AT374" s="1050" cm="1">
        <f t="array" aca="1" ref="AT374" ca="1">INDEX(OFFSET($AK$19,MATCH($B374,$B$19:$B$150,0)-1,0,COUNTA($B$19:$B$24),COUNTA($AK$17:$BB$17)),MATCH($F374,$F$19:$F$24,0),MATCH(AT$17,$AK$17:$BB$17,0))*INDEX($10:$13,MATCH($O374,$R$10:$R$13,0),COLUMN())</f>
        <v>2.1234398689E-5</v>
      </c>
      <c r="AU374" s="1050" cm="1">
        <f t="array" aca="1" ref="AU374" ca="1">INDEX(OFFSET($AK$19,MATCH($B374,$B$19:$B$150,0)-1,0,COUNTA($B$19:$B$24),COUNTA($AK$17:$BB$17)),MATCH($F374,$F$19:$F$24,0),MATCH(AU$17,$AK$17:$BB$17,0))*INDEX($10:$13,MATCH($O374,$R$10:$R$13,0),COLUMN())</f>
        <v>3.9580198548E-6</v>
      </c>
      <c r="AV374" s="1050" cm="1">
        <f t="array" aca="1" ref="AV374" ca="1">INDEX(OFFSET($AK$19,MATCH($B374,$B$19:$B$150,0)-1,0,COUNTA($B$19:$B$24),COUNTA($AK$17:$BB$17)),MATCH($F374,$F$19:$F$24,0),MATCH(AV$17,$AK$17:$BB$17,0))*INDEX($10:$13,MATCH($O374,$R$10:$R$13,0),COLUMN())</f>
        <v>2.4051127022999996E-2</v>
      </c>
      <c r="AW374" s="1050" cm="1">
        <f t="array" aca="1" ref="AW374" ca="1">INDEX(OFFSET($AK$19,MATCH($B374,$B$19:$B$150,0)-1,0,COUNTA($B$19:$B$24),COUNTA($AK$17:$BB$17)),MATCH($F374,$F$19:$F$24,0),MATCH(AW$17,$AK$17:$BB$17,0))*INDEX($10:$13,MATCH($O374,$R$10:$R$13,0),COLUMN())</f>
        <v>0.57776771910000002</v>
      </c>
      <c r="AX374" s="1050" cm="1">
        <f t="array" aca="1" ref="AX374" ca="1">INDEX(OFFSET($AK$19,MATCH($B374,$B$19:$B$150,0)-1,0,COUNTA($B$19:$B$24),COUNTA($AK$17:$BB$17)),MATCH($F374,$F$19:$F$24,0),MATCH(AX$17,$AK$17:$BB$17,0))*INDEX($10:$13,MATCH($O374,$R$10:$R$13,0),COLUMN())</f>
        <v>1.5047863934999999E-7</v>
      </c>
      <c r="AY374" s="1050" cm="1">
        <f t="array" aca="1" ref="AY374" ca="1">INDEX(OFFSET($AK$19,MATCH($B374,$B$19:$B$150,0)-1,0,COUNTA($B$19:$B$24),COUNTA($AK$17:$BB$17)),MATCH($F374,$F$19:$F$24,0),MATCH(AY$17,$AK$17:$BB$17,0))*INDEX($10:$13,MATCH($O374,$R$10:$R$13,0),COLUMN())</f>
        <v>0</v>
      </c>
      <c r="AZ374" s="1050" cm="1">
        <f t="array" aca="1" ref="AZ374" ca="1">INDEX(OFFSET($AK$19,MATCH($B374,$B$19:$B$150,0)-1,0,COUNTA($B$19:$B$24),COUNTA($AK$17:$BB$17)),MATCH($F374,$F$19:$F$24,0),MATCH(AZ$17,$AK$17:$BB$17,0))*INDEX($10:$13,MATCH($O374,$R$10:$R$13,0),COLUMN())</f>
        <v>0</v>
      </c>
      <c r="BA374" s="1050" cm="1">
        <f t="array" aca="1" ref="BA374" ca="1">INDEX(OFFSET($AK$19,MATCH($B374,$B$19:$B$150,0)-1,0,COUNTA($B$19:$B$24),COUNTA($AK$17:$BB$17)),MATCH($F374,$F$19:$F$24,0),MATCH(BA$17,$AK$17:$BB$17,0))*INDEX($10:$13,MATCH($O374,$R$10:$R$13,0),COLUMN())</f>
        <v>0</v>
      </c>
      <c r="BB374" s="1051" cm="1">
        <f t="array" aca="1" ref="BB374" ca="1">INDEX(OFFSET($AK$19,MATCH($B374,$B$19:$B$150,0)-1,0,COUNTA($B$19:$B$24),COUNTA($AK$17:$BB$17)),MATCH($F374,$F$19:$F$24,0),MATCH(BB$17,$AK$17:$BB$17,0))*INDEX($10:$13,MATCH($O374,$R$10:$R$13,0),COLUMN())</f>
        <v>0</v>
      </c>
      <c r="BC374" s="1053">
        <f t="shared" ca="1" si="169"/>
        <v>0.57776786957863935</v>
      </c>
      <c r="BE374" s="1"/>
      <c r="BF374" s="1"/>
      <c r="BG374" s="1"/>
      <c r="BH374" s="1"/>
      <c r="BI374" s="1"/>
      <c r="BJ374" s="1"/>
      <c r="BK374" s="1"/>
      <c r="BL374" s="1"/>
      <c r="BM374" s="1"/>
      <c r="BN374" s="1"/>
      <c r="BO374" s="1"/>
      <c r="BP374" s="1"/>
      <c r="BQ374" s="1"/>
      <c r="BR374" s="1"/>
      <c r="BS374" s="1"/>
      <c r="BT374" s="1"/>
      <c r="BU374" s="1"/>
      <c r="BV374" s="1"/>
      <c r="BW374" s="1"/>
      <c r="BX374" s="1"/>
      <c r="BY374" s="1"/>
      <c r="BZ374" s="1"/>
    </row>
    <row r="375" spans="2:78" ht="12" customHeight="1" outlineLevel="1" x14ac:dyDescent="0.25">
      <c r="B375" s="88" t="s">
        <v>111</v>
      </c>
      <c r="C375" s="88" t="s">
        <v>121</v>
      </c>
      <c r="D375" s="89" t="s">
        <v>148</v>
      </c>
      <c r="E375" s="89" t="s">
        <v>149</v>
      </c>
      <c r="F375" s="90" t="s">
        <v>92</v>
      </c>
      <c r="G375" s="18" t="s">
        <v>126</v>
      </c>
      <c r="H375" s="91" t="s">
        <v>127</v>
      </c>
      <c r="I375" s="92" t="s">
        <v>127</v>
      </c>
      <c r="J375" s="142">
        <v>0.76959932000000009</v>
      </c>
      <c r="K375" s="143">
        <v>0.23780000000000001</v>
      </c>
      <c r="L375" s="144">
        <f t="shared" ca="1" si="167"/>
        <v>1.0723761571502024</v>
      </c>
      <c r="M375" s="143">
        <f t="shared" ca="1" si="168"/>
        <v>0.49281105017031818</v>
      </c>
      <c r="N375" s="162">
        <f t="shared" ca="1" si="170"/>
        <v>0.25501105017031817</v>
      </c>
      <c r="O375" s="1060" t="s">
        <v>1583</v>
      </c>
      <c r="P375" s="88"/>
      <c r="Q375" s="89"/>
      <c r="R375" s="150"/>
      <c r="S375" s="1070"/>
      <c r="T375" s="1070"/>
      <c r="U375" s="1070"/>
      <c r="V375" s="1070"/>
      <c r="W375" s="1070"/>
      <c r="X375" s="1070"/>
      <c r="Y375" s="1070"/>
      <c r="Z375" s="1070"/>
      <c r="AA375" s="1070"/>
      <c r="AB375" s="1070"/>
      <c r="AC375" s="1070"/>
      <c r="AD375" s="1070"/>
      <c r="AE375" s="1070"/>
      <c r="AF375" s="1070"/>
      <c r="AG375" s="1070"/>
      <c r="AH375" s="1070"/>
      <c r="AI375" s="1070"/>
      <c r="AJ375" s="1071"/>
      <c r="AK375" s="1048" cm="1">
        <f t="array" aca="1" ref="AK375" ca="1">INDEX(OFFSET($AK$19,MATCH($B375,$B$19:$B$150,0)-1,0,COUNTA($B$19:$B$24),COUNTA($AK$17:$BB$17)),MATCH($F375,$F$19:$F$24,0),MATCH(AK$17,$AK$17:$BB$17,0))*INDEX($10:$13,MATCH($O375,$R$10:$R$13,0),COLUMN())</f>
        <v>1.8349113120000003E-2</v>
      </c>
      <c r="AL375" s="1046" cm="1">
        <f t="array" aca="1" ref="AL375" ca="1">INDEX(OFFSET($AK$19,MATCH($B375,$B$19:$B$150,0)-1,0,COUNTA($B$19:$B$24),COUNTA($AK$17:$BB$17)),MATCH($F375,$F$19:$F$24,0),MATCH(AL$17,$AK$17:$BB$17,0))*INDEX($10:$13,MATCH($O375,$R$10:$R$13,0),COLUMN())</f>
        <v>3.6986631199999994E-8</v>
      </c>
      <c r="AM375" s="1046" cm="1">
        <f t="array" aca="1" ref="AM375" ca="1">INDEX(OFFSET($AK$19,MATCH($B375,$B$19:$B$150,0)-1,0,COUNTA($B$19:$B$24),COUNTA($AK$17:$BB$17)),MATCH($F375,$F$19:$F$24,0),MATCH(AM$17,$AK$17:$BB$17,0))*INDEX($10:$13,MATCH($O375,$R$10:$R$13,0),COLUMN())</f>
        <v>6.9284238590000007E-5</v>
      </c>
      <c r="AN375" s="1046" cm="1">
        <f t="array" aca="1" ref="AN375" ca="1">INDEX(OFFSET($AK$19,MATCH($B375,$B$19:$B$150,0)-1,0,COUNTA($B$19:$B$24),COUNTA($AK$17:$BB$17)),MATCH($F375,$F$19:$F$24,0),MATCH(AN$17,$AK$17:$BB$17,0))*INDEX($10:$13,MATCH($O375,$R$10:$R$13,0),COLUMN())</f>
        <v>2.4923869499999998E-4</v>
      </c>
      <c r="AO375" s="1046" cm="1">
        <f t="array" aca="1" ref="AO375" ca="1">INDEX(OFFSET($AK$19,MATCH($B375,$B$19:$B$150,0)-1,0,COUNTA($B$19:$B$24),COUNTA($AK$17:$BB$17)),MATCH($F375,$F$19:$F$24,0),MATCH(AO$17,$AK$17:$BB$17,0))*INDEX($10:$13,MATCH($O375,$R$10:$R$13,0),COLUMN())</f>
        <v>8.1956537600000011E-3</v>
      </c>
      <c r="AP375" s="1046" cm="1">
        <f t="array" aca="1" ref="AP375" ca="1">INDEX(OFFSET($AK$19,MATCH($B375,$B$19:$B$150,0)-1,0,COUNTA($B$19:$B$24),COUNTA($AK$17:$BB$17)),MATCH($F375,$F$19:$F$24,0),MATCH(AP$17,$AK$17:$BB$17,0))*INDEX($10:$13,MATCH($O375,$R$10:$R$13,0),COLUMN())</f>
        <v>6.2593566629999993E-3</v>
      </c>
      <c r="AQ375" s="1046" cm="1">
        <f t="array" aca="1" ref="AQ375" ca="1">INDEX(OFFSET($AK$19,MATCH($B375,$B$19:$B$150,0)-1,0,COUNTA($B$19:$B$24),COUNTA($AK$17:$BB$17)),MATCH($F375,$F$19:$F$24,0),MATCH(AQ$17,$AK$17:$BB$17,0))*INDEX($10:$13,MATCH($O375,$R$10:$R$13,0),COLUMN())</f>
        <v>9.146353026E-5</v>
      </c>
      <c r="AR375" s="1046" cm="1">
        <f t="array" aca="1" ref="AR375" ca="1">INDEX(OFFSET($AK$19,MATCH($B375,$B$19:$B$150,0)-1,0,COUNTA($B$19:$B$24),COUNTA($AK$17:$BB$17)),MATCH($F375,$F$19:$F$24,0),MATCH(AR$17,$AK$17:$BB$17,0))*INDEX($10:$13,MATCH($O375,$R$10:$R$13,0),COLUMN())</f>
        <v>4.7427639949999996E-3</v>
      </c>
      <c r="AS375" s="1046" cm="1">
        <f t="array" aca="1" ref="AS375" ca="1">INDEX(OFFSET($AK$19,MATCH($B375,$B$19:$B$150,0)-1,0,COUNTA($B$19:$B$24),COUNTA($AK$17:$BB$17)),MATCH($F375,$F$19:$F$24,0),MATCH(AS$17,$AK$17:$BB$17,0))*INDEX($10:$13,MATCH($O375,$R$10:$R$13,0),COLUMN())</f>
        <v>0.19404218185</v>
      </c>
      <c r="AT375" s="1046" cm="1">
        <f t="array" aca="1" ref="AT375" ca="1">INDEX(OFFSET($AK$19,MATCH($B375,$B$19:$B$150,0)-1,0,COUNTA($B$19:$B$24),COUNTA($AK$17:$BB$17)),MATCH($F375,$F$19:$F$24,0),MATCH(AT$17,$AK$17:$BB$17,0))*INDEX($10:$13,MATCH($O375,$R$10:$R$13,0),COLUMN())</f>
        <v>2.1289141812000001E-4</v>
      </c>
      <c r="AU375" s="1046" cm="1">
        <f t="array" aca="1" ref="AU375" ca="1">INDEX(OFFSET($AK$19,MATCH($B375,$B$19:$B$150,0)-1,0,COUNTA($B$19:$B$24),COUNTA($AK$17:$BB$17)),MATCH($F375,$F$19:$F$24,0),MATCH(AU$17,$AK$17:$BB$17,0))*INDEX($10:$13,MATCH($O375,$R$10:$R$13,0),COLUMN())</f>
        <v>1.0918543945E-5</v>
      </c>
      <c r="AV375" s="1046" cm="1">
        <f t="array" aca="1" ref="AV375" ca="1">INDEX(OFFSET($AK$19,MATCH($B375,$B$19:$B$150,0)-1,0,COUNTA($B$19:$B$24),COUNTA($AK$17:$BB$17)),MATCH($F375,$F$19:$F$24,0),MATCH(AV$17,$AK$17:$BB$17,0))*INDEX($10:$13,MATCH($O375,$R$10:$R$13,0),COLUMN())</f>
        <v>2.4382784993000001E-3</v>
      </c>
      <c r="AW375" s="1046" cm="1">
        <f t="array" aca="1" ref="AW375" ca="1">INDEX(OFFSET($AK$19,MATCH($B375,$B$19:$B$150,0)-1,0,COUNTA($B$19:$B$24),COUNTA($AK$17:$BB$17)),MATCH($F375,$F$19:$F$24,0),MATCH(AW$17,$AK$17:$BB$17,0))*INDEX($10:$13,MATCH($O375,$R$10:$R$13,0),COLUMN())</f>
        <v>2.0349795310000002E-2</v>
      </c>
      <c r="AX375" s="1046" cm="1">
        <f t="array" aca="1" ref="AX375" ca="1">INDEX(OFFSET($AK$19,MATCH($B375,$B$19:$B$150,0)-1,0,COUNTA($B$19:$B$24),COUNTA($AK$17:$BB$17)),MATCH($F375,$F$19:$F$24,0),MATCH(AX$17,$AK$17:$BB$17,0))*INDEX($10:$13,MATCH($O375,$R$10:$R$13,0),COLUMN())</f>
        <v>7.3560471985000009E-8</v>
      </c>
      <c r="AY375" s="1046" cm="1">
        <f t="array" aca="1" ref="AY375" ca="1">INDEX(OFFSET($AK$19,MATCH($B375,$B$19:$B$150,0)-1,0,COUNTA($B$19:$B$24),COUNTA($AK$17:$BB$17)),MATCH($F375,$F$19:$F$24,0),MATCH(AY$17,$AK$17:$BB$17,0))*INDEX($10:$13,MATCH($O375,$R$10:$R$13,0),COLUMN())</f>
        <v>0</v>
      </c>
      <c r="AZ375" s="1046" cm="1">
        <f t="array" aca="1" ref="AZ375" ca="1">INDEX(OFFSET($AK$19,MATCH($B375,$B$19:$B$150,0)-1,0,COUNTA($B$19:$B$24),COUNTA($AK$17:$BB$17)),MATCH($F375,$F$19:$F$24,0),MATCH(AZ$17,$AK$17:$BB$17,0))*INDEX($10:$13,MATCH($O375,$R$10:$R$13,0),COLUMN())</f>
        <v>0</v>
      </c>
      <c r="BA375" s="1046" cm="1">
        <f t="array" aca="1" ref="BA375" ca="1">INDEX(OFFSET($AK$19,MATCH($B375,$B$19:$B$150,0)-1,0,COUNTA($B$19:$B$24),COUNTA($AK$17:$BB$17)),MATCH($F375,$F$19:$F$24,0),MATCH(BA$17,$AK$17:$BB$17,0))*INDEX($10:$13,MATCH($O375,$R$10:$R$13,0),COLUMN())</f>
        <v>0</v>
      </c>
      <c r="BB375" s="1047" cm="1">
        <f t="array" aca="1" ref="BB375" ca="1">INDEX(OFFSET($AK$19,MATCH($B375,$B$19:$B$150,0)-1,0,COUNTA($B$19:$B$24),COUNTA($AK$17:$BB$17)),MATCH($F375,$F$19:$F$24,0),MATCH(BB$17,$AK$17:$BB$17,0))*INDEX($10:$13,MATCH($O375,$R$10:$R$13,0),COLUMN())</f>
        <v>0</v>
      </c>
      <c r="BC375" s="1049">
        <f t="shared" ca="1" si="169"/>
        <v>2.0349868870471986E-2</v>
      </c>
      <c r="BE375" s="1"/>
      <c r="BF375" s="1"/>
      <c r="BG375" s="1"/>
      <c r="BH375" s="1"/>
      <c r="BI375" s="1"/>
      <c r="BJ375" s="1"/>
      <c r="BK375" s="1"/>
      <c r="BL375" s="1"/>
      <c r="BM375" s="1"/>
      <c r="BN375" s="1"/>
      <c r="BO375" s="1"/>
      <c r="BP375" s="1"/>
      <c r="BQ375" s="1"/>
      <c r="BR375" s="1"/>
      <c r="BS375" s="1"/>
      <c r="BT375" s="1"/>
      <c r="BU375" s="1"/>
      <c r="BV375" s="1"/>
      <c r="BW375" s="1"/>
      <c r="BX375" s="1"/>
      <c r="BY375" s="1"/>
      <c r="BZ375" s="1"/>
    </row>
    <row r="376" spans="2:78" ht="12" customHeight="1" outlineLevel="1" x14ac:dyDescent="0.25">
      <c r="B376" s="104" t="s">
        <v>111</v>
      </c>
      <c r="C376" s="104" t="s">
        <v>121</v>
      </c>
      <c r="D376" s="2" t="s">
        <v>148</v>
      </c>
      <c r="E376" s="2" t="s">
        <v>149</v>
      </c>
      <c r="F376" s="105" t="s">
        <v>122</v>
      </c>
      <c r="G376" s="27" t="s">
        <v>1579</v>
      </c>
      <c r="H376" s="106" t="s">
        <v>128</v>
      </c>
      <c r="I376" s="107" t="s">
        <v>129</v>
      </c>
      <c r="J376" s="147">
        <v>0.76959932000000009</v>
      </c>
      <c r="K376" s="148">
        <v>1.79</v>
      </c>
      <c r="L376" s="149">
        <f t="shared" ca="1" si="167"/>
        <v>2.4579625986816966E-2</v>
      </c>
      <c r="M376" s="148">
        <f t="shared" ca="1" si="168"/>
        <v>1.8339975305164025</v>
      </c>
      <c r="N376" s="163">
        <f t="shared" ca="1" si="170"/>
        <v>4.3997530516402372E-2</v>
      </c>
      <c r="O376" s="1061" t="s">
        <v>1583</v>
      </c>
      <c r="P376" s="104"/>
      <c r="R376" s="119"/>
      <c r="S376" s="1072"/>
      <c r="T376" s="1072"/>
      <c r="U376" s="1072"/>
      <c r="V376" s="1072"/>
      <c r="W376" s="1072"/>
      <c r="X376" s="1072"/>
      <c r="Y376" s="1072"/>
      <c r="Z376" s="1072"/>
      <c r="AA376" s="1072"/>
      <c r="AB376" s="1072"/>
      <c r="AC376" s="1072"/>
      <c r="AD376" s="1072"/>
      <c r="AE376" s="1072"/>
      <c r="AF376" s="1072"/>
      <c r="AG376" s="1072"/>
      <c r="AH376" s="1072"/>
      <c r="AI376" s="1072"/>
      <c r="AJ376" s="1073"/>
      <c r="AK376" s="1052" cm="1">
        <f t="array" aca="1" ref="AK376" ca="1">INDEX(OFFSET($AK$19,MATCH($B376,$B$19:$B$150,0)-1,0,COUNTA($B$19:$B$24),COUNTA($AK$17:$BB$17)),MATCH($F376,$F$19:$F$24,0),MATCH(AK$17,$AK$17:$BB$17,0))*INDEX($10:$13,MATCH($O376,$R$10:$R$13,0),COLUMN())</f>
        <v>9.8246871450000002E-3</v>
      </c>
      <c r="AL376" s="1050" cm="1">
        <f t="array" aca="1" ref="AL376" ca="1">INDEX(OFFSET($AK$19,MATCH($B376,$B$19:$B$150,0)-1,0,COUNTA($B$19:$B$24),COUNTA($AK$17:$BB$17)),MATCH($F376,$F$19:$F$24,0),MATCH(AL$17,$AK$17:$BB$17,0))*INDEX($10:$13,MATCH($O376,$R$10:$R$13,0),COLUMN())</f>
        <v>1.7125834224000001E-8</v>
      </c>
      <c r="AM376" s="1050" cm="1">
        <f t="array" aca="1" ref="AM376" ca="1">INDEX(OFFSET($AK$19,MATCH($B376,$B$19:$B$150,0)-1,0,COUNTA($B$19:$B$24),COUNTA($AK$17:$BB$17)),MATCH($F376,$F$19:$F$24,0),MATCH(AM$17,$AK$17:$BB$17,0))*INDEX($10:$13,MATCH($O376,$R$10:$R$13,0),COLUMN())</f>
        <v>3.1702804501E-5</v>
      </c>
      <c r="AN376" s="1050" cm="1">
        <f t="array" aca="1" ref="AN376" ca="1">INDEX(OFFSET($AK$19,MATCH($B376,$B$19:$B$150,0)-1,0,COUNTA($B$19:$B$24),COUNTA($AK$17:$BB$17)),MATCH($F376,$F$19:$F$24,0),MATCH(AN$17,$AK$17:$BB$17,0))*INDEX($10:$13,MATCH($O376,$R$10:$R$13,0),COLUMN())</f>
        <v>2.9539389899999995E-4</v>
      </c>
      <c r="AO376" s="1050" cm="1">
        <f t="array" aca="1" ref="AO376" ca="1">INDEX(OFFSET($AK$19,MATCH($B376,$B$19:$B$150,0)-1,0,COUNTA($B$19:$B$24),COUNTA($AK$17:$BB$17)),MATCH($F376,$F$19:$F$24,0),MATCH(AO$17,$AK$17:$BB$17,0))*INDEX($10:$13,MATCH($O376,$R$10:$R$13,0),COLUMN())</f>
        <v>3.4731653152000005E-3</v>
      </c>
      <c r="AP376" s="1050" cm="1">
        <f t="array" aca="1" ref="AP376" ca="1">INDEX(OFFSET($AK$19,MATCH($B376,$B$19:$B$150,0)-1,0,COUNTA($B$19:$B$24),COUNTA($AK$17:$BB$17)),MATCH($F376,$F$19:$F$24,0),MATCH(AP$17,$AK$17:$BB$17,0))*INDEX($10:$13,MATCH($O376,$R$10:$R$13,0),COLUMN())</f>
        <v>1.5083605081999999E-3</v>
      </c>
      <c r="AQ376" s="1050" cm="1">
        <f t="array" aca="1" ref="AQ376" ca="1">INDEX(OFFSET($AK$19,MATCH($B376,$B$19:$B$150,0)-1,0,COUNTA($B$19:$B$24),COUNTA($AK$17:$BB$17)),MATCH($F376,$F$19:$F$24,0),MATCH(AQ$17,$AK$17:$BB$17,0))*INDEX($10:$13,MATCH($O376,$R$10:$R$13,0),COLUMN())</f>
        <v>7.3690006380000001E-6</v>
      </c>
      <c r="AR376" s="1050" cm="1">
        <f t="array" aca="1" ref="AR376" ca="1">INDEX(OFFSET($AK$19,MATCH($B376,$B$19:$B$150,0)-1,0,COUNTA($B$19:$B$24),COUNTA($AK$17:$BB$17)),MATCH($F376,$F$19:$F$24,0),MATCH(AR$17,$AK$17:$BB$17,0))*INDEX($10:$13,MATCH($O376,$R$10:$R$13,0),COLUMN())</f>
        <v>2.2628653272999998E-3</v>
      </c>
      <c r="AS376" s="1050" cm="1">
        <f t="array" aca="1" ref="AS376" ca="1">INDEX(OFFSET($AK$19,MATCH($B376,$B$19:$B$150,0)-1,0,COUNTA($B$19:$B$24),COUNTA($AK$17:$BB$17)),MATCH($F376,$F$19:$F$24,0),MATCH(AS$17,$AK$17:$BB$17,0))*INDEX($10:$13,MATCH($O376,$R$10:$R$13,0),COLUMN())</f>
        <v>5.6065656228999993E-5</v>
      </c>
      <c r="AT376" s="1050" cm="1">
        <f t="array" aca="1" ref="AT376" ca="1">INDEX(OFFSET($AK$19,MATCH($B376,$B$19:$B$150,0)-1,0,COUNTA($B$19:$B$24),COUNTA($AK$17:$BB$17)),MATCH($F376,$F$19:$F$24,0),MATCH(AT$17,$AK$17:$BB$17,0))*INDEX($10:$13,MATCH($O376,$R$10:$R$13,0),COLUMN())</f>
        <v>6.6070194729999996E-7</v>
      </c>
      <c r="AU376" s="1050" cm="1">
        <f t="array" aca="1" ref="AU376" ca="1">INDEX(OFFSET($AK$19,MATCH($B376,$B$19:$B$150,0)-1,0,COUNTA($B$19:$B$24),COUNTA($AK$17:$BB$17)),MATCH($F376,$F$19:$F$24,0),MATCH(AU$17,$AK$17:$BB$17,0))*INDEX($10:$13,MATCH($O376,$R$10:$R$13,0),COLUMN())</f>
        <v>1.6657375552999998E-7</v>
      </c>
      <c r="AV376" s="1050" cm="1">
        <f t="array" aca="1" ref="AV376" ca="1">INDEX(OFFSET($AK$19,MATCH($B376,$B$19:$B$150,0)-1,0,COUNTA($B$19:$B$24),COUNTA($AK$17:$BB$17)),MATCH($F376,$F$19:$F$24,0),MATCH(AV$17,$AK$17:$BB$17,0))*INDEX($10:$13,MATCH($O376,$R$10:$R$13,0),COLUMN())</f>
        <v>2.0237777851999996E-4</v>
      </c>
      <c r="AW376" s="1050" cm="1">
        <f t="array" aca="1" ref="AW376" ca="1">INDEX(OFFSET($AK$19,MATCH($B376,$B$19:$B$150,0)-1,0,COUNTA($B$19:$B$24),COUNTA($AK$17:$BB$17)),MATCH($F376,$F$19:$F$24,0),MATCH(AW$17,$AK$17:$BB$17,0))*INDEX($10:$13,MATCH($O376,$R$10:$R$13,0),COLUMN())</f>
        <v>2.6334681880000002E-2</v>
      </c>
      <c r="AX376" s="1050" cm="1">
        <f t="array" aca="1" ref="AX376" ca="1">INDEX(OFFSET($AK$19,MATCH($B376,$B$19:$B$150,0)-1,0,COUNTA($B$19:$B$24),COUNTA($AK$17:$BB$17)),MATCH($F376,$F$19:$F$24,0),MATCH(AX$17,$AK$17:$BB$17,0))*INDEX($10:$13,MATCH($O376,$R$10:$R$13,0),COLUMN())</f>
        <v>1.6800277325000001E-8</v>
      </c>
      <c r="AY376" s="1050" cm="1">
        <f t="array" aca="1" ref="AY376" ca="1">INDEX(OFFSET($AK$19,MATCH($B376,$B$19:$B$150,0)-1,0,COUNTA($B$19:$B$24),COUNTA($AK$17:$BB$17)),MATCH($F376,$F$19:$F$24,0),MATCH(AY$17,$AK$17:$BB$17,0))*INDEX($10:$13,MATCH($O376,$R$10:$R$13,0),COLUMN())</f>
        <v>0</v>
      </c>
      <c r="AZ376" s="1050" cm="1">
        <f t="array" aca="1" ref="AZ376" ca="1">INDEX(OFFSET($AK$19,MATCH($B376,$B$19:$B$150,0)-1,0,COUNTA($B$19:$B$24),COUNTA($AK$17:$BB$17)),MATCH($F376,$F$19:$F$24,0),MATCH(AZ$17,$AK$17:$BB$17,0))*INDEX($10:$13,MATCH($O376,$R$10:$R$13,0),COLUMN())</f>
        <v>0</v>
      </c>
      <c r="BA376" s="1050" cm="1">
        <f t="array" aca="1" ref="BA376" ca="1">INDEX(OFFSET($AK$19,MATCH($B376,$B$19:$B$150,0)-1,0,COUNTA($B$19:$B$24),COUNTA($AK$17:$BB$17)),MATCH($F376,$F$19:$F$24,0),MATCH(BA$17,$AK$17:$BB$17,0))*INDEX($10:$13,MATCH($O376,$R$10:$R$13,0),COLUMN())</f>
        <v>0</v>
      </c>
      <c r="BB376" s="1051" cm="1">
        <f t="array" aca="1" ref="BB376" ca="1">INDEX(OFFSET($AK$19,MATCH($B376,$B$19:$B$150,0)-1,0,COUNTA($B$19:$B$24),COUNTA($AK$17:$BB$17)),MATCH($F376,$F$19:$F$24,0),MATCH(BB$17,$AK$17:$BB$17,0))*INDEX($10:$13,MATCH($O376,$R$10:$R$13,0),COLUMN())</f>
        <v>0</v>
      </c>
      <c r="BC376" s="1053">
        <f t="shared" ref="BC376:BC411" ca="1" si="171">SUM(AW376:AY376)</f>
        <v>2.6334698680277328E-2</v>
      </c>
      <c r="BE376" s="1"/>
      <c r="BF376" s="1"/>
      <c r="BG376" s="1"/>
      <c r="BH376" s="1"/>
      <c r="BI376" s="1"/>
      <c r="BJ376" s="1"/>
      <c r="BK376" s="1"/>
      <c r="BL376" s="1"/>
      <c r="BM376" s="1"/>
      <c r="BN376" s="1"/>
      <c r="BO376" s="1"/>
      <c r="BP376" s="1"/>
      <c r="BQ376" s="1"/>
      <c r="BR376" s="1"/>
      <c r="BS376" s="1"/>
      <c r="BT376" s="1"/>
      <c r="BU376" s="1"/>
      <c r="BV376" s="1"/>
      <c r="BW376" s="1"/>
      <c r="BX376" s="1"/>
      <c r="BY376" s="1"/>
      <c r="BZ376" s="1"/>
    </row>
    <row r="377" spans="2:78" ht="12" customHeight="1" outlineLevel="1" x14ac:dyDescent="0.25">
      <c r="B377" s="104" t="s">
        <v>111</v>
      </c>
      <c r="C377" s="104" t="s">
        <v>121</v>
      </c>
      <c r="D377" s="2" t="s">
        <v>148</v>
      </c>
      <c r="E377" s="2" t="s">
        <v>149</v>
      </c>
      <c r="F377" s="105" t="s">
        <v>93</v>
      </c>
      <c r="G377" s="27" t="s">
        <v>1578</v>
      </c>
      <c r="H377" s="106" t="s">
        <v>130</v>
      </c>
      <c r="I377" s="107" t="s">
        <v>129</v>
      </c>
      <c r="J377" s="147">
        <v>0.76959932000000009</v>
      </c>
      <c r="K377" s="148">
        <v>1.79</v>
      </c>
      <c r="L377" s="149">
        <f t="shared" ca="1" si="167"/>
        <v>3.7353463824285185E-2</v>
      </c>
      <c r="M377" s="148">
        <f t="shared" ca="1" si="168"/>
        <v>1.8568627002454705</v>
      </c>
      <c r="N377" s="163">
        <f t="shared" ca="1" si="170"/>
        <v>6.6862700245470488E-2</v>
      </c>
      <c r="O377" s="1061" t="s">
        <v>1583</v>
      </c>
      <c r="P377" s="104"/>
      <c r="R377" s="119"/>
      <c r="S377" s="1072"/>
      <c r="T377" s="1072"/>
      <c r="U377" s="1072"/>
      <c r="V377" s="1072"/>
      <c r="W377" s="1072"/>
      <c r="X377" s="1072"/>
      <c r="Y377" s="1072"/>
      <c r="Z377" s="1072"/>
      <c r="AA377" s="1072"/>
      <c r="AB377" s="1072"/>
      <c r="AC377" s="1072"/>
      <c r="AD377" s="1072"/>
      <c r="AE377" s="1072"/>
      <c r="AF377" s="1072"/>
      <c r="AG377" s="1072"/>
      <c r="AH377" s="1072"/>
      <c r="AI377" s="1072"/>
      <c r="AJ377" s="1073"/>
      <c r="AK377" s="1052" cm="1">
        <f t="array" aca="1" ref="AK377" ca="1">INDEX(OFFSET($AK$19,MATCH($B377,$B$19:$B$150,0)-1,0,COUNTA($B$19:$B$24),COUNTA($AK$17:$BB$17)),MATCH($F377,$F$19:$F$24,0),MATCH(AK$17,$AK$17:$BB$17,0))*INDEX($10:$13,MATCH($O377,$R$10:$R$13,0),COLUMN())</f>
        <v>1.492493301E-2</v>
      </c>
      <c r="AL377" s="1050" cm="1">
        <f t="array" aca="1" ref="AL377" ca="1">INDEX(OFFSET($AK$19,MATCH($B377,$B$19:$B$150,0)-1,0,COUNTA($B$19:$B$24),COUNTA($AK$17:$BB$17)),MATCH($F377,$F$19:$F$24,0),MATCH(AL$17,$AK$17:$BB$17,0))*INDEX($10:$13,MATCH($O377,$R$10:$R$13,0),COLUMN())</f>
        <v>2.6016292031999998E-8</v>
      </c>
      <c r="AM377" s="1050" cm="1">
        <f t="array" aca="1" ref="AM377" ca="1">INDEX(OFFSET($AK$19,MATCH($B377,$B$19:$B$150,0)-1,0,COUNTA($B$19:$B$24),COUNTA($AK$17:$BB$17)),MATCH($F377,$F$19:$F$24,0),MATCH(AM$17,$AK$17:$BB$17,0))*INDEX($10:$13,MATCH($O377,$R$10:$R$13,0),COLUMN())</f>
        <v>4.8160540920000008E-5</v>
      </c>
      <c r="AN377" s="1050" cm="1">
        <f t="array" aca="1" ref="AN377" ca="1">INDEX(OFFSET($AK$19,MATCH($B377,$B$19:$B$150,0)-1,0,COUNTA($B$19:$B$24),COUNTA($AK$17:$BB$17)),MATCH($F377,$F$19:$F$24,0),MATCH(AN$17,$AK$17:$BB$17,0))*INDEX($10:$13,MATCH($O377,$R$10:$R$13,0),COLUMN())</f>
        <v>4.4874040749999993E-4</v>
      </c>
      <c r="AO377" s="1050" cm="1">
        <f t="array" aca="1" ref="AO377" ca="1">INDEX(OFFSET($AK$19,MATCH($B377,$B$19:$B$150,0)-1,0,COUNTA($B$19:$B$24),COUNTA($AK$17:$BB$17)),MATCH($F377,$F$19:$F$24,0),MATCH(AO$17,$AK$17:$BB$17,0))*INDEX($10:$13,MATCH($O377,$R$10:$R$13,0),COLUMN())</f>
        <v>5.2761741760000008E-3</v>
      </c>
      <c r="AP377" s="1050" cm="1">
        <f t="array" aca="1" ref="AP377" ca="1">INDEX(OFFSET($AK$19,MATCH($B377,$B$19:$B$150,0)-1,0,COUNTA($B$19:$B$24),COUNTA($AK$17:$BB$17)),MATCH($F377,$F$19:$F$24,0),MATCH(AP$17,$AK$17:$BB$17,0))*INDEX($10:$13,MATCH($O377,$R$10:$R$13,0),COLUMN())</f>
        <v>2.2913889284999996E-3</v>
      </c>
      <c r="AQ377" s="1050" cm="1">
        <f t="array" aca="1" ref="AQ377" ca="1">INDEX(OFFSET($AK$19,MATCH($B377,$B$19:$B$150,0)-1,0,COUNTA($B$19:$B$24),COUNTA($AK$17:$BB$17)),MATCH($F377,$F$19:$F$24,0),MATCH(AQ$17,$AK$17:$BB$17,0))*INDEX($10:$13,MATCH($O377,$R$10:$R$13,0),COLUMN())</f>
        <v>1.1194437156E-5</v>
      </c>
      <c r="AR377" s="1050" cm="1">
        <f t="array" aca="1" ref="AR377" ca="1">INDEX(OFFSET($AK$19,MATCH($B377,$B$19:$B$150,0)-1,0,COUNTA($B$19:$B$24),COUNTA($AK$17:$BB$17)),MATCH($F377,$F$19:$F$24,0),MATCH(AR$17,$AK$17:$BB$17,0))*INDEX($10:$13,MATCH($O377,$R$10:$R$13,0),COLUMN())</f>
        <v>3.4375766110000001E-3</v>
      </c>
      <c r="AS377" s="1050" cm="1">
        <f t="array" aca="1" ref="AS377" ca="1">INDEX(OFFSET($AK$19,MATCH($B377,$B$19:$B$150,0)-1,0,COUNTA($B$19:$B$24),COUNTA($AK$17:$BB$17)),MATCH($F377,$F$19:$F$24,0),MATCH(AS$17,$AK$17:$BB$17,0))*INDEX($10:$13,MATCH($O377,$R$10:$R$13,0),COLUMN())</f>
        <v>9.3194323419999985E-5</v>
      </c>
      <c r="AT377" s="1050" cm="1">
        <f t="array" aca="1" ref="AT377" ca="1">INDEX(OFFSET($AK$19,MATCH($B377,$B$19:$B$150,0)-1,0,COUNTA($B$19:$B$24),COUNTA($AK$17:$BB$17)),MATCH($F377,$F$19:$F$24,0),MATCH(AT$17,$AK$17:$BB$17,0))*INDEX($10:$13,MATCH($O377,$R$10:$R$13,0),COLUMN())</f>
        <v>1.0069179504E-6</v>
      </c>
      <c r="AU377" s="1050" cm="1">
        <f t="array" aca="1" ref="AU377" ca="1">INDEX(OFFSET($AK$19,MATCH($B377,$B$19:$B$150,0)-1,0,COUNTA($B$19:$B$24),COUNTA($AK$17:$BB$17)),MATCH($F377,$F$19:$F$24,0),MATCH(AU$17,$AK$17:$BB$17,0))*INDEX($10:$13,MATCH($O377,$R$10:$R$13,0),COLUMN())</f>
        <v>2.5340510268999998E-7</v>
      </c>
      <c r="AV377" s="1050" cm="1">
        <f t="array" aca="1" ref="AV377" ca="1">INDEX(OFFSET($AK$19,MATCH($B377,$B$19:$B$150,0)-1,0,COUNTA($B$19:$B$24),COUNTA($AK$17:$BB$17)),MATCH($F377,$F$19:$F$24,0),MATCH(AV$17,$AK$17:$BB$17,0))*INDEX($10:$13,MATCH($O377,$R$10:$R$13,0),COLUMN())</f>
        <v>3.2433834489999997E-4</v>
      </c>
      <c r="AW377" s="1050" cm="1">
        <f t="array" aca="1" ref="AW377" ca="1">INDEX(OFFSET($AK$19,MATCH($B377,$B$19:$B$150,0)-1,0,COUNTA($B$19:$B$24),COUNTA($AK$17:$BB$17)),MATCH($F377,$F$19:$F$24,0),MATCH(AW$17,$AK$17:$BB$17,0))*INDEX($10:$13,MATCH($O377,$R$10:$R$13,0),COLUMN())</f>
        <v>4.0005687605E-2</v>
      </c>
      <c r="AX377" s="1050" cm="1">
        <f t="array" aca="1" ref="AX377" ca="1">INDEX(OFFSET($AK$19,MATCH($B377,$B$19:$B$150,0)-1,0,COUNTA($B$19:$B$24),COUNTA($AK$17:$BB$17)),MATCH($F377,$F$19:$F$24,0),MATCH(AX$17,$AK$17:$BB$17,0))*INDEX($10:$13,MATCH($O377,$R$10:$R$13,0),COLUMN())</f>
        <v>2.5521729350000001E-8</v>
      </c>
      <c r="AY377" s="1050" cm="1">
        <f t="array" aca="1" ref="AY377" ca="1">INDEX(OFFSET($AK$19,MATCH($B377,$B$19:$B$150,0)-1,0,COUNTA($B$19:$B$24),COUNTA($AK$17:$BB$17)),MATCH($F377,$F$19:$F$24,0),MATCH(AY$17,$AK$17:$BB$17,0))*INDEX($10:$13,MATCH($O377,$R$10:$R$13,0),COLUMN())</f>
        <v>0</v>
      </c>
      <c r="AZ377" s="1050" cm="1">
        <f t="array" aca="1" ref="AZ377" ca="1">INDEX(OFFSET($AK$19,MATCH($B377,$B$19:$B$150,0)-1,0,COUNTA($B$19:$B$24),COUNTA($AK$17:$BB$17)),MATCH($F377,$F$19:$F$24,0),MATCH(AZ$17,$AK$17:$BB$17,0))*INDEX($10:$13,MATCH($O377,$R$10:$R$13,0),COLUMN())</f>
        <v>0</v>
      </c>
      <c r="BA377" s="1050" cm="1">
        <f t="array" aca="1" ref="BA377" ca="1">INDEX(OFFSET($AK$19,MATCH($B377,$B$19:$B$150,0)-1,0,COUNTA($B$19:$B$24),COUNTA($AK$17:$BB$17)),MATCH($F377,$F$19:$F$24,0),MATCH(BA$17,$AK$17:$BB$17,0))*INDEX($10:$13,MATCH($O377,$R$10:$R$13,0),COLUMN())</f>
        <v>0</v>
      </c>
      <c r="BB377" s="1051" cm="1">
        <f t="array" aca="1" ref="BB377" ca="1">INDEX(OFFSET($AK$19,MATCH($B377,$B$19:$B$150,0)-1,0,COUNTA($B$19:$B$24),COUNTA($AK$17:$BB$17)),MATCH($F377,$F$19:$F$24,0),MATCH(BB$17,$AK$17:$BB$17,0))*INDEX($10:$13,MATCH($O377,$R$10:$R$13,0),COLUMN())</f>
        <v>0</v>
      </c>
      <c r="BC377" s="1053">
        <f t="shared" ca="1" si="171"/>
        <v>4.0005713126729348E-2</v>
      </c>
      <c r="BE377" s="1"/>
      <c r="BF377" s="1"/>
      <c r="BG377" s="1"/>
      <c r="BH377" s="1"/>
      <c r="BI377" s="1"/>
      <c r="BJ377" s="1"/>
      <c r="BK377" s="1"/>
      <c r="BL377" s="1"/>
      <c r="BM377" s="1"/>
      <c r="BN377" s="1"/>
      <c r="BO377" s="1"/>
      <c r="BP377" s="1"/>
      <c r="BQ377" s="1"/>
      <c r="BR377" s="1"/>
      <c r="BS377" s="1"/>
      <c r="BT377" s="1"/>
      <c r="BU377" s="1"/>
      <c r="BV377" s="1"/>
      <c r="BW377" s="1"/>
      <c r="BX377" s="1"/>
      <c r="BY377" s="1"/>
      <c r="BZ377" s="1"/>
    </row>
    <row r="378" spans="2:78" ht="12" customHeight="1" outlineLevel="1" x14ac:dyDescent="0.25">
      <c r="B378" s="104" t="s">
        <v>111</v>
      </c>
      <c r="C378" s="104" t="s">
        <v>121</v>
      </c>
      <c r="D378" s="2" t="s">
        <v>148</v>
      </c>
      <c r="E378" s="2" t="s">
        <v>149</v>
      </c>
      <c r="F378" s="105" t="s">
        <v>94</v>
      </c>
      <c r="G378" s="27" t="s">
        <v>1580</v>
      </c>
      <c r="H378" s="106" t="s">
        <v>131</v>
      </c>
      <c r="I378" s="107" t="s">
        <v>129</v>
      </c>
      <c r="J378" s="147">
        <v>0.76959932000000009</v>
      </c>
      <c r="K378" s="148">
        <v>1.79</v>
      </c>
      <c r="L378" s="149">
        <f t="shared" ca="1" si="167"/>
        <v>1.8297588229752103E-2</v>
      </c>
      <c r="M378" s="148">
        <f t="shared" ca="1" si="168"/>
        <v>1.8227526829312564</v>
      </c>
      <c r="N378" s="148">
        <f t="shared" ca="1" si="170"/>
        <v>3.2752682931256265E-2</v>
      </c>
      <c r="O378" s="1062" t="s">
        <v>1583</v>
      </c>
      <c r="P378" s="104"/>
      <c r="R378" s="119"/>
      <c r="S378" s="1072"/>
      <c r="T378" s="1072"/>
      <c r="U378" s="1072"/>
      <c r="V378" s="1072"/>
      <c r="W378" s="1072"/>
      <c r="X378" s="1072"/>
      <c r="Y378" s="1072"/>
      <c r="Z378" s="1072"/>
      <c r="AA378" s="1072"/>
      <c r="AB378" s="1072"/>
      <c r="AC378" s="1072"/>
      <c r="AD378" s="1072"/>
      <c r="AE378" s="1072"/>
      <c r="AF378" s="1072"/>
      <c r="AG378" s="1072"/>
      <c r="AH378" s="1072"/>
      <c r="AI378" s="1072"/>
      <c r="AJ378" s="1073"/>
      <c r="AK378" s="1052" cm="1">
        <f t="array" aca="1" ref="AK378" ca="1">INDEX(OFFSET($AK$19,MATCH($B378,$B$19:$B$150,0)-1,0,COUNTA($B$19:$B$24),COUNTA($AK$17:$BB$17)),MATCH($F378,$F$19:$F$24,0),MATCH(AK$17,$AK$17:$BB$17,0))*INDEX($10:$13,MATCH($O378,$R$10:$R$13,0),COLUMN())</f>
        <v>7.3164315900000011E-3</v>
      </c>
      <c r="AL378" s="1050" cm="1">
        <f t="array" aca="1" ref="AL378" ca="1">INDEX(OFFSET($AK$19,MATCH($B378,$B$19:$B$150,0)-1,0,COUNTA($B$19:$B$24),COUNTA($AK$17:$BB$17)),MATCH($F378,$F$19:$F$24,0),MATCH(AL$17,$AK$17:$BB$17,0))*INDEX($10:$13,MATCH($O378,$R$10:$R$13,0),COLUMN())</f>
        <v>1.2753586144E-8</v>
      </c>
      <c r="AM378" s="1050" cm="1">
        <f t="array" aca="1" ref="AM378" ca="1">INDEX(OFFSET($AK$19,MATCH($B378,$B$19:$B$150,0)-1,0,COUNTA($B$19:$B$24),COUNTA($AK$17:$BB$17)),MATCH($F378,$F$19:$F$24,0),MATCH(AM$17,$AK$17:$BB$17,0))*INDEX($10:$13,MATCH($O378,$R$10:$R$13,0),COLUMN())</f>
        <v>2.3609036721E-5</v>
      </c>
      <c r="AN378" s="1050" cm="1">
        <f t="array" aca="1" ref="AN378" ca="1">INDEX(OFFSET($AK$19,MATCH($B378,$B$19:$B$150,0)-1,0,COUNTA($B$19:$B$24),COUNTA($AK$17:$BB$17)),MATCH($F378,$F$19:$F$24,0),MATCH(AN$17,$AK$17:$BB$17,0))*INDEX($10:$13,MATCH($O378,$R$10:$R$13,0),COLUMN())</f>
        <v>2.1997945199999999E-4</v>
      </c>
      <c r="AO378" s="1050" cm="1">
        <f t="array" aca="1" ref="AO378" ca="1">INDEX(OFFSET($AK$19,MATCH($B378,$B$19:$B$150,0)-1,0,COUNTA($B$19:$B$24),COUNTA($AK$17:$BB$17)),MATCH($F378,$F$19:$F$24,0),MATCH(AO$17,$AK$17:$BB$17,0))*INDEX($10:$13,MATCH($O378,$R$10:$R$13,0),COLUMN())</f>
        <v>2.5864616288000003E-3</v>
      </c>
      <c r="AP378" s="1050" cm="1">
        <f t="array" aca="1" ref="AP378" ca="1">INDEX(OFFSET($AK$19,MATCH($B378,$B$19:$B$150,0)-1,0,COUNTA($B$19:$B$24),COUNTA($AK$17:$BB$17)),MATCH($F378,$F$19:$F$24,0),MATCH(AP$17,$AK$17:$BB$17,0))*INDEX($10:$13,MATCH($O378,$R$10:$R$13,0),COLUMN())</f>
        <v>1.1232740735999999E-3</v>
      </c>
      <c r="AQ378" s="1050" cm="1">
        <f t="array" aca="1" ref="AQ378" ca="1">INDEX(OFFSET($AK$19,MATCH($B378,$B$19:$B$150,0)-1,0,COUNTA($B$19:$B$24),COUNTA($AK$17:$BB$17)),MATCH($F378,$F$19:$F$24,0),MATCH(AQ$17,$AK$17:$BB$17,0))*INDEX($10:$13,MATCH($O378,$R$10:$R$13,0),COLUMN())</f>
        <v>5.4876850380000001E-6</v>
      </c>
      <c r="AR378" s="1050" cm="1">
        <f t="array" aca="1" ref="AR378" ca="1">INDEX(OFFSET($AK$19,MATCH($B378,$B$19:$B$150,0)-1,0,COUNTA($B$19:$B$24),COUNTA($AK$17:$BB$17)),MATCH($F378,$F$19:$F$24,0),MATCH(AR$17,$AK$17:$BB$17,0))*INDEX($10:$13,MATCH($O378,$R$10:$R$13,0),COLUMN())</f>
        <v>1.6851528157999999E-3</v>
      </c>
      <c r="AS378" s="1050" cm="1">
        <f t="array" aca="1" ref="AS378" ca="1">INDEX(OFFSET($AK$19,MATCH($B378,$B$19:$B$150,0)-1,0,COUNTA($B$19:$B$24),COUNTA($AK$17:$BB$17)),MATCH($F378,$F$19:$F$24,0),MATCH(AS$17,$AK$17:$BB$17,0))*INDEX($10:$13,MATCH($O378,$R$10:$R$13,0),COLUMN())</f>
        <v>3.7818755733E-5</v>
      </c>
      <c r="AT378" s="1050" cm="1">
        <f t="array" aca="1" ref="AT378" ca="1">INDEX(OFFSET($AK$19,MATCH($B378,$B$19:$B$150,0)-1,0,COUNTA($B$19:$B$24),COUNTA($AK$17:$BB$17)),MATCH($F378,$F$19:$F$24,0),MATCH(AT$17,$AK$17:$BB$17,0))*INDEX($10:$13,MATCH($O378,$R$10:$R$13,0),COLUMN())</f>
        <v>4.9044106249999993E-7</v>
      </c>
      <c r="AU378" s="1050" cm="1">
        <f t="array" aca="1" ref="AU378" ca="1">INDEX(OFFSET($AK$19,MATCH($B378,$B$19:$B$150,0)-1,0,COUNTA($B$19:$B$24),COUNTA($AK$17:$BB$17)),MATCH($F378,$F$19:$F$24,0),MATCH(AU$17,$AK$17:$BB$17,0))*INDEX($10:$13,MATCH($O378,$R$10:$R$13,0),COLUMN())</f>
        <v>1.2387143126000001E-7</v>
      </c>
      <c r="AV378" s="1050" cm="1">
        <f t="array" aca="1" ref="AV378" ca="1">INDEX(OFFSET($AK$19,MATCH($B378,$B$19:$B$150,0)-1,0,COUNTA($B$19:$B$24),COUNTA($AK$17:$BB$17)),MATCH($F378,$F$19:$F$24,0),MATCH(AV$17,$AK$17:$BB$17,0))*INDEX($10:$13,MATCH($O378,$R$10:$R$13,0),COLUMN())</f>
        <v>1.4242527134000001E-4</v>
      </c>
      <c r="AW378" s="1050" cm="1">
        <f t="array" aca="1" ref="AW378" ca="1">INDEX(OFFSET($AK$19,MATCH($B378,$B$19:$B$150,0)-1,0,COUNTA($B$19:$B$24),COUNTA($AK$17:$BB$17)),MATCH($F378,$F$19:$F$24,0),MATCH(AW$17,$AK$17:$BB$17,0))*INDEX($10:$13,MATCH($O378,$R$10:$R$13,0),COLUMN())</f>
        <v>1.9611403045E-2</v>
      </c>
      <c r="AX378" s="1050" cm="1">
        <f t="array" aca="1" ref="AX378" ca="1">INDEX(OFFSET($AK$19,MATCH($B378,$B$19:$B$150,0)-1,0,COUNTA($B$19:$B$24),COUNTA($AK$17:$BB$17)),MATCH($F378,$F$19:$F$24,0),MATCH(AX$17,$AK$17:$BB$17,0))*INDEX($10:$13,MATCH($O378,$R$10:$R$13,0),COLUMN())</f>
        <v>1.2511144360000001E-8</v>
      </c>
      <c r="AY378" s="1050" cm="1">
        <f t="array" aca="1" ref="AY378" ca="1">INDEX(OFFSET($AK$19,MATCH($B378,$B$19:$B$150,0)-1,0,COUNTA($B$19:$B$24),COUNTA($AK$17:$BB$17)),MATCH($F378,$F$19:$F$24,0),MATCH(AY$17,$AK$17:$BB$17,0))*INDEX($10:$13,MATCH($O378,$R$10:$R$13,0),COLUMN())</f>
        <v>0</v>
      </c>
      <c r="AZ378" s="1050" cm="1">
        <f t="array" aca="1" ref="AZ378" ca="1">INDEX(OFFSET($AK$19,MATCH($B378,$B$19:$B$150,0)-1,0,COUNTA($B$19:$B$24),COUNTA($AK$17:$BB$17)),MATCH($F378,$F$19:$F$24,0),MATCH(AZ$17,$AK$17:$BB$17,0))*INDEX($10:$13,MATCH($O378,$R$10:$R$13,0),COLUMN())</f>
        <v>0</v>
      </c>
      <c r="BA378" s="1050" cm="1">
        <f t="array" aca="1" ref="BA378" ca="1">INDEX(OFFSET($AK$19,MATCH($B378,$B$19:$B$150,0)-1,0,COUNTA($B$19:$B$24),COUNTA($AK$17:$BB$17)),MATCH($F378,$F$19:$F$24,0),MATCH(BA$17,$AK$17:$BB$17,0))*INDEX($10:$13,MATCH($O378,$R$10:$R$13,0),COLUMN())</f>
        <v>0</v>
      </c>
      <c r="BB378" s="1051" cm="1">
        <f t="array" aca="1" ref="BB378" ca="1">INDEX(OFFSET($AK$19,MATCH($B378,$B$19:$B$150,0)-1,0,COUNTA($B$19:$B$24),COUNTA($AK$17:$BB$17)),MATCH($F378,$F$19:$F$24,0),MATCH(BB$17,$AK$17:$BB$17,0))*INDEX($10:$13,MATCH($O378,$R$10:$R$13,0),COLUMN())</f>
        <v>0</v>
      </c>
      <c r="BC378" s="1053">
        <f t="shared" ca="1" si="171"/>
        <v>1.961141555614436E-2</v>
      </c>
      <c r="BE378" s="1"/>
      <c r="BF378" s="1"/>
      <c r="BG378" s="1"/>
      <c r="BH378" s="1"/>
      <c r="BI378" s="1"/>
      <c r="BJ378" s="1"/>
      <c r="BK378" s="1"/>
      <c r="BL378" s="1"/>
      <c r="BM378" s="1"/>
      <c r="BN378" s="1"/>
      <c r="BO378" s="1"/>
      <c r="BP378" s="1"/>
      <c r="BQ378" s="1"/>
      <c r="BR378" s="1"/>
      <c r="BS378" s="1"/>
      <c r="BT378" s="1"/>
      <c r="BU378" s="1"/>
      <c r="BV378" s="1"/>
      <c r="BW378" s="1"/>
      <c r="BX378" s="1"/>
      <c r="BY378" s="1"/>
      <c r="BZ378" s="1"/>
    </row>
    <row r="379" spans="2:78" ht="12" customHeight="1" outlineLevel="1" x14ac:dyDescent="0.25">
      <c r="B379" s="104" t="s">
        <v>111</v>
      </c>
      <c r="C379" s="104" t="s">
        <v>121</v>
      </c>
      <c r="D379" s="2" t="s">
        <v>148</v>
      </c>
      <c r="E379" s="2" t="s">
        <v>149</v>
      </c>
      <c r="F379" s="105" t="s">
        <v>95</v>
      </c>
      <c r="G379" s="27" t="s">
        <v>1581</v>
      </c>
      <c r="H379" s="106" t="s">
        <v>128</v>
      </c>
      <c r="I379" s="107" t="s">
        <v>127</v>
      </c>
      <c r="J379" s="147">
        <v>0.76959932000000009</v>
      </c>
      <c r="K379" s="148">
        <v>1.79</v>
      </c>
      <c r="L379" s="149">
        <f t="shared" ca="1" si="167"/>
        <v>2.9051993113295062E-2</v>
      </c>
      <c r="M379" s="148">
        <f t="shared" ca="1" si="168"/>
        <v>1.8420030676727981</v>
      </c>
      <c r="N379" s="148">
        <f t="shared" ca="1" si="170"/>
        <v>5.2003067672798164E-2</v>
      </c>
      <c r="O379" s="1062" t="s">
        <v>1583</v>
      </c>
      <c r="P379" s="104"/>
      <c r="R379" s="119"/>
      <c r="S379" s="1072"/>
      <c r="T379" s="1072"/>
      <c r="U379" s="1072"/>
      <c r="V379" s="1072"/>
      <c r="W379" s="1072"/>
      <c r="X379" s="1072"/>
      <c r="Y379" s="1072"/>
      <c r="Z379" s="1072"/>
      <c r="AA379" s="1072"/>
      <c r="AB379" s="1072"/>
      <c r="AC379" s="1072"/>
      <c r="AD379" s="1072"/>
      <c r="AE379" s="1072"/>
      <c r="AF379" s="1072"/>
      <c r="AG379" s="1072"/>
      <c r="AH379" s="1072"/>
      <c r="AI379" s="1072"/>
      <c r="AJ379" s="1073"/>
      <c r="AK379" s="1052" cm="1">
        <f t="array" aca="1" ref="AK379" ca="1">INDEX(OFFSET($AK$19,MATCH($B379,$B$19:$B$150,0)-1,0,COUNTA($B$19:$B$24),COUNTA($AK$17:$BB$17)),MATCH($F379,$F$19:$F$24,0),MATCH(AK$17,$AK$17:$BB$17,0))*INDEX($10:$13,MATCH($O379,$R$10:$R$13,0),COLUMN())</f>
        <v>1.077628305E-2</v>
      </c>
      <c r="AL379" s="1050" cm="1">
        <f t="array" aca="1" ref="AL379" ca="1">INDEX(OFFSET($AK$19,MATCH($B379,$B$19:$B$150,0)-1,0,COUNTA($B$19:$B$24),COUNTA($AK$17:$BB$17)),MATCH($F379,$F$19:$F$24,0),MATCH(AL$17,$AK$17:$BB$17,0))*INDEX($10:$13,MATCH($O379,$R$10:$R$13,0),COLUMN())</f>
        <v>1.7175412672E-8</v>
      </c>
      <c r="AM379" s="1050" cm="1">
        <f t="array" aca="1" ref="AM379" ca="1">INDEX(OFFSET($AK$19,MATCH($B379,$B$19:$B$150,0)-1,0,COUNTA($B$19:$B$24),COUNTA($AK$17:$BB$17)),MATCH($F379,$F$19:$F$24,0),MATCH(AM$17,$AK$17:$BB$17,0))*INDEX($10:$13,MATCH($O379,$R$10:$R$13,0),COLUMN())</f>
        <v>3.1794296404999999E-5</v>
      </c>
      <c r="AN379" s="1050" cm="1">
        <f t="array" aca="1" ref="AN379" ca="1">INDEX(OFFSET($AK$19,MATCH($B379,$B$19:$B$150,0)-1,0,COUNTA($B$19:$B$24),COUNTA($AK$17:$BB$17)),MATCH($F379,$F$19:$F$24,0),MATCH(AN$17,$AK$17:$BB$17,0))*INDEX($10:$13,MATCH($O379,$R$10:$R$13,0),COLUMN())</f>
        <v>3.050628115E-4</v>
      </c>
      <c r="AO379" s="1050" cm="1">
        <f t="array" aca="1" ref="AO379" ca="1">INDEX(OFFSET($AK$19,MATCH($B379,$B$19:$B$150,0)-1,0,COUNTA($B$19:$B$24),COUNTA($AK$17:$BB$17)),MATCH($F379,$F$19:$F$24,0),MATCH(AO$17,$AK$17:$BB$17,0))*INDEX($10:$13,MATCH($O379,$R$10:$R$13,0),COLUMN())</f>
        <v>6.2564720960000004E-3</v>
      </c>
      <c r="AP379" s="1050" cm="1">
        <f t="array" aca="1" ref="AP379" ca="1">INDEX(OFFSET($AK$19,MATCH($B379,$B$19:$B$150,0)-1,0,COUNTA($B$19:$B$24),COUNTA($AK$17:$BB$17)),MATCH($F379,$F$19:$F$24,0),MATCH(AP$17,$AK$17:$BB$17,0))*INDEX($10:$13,MATCH($O379,$R$10:$R$13,0),COLUMN())</f>
        <v>4.1579265020999998E-3</v>
      </c>
      <c r="AQ379" s="1050" cm="1">
        <f t="array" aca="1" ref="AQ379" ca="1">INDEX(OFFSET($AK$19,MATCH($B379,$B$19:$B$150,0)-1,0,COUNTA($B$19:$B$24),COUNTA($AK$17:$BB$17)),MATCH($F379,$F$19:$F$24,0),MATCH(AQ$17,$AK$17:$BB$17,0))*INDEX($10:$13,MATCH($O379,$R$10:$R$13,0),COLUMN())</f>
        <v>2.8895674740000005E-5</v>
      </c>
      <c r="AR379" s="1050" cm="1">
        <f t="array" aca="1" ref="AR379" ca="1">INDEX(OFFSET($AK$19,MATCH($B379,$B$19:$B$150,0)-1,0,COUNTA($B$19:$B$24),COUNTA($AK$17:$BB$17)),MATCH($F379,$F$19:$F$24,0),MATCH(AR$17,$AK$17:$BB$17,0))*INDEX($10:$13,MATCH($O379,$R$10:$R$13,0),COLUMN())</f>
        <v>2.9684442137000002E-3</v>
      </c>
      <c r="AS379" s="1050" cm="1">
        <f t="array" aca="1" ref="AS379" ca="1">INDEX(OFFSET($AK$19,MATCH($B379,$B$19:$B$150,0)-1,0,COUNTA($B$19:$B$24),COUNTA($AK$17:$BB$17)),MATCH($F379,$F$19:$F$24,0),MATCH(AS$17,$AK$17:$BB$17,0))*INDEX($10:$13,MATCH($O379,$R$10:$R$13,0),COLUMN())</f>
        <v>3.9451534605999995E-4</v>
      </c>
      <c r="AT379" s="1050" cm="1">
        <f t="array" aca="1" ref="AT379" ca="1">INDEX(OFFSET($AK$19,MATCH($B379,$B$19:$B$150,0)-1,0,COUNTA($B$19:$B$24),COUNTA($AK$17:$BB$17)),MATCH($F379,$F$19:$F$24,0),MATCH(AT$17,$AK$17:$BB$17,0))*INDEX($10:$13,MATCH($O379,$R$10:$R$13,0),COLUMN())</f>
        <v>9.0657558169999996E-7</v>
      </c>
      <c r="AU379" s="1050" cm="1">
        <f t="array" aca="1" ref="AU379" ca="1">INDEX(OFFSET($AK$19,MATCH($B379,$B$19:$B$150,0)-1,0,COUNTA($B$19:$B$24),COUNTA($AK$17:$BB$17)),MATCH($F379,$F$19:$F$24,0),MATCH(AU$17,$AK$17:$BB$17,0))*INDEX($10:$13,MATCH($O379,$R$10:$R$13,0),COLUMN())</f>
        <v>2.0408130146999999E-7</v>
      </c>
      <c r="AV379" s="1050" cm="1">
        <f t="array" aca="1" ref="AV379" ca="1">INDEX(OFFSET($AK$19,MATCH($B379,$B$19:$B$150,0)-1,0,COUNTA($B$19:$B$24),COUNTA($AK$17:$BB$17)),MATCH($F379,$F$19:$F$24,0),MATCH(AV$17,$AK$17:$BB$17,0))*INDEX($10:$13,MATCH($O379,$R$10:$R$13,0),COLUMN())</f>
        <v>7.4784716971999993E-4</v>
      </c>
      <c r="AW379" s="1050" cm="1">
        <f t="array" aca="1" ref="AW379" ca="1">INDEX(OFFSET($AK$19,MATCH($B379,$B$19:$B$150,0)-1,0,COUNTA($B$19:$B$24),COUNTA($AK$17:$BB$17)),MATCH($F379,$F$19:$F$24,0),MATCH(AW$17,$AK$17:$BB$17,0))*INDEX($10:$13,MATCH($O379,$R$10:$R$13,0),COLUMN())</f>
        <v>2.6334681880000002E-2</v>
      </c>
      <c r="AX379" s="1050" cm="1">
        <f t="array" aca="1" ref="AX379" ca="1">INDEX(OFFSET($AK$19,MATCH($B379,$B$19:$B$150,0)-1,0,COUNTA($B$19:$B$24),COUNTA($AK$17:$BB$17)),MATCH($F379,$F$19:$F$24,0),MATCH(AX$17,$AK$17:$BB$17,0))*INDEX($10:$13,MATCH($O379,$R$10:$R$13,0),COLUMN())</f>
        <v>1.6800277325000001E-8</v>
      </c>
      <c r="AY379" s="1050" cm="1">
        <f t="array" aca="1" ref="AY379" ca="1">INDEX(OFFSET($AK$19,MATCH($B379,$B$19:$B$150,0)-1,0,COUNTA($B$19:$B$24),COUNTA($AK$17:$BB$17)),MATCH($F379,$F$19:$F$24,0),MATCH(AY$17,$AK$17:$BB$17,0))*INDEX($10:$13,MATCH($O379,$R$10:$R$13,0),COLUMN())</f>
        <v>0</v>
      </c>
      <c r="AZ379" s="1050" cm="1">
        <f t="array" aca="1" ref="AZ379" ca="1">INDEX(OFFSET($AK$19,MATCH($B379,$B$19:$B$150,0)-1,0,COUNTA($B$19:$B$24),COUNTA($AK$17:$BB$17)),MATCH($F379,$F$19:$F$24,0),MATCH(AZ$17,$AK$17:$BB$17,0))*INDEX($10:$13,MATCH($O379,$R$10:$R$13,0),COLUMN())</f>
        <v>0</v>
      </c>
      <c r="BA379" s="1050" cm="1">
        <f t="array" aca="1" ref="BA379" ca="1">INDEX(OFFSET($AK$19,MATCH($B379,$B$19:$B$150,0)-1,0,COUNTA($B$19:$B$24),COUNTA($AK$17:$BB$17)),MATCH($F379,$F$19:$F$24,0),MATCH(BA$17,$AK$17:$BB$17,0))*INDEX($10:$13,MATCH($O379,$R$10:$R$13,0),COLUMN())</f>
        <v>0</v>
      </c>
      <c r="BB379" s="1051" cm="1">
        <f t="array" aca="1" ref="BB379" ca="1">INDEX(OFFSET($AK$19,MATCH($B379,$B$19:$B$150,0)-1,0,COUNTA($B$19:$B$24),COUNTA($AK$17:$BB$17)),MATCH($F379,$F$19:$F$24,0),MATCH(BB$17,$AK$17:$BB$17,0))*INDEX($10:$13,MATCH($O379,$R$10:$R$13,0),COLUMN())</f>
        <v>0</v>
      </c>
      <c r="BC379" s="1053">
        <f t="shared" ca="1" si="171"/>
        <v>2.6334698680277328E-2</v>
      </c>
      <c r="BE379" s="1"/>
      <c r="BF379" s="1"/>
      <c r="BG379" s="1"/>
      <c r="BH379" s="1"/>
      <c r="BI379" s="1"/>
      <c r="BJ379" s="1"/>
      <c r="BK379" s="1"/>
      <c r="BL379" s="1"/>
      <c r="BM379" s="1"/>
      <c r="BN379" s="1"/>
      <c r="BO379" s="1"/>
      <c r="BP379" s="1"/>
      <c r="BQ379" s="1"/>
      <c r="BR379" s="1"/>
      <c r="BS379" s="1"/>
      <c r="BT379" s="1"/>
      <c r="BU379" s="1"/>
      <c r="BV379" s="1"/>
      <c r="BW379" s="1"/>
      <c r="BX379" s="1"/>
      <c r="BY379" s="1"/>
      <c r="BZ379" s="1"/>
    </row>
    <row r="380" spans="2:78" ht="12" customHeight="1" outlineLevel="1" x14ac:dyDescent="0.25">
      <c r="B380" s="104" t="s">
        <v>111</v>
      </c>
      <c r="C380" s="104" t="s">
        <v>121</v>
      </c>
      <c r="D380" s="2" t="s">
        <v>148</v>
      </c>
      <c r="E380" s="2" t="s">
        <v>149</v>
      </c>
      <c r="F380" s="105" t="s">
        <v>96</v>
      </c>
      <c r="G380" s="27" t="s">
        <v>1582</v>
      </c>
      <c r="H380" s="106" t="s">
        <v>128</v>
      </c>
      <c r="I380" s="107" t="s">
        <v>1577</v>
      </c>
      <c r="J380" s="147">
        <v>0.76959932000000009</v>
      </c>
      <c r="K380" s="148">
        <v>1.79</v>
      </c>
      <c r="L380" s="149">
        <f t="shared" ca="1" si="167"/>
        <v>3.2302611040313289E-2</v>
      </c>
      <c r="M380" s="148">
        <f t="shared" ca="1" si="168"/>
        <v>1.8478216737621609</v>
      </c>
      <c r="N380" s="148">
        <f t="shared" ca="1" si="170"/>
        <v>5.7821673762160783E-2</v>
      </c>
      <c r="O380" s="1062" t="s">
        <v>1583</v>
      </c>
      <c r="P380" s="104"/>
      <c r="R380" s="119"/>
      <c r="S380" s="1072"/>
      <c r="T380" s="1072"/>
      <c r="U380" s="1072"/>
      <c r="V380" s="1072"/>
      <c r="W380" s="1072"/>
      <c r="X380" s="1072"/>
      <c r="Y380" s="1072"/>
      <c r="Z380" s="1072"/>
      <c r="AA380" s="1072"/>
      <c r="AB380" s="1072"/>
      <c r="AC380" s="1072"/>
      <c r="AD380" s="1072"/>
      <c r="AE380" s="1072"/>
      <c r="AF380" s="1072"/>
      <c r="AG380" s="1072"/>
      <c r="AH380" s="1072"/>
      <c r="AI380" s="1072"/>
      <c r="AJ380" s="1073"/>
      <c r="AK380" s="1052" cm="1">
        <f t="array" aca="1" ref="AK380" ca="1">INDEX(OFFSET($AK$19,MATCH($B380,$B$19:$B$150,0)-1,0,COUNTA($B$19:$B$24),COUNTA($AK$17:$BB$17)),MATCH($F380,$F$19:$F$24,0),MATCH(AK$17,$AK$17:$BB$17,0))*INDEX($10:$13,MATCH($O380,$R$10:$R$13,0),COLUMN())</f>
        <v>1.1458276245000001E-2</v>
      </c>
      <c r="AL380" s="1050" cm="1">
        <f t="array" aca="1" ref="AL380" ca="1">INDEX(OFFSET($AK$19,MATCH($B380,$B$19:$B$150,0)-1,0,COUNTA($B$19:$B$24),COUNTA($AK$17:$BB$17)),MATCH($F380,$F$19:$F$24,0),MATCH(AL$17,$AK$17:$BB$17,0))*INDEX($10:$13,MATCH($O380,$R$10:$R$13,0),COLUMN())</f>
        <v>1.7207768303999999E-8</v>
      </c>
      <c r="AM380" s="1050" cm="1">
        <f t="array" aca="1" ref="AM380" ca="1">INDEX(OFFSET($AK$19,MATCH($B380,$B$19:$B$150,0)-1,0,COUNTA($B$19:$B$24),COUNTA($AK$17:$BB$17)),MATCH($F380,$F$19:$F$24,0),MATCH(AM$17,$AK$17:$BB$17,0))*INDEX($10:$13,MATCH($O380,$R$10:$R$13,0),COLUMN())</f>
        <v>3.1854006047000002E-5</v>
      </c>
      <c r="AN380" s="1050" cm="1">
        <f t="array" aca="1" ref="AN380" ca="1">INDEX(OFFSET($AK$19,MATCH($B380,$B$19:$B$150,0)-1,0,COUNTA($B$19:$B$24),COUNTA($AK$17:$BB$17)),MATCH($F380,$F$19:$F$24,0),MATCH(AN$17,$AK$17:$BB$17,0))*INDEX($10:$13,MATCH($O380,$R$10:$R$13,0),COLUMN())</f>
        <v>3.1137289599999997E-4</v>
      </c>
      <c r="AO380" s="1050" cm="1">
        <f t="array" aca="1" ref="AO380" ca="1">INDEX(OFFSET($AK$19,MATCH($B380,$B$19:$B$150,0)-1,0,COUNTA($B$19:$B$24),COUNTA($AK$17:$BB$17)),MATCH($F380,$F$19:$F$24,0),MATCH(AO$17,$AK$17:$BB$17,0))*INDEX($10:$13,MATCH($O380,$R$10:$R$13,0),COLUMN())</f>
        <v>8.2799956960000008E-3</v>
      </c>
      <c r="AP380" s="1050" cm="1">
        <f t="array" aca="1" ref="AP380" ca="1">INDEX(OFFSET($AK$19,MATCH($B380,$B$19:$B$150,0)-1,0,COUNTA($B$19:$B$24),COUNTA($AK$17:$BB$17)),MATCH($F380,$F$19:$F$24,0),MATCH(AP$17,$AK$17:$BB$17,0))*INDEX($10:$13,MATCH($O380,$R$10:$R$13,0),COLUMN())</f>
        <v>6.0881013969999991E-3</v>
      </c>
      <c r="AQ380" s="1050" cm="1">
        <f t="array" aca="1" ref="AQ380" ca="1">INDEX(OFFSET($AK$19,MATCH($B380,$B$19:$B$150,0)-1,0,COUNTA($B$19:$B$24),COUNTA($AK$17:$BB$17)),MATCH($F380,$F$19:$F$24,0),MATCH(AQ$17,$AK$17:$BB$17,0))*INDEX($10:$13,MATCH($O380,$R$10:$R$13,0),COLUMN())</f>
        <v>4.4226525720000004E-5</v>
      </c>
      <c r="AR380" s="1050" cm="1">
        <f t="array" aca="1" ref="AR380" ca="1">INDEX(OFFSET($AK$19,MATCH($B380,$B$19:$B$150,0)-1,0,COUNTA($B$19:$B$24),COUNTA($AK$17:$BB$17)),MATCH($F380,$F$19:$F$24,0),MATCH(AR$17,$AK$17:$BB$17,0))*INDEX($10:$13,MATCH($O380,$R$10:$R$13,0),COLUMN())</f>
        <v>3.4828634980000003E-3</v>
      </c>
      <c r="AS380" s="1050" cm="1">
        <f t="array" aca="1" ref="AS380" ca="1">INDEX(OFFSET($AK$19,MATCH($B380,$B$19:$B$150,0)-1,0,COUNTA($B$19:$B$24),COUNTA($AK$17:$BB$17)),MATCH($F380,$F$19:$F$24,0),MATCH(AS$17,$AK$17:$BB$17,0))*INDEX($10:$13,MATCH($O380,$R$10:$R$13,0),COLUMN())</f>
        <v>6.2738603817999992E-4</v>
      </c>
      <c r="AT380" s="1050" cm="1">
        <f t="array" aca="1" ref="AT380" ca="1">INDEX(OFFSET($AK$19,MATCH($B380,$B$19:$B$150,0)-1,0,COUNTA($B$19:$B$24),COUNTA($AK$17:$BB$17)),MATCH($F380,$F$19:$F$24,0),MATCH(AT$17,$AK$17:$BB$17,0))*INDEX($10:$13,MATCH($O380,$R$10:$R$13,0),COLUMN())</f>
        <v>1.0110812550999999E-6</v>
      </c>
      <c r="AU380" s="1050" cm="1">
        <f t="array" aca="1" ref="AU380" ca="1">INDEX(OFFSET($AK$19,MATCH($B380,$B$19:$B$150,0)-1,0,COUNTA($B$19:$B$24),COUNTA($AK$17:$BB$17)),MATCH($F380,$F$19:$F$24,0),MATCH(AU$17,$AK$17:$BB$17,0))*INDEX($10:$13,MATCH($O380,$R$10:$R$13,0),COLUMN())</f>
        <v>2.1900261305E-7</v>
      </c>
      <c r="AV380" s="1050" cm="1">
        <f t="array" aca="1" ref="AV380" ca="1">INDEX(OFFSET($AK$19,MATCH($B380,$B$19:$B$150,0)-1,0,COUNTA($B$19:$B$24),COUNTA($AK$17:$BB$17)),MATCH($F380,$F$19:$F$24,0),MATCH(AV$17,$AK$17:$BB$17,0))*INDEX($10:$13,MATCH($O380,$R$10:$R$13,0),COLUMN())</f>
        <v>1.1616514882999999E-3</v>
      </c>
      <c r="AW380" s="1050" cm="1">
        <f t="array" aca="1" ref="AW380" ca="1">INDEX(OFFSET($AK$19,MATCH($B380,$B$19:$B$150,0)-1,0,COUNTA($B$19:$B$24),COUNTA($AK$17:$BB$17)),MATCH($F380,$F$19:$F$24,0),MATCH(AW$17,$AK$17:$BB$17,0))*INDEX($10:$13,MATCH($O380,$R$10:$R$13,0),COLUMN())</f>
        <v>2.6334681880000002E-2</v>
      </c>
      <c r="AX380" s="1050" cm="1">
        <f t="array" aca="1" ref="AX380" ca="1">INDEX(OFFSET($AK$19,MATCH($B380,$B$19:$B$150,0)-1,0,COUNTA($B$19:$B$24),COUNTA($AK$17:$BB$17)),MATCH($F380,$F$19:$F$24,0),MATCH(AX$17,$AK$17:$BB$17,0))*INDEX($10:$13,MATCH($O380,$R$10:$R$13,0),COLUMN())</f>
        <v>1.6800277325000001E-8</v>
      </c>
      <c r="AY380" s="1050" cm="1">
        <f t="array" aca="1" ref="AY380" ca="1">INDEX(OFFSET($AK$19,MATCH($B380,$B$19:$B$150,0)-1,0,COUNTA($B$19:$B$24),COUNTA($AK$17:$BB$17)),MATCH($F380,$F$19:$F$24,0),MATCH(AY$17,$AK$17:$BB$17,0))*INDEX($10:$13,MATCH($O380,$R$10:$R$13,0),COLUMN())</f>
        <v>0</v>
      </c>
      <c r="AZ380" s="1050" cm="1">
        <f t="array" aca="1" ref="AZ380" ca="1">INDEX(OFFSET($AK$19,MATCH($B380,$B$19:$B$150,0)-1,0,COUNTA($B$19:$B$24),COUNTA($AK$17:$BB$17)),MATCH($F380,$F$19:$F$24,0),MATCH(AZ$17,$AK$17:$BB$17,0))*INDEX($10:$13,MATCH($O380,$R$10:$R$13,0),COLUMN())</f>
        <v>0</v>
      </c>
      <c r="BA380" s="1050" cm="1">
        <f t="array" aca="1" ref="BA380" ca="1">INDEX(OFFSET($AK$19,MATCH($B380,$B$19:$B$150,0)-1,0,COUNTA($B$19:$B$24),COUNTA($AK$17:$BB$17)),MATCH($F380,$F$19:$F$24,0),MATCH(BA$17,$AK$17:$BB$17,0))*INDEX($10:$13,MATCH($O380,$R$10:$R$13,0),COLUMN())</f>
        <v>0</v>
      </c>
      <c r="BB380" s="1051" cm="1">
        <f t="array" aca="1" ref="BB380" ca="1">INDEX(OFFSET($AK$19,MATCH($B380,$B$19:$B$150,0)-1,0,COUNTA($B$19:$B$24),COUNTA($AK$17:$BB$17)),MATCH($F380,$F$19:$F$24,0),MATCH(BB$17,$AK$17:$BB$17,0))*INDEX($10:$13,MATCH($O380,$R$10:$R$13,0),COLUMN())</f>
        <v>0</v>
      </c>
      <c r="BC380" s="1053">
        <f t="shared" ca="1" si="171"/>
        <v>2.6334698680277328E-2</v>
      </c>
      <c r="BE380" s="1"/>
      <c r="BF380" s="1"/>
      <c r="BG380" s="1"/>
      <c r="BH380" s="1"/>
      <c r="BI380" s="1"/>
      <c r="BJ380" s="1"/>
      <c r="BK380" s="1"/>
      <c r="BL380" s="1"/>
      <c r="BM380" s="1"/>
      <c r="BN380" s="1"/>
      <c r="BO380" s="1"/>
      <c r="BP380" s="1"/>
      <c r="BQ380" s="1"/>
      <c r="BR380" s="1"/>
      <c r="BS380" s="1"/>
      <c r="BT380" s="1"/>
      <c r="BU380" s="1"/>
      <c r="BV380" s="1"/>
      <c r="BW380" s="1"/>
      <c r="BX380" s="1"/>
      <c r="BY380" s="1"/>
      <c r="BZ380" s="1"/>
    </row>
    <row r="381" spans="2:78" ht="12" customHeight="1" outlineLevel="1" x14ac:dyDescent="0.25">
      <c r="B381" s="88" t="s">
        <v>112</v>
      </c>
      <c r="C381" s="88" t="s">
        <v>121</v>
      </c>
      <c r="D381" s="89" t="s">
        <v>148</v>
      </c>
      <c r="E381" s="89" t="s">
        <v>150</v>
      </c>
      <c r="F381" s="90" t="s">
        <v>92</v>
      </c>
      <c r="G381" s="18" t="s">
        <v>126</v>
      </c>
      <c r="H381" s="91" t="s">
        <v>127</v>
      </c>
      <c r="I381" s="92" t="s">
        <v>127</v>
      </c>
      <c r="J381" s="142">
        <v>0.44</v>
      </c>
      <c r="K381" s="143">
        <v>0.28999999999999998</v>
      </c>
      <c r="L381" s="144">
        <f t="shared" ca="1" si="167"/>
        <v>0.1646896177550537</v>
      </c>
      <c r="M381" s="143">
        <f t="shared" ca="1" si="168"/>
        <v>0.33775998914896554</v>
      </c>
      <c r="N381" s="143">
        <f t="shared" ca="1" si="170"/>
        <v>4.7759989148965565E-2</v>
      </c>
      <c r="O381" s="1063" t="s">
        <v>1583</v>
      </c>
      <c r="P381" s="88"/>
      <c r="Q381" s="89"/>
      <c r="R381" s="150"/>
      <c r="S381" s="1070"/>
      <c r="T381" s="1070"/>
      <c r="U381" s="1070"/>
      <c r="V381" s="1070"/>
      <c r="W381" s="1070"/>
      <c r="X381" s="1070"/>
      <c r="Y381" s="1070"/>
      <c r="Z381" s="1070"/>
      <c r="AA381" s="1070"/>
      <c r="AB381" s="1070"/>
      <c r="AC381" s="1070"/>
      <c r="AD381" s="1070"/>
      <c r="AE381" s="1070"/>
      <c r="AF381" s="1070"/>
      <c r="AG381" s="1070"/>
      <c r="AH381" s="1070"/>
      <c r="AI381" s="1070"/>
      <c r="AJ381" s="1071"/>
      <c r="AK381" s="1048" cm="1">
        <f t="array" aca="1" ref="AK381" ca="1">INDEX(OFFSET($AK$19,MATCH($B381,$B$19:$B$150,0)-1,0,COUNTA($B$19:$B$24),COUNTA($AK$17:$BB$17)),MATCH($F381,$F$19:$F$24,0),MATCH(AK$17,$AK$17:$BB$17,0))*INDEX($10:$13,MATCH($O381,$R$10:$R$13,0),COLUMN())</f>
        <v>1.0716364425000001E-2</v>
      </c>
      <c r="AL381" s="1046" cm="1">
        <f t="array" aca="1" ref="AL381" ca="1">INDEX(OFFSET($AK$19,MATCH($B381,$B$19:$B$150,0)-1,0,COUNTA($B$19:$B$24),COUNTA($AK$17:$BB$17)),MATCH($F381,$F$19:$F$24,0),MATCH(AL$17,$AK$17:$BB$17,0))*INDEX($10:$13,MATCH($O381,$R$10:$R$13,0),COLUMN())</f>
        <v>1.3974348304000001E-8</v>
      </c>
      <c r="AM381" s="1046" cm="1">
        <f t="array" aca="1" ref="AM381" ca="1">INDEX(OFFSET($AK$19,MATCH($B381,$B$19:$B$150,0)-1,0,COUNTA($B$19:$B$24),COUNTA($AK$17:$BB$17)),MATCH($F381,$F$19:$F$24,0),MATCH(AM$17,$AK$17:$BB$17,0))*INDEX($10:$13,MATCH($O381,$R$10:$R$13,0),COLUMN())</f>
        <v>2.6312503915E-5</v>
      </c>
      <c r="AN381" s="1046" cm="1">
        <f t="array" aca="1" ref="AN381" ca="1">INDEX(OFFSET($AK$19,MATCH($B381,$B$19:$B$150,0)-1,0,COUNTA($B$19:$B$24),COUNTA($AK$17:$BB$17)),MATCH($F381,$F$19:$F$24,0),MATCH(AN$17,$AK$17:$BB$17,0))*INDEX($10:$13,MATCH($O381,$R$10:$R$13,0),COLUMN())</f>
        <v>1.17141714E-4</v>
      </c>
      <c r="AO381" s="1046" cm="1">
        <f t="array" aca="1" ref="AO381" ca="1">INDEX(OFFSET($AK$19,MATCH($B381,$B$19:$B$150,0)-1,0,COUNTA($B$19:$B$24),COUNTA($AK$17:$BB$17)),MATCH($F381,$F$19:$F$24,0),MATCH(AO$17,$AK$17:$BB$17,0))*INDEX($10:$13,MATCH($O381,$R$10:$R$13,0),COLUMN())</f>
        <v>4.3898378720000006E-3</v>
      </c>
      <c r="AP381" s="1046" cm="1">
        <f t="array" aca="1" ref="AP381" ca="1">INDEX(OFFSET($AK$19,MATCH($B381,$B$19:$B$150,0)-1,0,COUNTA($B$19:$B$24),COUNTA($AK$17:$BB$17)),MATCH($F381,$F$19:$F$24,0),MATCH(AP$17,$AK$17:$BB$17,0))*INDEX($10:$13,MATCH($O381,$R$10:$R$13,0),COLUMN())</f>
        <v>3.4595027893999999E-3</v>
      </c>
      <c r="AQ381" s="1046" cm="1">
        <f t="array" aca="1" ref="AQ381" ca="1">INDEX(OFFSET($AK$19,MATCH($B381,$B$19:$B$150,0)-1,0,COUNTA($B$19:$B$24),COUNTA($AK$17:$BB$17)),MATCH($F381,$F$19:$F$24,0),MATCH(AQ$17,$AK$17:$BB$17,0))*INDEX($10:$13,MATCH($O381,$R$10:$R$13,0),COLUMN())</f>
        <v>4.962913566E-5</v>
      </c>
      <c r="AR381" s="1046" cm="1">
        <f t="array" aca="1" ref="AR381" ca="1">INDEX(OFFSET($AK$19,MATCH($B381,$B$19:$B$150,0)-1,0,COUNTA($B$19:$B$24),COUNTA($AK$17:$BB$17)),MATCH($F381,$F$19:$F$24,0),MATCH(AR$17,$AK$17:$BB$17,0))*INDEX($10:$13,MATCH($O381,$R$10:$R$13,0),COLUMN())</f>
        <v>3.5934569640000001E-3</v>
      </c>
      <c r="AS381" s="1046" cm="1">
        <f t="array" aca="1" ref="AS381" ca="1">INDEX(OFFSET($AK$19,MATCH($B381,$B$19:$B$150,0)-1,0,COUNTA($B$19:$B$24),COUNTA($AK$17:$BB$17)),MATCH($F381,$F$19:$F$24,0),MATCH(AS$17,$AK$17:$BB$17,0))*INDEX($10:$13,MATCH($O381,$R$10:$R$13,0),COLUMN())</f>
        <v>1.2936954205999999E-2</v>
      </c>
      <c r="AT381" s="1046" cm="1">
        <f t="array" aca="1" ref="AT381" ca="1">INDEX(OFFSET($AK$19,MATCH($B381,$B$19:$B$150,0)-1,0,COUNTA($B$19:$B$24),COUNTA($AK$17:$BB$17)),MATCH($F381,$F$19:$F$24,0),MATCH(AT$17,$AK$17:$BB$17,0))*INDEX($10:$13,MATCH($O381,$R$10:$R$13,0),COLUMN())</f>
        <v>1.4739530363999999E-5</v>
      </c>
      <c r="AU381" s="1046" cm="1">
        <f t="array" aca="1" ref="AU381" ca="1">INDEX(OFFSET($AK$19,MATCH($B381,$B$19:$B$150,0)-1,0,COUNTA($B$19:$B$24),COUNTA($AK$17:$BB$17)),MATCH($F381,$F$19:$F$24,0),MATCH(AU$17,$AK$17:$BB$17,0))*INDEX($10:$13,MATCH($O381,$R$10:$R$13,0),COLUMN())</f>
        <v>1.2901061461999999E-6</v>
      </c>
      <c r="AV381" s="1046" cm="1">
        <f t="array" aca="1" ref="AV381" ca="1">INDEX(OFFSET($AK$19,MATCH($B381,$B$19:$B$150,0)-1,0,COUNTA($B$19:$B$24),COUNTA($AK$17:$BB$17)),MATCH($F381,$F$19:$F$24,0),MATCH(AV$17,$AK$17:$BB$17,0))*INDEX($10:$13,MATCH($O381,$R$10:$R$13,0),COLUMN())</f>
        <v>7.3131697259999986E-4</v>
      </c>
      <c r="AW381" s="1046" cm="1">
        <f t="array" aca="1" ref="AW381" ca="1">INDEX(OFFSET($AK$19,MATCH($B381,$B$19:$B$150,0)-1,0,COUNTA($B$19:$B$24),COUNTA($AK$17:$BB$17)),MATCH($F381,$F$19:$F$24,0),MATCH(AW$17,$AK$17:$BB$17,0))*INDEX($10:$13,MATCH($O381,$R$10:$R$13,0),COLUMN())</f>
        <v>1.1723393110000001E-2</v>
      </c>
      <c r="AX381" s="1046" cm="1">
        <f t="array" aca="1" ref="AX381" ca="1">INDEX(OFFSET($AK$19,MATCH($B381,$B$19:$B$150,0)-1,0,COUNTA($B$19:$B$24),COUNTA($AK$17:$BB$17)),MATCH($F381,$F$19:$F$24,0),MATCH(AX$17,$AK$17:$BB$17,0))*INDEX($10:$13,MATCH($O381,$R$10:$R$13,0),COLUMN())</f>
        <v>3.5845532060000001E-8</v>
      </c>
      <c r="AY381" s="1046" cm="1">
        <f t="array" aca="1" ref="AY381" ca="1">INDEX(OFFSET($AK$19,MATCH($B381,$B$19:$B$150,0)-1,0,COUNTA($B$19:$B$24),COUNTA($AK$17:$BB$17)),MATCH($F381,$F$19:$F$24,0),MATCH(AY$17,$AK$17:$BB$17,0))*INDEX($10:$13,MATCH($O381,$R$10:$R$13,0),COLUMN())</f>
        <v>0</v>
      </c>
      <c r="AZ381" s="1046" cm="1">
        <f t="array" aca="1" ref="AZ381" ca="1">INDEX(OFFSET($AK$19,MATCH($B381,$B$19:$B$150,0)-1,0,COUNTA($B$19:$B$24),COUNTA($AK$17:$BB$17)),MATCH($F381,$F$19:$F$24,0),MATCH(AZ$17,$AK$17:$BB$17,0))*INDEX($10:$13,MATCH($O381,$R$10:$R$13,0),COLUMN())</f>
        <v>0</v>
      </c>
      <c r="BA381" s="1046" cm="1">
        <f t="array" aca="1" ref="BA381" ca="1">INDEX(OFFSET($AK$19,MATCH($B381,$B$19:$B$150,0)-1,0,COUNTA($B$19:$B$24),COUNTA($AK$17:$BB$17)),MATCH($F381,$F$19:$F$24,0),MATCH(BA$17,$AK$17:$BB$17,0))*INDEX($10:$13,MATCH($O381,$R$10:$R$13,0),COLUMN())</f>
        <v>0</v>
      </c>
      <c r="BB381" s="1047" cm="1">
        <f t="array" aca="1" ref="BB381" ca="1">INDEX(OFFSET($AK$19,MATCH($B381,$B$19:$B$150,0)-1,0,COUNTA($B$19:$B$24),COUNTA($AK$17:$BB$17)),MATCH($F381,$F$19:$F$24,0),MATCH(BB$17,$AK$17:$BB$17,0))*INDEX($10:$13,MATCH($O381,$R$10:$R$13,0),COLUMN())</f>
        <v>0</v>
      </c>
      <c r="BC381" s="1049">
        <f t="shared" ca="1" si="171"/>
        <v>1.1723428955532061E-2</v>
      </c>
      <c r="BE381" s="1"/>
      <c r="BF381" s="1"/>
      <c r="BG381" s="1"/>
      <c r="BH381" s="1"/>
      <c r="BI381" s="1"/>
      <c r="BJ381" s="1"/>
      <c r="BK381" s="1"/>
      <c r="BL381" s="1"/>
      <c r="BM381" s="1"/>
      <c r="BN381" s="1"/>
      <c r="BO381" s="1"/>
      <c r="BP381" s="1"/>
      <c r="BQ381" s="1"/>
      <c r="BR381" s="1"/>
      <c r="BS381" s="1"/>
      <c r="BT381" s="1"/>
      <c r="BU381" s="1"/>
      <c r="BV381" s="1"/>
      <c r="BW381" s="1"/>
      <c r="BX381" s="1"/>
      <c r="BY381" s="1"/>
      <c r="BZ381" s="1"/>
    </row>
    <row r="382" spans="2:78" ht="12" customHeight="1" outlineLevel="1" x14ac:dyDescent="0.25">
      <c r="B382" s="104" t="s">
        <v>112</v>
      </c>
      <c r="C382" s="104" t="s">
        <v>121</v>
      </c>
      <c r="D382" s="2" t="s">
        <v>148</v>
      </c>
      <c r="E382" s="2" t="s">
        <v>150</v>
      </c>
      <c r="F382" s="105" t="s">
        <v>122</v>
      </c>
      <c r="G382" s="27" t="s">
        <v>1579</v>
      </c>
      <c r="H382" s="106" t="s">
        <v>128</v>
      </c>
      <c r="I382" s="107" t="s">
        <v>129</v>
      </c>
      <c r="J382" s="147">
        <v>0.44</v>
      </c>
      <c r="K382" s="148">
        <v>1.33</v>
      </c>
      <c r="L382" s="149">
        <f t="shared" ca="1" si="167"/>
        <v>1.9555542202354836E-2</v>
      </c>
      <c r="M382" s="148">
        <f t="shared" ca="1" si="168"/>
        <v>1.356008871129132</v>
      </c>
      <c r="N382" s="148">
        <f t="shared" ca="1" si="170"/>
        <v>2.6008871129131934E-2</v>
      </c>
      <c r="O382" s="1062" t="s">
        <v>1583</v>
      </c>
      <c r="P382" s="104"/>
      <c r="R382" s="119"/>
      <c r="S382" s="1072"/>
      <c r="T382" s="1072"/>
      <c r="U382" s="1072"/>
      <c r="V382" s="1072"/>
      <c r="W382" s="1072"/>
      <c r="X382" s="1072"/>
      <c r="Y382" s="1072"/>
      <c r="Z382" s="1072"/>
      <c r="AA382" s="1072"/>
      <c r="AB382" s="1072"/>
      <c r="AC382" s="1072"/>
      <c r="AD382" s="1072"/>
      <c r="AE382" s="1072"/>
      <c r="AF382" s="1072"/>
      <c r="AG382" s="1072"/>
      <c r="AH382" s="1072"/>
      <c r="AI382" s="1072"/>
      <c r="AJ382" s="1073"/>
      <c r="AK382" s="1052" cm="1">
        <f t="array" aca="1" ref="AK382" ca="1">INDEX(OFFSET($AK$19,MATCH($B382,$B$19:$B$150,0)-1,0,COUNTA($B$19:$B$24),COUNTA($AK$17:$BB$17)),MATCH($F382,$F$19:$F$24,0),MATCH(AK$17,$AK$17:$BB$17,0))*INDEX($10:$13,MATCH($O382,$R$10:$R$13,0),COLUMN())</f>
        <v>6.2152472850000003E-3</v>
      </c>
      <c r="AL382" s="1050" cm="1">
        <f t="array" aca="1" ref="AL382" ca="1">INDEX(OFFSET($AK$19,MATCH($B382,$B$19:$B$150,0)-1,0,COUNTA($B$19:$B$24),COUNTA($AK$17:$BB$17)),MATCH($F382,$F$19:$F$24,0),MATCH(AL$17,$AK$17:$BB$17,0))*INDEX($10:$13,MATCH($O382,$R$10:$R$13,0),COLUMN())</f>
        <v>7.2899038880000001E-9</v>
      </c>
      <c r="AM382" s="1050" cm="1">
        <f t="array" aca="1" ref="AM382" ca="1">INDEX(OFFSET($AK$19,MATCH($B382,$B$19:$B$150,0)-1,0,COUNTA($B$19:$B$24),COUNTA($AK$17:$BB$17)),MATCH($F382,$F$19:$F$24,0),MATCH(AM$17,$AK$17:$BB$17,0))*INDEX($10:$13,MATCH($O382,$R$10:$R$13,0),COLUMN())</f>
        <v>1.3504526163000002E-5</v>
      </c>
      <c r="AN382" s="1050" cm="1">
        <f t="array" aca="1" ref="AN382" ca="1">INDEX(OFFSET($AK$19,MATCH($B382,$B$19:$B$150,0)-1,0,COUNTA($B$19:$B$24),COUNTA($AK$17:$BB$17)),MATCH($F382,$F$19:$F$24,0),MATCH(AN$17,$AK$17:$BB$17,0))*INDEX($10:$13,MATCH($O382,$R$10:$R$13,0),COLUMN())</f>
        <v>1.3416204749999998E-4</v>
      </c>
      <c r="AO382" s="1050" cm="1">
        <f t="array" aca="1" ref="AO382" ca="1">INDEX(OFFSET($AK$19,MATCH($B382,$B$19:$B$150,0)-1,0,COUNTA($B$19:$B$24),COUNTA($AK$17:$BB$17)),MATCH($F382,$F$19:$F$24,0),MATCH(AO$17,$AK$17:$BB$17,0))*INDEX($10:$13,MATCH($O382,$R$10:$R$13,0),COLUMN())</f>
        <v>1.6701998488000002E-3</v>
      </c>
      <c r="AP382" s="1050" cm="1">
        <f t="array" aca="1" ref="AP382" ca="1">INDEX(OFFSET($AK$19,MATCH($B382,$B$19:$B$150,0)-1,0,COUNTA($B$19:$B$24),COUNTA($AK$17:$BB$17)),MATCH($F382,$F$19:$F$24,0),MATCH(AP$17,$AK$17:$BB$17,0))*INDEX($10:$13,MATCH($O382,$R$10:$R$13,0),COLUMN())</f>
        <v>7.6462063369999995E-4</v>
      </c>
      <c r="AQ382" s="1050" cm="1">
        <f t="array" aca="1" ref="AQ382" ca="1">INDEX(OFFSET($AK$19,MATCH($B382,$B$19:$B$150,0)-1,0,COUNTA($B$19:$B$24),COUNTA($AK$17:$BB$17)),MATCH($F382,$F$19:$F$24,0),MATCH(AQ$17,$AK$17:$BB$17,0))*INDEX($10:$13,MATCH($O382,$R$10:$R$13,0),COLUMN())</f>
        <v>4.1054801639999995E-6</v>
      </c>
      <c r="AR382" s="1050" cm="1">
        <f t="array" aca="1" ref="AR382" ca="1">INDEX(OFFSET($AK$19,MATCH($B382,$B$19:$B$150,0)-1,0,COUNTA($B$19:$B$24),COUNTA($AK$17:$BB$17)),MATCH($F382,$F$19:$F$24,0),MATCH(AR$17,$AK$17:$BB$17,0))*INDEX($10:$13,MATCH($O382,$R$10:$R$13,0),COLUMN())</f>
        <v>2.4158868749999999E-3</v>
      </c>
      <c r="AS382" s="1050" cm="1">
        <f t="array" aca="1" ref="AS382" ca="1">INDEX(OFFSET($AK$19,MATCH($B382,$B$19:$B$150,0)-1,0,COUNTA($B$19:$B$24),COUNTA($AK$17:$BB$17)),MATCH($F382,$F$19:$F$24,0),MATCH(AS$17,$AK$17:$BB$17,0))*INDEX($10:$13,MATCH($O382,$R$10:$R$13,0),COLUMN())</f>
        <v>1.168426116E-5</v>
      </c>
      <c r="AT382" s="1050" cm="1">
        <f t="array" aca="1" ref="AT382" ca="1">INDEX(OFFSET($AK$19,MATCH($B382,$B$19:$B$150,0)-1,0,COUNTA($B$19:$B$24),COUNTA($AK$17:$BB$17)),MATCH($F382,$F$19:$F$24,0),MATCH(AT$17,$AK$17:$BB$17,0))*INDEX($10:$13,MATCH($O382,$R$10:$R$13,0),COLUMN())</f>
        <v>3.5556974414000001E-7</v>
      </c>
      <c r="AU382" s="1050" cm="1">
        <f t="array" aca="1" ref="AU382" ca="1">INDEX(OFFSET($AK$19,MATCH($B382,$B$19:$B$150,0)-1,0,COUNTA($B$19:$B$24),COUNTA($AK$17:$BB$17)),MATCH($F382,$F$19:$F$24,0),MATCH(AU$17,$AK$17:$BB$17,0))*INDEX($10:$13,MATCH($O382,$R$10:$R$13,0),COLUMN())</f>
        <v>8.4655080840000005E-8</v>
      </c>
      <c r="AV382" s="1050" cm="1">
        <f t="array" aca="1" ref="AV382" ca="1">INDEX(OFFSET($AK$19,MATCH($B382,$B$19:$B$150,0)-1,0,COUNTA($B$19:$B$24),COUNTA($AK$17:$BB$17)),MATCH($F382,$F$19:$F$24,0),MATCH(AV$17,$AK$17:$BB$17,0))*INDEX($10:$13,MATCH($O382,$R$10:$R$13,0),COLUMN())</f>
        <v>4.4995878328999998E-5</v>
      </c>
      <c r="AW382" s="1050" cm="1">
        <f t="array" aca="1" ref="AW382" ca="1">INDEX(OFFSET($AK$19,MATCH($B382,$B$19:$B$150,0)-1,0,COUNTA($B$19:$B$24),COUNTA($AK$17:$BB$17)),MATCH($F382,$F$19:$F$24,0),MATCH(AW$17,$AK$17:$BB$17,0))*INDEX($10:$13,MATCH($O382,$R$10:$R$13,0),COLUMN())</f>
        <v>1.4734008965000002E-2</v>
      </c>
      <c r="AX382" s="1050" cm="1">
        <f t="array" aca="1" ref="AX382" ca="1">INDEX(OFFSET($AK$19,MATCH($B382,$B$19:$B$150,0)-1,0,COUNTA($B$19:$B$24),COUNTA($AK$17:$BB$17)),MATCH($F382,$F$19:$F$24,0),MATCH(AX$17,$AK$17:$BB$17,0))*INDEX($10:$13,MATCH($O382,$R$10:$R$13,0),COLUMN())</f>
        <v>7.8135870670000005E-9</v>
      </c>
      <c r="AY382" s="1050" cm="1">
        <f t="array" aca="1" ref="AY382" ca="1">INDEX(OFFSET($AK$19,MATCH($B382,$B$19:$B$150,0)-1,0,COUNTA($B$19:$B$24),COUNTA($AK$17:$BB$17)),MATCH($F382,$F$19:$F$24,0),MATCH(AY$17,$AK$17:$BB$17,0))*INDEX($10:$13,MATCH($O382,$R$10:$R$13,0),COLUMN())</f>
        <v>0</v>
      </c>
      <c r="AZ382" s="1050" cm="1">
        <f t="array" aca="1" ref="AZ382" ca="1">INDEX(OFFSET($AK$19,MATCH($B382,$B$19:$B$150,0)-1,0,COUNTA($B$19:$B$24),COUNTA($AK$17:$BB$17)),MATCH($F382,$F$19:$F$24,0),MATCH(AZ$17,$AK$17:$BB$17,0))*INDEX($10:$13,MATCH($O382,$R$10:$R$13,0),COLUMN())</f>
        <v>0</v>
      </c>
      <c r="BA382" s="1050" cm="1">
        <f t="array" aca="1" ref="BA382" ca="1">INDEX(OFFSET($AK$19,MATCH($B382,$B$19:$B$150,0)-1,0,COUNTA($B$19:$B$24),COUNTA($AK$17:$BB$17)),MATCH($F382,$F$19:$F$24,0),MATCH(BA$17,$AK$17:$BB$17,0))*INDEX($10:$13,MATCH($O382,$R$10:$R$13,0),COLUMN())</f>
        <v>0</v>
      </c>
      <c r="BB382" s="1051" cm="1">
        <f t="array" aca="1" ref="BB382" ca="1">INDEX(OFFSET($AK$19,MATCH($B382,$B$19:$B$150,0)-1,0,COUNTA($B$19:$B$24),COUNTA($AK$17:$BB$17)),MATCH($F382,$F$19:$F$24,0),MATCH(BB$17,$AK$17:$BB$17,0))*INDEX($10:$13,MATCH($O382,$R$10:$R$13,0),COLUMN())</f>
        <v>0</v>
      </c>
      <c r="BC382" s="1053">
        <f t="shared" ca="1" si="171"/>
        <v>1.4734016778587069E-2</v>
      </c>
      <c r="BE382" s="1"/>
      <c r="BF382" s="1"/>
      <c r="BG382" s="1"/>
      <c r="BH382" s="1"/>
      <c r="BI382" s="1"/>
      <c r="BJ382" s="1"/>
      <c r="BK382" s="1"/>
      <c r="BL382" s="1"/>
      <c r="BM382" s="1"/>
      <c r="BN382" s="1"/>
      <c r="BO382" s="1"/>
      <c r="BP382" s="1"/>
      <c r="BQ382" s="1"/>
      <c r="BR382" s="1"/>
      <c r="BS382" s="1"/>
      <c r="BT382" s="1"/>
      <c r="BU382" s="1"/>
      <c r="BV382" s="1"/>
      <c r="BW382" s="1"/>
      <c r="BX382" s="1"/>
      <c r="BY382" s="1"/>
      <c r="BZ382" s="1"/>
    </row>
    <row r="383" spans="2:78" ht="12" customHeight="1" outlineLevel="1" x14ac:dyDescent="0.25">
      <c r="B383" s="104" t="s">
        <v>112</v>
      </c>
      <c r="C383" s="104" t="s">
        <v>121</v>
      </c>
      <c r="D383" s="2" t="s">
        <v>148</v>
      </c>
      <c r="E383" s="2" t="s">
        <v>150</v>
      </c>
      <c r="F383" s="105" t="s">
        <v>93</v>
      </c>
      <c r="G383" s="27" t="s">
        <v>1578</v>
      </c>
      <c r="H383" s="106" t="s">
        <v>130</v>
      </c>
      <c r="I383" s="107" t="s">
        <v>129</v>
      </c>
      <c r="J383" s="147">
        <v>0.44</v>
      </c>
      <c r="K383" s="148">
        <v>1.33</v>
      </c>
      <c r="L383" s="149">
        <f t="shared" ca="1" si="167"/>
        <v>2.7750495181315286E-2</v>
      </c>
      <c r="M383" s="148">
        <f t="shared" ca="1" si="168"/>
        <v>1.3669081585911493</v>
      </c>
      <c r="N383" s="148">
        <f t="shared" ca="1" si="170"/>
        <v>3.6908158591149334E-2</v>
      </c>
      <c r="O383" s="1062" t="s">
        <v>1583</v>
      </c>
      <c r="P383" s="104"/>
      <c r="R383" s="119"/>
      <c r="S383" s="1072"/>
      <c r="T383" s="1072"/>
      <c r="U383" s="1072"/>
      <c r="V383" s="1072"/>
      <c r="W383" s="1072"/>
      <c r="X383" s="1072"/>
      <c r="Y383" s="1072"/>
      <c r="Z383" s="1072"/>
      <c r="AA383" s="1072"/>
      <c r="AB383" s="1072"/>
      <c r="AC383" s="1072"/>
      <c r="AD383" s="1072"/>
      <c r="AE383" s="1072"/>
      <c r="AF383" s="1072"/>
      <c r="AG383" s="1072"/>
      <c r="AH383" s="1072"/>
      <c r="AI383" s="1072"/>
      <c r="AJ383" s="1073"/>
      <c r="AK383" s="1052" cm="1">
        <f t="array" aca="1" ref="AK383" ca="1">INDEX(OFFSET($AK$19,MATCH($B383,$B$19:$B$150,0)-1,0,COUNTA($B$19:$B$24),COUNTA($AK$17:$BB$17)),MATCH($F383,$F$19:$F$24,0),MATCH(AK$17,$AK$17:$BB$17,0))*INDEX($10:$13,MATCH($O383,$R$10:$R$13,0),COLUMN())</f>
        <v>8.8089259050000007E-3</v>
      </c>
      <c r="AL383" s="1050" cm="1">
        <f t="array" aca="1" ref="AL383" ca="1">INDEX(OFFSET($AK$19,MATCH($B383,$B$19:$B$150,0)-1,0,COUNTA($B$19:$B$24),COUNTA($AK$17:$BB$17)),MATCH($F383,$F$19:$F$24,0),MATCH(AL$17,$AK$17:$BB$17,0))*INDEX($10:$13,MATCH($O383,$R$10:$R$13,0),COLUMN())</f>
        <v>1.033204648E-8</v>
      </c>
      <c r="AM383" s="1050" cm="1">
        <f t="array" aca="1" ref="AM383" ca="1">INDEX(OFFSET($AK$19,MATCH($B383,$B$19:$B$150,0)-1,0,COUNTA($B$19:$B$24),COUNTA($AK$17:$BB$17)),MATCH($F383,$F$19:$F$24,0),MATCH(AM$17,$AK$17:$BB$17,0))*INDEX($10:$13,MATCH($O383,$R$10:$R$13,0),COLUMN())</f>
        <v>1.9140086586E-5</v>
      </c>
      <c r="AN383" s="1050" cm="1">
        <f t="array" aca="1" ref="AN383" ca="1">INDEX(OFFSET($AK$19,MATCH($B383,$B$19:$B$150,0)-1,0,COUNTA($B$19:$B$24),COUNTA($AK$17:$BB$17)),MATCH($F383,$F$19:$F$24,0),MATCH(AN$17,$AK$17:$BB$17,0))*INDEX($10:$13,MATCH($O383,$R$10:$R$13,0),COLUMN())</f>
        <v>1.9014908449999999E-4</v>
      </c>
      <c r="AO383" s="1050" cm="1">
        <f t="array" aca="1" ref="AO383" ca="1">INDEX(OFFSET($AK$19,MATCH($B383,$B$19:$B$150,0)-1,0,COUNTA($B$19:$B$24),COUNTA($AK$17:$BB$17)),MATCH($F383,$F$19:$F$24,0),MATCH(AO$17,$AK$17:$BB$17,0))*INDEX($10:$13,MATCH($O383,$R$10:$R$13,0),COLUMN())</f>
        <v>2.3671892552E-3</v>
      </c>
      <c r="AP383" s="1050" cm="1">
        <f t="array" aca="1" ref="AP383" ca="1">INDEX(OFFSET($AK$19,MATCH($B383,$B$19:$B$150,0)-1,0,COUNTA($B$19:$B$24),COUNTA($AK$17:$BB$17)),MATCH($F383,$F$19:$F$24,0),MATCH(AP$17,$AK$17:$BB$17,0))*INDEX($10:$13,MATCH($O383,$R$10:$R$13,0),COLUMN())</f>
        <v>1.0837036790999999E-3</v>
      </c>
      <c r="AQ383" s="1050" cm="1">
        <f t="array" aca="1" ref="AQ383" ca="1">INDEX(OFFSET($AK$19,MATCH($B383,$B$19:$B$150,0)-1,0,COUNTA($B$19:$B$24),COUNTA($AK$17:$BB$17)),MATCH($F383,$F$19:$F$24,0),MATCH(AQ$17,$AK$17:$BB$17,0))*INDEX($10:$13,MATCH($O383,$R$10:$R$13,0),COLUMN())</f>
        <v>5.8187341620000008E-6</v>
      </c>
      <c r="AR383" s="1050" cm="1">
        <f t="array" aca="1" ref="AR383" ca="1">INDEX(OFFSET($AK$19,MATCH($B383,$B$19:$B$150,0)-1,0,COUNTA($B$19:$B$24),COUNTA($AK$17:$BB$17)),MATCH($F383,$F$19:$F$24,0),MATCH(AR$17,$AK$17:$BB$17,0))*INDEX($10:$13,MATCH($O383,$R$10:$R$13,0),COLUMN())</f>
        <v>3.4240583739999996E-3</v>
      </c>
      <c r="AS383" s="1050" cm="1">
        <f t="array" aca="1" ref="AS383" ca="1">INDEX(OFFSET($AK$19,MATCH($B383,$B$19:$B$150,0)-1,0,COUNTA($B$19:$B$24),COUNTA($AK$17:$BB$17)),MATCH($F383,$F$19:$F$24,0),MATCH(AS$17,$AK$17:$BB$17,0))*INDEX($10:$13,MATCH($O383,$R$10:$R$13,0),COLUMN())</f>
        <v>2.8174159233E-5</v>
      </c>
      <c r="AT383" s="1050" cm="1">
        <f t="array" aca="1" ref="AT383" ca="1">INDEX(OFFSET($AK$19,MATCH($B383,$B$19:$B$150,0)-1,0,COUNTA($B$19:$B$24),COUNTA($AK$17:$BB$17)),MATCH($F383,$F$19:$F$24,0),MATCH(AT$17,$AK$17:$BB$17,0))*INDEX($10:$13,MATCH($O383,$R$10:$R$13,0),COLUMN())</f>
        <v>5.0799367669999997E-7</v>
      </c>
      <c r="AU383" s="1050" cm="1">
        <f t="array" aca="1" ref="AU383" ca="1">INDEX(OFFSET($AK$19,MATCH($B383,$B$19:$B$150,0)-1,0,COUNTA($B$19:$B$24),COUNTA($AK$17:$BB$17)),MATCH($F383,$F$19:$F$24,0),MATCH(AU$17,$AK$17:$BB$17,0))*INDEX($10:$13,MATCH($O383,$R$10:$R$13,0),COLUMN())</f>
        <v>1.2040226965999999E-7</v>
      </c>
      <c r="AV383" s="1050" cm="1">
        <f t="array" aca="1" ref="AV383" ca="1">INDEX(OFFSET($AK$19,MATCH($B383,$B$19:$B$150,0)-1,0,COUNTA($B$19:$B$24),COUNTA($AK$17:$BB$17)),MATCH($F383,$F$19:$F$24,0),MATCH(AV$17,$AK$17:$BB$17,0))*INDEX($10:$13,MATCH($O383,$R$10:$R$13,0),COLUMN())</f>
        <v>9.7705651107999982E-5</v>
      </c>
      <c r="AW383" s="1050" cm="1">
        <f t="array" aca="1" ref="AW383" ca="1">INDEX(OFFSET($AK$19,MATCH($B383,$B$19:$B$150,0)-1,0,COUNTA($B$19:$B$24),COUNTA($AK$17:$BB$17)),MATCH($F383,$F$19:$F$24,0),MATCH(AW$17,$AK$17:$BB$17,0))*INDEX($10:$13,MATCH($O383,$R$10:$R$13,0),COLUMN())</f>
        <v>2.0882643860000001E-2</v>
      </c>
      <c r="AX383" s="1050" cm="1">
        <f t="array" aca="1" ref="AX383" ca="1">INDEX(OFFSET($AK$19,MATCH($B383,$B$19:$B$150,0)-1,0,COUNTA($B$19:$B$24),COUNTA($AK$17:$BB$17)),MATCH($F383,$F$19:$F$24,0),MATCH(AX$17,$AK$17:$BB$17,0))*INDEX($10:$13,MATCH($O383,$R$10:$R$13,0),COLUMN())</f>
        <v>1.107426749E-8</v>
      </c>
      <c r="AY383" s="1050" cm="1">
        <f t="array" aca="1" ref="AY383" ca="1">INDEX(OFFSET($AK$19,MATCH($B383,$B$19:$B$150,0)-1,0,COUNTA($B$19:$B$24),COUNTA($AK$17:$BB$17)),MATCH($F383,$F$19:$F$24,0),MATCH(AY$17,$AK$17:$BB$17,0))*INDEX($10:$13,MATCH($O383,$R$10:$R$13,0),COLUMN())</f>
        <v>0</v>
      </c>
      <c r="AZ383" s="1050" cm="1">
        <f t="array" aca="1" ref="AZ383" ca="1">INDEX(OFFSET($AK$19,MATCH($B383,$B$19:$B$150,0)-1,0,COUNTA($B$19:$B$24),COUNTA($AK$17:$BB$17)),MATCH($F383,$F$19:$F$24,0),MATCH(AZ$17,$AK$17:$BB$17,0))*INDEX($10:$13,MATCH($O383,$R$10:$R$13,0),COLUMN())</f>
        <v>0</v>
      </c>
      <c r="BA383" s="1050" cm="1">
        <f t="array" aca="1" ref="BA383" ca="1">INDEX(OFFSET($AK$19,MATCH($B383,$B$19:$B$150,0)-1,0,COUNTA($B$19:$B$24),COUNTA($AK$17:$BB$17)),MATCH($F383,$F$19:$F$24,0),MATCH(BA$17,$AK$17:$BB$17,0))*INDEX($10:$13,MATCH($O383,$R$10:$R$13,0),COLUMN())</f>
        <v>0</v>
      </c>
      <c r="BB383" s="1051" cm="1">
        <f t="array" aca="1" ref="BB383" ca="1">INDEX(OFFSET($AK$19,MATCH($B383,$B$19:$B$150,0)-1,0,COUNTA($B$19:$B$24),COUNTA($AK$17:$BB$17)),MATCH($F383,$F$19:$F$24,0),MATCH(BB$17,$AK$17:$BB$17,0))*INDEX($10:$13,MATCH($O383,$R$10:$R$13,0),COLUMN())</f>
        <v>0</v>
      </c>
      <c r="BC383" s="1053">
        <f t="shared" ca="1" si="171"/>
        <v>2.088265493426749E-2</v>
      </c>
      <c r="BE383" s="1"/>
      <c r="BF383" s="1"/>
      <c r="BG383" s="1"/>
      <c r="BH383" s="1"/>
      <c r="BI383" s="1"/>
      <c r="BJ383" s="1"/>
      <c r="BK383" s="1"/>
      <c r="BL383" s="1"/>
      <c r="BM383" s="1"/>
      <c r="BN383" s="1"/>
      <c r="BO383" s="1"/>
      <c r="BP383" s="1"/>
      <c r="BQ383" s="1"/>
      <c r="BR383" s="1"/>
      <c r="BS383" s="1"/>
      <c r="BT383" s="1"/>
      <c r="BU383" s="1"/>
      <c r="BV383" s="1"/>
      <c r="BW383" s="1"/>
      <c r="BX383" s="1"/>
      <c r="BY383" s="1"/>
      <c r="BZ383" s="1"/>
    </row>
    <row r="384" spans="2:78" ht="12" customHeight="1" outlineLevel="1" x14ac:dyDescent="0.25">
      <c r="B384" s="104" t="s">
        <v>112</v>
      </c>
      <c r="C384" s="104" t="s">
        <v>121</v>
      </c>
      <c r="D384" s="2" t="s">
        <v>148</v>
      </c>
      <c r="E384" s="2" t="s">
        <v>150</v>
      </c>
      <c r="F384" s="105" t="s">
        <v>94</v>
      </c>
      <c r="G384" s="27" t="s">
        <v>1580</v>
      </c>
      <c r="H384" s="106" t="s">
        <v>131</v>
      </c>
      <c r="I384" s="107" t="s">
        <v>129</v>
      </c>
      <c r="J384" s="147">
        <v>0.44</v>
      </c>
      <c r="K384" s="148">
        <v>1.33</v>
      </c>
      <c r="L384" s="149">
        <f t="shared" ca="1" si="167"/>
        <v>1.508869643134645E-2</v>
      </c>
      <c r="M384" s="148">
        <f t="shared" ca="1" si="168"/>
        <v>1.3500679662536907</v>
      </c>
      <c r="N384" s="148">
        <f t="shared" ca="1" si="170"/>
        <v>2.006796625369078E-2</v>
      </c>
      <c r="O384" s="1062" t="s">
        <v>1583</v>
      </c>
      <c r="P384" s="104"/>
      <c r="R384" s="119"/>
      <c r="S384" s="1072"/>
      <c r="T384" s="1072"/>
      <c r="U384" s="1072"/>
      <c r="V384" s="1072"/>
      <c r="W384" s="1072"/>
      <c r="X384" s="1072"/>
      <c r="Y384" s="1072"/>
      <c r="Z384" s="1072"/>
      <c r="AA384" s="1072"/>
      <c r="AB384" s="1072"/>
      <c r="AC384" s="1072"/>
      <c r="AD384" s="1072"/>
      <c r="AE384" s="1072"/>
      <c r="AF384" s="1072"/>
      <c r="AG384" s="1072"/>
      <c r="AH384" s="1072"/>
      <c r="AI384" s="1072"/>
      <c r="AJ384" s="1073"/>
      <c r="AK384" s="1052" cm="1">
        <f t="array" aca="1" ref="AK384" ca="1">INDEX(OFFSET($AK$19,MATCH($B384,$B$19:$B$150,0)-1,0,COUNTA($B$19:$B$24),COUNTA($AK$17:$BB$17)),MATCH($F384,$F$19:$F$24,0),MATCH(AK$17,$AK$17:$BB$17,0))*INDEX($10:$13,MATCH($O384,$R$10:$R$13,0),COLUMN())</f>
        <v>4.8015035250000004E-3</v>
      </c>
      <c r="AL384" s="1050" cm="1">
        <f t="array" aca="1" ref="AL384" ca="1">INDEX(OFFSET($AK$19,MATCH($B384,$B$19:$B$150,0)-1,0,COUNTA($B$19:$B$24),COUNTA($AK$17:$BB$17)),MATCH($F384,$F$19:$F$24,0),MATCH(AL$17,$AK$17:$BB$17,0))*INDEX($10:$13,MATCH($O384,$R$10:$R$13,0),COLUMN())</f>
        <v>5.6317149119999998E-9</v>
      </c>
      <c r="AM384" s="1050" cm="1">
        <f t="array" aca="1" ref="AM384" ca="1">INDEX(OFFSET($AK$19,MATCH($B384,$B$19:$B$150,0)-1,0,COUNTA($B$19:$B$24),COUNTA($AK$17:$BB$17)),MATCH($F384,$F$19:$F$24,0),MATCH(AM$17,$AK$17:$BB$17,0))*INDEX($10:$13,MATCH($O384,$R$10:$R$13,0),COLUMN())</f>
        <v>1.0432735643E-5</v>
      </c>
      <c r="AN384" s="1050" cm="1">
        <f t="array" aca="1" ref="AN384" ca="1">INDEX(OFFSET($AK$19,MATCH($B384,$B$19:$B$150,0)-1,0,COUNTA($B$19:$B$24),COUNTA($AK$17:$BB$17)),MATCH($F384,$F$19:$F$24,0),MATCH(AN$17,$AK$17:$BB$17,0))*INDEX($10:$13,MATCH($O384,$R$10:$R$13,0),COLUMN())</f>
        <v>1.0364504144999998E-4</v>
      </c>
      <c r="AO384" s="1050" cm="1">
        <f t="array" aca="1" ref="AO384" ca="1">INDEX(OFFSET($AK$19,MATCH($B384,$B$19:$B$150,0)-1,0,COUNTA($B$19:$B$24),COUNTA($AK$17:$BB$17)),MATCH($F384,$F$19:$F$24,0),MATCH(AO$17,$AK$17:$BB$17,0))*INDEX($10:$13,MATCH($O384,$R$10:$R$13,0),COLUMN())</f>
        <v>1.2902898736000001E-3</v>
      </c>
      <c r="AP384" s="1050" cm="1">
        <f t="array" aca="1" ref="AP384" ca="1">INDEX(OFFSET($AK$19,MATCH($B384,$B$19:$B$150,0)-1,0,COUNTA($B$19:$B$24),COUNTA($AK$17:$BB$17)),MATCH($F384,$F$19:$F$24,0),MATCH(AP$17,$AK$17:$BB$17,0))*INDEX($10:$13,MATCH($O384,$R$10:$R$13,0),COLUMN())</f>
        <v>5.9069712380000004E-4</v>
      </c>
      <c r="AQ384" s="1050" cm="1">
        <f t="array" aca="1" ref="AQ384" ca="1">INDEX(OFFSET($AK$19,MATCH($B384,$B$19:$B$150,0)-1,0,COUNTA($B$19:$B$24),COUNTA($AK$17:$BB$17)),MATCH($F384,$F$19:$F$24,0),MATCH(AQ$17,$AK$17:$BB$17,0))*INDEX($10:$13,MATCH($O384,$R$10:$R$13,0),COLUMN())</f>
        <v>3.1716321960000002E-6</v>
      </c>
      <c r="AR384" s="1050" cm="1">
        <f t="array" aca="1" ref="AR384" ca="1">INDEX(OFFSET($AK$19,MATCH($B384,$B$19:$B$150,0)-1,0,COUNTA($B$19:$B$24),COUNTA($AK$17:$BB$17)),MATCH($F384,$F$19:$F$24,0),MATCH(AR$17,$AK$17:$BB$17,0))*INDEX($10:$13,MATCH($O384,$R$10:$R$13,0),COLUMN())</f>
        <v>1.8663601069E-3</v>
      </c>
      <c r="AS384" s="1050" cm="1">
        <f t="array" aca="1" ref="AS384" ca="1">INDEX(OFFSET($AK$19,MATCH($B384,$B$19:$B$150,0)-1,0,COUNTA($B$19:$B$24),COUNTA($AK$17:$BB$17)),MATCH($F384,$F$19:$F$24,0),MATCH(AS$17,$AK$17:$BB$17,0))*INDEX($10:$13,MATCH($O384,$R$10:$R$13,0),COLUMN())</f>
        <v>2.6960686764000001E-6</v>
      </c>
      <c r="AT384" s="1050" cm="1">
        <f t="array" aca="1" ref="AT384" ca="1">INDEX(OFFSET($AK$19,MATCH($B384,$B$19:$B$150,0)-1,0,COUNTA($B$19:$B$24),COUNTA($AK$17:$BB$17)),MATCH($F384,$F$19:$F$24,0),MATCH(AT$17,$AK$17:$BB$17,0))*INDEX($10:$13,MATCH($O384,$R$10:$R$13,0),COLUMN())</f>
        <v>2.7248760491000002E-7</v>
      </c>
      <c r="AU384" s="1050" cm="1">
        <f t="array" aca="1" ref="AU384" ca="1">INDEX(OFFSET($AK$19,MATCH($B384,$B$19:$B$150,0)-1,0,COUNTA($B$19:$B$24),COUNTA($AK$17:$BB$17)),MATCH($F384,$F$19:$F$24,0),MATCH(AU$17,$AK$17:$BB$17,0))*INDEX($10:$13,MATCH($O384,$R$10:$R$13,0),COLUMN())</f>
        <v>6.517025951E-8</v>
      </c>
      <c r="AV384" s="1050" cm="1">
        <f t="array" aca="1" ref="AV384" ca="1">INDEX(OFFSET($AK$19,MATCH($B384,$B$19:$B$150,0)-1,0,COUNTA($B$19:$B$24),COUNTA($AK$17:$BB$17)),MATCH($F384,$F$19:$F$24,0),MATCH(AV$17,$AK$17:$BB$17,0))*INDEX($10:$13,MATCH($O384,$R$10:$R$13,0),COLUMN())</f>
        <v>1.6265220566999999E-5</v>
      </c>
      <c r="AW384" s="1050" cm="1">
        <f t="array" aca="1" ref="AW384" ca="1">INDEX(OFFSET($AK$19,MATCH($B384,$B$19:$B$150,0)-1,0,COUNTA($B$19:$B$24),COUNTA($AK$17:$BB$17)),MATCH($F384,$F$19:$F$24,0),MATCH(AW$17,$AK$17:$BB$17,0))*INDEX($10:$13,MATCH($O384,$R$10:$R$13,0),COLUMN())</f>
        <v>1.1382555600000002E-2</v>
      </c>
      <c r="AX384" s="1050" cm="1">
        <f t="array" aca="1" ref="AX384" ca="1">INDEX(OFFSET($AK$19,MATCH($B384,$B$19:$B$150,0)-1,0,COUNTA($B$19:$B$24),COUNTA($AK$17:$BB$17)),MATCH($F384,$F$19:$F$24,0),MATCH(AX$17,$AK$17:$BB$17,0))*INDEX($10:$13,MATCH($O384,$R$10:$R$13,0),COLUMN())</f>
        <v>6.0362790475000003E-9</v>
      </c>
      <c r="AY384" s="1050" cm="1">
        <f t="array" aca="1" ref="AY384" ca="1">INDEX(OFFSET($AK$19,MATCH($B384,$B$19:$B$150,0)-1,0,COUNTA($B$19:$B$24),COUNTA($AK$17:$BB$17)),MATCH($F384,$F$19:$F$24,0),MATCH(AY$17,$AK$17:$BB$17,0))*INDEX($10:$13,MATCH($O384,$R$10:$R$13,0),COLUMN())</f>
        <v>0</v>
      </c>
      <c r="AZ384" s="1050" cm="1">
        <f t="array" aca="1" ref="AZ384" ca="1">INDEX(OFFSET($AK$19,MATCH($B384,$B$19:$B$150,0)-1,0,COUNTA($B$19:$B$24),COUNTA($AK$17:$BB$17)),MATCH($F384,$F$19:$F$24,0),MATCH(AZ$17,$AK$17:$BB$17,0))*INDEX($10:$13,MATCH($O384,$R$10:$R$13,0),COLUMN())</f>
        <v>0</v>
      </c>
      <c r="BA384" s="1050" cm="1">
        <f t="array" aca="1" ref="BA384" ca="1">INDEX(OFFSET($AK$19,MATCH($B384,$B$19:$B$150,0)-1,0,COUNTA($B$19:$B$24),COUNTA($AK$17:$BB$17)),MATCH($F384,$F$19:$F$24,0),MATCH(BA$17,$AK$17:$BB$17,0))*INDEX($10:$13,MATCH($O384,$R$10:$R$13,0),COLUMN())</f>
        <v>0</v>
      </c>
      <c r="BB384" s="1051" cm="1">
        <f t="array" aca="1" ref="BB384" ca="1">INDEX(OFFSET($AK$19,MATCH($B384,$B$19:$B$150,0)-1,0,COUNTA($B$19:$B$24),COUNTA($AK$17:$BB$17)),MATCH($F384,$F$19:$F$24,0),MATCH(BB$17,$AK$17:$BB$17,0))*INDEX($10:$13,MATCH($O384,$R$10:$R$13,0),COLUMN())</f>
        <v>0</v>
      </c>
      <c r="BC384" s="1053">
        <f t="shared" ca="1" si="171"/>
        <v>1.138256163627905E-2</v>
      </c>
      <c r="BE384" s="1"/>
      <c r="BF384" s="1"/>
      <c r="BG384" s="1"/>
      <c r="BH384" s="1"/>
      <c r="BI384" s="1"/>
      <c r="BJ384" s="1"/>
      <c r="BK384" s="1"/>
      <c r="BL384" s="1"/>
      <c r="BM384" s="1"/>
      <c r="BN384" s="1"/>
      <c r="BO384" s="1"/>
      <c r="BP384" s="1"/>
      <c r="BQ384" s="1"/>
      <c r="BR384" s="1"/>
      <c r="BS384" s="1"/>
      <c r="BT384" s="1"/>
      <c r="BU384" s="1"/>
      <c r="BV384" s="1"/>
      <c r="BW384" s="1"/>
      <c r="BX384" s="1"/>
      <c r="BY384" s="1"/>
      <c r="BZ384" s="1"/>
    </row>
    <row r="385" spans="2:78" ht="12" customHeight="1" outlineLevel="1" x14ac:dyDescent="0.25">
      <c r="B385" s="104" t="s">
        <v>112</v>
      </c>
      <c r="C385" s="104" t="s">
        <v>121</v>
      </c>
      <c r="D385" s="2" t="s">
        <v>148</v>
      </c>
      <c r="E385" s="2" t="s">
        <v>150</v>
      </c>
      <c r="F385" s="105" t="s">
        <v>95</v>
      </c>
      <c r="G385" s="27" t="s">
        <v>1581</v>
      </c>
      <c r="H385" s="106" t="s">
        <v>128</v>
      </c>
      <c r="I385" s="107" t="s">
        <v>127</v>
      </c>
      <c r="J385" s="147">
        <v>0.44</v>
      </c>
      <c r="K385" s="148">
        <v>1.33</v>
      </c>
      <c r="L385" s="149">
        <f t="shared" ca="1" si="167"/>
        <v>2.2890527175938119E-2</v>
      </c>
      <c r="M385" s="148">
        <f t="shared" ca="1" si="168"/>
        <v>1.3604444011439978</v>
      </c>
      <c r="N385" s="148">
        <f t="shared" ca="1" si="170"/>
        <v>3.0444401143997702E-2</v>
      </c>
      <c r="O385" s="1062" t="s">
        <v>1583</v>
      </c>
      <c r="P385" s="104"/>
      <c r="R385" s="119"/>
      <c r="S385" s="1072"/>
      <c r="T385" s="1072"/>
      <c r="U385" s="1072"/>
      <c r="V385" s="1072"/>
      <c r="W385" s="1072"/>
      <c r="X385" s="1072"/>
      <c r="Y385" s="1072"/>
      <c r="Z385" s="1072"/>
      <c r="AA385" s="1072"/>
      <c r="AB385" s="1072"/>
      <c r="AC385" s="1072"/>
      <c r="AD385" s="1072"/>
      <c r="AE385" s="1072"/>
      <c r="AF385" s="1072"/>
      <c r="AG385" s="1072"/>
      <c r="AH385" s="1072"/>
      <c r="AI385" s="1072"/>
      <c r="AJ385" s="1073"/>
      <c r="AK385" s="1052" cm="1">
        <f t="array" aca="1" ref="AK385" ca="1">INDEX(OFFSET($AK$19,MATCH($B385,$B$19:$B$150,0)-1,0,COUNTA($B$19:$B$24),COUNTA($AK$17:$BB$17)),MATCH($F385,$F$19:$F$24,0),MATCH(AK$17,$AK$17:$BB$17,0))*INDEX($10:$13,MATCH($O385,$R$10:$R$13,0),COLUMN())</f>
        <v>6.7476563700000006E-3</v>
      </c>
      <c r="AL385" s="1050" cm="1">
        <f t="array" aca="1" ref="AL385" ca="1">INDEX(OFFSET($AK$19,MATCH($B385,$B$19:$B$150,0)-1,0,COUNTA($B$19:$B$24),COUNTA($AK$17:$BB$17)),MATCH($F385,$F$19:$F$24,0),MATCH(AL$17,$AK$17:$BB$17,0))*INDEX($10:$13,MATCH($O385,$R$10:$R$13,0),COLUMN())</f>
        <v>7.3176423680000001E-9</v>
      </c>
      <c r="AM385" s="1050" cm="1">
        <f t="array" aca="1" ref="AM385" ca="1">INDEX(OFFSET($AK$19,MATCH($B385,$B$19:$B$150,0)-1,0,COUNTA($B$19:$B$24),COUNTA($AK$17:$BB$17)),MATCH($F385,$F$19:$F$24,0),MATCH(AM$17,$AK$17:$BB$17,0))*INDEX($10:$13,MATCH($O385,$R$10:$R$13,0),COLUMN())</f>
        <v>1.3555715142000001E-5</v>
      </c>
      <c r="AN385" s="1050" cm="1">
        <f t="array" aca="1" ref="AN385" ca="1">INDEX(OFFSET($AK$19,MATCH($B385,$B$19:$B$150,0)-1,0,COUNTA($B$19:$B$24),COUNTA($AK$17:$BB$17)),MATCH($F385,$F$19:$F$24,0),MATCH(AN$17,$AK$17:$BB$17,0))*INDEX($10:$13,MATCH($O385,$R$10:$R$13,0),COLUMN())</f>
        <v>1.3957171649999999E-4</v>
      </c>
      <c r="AO385" s="1050" cm="1">
        <f t="array" aca="1" ref="AO385" ca="1">INDEX(OFFSET($AK$19,MATCH($B385,$B$19:$B$150,0)-1,0,COUNTA($B$19:$B$24),COUNTA($AK$17:$BB$17)),MATCH($F385,$F$19:$F$24,0),MATCH(AO$17,$AK$17:$BB$17,0))*INDEX($10:$13,MATCH($O385,$R$10:$R$13,0),COLUMN())</f>
        <v>3.2274347448000003E-3</v>
      </c>
      <c r="AP385" s="1050" cm="1">
        <f t="array" aca="1" ref="AP385" ca="1">INDEX(OFFSET($AK$19,MATCH($B385,$B$19:$B$150,0)-1,0,COUNTA($B$19:$B$24),COUNTA($AK$17:$BB$17)),MATCH($F385,$F$19:$F$24,0),MATCH(AP$17,$AK$17:$BB$17,0))*INDEX($10:$13,MATCH($O385,$R$10:$R$13,0),COLUMN())</f>
        <v>2.2470287462000001E-3</v>
      </c>
      <c r="AQ385" s="1050" cm="1">
        <f t="array" aca="1" ref="AQ385" ca="1">INDEX(OFFSET($AK$19,MATCH($B385,$B$19:$B$150,0)-1,0,COUNTA($B$19:$B$24),COUNTA($AK$17:$BB$17)),MATCH($F385,$F$19:$F$24,0),MATCH(AQ$17,$AK$17:$BB$17,0))*INDEX($10:$13,MATCH($O385,$R$10:$R$13,0),COLUMN())</f>
        <v>1.6149458928000004E-5</v>
      </c>
      <c r="AR385" s="1050" cm="1">
        <f t="array" aca="1" ref="AR385" ca="1">INDEX(OFFSET($AK$19,MATCH($B385,$B$19:$B$150,0)-1,0,COUNTA($B$19:$B$24),COUNTA($AK$17:$BB$17)),MATCH($F385,$F$19:$F$24,0),MATCH(AR$17,$AK$17:$BB$17,0))*INDEX($10:$13,MATCH($O385,$R$10:$R$13,0),COLUMN())</f>
        <v>2.8106518638000002E-3</v>
      </c>
      <c r="AS385" s="1050" cm="1">
        <f t="array" aca="1" ref="AS385" ca="1">INDEX(OFFSET($AK$19,MATCH($B385,$B$19:$B$150,0)-1,0,COUNTA($B$19:$B$24),COUNTA($AK$17:$BB$17)),MATCH($F385,$F$19:$F$24,0),MATCH(AS$17,$AK$17:$BB$17,0))*INDEX($10:$13,MATCH($O385,$R$10:$R$13,0),COLUMN())</f>
        <v>1.9518059791999998E-4</v>
      </c>
      <c r="AT385" s="1050" cm="1">
        <f t="array" aca="1" ref="AT385" ca="1">INDEX(OFFSET($AK$19,MATCH($B385,$B$19:$B$150,0)-1,0,COUNTA($B$19:$B$24),COUNTA($AK$17:$BB$17)),MATCH($F385,$F$19:$F$24,0),MATCH(AT$17,$AK$17:$BB$17,0))*INDEX($10:$13,MATCH($O385,$R$10:$R$13,0),COLUMN())</f>
        <v>4.9252872550000001E-7</v>
      </c>
      <c r="AU385" s="1050" cm="1">
        <f t="array" aca="1" ref="AU385" ca="1">INDEX(OFFSET($AK$19,MATCH($B385,$B$19:$B$150,0)-1,0,COUNTA($B$19:$B$24),COUNTA($AK$17:$BB$17)),MATCH($F385,$F$19:$F$24,0),MATCH(AU$17,$AK$17:$BB$17,0))*INDEX($10:$13,MATCH($O385,$R$10:$R$13,0),COLUMN())</f>
        <v>1.0562928277E-7</v>
      </c>
      <c r="AV385" s="1050" cm="1">
        <f t="array" aca="1" ref="AV385" ca="1">INDEX(OFFSET($AK$19,MATCH($B385,$B$19:$B$150,0)-1,0,COUNTA($B$19:$B$24),COUNTA($AK$17:$BB$17)),MATCH($F385,$F$19:$F$24,0),MATCH(AV$17,$AK$17:$BB$17,0))*INDEX($10:$13,MATCH($O385,$R$10:$R$13,0),COLUMN())</f>
        <v>3.1254967646999999E-4</v>
      </c>
      <c r="AW385" s="1050" cm="1">
        <f t="array" aca="1" ref="AW385" ca="1">INDEX(OFFSET($AK$19,MATCH($B385,$B$19:$B$150,0)-1,0,COUNTA($B$19:$B$24),COUNTA($AK$17:$BB$17)),MATCH($F385,$F$19:$F$24,0),MATCH(AW$17,$AK$17:$BB$17,0))*INDEX($10:$13,MATCH($O385,$R$10:$R$13,0),COLUMN())</f>
        <v>1.4734008965000002E-2</v>
      </c>
      <c r="AX385" s="1050" cm="1">
        <f t="array" aca="1" ref="AX385" ca="1">INDEX(OFFSET($AK$19,MATCH($B385,$B$19:$B$150,0)-1,0,COUNTA($B$19:$B$24),COUNTA($AK$17:$BB$17)),MATCH($F385,$F$19:$F$24,0),MATCH(AX$17,$AK$17:$BB$17,0))*INDEX($10:$13,MATCH($O385,$R$10:$R$13,0),COLUMN())</f>
        <v>7.8135870670000005E-9</v>
      </c>
      <c r="AY385" s="1050" cm="1">
        <f t="array" aca="1" ref="AY385" ca="1">INDEX(OFFSET($AK$19,MATCH($B385,$B$19:$B$150,0)-1,0,COUNTA($B$19:$B$24),COUNTA($AK$17:$BB$17)),MATCH($F385,$F$19:$F$24,0),MATCH(AY$17,$AK$17:$BB$17,0))*INDEX($10:$13,MATCH($O385,$R$10:$R$13,0),COLUMN())</f>
        <v>0</v>
      </c>
      <c r="AZ385" s="1050" cm="1">
        <f t="array" aca="1" ref="AZ385" ca="1">INDEX(OFFSET($AK$19,MATCH($B385,$B$19:$B$150,0)-1,0,COUNTA($B$19:$B$24),COUNTA($AK$17:$BB$17)),MATCH($F385,$F$19:$F$24,0),MATCH(AZ$17,$AK$17:$BB$17,0))*INDEX($10:$13,MATCH($O385,$R$10:$R$13,0),COLUMN())</f>
        <v>0</v>
      </c>
      <c r="BA385" s="1050" cm="1">
        <f t="array" aca="1" ref="BA385" ca="1">INDEX(OFFSET($AK$19,MATCH($B385,$B$19:$B$150,0)-1,0,COUNTA($B$19:$B$24),COUNTA($AK$17:$BB$17)),MATCH($F385,$F$19:$F$24,0),MATCH(BA$17,$AK$17:$BB$17,0))*INDEX($10:$13,MATCH($O385,$R$10:$R$13,0),COLUMN())</f>
        <v>0</v>
      </c>
      <c r="BB385" s="1051" cm="1">
        <f t="array" aca="1" ref="BB385" ca="1">INDEX(OFFSET($AK$19,MATCH($B385,$B$19:$B$150,0)-1,0,COUNTA($B$19:$B$24),COUNTA($AK$17:$BB$17)),MATCH($F385,$F$19:$F$24,0),MATCH(BB$17,$AK$17:$BB$17,0))*INDEX($10:$13,MATCH($O385,$R$10:$R$13,0),COLUMN())</f>
        <v>0</v>
      </c>
      <c r="BC385" s="1053">
        <f t="shared" ca="1" si="171"/>
        <v>1.4734016778587069E-2</v>
      </c>
      <c r="BE385" s="1"/>
      <c r="BF385" s="1"/>
      <c r="BG385" s="1"/>
      <c r="BH385" s="1"/>
      <c r="BI385" s="1"/>
      <c r="BJ385" s="1"/>
      <c r="BK385" s="1"/>
      <c r="BL385" s="1"/>
      <c r="BM385" s="1"/>
      <c r="BN385" s="1"/>
      <c r="BO385" s="1"/>
      <c r="BP385" s="1"/>
      <c r="BQ385" s="1"/>
      <c r="BR385" s="1"/>
      <c r="BS385" s="1"/>
      <c r="BT385" s="1"/>
      <c r="BU385" s="1"/>
      <c r="BV385" s="1"/>
      <c r="BW385" s="1"/>
      <c r="BX385" s="1"/>
      <c r="BY385" s="1"/>
      <c r="BZ385" s="1"/>
    </row>
    <row r="386" spans="2:78" ht="12" customHeight="1" outlineLevel="1" x14ac:dyDescent="0.25">
      <c r="B386" s="104" t="s">
        <v>112</v>
      </c>
      <c r="C386" s="104" t="s">
        <v>121</v>
      </c>
      <c r="D386" s="2" t="s">
        <v>148</v>
      </c>
      <c r="E386" s="2" t="s">
        <v>150</v>
      </c>
      <c r="F386" s="105" t="s">
        <v>96</v>
      </c>
      <c r="G386" s="27" t="s">
        <v>1582</v>
      </c>
      <c r="H386" s="106" t="s">
        <v>128</v>
      </c>
      <c r="I386" s="107" t="s">
        <v>1577</v>
      </c>
      <c r="J386" s="147">
        <v>0.44</v>
      </c>
      <c r="K386" s="148">
        <v>1.33</v>
      </c>
      <c r="L386" s="149">
        <f t="shared" ca="1" si="167"/>
        <v>2.5328397293202208E-2</v>
      </c>
      <c r="M386" s="148">
        <f t="shared" ca="1" si="168"/>
        <v>1.3636867683999589</v>
      </c>
      <c r="N386" s="148">
        <f t="shared" ca="1" si="170"/>
        <v>3.368676839995894E-2</v>
      </c>
      <c r="O386" s="1062" t="s">
        <v>1583</v>
      </c>
      <c r="P386" s="104"/>
      <c r="R386" s="119"/>
      <c r="S386" s="1072"/>
      <c r="T386" s="1072"/>
      <c r="U386" s="1072"/>
      <c r="V386" s="1072"/>
      <c r="W386" s="1072"/>
      <c r="X386" s="1072"/>
      <c r="Y386" s="1072"/>
      <c r="Z386" s="1072"/>
      <c r="AA386" s="1072"/>
      <c r="AB386" s="1072"/>
      <c r="AC386" s="1072"/>
      <c r="AD386" s="1072"/>
      <c r="AE386" s="1072"/>
      <c r="AF386" s="1072"/>
      <c r="AG386" s="1072"/>
      <c r="AH386" s="1072"/>
      <c r="AI386" s="1072"/>
      <c r="AJ386" s="1073"/>
      <c r="AK386" s="1052" cm="1">
        <f t="array" aca="1" ref="AK386" ca="1">INDEX(OFFSET($AK$19,MATCH($B386,$B$19:$B$150,0)-1,0,COUNTA($B$19:$B$24),COUNTA($AK$17:$BB$17)),MATCH($F386,$F$19:$F$24,0),MATCH(AK$17,$AK$17:$BB$17,0))*INDEX($10:$13,MATCH($O386,$R$10:$R$13,0),COLUMN())</f>
        <v>7.1292255450000012E-3</v>
      </c>
      <c r="AL386" s="1050" cm="1">
        <f t="array" aca="1" ref="AL386" ca="1">INDEX(OFFSET($AK$19,MATCH($B386,$B$19:$B$150,0)-1,0,COUNTA($B$19:$B$24),COUNTA($AK$17:$BB$17)),MATCH($F386,$F$19:$F$24,0),MATCH(AL$17,$AK$17:$BB$17,0))*INDEX($10:$13,MATCH($O386,$R$10:$R$13,0),COLUMN())</f>
        <v>7.3357452639999998E-9</v>
      </c>
      <c r="AM386" s="1050" cm="1">
        <f t="array" aca="1" ref="AM386" ca="1">INDEX(OFFSET($AK$19,MATCH($B386,$B$19:$B$150,0)-1,0,COUNTA($B$19:$B$24),COUNTA($AK$17:$BB$17)),MATCH($F386,$F$19:$F$24,0),MATCH(AM$17,$AK$17:$BB$17,0))*INDEX($10:$13,MATCH($O386,$R$10:$R$13,0),COLUMN())</f>
        <v>1.3589121968E-5</v>
      </c>
      <c r="AN386" s="1050" cm="1">
        <f t="array" aca="1" ref="AN386" ca="1">INDEX(OFFSET($AK$19,MATCH($B386,$B$19:$B$150,0)-1,0,COUNTA($B$19:$B$24),COUNTA($AK$17:$BB$17)),MATCH($F386,$F$19:$F$24,0),MATCH(AN$17,$AK$17:$BB$17,0))*INDEX($10:$13,MATCH($O386,$R$10:$R$13,0),COLUMN())</f>
        <v>1.4310214749999997E-4</v>
      </c>
      <c r="AO386" s="1050" cm="1">
        <f t="array" aca="1" ref="AO386" ca="1">INDEX(OFFSET($AK$19,MATCH($B386,$B$19:$B$150,0)-1,0,COUNTA($B$19:$B$24),COUNTA($AK$17:$BB$17)),MATCH($F386,$F$19:$F$24,0),MATCH(AO$17,$AK$17:$BB$17,0))*INDEX($10:$13,MATCH($O386,$R$10:$R$13,0),COLUMN())</f>
        <v>4.3595778240000001E-3</v>
      </c>
      <c r="AP386" s="1050" cm="1">
        <f t="array" aca="1" ref="AP386" ca="1">INDEX(OFFSET($AK$19,MATCH($B386,$B$19:$B$150,0)-1,0,COUNTA($B$19:$B$24),COUNTA($AK$17:$BB$17)),MATCH($F386,$F$19:$F$24,0),MATCH(AP$17,$AK$17:$BB$17,0))*INDEX($10:$13,MATCH($O386,$R$10:$R$13,0),COLUMN())</f>
        <v>3.3269441918999999E-3</v>
      </c>
      <c r="AQ386" s="1050" cm="1">
        <f t="array" aca="1" ref="AQ386" ca="1">INDEX(OFFSET($AK$19,MATCH($B386,$B$19:$B$150,0)-1,0,COUNTA($B$19:$B$24),COUNTA($AK$17:$BB$17)),MATCH($F386,$F$19:$F$24,0),MATCH(AQ$17,$AK$17:$BB$17,0))*INDEX($10:$13,MATCH($O386,$R$10:$R$13,0),COLUMN())</f>
        <v>2.4726931140000004E-5</v>
      </c>
      <c r="AR386" s="1050" cm="1">
        <f t="array" aca="1" ref="AR386" ca="1">INDEX(OFFSET($AK$19,MATCH($B386,$B$19:$B$150,0)-1,0,COUNTA($B$19:$B$24),COUNTA($AK$17:$BB$17)),MATCH($F386,$F$19:$F$24,0),MATCH(AR$17,$AK$17:$BB$17,0))*INDEX($10:$13,MATCH($O386,$R$10:$R$13,0),COLUMN())</f>
        <v>3.0984648234000001E-3</v>
      </c>
      <c r="AS386" s="1050" cm="1">
        <f t="array" aca="1" ref="AS386" ca="1">INDEX(OFFSET($AK$19,MATCH($B386,$B$19:$B$150,0)-1,0,COUNTA($B$19:$B$24),COUNTA($AK$17:$BB$17)),MATCH($F386,$F$19:$F$24,0),MATCH(AS$17,$AK$17:$BB$17,0))*INDEX($10:$13,MATCH($O386,$R$10:$R$13,0),COLUMN())</f>
        <v>3.2452065480999997E-4</v>
      </c>
      <c r="AT386" s="1050" cm="1">
        <f t="array" aca="1" ref="AT386" ca="1">INDEX(OFFSET($AK$19,MATCH($B386,$B$19:$B$150,0)-1,0,COUNTA($B$19:$B$24),COUNTA($AK$17:$BB$17)),MATCH($F386,$F$19:$F$24,0),MATCH(AT$17,$AK$17:$BB$17,0))*INDEX($10:$13,MATCH($O386,$R$10:$R$13,0),COLUMN())</f>
        <v>5.5085101909999995E-7</v>
      </c>
      <c r="AU386" s="1050" cm="1">
        <f t="array" aca="1" ref="AU386" ca="1">INDEX(OFFSET($AK$19,MATCH($B386,$B$19:$B$150,0)-1,0,COUNTA($B$19:$B$24),COUNTA($AK$17:$BB$17)),MATCH($F386,$F$19:$F$24,0),MATCH(AU$17,$AK$17:$BB$17,0))*INDEX($10:$13,MATCH($O386,$R$10:$R$13,0),COLUMN())</f>
        <v>1.1396642950999999E-7</v>
      </c>
      <c r="AV386" s="1050" cm="1">
        <f t="array" aca="1" ref="AV386" ca="1">INDEX(OFFSET($AK$19,MATCH($B386,$B$19:$B$150,0)-1,0,COUNTA($B$19:$B$24),COUNTA($AK$17:$BB$17)),MATCH($F386,$F$19:$F$24,0),MATCH(AV$17,$AK$17:$BB$17,0))*INDEX($10:$13,MATCH($O386,$R$10:$R$13,0),COLUMN())</f>
        <v>5.3192822846000003E-4</v>
      </c>
      <c r="AW386" s="1050" cm="1">
        <f t="array" aca="1" ref="AW386" ca="1">INDEX(OFFSET($AK$19,MATCH($B386,$B$19:$B$150,0)-1,0,COUNTA($B$19:$B$24),COUNTA($AK$17:$BB$17)),MATCH($F386,$F$19:$F$24,0),MATCH(AW$17,$AK$17:$BB$17,0))*INDEX($10:$13,MATCH($O386,$R$10:$R$13,0),COLUMN())</f>
        <v>1.4734008965000002E-2</v>
      </c>
      <c r="AX386" s="1050" cm="1">
        <f t="array" aca="1" ref="AX386" ca="1">INDEX(OFFSET($AK$19,MATCH($B386,$B$19:$B$150,0)-1,0,COUNTA($B$19:$B$24),COUNTA($AK$17:$BB$17)),MATCH($F386,$F$19:$F$24,0),MATCH(AX$17,$AK$17:$BB$17,0))*INDEX($10:$13,MATCH($O386,$R$10:$R$13,0),COLUMN())</f>
        <v>7.8135870670000005E-9</v>
      </c>
      <c r="AY386" s="1050" cm="1">
        <f t="array" aca="1" ref="AY386" ca="1">INDEX(OFFSET($AK$19,MATCH($B386,$B$19:$B$150,0)-1,0,COUNTA($B$19:$B$24),COUNTA($AK$17:$BB$17)),MATCH($F386,$F$19:$F$24,0),MATCH(AY$17,$AK$17:$BB$17,0))*INDEX($10:$13,MATCH($O386,$R$10:$R$13,0),COLUMN())</f>
        <v>0</v>
      </c>
      <c r="AZ386" s="1050" cm="1">
        <f t="array" aca="1" ref="AZ386" ca="1">INDEX(OFFSET($AK$19,MATCH($B386,$B$19:$B$150,0)-1,0,COUNTA($B$19:$B$24),COUNTA($AK$17:$BB$17)),MATCH($F386,$F$19:$F$24,0),MATCH(AZ$17,$AK$17:$BB$17,0))*INDEX($10:$13,MATCH($O386,$R$10:$R$13,0),COLUMN())</f>
        <v>0</v>
      </c>
      <c r="BA386" s="1050" cm="1">
        <f t="array" aca="1" ref="BA386" ca="1">INDEX(OFFSET($AK$19,MATCH($B386,$B$19:$B$150,0)-1,0,COUNTA($B$19:$B$24),COUNTA($AK$17:$BB$17)),MATCH($F386,$F$19:$F$24,0),MATCH(BA$17,$AK$17:$BB$17,0))*INDEX($10:$13,MATCH($O386,$R$10:$R$13,0),COLUMN())</f>
        <v>0</v>
      </c>
      <c r="BB386" s="1051" cm="1">
        <f t="array" aca="1" ref="BB386" ca="1">INDEX(OFFSET($AK$19,MATCH($B386,$B$19:$B$150,0)-1,0,COUNTA($B$19:$B$24),COUNTA($AK$17:$BB$17)),MATCH($F386,$F$19:$F$24,0),MATCH(BB$17,$AK$17:$BB$17,0))*INDEX($10:$13,MATCH($O386,$R$10:$R$13,0),COLUMN())</f>
        <v>0</v>
      </c>
      <c r="BC386" s="1053">
        <f t="shared" ca="1" si="171"/>
        <v>1.4734016778587069E-2</v>
      </c>
      <c r="BE386" s="1"/>
      <c r="BF386" s="1"/>
      <c r="BG386" s="1"/>
      <c r="BH386" s="1"/>
      <c r="BI386" s="1"/>
      <c r="BJ386" s="1"/>
      <c r="BK386" s="1"/>
      <c r="BL386" s="1"/>
      <c r="BM386" s="1"/>
      <c r="BN386" s="1"/>
      <c r="BO386" s="1"/>
      <c r="BP386" s="1"/>
      <c r="BQ386" s="1"/>
      <c r="BR386" s="1"/>
      <c r="BS386" s="1"/>
      <c r="BT386" s="1"/>
      <c r="BU386" s="1"/>
      <c r="BV386" s="1"/>
      <c r="BW386" s="1"/>
      <c r="BX386" s="1"/>
      <c r="BY386" s="1"/>
      <c r="BZ386" s="1"/>
    </row>
    <row r="387" spans="2:78" ht="12" customHeight="1" outlineLevel="1" x14ac:dyDescent="0.25">
      <c r="B387" s="88" t="s">
        <v>113</v>
      </c>
      <c r="C387" s="88" t="s">
        <v>123</v>
      </c>
      <c r="D387" s="89" t="s">
        <v>151</v>
      </c>
      <c r="E387" s="89" t="s">
        <v>113</v>
      </c>
      <c r="F387" s="90" t="s">
        <v>92</v>
      </c>
      <c r="G387" s="18" t="s">
        <v>126</v>
      </c>
      <c r="H387" s="91" t="s">
        <v>127</v>
      </c>
      <c r="I387" s="92" t="s">
        <v>127</v>
      </c>
      <c r="J387" s="142">
        <v>2.11</v>
      </c>
      <c r="K387" s="143">
        <v>1.55</v>
      </c>
      <c r="L387" s="151">
        <f t="shared" ca="1" si="167"/>
        <v>1.1922184281322861</v>
      </c>
      <c r="M387" s="143">
        <f t="shared" ca="1" si="168"/>
        <v>3.3979385636050434</v>
      </c>
      <c r="N387" s="162">
        <f t="shared" ca="1" si="170"/>
        <v>1.8479385636050434</v>
      </c>
      <c r="O387" s="1060" t="s">
        <v>1583</v>
      </c>
      <c r="P387" s="88"/>
      <c r="Q387" s="89"/>
      <c r="R387" s="150"/>
      <c r="S387" s="1070"/>
      <c r="T387" s="1070"/>
      <c r="U387" s="1070"/>
      <c r="V387" s="1070"/>
      <c r="W387" s="1070"/>
      <c r="X387" s="1070"/>
      <c r="Y387" s="1070"/>
      <c r="Z387" s="1070"/>
      <c r="AA387" s="1070"/>
      <c r="AB387" s="1070"/>
      <c r="AC387" s="1070"/>
      <c r="AD387" s="1070"/>
      <c r="AE387" s="1070"/>
      <c r="AF387" s="1070"/>
      <c r="AG387" s="1070"/>
      <c r="AH387" s="1070"/>
      <c r="AI387" s="1070"/>
      <c r="AJ387" s="1071"/>
      <c r="AK387" s="1048" cm="1">
        <f t="array" aca="1" ref="AK387" ca="1">INDEX(OFFSET($AK$19,MATCH($B387,$B$19:$B$150,0)-1,0,COUNTA($B$19:$B$24),COUNTA($AK$17:$BB$17)),MATCH($F387,$F$19:$F$24,0),MATCH(AK$17,$AK$17:$BB$17,0))*INDEX($10:$13,MATCH($O387,$R$10:$R$13,0),COLUMN())</f>
        <v>0.65464280699999999</v>
      </c>
      <c r="AL387" s="1046" cm="1">
        <f t="array" aca="1" ref="AL387" ca="1">INDEX(OFFSET($AK$19,MATCH($B387,$B$19:$B$150,0)-1,0,COUNTA($B$19:$B$24),COUNTA($AK$17:$BB$17)),MATCH($F387,$F$19:$F$24,0),MATCH(AL$17,$AK$17:$BB$17,0))*INDEX($10:$13,MATCH($O387,$R$10:$R$13,0),COLUMN())</f>
        <v>6.9000831680000002E-7</v>
      </c>
      <c r="AM387" s="1046" cm="1">
        <f t="array" aca="1" ref="AM387" ca="1">INDEX(OFFSET($AK$19,MATCH($B387,$B$19:$B$150,0)-1,0,COUNTA($B$19:$B$24),COUNTA($AK$17:$BB$17)),MATCH($F387,$F$19:$F$24,0),MATCH(AM$17,$AK$17:$BB$17,0))*INDEX($10:$13,MATCH($O387,$R$10:$R$13,0),COLUMN())</f>
        <v>1.3344695619000001E-3</v>
      </c>
      <c r="AN387" s="1046" cm="1">
        <f t="array" aca="1" ref="AN387" ca="1">INDEX(OFFSET($AK$19,MATCH($B387,$B$19:$B$150,0)-1,0,COUNTA($B$19:$B$24),COUNTA($AK$17:$BB$17)),MATCH($F387,$F$19:$F$24,0),MATCH(AN$17,$AK$17:$BB$17,0))*INDEX($10:$13,MATCH($O387,$R$10:$R$13,0),COLUMN())</f>
        <v>4.7164047249999997E-3</v>
      </c>
      <c r="AO387" s="1046" cm="1">
        <f t="array" aca="1" ref="AO387" ca="1">INDEX(OFFSET($AK$19,MATCH($B387,$B$19:$B$150,0)-1,0,COUNTA($B$19:$B$24),COUNTA($AK$17:$BB$17)),MATCH($F387,$F$19:$F$24,0),MATCH(AO$17,$AK$17:$BB$17,0))*INDEX($10:$13,MATCH($O387,$R$10:$R$13,0),COLUMN())</f>
        <v>0.32556303248000001</v>
      </c>
      <c r="AP387" s="1046" cm="1">
        <f t="array" aca="1" ref="AP387" ca="1">INDEX(OFFSET($AK$19,MATCH($B387,$B$19:$B$150,0)-1,0,COUNTA($B$19:$B$24),COUNTA($AK$17:$BB$17)),MATCH($F387,$F$19:$F$24,0),MATCH(AP$17,$AK$17:$BB$17,0))*INDEX($10:$13,MATCH($O387,$R$10:$R$13,0),COLUMN())</f>
        <v>0.27911637788999999</v>
      </c>
      <c r="AQ387" s="1046" cm="1">
        <f t="array" aca="1" ref="AQ387" ca="1">INDEX(OFFSET($AK$19,MATCH($B387,$B$19:$B$150,0)-1,0,COUNTA($B$19:$B$24),COUNTA($AK$17:$BB$17)),MATCH($F387,$F$19:$F$24,0),MATCH(AQ$17,$AK$17:$BB$17,0))*INDEX($10:$13,MATCH($O387,$R$10:$R$13,0),COLUMN())</f>
        <v>7.7824027500000002E-4</v>
      </c>
      <c r="AR387" s="1046" cm="1">
        <f t="array" aca="1" ref="AR387" ca="1">INDEX(OFFSET($AK$19,MATCH($B387,$B$19:$B$150,0)-1,0,COUNTA($B$19:$B$24),COUNTA($AK$17:$BB$17)),MATCH($F387,$F$19:$F$24,0),MATCH(AR$17,$AK$17:$BB$17,0))*INDEX($10:$13,MATCH($O387,$R$10:$R$13,0),COLUMN())</f>
        <v>6.2266488689999996E-2</v>
      </c>
      <c r="AS387" s="1046" cm="1">
        <f t="array" aca="1" ref="AS387" ca="1">INDEX(OFFSET($AK$19,MATCH($B387,$B$19:$B$150,0)-1,0,COUNTA($B$19:$B$24),COUNTA($AK$17:$BB$17)),MATCH($F387,$F$19:$F$24,0),MATCH(AS$17,$AK$17:$BB$17,0))*INDEX($10:$13,MATCH($O387,$R$10:$R$13,0),COLUMN())</f>
        <v>0.21811391634999999</v>
      </c>
      <c r="AT387" s="1046" cm="1">
        <f t="array" aca="1" ref="AT387" ca="1">INDEX(OFFSET($AK$19,MATCH($B387,$B$19:$B$150,0)-1,0,COUNTA($B$19:$B$24),COUNTA($AK$17:$BB$17)),MATCH($F387,$F$19:$F$24,0),MATCH(AT$17,$AK$17:$BB$17,0))*INDEX($10:$13,MATCH($O387,$R$10:$R$13,0),COLUMN())</f>
        <v>2.5689695712000001E-4</v>
      </c>
      <c r="AU387" s="1046" cm="1">
        <f t="array" aca="1" ref="AU387" ca="1">INDEX(OFFSET($AK$19,MATCH($B387,$B$19:$B$150,0)-1,0,COUNTA($B$19:$B$24),COUNTA($AK$17:$BB$17)),MATCH($F387,$F$19:$F$24,0),MATCH(AU$17,$AK$17:$BB$17,0))*INDEX($10:$13,MATCH($O387,$R$10:$R$13,0),COLUMN())</f>
        <v>1.5002466342999999E-5</v>
      </c>
      <c r="AV387" s="1046" cm="1">
        <f t="array" aca="1" ref="AV387" ca="1">INDEX(OFFSET($AK$19,MATCH($B387,$B$19:$B$150,0)-1,0,COUNTA($B$19:$B$24),COUNTA($AK$17:$BB$17)),MATCH($F387,$F$19:$F$24,0),MATCH(AV$17,$AK$17:$BB$17,0))*INDEX($10:$13,MATCH($O387,$R$10:$R$13,0),COLUMN())</f>
        <v>1.3401287053999998E-2</v>
      </c>
      <c r="AW387" s="1046" cm="1">
        <f t="array" aca="1" ref="AW387" ca="1">INDEX(OFFSET($AK$19,MATCH($B387,$B$19:$B$150,0)-1,0,COUNTA($B$19:$B$24),COUNTA($AK$17:$BB$17)),MATCH($F387,$F$19:$F$24,0),MATCH(AW$17,$AK$17:$BB$17,0))*INDEX($10:$13,MATCH($O387,$R$10:$R$13,0),COLUMN())</f>
        <v>0.28773112745000001</v>
      </c>
      <c r="AX387" s="1046" cm="1">
        <f t="array" aca="1" ref="AX387" ca="1">INDEX(OFFSET($AK$19,MATCH($B387,$B$19:$B$150,0)-1,0,COUNTA($B$19:$B$24),COUNTA($AK$17:$BB$17)),MATCH($F387,$F$19:$F$24,0),MATCH(AX$17,$AK$17:$BB$17,0))*INDEX($10:$13,MATCH($O387,$R$10:$R$13,0),COLUMN())</f>
        <v>1.8226973635000002E-6</v>
      </c>
      <c r="AY387" s="1046" cm="1">
        <f t="array" aca="1" ref="AY387" ca="1">INDEX(OFFSET($AK$19,MATCH($B387,$B$19:$B$150,0)-1,0,COUNTA($B$19:$B$24),COUNTA($AK$17:$BB$17)),MATCH($F387,$F$19:$F$24,0),MATCH(AY$17,$AK$17:$BB$17,0))*INDEX($10:$13,MATCH($O387,$R$10:$R$13,0),COLUMN())</f>
        <v>0</v>
      </c>
      <c r="AZ387" s="1046" cm="1">
        <f t="array" aca="1" ref="AZ387" ca="1">INDEX(OFFSET($AK$19,MATCH($B387,$B$19:$B$150,0)-1,0,COUNTA($B$19:$B$24),COUNTA($AK$17:$BB$17)),MATCH($F387,$F$19:$F$24,0),MATCH(AZ$17,$AK$17:$BB$17,0))*INDEX($10:$13,MATCH($O387,$R$10:$R$13,0),COLUMN())</f>
        <v>0</v>
      </c>
      <c r="BA387" s="1046" cm="1">
        <f t="array" aca="1" ref="BA387" ca="1">INDEX(OFFSET($AK$19,MATCH($B387,$B$19:$B$150,0)-1,0,COUNTA($B$19:$B$24),COUNTA($AK$17:$BB$17)),MATCH($F387,$F$19:$F$24,0),MATCH(BA$17,$AK$17:$BB$17,0))*INDEX($10:$13,MATCH($O387,$R$10:$R$13,0),COLUMN())</f>
        <v>0</v>
      </c>
      <c r="BB387" s="1047" cm="1">
        <f t="array" aca="1" ref="BB387" ca="1">INDEX(OFFSET($AK$19,MATCH($B387,$B$19:$B$150,0)-1,0,COUNTA($B$19:$B$24),COUNTA($AK$17:$BB$17)),MATCH($F387,$F$19:$F$24,0),MATCH(BB$17,$AK$17:$BB$17,0))*INDEX($10:$13,MATCH($O387,$R$10:$R$13,0),COLUMN())</f>
        <v>0</v>
      </c>
      <c r="BC387" s="1049">
        <f t="shared" ca="1" si="171"/>
        <v>0.2877329501473635</v>
      </c>
      <c r="BE387" s="1"/>
      <c r="BF387" s="1"/>
      <c r="BG387" s="1"/>
      <c r="BH387" s="1"/>
      <c r="BI387" s="1"/>
      <c r="BJ387" s="1"/>
      <c r="BK387" s="1"/>
      <c r="BL387" s="1"/>
      <c r="BM387" s="1"/>
      <c r="BN387" s="1"/>
      <c r="BO387" s="1"/>
      <c r="BP387" s="1"/>
      <c r="BQ387" s="1"/>
      <c r="BR387" s="1"/>
      <c r="BS387" s="1"/>
      <c r="BT387" s="1"/>
      <c r="BU387" s="1"/>
      <c r="BV387" s="1"/>
      <c r="BW387" s="1"/>
      <c r="BX387" s="1"/>
      <c r="BY387" s="1"/>
      <c r="BZ387" s="1"/>
    </row>
    <row r="388" spans="2:78" ht="12" customHeight="1" outlineLevel="1" x14ac:dyDescent="0.25">
      <c r="B388" s="104" t="s">
        <v>113</v>
      </c>
      <c r="C388" s="104" t="s">
        <v>123</v>
      </c>
      <c r="D388" s="2" t="s">
        <v>151</v>
      </c>
      <c r="E388" s="2" t="s">
        <v>113</v>
      </c>
      <c r="F388" s="105" t="s">
        <v>122</v>
      </c>
      <c r="G388" s="27" t="s">
        <v>1579</v>
      </c>
      <c r="H388" s="106" t="s">
        <v>128</v>
      </c>
      <c r="I388" s="107" t="s">
        <v>129</v>
      </c>
      <c r="J388" s="147">
        <v>2.11</v>
      </c>
      <c r="K388" s="148">
        <v>3.53</v>
      </c>
      <c r="L388" s="149">
        <f t="shared" ca="1" si="167"/>
        <v>0.39812406444432041</v>
      </c>
      <c r="M388" s="148">
        <f t="shared" ca="1" si="168"/>
        <v>4.9353779474884512</v>
      </c>
      <c r="N388" s="163">
        <f t="shared" ca="1" si="170"/>
        <v>1.4053779474884509</v>
      </c>
      <c r="O388" s="1061" t="s">
        <v>1583</v>
      </c>
      <c r="P388" s="104"/>
      <c r="R388" s="119"/>
      <c r="S388" s="1072"/>
      <c r="T388" s="1072"/>
      <c r="U388" s="1072"/>
      <c r="V388" s="1072"/>
      <c r="W388" s="1072"/>
      <c r="X388" s="1072"/>
      <c r="Y388" s="1072"/>
      <c r="Z388" s="1072"/>
      <c r="AA388" s="1072"/>
      <c r="AB388" s="1072"/>
      <c r="AC388" s="1072"/>
      <c r="AD388" s="1072"/>
      <c r="AE388" s="1072"/>
      <c r="AF388" s="1072"/>
      <c r="AG388" s="1072"/>
      <c r="AH388" s="1072"/>
      <c r="AI388" s="1072"/>
      <c r="AJ388" s="1073"/>
      <c r="AK388" s="1052" cm="1">
        <f t="array" aca="1" ref="AK388" ca="1">INDEX(OFFSET($AK$19,MATCH($B388,$B$19:$B$150,0)-1,0,COUNTA($B$19:$B$24),COUNTA($AK$17:$BB$17)),MATCH($F388,$F$19:$F$24,0),MATCH(AK$17,$AK$17:$BB$17,0))*INDEX($10:$13,MATCH($O388,$R$10:$R$13,0),COLUMN())</f>
        <v>0.38035514399999998</v>
      </c>
      <c r="AL388" s="1050" cm="1">
        <f t="array" aca="1" ref="AL388" ca="1">INDEX(OFFSET($AK$19,MATCH($B388,$B$19:$B$150,0)-1,0,COUNTA($B$19:$B$24),COUNTA($AK$17:$BB$17)),MATCH($F388,$F$19:$F$24,0),MATCH(AL$17,$AK$17:$BB$17,0))*INDEX($10:$13,MATCH($O388,$R$10:$R$13,0),COLUMN())</f>
        <v>6.944614608E-7</v>
      </c>
      <c r="AM388" s="1050" cm="1">
        <f t="array" aca="1" ref="AM388" ca="1">INDEX(OFFSET($AK$19,MATCH($B388,$B$19:$B$150,0)-1,0,COUNTA($B$19:$B$24),COUNTA($AK$17:$BB$17)),MATCH($F388,$F$19:$F$24,0),MATCH(AM$17,$AK$17:$BB$17,0))*INDEX($10:$13,MATCH($O388,$R$10:$R$13,0),COLUMN())</f>
        <v>1.3266409982000001E-3</v>
      </c>
      <c r="AN388" s="1050" cm="1">
        <f t="array" aca="1" ref="AN388" ca="1">INDEX(OFFSET($AK$19,MATCH($B388,$B$19:$B$150,0)-1,0,COUNTA($B$19:$B$24),COUNTA($AK$17:$BB$17)),MATCH($F388,$F$19:$F$24,0),MATCH(AN$17,$AK$17:$BB$17,0))*INDEX($10:$13,MATCH($O388,$R$10:$R$13,0),COLUMN())</f>
        <v>3.8496613399999998E-3</v>
      </c>
      <c r="AO388" s="1050" cm="1">
        <f t="array" aca="1" ref="AO388" ca="1">INDEX(OFFSET($AK$19,MATCH($B388,$B$19:$B$150,0)-1,0,COUNTA($B$19:$B$24),COUNTA($AK$17:$BB$17)),MATCH($F388,$F$19:$F$24,0),MATCH(AO$17,$AK$17:$BB$17,0))*INDEX($10:$13,MATCH($O388,$R$10:$R$13,0),COLUMN())</f>
        <v>0.27930520576000001</v>
      </c>
      <c r="AP388" s="1050" cm="1">
        <f t="array" aca="1" ref="AP388" ca="1">INDEX(OFFSET($AK$19,MATCH($B388,$B$19:$B$150,0)-1,0,COUNTA($B$19:$B$24),COUNTA($AK$17:$BB$17)),MATCH($F388,$F$19:$F$24,0),MATCH(AP$17,$AK$17:$BB$17,0))*INDEX($10:$13,MATCH($O388,$R$10:$R$13,0),COLUMN())</f>
        <v>0.24129672055999998</v>
      </c>
      <c r="AQ388" s="1050" cm="1">
        <f t="array" aca="1" ref="AQ388" ca="1">INDEX(OFFSET($AK$19,MATCH($B388,$B$19:$B$150,0)-1,0,COUNTA($B$19:$B$24),COUNTA($AK$17:$BB$17)),MATCH($F388,$F$19:$F$24,0),MATCH(AQ$17,$AK$17:$BB$17,0))*INDEX($10:$13,MATCH($O388,$R$10:$R$13,0),COLUMN())</f>
        <v>1.4246480652000001E-4</v>
      </c>
      <c r="AR388" s="1050" cm="1">
        <f t="array" aca="1" ref="AR388" ca="1">INDEX(OFFSET($AK$19,MATCH($B388,$B$19:$B$150,0)-1,0,COUNTA($B$19:$B$24),COUNTA($AK$17:$BB$17)),MATCH($F388,$F$19:$F$24,0),MATCH(AR$17,$AK$17:$BB$17,0))*INDEX($10:$13,MATCH($O388,$R$10:$R$13,0),COLUMN())</f>
        <v>3.9626839390000002E-2</v>
      </c>
      <c r="AS388" s="1050" cm="1">
        <f t="array" aca="1" ref="AS388" ca="1">INDEX(OFFSET($AK$19,MATCH($B388,$B$19:$B$150,0)-1,0,COUNTA($B$19:$B$24),COUNTA($AK$17:$BB$17)),MATCH($F388,$F$19:$F$24,0),MATCH(AS$17,$AK$17:$BB$17,0))*INDEX($10:$13,MATCH($O388,$R$10:$R$13,0),COLUMN())</f>
        <v>3.0349895388999998E-3</v>
      </c>
      <c r="AT388" s="1050" cm="1">
        <f t="array" aca="1" ref="AT388" ca="1">INDEX(OFFSET($AK$19,MATCH($B388,$B$19:$B$150,0)-1,0,COUNTA($B$19:$B$24),COUNTA($AK$17:$BB$17)),MATCH($F388,$F$19:$F$24,0),MATCH(AT$17,$AK$17:$BB$17,0))*INDEX($10:$13,MATCH($O388,$R$10:$R$13,0),COLUMN())</f>
        <v>1.5635240314999998E-5</v>
      </c>
      <c r="AU388" s="1050" cm="1">
        <f t="array" aca="1" ref="AU388" ca="1">INDEX(OFFSET($AK$19,MATCH($B388,$B$19:$B$150,0)-1,0,COUNTA($B$19:$B$24),COUNTA($AK$17:$BB$17)),MATCH($F388,$F$19:$F$24,0),MATCH(AU$17,$AK$17:$BB$17,0))*INDEX($10:$13,MATCH($O388,$R$10:$R$13,0),COLUMN())</f>
        <v>2.8062551736999999E-6</v>
      </c>
      <c r="AV388" s="1050" cm="1">
        <f t="array" aca="1" ref="AV388" ca="1">INDEX(OFFSET($AK$19,MATCH($B388,$B$19:$B$150,0)-1,0,COUNTA($B$19:$B$24),COUNTA($AK$17:$BB$17)),MATCH($F388,$F$19:$F$24,0),MATCH(AV$17,$AK$17:$BB$17,0))*INDEX($10:$13,MATCH($O388,$R$10:$R$13,0),COLUMN())</f>
        <v>2.1599903387999999E-3</v>
      </c>
      <c r="AW388" s="1050" cm="1">
        <f t="array" aca="1" ref="AW388" ca="1">INDEX(OFFSET($AK$19,MATCH($B388,$B$19:$B$150,0)-1,0,COUNTA($B$19:$B$24),COUNTA($AK$17:$BB$17)),MATCH($F388,$F$19:$F$24,0),MATCH(AW$17,$AK$17:$BB$17,0))*INDEX($10:$13,MATCH($O388,$R$10:$R$13,0),COLUMN())</f>
        <v>0.4542594264</v>
      </c>
      <c r="AX388" s="1050" cm="1">
        <f t="array" aca="1" ref="AX388" ca="1">INDEX(OFFSET($AK$19,MATCH($B388,$B$19:$B$150,0)-1,0,COUNTA($B$19:$B$24),COUNTA($AK$17:$BB$17)),MATCH($F388,$F$19:$F$24,0),MATCH(AX$17,$AK$17:$BB$17,0))*INDEX($10:$13,MATCH($O388,$R$10:$R$13,0),COLUMN())</f>
        <v>1.7283990814999999E-6</v>
      </c>
      <c r="AY388" s="1050" cm="1">
        <f t="array" aca="1" ref="AY388" ca="1">INDEX(OFFSET($AK$19,MATCH($B388,$B$19:$B$150,0)-1,0,COUNTA($B$19:$B$24),COUNTA($AK$17:$BB$17)),MATCH($F388,$F$19:$F$24,0),MATCH(AY$17,$AK$17:$BB$17,0))*INDEX($10:$13,MATCH($O388,$R$10:$R$13,0),COLUMN())</f>
        <v>0</v>
      </c>
      <c r="AZ388" s="1050" cm="1">
        <f t="array" aca="1" ref="AZ388" ca="1">INDEX(OFFSET($AK$19,MATCH($B388,$B$19:$B$150,0)-1,0,COUNTA($B$19:$B$24),COUNTA($AK$17:$BB$17)),MATCH($F388,$F$19:$F$24,0),MATCH(AZ$17,$AK$17:$BB$17,0))*INDEX($10:$13,MATCH($O388,$R$10:$R$13,0),COLUMN())</f>
        <v>0</v>
      </c>
      <c r="BA388" s="1050" cm="1">
        <f t="array" aca="1" ref="BA388" ca="1">INDEX(OFFSET($AK$19,MATCH($B388,$B$19:$B$150,0)-1,0,COUNTA($B$19:$B$24),COUNTA($AK$17:$BB$17)),MATCH($F388,$F$19:$F$24,0),MATCH(BA$17,$AK$17:$BB$17,0))*INDEX($10:$13,MATCH($O388,$R$10:$R$13,0),COLUMN())</f>
        <v>0</v>
      </c>
      <c r="BB388" s="1051" cm="1">
        <f t="array" aca="1" ref="BB388" ca="1">INDEX(OFFSET($AK$19,MATCH($B388,$B$19:$B$150,0)-1,0,COUNTA($B$19:$B$24),COUNTA($AK$17:$BB$17)),MATCH($F388,$F$19:$F$24,0),MATCH(BB$17,$AK$17:$BB$17,0))*INDEX($10:$13,MATCH($O388,$R$10:$R$13,0),COLUMN())</f>
        <v>0</v>
      </c>
      <c r="BC388" s="1053">
        <f t="shared" ca="1" si="171"/>
        <v>0.45426115479908152</v>
      </c>
      <c r="BE388" s="1"/>
      <c r="BF388" s="1"/>
      <c r="BG388" s="1"/>
      <c r="BH388" s="1"/>
      <c r="BI388" s="1"/>
      <c r="BJ388" s="1"/>
      <c r="BK388" s="1"/>
      <c r="BL388" s="1"/>
      <c r="BM388" s="1"/>
      <c r="BN388" s="1"/>
      <c r="BO388" s="1"/>
      <c r="BP388" s="1"/>
      <c r="BQ388" s="1"/>
      <c r="BR388" s="1"/>
      <c r="BS388" s="1"/>
      <c r="BT388" s="1"/>
      <c r="BU388" s="1"/>
      <c r="BV388" s="1"/>
      <c r="BW388" s="1"/>
      <c r="BX388" s="1"/>
      <c r="BY388" s="1"/>
      <c r="BZ388" s="1"/>
    </row>
    <row r="389" spans="2:78" ht="12" customHeight="1" outlineLevel="1" x14ac:dyDescent="0.25">
      <c r="B389" s="104" t="s">
        <v>113</v>
      </c>
      <c r="C389" s="104" t="s">
        <v>123</v>
      </c>
      <c r="D389" s="2" t="s">
        <v>151</v>
      </c>
      <c r="E389" s="2" t="s">
        <v>113</v>
      </c>
      <c r="F389" s="105" t="s">
        <v>93</v>
      </c>
      <c r="G389" s="27" t="s">
        <v>1578</v>
      </c>
      <c r="H389" s="106" t="s">
        <v>130</v>
      </c>
      <c r="I389" s="107" t="s">
        <v>129</v>
      </c>
      <c r="J389" s="147">
        <v>2.11</v>
      </c>
      <c r="K389" s="148">
        <v>3.53</v>
      </c>
      <c r="L389" s="149">
        <f t="shared" ca="1" si="167"/>
        <v>0.44666432193523736</v>
      </c>
      <c r="M389" s="148">
        <f t="shared" ca="1" si="168"/>
        <v>5.1067250564313875</v>
      </c>
      <c r="N389" s="163">
        <f t="shared" ca="1" si="170"/>
        <v>1.5767250564313877</v>
      </c>
      <c r="O389" s="1061" t="s">
        <v>1583</v>
      </c>
      <c r="P389" s="104"/>
      <c r="R389" s="119"/>
      <c r="S389" s="1072"/>
      <c r="T389" s="1072"/>
      <c r="U389" s="1072"/>
      <c r="V389" s="1072"/>
      <c r="W389" s="1072"/>
      <c r="X389" s="1072"/>
      <c r="Y389" s="1072"/>
      <c r="Z389" s="1072"/>
      <c r="AA389" s="1072"/>
      <c r="AB389" s="1072"/>
      <c r="AC389" s="1072"/>
      <c r="AD389" s="1072"/>
      <c r="AE389" s="1072"/>
      <c r="AF389" s="1072"/>
      <c r="AG389" s="1072"/>
      <c r="AH389" s="1072"/>
      <c r="AI389" s="1072"/>
      <c r="AJ389" s="1073"/>
      <c r="AK389" s="1052" cm="1">
        <f t="array" aca="1" ref="AK389" ca="1">INDEX(OFFSET($AK$19,MATCH($B389,$B$19:$B$150,0)-1,0,COUNTA($B$19:$B$24),COUNTA($AK$17:$BB$17)),MATCH($F389,$F$19:$F$24,0),MATCH(AK$17,$AK$17:$BB$17,0))*INDEX($10:$13,MATCH($O389,$R$10:$R$13,0),COLUMN())</f>
        <v>0.41243517900000004</v>
      </c>
      <c r="AL389" s="1050" cm="1">
        <f t="array" aca="1" ref="AL389" ca="1">INDEX(OFFSET($AK$19,MATCH($B389,$B$19:$B$150,0)-1,0,COUNTA($B$19:$B$24),COUNTA($AK$17:$BB$17)),MATCH($F389,$F$19:$F$24,0),MATCH(AL$17,$AK$17:$BB$17,0))*INDEX($10:$13,MATCH($O389,$R$10:$R$13,0),COLUMN())</f>
        <v>7.2655598720000001E-7</v>
      </c>
      <c r="AM389" s="1050" cm="1">
        <f t="array" aca="1" ref="AM389" ca="1">INDEX(OFFSET($AK$19,MATCH($B389,$B$19:$B$150,0)-1,0,COUNTA($B$19:$B$24),COUNTA($AK$17:$BB$17)),MATCH($F389,$F$19:$F$24,0),MATCH(AM$17,$AK$17:$BB$17,0))*INDEX($10:$13,MATCH($O389,$R$10:$R$13,0),COLUMN())</f>
        <v>1.3864751102E-3</v>
      </c>
      <c r="AN389" s="1050" cm="1">
        <f t="array" aca="1" ref="AN389" ca="1">INDEX(OFFSET($AK$19,MATCH($B389,$B$19:$B$150,0)-1,0,COUNTA($B$19:$B$24),COUNTA($AK$17:$BB$17)),MATCH($F389,$F$19:$F$24,0),MATCH(AN$17,$AK$17:$BB$17,0))*INDEX($10:$13,MATCH($O389,$R$10:$R$13,0),COLUMN())</f>
        <v>4.4324463799999998E-3</v>
      </c>
      <c r="AO389" s="1050" cm="1">
        <f t="array" aca="1" ref="AO389" ca="1">INDEX(OFFSET($AK$19,MATCH($B389,$B$19:$B$150,0)-1,0,COUNTA($B$19:$B$24),COUNTA($AK$17:$BB$17)),MATCH($F389,$F$19:$F$24,0),MATCH(AO$17,$AK$17:$BB$17,0))*INDEX($10:$13,MATCH($O389,$R$10:$R$13,0),COLUMN())</f>
        <v>0.28991423496000002</v>
      </c>
      <c r="AP389" s="1050" cm="1">
        <f t="array" aca="1" ref="AP389" ca="1">INDEX(OFFSET($AK$19,MATCH($B389,$B$19:$B$150,0)-1,0,COUNTA($B$19:$B$24),COUNTA($AK$17:$BB$17)),MATCH($F389,$F$19:$F$24,0),MATCH(AP$17,$AK$17:$BB$17,0))*INDEX($10:$13,MATCH($O389,$R$10:$R$13,0),COLUMN())</f>
        <v>0.24771104728999999</v>
      </c>
      <c r="AQ389" s="1050" cm="1">
        <f t="array" aca="1" ref="AQ389" ca="1">INDEX(OFFSET($AK$19,MATCH($B389,$B$19:$B$150,0)-1,0,COUNTA($B$19:$B$24),COUNTA($AK$17:$BB$17)),MATCH($F389,$F$19:$F$24,0),MATCH(AQ$17,$AK$17:$BB$17,0))*INDEX($10:$13,MATCH($O389,$R$10:$R$13,0),COLUMN())</f>
        <v>1.7380046460000002E-4</v>
      </c>
      <c r="AR389" s="1050" cm="1">
        <f t="array" aca="1" ref="AR389" ca="1">INDEX(OFFSET($AK$19,MATCH($B389,$B$19:$B$150,0)-1,0,COUNTA($B$19:$B$24),COUNTA($AK$17:$BB$17)),MATCH($F389,$F$19:$F$24,0),MATCH(AR$17,$AK$17:$BB$17,0))*INDEX($10:$13,MATCH($O389,$R$10:$R$13,0),COLUMN())</f>
        <v>4.7783367969999997E-2</v>
      </c>
      <c r="AS389" s="1050" cm="1">
        <f t="array" aca="1" ref="AS389" ca="1">INDEX(OFFSET($AK$19,MATCH($B389,$B$19:$B$150,0)-1,0,COUNTA($B$19:$B$24),COUNTA($AK$17:$BB$17)),MATCH($F389,$F$19:$F$24,0),MATCH(AS$17,$AK$17:$BB$17,0))*INDEX($10:$13,MATCH($O389,$R$10:$R$13,0),COLUMN())</f>
        <v>3.2700887989E-3</v>
      </c>
      <c r="AT389" s="1050" cm="1">
        <f t="array" aca="1" ref="AT389" ca="1">INDEX(OFFSET($AK$19,MATCH($B389,$B$19:$B$150,0)-1,0,COUNTA($B$19:$B$24),COUNTA($AK$17:$BB$17)),MATCH($F389,$F$19:$F$24,0),MATCH(AT$17,$AK$17:$BB$17,0))*INDEX($10:$13,MATCH($O389,$R$10:$R$13,0),COLUMN())</f>
        <v>1.8369969100999999E-5</v>
      </c>
      <c r="AU389" s="1050" cm="1">
        <f t="array" aca="1" ref="AU389" ca="1">INDEX(OFFSET($AK$19,MATCH($B389,$B$19:$B$150,0)-1,0,COUNTA($B$19:$B$24),COUNTA($AK$17:$BB$17)),MATCH($F389,$F$19:$F$24,0),MATCH(AU$17,$AK$17:$BB$17,0))*INDEX($10:$13,MATCH($O389,$R$10:$R$13,0),COLUMN())</f>
        <v>3.3723696709E-6</v>
      </c>
      <c r="AV389" s="1050" cm="1">
        <f t="array" aca="1" ref="AV389" ca="1">INDEX(OFFSET($AK$19,MATCH($B389,$B$19:$B$150,0)-1,0,COUNTA($B$19:$B$24),COUNTA($AK$17:$BB$17)),MATCH($F389,$F$19:$F$24,0),MATCH(AV$17,$AK$17:$BB$17,0))*INDEX($10:$13,MATCH($O389,$R$10:$R$13,0),COLUMN())</f>
        <v>2.9045825491999999E-3</v>
      </c>
      <c r="AW389" s="1050" cm="1">
        <f t="array" aca="1" ref="AW389" ca="1">INDEX(OFFSET($AK$19,MATCH($B389,$B$19:$B$150,0)-1,0,COUNTA($B$19:$B$24),COUNTA($AK$17:$BB$17)),MATCH($F389,$F$19:$F$24,0),MATCH(AW$17,$AK$17:$BB$17,0))*INDEX($10:$13,MATCH($O389,$R$10:$R$13,0),COLUMN())</f>
        <v>0.5666895916500001</v>
      </c>
      <c r="AX389" s="1050" cm="1">
        <f t="array" aca="1" ref="AX389" ca="1">INDEX(OFFSET($AK$19,MATCH($B389,$B$19:$B$150,0)-1,0,COUNTA($B$19:$B$24),COUNTA($AK$17:$BB$17)),MATCH($F389,$F$19:$F$24,0),MATCH(AX$17,$AK$17:$BB$17,0))*INDEX($10:$13,MATCH($O389,$R$10:$R$13,0),COLUMN())</f>
        <v>1.7733637285000003E-6</v>
      </c>
      <c r="AY389" s="1050" cm="1">
        <f t="array" aca="1" ref="AY389" ca="1">INDEX(OFFSET($AK$19,MATCH($B389,$B$19:$B$150,0)-1,0,COUNTA($B$19:$B$24),COUNTA($AK$17:$BB$17)),MATCH($F389,$F$19:$F$24,0),MATCH(AY$17,$AK$17:$BB$17,0))*INDEX($10:$13,MATCH($O389,$R$10:$R$13,0),COLUMN())</f>
        <v>0</v>
      </c>
      <c r="AZ389" s="1050" cm="1">
        <f t="array" aca="1" ref="AZ389" ca="1">INDEX(OFFSET($AK$19,MATCH($B389,$B$19:$B$150,0)-1,0,COUNTA($B$19:$B$24),COUNTA($AK$17:$BB$17)),MATCH($F389,$F$19:$F$24,0),MATCH(AZ$17,$AK$17:$BB$17,0))*INDEX($10:$13,MATCH($O389,$R$10:$R$13,0),COLUMN())</f>
        <v>0</v>
      </c>
      <c r="BA389" s="1050" cm="1">
        <f t="array" aca="1" ref="BA389" ca="1">INDEX(OFFSET($AK$19,MATCH($B389,$B$19:$B$150,0)-1,0,COUNTA($B$19:$B$24),COUNTA($AK$17:$BB$17)),MATCH($F389,$F$19:$F$24,0),MATCH(BA$17,$AK$17:$BB$17,0))*INDEX($10:$13,MATCH($O389,$R$10:$R$13,0),COLUMN())</f>
        <v>0</v>
      </c>
      <c r="BB389" s="1051" cm="1">
        <f t="array" aca="1" ref="BB389" ca="1">INDEX(OFFSET($AK$19,MATCH($B389,$B$19:$B$150,0)-1,0,COUNTA($B$19:$B$24),COUNTA($AK$17:$BB$17)),MATCH($F389,$F$19:$F$24,0),MATCH(BB$17,$AK$17:$BB$17,0))*INDEX($10:$13,MATCH($O389,$R$10:$R$13,0),COLUMN())</f>
        <v>0</v>
      </c>
      <c r="BC389" s="1053">
        <f t="shared" ca="1" si="171"/>
        <v>0.56669136501372863</v>
      </c>
      <c r="BE389" s="1"/>
      <c r="BF389" s="1"/>
      <c r="BG389" s="1"/>
      <c r="BH389" s="1"/>
      <c r="BI389" s="1"/>
      <c r="BJ389" s="1"/>
      <c r="BK389" s="1"/>
      <c r="BL389" s="1"/>
      <c r="BM389" s="1"/>
      <c r="BN389" s="1"/>
      <c r="BO389" s="1"/>
      <c r="BP389" s="1"/>
      <c r="BQ389" s="1"/>
      <c r="BR389" s="1"/>
      <c r="BS389" s="1"/>
      <c r="BT389" s="1"/>
      <c r="BU389" s="1"/>
      <c r="BV389" s="1"/>
      <c r="BW389" s="1"/>
      <c r="BX389" s="1"/>
      <c r="BY389" s="1"/>
      <c r="BZ389" s="1"/>
    </row>
    <row r="390" spans="2:78" ht="12" customHeight="1" outlineLevel="1" x14ac:dyDescent="0.25">
      <c r="B390" s="104" t="s">
        <v>113</v>
      </c>
      <c r="C390" s="104" t="s">
        <v>123</v>
      </c>
      <c r="D390" s="2" t="s">
        <v>151</v>
      </c>
      <c r="E390" s="2" t="s">
        <v>113</v>
      </c>
      <c r="F390" s="105" t="s">
        <v>94</v>
      </c>
      <c r="G390" s="27" t="s">
        <v>1580</v>
      </c>
      <c r="H390" s="106" t="s">
        <v>131</v>
      </c>
      <c r="I390" s="107" t="s">
        <v>129</v>
      </c>
      <c r="J390" s="147">
        <v>2.11</v>
      </c>
      <c r="K390" s="148">
        <v>3.53</v>
      </c>
      <c r="L390" s="149">
        <f t="shared" ca="1" si="167"/>
        <v>0.36551882195011659</v>
      </c>
      <c r="M390" s="148">
        <f t="shared" ca="1" si="168"/>
        <v>4.8202814414839112</v>
      </c>
      <c r="N390" s="163">
        <f t="shared" ca="1" si="170"/>
        <v>1.2902814414839114</v>
      </c>
      <c r="O390" s="1061" t="s">
        <v>1583</v>
      </c>
      <c r="P390" s="104"/>
      <c r="R390" s="119"/>
      <c r="S390" s="1072"/>
      <c r="T390" s="1072"/>
      <c r="U390" s="1072"/>
      <c r="V390" s="1072"/>
      <c r="W390" s="1072"/>
      <c r="X390" s="1072"/>
      <c r="Y390" s="1072"/>
      <c r="Z390" s="1072"/>
      <c r="AA390" s="1072"/>
      <c r="AB390" s="1072"/>
      <c r="AC390" s="1072"/>
      <c r="AD390" s="1072"/>
      <c r="AE390" s="1072"/>
      <c r="AF390" s="1072"/>
      <c r="AG390" s="1072"/>
      <c r="AH390" s="1072"/>
      <c r="AI390" s="1072"/>
      <c r="AJ390" s="1073"/>
      <c r="AK390" s="1052" cm="1">
        <f t="array" aca="1" ref="AK390" ca="1">INDEX(OFFSET($AK$19,MATCH($B390,$B$19:$B$150,0)-1,0,COUNTA($B$19:$B$24),COUNTA($AK$17:$BB$17)),MATCH($F390,$F$19:$F$24,0),MATCH(AK$17,$AK$17:$BB$17,0))*INDEX($10:$13,MATCH($O390,$R$10:$R$13,0),COLUMN())</f>
        <v>0.35859220800000002</v>
      </c>
      <c r="AL390" s="1050" cm="1">
        <f t="array" aca="1" ref="AL390" ca="1">INDEX(OFFSET($AK$19,MATCH($B390,$B$19:$B$150,0)-1,0,COUNTA($B$19:$B$24),COUNTA($AK$17:$BB$17)),MATCH($F390,$F$19:$F$24,0),MATCH(AL$17,$AK$17:$BB$17,0))*INDEX($10:$13,MATCH($O390,$R$10:$R$13,0),COLUMN())</f>
        <v>6.7182331040000001E-7</v>
      </c>
      <c r="AM390" s="1050" cm="1">
        <f t="array" aca="1" ref="AM390" ca="1">INDEX(OFFSET($AK$19,MATCH($B390,$B$19:$B$150,0)-1,0,COUNTA($B$19:$B$24),COUNTA($AK$17:$BB$17)),MATCH($F390,$F$19:$F$24,0),MATCH(AM$17,$AK$17:$BB$17,0))*INDEX($10:$13,MATCH($O390,$R$10:$R$13,0),COLUMN())</f>
        <v>1.2843616279000001E-3</v>
      </c>
      <c r="AN390" s="1050" cm="1">
        <f t="array" aca="1" ref="AN390" ca="1">INDEX(OFFSET($AK$19,MATCH($B390,$B$19:$B$150,0)-1,0,COUNTA($B$19:$B$24),COUNTA($AK$17:$BB$17)),MATCH($F390,$F$19:$F$24,0),MATCH(AN$17,$AK$17:$BB$17,0))*INDEX($10:$13,MATCH($O390,$R$10:$R$13,0),COLUMN())</f>
        <v>3.4592086250000002E-3</v>
      </c>
      <c r="AO390" s="1050" cm="1">
        <f t="array" aca="1" ref="AO390" ca="1">INDEX(OFFSET($AK$19,MATCH($B390,$B$19:$B$150,0)-1,0,COUNTA($B$19:$B$24),COUNTA($AK$17:$BB$17)),MATCH($F390,$F$19:$F$24,0),MATCH(AO$17,$AK$17:$BB$17,0))*INDEX($10:$13,MATCH($O390,$R$10:$R$13,0),COLUMN())</f>
        <v>0.27175837472000003</v>
      </c>
      <c r="AP390" s="1050" cm="1">
        <f t="array" aca="1" ref="AP390" ca="1">INDEX(OFFSET($AK$19,MATCH($B390,$B$19:$B$150,0)-1,0,COUNTA($B$19:$B$24),COUNTA($AK$17:$BB$17)),MATCH($F390,$F$19:$F$24,0),MATCH(AP$17,$AK$17:$BB$17,0))*INDEX($10:$13,MATCH($O390,$R$10:$R$13,0),COLUMN())</f>
        <v>0.23657724831999999</v>
      </c>
      <c r="AQ390" s="1050" cm="1">
        <f t="array" aca="1" ref="AQ390" ca="1">INDEX(OFFSET($AK$19,MATCH($B390,$B$19:$B$150,0)-1,0,COUNTA($B$19:$B$24),COUNTA($AK$17:$BB$17)),MATCH($F390,$F$19:$F$24,0),MATCH(AQ$17,$AK$17:$BB$17,0))*INDEX($10:$13,MATCH($O390,$R$10:$R$13,0),COLUMN())</f>
        <v>1.2166598892E-4</v>
      </c>
      <c r="AR390" s="1050" cm="1">
        <f t="array" aca="1" ref="AR390" ca="1">INDEX(OFFSET($AK$19,MATCH($B390,$B$19:$B$150,0)-1,0,COUNTA($B$19:$B$24),COUNTA($AK$17:$BB$17)),MATCH($F390,$F$19:$F$24,0),MATCH(AR$17,$AK$17:$BB$17,0))*INDEX($10:$13,MATCH($O390,$R$10:$R$13,0),COLUMN())</f>
        <v>3.4115428010000004E-2</v>
      </c>
      <c r="AS390" s="1050" cm="1">
        <f t="array" aca="1" ref="AS390" ca="1">INDEX(OFFSET($AK$19,MATCH($B390,$B$19:$B$150,0)-1,0,COUNTA($B$19:$B$24),COUNTA($AK$17:$BB$17)),MATCH($F390,$F$19:$F$24,0),MATCH(AS$17,$AK$17:$BB$17,0))*INDEX($10:$13,MATCH($O390,$R$10:$R$13,0),COLUMN())</f>
        <v>2.8713495393000001E-3</v>
      </c>
      <c r="AT390" s="1050" cm="1">
        <f t="array" aca="1" ref="AT390" ca="1">INDEX(OFFSET($AK$19,MATCH($B390,$B$19:$B$150,0)-1,0,COUNTA($B$19:$B$24),COUNTA($AK$17:$BB$17)),MATCH($F390,$F$19:$F$24,0),MATCH(AT$17,$AK$17:$BB$17,0))*INDEX($10:$13,MATCH($O390,$R$10:$R$13,0),COLUMN())</f>
        <v>1.3810408419E-5</v>
      </c>
      <c r="AU390" s="1050" cm="1">
        <f t="array" aca="1" ref="AU390" ca="1">INDEX(OFFSET($AK$19,MATCH($B390,$B$19:$B$150,0)-1,0,COUNTA($B$19:$B$24),COUNTA($AK$17:$BB$17)),MATCH($F390,$F$19:$F$24,0),MATCH(AU$17,$AK$17:$BB$17,0))*INDEX($10:$13,MATCH($O390,$R$10:$R$13,0),COLUMN())</f>
        <v>2.4298045831000001E-6</v>
      </c>
      <c r="AV390" s="1050" cm="1">
        <f t="array" aca="1" ref="AV390" ca="1">INDEX(OFFSET($AK$19,MATCH($B390,$B$19:$B$150,0)-1,0,COUNTA($B$19:$B$24),COUNTA($AK$17:$BB$17)),MATCH($F390,$F$19:$F$24,0),MATCH(AV$17,$AK$17:$BB$17,0))*INDEX($10:$13,MATCH($O390,$R$10:$R$13,0),COLUMN())</f>
        <v>1.666939298E-3</v>
      </c>
      <c r="AW390" s="1050" cm="1">
        <f t="array" aca="1" ref="AW390" ca="1">INDEX(OFFSET($AK$19,MATCH($B390,$B$19:$B$150,0)-1,0,COUNTA($B$19:$B$24),COUNTA($AK$17:$BB$17)),MATCH($F390,$F$19:$F$24,0),MATCH(AW$17,$AK$17:$BB$17,0))*INDEX($10:$13,MATCH($O390,$R$10:$R$13,0),COLUMN())</f>
        <v>0.37981605025000004</v>
      </c>
      <c r="AX390" s="1050" cm="1">
        <f t="array" aca="1" ref="AX390" ca="1">INDEX(OFFSET($AK$19,MATCH($B390,$B$19:$B$150,0)-1,0,COUNTA($B$19:$B$24),COUNTA($AK$17:$BB$17)),MATCH($F390,$F$19:$F$24,0),MATCH(AX$17,$AK$17:$BB$17,0))*INDEX($10:$13,MATCH($O390,$R$10:$R$13,0),COLUMN())</f>
        <v>1.695068479E-6</v>
      </c>
      <c r="AY390" s="1050" cm="1">
        <f t="array" aca="1" ref="AY390" ca="1">INDEX(OFFSET($AK$19,MATCH($B390,$B$19:$B$150,0)-1,0,COUNTA($B$19:$B$24),COUNTA($AK$17:$BB$17)),MATCH($F390,$F$19:$F$24,0),MATCH(AY$17,$AK$17:$BB$17,0))*INDEX($10:$13,MATCH($O390,$R$10:$R$13,0),COLUMN())</f>
        <v>0</v>
      </c>
      <c r="AZ390" s="1050" cm="1">
        <f t="array" aca="1" ref="AZ390" ca="1">INDEX(OFFSET($AK$19,MATCH($B390,$B$19:$B$150,0)-1,0,COUNTA($B$19:$B$24),COUNTA($AK$17:$BB$17)),MATCH($F390,$F$19:$F$24,0),MATCH(AZ$17,$AK$17:$BB$17,0))*INDEX($10:$13,MATCH($O390,$R$10:$R$13,0),COLUMN())</f>
        <v>0</v>
      </c>
      <c r="BA390" s="1050" cm="1">
        <f t="array" aca="1" ref="BA390" ca="1">INDEX(OFFSET($AK$19,MATCH($B390,$B$19:$B$150,0)-1,0,COUNTA($B$19:$B$24),COUNTA($AK$17:$BB$17)),MATCH($F390,$F$19:$F$24,0),MATCH(BA$17,$AK$17:$BB$17,0))*INDEX($10:$13,MATCH($O390,$R$10:$R$13,0),COLUMN())</f>
        <v>0</v>
      </c>
      <c r="BB390" s="1051" cm="1">
        <f t="array" aca="1" ref="BB390" ca="1">INDEX(OFFSET($AK$19,MATCH($B390,$B$19:$B$150,0)-1,0,COUNTA($B$19:$B$24),COUNTA($AK$17:$BB$17)),MATCH($F390,$F$19:$F$24,0),MATCH(BB$17,$AK$17:$BB$17,0))*INDEX($10:$13,MATCH($O390,$R$10:$R$13,0),COLUMN())</f>
        <v>0</v>
      </c>
      <c r="BC390" s="1053">
        <f t="shared" ca="1" si="171"/>
        <v>0.37981774531847906</v>
      </c>
      <c r="BE390" s="1"/>
      <c r="BF390" s="1"/>
      <c r="BG390" s="1"/>
      <c r="BH390" s="1"/>
      <c r="BI390" s="1"/>
      <c r="BJ390" s="1"/>
      <c r="BK390" s="1"/>
      <c r="BL390" s="1"/>
      <c r="BM390" s="1"/>
      <c r="BN390" s="1"/>
      <c r="BO390" s="1"/>
      <c r="BP390" s="1"/>
      <c r="BQ390" s="1"/>
      <c r="BR390" s="1"/>
      <c r="BS390" s="1"/>
      <c r="BT390" s="1"/>
      <c r="BU390" s="1"/>
      <c r="BV390" s="1"/>
      <c r="BW390" s="1"/>
      <c r="BX390" s="1"/>
      <c r="BY390" s="1"/>
      <c r="BZ390" s="1"/>
    </row>
    <row r="391" spans="2:78" ht="12" customHeight="1" outlineLevel="1" x14ac:dyDescent="0.25">
      <c r="B391" s="104" t="s">
        <v>113</v>
      </c>
      <c r="C391" s="104" t="s">
        <v>123</v>
      </c>
      <c r="D391" s="2" t="s">
        <v>151</v>
      </c>
      <c r="E391" s="2" t="s">
        <v>113</v>
      </c>
      <c r="F391" s="105" t="s">
        <v>95</v>
      </c>
      <c r="G391" s="27" t="s">
        <v>1581</v>
      </c>
      <c r="H391" s="106" t="s">
        <v>128</v>
      </c>
      <c r="I391" s="107" t="s">
        <v>127</v>
      </c>
      <c r="J391" s="147">
        <v>2.11</v>
      </c>
      <c r="K391" s="148">
        <v>3.53</v>
      </c>
      <c r="L391" s="149">
        <f t="shared" ca="1" si="167"/>
        <v>0.43653195347712204</v>
      </c>
      <c r="M391" s="148">
        <f t="shared" ca="1" si="168"/>
        <v>5.0709577957742402</v>
      </c>
      <c r="N391" s="163">
        <f t="shared" ca="1" si="170"/>
        <v>1.5409577957742406</v>
      </c>
      <c r="O391" s="1061" t="s">
        <v>1583</v>
      </c>
      <c r="P391" s="104"/>
      <c r="R391" s="119"/>
      <c r="S391" s="1072"/>
      <c r="T391" s="1072"/>
      <c r="U391" s="1072"/>
      <c r="V391" s="1072"/>
      <c r="W391" s="1072"/>
      <c r="X391" s="1072"/>
      <c r="Y391" s="1072"/>
      <c r="Z391" s="1072"/>
      <c r="AA391" s="1072"/>
      <c r="AB391" s="1072"/>
      <c r="AC391" s="1072"/>
      <c r="AD391" s="1072"/>
      <c r="AE391" s="1072"/>
      <c r="AF391" s="1072"/>
      <c r="AG391" s="1072"/>
      <c r="AH391" s="1072"/>
      <c r="AI391" s="1072"/>
      <c r="AJ391" s="1073"/>
      <c r="AK391" s="1052" cm="1">
        <f t="array" aca="1" ref="AK391" ca="1">INDEX(OFFSET($AK$19,MATCH($B391,$B$19:$B$150,0)-1,0,COUNTA($B$19:$B$24),COUNTA($AK$17:$BB$17)),MATCH($F391,$F$19:$F$24,0),MATCH(AK$17,$AK$17:$BB$17,0))*INDEX($10:$13,MATCH($O391,$R$10:$R$13,0),COLUMN())</f>
        <v>0.39662633400000002</v>
      </c>
      <c r="AL391" s="1050" cm="1">
        <f t="array" aca="1" ref="AL391" ca="1">INDEX(OFFSET($AK$19,MATCH($B391,$B$19:$B$150,0)-1,0,COUNTA($B$19:$B$24),COUNTA($AK$17:$BB$17)),MATCH($F391,$F$19:$F$24,0),MATCH(AL$17,$AK$17:$BB$17,0))*INDEX($10:$13,MATCH($O391,$R$10:$R$13,0),COLUMN())</f>
        <v>6.9530922559999996E-7</v>
      </c>
      <c r="AM391" s="1050" cm="1">
        <f t="array" aca="1" ref="AM391" ca="1">INDEX(OFFSET($AK$19,MATCH($B391,$B$19:$B$150,0)-1,0,COUNTA($B$19:$B$24),COUNTA($AK$17:$BB$17)),MATCH($F391,$F$19:$F$24,0),MATCH(AM$17,$AK$17:$BB$17,0))*INDEX($10:$13,MATCH($O391,$R$10:$R$13,0),COLUMN())</f>
        <v>1.3282054478E-3</v>
      </c>
      <c r="AN391" s="1050" cm="1">
        <f t="array" aca="1" ref="AN391" ca="1">INDEX(OFFSET($AK$19,MATCH($B391,$B$19:$B$150,0)-1,0,COUNTA($B$19:$B$24),COUNTA($AK$17:$BB$17)),MATCH($F391,$F$19:$F$24,0),MATCH(AN$17,$AK$17:$BB$17,0))*INDEX($10:$13,MATCH($O391,$R$10:$R$13,0),COLUMN())</f>
        <v>4.0149947699999996E-3</v>
      </c>
      <c r="AO391" s="1050" cm="1">
        <f t="array" aca="1" ref="AO391" ca="1">INDEX(OFFSET($AK$19,MATCH($B391,$B$19:$B$150,0)-1,0,COUNTA($B$19:$B$24),COUNTA($AK$17:$BB$17)),MATCH($F391,$F$19:$F$24,0),MATCH(AO$17,$AK$17:$BB$17,0))*INDEX($10:$13,MATCH($O391,$R$10:$R$13,0),COLUMN())</f>
        <v>0.32689849416</v>
      </c>
      <c r="AP391" s="1050" cm="1">
        <f t="array" aca="1" ref="AP391" ca="1">INDEX(OFFSET($AK$19,MATCH($B391,$B$19:$B$150,0)-1,0,COUNTA($B$19:$B$24),COUNTA($AK$17:$BB$17)),MATCH($F391,$F$19:$F$24,0),MATCH(AP$17,$AK$17:$BB$17,0))*INDEX($10:$13,MATCH($O391,$R$10:$R$13,0),COLUMN())</f>
        <v>0.28660310636999997</v>
      </c>
      <c r="AQ391" s="1050" cm="1">
        <f t="array" aca="1" ref="AQ391" ca="1">INDEX(OFFSET($AK$19,MATCH($B391,$B$19:$B$150,0)-1,0,COUNTA($B$19:$B$24),COUNTA($AK$17:$BB$17)),MATCH($F391,$F$19:$F$24,0),MATCH(AQ$17,$AK$17:$BB$17,0))*INDEX($10:$13,MATCH($O391,$R$10:$R$13,0),COLUMN())</f>
        <v>5.1055037700000003E-4</v>
      </c>
      <c r="AR391" s="1050" cm="1">
        <f t="array" aca="1" ref="AR391" ca="1">INDEX(OFFSET($AK$19,MATCH($B391,$B$19:$B$150,0)-1,0,COUNTA($B$19:$B$24),COUNTA($AK$17:$BB$17)),MATCH($F391,$F$19:$F$24,0),MATCH(AR$17,$AK$17:$BB$17,0))*INDEX($10:$13,MATCH($O391,$R$10:$R$13,0),COLUMN())</f>
        <v>5.1691387749999998E-2</v>
      </c>
      <c r="AS391" s="1050" cm="1">
        <f t="array" aca="1" ref="AS391" ca="1">INDEX(OFFSET($AK$19,MATCH($B391,$B$19:$B$150,0)-1,0,COUNTA($B$19:$B$24),COUNTA($AK$17:$BB$17)),MATCH($F391,$F$19:$F$24,0),MATCH(AS$17,$AK$17:$BB$17,0))*INDEX($10:$13,MATCH($O391,$R$10:$R$13,0),COLUMN())</f>
        <v>8.5061887723999995E-3</v>
      </c>
      <c r="AT391" s="1050" cm="1">
        <f t="array" aca="1" ref="AT391" ca="1">INDEX(OFFSET($AK$19,MATCH($B391,$B$19:$B$150,0)-1,0,COUNTA($B$19:$B$24),COUNTA($AK$17:$BB$17)),MATCH($F391,$F$19:$F$24,0),MATCH(AT$17,$AK$17:$BB$17,0))*INDEX($10:$13,MATCH($O391,$R$10:$R$13,0),COLUMN())</f>
        <v>1.9734277268E-5</v>
      </c>
      <c r="AU391" s="1050" cm="1">
        <f t="array" aca="1" ref="AU391" ca="1">INDEX(OFFSET($AK$19,MATCH($B391,$B$19:$B$150,0)-1,0,COUNTA($B$19:$B$24),COUNTA($AK$17:$BB$17)),MATCH($F391,$F$19:$F$24,0),MATCH(AU$17,$AK$17:$BB$17,0))*INDEX($10:$13,MATCH($O391,$R$10:$R$13,0),COLUMN())</f>
        <v>3.4350674654999997E-6</v>
      </c>
      <c r="AV391" s="1050" cm="1">
        <f t="array" aca="1" ref="AV391" ca="1">INDEX(OFFSET($AK$19,MATCH($B391,$B$19:$B$150,0)-1,0,COUNTA($B$19:$B$24),COUNTA($AK$17:$BB$17)),MATCH($F391,$F$19:$F$24,0),MATCH(AV$17,$AK$17:$BB$17,0))*INDEX($10:$13,MATCH($O391,$R$10:$R$13,0),COLUMN())</f>
        <v>1.0493514674000001E-2</v>
      </c>
      <c r="AW391" s="1050" cm="1">
        <f t="array" aca="1" ref="AW391" ca="1">INDEX(OFFSET($AK$19,MATCH($B391,$B$19:$B$150,0)-1,0,COUNTA($B$19:$B$24),COUNTA($AK$17:$BB$17)),MATCH($F391,$F$19:$F$24,0),MATCH(AW$17,$AK$17:$BB$17,0))*INDEX($10:$13,MATCH($O391,$R$10:$R$13,0),COLUMN())</f>
        <v>0.4542594264</v>
      </c>
      <c r="AX391" s="1050" cm="1">
        <f t="array" aca="1" ref="AX391" ca="1">INDEX(OFFSET($AK$19,MATCH($B391,$B$19:$B$150,0)-1,0,COUNTA($B$19:$B$24),COUNTA($AK$17:$BB$17)),MATCH($F391,$F$19:$F$24,0),MATCH(AX$17,$AK$17:$BB$17,0))*INDEX($10:$13,MATCH($O391,$R$10:$R$13,0),COLUMN())</f>
        <v>1.7283990814999999E-6</v>
      </c>
      <c r="AY391" s="1050" cm="1">
        <f t="array" aca="1" ref="AY391" ca="1">INDEX(OFFSET($AK$19,MATCH($B391,$B$19:$B$150,0)-1,0,COUNTA($B$19:$B$24),COUNTA($AK$17:$BB$17)),MATCH($F391,$F$19:$F$24,0),MATCH(AY$17,$AK$17:$BB$17,0))*INDEX($10:$13,MATCH($O391,$R$10:$R$13,0),COLUMN())</f>
        <v>0</v>
      </c>
      <c r="AZ391" s="1050" cm="1">
        <f t="array" aca="1" ref="AZ391" ca="1">INDEX(OFFSET($AK$19,MATCH($B391,$B$19:$B$150,0)-1,0,COUNTA($B$19:$B$24),COUNTA($AK$17:$BB$17)),MATCH($F391,$F$19:$F$24,0),MATCH(AZ$17,$AK$17:$BB$17,0))*INDEX($10:$13,MATCH($O391,$R$10:$R$13,0),COLUMN())</f>
        <v>0</v>
      </c>
      <c r="BA391" s="1050" cm="1">
        <f t="array" aca="1" ref="BA391" ca="1">INDEX(OFFSET($AK$19,MATCH($B391,$B$19:$B$150,0)-1,0,COUNTA($B$19:$B$24),COUNTA($AK$17:$BB$17)),MATCH($F391,$F$19:$F$24,0),MATCH(BA$17,$AK$17:$BB$17,0))*INDEX($10:$13,MATCH($O391,$R$10:$R$13,0),COLUMN())</f>
        <v>0</v>
      </c>
      <c r="BB391" s="1051" cm="1">
        <f t="array" aca="1" ref="BB391" ca="1">INDEX(OFFSET($AK$19,MATCH($B391,$B$19:$B$150,0)-1,0,COUNTA($B$19:$B$24),COUNTA($AK$17:$BB$17)),MATCH($F391,$F$19:$F$24,0),MATCH(BB$17,$AK$17:$BB$17,0))*INDEX($10:$13,MATCH($O391,$R$10:$R$13,0),COLUMN())</f>
        <v>0</v>
      </c>
      <c r="BC391" s="1053">
        <f t="shared" ca="1" si="171"/>
        <v>0.45426115479908152</v>
      </c>
      <c r="BE391" s="1"/>
      <c r="BF391" s="1"/>
      <c r="BG391" s="1"/>
      <c r="BH391" s="1"/>
      <c r="BI391" s="1"/>
      <c r="BJ391" s="1"/>
      <c r="BK391" s="1"/>
      <c r="BL391" s="1"/>
      <c r="BM391" s="1"/>
      <c r="BN391" s="1"/>
      <c r="BO391" s="1"/>
      <c r="BP391" s="1"/>
      <c r="BQ391" s="1"/>
      <c r="BR391" s="1"/>
      <c r="BS391" s="1"/>
      <c r="BT391" s="1"/>
      <c r="BU391" s="1"/>
      <c r="BV391" s="1"/>
      <c r="BW391" s="1"/>
      <c r="BX391" s="1"/>
      <c r="BY391" s="1"/>
      <c r="BZ391" s="1"/>
    </row>
    <row r="392" spans="2:78" ht="12" customHeight="1" outlineLevel="1" x14ac:dyDescent="0.25">
      <c r="B392" s="104" t="s">
        <v>113</v>
      </c>
      <c r="C392" s="104" t="s">
        <v>123</v>
      </c>
      <c r="D392" s="2" t="s">
        <v>151</v>
      </c>
      <c r="E392" s="2" t="s">
        <v>113</v>
      </c>
      <c r="F392" s="105" t="s">
        <v>96</v>
      </c>
      <c r="G392" s="27" t="s">
        <v>1582</v>
      </c>
      <c r="H392" s="106" t="s">
        <v>128</v>
      </c>
      <c r="I392" s="107" t="s">
        <v>1577</v>
      </c>
      <c r="J392" s="147">
        <v>2.11</v>
      </c>
      <c r="K392" s="148">
        <v>3.53</v>
      </c>
      <c r="L392" s="149">
        <f t="shared" ca="1" si="167"/>
        <v>0.46470438197058594</v>
      </c>
      <c r="M392" s="148">
        <f t="shared" ca="1" si="168"/>
        <v>5.1704064683561679</v>
      </c>
      <c r="N392" s="163">
        <f t="shared" ca="1" si="170"/>
        <v>1.6404064683561683</v>
      </c>
      <c r="O392" s="1061" t="s">
        <v>1583</v>
      </c>
      <c r="P392" s="104"/>
      <c r="R392" s="119"/>
      <c r="S392" s="1072"/>
      <c r="T392" s="1072"/>
      <c r="U392" s="1072"/>
      <c r="V392" s="1072"/>
      <c r="W392" s="1072"/>
      <c r="X392" s="1072"/>
      <c r="Y392" s="1072"/>
      <c r="Z392" s="1072"/>
      <c r="AA392" s="1072"/>
      <c r="AB392" s="1072"/>
      <c r="AC392" s="1072"/>
      <c r="AD392" s="1072"/>
      <c r="AE392" s="1072"/>
      <c r="AF392" s="1072"/>
      <c r="AG392" s="1072"/>
      <c r="AH392" s="1072"/>
      <c r="AI392" s="1072"/>
      <c r="AJ392" s="1073"/>
      <c r="AK392" s="1052" cm="1">
        <f t="array" aca="1" ref="AK392" ca="1">INDEX(OFFSET($AK$19,MATCH($B392,$B$19:$B$150,0)-1,0,COUNTA($B$19:$B$24),COUNTA($AK$17:$BB$17)),MATCH($F392,$F$19:$F$24,0),MATCH(AK$17,$AK$17:$BB$17,0))*INDEX($10:$13,MATCH($O392,$R$10:$R$13,0),COLUMN())</f>
        <v>0.40831430250000006</v>
      </c>
      <c r="AL392" s="1050" cm="1">
        <f t="array" aca="1" ref="AL392" ca="1">INDEX(OFFSET($AK$19,MATCH($B392,$B$19:$B$150,0)-1,0,COUNTA($B$19:$B$24),COUNTA($AK$17:$BB$17)),MATCH($F392,$F$19:$F$24,0),MATCH(AL$17,$AK$17:$BB$17,0))*INDEX($10:$13,MATCH($O392,$R$10:$R$13,0),COLUMN())</f>
        <v>6.9586247519999995E-7</v>
      </c>
      <c r="AM392" s="1050" cm="1">
        <f t="array" aca="1" ref="AM392" ca="1">INDEX(OFFSET($AK$19,MATCH($B392,$B$19:$B$150,0)-1,0,COUNTA($B$19:$B$24),COUNTA($AK$17:$BB$17)),MATCH($F392,$F$19:$F$24,0),MATCH(AM$17,$AK$17:$BB$17,0))*INDEX($10:$13,MATCH($O392,$R$10:$R$13,0),COLUMN())</f>
        <v>1.3292264706000001E-3</v>
      </c>
      <c r="AN392" s="1050" cm="1">
        <f t="array" aca="1" ref="AN392" ca="1">INDEX(OFFSET($AK$19,MATCH($B392,$B$19:$B$150,0)-1,0,COUNTA($B$19:$B$24),COUNTA($AK$17:$BB$17)),MATCH($F392,$F$19:$F$24,0),MATCH(AN$17,$AK$17:$BB$17,0))*INDEX($10:$13,MATCH($O392,$R$10:$R$13,0),COLUMN())</f>
        <v>4.1228939799999994E-3</v>
      </c>
      <c r="AO392" s="1050" cm="1">
        <f t="array" aca="1" ref="AO392" ca="1">INDEX(OFFSET($AK$19,MATCH($B392,$B$19:$B$150,0)-1,0,COUNTA($B$19:$B$24),COUNTA($AK$17:$BB$17)),MATCH($F392,$F$19:$F$24,0),MATCH(AO$17,$AK$17:$BB$17,0))*INDEX($10:$13,MATCH($O392,$R$10:$R$13,0),COLUMN())</f>
        <v>0.36159045103999998</v>
      </c>
      <c r="AP392" s="1050" cm="1">
        <f t="array" aca="1" ref="AP392" ca="1">INDEX(OFFSET($AK$19,MATCH($B392,$B$19:$B$150,0)-1,0,COUNTA($B$19:$B$24),COUNTA($AK$17:$BB$17)),MATCH($F392,$F$19:$F$24,0),MATCH(AP$17,$AK$17:$BB$17,0))*INDEX($10:$13,MATCH($O392,$R$10:$R$13,0),COLUMN())</f>
        <v>0.31969619430000001</v>
      </c>
      <c r="AQ392" s="1050" cm="1">
        <f t="array" aca="1" ref="AQ392" ca="1">INDEX(OFFSET($AK$19,MATCH($B392,$B$19:$B$150,0)-1,0,COUNTA($B$19:$B$24),COUNTA($AK$17:$BB$17)),MATCH($F392,$F$19:$F$24,0),MATCH(AQ$17,$AK$17:$BB$17,0))*INDEX($10:$13,MATCH($O392,$R$10:$R$13,0),COLUMN())</f>
        <v>7.7311006020000007E-4</v>
      </c>
      <c r="AR392" s="1050" cm="1">
        <f t="array" aca="1" ref="AR392" ca="1">INDEX(OFFSET($AK$19,MATCH($B392,$B$19:$B$150,0)-1,0,COUNTA($B$19:$B$24),COUNTA($AK$17:$BB$17)),MATCH($F392,$F$19:$F$24,0),MATCH(AR$17,$AK$17:$BB$17,0))*INDEX($10:$13,MATCH($O392,$R$10:$R$13,0),COLUMN())</f>
        <v>6.0510943449999993E-2</v>
      </c>
      <c r="AS392" s="1050" cm="1">
        <f t="array" aca="1" ref="AS392" ca="1">INDEX(OFFSET($AK$19,MATCH($B392,$B$19:$B$150,0)-1,0,COUNTA($B$19:$B$24),COUNTA($AK$17:$BB$17)),MATCH($F392,$F$19:$F$24,0),MATCH(AS$17,$AK$17:$BB$17,0))*INDEX($10:$13,MATCH($O392,$R$10:$R$13,0),COLUMN())</f>
        <v>1.2402208103999999E-2</v>
      </c>
      <c r="AT392" s="1050" cm="1">
        <f t="array" aca="1" ref="AT392" ca="1">INDEX(OFFSET($AK$19,MATCH($B392,$B$19:$B$150,0)-1,0,COUNTA($B$19:$B$24),COUNTA($AK$17:$BB$17)),MATCH($F392,$F$19:$F$24,0),MATCH(AT$17,$AK$17:$BB$17,0))*INDEX($10:$13,MATCH($O392,$R$10:$R$13,0),COLUMN())</f>
        <v>2.1494177899E-5</v>
      </c>
      <c r="AU392" s="1050" cm="1">
        <f t="array" aca="1" ref="AU392" ca="1">INDEX(OFFSET($AK$19,MATCH($B392,$B$19:$B$150,0)-1,0,COUNTA($B$19:$B$24),COUNTA($AK$17:$BB$17)),MATCH($F392,$F$19:$F$24,0),MATCH(AU$17,$AK$17:$BB$17,0))*INDEX($10:$13,MATCH($O392,$R$10:$R$13,0),COLUMN())</f>
        <v>3.6871439127000002E-6</v>
      </c>
      <c r="AV392" s="1050" cm="1">
        <f t="array" aca="1" ref="AV392" ca="1">INDEX(OFFSET($AK$19,MATCH($B392,$B$19:$B$150,0)-1,0,COUNTA($B$19:$B$24),COUNTA($AK$17:$BB$17)),MATCH($F392,$F$19:$F$24,0),MATCH(AV$17,$AK$17:$BB$17,0))*INDEX($10:$13,MATCH($O392,$R$10:$R$13,0),COLUMN())</f>
        <v>1.7380106467999999E-2</v>
      </c>
      <c r="AW392" s="1050" cm="1">
        <f t="array" aca="1" ref="AW392" ca="1">INDEX(OFFSET($AK$19,MATCH($B392,$B$19:$B$150,0)-1,0,COUNTA($B$19:$B$24),COUNTA($AK$17:$BB$17)),MATCH($F392,$F$19:$F$24,0),MATCH(AW$17,$AK$17:$BB$17,0))*INDEX($10:$13,MATCH($O392,$R$10:$R$13,0),COLUMN())</f>
        <v>0.4542594264</v>
      </c>
      <c r="AX392" s="1050" cm="1">
        <f t="array" aca="1" ref="AX392" ca="1">INDEX(OFFSET($AK$19,MATCH($B392,$B$19:$B$150,0)-1,0,COUNTA($B$19:$B$24),COUNTA($AK$17:$BB$17)),MATCH($F392,$F$19:$F$24,0),MATCH(AX$17,$AK$17:$BB$17,0))*INDEX($10:$13,MATCH($O392,$R$10:$R$13,0),COLUMN())</f>
        <v>1.7283990814999999E-6</v>
      </c>
      <c r="AY392" s="1050" cm="1">
        <f t="array" aca="1" ref="AY392" ca="1">INDEX(OFFSET($AK$19,MATCH($B392,$B$19:$B$150,0)-1,0,COUNTA($B$19:$B$24),COUNTA($AK$17:$BB$17)),MATCH($F392,$F$19:$F$24,0),MATCH(AY$17,$AK$17:$BB$17,0))*INDEX($10:$13,MATCH($O392,$R$10:$R$13,0),COLUMN())</f>
        <v>0</v>
      </c>
      <c r="AZ392" s="1050" cm="1">
        <f t="array" aca="1" ref="AZ392" ca="1">INDEX(OFFSET($AK$19,MATCH($B392,$B$19:$B$150,0)-1,0,COUNTA($B$19:$B$24),COUNTA($AK$17:$BB$17)),MATCH($F392,$F$19:$F$24,0),MATCH(AZ$17,$AK$17:$BB$17,0))*INDEX($10:$13,MATCH($O392,$R$10:$R$13,0),COLUMN())</f>
        <v>0</v>
      </c>
      <c r="BA392" s="1050" cm="1">
        <f t="array" aca="1" ref="BA392" ca="1">INDEX(OFFSET($AK$19,MATCH($B392,$B$19:$B$150,0)-1,0,COUNTA($B$19:$B$24),COUNTA($AK$17:$BB$17)),MATCH($F392,$F$19:$F$24,0),MATCH(BA$17,$AK$17:$BB$17,0))*INDEX($10:$13,MATCH($O392,$R$10:$R$13,0),COLUMN())</f>
        <v>0</v>
      </c>
      <c r="BB392" s="1051" cm="1">
        <f t="array" aca="1" ref="BB392" ca="1">INDEX(OFFSET($AK$19,MATCH($B392,$B$19:$B$150,0)-1,0,COUNTA($B$19:$B$24),COUNTA($AK$17:$BB$17)),MATCH($F392,$F$19:$F$24,0),MATCH(BB$17,$AK$17:$BB$17,0))*INDEX($10:$13,MATCH($O392,$R$10:$R$13,0),COLUMN())</f>
        <v>0</v>
      </c>
      <c r="BC392" s="1053">
        <f t="shared" ca="1" si="171"/>
        <v>0.45426115479908152</v>
      </c>
      <c r="BE392" s="1"/>
      <c r="BF392" s="1"/>
      <c r="BG392" s="1"/>
      <c r="BH392" s="1"/>
      <c r="BI392" s="1"/>
      <c r="BJ392" s="1"/>
      <c r="BK392" s="1"/>
      <c r="BL392" s="1"/>
      <c r="BM392" s="1"/>
      <c r="BN392" s="1"/>
      <c r="BO392" s="1"/>
      <c r="BP392" s="1"/>
      <c r="BQ392" s="1"/>
      <c r="BR392" s="1"/>
      <c r="BS392" s="1"/>
      <c r="BT392" s="1"/>
      <c r="BU392" s="1"/>
      <c r="BV392" s="1"/>
      <c r="BW392" s="1"/>
      <c r="BX392" s="1"/>
      <c r="BY392" s="1"/>
      <c r="BZ392" s="1"/>
    </row>
    <row r="393" spans="2:78" ht="12" customHeight="1" outlineLevel="1" x14ac:dyDescent="0.25">
      <c r="B393" s="88" t="s">
        <v>114</v>
      </c>
      <c r="C393" s="88" t="s">
        <v>123</v>
      </c>
      <c r="D393" s="89" t="s">
        <v>152</v>
      </c>
      <c r="E393" s="89" t="s">
        <v>153</v>
      </c>
      <c r="F393" s="90" t="s">
        <v>92</v>
      </c>
      <c r="G393" s="18" t="s">
        <v>126</v>
      </c>
      <c r="H393" s="91" t="s">
        <v>127</v>
      </c>
      <c r="I393" s="92" t="s">
        <v>127</v>
      </c>
      <c r="J393" s="142">
        <v>1.91</v>
      </c>
      <c r="K393" s="143">
        <v>0.84</v>
      </c>
      <c r="L393" s="151">
        <f t="shared" ca="1" si="167"/>
        <v>2.1560319061342206</v>
      </c>
      <c r="M393" s="143">
        <f t="shared" ca="1" si="168"/>
        <v>2.6510668011527452</v>
      </c>
      <c r="N393" s="162">
        <f t="shared" ca="1" si="170"/>
        <v>1.8110668011527451</v>
      </c>
      <c r="O393" s="1060" t="s">
        <v>1583</v>
      </c>
      <c r="P393" s="88"/>
      <c r="Q393" s="89"/>
      <c r="R393" s="150"/>
      <c r="S393" s="1070"/>
      <c r="T393" s="1070"/>
      <c r="U393" s="1070"/>
      <c r="V393" s="1070"/>
      <c r="W393" s="1070"/>
      <c r="X393" s="1070"/>
      <c r="Y393" s="1070"/>
      <c r="Z393" s="1070"/>
      <c r="AA393" s="1070"/>
      <c r="AB393" s="1070"/>
      <c r="AC393" s="1070"/>
      <c r="AD393" s="1070"/>
      <c r="AE393" s="1070"/>
      <c r="AF393" s="1070"/>
      <c r="AG393" s="1070"/>
      <c r="AH393" s="1070"/>
      <c r="AI393" s="1070"/>
      <c r="AJ393" s="1071"/>
      <c r="AK393" s="1048" cm="1">
        <f t="array" aca="1" ref="AK393" ca="1">INDEX(OFFSET($AK$19,MATCH($B393,$B$19:$B$150,0)-1,0,COUNTA($B$19:$B$24),COUNTA($AK$17:$BB$17)),MATCH($F393,$F$19:$F$24,0),MATCH(AK$17,$AK$17:$BB$17,0))*INDEX($10:$13,MATCH($O393,$R$10:$R$13,0),COLUMN())</f>
        <v>0.703396668</v>
      </c>
      <c r="AL393" s="1046" cm="1">
        <f t="array" aca="1" ref="AL393" ca="1">INDEX(OFFSET($AK$19,MATCH($B393,$B$19:$B$150,0)-1,0,COUNTA($B$19:$B$24),COUNTA($AK$17:$BB$17)),MATCH($F393,$F$19:$F$24,0),MATCH(AL$17,$AK$17:$BB$17,0))*INDEX($10:$13,MATCH($O393,$R$10:$R$13,0),COLUMN())</f>
        <v>5.8629686240000003E-7</v>
      </c>
      <c r="AM393" s="1046" cm="1">
        <f t="array" aca="1" ref="AM393" ca="1">INDEX(OFFSET($AK$19,MATCH($B393,$B$19:$B$150,0)-1,0,COUNTA($B$19:$B$24),COUNTA($AK$17:$BB$17)),MATCH($F393,$F$19:$F$24,0),MATCH(AM$17,$AK$17:$BB$17,0))*INDEX($10:$13,MATCH($O393,$R$10:$R$13,0),COLUMN())</f>
        <v>1.1352204292000001E-3</v>
      </c>
      <c r="AN393" s="1046" cm="1">
        <f t="array" aca="1" ref="AN393" ca="1">INDEX(OFFSET($AK$19,MATCH($B393,$B$19:$B$150,0)-1,0,COUNTA($B$19:$B$24),COUNTA($AK$17:$BB$17)),MATCH($F393,$F$19:$F$24,0),MATCH(AN$17,$AK$17:$BB$17,0))*INDEX($10:$13,MATCH($O393,$R$10:$R$13,0),COLUMN())</f>
        <v>4.7370795399999995E-3</v>
      </c>
      <c r="AO393" s="1046" cm="1">
        <f t="array" aca="1" ref="AO393" ca="1">INDEX(OFFSET($AK$19,MATCH($B393,$B$19:$B$150,0)-1,0,COUNTA($B$19:$B$24),COUNTA($AK$17:$BB$17)),MATCH($F393,$F$19:$F$24,0),MATCH(AO$17,$AK$17:$BB$17,0))*INDEX($10:$13,MATCH($O393,$R$10:$R$13,0),COLUMN())</f>
        <v>0.33311405399999999</v>
      </c>
      <c r="AP393" s="1046" cm="1">
        <f t="array" aca="1" ref="AP393" ca="1">INDEX(OFFSET($AK$19,MATCH($B393,$B$19:$B$150,0)-1,0,COUNTA($B$19:$B$24),COUNTA($AK$17:$BB$17)),MATCH($F393,$F$19:$F$24,0),MATCH(AP$17,$AK$17:$BB$17,0))*INDEX($10:$13,MATCH($O393,$R$10:$R$13,0),COLUMN())</f>
        <v>0.24571985654999998</v>
      </c>
      <c r="AQ393" s="1046" cm="1">
        <f t="array" aca="1" ref="AQ393" ca="1">INDEX(OFFSET($AK$19,MATCH($B393,$B$19:$B$150,0)-1,0,COUNTA($B$19:$B$24),COUNTA($AK$17:$BB$17)),MATCH($F393,$F$19:$F$24,0),MATCH(AQ$17,$AK$17:$BB$17,0))*INDEX($10:$13,MATCH($O393,$R$10:$R$13,0),COLUMN())</f>
        <v>8.1251596439999994E-4</v>
      </c>
      <c r="AR393" s="1046" cm="1">
        <f t="array" aca="1" ref="AR393" ca="1">INDEX(OFFSET($AK$19,MATCH($B393,$B$19:$B$150,0)-1,0,COUNTA($B$19:$B$24),COUNTA($AK$17:$BB$17)),MATCH($F393,$F$19:$F$24,0),MATCH(AR$17,$AK$17:$BB$17,0))*INDEX($10:$13,MATCH($O393,$R$10:$R$13,0),COLUMN())</f>
        <v>4.1943820489999999E-2</v>
      </c>
      <c r="AS393" s="1046" cm="1">
        <f t="array" aca="1" ref="AS393" ca="1">INDEX(OFFSET($AK$19,MATCH($B393,$B$19:$B$150,0)-1,0,COUNTA($B$19:$B$24),COUNTA($AK$17:$BB$17)),MATCH($F393,$F$19:$F$24,0),MATCH(AS$17,$AK$17:$BB$17,0))*INDEX($10:$13,MATCH($O393,$R$10:$R$13,0),COLUMN())</f>
        <v>0.23525702695</v>
      </c>
      <c r="AT393" s="1046" cm="1">
        <f t="array" aca="1" ref="AT393" ca="1">INDEX(OFFSET($AK$19,MATCH($B393,$B$19:$B$150,0)-1,0,COUNTA($B$19:$B$24),COUNTA($AK$17:$BB$17)),MATCH($F393,$F$19:$F$24,0),MATCH(AT$17,$AK$17:$BB$17,0))*INDEX($10:$13,MATCH($O393,$R$10:$R$13,0),COLUMN())</f>
        <v>2.7921673515999998E-4</v>
      </c>
      <c r="AU393" s="1046" cm="1">
        <f t="array" aca="1" ref="AU393" ca="1">INDEX(OFFSET($AK$19,MATCH($B393,$B$19:$B$150,0)-1,0,COUNTA($B$19:$B$24),COUNTA($AK$17:$BB$17)),MATCH($F393,$F$19:$F$24,0),MATCH(AU$17,$AK$17:$BB$17,0))*INDEX($10:$13,MATCH($O393,$R$10:$R$13,0),COLUMN())</f>
        <v>1.5149670708999999E-5</v>
      </c>
      <c r="AV393" s="1046" cm="1">
        <f t="array" aca="1" ref="AV393" ca="1">INDEX(OFFSET($AK$19,MATCH($B393,$B$19:$B$150,0)-1,0,COUNTA($B$19:$B$24),COUNTA($AK$17:$BB$17)),MATCH($F393,$F$19:$F$24,0),MATCH(AV$17,$AK$17:$BB$17,0))*INDEX($10:$13,MATCH($O393,$R$10:$R$13,0),COLUMN())</f>
        <v>9.5986644669999992E-3</v>
      </c>
      <c r="AW393" s="1046" cm="1">
        <f t="array" aca="1" ref="AW393" ca="1">INDEX(OFFSET($AK$19,MATCH($B393,$B$19:$B$150,0)-1,0,COUNTA($B$19:$B$24),COUNTA($AK$17:$BB$17)),MATCH($F393,$F$19:$F$24,0),MATCH(AW$17,$AK$17:$BB$17,0))*INDEX($10:$13,MATCH($O393,$R$10:$R$13,0),COLUMN())</f>
        <v>0.23505538225000003</v>
      </c>
      <c r="AX393" s="1046" cm="1">
        <f t="array" aca="1" ref="AX393" ca="1">INDEX(OFFSET($AK$19,MATCH($B393,$B$19:$B$150,0)-1,0,COUNTA($B$19:$B$24),COUNTA($AK$17:$BB$17)),MATCH($F393,$F$19:$F$24,0),MATCH(AX$17,$AK$17:$BB$17,0))*INDEX($10:$13,MATCH($O393,$R$10:$R$13,0),COLUMN())</f>
        <v>1.5598094135000002E-6</v>
      </c>
      <c r="AY393" s="1046" cm="1">
        <f t="array" aca="1" ref="AY393" ca="1">INDEX(OFFSET($AK$19,MATCH($B393,$B$19:$B$150,0)-1,0,COUNTA($B$19:$B$24),COUNTA($AK$17:$BB$17)),MATCH($F393,$F$19:$F$24,0),MATCH(AY$17,$AK$17:$BB$17,0))*INDEX($10:$13,MATCH($O393,$R$10:$R$13,0),COLUMN())</f>
        <v>0</v>
      </c>
      <c r="AZ393" s="1046" cm="1">
        <f t="array" aca="1" ref="AZ393" ca="1">INDEX(OFFSET($AK$19,MATCH($B393,$B$19:$B$150,0)-1,0,COUNTA($B$19:$B$24),COUNTA($AK$17:$BB$17)),MATCH($F393,$F$19:$F$24,0),MATCH(AZ$17,$AK$17:$BB$17,0))*INDEX($10:$13,MATCH($O393,$R$10:$R$13,0),COLUMN())</f>
        <v>0</v>
      </c>
      <c r="BA393" s="1046" cm="1">
        <f t="array" aca="1" ref="BA393" ca="1">INDEX(OFFSET($AK$19,MATCH($B393,$B$19:$B$150,0)-1,0,COUNTA($B$19:$B$24),COUNTA($AK$17:$BB$17)),MATCH($F393,$F$19:$F$24,0),MATCH(BA$17,$AK$17:$BB$17,0))*INDEX($10:$13,MATCH($O393,$R$10:$R$13,0),COLUMN())</f>
        <v>0</v>
      </c>
      <c r="BB393" s="1047" cm="1">
        <f t="array" aca="1" ref="BB393" ca="1">INDEX(OFFSET($AK$19,MATCH($B393,$B$19:$B$150,0)-1,0,COUNTA($B$19:$B$24),COUNTA($AK$17:$BB$17)),MATCH($F393,$F$19:$F$24,0),MATCH(BB$17,$AK$17:$BB$17,0))*INDEX($10:$13,MATCH($O393,$R$10:$R$13,0),COLUMN())</f>
        <v>0</v>
      </c>
      <c r="BC393" s="1049">
        <f t="shared" ca="1" si="171"/>
        <v>0.23505694205941352</v>
      </c>
      <c r="BE393" s="1"/>
      <c r="BF393" s="1"/>
      <c r="BG393" s="1"/>
      <c r="BH393" s="1"/>
      <c r="BI393" s="1"/>
      <c r="BJ393" s="1"/>
      <c r="BK393" s="1"/>
      <c r="BL393" s="1"/>
      <c r="BM393" s="1"/>
      <c r="BN393" s="1"/>
      <c r="BO393" s="1"/>
      <c r="BP393" s="1"/>
      <c r="BQ393" s="1"/>
      <c r="BR393" s="1"/>
      <c r="BS393" s="1"/>
      <c r="BT393" s="1"/>
      <c r="BU393" s="1"/>
      <c r="BV393" s="1"/>
      <c r="BW393" s="1"/>
      <c r="BX393" s="1"/>
      <c r="BY393" s="1"/>
      <c r="BZ393" s="1"/>
    </row>
    <row r="394" spans="2:78" ht="12" customHeight="1" outlineLevel="1" x14ac:dyDescent="0.25">
      <c r="B394" s="104" t="s">
        <v>114</v>
      </c>
      <c r="C394" s="104" t="s">
        <v>123</v>
      </c>
      <c r="D394" s="2" t="s">
        <v>152</v>
      </c>
      <c r="E394" s="2" t="s">
        <v>153</v>
      </c>
      <c r="F394" s="105" t="s">
        <v>122</v>
      </c>
      <c r="G394" s="27" t="s">
        <v>1579</v>
      </c>
      <c r="H394" s="106" t="s">
        <v>128</v>
      </c>
      <c r="I394" s="107" t="s">
        <v>129</v>
      </c>
      <c r="J394" s="147">
        <v>1.91</v>
      </c>
      <c r="K394" s="148">
        <v>1.2788316801138424</v>
      </c>
      <c r="L394" s="149">
        <f t="shared" ca="1" si="167"/>
        <v>1.2015385879877054</v>
      </c>
      <c r="M394" s="148">
        <f t="shared" ca="1" si="168"/>
        <v>2.8153972913117737</v>
      </c>
      <c r="N394" s="163">
        <f t="shared" ca="1" si="170"/>
        <v>1.5365656111979311</v>
      </c>
      <c r="O394" s="1061" t="s">
        <v>1583</v>
      </c>
      <c r="P394" s="104"/>
      <c r="R394" s="119"/>
      <c r="S394" s="1072"/>
      <c r="T394" s="1072"/>
      <c r="U394" s="1072"/>
      <c r="V394" s="1072"/>
      <c r="W394" s="1072"/>
      <c r="X394" s="1072"/>
      <c r="Y394" s="1072"/>
      <c r="Z394" s="1072"/>
      <c r="AA394" s="1072"/>
      <c r="AB394" s="1072"/>
      <c r="AC394" s="1072"/>
      <c r="AD394" s="1072"/>
      <c r="AE394" s="1072"/>
      <c r="AF394" s="1072"/>
      <c r="AG394" s="1072"/>
      <c r="AH394" s="1072"/>
      <c r="AI394" s="1072"/>
      <c r="AJ394" s="1073"/>
      <c r="AK394" s="1052" cm="1">
        <f t="array" aca="1" ref="AK394" ca="1">INDEX(OFFSET($AK$19,MATCH($B394,$B$19:$B$150,0)-1,0,COUNTA($B$19:$B$24),COUNTA($AK$17:$BB$17)),MATCH($F394,$F$19:$F$24,0),MATCH(AK$17,$AK$17:$BB$17,0))*INDEX($10:$13,MATCH($O394,$R$10:$R$13,0),COLUMN())</f>
        <v>0.29703819600000003</v>
      </c>
      <c r="AL394" s="1050" cm="1">
        <f t="array" aca="1" ref="AL394" ca="1">INDEX(OFFSET($AK$19,MATCH($B394,$B$19:$B$150,0)-1,0,COUNTA($B$19:$B$24),COUNTA($AK$17:$BB$17)),MATCH($F394,$F$19:$F$24,0),MATCH(AL$17,$AK$17:$BB$17,0))*INDEX($10:$13,MATCH($O394,$R$10:$R$13,0),COLUMN())</f>
        <v>7.4519726719999995E-7</v>
      </c>
      <c r="AM394" s="1050" cm="1">
        <f t="array" aca="1" ref="AM394" ca="1">INDEX(OFFSET($AK$19,MATCH($B394,$B$19:$B$150,0)-1,0,COUNTA($B$19:$B$24),COUNTA($AK$17:$BB$17)),MATCH($F394,$F$19:$F$24,0),MATCH(AM$17,$AK$17:$BB$17,0))*INDEX($10:$13,MATCH($O394,$R$10:$R$13,0),COLUMN())</f>
        <v>1.4229792108000001E-3</v>
      </c>
      <c r="AN394" s="1050" cm="1">
        <f t="array" aca="1" ref="AN394" ca="1">INDEX(OFFSET($AK$19,MATCH($B394,$B$19:$B$150,0)-1,0,COUNTA($B$19:$B$24),COUNTA($AK$17:$BB$17)),MATCH($F394,$F$19:$F$24,0),MATCH(AN$17,$AK$17:$BB$17,0))*INDEX($10:$13,MATCH($O394,$R$10:$R$13,0),COLUMN())</f>
        <v>4.0200686850000002E-3</v>
      </c>
      <c r="AO394" s="1050" cm="1">
        <f t="array" aca="1" ref="AO394" ca="1">INDEX(OFFSET($AK$19,MATCH($B394,$B$19:$B$150,0)-1,0,COUNTA($B$19:$B$24),COUNTA($AK$17:$BB$17)),MATCH($F394,$F$19:$F$24,0),MATCH(AO$17,$AK$17:$BB$17,0))*INDEX($10:$13,MATCH($O394,$R$10:$R$13,0),COLUMN())</f>
        <v>0.39903032399999999</v>
      </c>
      <c r="AP394" s="1050" cm="1">
        <f t="array" aca="1" ref="AP394" ca="1">INDEX(OFFSET($AK$19,MATCH($B394,$B$19:$B$150,0)-1,0,COUNTA($B$19:$B$24),COUNTA($AK$17:$BB$17)),MATCH($F394,$F$19:$F$24,0),MATCH(AP$17,$AK$17:$BB$17,0))*INDEX($10:$13,MATCH($O394,$R$10:$R$13,0),COLUMN())</f>
        <v>0.29770781095999999</v>
      </c>
      <c r="AQ394" s="1050" cm="1">
        <f t="array" aca="1" ref="AQ394" ca="1">INDEX(OFFSET($AK$19,MATCH($B394,$B$19:$B$150,0)-1,0,COUNTA($B$19:$B$24),COUNTA($AK$17:$BB$17)),MATCH($F394,$F$19:$F$24,0),MATCH(AQ$17,$AK$17:$BB$17,0))*INDEX($10:$13,MATCH($O394,$R$10:$R$13,0),COLUMN())</f>
        <v>1.5869948916000001E-4</v>
      </c>
      <c r="AR394" s="1050" cm="1">
        <f t="array" aca="1" ref="AR394" ca="1">INDEX(OFFSET($AK$19,MATCH($B394,$B$19:$B$150,0)-1,0,COUNTA($B$19:$B$24),COUNTA($AK$17:$BB$17)),MATCH($F394,$F$19:$F$24,0),MATCH(AR$17,$AK$17:$BB$17,0))*INDEX($10:$13,MATCH($O394,$R$10:$R$13,0),COLUMN())</f>
        <v>3.7284586430000002E-2</v>
      </c>
      <c r="AS394" s="1050" cm="1">
        <f t="array" aca="1" ref="AS394" ca="1">INDEX(OFFSET($AK$19,MATCH($B394,$B$19:$B$150,0)-1,0,COUNTA($B$19:$B$24),COUNTA($AK$17:$BB$17)),MATCH($F394,$F$19:$F$24,0),MATCH(AS$17,$AK$17:$BB$17,0))*INDEX($10:$13,MATCH($O394,$R$10:$R$13,0),COLUMN())</f>
        <v>1.4657271793999999E-4</v>
      </c>
      <c r="AT394" s="1050" cm="1">
        <f t="array" aca="1" ref="AT394" ca="1">INDEX(OFFSET($AK$19,MATCH($B394,$B$19:$B$150,0)-1,0,COUNTA($B$19:$B$24),COUNTA($AK$17:$BB$17)),MATCH($F394,$F$19:$F$24,0),MATCH(AT$17,$AK$17:$BB$17,0))*INDEX($10:$13,MATCH($O394,$R$10:$R$13,0),COLUMN())</f>
        <v>1.3042935054E-5</v>
      </c>
      <c r="AU394" s="1050" cm="1">
        <f t="array" aca="1" ref="AU394" ca="1">INDEX(OFFSET($AK$19,MATCH($B394,$B$19:$B$150,0)-1,0,COUNTA($B$19:$B$24),COUNTA($AK$17:$BB$17)),MATCH($F394,$F$19:$F$24,0),MATCH(AU$17,$AK$17:$BB$17,0))*INDEX($10:$13,MATCH($O394,$R$10:$R$13,0),COLUMN())</f>
        <v>2.8970844073999999E-6</v>
      </c>
      <c r="AV394" s="1050" cm="1">
        <f t="array" aca="1" ref="AV394" ca="1">INDEX(OFFSET($AK$19,MATCH($B394,$B$19:$B$150,0)-1,0,COUNTA($B$19:$B$24),COUNTA($AK$17:$BB$17)),MATCH($F394,$F$19:$F$24,0),MATCH(AV$17,$AK$17:$BB$17,0))*INDEX($10:$13,MATCH($O394,$R$10:$R$13,0),COLUMN())</f>
        <v>1.3049109438E-3</v>
      </c>
      <c r="AW394" s="1050" cm="1">
        <f t="array" aca="1" ref="AW394" ca="1">INDEX(OFFSET($AK$19,MATCH($B394,$B$19:$B$150,0)-1,0,COUNTA($B$19:$B$24),COUNTA($AK$17:$BB$17)),MATCH($F394,$F$19:$F$24,0),MATCH(AW$17,$AK$17:$BB$17,0))*INDEX($10:$13,MATCH($O394,$R$10:$R$13,0),COLUMN())</f>
        <v>0.49843306890000005</v>
      </c>
      <c r="AX394" s="1050" cm="1">
        <f t="array" aca="1" ref="AX394" ca="1">INDEX(OFFSET($AK$19,MATCH($B394,$B$19:$B$150,0)-1,0,COUNTA($B$19:$B$24),COUNTA($AK$17:$BB$17)),MATCH($F394,$F$19:$F$24,0),MATCH(AX$17,$AK$17:$BB$17,0))*INDEX($10:$13,MATCH($O394,$R$10:$R$13,0),COLUMN())</f>
        <v>1.7086445025000003E-6</v>
      </c>
      <c r="AY394" s="1050" cm="1">
        <f t="array" aca="1" ref="AY394" ca="1">INDEX(OFFSET($AK$19,MATCH($B394,$B$19:$B$150,0)-1,0,COUNTA($B$19:$B$24),COUNTA($AK$17:$BB$17)),MATCH($F394,$F$19:$F$24,0),MATCH(AY$17,$AK$17:$BB$17,0))*INDEX($10:$13,MATCH($O394,$R$10:$R$13,0),COLUMN())</f>
        <v>0</v>
      </c>
      <c r="AZ394" s="1050" cm="1">
        <f t="array" aca="1" ref="AZ394" ca="1">INDEX(OFFSET($AK$19,MATCH($B394,$B$19:$B$150,0)-1,0,COUNTA($B$19:$B$24),COUNTA($AK$17:$BB$17)),MATCH($F394,$F$19:$F$24,0),MATCH(AZ$17,$AK$17:$BB$17,0))*INDEX($10:$13,MATCH($O394,$R$10:$R$13,0),COLUMN())</f>
        <v>0</v>
      </c>
      <c r="BA394" s="1050" cm="1">
        <f t="array" aca="1" ref="BA394" ca="1">INDEX(OFFSET($AK$19,MATCH($B394,$B$19:$B$150,0)-1,0,COUNTA($B$19:$B$24),COUNTA($AK$17:$BB$17)),MATCH($F394,$F$19:$F$24,0),MATCH(BA$17,$AK$17:$BB$17,0))*INDEX($10:$13,MATCH($O394,$R$10:$R$13,0),COLUMN())</f>
        <v>0</v>
      </c>
      <c r="BB394" s="1051" cm="1">
        <f t="array" aca="1" ref="BB394" ca="1">INDEX(OFFSET($AK$19,MATCH($B394,$B$19:$B$150,0)-1,0,COUNTA($B$19:$B$24),COUNTA($AK$17:$BB$17)),MATCH($F394,$F$19:$F$24,0),MATCH(BB$17,$AK$17:$BB$17,0))*INDEX($10:$13,MATCH($O394,$R$10:$R$13,0),COLUMN())</f>
        <v>0</v>
      </c>
      <c r="BC394" s="1053">
        <f t="shared" ca="1" si="171"/>
        <v>0.49843477754450255</v>
      </c>
      <c r="BE394" s="1"/>
      <c r="BF394" s="1"/>
      <c r="BG394" s="1"/>
      <c r="BH394" s="1"/>
      <c r="BI394" s="1"/>
      <c r="BJ394" s="1"/>
      <c r="BK394" s="1"/>
      <c r="BL394" s="1"/>
      <c r="BM394" s="1"/>
      <c r="BN394" s="1"/>
      <c r="BO394" s="1"/>
      <c r="BP394" s="1"/>
      <c r="BQ394" s="1"/>
      <c r="BR394" s="1"/>
      <c r="BS394" s="1"/>
      <c r="BT394" s="1"/>
      <c r="BU394" s="1"/>
      <c r="BV394" s="1"/>
      <c r="BW394" s="1"/>
      <c r="BX394" s="1"/>
      <c r="BY394" s="1"/>
      <c r="BZ394" s="1"/>
    </row>
    <row r="395" spans="2:78" ht="12" customHeight="1" outlineLevel="1" x14ac:dyDescent="0.25">
      <c r="B395" s="104" t="s">
        <v>114</v>
      </c>
      <c r="C395" s="104" t="s">
        <v>123</v>
      </c>
      <c r="D395" s="2" t="s">
        <v>152</v>
      </c>
      <c r="E395" s="2" t="s">
        <v>153</v>
      </c>
      <c r="F395" s="105" t="s">
        <v>93</v>
      </c>
      <c r="G395" s="27" t="s">
        <v>1578</v>
      </c>
      <c r="H395" s="106" t="s">
        <v>130</v>
      </c>
      <c r="I395" s="107" t="s">
        <v>129</v>
      </c>
      <c r="J395" s="147">
        <v>1.91</v>
      </c>
      <c r="K395" s="148">
        <v>1.2788316801138424</v>
      </c>
      <c r="L395" s="149">
        <f t="shared" ref="L395:L449" ca="1" si="172">IFERROR(N395/K395,"?")</f>
        <v>1.1549034428145843</v>
      </c>
      <c r="M395" s="148">
        <f t="shared" ref="M395:M449" ca="1" si="173">IFERROR(K395+N395,"?")</f>
        <v>2.7557587902576781</v>
      </c>
      <c r="N395" s="163">
        <f t="shared" ca="1" si="170"/>
        <v>1.4769271101438357</v>
      </c>
      <c r="O395" s="1061" t="s">
        <v>1583</v>
      </c>
      <c r="P395" s="104"/>
      <c r="R395" s="119"/>
      <c r="S395" s="1072"/>
      <c r="T395" s="1072"/>
      <c r="U395" s="1072"/>
      <c r="V395" s="1072"/>
      <c r="W395" s="1072"/>
      <c r="X395" s="1072"/>
      <c r="Y395" s="1072"/>
      <c r="Z395" s="1072"/>
      <c r="AA395" s="1072"/>
      <c r="AB395" s="1072"/>
      <c r="AC395" s="1072"/>
      <c r="AD395" s="1072"/>
      <c r="AE395" s="1072"/>
      <c r="AF395" s="1072"/>
      <c r="AG395" s="1072"/>
      <c r="AH395" s="1072"/>
      <c r="AI395" s="1072"/>
      <c r="AJ395" s="1073"/>
      <c r="AK395" s="1052" cm="1">
        <f t="array" aca="1" ref="AK395" ca="1">INDEX(OFFSET($AK$19,MATCH($B395,$B$19:$B$150,0)-1,0,COUNTA($B$19:$B$24),COUNTA($AK$17:$BB$17)),MATCH($F395,$F$19:$F$24,0),MATCH(AK$17,$AK$17:$BB$17,0))*INDEX($10:$13,MATCH($O395,$R$10:$R$13,0),COLUMN())</f>
        <v>0.28461343950000001</v>
      </c>
      <c r="AL395" s="1050" cm="1">
        <f t="array" aca="1" ref="AL395" ca="1">INDEX(OFFSET($AK$19,MATCH($B395,$B$19:$B$150,0)-1,0,COUNTA($B$19:$B$24),COUNTA($AK$17:$BB$17)),MATCH($F395,$F$19:$F$24,0),MATCH(AL$17,$AK$17:$BB$17,0))*INDEX($10:$13,MATCH($O395,$R$10:$R$13,0),COLUMN())</f>
        <v>6.5824819039999999E-7</v>
      </c>
      <c r="AM395" s="1050" cm="1">
        <f t="array" aca="1" ref="AM395" ca="1">INDEX(OFFSET($AK$19,MATCH($B395,$B$19:$B$150,0)-1,0,COUNTA($B$19:$B$24),COUNTA($AK$17:$BB$17)),MATCH($F395,$F$19:$F$24,0),MATCH(AM$17,$AK$17:$BB$17,0))*INDEX($10:$13,MATCH($O395,$R$10:$R$13,0),COLUMN())</f>
        <v>1.2551837854E-3</v>
      </c>
      <c r="AN395" s="1050" cm="1">
        <f t="array" aca="1" ref="AN395" ca="1">INDEX(OFFSET($AK$19,MATCH($B395,$B$19:$B$150,0)-1,0,COUNTA($B$19:$B$24),COUNTA($AK$17:$BB$17)),MATCH($F395,$F$19:$F$24,0),MATCH(AN$17,$AK$17:$BB$17,0))*INDEX($10:$13,MATCH($O395,$R$10:$R$13,0),COLUMN())</f>
        <v>3.9924250999999996E-3</v>
      </c>
      <c r="AO395" s="1050" cm="1">
        <f t="array" aca="1" ref="AO395" ca="1">INDEX(OFFSET($AK$19,MATCH($B395,$B$19:$B$150,0)-1,0,COUNTA($B$19:$B$24),COUNTA($AK$17:$BB$17)),MATCH($F395,$F$19:$F$24,0),MATCH(AO$17,$AK$17:$BB$17,0))*INDEX($10:$13,MATCH($O395,$R$10:$R$13,0),COLUMN())</f>
        <v>0.34560401680000002</v>
      </c>
      <c r="AP395" s="1050" cm="1">
        <f t="array" aca="1" ref="AP395" ca="1">INDEX(OFFSET($AK$19,MATCH($B395,$B$19:$B$150,0)-1,0,COUNTA($B$19:$B$24),COUNTA($AK$17:$BB$17)),MATCH($F395,$F$19:$F$24,0),MATCH(AP$17,$AK$17:$BB$17,0))*INDEX($10:$13,MATCH($O395,$R$10:$R$13,0),COLUMN())</f>
        <v>0.25613477483999997</v>
      </c>
      <c r="AQ395" s="1050" cm="1">
        <f t="array" aca="1" ref="AQ395" ca="1">INDEX(OFFSET($AK$19,MATCH($B395,$B$19:$B$150,0)-1,0,COUNTA($B$19:$B$24),COUNTA($AK$17:$BB$17)),MATCH($F395,$F$19:$F$24,0),MATCH(AQ$17,$AK$17:$BB$17,0))*INDEX($10:$13,MATCH($O395,$R$10:$R$13,0),COLUMN())</f>
        <v>1.6858657770000001E-4</v>
      </c>
      <c r="AR395" s="1050" cm="1">
        <f t="array" aca="1" ref="AR395" ca="1">INDEX(OFFSET($AK$19,MATCH($B395,$B$19:$B$150,0)-1,0,COUNTA($B$19:$B$24),COUNTA($AK$17:$BB$17)),MATCH($F395,$F$19:$F$24,0),MATCH(AR$17,$AK$17:$BB$17,0))*INDEX($10:$13,MATCH($O395,$R$10:$R$13,0),COLUMN())</f>
        <v>3.8580961939999998E-2</v>
      </c>
      <c r="AS395" s="1050" cm="1">
        <f t="array" aca="1" ref="AS395" ca="1">INDEX(OFFSET($AK$19,MATCH($B395,$B$19:$B$150,0)-1,0,COUNTA($B$19:$B$24),COUNTA($AK$17:$BB$17)),MATCH($F395,$F$19:$F$24,0),MATCH(AS$17,$AK$17:$BB$17,0))*INDEX($10:$13,MATCH($O395,$R$10:$R$13,0),COLUMN())</f>
        <v>3.4575410495999998E-4</v>
      </c>
      <c r="AT395" s="1050" cm="1">
        <f t="array" aca="1" ref="AT395" ca="1">INDEX(OFFSET($AK$19,MATCH($B395,$B$19:$B$150,0)-1,0,COUNTA($B$19:$B$24),COUNTA($AK$17:$BB$17)),MATCH($F395,$F$19:$F$24,0),MATCH(AT$17,$AK$17:$BB$17,0))*INDEX($10:$13,MATCH($O395,$R$10:$R$13,0),COLUMN())</f>
        <v>1.3951618261999999E-5</v>
      </c>
      <c r="AU395" s="1050" cm="1">
        <f t="array" aca="1" ref="AU395" ca="1">INDEX(OFFSET($AK$19,MATCH($B395,$B$19:$B$150,0)-1,0,COUNTA($B$19:$B$24),COUNTA($AK$17:$BB$17)),MATCH($F395,$F$19:$F$24,0),MATCH(AU$17,$AK$17:$BB$17,0))*INDEX($10:$13,MATCH($O395,$R$10:$R$13,0),COLUMN())</f>
        <v>3.0560215808000002E-6</v>
      </c>
      <c r="AV395" s="1050" cm="1">
        <f t="array" aca="1" ref="AV395" ca="1">INDEX(OFFSET($AK$19,MATCH($B395,$B$19:$B$150,0)-1,0,COUNTA($B$19:$B$24),COUNTA($AK$17:$BB$17)),MATCH($F395,$F$19:$F$24,0),MATCH(AV$17,$AK$17:$BB$17,0))*INDEX($10:$13,MATCH($O395,$R$10:$R$13,0),COLUMN())</f>
        <v>1.9063330869000001E-3</v>
      </c>
      <c r="AW395" s="1050" cm="1">
        <f t="array" aca="1" ref="AW395" ca="1">INDEX(OFFSET($AK$19,MATCH($B395,$B$19:$B$150,0)-1,0,COUNTA($B$19:$B$24),COUNTA($AK$17:$BB$17)),MATCH($F395,$F$19:$F$24,0),MATCH(AW$17,$AK$17:$BB$17,0))*INDEX($10:$13,MATCH($O395,$R$10:$R$13,0),COLUMN())</f>
        <v>0.54430649650000007</v>
      </c>
      <c r="AX395" s="1050" cm="1">
        <f t="array" aca="1" ref="AX395" ca="1">INDEX(OFFSET($AK$19,MATCH($B395,$B$19:$B$150,0)-1,0,COUNTA($B$19:$B$24),COUNTA($AK$17:$BB$17)),MATCH($F395,$F$19:$F$24,0),MATCH(AX$17,$AK$17:$BB$17,0))*INDEX($10:$13,MATCH($O395,$R$10:$R$13,0),COLUMN())</f>
        <v>1.4720208425000002E-6</v>
      </c>
      <c r="AY395" s="1050" cm="1">
        <f t="array" aca="1" ref="AY395" ca="1">INDEX(OFFSET($AK$19,MATCH($B395,$B$19:$B$150,0)-1,0,COUNTA($B$19:$B$24),COUNTA($AK$17:$BB$17)),MATCH($F395,$F$19:$F$24,0),MATCH(AY$17,$AK$17:$BB$17,0))*INDEX($10:$13,MATCH($O395,$R$10:$R$13,0),COLUMN())</f>
        <v>0</v>
      </c>
      <c r="AZ395" s="1050" cm="1">
        <f t="array" aca="1" ref="AZ395" ca="1">INDEX(OFFSET($AK$19,MATCH($B395,$B$19:$B$150,0)-1,0,COUNTA($B$19:$B$24),COUNTA($AK$17:$BB$17)),MATCH($F395,$F$19:$F$24,0),MATCH(AZ$17,$AK$17:$BB$17,0))*INDEX($10:$13,MATCH($O395,$R$10:$R$13,0),COLUMN())</f>
        <v>0</v>
      </c>
      <c r="BA395" s="1050" cm="1">
        <f t="array" aca="1" ref="BA395" ca="1">INDEX(OFFSET($AK$19,MATCH($B395,$B$19:$B$150,0)-1,0,COUNTA($B$19:$B$24),COUNTA($AK$17:$BB$17)),MATCH($F395,$F$19:$F$24,0),MATCH(BA$17,$AK$17:$BB$17,0))*INDEX($10:$13,MATCH($O395,$R$10:$R$13,0),COLUMN())</f>
        <v>0</v>
      </c>
      <c r="BB395" s="1051" cm="1">
        <f t="array" aca="1" ref="BB395" ca="1">INDEX(OFFSET($AK$19,MATCH($B395,$B$19:$B$150,0)-1,0,COUNTA($B$19:$B$24),COUNTA($AK$17:$BB$17)),MATCH($F395,$F$19:$F$24,0),MATCH(BB$17,$AK$17:$BB$17,0))*INDEX($10:$13,MATCH($O395,$R$10:$R$13,0),COLUMN())</f>
        <v>0</v>
      </c>
      <c r="BC395" s="1053">
        <f t="shared" ca="1" si="171"/>
        <v>0.54430796852084262</v>
      </c>
      <c r="BE395" s="1"/>
      <c r="BF395" s="1"/>
      <c r="BG395" s="1"/>
      <c r="BH395" s="1"/>
      <c r="BI395" s="1"/>
      <c r="BJ395" s="1"/>
      <c r="BK395" s="1"/>
      <c r="BL395" s="1"/>
      <c r="BM395" s="1"/>
      <c r="BN395" s="1"/>
      <c r="BO395" s="1"/>
      <c r="BP395" s="1"/>
      <c r="BQ395" s="1"/>
      <c r="BR395" s="1"/>
      <c r="BS395" s="1"/>
      <c r="BT395" s="1"/>
      <c r="BU395" s="1"/>
      <c r="BV395" s="1"/>
      <c r="BW395" s="1"/>
      <c r="BX395" s="1"/>
      <c r="BY395" s="1"/>
      <c r="BZ395" s="1"/>
    </row>
    <row r="396" spans="2:78" ht="12" customHeight="1" outlineLevel="1" x14ac:dyDescent="0.25">
      <c r="B396" s="104" t="s">
        <v>114</v>
      </c>
      <c r="C396" s="104" t="s">
        <v>123</v>
      </c>
      <c r="D396" s="2" t="s">
        <v>152</v>
      </c>
      <c r="E396" s="2" t="s">
        <v>153</v>
      </c>
      <c r="F396" s="105" t="s">
        <v>94</v>
      </c>
      <c r="G396" s="27" t="s">
        <v>1580</v>
      </c>
      <c r="H396" s="106" t="s">
        <v>131</v>
      </c>
      <c r="I396" s="107" t="s">
        <v>129</v>
      </c>
      <c r="J396" s="147">
        <v>1.91</v>
      </c>
      <c r="K396" s="148">
        <v>1.2788316801138424</v>
      </c>
      <c r="L396" s="149">
        <f t="shared" ca="1" si="172"/>
        <v>1.2401917358331049</v>
      </c>
      <c r="M396" s="148">
        <f t="shared" ca="1" si="173"/>
        <v>2.8648281613125945</v>
      </c>
      <c r="N396" s="163">
        <f t="shared" ca="1" si="170"/>
        <v>1.5859964811987521</v>
      </c>
      <c r="O396" s="1061" t="s">
        <v>1583</v>
      </c>
      <c r="P396" s="104"/>
      <c r="R396" s="119"/>
      <c r="S396" s="1072"/>
      <c r="T396" s="1072"/>
      <c r="U396" s="1072"/>
      <c r="V396" s="1072"/>
      <c r="W396" s="1072"/>
      <c r="X396" s="1072"/>
      <c r="Y396" s="1072"/>
      <c r="Z396" s="1072"/>
      <c r="AA396" s="1072"/>
      <c r="AB396" s="1072"/>
      <c r="AC396" s="1072"/>
      <c r="AD396" s="1072"/>
      <c r="AE396" s="1072"/>
      <c r="AF396" s="1072"/>
      <c r="AG396" s="1072"/>
      <c r="AH396" s="1072"/>
      <c r="AI396" s="1072"/>
      <c r="AJ396" s="1073"/>
      <c r="AK396" s="1052" cm="1">
        <f t="array" aca="1" ref="AK396" ca="1">INDEX(OFFSET($AK$19,MATCH($B396,$B$19:$B$150,0)-1,0,COUNTA($B$19:$B$24),COUNTA($AK$17:$BB$17)),MATCH($F396,$F$19:$F$24,0),MATCH(AK$17,$AK$17:$BB$17,0))*INDEX($10:$13,MATCH($O396,$R$10:$R$13,0),COLUMN())</f>
        <v>0.30734359500000002</v>
      </c>
      <c r="AL396" s="1050" cm="1">
        <f t="array" aca="1" ref="AL396" ca="1">INDEX(OFFSET($AK$19,MATCH($B396,$B$19:$B$150,0)-1,0,COUNTA($B$19:$B$24),COUNTA($AK$17:$BB$17)),MATCH($F396,$F$19:$F$24,0),MATCH(AL$17,$AK$17:$BB$17,0))*INDEX($10:$13,MATCH($O396,$R$10:$R$13,0),COLUMN())</f>
        <v>8.1703763519999995E-7</v>
      </c>
      <c r="AM396" s="1050" cm="1">
        <f t="array" aca="1" ref="AM396" ca="1">INDEX(OFFSET($AK$19,MATCH($B396,$B$19:$B$150,0)-1,0,COUNTA($B$19:$B$24),COUNTA($AK$17:$BB$17)),MATCH($F396,$F$19:$F$24,0),MATCH(AM$17,$AK$17:$BB$17,0))*INDEX($10:$13,MATCH($O396,$R$10:$R$13,0),COLUMN())</f>
        <v>1.5616924972999999E-3</v>
      </c>
      <c r="AN396" s="1050" cm="1">
        <f t="array" aca="1" ref="AN396" ca="1">INDEX(OFFSET($AK$19,MATCH($B396,$B$19:$B$150,0)-1,0,COUNTA($B$19:$B$24),COUNTA($AK$17:$BB$17)),MATCH($F396,$F$19:$F$24,0),MATCH(AN$17,$AK$17:$BB$17,0))*INDEX($10:$13,MATCH($O396,$R$10:$R$13,0),COLUMN())</f>
        <v>4.0424027199999994E-3</v>
      </c>
      <c r="AO396" s="1050" cm="1">
        <f t="array" aca="1" ref="AO396" ca="1">INDEX(OFFSET($AK$19,MATCH($B396,$B$19:$B$150,0)-1,0,COUNTA($B$19:$B$24),COUNTA($AK$17:$BB$17)),MATCH($F396,$F$19:$F$24,0),MATCH(AO$17,$AK$17:$BB$17,0))*INDEX($10:$13,MATCH($O396,$R$10:$R$13,0),COLUMN())</f>
        <v>0.4435739112</v>
      </c>
      <c r="AP396" s="1050" cm="1">
        <f t="array" aca="1" ref="AP396" ca="1">INDEX(OFFSET($AK$19,MATCH($B396,$B$19:$B$150,0)-1,0,COUNTA($B$19:$B$24),COUNTA($AK$17:$BB$17)),MATCH($F396,$F$19:$F$24,0),MATCH(AP$17,$AK$17:$BB$17,0))*INDEX($10:$13,MATCH($O396,$R$10:$R$13,0),COLUMN())</f>
        <v>0.33232322976999995</v>
      </c>
      <c r="AQ396" s="1050" cm="1">
        <f t="array" aca="1" ref="AQ396" ca="1">INDEX(OFFSET($AK$19,MATCH($B396,$B$19:$B$150,0)-1,0,COUNTA($B$19:$B$24),COUNTA($AK$17:$BB$17)),MATCH($F396,$F$19:$F$24,0),MATCH(AQ$17,$AK$17:$BB$17,0))*INDEX($10:$13,MATCH($O396,$R$10:$R$13,0),COLUMN())</f>
        <v>1.5040257042E-4</v>
      </c>
      <c r="AR396" s="1050" cm="1">
        <f t="array" aca="1" ref="AR396" ca="1">INDEX(OFFSET($AK$19,MATCH($B396,$B$19:$B$150,0)-1,0,COUNTA($B$19:$B$24),COUNTA($AK$17:$BB$17)),MATCH($F396,$F$19:$F$24,0),MATCH(AR$17,$AK$17:$BB$17,0))*INDEX($10:$13,MATCH($O396,$R$10:$R$13,0),COLUMN())</f>
        <v>3.6042922039999994E-2</v>
      </c>
      <c r="AS396" s="1050" cm="1">
        <f t="array" aca="1" ref="AS396" ca="1">INDEX(OFFSET($AK$19,MATCH($B396,$B$19:$B$150,0)-1,0,COUNTA($B$19:$B$24),COUNTA($AK$17:$BB$17)),MATCH($F396,$F$19:$F$24,0),MATCH(AS$17,$AK$17:$BB$17,0))*INDEX($10:$13,MATCH($O396,$R$10:$R$13,0),COLUMN())</f>
        <v>-2.1869887500999998E-5</v>
      </c>
      <c r="AT396" s="1050" cm="1">
        <f t="array" aca="1" ref="AT396" ca="1">INDEX(OFFSET($AK$19,MATCH($B396,$B$19:$B$150,0)-1,0,COUNTA($B$19:$B$24),COUNTA($AK$17:$BB$17)),MATCH($F396,$F$19:$F$24,0),MATCH(AT$17,$AK$17:$BB$17,0))*INDEX($10:$13,MATCH($O396,$R$10:$R$13,0),COLUMN())</f>
        <v>1.2282321411E-5</v>
      </c>
      <c r="AU396" s="1050" cm="1">
        <f t="array" aca="1" ref="AU396" ca="1">INDEX(OFFSET($AK$19,MATCH($B396,$B$19:$B$150,0)-1,0,COUNTA($B$19:$B$24),COUNTA($AK$17:$BB$17)),MATCH($F396,$F$19:$F$24,0),MATCH(AU$17,$AK$17:$BB$17,0))*INDEX($10:$13,MATCH($O396,$R$10:$R$13,0),COLUMN())</f>
        <v>2.7640606385000002E-6</v>
      </c>
      <c r="AV396" s="1050" cm="1">
        <f t="array" aca="1" ref="AV396" ca="1">INDEX(OFFSET($AK$19,MATCH($B396,$B$19:$B$150,0)-1,0,COUNTA($B$19:$B$24),COUNTA($AK$17:$BB$17)),MATCH($F396,$F$19:$F$24,0),MATCH(AV$17,$AK$17:$BB$17,0))*INDEX($10:$13,MATCH($O396,$R$10:$R$13,0),COLUMN())</f>
        <v>8.0103748929999993E-4</v>
      </c>
      <c r="AW396" s="1050" cm="1">
        <f t="array" aca="1" ref="AW396" ca="1">INDEX(OFFSET($AK$19,MATCH($B396,$B$19:$B$150,0)-1,0,COUNTA($B$19:$B$24),COUNTA($AK$17:$BB$17)),MATCH($F396,$F$19:$F$24,0),MATCH(AW$17,$AK$17:$BB$17,0))*INDEX($10:$13,MATCH($O396,$R$10:$R$13,0),COLUMN())</f>
        <v>0.46016138805000001</v>
      </c>
      <c r="AX396" s="1050" cm="1">
        <f t="array" aca="1" ref="AX396" ca="1">INDEX(OFFSET($AK$19,MATCH($B396,$B$19:$B$150,0)-1,0,COUNTA($B$19:$B$24),COUNTA($AK$17:$BB$17)),MATCH($F396,$F$19:$F$24,0),MATCH(AX$17,$AK$17:$BB$17,0))*INDEX($10:$13,MATCH($O396,$R$10:$R$13,0),COLUMN())</f>
        <v>1.9063295485000001E-6</v>
      </c>
      <c r="AY396" s="1050" cm="1">
        <f t="array" aca="1" ref="AY396" ca="1">INDEX(OFFSET($AK$19,MATCH($B396,$B$19:$B$150,0)-1,0,COUNTA($B$19:$B$24),COUNTA($AK$17:$BB$17)),MATCH($F396,$F$19:$F$24,0),MATCH(AY$17,$AK$17:$BB$17,0))*INDEX($10:$13,MATCH($O396,$R$10:$R$13,0),COLUMN())</f>
        <v>0</v>
      </c>
      <c r="AZ396" s="1050" cm="1">
        <f t="array" aca="1" ref="AZ396" ca="1">INDEX(OFFSET($AK$19,MATCH($B396,$B$19:$B$150,0)-1,0,COUNTA($B$19:$B$24),COUNTA($AK$17:$BB$17)),MATCH($F396,$F$19:$F$24,0),MATCH(AZ$17,$AK$17:$BB$17,0))*INDEX($10:$13,MATCH($O396,$R$10:$R$13,0),COLUMN())</f>
        <v>0</v>
      </c>
      <c r="BA396" s="1050" cm="1">
        <f t="array" aca="1" ref="BA396" ca="1">INDEX(OFFSET($AK$19,MATCH($B396,$B$19:$B$150,0)-1,0,COUNTA($B$19:$B$24),COUNTA($AK$17:$BB$17)),MATCH($F396,$F$19:$F$24,0),MATCH(BA$17,$AK$17:$BB$17,0))*INDEX($10:$13,MATCH($O396,$R$10:$R$13,0),COLUMN())</f>
        <v>0</v>
      </c>
      <c r="BB396" s="1051" cm="1">
        <f t="array" aca="1" ref="BB396" ca="1">INDEX(OFFSET($AK$19,MATCH($B396,$B$19:$B$150,0)-1,0,COUNTA($B$19:$B$24),COUNTA($AK$17:$BB$17)),MATCH($F396,$F$19:$F$24,0),MATCH(BB$17,$AK$17:$BB$17,0))*INDEX($10:$13,MATCH($O396,$R$10:$R$13,0),COLUMN())</f>
        <v>0</v>
      </c>
      <c r="BC396" s="1053">
        <f t="shared" ca="1" si="171"/>
        <v>0.4601632943795485</v>
      </c>
      <c r="BE396" s="1"/>
      <c r="BF396" s="1"/>
      <c r="BG396" s="1"/>
      <c r="BH396" s="1"/>
      <c r="BI396" s="1"/>
      <c r="BJ396" s="1"/>
      <c r="BK396" s="1"/>
      <c r="BL396" s="1"/>
      <c r="BM396" s="1"/>
      <c r="BN396" s="1"/>
      <c r="BO396" s="1"/>
      <c r="BP396" s="1"/>
      <c r="BQ396" s="1"/>
      <c r="BR396" s="1"/>
      <c r="BS396" s="1"/>
      <c r="BT396" s="1"/>
      <c r="BU396" s="1"/>
      <c r="BV396" s="1"/>
      <c r="BW396" s="1"/>
      <c r="BX396" s="1"/>
      <c r="BY396" s="1"/>
      <c r="BZ396" s="1"/>
    </row>
    <row r="397" spans="2:78" ht="12" customHeight="1" outlineLevel="1" x14ac:dyDescent="0.25">
      <c r="B397" s="104" t="s">
        <v>114</v>
      </c>
      <c r="C397" s="104" t="s">
        <v>123</v>
      </c>
      <c r="D397" s="2" t="s">
        <v>152</v>
      </c>
      <c r="E397" s="2" t="s">
        <v>153</v>
      </c>
      <c r="F397" s="105" t="s">
        <v>95</v>
      </c>
      <c r="G397" s="27" t="s">
        <v>1581</v>
      </c>
      <c r="H397" s="106" t="s">
        <v>128</v>
      </c>
      <c r="I397" s="107" t="s">
        <v>127</v>
      </c>
      <c r="J397" s="147">
        <v>1.91</v>
      </c>
      <c r="K397" s="148">
        <v>1.2788316801138424</v>
      </c>
      <c r="L397" s="149">
        <f t="shared" ca="1" si="172"/>
        <v>1.3184188271005659</v>
      </c>
      <c r="M397" s="148">
        <f t="shared" ca="1" si="173"/>
        <v>2.9648674438685805</v>
      </c>
      <c r="N397" s="163">
        <f t="shared" ca="1" si="170"/>
        <v>1.6860357637547381</v>
      </c>
      <c r="O397" s="1061" t="s">
        <v>1583</v>
      </c>
      <c r="P397" s="104"/>
      <c r="R397" s="119"/>
      <c r="S397" s="1072"/>
      <c r="T397" s="1072"/>
      <c r="U397" s="1072"/>
      <c r="V397" s="1072"/>
      <c r="W397" s="1072"/>
      <c r="X397" s="1072"/>
      <c r="Y397" s="1072"/>
      <c r="Z397" s="1072"/>
      <c r="AA397" s="1072"/>
      <c r="AB397" s="1072"/>
      <c r="AC397" s="1072"/>
      <c r="AD397" s="1072"/>
      <c r="AE397" s="1072"/>
      <c r="AF397" s="1072"/>
      <c r="AG397" s="1072"/>
      <c r="AH397" s="1072"/>
      <c r="AI397" s="1072"/>
      <c r="AJ397" s="1073"/>
      <c r="AK397" s="1052" cm="1">
        <f t="array" aca="1" ref="AK397" ca="1">INDEX(OFFSET($AK$19,MATCH($B397,$B$19:$B$150,0)-1,0,COUNTA($B$19:$B$24),COUNTA($AK$17:$BB$17)),MATCH($F397,$F$19:$F$24,0),MATCH(AK$17,$AK$17:$BB$17,0))*INDEX($10:$13,MATCH($O397,$R$10:$R$13,0),COLUMN())</f>
        <v>0.31502963700000003</v>
      </c>
      <c r="AL397" s="1050" cm="1">
        <f t="array" aca="1" ref="AL397" ca="1">INDEX(OFFSET($AK$19,MATCH($B397,$B$19:$B$150,0)-1,0,COUNTA($B$19:$B$24),COUNTA($AK$17:$BB$17)),MATCH($F397,$F$19:$F$24,0),MATCH(AL$17,$AK$17:$BB$17,0))*INDEX($10:$13,MATCH($O397,$R$10:$R$13,0),COLUMN())</f>
        <v>7.4613489439999997E-7</v>
      </c>
      <c r="AM397" s="1050" cm="1">
        <f t="array" aca="1" ref="AM397" ca="1">INDEX(OFFSET($AK$19,MATCH($B397,$B$19:$B$150,0)-1,0,COUNTA($B$19:$B$24),COUNTA($AK$17:$BB$17)),MATCH($F397,$F$19:$F$24,0),MATCH(AM$17,$AK$17:$BB$17,0))*INDEX($10:$13,MATCH($O397,$R$10:$R$13,0),COLUMN())</f>
        <v>1.4247095281999999E-3</v>
      </c>
      <c r="AN397" s="1050" cm="1">
        <f t="array" aca="1" ref="AN397" ca="1">INDEX(OFFSET($AK$19,MATCH($B397,$B$19:$B$150,0)-1,0,COUNTA($B$19:$B$24),COUNTA($AK$17:$BB$17)),MATCH($F397,$F$19:$F$24,0),MATCH(AN$17,$AK$17:$BB$17,0))*INDEX($10:$13,MATCH($O397,$R$10:$R$13,0),COLUMN())</f>
        <v>4.2029255849999995E-3</v>
      </c>
      <c r="AO397" s="1050" cm="1">
        <f t="array" aca="1" ref="AO397" ca="1">INDEX(OFFSET($AK$19,MATCH($B397,$B$19:$B$150,0)-1,0,COUNTA($B$19:$B$24),COUNTA($AK$17:$BB$17)),MATCH($F397,$F$19:$F$24,0),MATCH(AO$17,$AK$17:$BB$17,0))*INDEX($10:$13,MATCH($O397,$R$10:$R$13,0),COLUMN())</f>
        <v>0.45165338400000005</v>
      </c>
      <c r="AP397" s="1050" cm="1">
        <f t="array" aca="1" ref="AP397" ca="1">INDEX(OFFSET($AK$19,MATCH($B397,$B$19:$B$150,0)-1,0,COUNTA($B$19:$B$24),COUNTA($AK$17:$BB$17)),MATCH($F397,$F$19:$F$24,0),MATCH(AP$17,$AK$17:$BB$17,0))*INDEX($10:$13,MATCH($O397,$R$10:$R$13,0),COLUMN())</f>
        <v>0.34780199160000003</v>
      </c>
      <c r="AQ397" s="1050" cm="1">
        <f t="array" aca="1" ref="AQ397" ca="1">INDEX(OFFSET($AK$19,MATCH($B397,$B$19:$B$150,0)-1,0,COUNTA($B$19:$B$24),COUNTA($AK$17:$BB$17)),MATCH($F397,$F$19:$F$24,0),MATCH(AQ$17,$AK$17:$BB$17,0))*INDEX($10:$13,MATCH($O397,$R$10:$R$13,0),COLUMN())</f>
        <v>5.6573077380000006E-4</v>
      </c>
      <c r="AR397" s="1050" cm="1">
        <f t="array" aca="1" ref="AR397" ca="1">INDEX(OFFSET($AK$19,MATCH($B397,$B$19:$B$150,0)-1,0,COUNTA($B$19:$B$24),COUNTA($AK$17:$BB$17)),MATCH($F397,$F$19:$F$24,0),MATCH(AR$17,$AK$17:$BB$17,0))*INDEX($10:$13,MATCH($O397,$R$10:$R$13,0),COLUMN())</f>
        <v>5.0624035749999997E-2</v>
      </c>
      <c r="AS397" s="1050" cm="1">
        <f t="array" aca="1" ref="AS397" ca="1">INDEX(OFFSET($AK$19,MATCH($B397,$B$19:$B$150,0)-1,0,COUNTA($B$19:$B$24),COUNTA($AK$17:$BB$17)),MATCH($F397,$F$19:$F$24,0),MATCH(AS$17,$AK$17:$BB$17,0))*INDEX($10:$13,MATCH($O397,$R$10:$R$13,0),COLUMN())</f>
        <v>6.2599655931999997E-3</v>
      </c>
      <c r="AT397" s="1050" cm="1">
        <f t="array" aca="1" ref="AT397" ca="1">INDEX(OFFSET($AK$19,MATCH($B397,$B$19:$B$150,0)-1,0,COUNTA($B$19:$B$24),COUNTA($AK$17:$BB$17)),MATCH($F397,$F$19:$F$24,0),MATCH(AT$17,$AK$17:$BB$17,0))*INDEX($10:$13,MATCH($O397,$R$10:$R$13,0),COLUMN())</f>
        <v>1.7605784446000001E-5</v>
      </c>
      <c r="AU397" s="1050" cm="1">
        <f t="array" aca="1" ref="AU397" ca="1">INDEX(OFFSET($AK$19,MATCH($B397,$B$19:$B$150,0)-1,0,COUNTA($B$19:$B$24),COUNTA($AK$17:$BB$17)),MATCH($F397,$F$19:$F$24,0),MATCH(AU$17,$AK$17:$BB$17,0))*INDEX($10:$13,MATCH($O397,$R$10:$R$13,0),COLUMN())</f>
        <v>3.5961036945E-6</v>
      </c>
      <c r="AV397" s="1050" cm="1">
        <f t="array" aca="1" ref="AV397" ca="1">INDEX(OFFSET($AK$19,MATCH($B397,$B$19:$B$150,0)-1,0,COUNTA($B$19:$B$24),COUNTA($AK$17:$BB$17)),MATCH($F397,$F$19:$F$24,0),MATCH(AV$17,$AK$17:$BB$17,0))*INDEX($10:$13,MATCH($O397,$R$10:$R$13,0),COLUMN())</f>
        <v>1.0016658356999998E-2</v>
      </c>
      <c r="AW397" s="1050" cm="1">
        <f t="array" aca="1" ref="AW397" ca="1">INDEX(OFFSET($AK$19,MATCH($B397,$B$19:$B$150,0)-1,0,COUNTA($B$19:$B$24),COUNTA($AK$17:$BB$17)),MATCH($F397,$F$19:$F$24,0),MATCH(AW$17,$AK$17:$BB$17,0))*INDEX($10:$13,MATCH($O397,$R$10:$R$13,0),COLUMN())</f>
        <v>0.49843306890000005</v>
      </c>
      <c r="AX397" s="1050" cm="1">
        <f t="array" aca="1" ref="AX397" ca="1">INDEX(OFFSET($AK$19,MATCH($B397,$B$19:$B$150,0)-1,0,COUNTA($B$19:$B$24),COUNTA($AK$17:$BB$17)),MATCH($F397,$F$19:$F$24,0),MATCH(AX$17,$AK$17:$BB$17,0))*INDEX($10:$13,MATCH($O397,$R$10:$R$13,0),COLUMN())</f>
        <v>1.7086445025000003E-6</v>
      </c>
      <c r="AY397" s="1050" cm="1">
        <f t="array" aca="1" ref="AY397" ca="1">INDEX(OFFSET($AK$19,MATCH($B397,$B$19:$B$150,0)-1,0,COUNTA($B$19:$B$24),COUNTA($AK$17:$BB$17)),MATCH($F397,$F$19:$F$24,0),MATCH(AY$17,$AK$17:$BB$17,0))*INDEX($10:$13,MATCH($O397,$R$10:$R$13,0),COLUMN())</f>
        <v>0</v>
      </c>
      <c r="AZ397" s="1050" cm="1">
        <f t="array" aca="1" ref="AZ397" ca="1">INDEX(OFFSET($AK$19,MATCH($B397,$B$19:$B$150,0)-1,0,COUNTA($B$19:$B$24),COUNTA($AK$17:$BB$17)),MATCH($F397,$F$19:$F$24,0),MATCH(AZ$17,$AK$17:$BB$17,0))*INDEX($10:$13,MATCH($O397,$R$10:$R$13,0),COLUMN())</f>
        <v>0</v>
      </c>
      <c r="BA397" s="1050" cm="1">
        <f t="array" aca="1" ref="BA397" ca="1">INDEX(OFFSET($AK$19,MATCH($B397,$B$19:$B$150,0)-1,0,COUNTA($B$19:$B$24),COUNTA($AK$17:$BB$17)),MATCH($F397,$F$19:$F$24,0),MATCH(BA$17,$AK$17:$BB$17,0))*INDEX($10:$13,MATCH($O397,$R$10:$R$13,0),COLUMN())</f>
        <v>0</v>
      </c>
      <c r="BB397" s="1051" cm="1">
        <f t="array" aca="1" ref="BB397" ca="1">INDEX(OFFSET($AK$19,MATCH($B397,$B$19:$B$150,0)-1,0,COUNTA($B$19:$B$24),COUNTA($AK$17:$BB$17)),MATCH($F397,$F$19:$F$24,0),MATCH(BB$17,$AK$17:$BB$17,0))*INDEX($10:$13,MATCH($O397,$R$10:$R$13,0),COLUMN())</f>
        <v>0</v>
      </c>
      <c r="BC397" s="1053">
        <f t="shared" ca="1" si="171"/>
        <v>0.49843477754450255</v>
      </c>
      <c r="BE397" s="1"/>
      <c r="BF397" s="1"/>
      <c r="BG397" s="1"/>
      <c r="BH397" s="1"/>
      <c r="BI397" s="1"/>
      <c r="BJ397" s="1"/>
      <c r="BK397" s="1"/>
      <c r="BL397" s="1"/>
      <c r="BM397" s="1"/>
      <c r="BN397" s="1"/>
      <c r="BO397" s="1"/>
      <c r="BP397" s="1"/>
      <c r="BQ397" s="1"/>
      <c r="BR397" s="1"/>
      <c r="BS397" s="1"/>
      <c r="BT397" s="1"/>
      <c r="BU397" s="1"/>
      <c r="BV397" s="1"/>
      <c r="BW397" s="1"/>
      <c r="BX397" s="1"/>
      <c r="BY397" s="1"/>
      <c r="BZ397" s="1"/>
    </row>
    <row r="398" spans="2:78" ht="12" customHeight="1" outlineLevel="1" x14ac:dyDescent="0.25">
      <c r="B398" s="104" t="s">
        <v>114</v>
      </c>
      <c r="C398" s="104" t="s">
        <v>123</v>
      </c>
      <c r="D398" s="2" t="s">
        <v>152</v>
      </c>
      <c r="E398" s="2" t="s">
        <v>153</v>
      </c>
      <c r="F398" s="105" t="s">
        <v>96</v>
      </c>
      <c r="G398" s="27" t="s">
        <v>1582</v>
      </c>
      <c r="H398" s="106" t="s">
        <v>128</v>
      </c>
      <c r="I398" s="107" t="s">
        <v>1577</v>
      </c>
      <c r="J398" s="147">
        <v>1.91</v>
      </c>
      <c r="K398" s="148">
        <v>1.2788316801138424</v>
      </c>
      <c r="L398" s="149">
        <f t="shared" ca="1" si="172"/>
        <v>1.4055344329613624</v>
      </c>
      <c r="M398" s="148">
        <f t="shared" ca="1" si="173"/>
        <v>3.0762736404756783</v>
      </c>
      <c r="N398" s="163">
        <f t="shared" ca="1" si="170"/>
        <v>1.7974419603618359</v>
      </c>
      <c r="O398" s="1061" t="s">
        <v>1583</v>
      </c>
      <c r="P398" s="104"/>
      <c r="R398" s="119"/>
      <c r="S398" s="1072"/>
      <c r="T398" s="1072"/>
      <c r="U398" s="1072"/>
      <c r="V398" s="1072"/>
      <c r="W398" s="1072"/>
      <c r="X398" s="1072"/>
      <c r="Y398" s="1072"/>
      <c r="Z398" s="1072"/>
      <c r="AA398" s="1072"/>
      <c r="AB398" s="1072"/>
      <c r="AC398" s="1072"/>
      <c r="AD398" s="1072"/>
      <c r="AE398" s="1072"/>
      <c r="AF398" s="1072"/>
      <c r="AG398" s="1072"/>
      <c r="AH398" s="1072"/>
      <c r="AI398" s="1072"/>
      <c r="AJ398" s="1073"/>
      <c r="AK398" s="1052" cm="1">
        <f t="array" aca="1" ref="AK398" ca="1">INDEX(OFFSET($AK$19,MATCH($B398,$B$19:$B$150,0)-1,0,COUNTA($B$19:$B$24),COUNTA($AK$17:$BB$17)),MATCH($F398,$F$19:$F$24,0),MATCH(AK$17,$AK$17:$BB$17,0))*INDEX($10:$13,MATCH($O398,$R$10:$R$13,0),COLUMN())</f>
        <v>0.32813837549999997</v>
      </c>
      <c r="AL398" s="1050" cm="1">
        <f t="array" aca="1" ref="AL398" ca="1">INDEX(OFFSET($AK$19,MATCH($B398,$B$19:$B$150,0)-1,0,COUNTA($B$19:$B$24),COUNTA($AK$17:$BB$17)),MATCH($F398,$F$19:$F$24,0),MATCH(AL$17,$AK$17:$BB$17,0))*INDEX($10:$13,MATCH($O398,$R$10:$R$13,0),COLUMN())</f>
        <v>7.4674678559999999E-7</v>
      </c>
      <c r="AM398" s="1050" cm="1">
        <f t="array" aca="1" ref="AM398" ca="1">INDEX(OFFSET($AK$19,MATCH($B398,$B$19:$B$150,0)-1,0,COUNTA($B$19:$B$24),COUNTA($AK$17:$BB$17)),MATCH($F398,$F$19:$F$24,0),MATCH(AM$17,$AK$17:$BB$17,0))*INDEX($10:$13,MATCH($O398,$R$10:$R$13,0),COLUMN())</f>
        <v>1.4258387015999999E-3</v>
      </c>
      <c r="AN398" s="1050" cm="1">
        <f t="array" aca="1" ref="AN398" ca="1">INDEX(OFFSET($AK$19,MATCH($B398,$B$19:$B$150,0)-1,0,COUNTA($B$19:$B$24),COUNTA($AK$17:$BB$17)),MATCH($F398,$F$19:$F$24,0),MATCH(AN$17,$AK$17:$BB$17,0))*INDEX($10:$13,MATCH($O398,$R$10:$R$13,0),COLUMN())</f>
        <v>4.3222608549999993E-3</v>
      </c>
      <c r="AO398" s="1050" cm="1">
        <f t="array" aca="1" ref="AO398" ca="1">INDEX(OFFSET($AK$19,MATCH($B398,$B$19:$B$150,0)-1,0,COUNTA($B$19:$B$24),COUNTA($AK$17:$BB$17)),MATCH($F398,$F$19:$F$24,0),MATCH(AO$17,$AK$17:$BB$17,0))*INDEX($10:$13,MATCH($O398,$R$10:$R$13,0),COLUMN())</f>
        <v>0.49064064559999998</v>
      </c>
      <c r="AP398" s="1050" cm="1">
        <f t="array" aca="1" ref="AP398" ca="1">INDEX(OFFSET($AK$19,MATCH($B398,$B$19:$B$150,0)-1,0,COUNTA($B$19:$B$24),COUNTA($AK$17:$BB$17)),MATCH($F398,$F$19:$F$24,0),MATCH(AP$17,$AK$17:$BB$17,0))*INDEX($10:$13,MATCH($O398,$R$10:$R$13,0),COLUMN())</f>
        <v>0.38500280441000001</v>
      </c>
      <c r="AQ398" s="1050" cm="1">
        <f t="array" aca="1" ref="AQ398" ca="1">INDEX(OFFSET($AK$19,MATCH($B398,$B$19:$B$150,0)-1,0,COUNTA($B$19:$B$24),COUNTA($AK$17:$BB$17)),MATCH($F398,$F$19:$F$24,0),MATCH(AQ$17,$AK$17:$BB$17,0))*INDEX($10:$13,MATCH($O398,$R$10:$R$13,0),COLUMN())</f>
        <v>8.5896403319999997E-4</v>
      </c>
      <c r="AR398" s="1050" cm="1">
        <f t="array" aca="1" ref="AR398" ca="1">INDEX(OFFSET($AK$19,MATCH($B398,$B$19:$B$150,0)-1,0,COUNTA($B$19:$B$24),COUNTA($AK$17:$BB$17)),MATCH($F398,$F$19:$F$24,0),MATCH(AR$17,$AK$17:$BB$17,0))*INDEX($10:$13,MATCH($O398,$R$10:$R$13,0),COLUMN())</f>
        <v>6.0539452819999992E-2</v>
      </c>
      <c r="AS398" s="1050" cm="1">
        <f t="array" aca="1" ref="AS398" ca="1">INDEX(OFFSET($AK$19,MATCH($B398,$B$19:$B$150,0)-1,0,COUNTA($B$19:$B$24),COUNTA($AK$17:$BB$17)),MATCH($F398,$F$19:$F$24,0),MATCH(AS$17,$AK$17:$BB$17,0))*INDEX($10:$13,MATCH($O398,$R$10:$R$13,0),COLUMN())</f>
        <v>1.0639903043E-2</v>
      </c>
      <c r="AT398" s="1050" cm="1">
        <f t="array" aca="1" ref="AT398" ca="1">INDEX(OFFSET($AK$19,MATCH($B398,$B$19:$B$150,0)-1,0,COUNTA($B$19:$B$24),COUNTA($AK$17:$BB$17)),MATCH($F398,$F$19:$F$24,0),MATCH(AT$17,$AK$17:$BB$17,0))*INDEX($10:$13,MATCH($O398,$R$10:$R$13,0),COLUMN())</f>
        <v>1.9579153763E-5</v>
      </c>
      <c r="AU398" s="1050" cm="1">
        <f t="array" aca="1" ref="AU398" ca="1">INDEX(OFFSET($AK$19,MATCH($B398,$B$19:$B$150,0)-1,0,COUNTA($B$19:$B$24),COUNTA($AK$17:$BB$17)),MATCH($F398,$F$19:$F$24,0),MATCH(AU$17,$AK$17:$BB$17,0))*INDEX($10:$13,MATCH($O398,$R$10:$R$13,0),COLUMN())</f>
        <v>3.8779639847999995E-6</v>
      </c>
      <c r="AV398" s="1050" cm="1">
        <f t="array" aca="1" ref="AV398" ca="1">INDEX(OFFSET($AK$19,MATCH($B398,$B$19:$B$150,0)-1,0,COUNTA($B$19:$B$24),COUNTA($AK$17:$BB$17)),MATCH($F398,$F$19:$F$24,0),MATCH(AV$17,$AK$17:$BB$17,0))*INDEX($10:$13,MATCH($O398,$R$10:$R$13,0),COLUMN())</f>
        <v>1.7414733989999997E-2</v>
      </c>
      <c r="AW398" s="1050" cm="1">
        <f t="array" aca="1" ref="AW398" ca="1">INDEX(OFFSET($AK$19,MATCH($B398,$B$19:$B$150,0)-1,0,COUNTA($B$19:$B$24),COUNTA($AK$17:$BB$17)),MATCH($F398,$F$19:$F$24,0),MATCH(AW$17,$AK$17:$BB$17,0))*INDEX($10:$13,MATCH($O398,$R$10:$R$13,0),COLUMN())</f>
        <v>0.49843306890000005</v>
      </c>
      <c r="AX398" s="1050" cm="1">
        <f t="array" aca="1" ref="AX398" ca="1">INDEX(OFFSET($AK$19,MATCH($B398,$B$19:$B$150,0)-1,0,COUNTA($B$19:$B$24),COUNTA($AK$17:$BB$17)),MATCH($F398,$F$19:$F$24,0),MATCH(AX$17,$AK$17:$BB$17,0))*INDEX($10:$13,MATCH($O398,$R$10:$R$13,0),COLUMN())</f>
        <v>1.7086445025000003E-6</v>
      </c>
      <c r="AY398" s="1050" cm="1">
        <f t="array" aca="1" ref="AY398" ca="1">INDEX(OFFSET($AK$19,MATCH($B398,$B$19:$B$150,0)-1,0,COUNTA($B$19:$B$24),COUNTA($AK$17:$BB$17)),MATCH($F398,$F$19:$F$24,0),MATCH(AY$17,$AK$17:$BB$17,0))*INDEX($10:$13,MATCH($O398,$R$10:$R$13,0),COLUMN())</f>
        <v>0</v>
      </c>
      <c r="AZ398" s="1050" cm="1">
        <f t="array" aca="1" ref="AZ398" ca="1">INDEX(OFFSET($AK$19,MATCH($B398,$B$19:$B$150,0)-1,0,COUNTA($B$19:$B$24),COUNTA($AK$17:$BB$17)),MATCH($F398,$F$19:$F$24,0),MATCH(AZ$17,$AK$17:$BB$17,0))*INDEX($10:$13,MATCH($O398,$R$10:$R$13,0),COLUMN())</f>
        <v>0</v>
      </c>
      <c r="BA398" s="1050" cm="1">
        <f t="array" aca="1" ref="BA398" ca="1">INDEX(OFFSET($AK$19,MATCH($B398,$B$19:$B$150,0)-1,0,COUNTA($B$19:$B$24),COUNTA($AK$17:$BB$17)),MATCH($F398,$F$19:$F$24,0),MATCH(BA$17,$AK$17:$BB$17,0))*INDEX($10:$13,MATCH($O398,$R$10:$R$13,0),COLUMN())</f>
        <v>0</v>
      </c>
      <c r="BB398" s="1051" cm="1">
        <f t="array" aca="1" ref="BB398" ca="1">INDEX(OFFSET($AK$19,MATCH($B398,$B$19:$B$150,0)-1,0,COUNTA($B$19:$B$24),COUNTA($AK$17:$BB$17)),MATCH($F398,$F$19:$F$24,0),MATCH(BB$17,$AK$17:$BB$17,0))*INDEX($10:$13,MATCH($O398,$R$10:$R$13,0),COLUMN())</f>
        <v>0</v>
      </c>
      <c r="BC398" s="1053">
        <f t="shared" ca="1" si="171"/>
        <v>0.49843477754450255</v>
      </c>
      <c r="BE398" s="1"/>
      <c r="BF398" s="1"/>
      <c r="BG398" s="1"/>
      <c r="BH398" s="1"/>
      <c r="BI398" s="1"/>
      <c r="BJ398" s="1"/>
      <c r="BK398" s="1"/>
      <c r="BL398" s="1"/>
      <c r="BM398" s="1"/>
      <c r="BN398" s="1"/>
      <c r="BO398" s="1"/>
      <c r="BP398" s="1"/>
      <c r="BQ398" s="1"/>
      <c r="BR398" s="1"/>
      <c r="BS398" s="1"/>
      <c r="BT398" s="1"/>
      <c r="BU398" s="1"/>
      <c r="BV398" s="1"/>
      <c r="BW398" s="1"/>
      <c r="BX398" s="1"/>
      <c r="BY398" s="1"/>
      <c r="BZ398" s="1"/>
    </row>
    <row r="399" spans="2:78" ht="12" customHeight="1" outlineLevel="1" x14ac:dyDescent="0.25">
      <c r="B399" s="88" t="s">
        <v>2366</v>
      </c>
      <c r="C399" s="88" t="s">
        <v>123</v>
      </c>
      <c r="D399" s="89" t="s">
        <v>154</v>
      </c>
      <c r="E399" s="89" t="s">
        <v>155</v>
      </c>
      <c r="F399" s="90" t="s">
        <v>92</v>
      </c>
      <c r="G399" s="18" t="s">
        <v>126</v>
      </c>
      <c r="H399" s="91" t="s">
        <v>127</v>
      </c>
      <c r="I399" s="92" t="s">
        <v>127</v>
      </c>
      <c r="J399" s="142">
        <v>2.15</v>
      </c>
      <c r="K399" s="143">
        <v>3.63</v>
      </c>
      <c r="L399" s="151">
        <f t="shared" ca="1" si="172"/>
        <v>2.6457416367890363</v>
      </c>
      <c r="M399" s="143">
        <f t="shared" ca="1" si="173"/>
        <v>13.234042141544201</v>
      </c>
      <c r="N399" s="162">
        <f t="shared" ca="1" si="170"/>
        <v>9.6040421415442019</v>
      </c>
      <c r="O399" s="1060" t="s">
        <v>1583</v>
      </c>
      <c r="P399" s="88"/>
      <c r="Q399" s="89"/>
      <c r="R399" s="150"/>
      <c r="S399" s="1070"/>
      <c r="T399" s="1070"/>
      <c r="U399" s="1070"/>
      <c r="V399" s="1070"/>
      <c r="W399" s="1070"/>
      <c r="X399" s="1070"/>
      <c r="Y399" s="1070"/>
      <c r="Z399" s="1070"/>
      <c r="AA399" s="1070"/>
      <c r="AB399" s="1070"/>
      <c r="AC399" s="1070"/>
      <c r="AD399" s="1070"/>
      <c r="AE399" s="1070"/>
      <c r="AF399" s="1070"/>
      <c r="AG399" s="1070"/>
      <c r="AH399" s="1070"/>
      <c r="AI399" s="1070"/>
      <c r="AJ399" s="1071"/>
      <c r="AK399" s="1048" cm="1">
        <f t="array" aca="1" ref="AK399" ca="1">INDEX(OFFSET($AK$19,MATCH($B399,$B$19:$B$150,0)-1,0,COUNTA($B$19:$B$24),COUNTA($AK$17:$BB$17)),MATCH($F399,$F$19:$F$24,0),MATCH(AK$17,$AK$17:$BB$17,0))*INDEX($10:$13,MATCH($O399,$R$10:$R$13,0),COLUMN())</f>
        <v>3.1965958050000003</v>
      </c>
      <c r="AL399" s="1046" cm="1">
        <f t="array" aca="1" ref="AL399" ca="1">INDEX(OFFSET($AK$19,MATCH($B399,$B$19:$B$150,0)-1,0,COUNTA($B$19:$B$24),COUNTA($AK$17:$BB$17)),MATCH($F399,$F$19:$F$24,0),MATCH(AL$17,$AK$17:$BB$17,0))*INDEX($10:$13,MATCH($O399,$R$10:$R$13,0),COLUMN())</f>
        <v>8.3408653280000001E-7</v>
      </c>
      <c r="AM399" s="1046" cm="1">
        <f t="array" aca="1" ref="AM399" ca="1">INDEX(OFFSET($AK$19,MATCH($B399,$B$19:$B$150,0)-1,0,COUNTA($B$19:$B$24),COUNTA($AK$17:$BB$17)),MATCH($F399,$F$19:$F$24,0),MATCH(AM$17,$AK$17:$BB$17,0))*INDEX($10:$13,MATCH($O399,$R$10:$R$13,0),COLUMN())</f>
        <v>1.6377769054000001E-3</v>
      </c>
      <c r="AN399" s="1046" cm="1">
        <f t="array" aca="1" ref="AN399" ca="1">INDEX(OFFSET($AK$19,MATCH($B399,$B$19:$B$150,0)-1,0,COUNTA($B$19:$B$24),COUNTA($AK$17:$BB$17)),MATCH($F399,$F$19:$F$24,0),MATCH(AN$17,$AK$17:$BB$17,0))*INDEX($10:$13,MATCH($O399,$R$10:$R$13,0),COLUMN())</f>
        <v>2.0583508449999996E-2</v>
      </c>
      <c r="AO399" s="1046" cm="1">
        <f t="array" aca="1" ref="AO399" ca="1">INDEX(OFFSET($AK$19,MATCH($B399,$B$19:$B$150,0)-1,0,COUNTA($B$19:$B$24),COUNTA($AK$17:$BB$17)),MATCH($F399,$F$19:$F$24,0),MATCH(AO$17,$AK$17:$BB$17,0))*INDEX($10:$13,MATCH($O399,$R$10:$R$13,0),COLUMN())</f>
        <v>2.6084491048</v>
      </c>
      <c r="AP399" s="1046" cm="1">
        <f t="array" aca="1" ref="AP399" ca="1">INDEX(OFFSET($AK$19,MATCH($B399,$B$19:$B$150,0)-1,0,COUNTA($B$19:$B$24),COUNTA($AK$17:$BB$17)),MATCH($F399,$F$19:$F$24,0),MATCH(AP$17,$AK$17:$BB$17,0))*INDEX($10:$13,MATCH($O399,$R$10:$R$13,0),COLUMN())</f>
        <v>2.3829656017999996</v>
      </c>
      <c r="AQ399" s="1046" cm="1">
        <f t="array" aca="1" ref="AQ399" ca="1">INDEX(OFFSET($AK$19,MATCH($B399,$B$19:$B$150,0)-1,0,COUNTA($B$19:$B$24),COUNTA($AK$17:$BB$17)),MATCH($F399,$F$19:$F$24,0),MATCH(AQ$17,$AK$17:$BB$17,0))*INDEX($10:$13,MATCH($O399,$R$10:$R$13,0),COLUMN())</f>
        <v>5.3647660079999999E-3</v>
      </c>
      <c r="AR399" s="1046" cm="1">
        <f t="array" aca="1" ref="AR399" ca="1">INDEX(OFFSET($AK$19,MATCH($B399,$B$19:$B$150,0)-1,0,COUNTA($B$19:$B$24),COUNTA($AK$17:$BB$17)),MATCH($F399,$F$19:$F$24,0),MATCH(AR$17,$AK$17:$BB$17,0))*INDEX($10:$13,MATCH($O399,$R$10:$R$13,0),COLUMN())</f>
        <v>0.6938479353</v>
      </c>
      <c r="AS399" s="1046" cm="1">
        <f t="array" aca="1" ref="AS399" ca="1">INDEX(OFFSET($AK$19,MATCH($B399,$B$19:$B$150,0)-1,0,COUNTA($B$19:$B$24),COUNTA($AK$17:$BB$17)),MATCH($F399,$F$19:$F$24,0),MATCH(AS$17,$AK$17:$BB$17,0))*INDEX($10:$13,MATCH($O399,$R$10:$R$13,0),COLUMN())</f>
        <v>0.29540431447999999</v>
      </c>
      <c r="AT399" s="1046" cm="1">
        <f t="array" aca="1" ref="AT399" ca="1">INDEX(OFFSET($AK$19,MATCH($B399,$B$19:$B$150,0)-1,0,COUNTA($B$19:$B$24),COUNTA($AK$17:$BB$17)),MATCH($F399,$F$19:$F$24,0),MATCH(AT$17,$AK$17:$BB$17,0))*INDEX($10:$13,MATCH($O399,$R$10:$R$13,0),COLUMN())</f>
        <v>3.6220469309999995E-4</v>
      </c>
      <c r="AU399" s="1046" cm="1">
        <f t="array" aca="1" ref="AU399" ca="1">INDEX(OFFSET($AK$19,MATCH($B399,$B$19:$B$150,0)-1,0,COUNTA($B$19:$B$24),COUNTA($AK$17:$BB$17)),MATCH($F399,$F$19:$F$24,0),MATCH(AU$17,$AK$17:$BB$17,0))*INDEX($10:$13,MATCH($O399,$R$10:$R$13,0),COLUMN())</f>
        <v>2.8406743942999999E-5</v>
      </c>
      <c r="AV399" s="1046" cm="1">
        <f t="array" aca="1" ref="AV399" ca="1">INDEX(OFFSET($AK$19,MATCH($B399,$B$19:$B$150,0)-1,0,COUNTA($B$19:$B$24),COUNTA($AK$17:$BB$17)),MATCH($F399,$F$19:$F$24,0),MATCH(AV$17,$AK$17:$BB$17,0))*INDEX($10:$13,MATCH($O399,$R$10:$R$13,0),COLUMN())</f>
        <v>6.7037393118999991E-2</v>
      </c>
      <c r="AW399" s="1046" cm="1">
        <f t="array" aca="1" ref="AW399" ca="1">INDEX(OFFSET($AK$19,MATCH($B399,$B$19:$B$150,0)-1,0,COUNTA($B$19:$B$24),COUNTA($AK$17:$BB$17)),MATCH($F399,$F$19:$F$24,0),MATCH(AW$17,$AK$17:$BB$17,0))*INDEX($10:$13,MATCH($O399,$R$10:$R$13,0),COLUMN())</f>
        <v>0.33176030030000003</v>
      </c>
      <c r="AX399" s="1046" cm="1">
        <f t="array" aca="1" ref="AX399" ca="1">INDEX(OFFSET($AK$19,MATCH($B399,$B$19:$B$150,0)-1,0,COUNTA($B$19:$B$24),COUNTA($AK$17:$BB$17)),MATCH($F399,$F$19:$F$24,0),MATCH(AX$17,$AK$17:$BB$17,0))*INDEX($10:$13,MATCH($O399,$R$10:$R$13,0),COLUMN())</f>
        <v>4.1898582245000006E-6</v>
      </c>
      <c r="AY399" s="1046" cm="1">
        <f t="array" aca="1" ref="AY399" ca="1">INDEX(OFFSET($AK$19,MATCH($B399,$B$19:$B$150,0)-1,0,COUNTA($B$19:$B$24),COUNTA($AK$17:$BB$17)),MATCH($F399,$F$19:$F$24,0),MATCH(AY$17,$AK$17:$BB$17,0))*INDEX($10:$13,MATCH($O399,$R$10:$R$13,0),COLUMN())</f>
        <v>0</v>
      </c>
      <c r="AZ399" s="1046" cm="1">
        <f t="array" aca="1" ref="AZ399" ca="1">INDEX(OFFSET($AK$19,MATCH($B399,$B$19:$B$150,0)-1,0,COUNTA($B$19:$B$24),COUNTA($AK$17:$BB$17)),MATCH($F399,$F$19:$F$24,0),MATCH(AZ$17,$AK$17:$BB$17,0))*INDEX($10:$13,MATCH($O399,$R$10:$R$13,0),COLUMN())</f>
        <v>0</v>
      </c>
      <c r="BA399" s="1046" cm="1">
        <f t="array" aca="1" ref="BA399" ca="1">INDEX(OFFSET($AK$19,MATCH($B399,$B$19:$B$150,0)-1,0,COUNTA($B$19:$B$24),COUNTA($AK$17:$BB$17)),MATCH($F399,$F$19:$F$24,0),MATCH(BA$17,$AK$17:$BB$17,0))*INDEX($10:$13,MATCH($O399,$R$10:$R$13,0),COLUMN())</f>
        <v>0</v>
      </c>
      <c r="BB399" s="1047" cm="1">
        <f t="array" aca="1" ref="BB399" ca="1">INDEX(OFFSET($AK$19,MATCH($B399,$B$19:$B$150,0)-1,0,COUNTA($B$19:$B$24),COUNTA($AK$17:$BB$17)),MATCH($F399,$F$19:$F$24,0),MATCH(BB$17,$AK$17:$BB$17,0))*INDEX($10:$13,MATCH($O399,$R$10:$R$13,0),COLUMN())</f>
        <v>0</v>
      </c>
      <c r="BC399" s="1049">
        <f t="shared" ca="1" si="171"/>
        <v>0.33176449015822451</v>
      </c>
      <c r="BE399" s="1"/>
      <c r="BF399" s="1"/>
      <c r="BG399" s="1"/>
      <c r="BH399" s="1"/>
      <c r="BI399" s="1"/>
      <c r="BJ399" s="1"/>
      <c r="BK399" s="1"/>
      <c r="BL399" s="1"/>
      <c r="BM399" s="1"/>
      <c r="BN399" s="1"/>
      <c r="BO399" s="1"/>
      <c r="BP399" s="1"/>
      <c r="BQ399" s="1"/>
      <c r="BR399" s="1"/>
      <c r="BS399" s="1"/>
      <c r="BT399" s="1"/>
      <c r="BU399" s="1"/>
      <c r="BV399" s="1"/>
      <c r="BW399" s="1"/>
      <c r="BX399" s="1"/>
      <c r="BY399" s="1"/>
      <c r="BZ399" s="1"/>
    </row>
    <row r="400" spans="2:78" ht="12" customHeight="1" outlineLevel="1" x14ac:dyDescent="0.25">
      <c r="B400" s="104" t="s">
        <v>2366</v>
      </c>
      <c r="C400" s="104" t="s">
        <v>123</v>
      </c>
      <c r="D400" s="2" t="s">
        <v>154</v>
      </c>
      <c r="E400" s="2" t="s">
        <v>155</v>
      </c>
      <c r="F400" s="105" t="s">
        <v>122</v>
      </c>
      <c r="G400" s="27" t="s">
        <v>1579</v>
      </c>
      <c r="H400" s="106" t="s">
        <v>128</v>
      </c>
      <c r="I400" s="107" t="s">
        <v>129</v>
      </c>
      <c r="J400" s="147">
        <v>2.15</v>
      </c>
      <c r="K400" s="148">
        <v>4.5</v>
      </c>
      <c r="L400" s="149">
        <f t="shared" ca="1" si="172"/>
        <v>2.1575504019649654</v>
      </c>
      <c r="M400" s="148">
        <f t="shared" ca="1" si="173"/>
        <v>14.208976808842344</v>
      </c>
      <c r="N400" s="163">
        <f t="shared" ca="1" si="170"/>
        <v>9.708976808842344</v>
      </c>
      <c r="O400" s="1061" t="s">
        <v>1583</v>
      </c>
      <c r="P400" s="104"/>
      <c r="R400" s="119"/>
      <c r="S400" s="1072"/>
      <c r="T400" s="1072"/>
      <c r="U400" s="1072"/>
      <c r="V400" s="1072"/>
      <c r="W400" s="1072"/>
      <c r="X400" s="1072"/>
      <c r="Y400" s="1072"/>
      <c r="Z400" s="1072"/>
      <c r="AA400" s="1072"/>
      <c r="AB400" s="1072"/>
      <c r="AC400" s="1072"/>
      <c r="AD400" s="1072"/>
      <c r="AE400" s="1072"/>
      <c r="AF400" s="1072"/>
      <c r="AG400" s="1072"/>
      <c r="AH400" s="1072"/>
      <c r="AI400" s="1072"/>
      <c r="AJ400" s="1073"/>
      <c r="AK400" s="1052" cm="1">
        <f t="array" aca="1" ref="AK400" ca="1">INDEX(OFFSET($AK$19,MATCH($B400,$B$19:$B$150,0)-1,0,COUNTA($B$19:$B$24),COUNTA($AK$17:$BB$17)),MATCH($F400,$F$19:$F$24,0),MATCH(AK$17,$AK$17:$BB$17,0))*INDEX($10:$13,MATCH($O400,$R$10:$R$13,0),COLUMN())</f>
        <v>2.8290715049999999</v>
      </c>
      <c r="AL400" s="1050" cm="1">
        <f t="array" aca="1" ref="AL400" ca="1">INDEX(OFFSET($AK$19,MATCH($B400,$B$19:$B$150,0)-1,0,COUNTA($B$19:$B$24),COUNTA($AK$17:$BB$17)),MATCH($F400,$F$19:$F$24,0),MATCH(AL$17,$AK$17:$BB$17,0))*INDEX($10:$13,MATCH($O400,$R$10:$R$13,0),COLUMN())</f>
        <v>7.5454924959999999E-7</v>
      </c>
      <c r="AM400" s="1050" cm="1">
        <f t="array" aca="1" ref="AM400" ca="1">INDEX(OFFSET($AK$19,MATCH($B400,$B$19:$B$150,0)-1,0,COUNTA($B$19:$B$24),COUNTA($AK$17:$BB$17)),MATCH($F400,$F$19:$F$24,0),MATCH(AM$17,$AK$17:$BB$17,0))*INDEX($10:$13,MATCH($O400,$R$10:$R$13,0),COLUMN())</f>
        <v>1.4149232819000001E-3</v>
      </c>
      <c r="AN400" s="1050" cm="1">
        <f t="array" aca="1" ref="AN400" ca="1">INDEX(OFFSET($AK$19,MATCH($B400,$B$19:$B$150,0)-1,0,COUNTA($B$19:$B$24),COUNTA($AK$17:$BB$17)),MATCH($F400,$F$19:$F$24,0),MATCH(AN$17,$AK$17:$BB$17,0))*INDEX($10:$13,MATCH($O400,$R$10:$R$13,0),COLUMN())</f>
        <v>2.353295255E-2</v>
      </c>
      <c r="AO400" s="1050" cm="1">
        <f t="array" aca="1" ref="AO400" ca="1">INDEX(OFFSET($AK$19,MATCH($B400,$B$19:$B$150,0)-1,0,COUNTA($B$19:$B$24),COUNTA($AK$17:$BB$17)),MATCH($F400,$F$19:$F$24,0),MATCH(AO$17,$AK$17:$BB$17,0))*INDEX($10:$13,MATCH($O400,$R$10:$R$13,0),COLUMN())</f>
        <v>2.9261007384000002</v>
      </c>
      <c r="AP400" s="1050" cm="1">
        <f t="array" aca="1" ref="AP400" ca="1">INDEX(OFFSET($AK$19,MATCH($B400,$B$19:$B$150,0)-1,0,COUNTA($B$19:$B$24),COUNTA($AK$17:$BB$17)),MATCH($F400,$F$19:$F$24,0),MATCH(AP$17,$AK$17:$BB$17,0))*INDEX($10:$13,MATCH($O400,$R$10:$R$13,0),COLUMN())</f>
        <v>2.6705883483999999</v>
      </c>
      <c r="AQ400" s="1050" cm="1">
        <f t="array" aca="1" ref="AQ400" ca="1">INDEX(OFFSET($AK$19,MATCH($B400,$B$19:$B$150,0)-1,0,COUNTA($B$19:$B$24),COUNTA($AK$17:$BB$17)),MATCH($F400,$F$19:$F$24,0),MATCH(AQ$17,$AK$17:$BB$17,0))*INDEX($10:$13,MATCH($O400,$R$10:$R$13,0),COLUMN())</f>
        <v>4.9387570020000002E-3</v>
      </c>
      <c r="AR400" s="1050" cm="1">
        <f t="array" aca="1" ref="AR400" ca="1">INDEX(OFFSET($AK$19,MATCH($B400,$B$19:$B$150,0)-1,0,COUNTA($B$19:$B$24),COUNTA($AK$17:$BB$17)),MATCH($F400,$F$19:$F$24,0),MATCH(AR$17,$AK$17:$BB$17,0))*INDEX($10:$13,MATCH($O400,$R$10:$R$13,0),COLUMN())</f>
        <v>0.65153417719999995</v>
      </c>
      <c r="AS400" s="1050" cm="1">
        <f t="array" aca="1" ref="AS400" ca="1">INDEX(OFFSET($AK$19,MATCH($B400,$B$19:$B$150,0)-1,0,COUNTA($B$19:$B$24),COUNTA($AK$17:$BB$17)),MATCH($F400,$F$19:$F$24,0),MATCH(AS$17,$AK$17:$BB$17,0))*INDEX($10:$13,MATCH($O400,$R$10:$R$13,0),COLUMN())</f>
        <v>1.9770280958999999E-2</v>
      </c>
      <c r="AT400" s="1050" cm="1">
        <f t="array" aca="1" ref="AT400" ca="1">INDEX(OFFSET($AK$19,MATCH($B400,$B$19:$B$150,0)-1,0,COUNTA($B$19:$B$24),COUNTA($AK$17:$BB$17)),MATCH($F400,$F$19:$F$24,0),MATCH(AT$17,$AK$17:$BB$17,0))*INDEX($10:$13,MATCH($O400,$R$10:$R$13,0),COLUMN())</f>
        <v>6.3255358599999999E-5</v>
      </c>
      <c r="AU400" s="1050" cm="1">
        <f t="array" aca="1" ref="AU400" ca="1">INDEX(OFFSET($AK$19,MATCH($B400,$B$19:$B$150,0)-1,0,COUNTA($B$19:$B$24),COUNTA($AK$17:$BB$17)),MATCH($F400,$F$19:$F$24,0),MATCH(AU$17,$AK$17:$BB$17,0))*INDEX($10:$13,MATCH($O400,$R$10:$R$13,0),COLUMN())</f>
        <v>1.4430689479999999E-5</v>
      </c>
      <c r="AV400" s="1050" cm="1">
        <f t="array" aca="1" ref="AV400" ca="1">INDEX(OFFSET($AK$19,MATCH($B400,$B$19:$B$150,0)-1,0,COUNTA($B$19:$B$24),COUNTA($AK$17:$BB$17)),MATCH($F400,$F$19:$F$24,0),MATCH(AV$17,$AK$17:$BB$17,0))*INDEX($10:$13,MATCH($O400,$R$10:$R$13,0),COLUMN())</f>
        <v>3.9624092468E-2</v>
      </c>
      <c r="AW400" s="1050" cm="1">
        <f t="array" aca="1" ref="AW400" ca="1">INDEX(OFFSET($AK$19,MATCH($B400,$B$19:$B$150,0)-1,0,COUNTA($B$19:$B$24),COUNTA($AK$17:$BB$17)),MATCH($F400,$F$19:$F$24,0),MATCH(AW$17,$AK$17:$BB$17,0))*INDEX($10:$13,MATCH($O400,$R$10:$R$13,0),COLUMN())</f>
        <v>0.54232050144999999</v>
      </c>
      <c r="AX400" s="1050" cm="1">
        <f t="array" aca="1" ref="AX400" ca="1">INDEX(OFFSET($AK$19,MATCH($B400,$B$19:$B$150,0)-1,0,COUNTA($B$19:$B$24),COUNTA($AK$17:$BB$17)),MATCH($F400,$F$19:$F$24,0),MATCH(AX$17,$AK$17:$BB$17,0))*INDEX($10:$13,MATCH($O400,$R$10:$R$13,0),COLUMN())</f>
        <v>2.0915341134999999E-6</v>
      </c>
      <c r="AY400" s="1050" cm="1">
        <f t="array" aca="1" ref="AY400" ca="1">INDEX(OFFSET($AK$19,MATCH($B400,$B$19:$B$150,0)-1,0,COUNTA($B$19:$B$24),COUNTA($AK$17:$BB$17)),MATCH($F400,$F$19:$F$24,0),MATCH(AY$17,$AK$17:$BB$17,0))*INDEX($10:$13,MATCH($O400,$R$10:$R$13,0),COLUMN())</f>
        <v>0</v>
      </c>
      <c r="AZ400" s="1050" cm="1">
        <f t="array" aca="1" ref="AZ400" ca="1">INDEX(OFFSET($AK$19,MATCH($B400,$B$19:$B$150,0)-1,0,COUNTA($B$19:$B$24),COUNTA($AK$17:$BB$17)),MATCH($F400,$F$19:$F$24,0),MATCH(AZ$17,$AK$17:$BB$17,0))*INDEX($10:$13,MATCH($O400,$R$10:$R$13,0),COLUMN())</f>
        <v>0</v>
      </c>
      <c r="BA400" s="1050" cm="1">
        <f t="array" aca="1" ref="BA400" ca="1">INDEX(OFFSET($AK$19,MATCH($B400,$B$19:$B$150,0)-1,0,COUNTA($B$19:$B$24),COUNTA($AK$17:$BB$17)),MATCH($F400,$F$19:$F$24,0),MATCH(BA$17,$AK$17:$BB$17,0))*INDEX($10:$13,MATCH($O400,$R$10:$R$13,0),COLUMN())</f>
        <v>0</v>
      </c>
      <c r="BB400" s="1051" cm="1">
        <f t="array" aca="1" ref="BB400" ca="1">INDEX(OFFSET($AK$19,MATCH($B400,$B$19:$B$150,0)-1,0,COUNTA($B$19:$B$24),COUNTA($AK$17:$BB$17)),MATCH($F400,$F$19:$F$24,0),MATCH(BB$17,$AK$17:$BB$17,0))*INDEX($10:$13,MATCH($O400,$R$10:$R$13,0),COLUMN())</f>
        <v>0</v>
      </c>
      <c r="BC400" s="1053">
        <f t="shared" ca="1" si="171"/>
        <v>0.54232259298411345</v>
      </c>
      <c r="BE400" s="1"/>
      <c r="BF400" s="1"/>
      <c r="BG400" s="1"/>
      <c r="BH400" s="1"/>
      <c r="BI400" s="1"/>
      <c r="BJ400" s="1"/>
      <c r="BK400" s="1"/>
      <c r="BL400" s="1"/>
      <c r="BM400" s="1"/>
      <c r="BN400" s="1"/>
      <c r="BO400" s="1"/>
      <c r="BP400" s="1"/>
      <c r="BQ400" s="1"/>
      <c r="BR400" s="1"/>
      <c r="BS400" s="1"/>
      <c r="BT400" s="1"/>
      <c r="BU400" s="1"/>
      <c r="BV400" s="1"/>
      <c r="BW400" s="1"/>
      <c r="BX400" s="1"/>
      <c r="BY400" s="1"/>
      <c r="BZ400" s="1"/>
    </row>
    <row r="401" spans="2:78" ht="12" customHeight="1" outlineLevel="1" x14ac:dyDescent="0.25">
      <c r="B401" s="104" t="s">
        <v>2366</v>
      </c>
      <c r="C401" s="104" t="s">
        <v>123</v>
      </c>
      <c r="D401" s="2" t="s">
        <v>154</v>
      </c>
      <c r="E401" s="2" t="s">
        <v>155</v>
      </c>
      <c r="F401" s="105" t="s">
        <v>93</v>
      </c>
      <c r="G401" s="27" t="s">
        <v>1578</v>
      </c>
      <c r="H401" s="106" t="s">
        <v>130</v>
      </c>
      <c r="I401" s="107" t="s">
        <v>129</v>
      </c>
      <c r="J401" s="147">
        <v>2.15</v>
      </c>
      <c r="K401" s="148">
        <v>4.5</v>
      </c>
      <c r="L401" s="149">
        <f t="shared" ca="1" si="172"/>
        <v>2.136627085258298</v>
      </c>
      <c r="M401" s="148">
        <f t="shared" ca="1" si="173"/>
        <v>14.114821883662341</v>
      </c>
      <c r="N401" s="163">
        <f t="shared" ca="1" si="170"/>
        <v>9.6148218836623407</v>
      </c>
      <c r="O401" s="1061" t="s">
        <v>1583</v>
      </c>
      <c r="P401" s="104"/>
      <c r="R401" s="119"/>
      <c r="S401" s="1072"/>
      <c r="T401" s="1072"/>
      <c r="U401" s="1072"/>
      <c r="V401" s="1072"/>
      <c r="W401" s="1072"/>
      <c r="X401" s="1072"/>
      <c r="Y401" s="1072"/>
      <c r="Z401" s="1072"/>
      <c r="AA401" s="1072"/>
      <c r="AB401" s="1072"/>
      <c r="AC401" s="1072"/>
      <c r="AD401" s="1072"/>
      <c r="AE401" s="1072"/>
      <c r="AF401" s="1072"/>
      <c r="AG401" s="1072"/>
      <c r="AH401" s="1072"/>
      <c r="AI401" s="1072"/>
      <c r="AJ401" s="1073"/>
      <c r="AK401" s="1052" cm="1">
        <f t="array" aca="1" ref="AK401" ca="1">INDEX(OFFSET($AK$19,MATCH($B401,$B$19:$B$150,0)-1,0,COUNTA($B$19:$B$24),COUNTA($AK$17:$BB$17)),MATCH($F401,$F$19:$F$24,0),MATCH(AK$17,$AK$17:$BB$17,0))*INDEX($10:$13,MATCH($O401,$R$10:$R$13,0),COLUMN())</f>
        <v>2.7821560650000001</v>
      </c>
      <c r="AL401" s="1050" cm="1">
        <f t="array" aca="1" ref="AL401" ca="1">INDEX(OFFSET($AK$19,MATCH($B401,$B$19:$B$150,0)-1,0,COUNTA($B$19:$B$24),COUNTA($AK$17:$BB$17)),MATCH($F401,$F$19:$F$24,0),MATCH(AL$17,$AK$17:$BB$17,0))*INDEX($10:$13,MATCH($O401,$R$10:$R$13,0),COLUMN())</f>
        <v>7.6331852479999988E-7</v>
      </c>
      <c r="AM401" s="1050" cm="1">
        <f t="array" aca="1" ref="AM401" ca="1">INDEX(OFFSET($AK$19,MATCH($B401,$B$19:$B$150,0)-1,0,COUNTA($B$19:$B$24),COUNTA($AK$17:$BB$17)),MATCH($F401,$F$19:$F$24,0),MATCH(AM$17,$AK$17:$BB$17,0))*INDEX($10:$13,MATCH($O401,$R$10:$R$13,0),COLUMN())</f>
        <v>1.4307237803E-3</v>
      </c>
      <c r="AN401" s="1050" cm="1">
        <f t="array" aca="1" ref="AN401" ca="1">INDEX(OFFSET($AK$19,MATCH($B401,$B$19:$B$150,0)-1,0,COUNTA($B$19:$B$24),COUNTA($AK$17:$BB$17)),MATCH($F401,$F$19:$F$24,0),MATCH(AN$17,$AK$17:$BB$17,0))*INDEX($10:$13,MATCH($O401,$R$10:$R$13,0),COLUMN())</f>
        <v>2.3490212799999997E-2</v>
      </c>
      <c r="AO401" s="1050" cm="1">
        <f t="array" aca="1" ref="AO401" ca="1">INDEX(OFFSET($AK$19,MATCH($B401,$B$19:$B$150,0)-1,0,COUNTA($B$19:$B$24),COUNTA($AK$17:$BB$17)),MATCH($F401,$F$19:$F$24,0),MATCH(AO$17,$AK$17:$BB$17,0))*INDEX($10:$13,MATCH($O401,$R$10:$R$13,0),COLUMN())</f>
        <v>2.8520731064000002</v>
      </c>
      <c r="AP401" s="1050" cm="1">
        <f t="array" aca="1" ref="AP401" ca="1">INDEX(OFFSET($AK$19,MATCH($B401,$B$19:$B$150,0)-1,0,COUNTA($B$19:$B$24),COUNTA($AK$17:$BB$17)),MATCH($F401,$F$19:$F$24,0),MATCH(AP$17,$AK$17:$BB$17,0))*INDEX($10:$13,MATCH($O401,$R$10:$R$13,0),COLUMN())</f>
        <v>2.5993920049999999</v>
      </c>
      <c r="AQ401" s="1050" cm="1">
        <f t="array" aca="1" ref="AQ401" ca="1">INDEX(OFFSET($AK$19,MATCH($B401,$B$19:$B$150,0)-1,0,COUNTA($B$19:$B$24),COUNTA($AK$17:$BB$17)),MATCH($F401,$F$19:$F$24,0),MATCH(AQ$17,$AK$17:$BB$17,0))*INDEX($10:$13,MATCH($O401,$R$10:$R$13,0),COLUMN())</f>
        <v>4.8319887240000003E-3</v>
      </c>
      <c r="AR401" s="1050" cm="1">
        <f t="array" aca="1" ref="AR401" ca="1">INDEX(OFFSET($AK$19,MATCH($B401,$B$19:$B$150,0)-1,0,COUNTA($B$19:$B$24),COUNTA($AK$17:$BB$17)),MATCH($F401,$F$19:$F$24,0),MATCH(AR$17,$AK$17:$BB$17,0))*INDEX($10:$13,MATCH($O401,$R$10:$R$13,0),COLUMN())</f>
        <v>0.64095961739999996</v>
      </c>
      <c r="AS401" s="1050" cm="1">
        <f t="array" aca="1" ref="AS401" ca="1">INDEX(OFFSET($AK$19,MATCH($B401,$B$19:$B$150,0)-1,0,COUNTA($B$19:$B$24),COUNTA($AK$17:$BB$17)),MATCH($F401,$F$19:$F$24,0),MATCH(AS$17,$AK$17:$BB$17,0))*INDEX($10:$13,MATCH($O401,$R$10:$R$13,0),COLUMN())</f>
        <v>1.9445621689999998E-2</v>
      </c>
      <c r="AT401" s="1050" cm="1">
        <f t="array" aca="1" ref="AT401" ca="1">INDEX(OFFSET($AK$19,MATCH($B401,$B$19:$B$150,0)-1,0,COUNTA($B$19:$B$24),COUNTA($AK$17:$BB$17)),MATCH($F401,$F$19:$F$24,0),MATCH(AT$17,$AK$17:$BB$17,0))*INDEX($10:$13,MATCH($O401,$R$10:$R$13,0),COLUMN())</f>
        <v>6.4427958800000005E-5</v>
      </c>
      <c r="AU401" s="1050" cm="1">
        <f t="array" aca="1" ref="AU401" ca="1">INDEX(OFFSET($AK$19,MATCH($B401,$B$19:$B$150,0)-1,0,COUNTA($B$19:$B$24),COUNTA($AK$17:$BB$17)),MATCH($F401,$F$19:$F$24,0),MATCH(AU$17,$AK$17:$BB$17,0))*INDEX($10:$13,MATCH($O401,$R$10:$R$13,0),COLUMN())</f>
        <v>1.4640462020000001E-5</v>
      </c>
      <c r="AV401" s="1050" cm="1">
        <f t="array" aca="1" ref="AV401" ca="1">INDEX(OFFSET($AK$19,MATCH($B401,$B$19:$B$150,0)-1,0,COUNTA($B$19:$B$24),COUNTA($AK$17:$BB$17)),MATCH($F401,$F$19:$F$24,0),MATCH(AV$17,$AK$17:$BB$17,0))*INDEX($10:$13,MATCH($O401,$R$10:$R$13,0),COLUMN())</f>
        <v>3.9305313533999992E-2</v>
      </c>
      <c r="AW401" s="1050" cm="1">
        <f t="array" aca="1" ref="AW401" ca="1">INDEX(OFFSET($AK$19,MATCH($B401,$B$19:$B$150,0)-1,0,COUNTA($B$19:$B$24),COUNTA($AK$17:$BB$17)),MATCH($F401,$F$19:$F$24,0),MATCH(AW$17,$AK$17:$BB$17,0))*INDEX($10:$13,MATCH($O401,$R$10:$R$13,0),COLUMN())</f>
        <v>0.6516553303</v>
      </c>
      <c r="AX401" s="1050" cm="1">
        <f t="array" aca="1" ref="AX401" ca="1">INDEX(OFFSET($AK$19,MATCH($B401,$B$19:$B$150,0)-1,0,COUNTA($B$19:$B$24),COUNTA($AK$17:$BB$17)),MATCH($F401,$F$19:$F$24,0),MATCH(AX$17,$AK$17:$BB$17,0))*INDEX($10:$13,MATCH($O401,$R$10:$R$13,0),COLUMN())</f>
        <v>2.0672946970000002E-6</v>
      </c>
      <c r="AY401" s="1050" cm="1">
        <f t="array" aca="1" ref="AY401" ca="1">INDEX(OFFSET($AK$19,MATCH($B401,$B$19:$B$150,0)-1,0,COUNTA($B$19:$B$24),COUNTA($AK$17:$BB$17)),MATCH($F401,$F$19:$F$24,0),MATCH(AY$17,$AK$17:$BB$17,0))*INDEX($10:$13,MATCH($O401,$R$10:$R$13,0),COLUMN())</f>
        <v>0</v>
      </c>
      <c r="AZ401" s="1050" cm="1">
        <f t="array" aca="1" ref="AZ401" ca="1">INDEX(OFFSET($AK$19,MATCH($B401,$B$19:$B$150,0)-1,0,COUNTA($B$19:$B$24),COUNTA($AK$17:$BB$17)),MATCH($F401,$F$19:$F$24,0),MATCH(AZ$17,$AK$17:$BB$17,0))*INDEX($10:$13,MATCH($O401,$R$10:$R$13,0),COLUMN())</f>
        <v>0</v>
      </c>
      <c r="BA401" s="1050" cm="1">
        <f t="array" aca="1" ref="BA401" ca="1">INDEX(OFFSET($AK$19,MATCH($B401,$B$19:$B$150,0)-1,0,COUNTA($B$19:$B$24),COUNTA($AK$17:$BB$17)),MATCH($F401,$F$19:$F$24,0),MATCH(BA$17,$AK$17:$BB$17,0))*INDEX($10:$13,MATCH($O401,$R$10:$R$13,0),COLUMN())</f>
        <v>0</v>
      </c>
      <c r="BB401" s="1051" cm="1">
        <f t="array" aca="1" ref="BB401" ca="1">INDEX(OFFSET($AK$19,MATCH($B401,$B$19:$B$150,0)-1,0,COUNTA($B$19:$B$24),COUNTA($AK$17:$BB$17)),MATCH($F401,$F$19:$F$24,0),MATCH(BB$17,$AK$17:$BB$17,0))*INDEX($10:$13,MATCH($O401,$R$10:$R$13,0),COLUMN())</f>
        <v>0</v>
      </c>
      <c r="BC401" s="1053">
        <f t="shared" ca="1" si="171"/>
        <v>0.65165739759469699</v>
      </c>
      <c r="BE401" s="1"/>
      <c r="BF401" s="1"/>
      <c r="BG401" s="1"/>
      <c r="BH401" s="1"/>
      <c r="BI401" s="1"/>
      <c r="BJ401" s="1"/>
      <c r="BK401" s="1"/>
      <c r="BL401" s="1"/>
      <c r="BM401" s="1"/>
      <c r="BN401" s="1"/>
      <c r="BO401" s="1"/>
      <c r="BP401" s="1"/>
      <c r="BQ401" s="1"/>
      <c r="BR401" s="1"/>
      <c r="BS401" s="1"/>
      <c r="BT401" s="1"/>
      <c r="BU401" s="1"/>
      <c r="BV401" s="1"/>
      <c r="BW401" s="1"/>
      <c r="BX401" s="1"/>
      <c r="BY401" s="1"/>
      <c r="BZ401" s="1"/>
    </row>
    <row r="402" spans="2:78" ht="12" customHeight="1" outlineLevel="1" x14ac:dyDescent="0.25">
      <c r="B402" s="104" t="s">
        <v>2366</v>
      </c>
      <c r="C402" s="104" t="s">
        <v>123</v>
      </c>
      <c r="D402" s="2" t="s">
        <v>154</v>
      </c>
      <c r="E402" s="2" t="s">
        <v>155</v>
      </c>
      <c r="F402" s="105" t="s">
        <v>94</v>
      </c>
      <c r="G402" s="27" t="s">
        <v>1580</v>
      </c>
      <c r="H402" s="106" t="s">
        <v>131</v>
      </c>
      <c r="I402" s="107" t="s">
        <v>129</v>
      </c>
      <c r="J402" s="147">
        <v>2.15</v>
      </c>
      <c r="K402" s="148">
        <v>4.5</v>
      </c>
      <c r="L402" s="149">
        <f t="shared" ca="1" si="172"/>
        <v>2.1826445373491232</v>
      </c>
      <c r="M402" s="148">
        <f t="shared" ca="1" si="173"/>
        <v>14.321900418071055</v>
      </c>
      <c r="N402" s="163">
        <f t="shared" ca="1" si="170"/>
        <v>9.8219004180710545</v>
      </c>
      <c r="O402" s="1061" t="s">
        <v>1583</v>
      </c>
      <c r="P402" s="104"/>
      <c r="R402" s="119"/>
      <c r="S402" s="1072"/>
      <c r="T402" s="1072"/>
      <c r="U402" s="1072"/>
      <c r="V402" s="1072"/>
      <c r="W402" s="1072"/>
      <c r="X402" s="1072"/>
      <c r="Y402" s="1072"/>
      <c r="Z402" s="1072"/>
      <c r="AA402" s="1072"/>
      <c r="AB402" s="1072"/>
      <c r="AC402" s="1072"/>
      <c r="AD402" s="1072"/>
      <c r="AE402" s="1072"/>
      <c r="AF402" s="1072"/>
      <c r="AG402" s="1072"/>
      <c r="AH402" s="1072"/>
      <c r="AI402" s="1072"/>
      <c r="AJ402" s="1073"/>
      <c r="AK402" s="1052" cm="1">
        <f t="array" aca="1" ref="AK402" ca="1">INDEX(OFFSET($AK$19,MATCH($B402,$B$19:$B$150,0)-1,0,COUNTA($B$19:$B$24),COUNTA($AK$17:$BB$17)),MATCH($F402,$F$19:$F$24,0),MATCH(AK$17,$AK$17:$BB$17,0))*INDEX($10:$13,MATCH($O402,$R$10:$R$13,0),COLUMN())</f>
        <v>2.8755756900000002</v>
      </c>
      <c r="AL402" s="1050" cm="1">
        <f t="array" aca="1" ref="AL402" ca="1">INDEX(OFFSET($AK$19,MATCH($B402,$B$19:$B$150,0)-1,0,COUNTA($B$19:$B$24),COUNTA($AK$17:$BB$17)),MATCH($F402,$F$19:$F$24,0),MATCH(AL$17,$AK$17:$BB$17,0))*INDEX($10:$13,MATCH($O402,$R$10:$R$13,0),COLUMN())</f>
        <v>7.521728512E-7</v>
      </c>
      <c r="AM402" s="1050" cm="1">
        <f t="array" aca="1" ref="AM402" ca="1">INDEX(OFFSET($AK$19,MATCH($B402,$B$19:$B$150,0)-1,0,COUNTA($B$19:$B$24),COUNTA($AK$17:$BB$17)),MATCH($F402,$F$19:$F$24,0),MATCH(AM$17,$AK$17:$BB$17,0))*INDEX($10:$13,MATCH($O402,$R$10:$R$13,0),COLUMN())</f>
        <v>1.4109117060000002E-3</v>
      </c>
      <c r="AN402" s="1050" cm="1">
        <f t="array" aca="1" ref="AN402" ca="1">INDEX(OFFSET($AK$19,MATCH($B402,$B$19:$B$150,0)-1,0,COUNTA($B$19:$B$24),COUNTA($AK$17:$BB$17)),MATCH($F402,$F$19:$F$24,0),MATCH(AN$17,$AK$17:$BB$17,0))*INDEX($10:$13,MATCH($O402,$R$10:$R$13,0),COLUMN())</f>
        <v>2.3676929100000001E-2</v>
      </c>
      <c r="AO402" s="1050" cm="1">
        <f t="array" aca="1" ref="AO402" ca="1">INDEX(OFFSET($AK$19,MATCH($B402,$B$19:$B$150,0)-1,0,COUNTA($B$19:$B$24),COUNTA($AK$17:$BB$17)),MATCH($F402,$F$19:$F$24,0),MATCH(AO$17,$AK$17:$BB$17,0))*INDEX($10:$13,MATCH($O402,$R$10:$R$13,0),COLUMN())</f>
        <v>2.9916457648000003</v>
      </c>
      <c r="AP402" s="1050" cm="1">
        <f t="array" aca="1" ref="AP402" ca="1">INDEX(OFFSET($AK$19,MATCH($B402,$B$19:$B$150,0)-1,0,COUNTA($B$19:$B$24),COUNTA($AK$17:$BB$17)),MATCH($F402,$F$19:$F$24,0),MATCH(AP$17,$AK$17:$BB$17,0))*INDEX($10:$13,MATCH($O402,$R$10:$R$13,0),COLUMN())</f>
        <v>2.7329276548000001</v>
      </c>
      <c r="AQ402" s="1050" cm="1">
        <f t="array" aca="1" ref="AQ402" ca="1">INDEX(OFFSET($AK$19,MATCH($B402,$B$19:$B$150,0)-1,0,COUNTA($B$19:$B$24),COUNTA($AK$17:$BB$17)),MATCH($F402,$F$19:$F$24,0),MATCH(AQ$17,$AK$17:$BB$17,0))*INDEX($10:$13,MATCH($O402,$R$10:$R$13,0),COLUMN())</f>
        <v>5.0368600980000003E-3</v>
      </c>
      <c r="AR402" s="1050" cm="1">
        <f t="array" aca="1" ref="AR402" ca="1">INDEX(OFFSET($AK$19,MATCH($B402,$B$19:$B$150,0)-1,0,COUNTA($B$19:$B$24),COUNTA($AK$17:$BB$17)),MATCH($F402,$F$19:$F$24,0),MATCH(AR$17,$AK$17:$BB$17,0))*INDEX($10:$13,MATCH($O402,$R$10:$R$13,0),COLUMN())</f>
        <v>0.66190640039999993</v>
      </c>
      <c r="AS402" s="1050" cm="1">
        <f t="array" aca="1" ref="AS402" ca="1">INDEX(OFFSET($AK$19,MATCH($B402,$B$19:$B$150,0)-1,0,COUNTA($B$19:$B$24),COUNTA($AK$17:$BB$17)),MATCH($F402,$F$19:$F$24,0),MATCH(AS$17,$AK$17:$BB$17,0))*INDEX($10:$13,MATCH($O402,$R$10:$R$13,0),COLUMN())</f>
        <v>2.0090700377E-2</v>
      </c>
      <c r="AT402" s="1050" cm="1">
        <f t="array" aca="1" ref="AT402" ca="1">INDEX(OFFSET($AK$19,MATCH($B402,$B$19:$B$150,0)-1,0,COUNTA($B$19:$B$24),COUNTA($AK$17:$BB$17)),MATCH($F402,$F$19:$F$24,0),MATCH(AT$17,$AK$17:$BB$17,0))*INDEX($10:$13,MATCH($O402,$R$10:$R$13,0),COLUMN())</f>
        <v>6.275720748E-5</v>
      </c>
      <c r="AU402" s="1050" cm="1">
        <f t="array" aca="1" ref="AU402" ca="1">INDEX(OFFSET($AK$19,MATCH($B402,$B$19:$B$150,0)-1,0,COUNTA($B$19:$B$24),COUNTA($AK$17:$BB$17)),MATCH($F402,$F$19:$F$24,0),MATCH(AU$17,$AK$17:$BB$17,0))*INDEX($10:$13,MATCH($O402,$R$10:$R$13,0),COLUMN())</f>
        <v>1.4356675673999999E-5</v>
      </c>
      <c r="AV402" s="1050" cm="1">
        <f t="array" aca="1" ref="AV402" ca="1">INDEX(OFFSET($AK$19,MATCH($B402,$B$19:$B$150,0)-1,0,COUNTA($B$19:$B$24),COUNTA($AK$17:$BB$17)),MATCH($F402,$F$19:$F$24,0),MATCH(AV$17,$AK$17:$BB$17,0))*INDEX($10:$13,MATCH($O402,$R$10:$R$13,0),COLUMN())</f>
        <v>4.0038488036999997E-2</v>
      </c>
      <c r="AW402" s="1050" cm="1">
        <f t="array" aca="1" ref="AW402" ca="1">INDEX(OFFSET($AK$19,MATCH($B402,$B$19:$B$150,0)-1,0,COUNTA($B$19:$B$24),COUNTA($AK$17:$BB$17)),MATCH($F402,$F$19:$F$24,0),MATCH(AW$17,$AK$17:$BB$17,0))*INDEX($10:$13,MATCH($O402,$R$10:$R$13,0),COLUMN())</f>
        <v>0.46951103420000001</v>
      </c>
      <c r="AX402" s="1050" cm="1">
        <f t="array" aca="1" ref="AX402" ca="1">INDEX(OFFSET($AK$19,MATCH($B402,$B$19:$B$150,0)-1,0,COUNTA($B$19:$B$24),COUNTA($AK$17:$BB$17)),MATCH($F402,$F$19:$F$24,0),MATCH(AX$17,$AK$17:$BB$17,0))*INDEX($10:$13,MATCH($O402,$R$10:$R$13,0),COLUMN())</f>
        <v>2.1184970495000001E-6</v>
      </c>
      <c r="AY402" s="1050" cm="1">
        <f t="array" aca="1" ref="AY402" ca="1">INDEX(OFFSET($AK$19,MATCH($B402,$B$19:$B$150,0)-1,0,COUNTA($B$19:$B$24),COUNTA($AK$17:$BB$17)),MATCH($F402,$F$19:$F$24,0),MATCH(AY$17,$AK$17:$BB$17,0))*INDEX($10:$13,MATCH($O402,$R$10:$R$13,0),COLUMN())</f>
        <v>0</v>
      </c>
      <c r="AZ402" s="1050" cm="1">
        <f t="array" aca="1" ref="AZ402" ca="1">INDEX(OFFSET($AK$19,MATCH($B402,$B$19:$B$150,0)-1,0,COUNTA($B$19:$B$24),COUNTA($AK$17:$BB$17)),MATCH($F402,$F$19:$F$24,0),MATCH(AZ$17,$AK$17:$BB$17,0))*INDEX($10:$13,MATCH($O402,$R$10:$R$13,0),COLUMN())</f>
        <v>0</v>
      </c>
      <c r="BA402" s="1050" cm="1">
        <f t="array" aca="1" ref="BA402" ca="1">INDEX(OFFSET($AK$19,MATCH($B402,$B$19:$B$150,0)-1,0,COUNTA($B$19:$B$24),COUNTA($AK$17:$BB$17)),MATCH($F402,$F$19:$F$24,0),MATCH(BA$17,$AK$17:$BB$17,0))*INDEX($10:$13,MATCH($O402,$R$10:$R$13,0),COLUMN())</f>
        <v>0</v>
      </c>
      <c r="BB402" s="1051" cm="1">
        <f t="array" aca="1" ref="BB402" ca="1">INDEX(OFFSET($AK$19,MATCH($B402,$B$19:$B$150,0)-1,0,COUNTA($B$19:$B$24),COUNTA($AK$17:$BB$17)),MATCH($F402,$F$19:$F$24,0),MATCH(BB$17,$AK$17:$BB$17,0))*INDEX($10:$13,MATCH($O402,$R$10:$R$13,0),COLUMN())</f>
        <v>0</v>
      </c>
      <c r="BC402" s="1053">
        <f t="shared" ca="1" si="171"/>
        <v>0.46951315269704952</v>
      </c>
      <c r="BE402" s="1"/>
      <c r="BF402" s="1"/>
      <c r="BG402" s="1"/>
      <c r="BH402" s="1"/>
      <c r="BI402" s="1"/>
      <c r="BJ402" s="1"/>
      <c r="BK402" s="1"/>
      <c r="BL402" s="1"/>
      <c r="BM402" s="1"/>
      <c r="BN402" s="1"/>
      <c r="BO402" s="1"/>
      <c r="BP402" s="1"/>
      <c r="BQ402" s="1"/>
      <c r="BR402" s="1"/>
      <c r="BS402" s="1"/>
      <c r="BT402" s="1"/>
      <c r="BU402" s="1"/>
      <c r="BV402" s="1"/>
      <c r="BW402" s="1"/>
      <c r="BX402" s="1"/>
      <c r="BY402" s="1"/>
      <c r="BZ402" s="1"/>
    </row>
    <row r="403" spans="2:78" ht="12" customHeight="1" outlineLevel="1" x14ac:dyDescent="0.25">
      <c r="B403" s="104" t="s">
        <v>2366</v>
      </c>
      <c r="C403" s="104" t="s">
        <v>123</v>
      </c>
      <c r="D403" s="2" t="s">
        <v>154</v>
      </c>
      <c r="E403" s="2" t="s">
        <v>155</v>
      </c>
      <c r="F403" s="105" t="s">
        <v>95</v>
      </c>
      <c r="G403" s="27" t="s">
        <v>1581</v>
      </c>
      <c r="H403" s="106" t="s">
        <v>128</v>
      </c>
      <c r="I403" s="107" t="s">
        <v>127</v>
      </c>
      <c r="J403" s="147">
        <v>2.15</v>
      </c>
      <c r="K403" s="148">
        <v>4.5</v>
      </c>
      <c r="L403" s="149">
        <f t="shared" ca="1" si="172"/>
        <v>2.1856880933110912</v>
      </c>
      <c r="M403" s="148">
        <f t="shared" ca="1" si="173"/>
        <v>14.335596419899911</v>
      </c>
      <c r="N403" s="163">
        <f t="shared" ca="1" si="170"/>
        <v>9.8355964198999111</v>
      </c>
      <c r="O403" s="1061" t="s">
        <v>1583</v>
      </c>
      <c r="P403" s="104"/>
      <c r="R403" s="119"/>
      <c r="S403" s="1072"/>
      <c r="T403" s="1072"/>
      <c r="U403" s="1072"/>
      <c r="V403" s="1072"/>
      <c r="W403" s="1072"/>
      <c r="X403" s="1072"/>
      <c r="Y403" s="1072"/>
      <c r="Z403" s="1072"/>
      <c r="AA403" s="1072"/>
      <c r="AB403" s="1072"/>
      <c r="AC403" s="1072"/>
      <c r="AD403" s="1072"/>
      <c r="AE403" s="1072"/>
      <c r="AF403" s="1072"/>
      <c r="AG403" s="1072"/>
      <c r="AH403" s="1072"/>
      <c r="AI403" s="1072"/>
      <c r="AJ403" s="1073"/>
      <c r="AK403" s="1052" cm="1">
        <f t="array" aca="1" ref="AK403" ca="1">INDEX(OFFSET($AK$19,MATCH($B403,$B$19:$B$150,0)-1,0,COUNTA($B$19:$B$24),COUNTA($AK$17:$BB$17)),MATCH($F403,$F$19:$F$24,0),MATCH(AK$17,$AK$17:$BB$17,0))*INDEX($10:$13,MATCH($O403,$R$10:$R$13,0),COLUMN())</f>
        <v>2.8446442049999998</v>
      </c>
      <c r="AL403" s="1050" cm="1">
        <f t="array" aca="1" ref="AL403" ca="1">INDEX(OFFSET($AK$19,MATCH($B403,$B$19:$B$150,0)-1,0,COUNTA($B$19:$B$24),COUNTA($AK$17:$BB$17)),MATCH($F403,$F$19:$F$24,0),MATCH(AL$17,$AK$17:$BB$17,0))*INDEX($10:$13,MATCH($O403,$R$10:$R$13,0),COLUMN())</f>
        <v>7.5557023359999995E-7</v>
      </c>
      <c r="AM403" s="1050" cm="1">
        <f t="array" aca="1" ref="AM403" ca="1">INDEX(OFFSET($AK$19,MATCH($B403,$B$19:$B$150,0)-1,0,COUNTA($B$19:$B$24),COUNTA($AK$17:$BB$17)),MATCH($F403,$F$19:$F$24,0),MATCH(AM$17,$AK$17:$BB$17,0))*INDEX($10:$13,MATCH($O403,$R$10:$R$13,0),COLUMN())</f>
        <v>1.4168073889000001E-3</v>
      </c>
      <c r="AN403" s="1050" cm="1">
        <f t="array" aca="1" ref="AN403" ca="1">INDEX(OFFSET($AK$19,MATCH($B403,$B$19:$B$150,0)-1,0,COUNTA($B$19:$B$24),COUNTA($AK$17:$BB$17)),MATCH($F403,$F$19:$F$24,0),MATCH(AN$17,$AK$17:$BB$17,0))*INDEX($10:$13,MATCH($O403,$R$10:$R$13,0),COLUMN())</f>
        <v>2.3732066999999999E-2</v>
      </c>
      <c r="AO403" s="1050" cm="1">
        <f t="array" aca="1" ref="AO403" ca="1">INDEX(OFFSET($AK$19,MATCH($B403,$B$19:$B$150,0)-1,0,COUNTA($B$19:$B$24),COUNTA($AK$17:$BB$17)),MATCH($F403,$F$19:$F$24,0),MATCH(AO$17,$AK$17:$BB$17,0))*INDEX($10:$13,MATCH($O403,$R$10:$R$13,0),COLUMN())</f>
        <v>2.9697406480000001</v>
      </c>
      <c r="AP403" s="1050" cm="1">
        <f t="array" aca="1" ref="AP403" ca="1">INDEX(OFFSET($AK$19,MATCH($B403,$B$19:$B$150,0)-1,0,COUNTA($B$19:$B$24),COUNTA($AK$17:$BB$17)),MATCH($F403,$F$19:$F$24,0),MATCH(AP$17,$AK$17:$BB$17,0))*INDEX($10:$13,MATCH($O403,$R$10:$R$13,0),COLUMN())</f>
        <v>2.7118747844999995</v>
      </c>
      <c r="AQ403" s="1050" cm="1">
        <f t="array" aca="1" ref="AQ403" ca="1">INDEX(OFFSET($AK$19,MATCH($B403,$B$19:$B$150,0)-1,0,COUNTA($B$19:$B$24),COUNTA($AK$17:$BB$17)),MATCH($F403,$F$19:$F$24,0),MATCH(AQ$17,$AK$17:$BB$17,0))*INDEX($10:$13,MATCH($O403,$R$10:$R$13,0),COLUMN())</f>
        <v>5.3190211680000004E-3</v>
      </c>
      <c r="AR403" s="1050" cm="1">
        <f t="array" aca="1" ref="AR403" ca="1">INDEX(OFFSET($AK$19,MATCH($B403,$B$19:$B$150,0)-1,0,COUNTA($B$19:$B$24),COUNTA($AK$17:$BB$17)),MATCH($F403,$F$19:$F$24,0),MATCH(AR$17,$AK$17:$BB$17,0))*INDEX($10:$13,MATCH($O403,$R$10:$R$13,0),COLUMN())</f>
        <v>0.66250069029999992</v>
      </c>
      <c r="AS403" s="1050" cm="1">
        <f t="array" aca="1" ref="AS403" ca="1">INDEX(OFFSET($AK$19,MATCH($B403,$B$19:$B$150,0)-1,0,COUNTA($B$19:$B$24),COUNTA($AK$17:$BB$17)),MATCH($F403,$F$19:$F$24,0),MATCH(AS$17,$AK$17:$BB$17,0))*INDEX($10:$13,MATCH($O403,$R$10:$R$13,0),COLUMN())</f>
        <v>2.5891317088999999E-2</v>
      </c>
      <c r="AT403" s="1050" cm="1">
        <f t="array" aca="1" ref="AT403" ca="1">INDEX(OFFSET($AK$19,MATCH($B403,$B$19:$B$150,0)-1,0,COUNTA($B$19:$B$24),COUNTA($AK$17:$BB$17)),MATCH($F403,$F$19:$F$24,0),MATCH(AT$17,$AK$17:$BB$17,0))*INDEX($10:$13,MATCH($O403,$R$10:$R$13,0),COLUMN())</f>
        <v>6.7995721799999994E-5</v>
      </c>
      <c r="AU403" s="1050" cm="1">
        <f t="array" aca="1" ref="AU403" ca="1">INDEX(OFFSET($AK$19,MATCH($B403,$B$19:$B$150,0)-1,0,COUNTA($B$19:$B$24),COUNTA($AK$17:$BB$17)),MATCH($F403,$F$19:$F$24,0),MATCH(AU$17,$AK$17:$BB$17,0))*INDEX($10:$13,MATCH($O403,$R$10:$R$13,0),COLUMN())</f>
        <v>1.5162592863000002E-5</v>
      </c>
      <c r="AV403" s="1050" cm="1">
        <f t="array" aca="1" ref="AV403" ca="1">INDEX(OFFSET($AK$19,MATCH($B403,$B$19:$B$150,0)-1,0,COUNTA($B$19:$B$24),COUNTA($AK$17:$BB$17)),MATCH($F403,$F$19:$F$24,0),MATCH(AV$17,$AK$17:$BB$17,0))*INDEX($10:$13,MATCH($O403,$R$10:$R$13,0),COLUMN())</f>
        <v>4.8070372585E-2</v>
      </c>
      <c r="AW403" s="1050" cm="1">
        <f t="array" aca="1" ref="AW403" ca="1">INDEX(OFFSET($AK$19,MATCH($B403,$B$19:$B$150,0)-1,0,COUNTA($B$19:$B$24),COUNTA($AK$17:$BB$17)),MATCH($F403,$F$19:$F$24,0),MATCH(AW$17,$AK$17:$BB$17,0))*INDEX($10:$13,MATCH($O403,$R$10:$R$13,0),COLUMN())</f>
        <v>0.54232050144999999</v>
      </c>
      <c r="AX403" s="1050" cm="1">
        <f t="array" aca="1" ref="AX403" ca="1">INDEX(OFFSET($AK$19,MATCH($B403,$B$19:$B$150,0)-1,0,COUNTA($B$19:$B$24),COUNTA($AK$17:$BB$17)),MATCH($F403,$F$19:$F$24,0),MATCH(AX$17,$AK$17:$BB$17,0))*INDEX($10:$13,MATCH($O403,$R$10:$R$13,0),COLUMN())</f>
        <v>2.0915341134999999E-6</v>
      </c>
      <c r="AY403" s="1050" cm="1">
        <f t="array" aca="1" ref="AY403" ca="1">INDEX(OFFSET($AK$19,MATCH($B403,$B$19:$B$150,0)-1,0,COUNTA($B$19:$B$24),COUNTA($AK$17:$BB$17)),MATCH($F403,$F$19:$F$24,0),MATCH(AY$17,$AK$17:$BB$17,0))*INDEX($10:$13,MATCH($O403,$R$10:$R$13,0),COLUMN())</f>
        <v>0</v>
      </c>
      <c r="AZ403" s="1050" cm="1">
        <f t="array" aca="1" ref="AZ403" ca="1">INDEX(OFFSET($AK$19,MATCH($B403,$B$19:$B$150,0)-1,0,COUNTA($B$19:$B$24),COUNTA($AK$17:$BB$17)),MATCH($F403,$F$19:$F$24,0),MATCH(AZ$17,$AK$17:$BB$17,0))*INDEX($10:$13,MATCH($O403,$R$10:$R$13,0),COLUMN())</f>
        <v>0</v>
      </c>
      <c r="BA403" s="1050" cm="1">
        <f t="array" aca="1" ref="BA403" ca="1">INDEX(OFFSET($AK$19,MATCH($B403,$B$19:$B$150,0)-1,0,COUNTA($B$19:$B$24),COUNTA($AK$17:$BB$17)),MATCH($F403,$F$19:$F$24,0),MATCH(BA$17,$AK$17:$BB$17,0))*INDEX($10:$13,MATCH($O403,$R$10:$R$13,0),COLUMN())</f>
        <v>0</v>
      </c>
      <c r="BB403" s="1051" cm="1">
        <f t="array" aca="1" ref="BB403" ca="1">INDEX(OFFSET($AK$19,MATCH($B403,$B$19:$B$150,0)-1,0,COUNTA($B$19:$B$24),COUNTA($AK$17:$BB$17)),MATCH($F403,$F$19:$F$24,0),MATCH(BB$17,$AK$17:$BB$17,0))*INDEX($10:$13,MATCH($O403,$R$10:$R$13,0),COLUMN())</f>
        <v>0</v>
      </c>
      <c r="BC403" s="1053">
        <f t="shared" ca="1" si="171"/>
        <v>0.54232259298411345</v>
      </c>
      <c r="BE403" s="1"/>
      <c r="BF403" s="1"/>
      <c r="BG403" s="1"/>
      <c r="BH403" s="1"/>
      <c r="BI403" s="1"/>
      <c r="BJ403" s="1"/>
      <c r="BK403" s="1"/>
      <c r="BL403" s="1"/>
      <c r="BM403" s="1"/>
      <c r="BN403" s="1"/>
      <c r="BO403" s="1"/>
      <c r="BP403" s="1"/>
      <c r="BQ403" s="1"/>
      <c r="BR403" s="1"/>
      <c r="BS403" s="1"/>
      <c r="BT403" s="1"/>
      <c r="BU403" s="1"/>
      <c r="BV403" s="1"/>
      <c r="BW403" s="1"/>
      <c r="BX403" s="1"/>
      <c r="BY403" s="1"/>
      <c r="BZ403" s="1"/>
    </row>
    <row r="404" spans="2:78" ht="12" customHeight="1" outlineLevel="1" x14ac:dyDescent="0.25">
      <c r="B404" s="104" t="s">
        <v>2366</v>
      </c>
      <c r="C404" s="104" t="s">
        <v>123</v>
      </c>
      <c r="D404" s="2" t="s">
        <v>154</v>
      </c>
      <c r="E404" s="2" t="s">
        <v>155</v>
      </c>
      <c r="F404" s="105" t="s">
        <v>96</v>
      </c>
      <c r="G404" s="27" t="s">
        <v>1582</v>
      </c>
      <c r="H404" s="106" t="s">
        <v>128</v>
      </c>
      <c r="I404" s="107" t="s">
        <v>1577</v>
      </c>
      <c r="J404" s="147">
        <v>2.15</v>
      </c>
      <c r="K404" s="148">
        <v>4.5</v>
      </c>
      <c r="L404" s="149">
        <f t="shared" ca="1" si="172"/>
        <v>2.5540451506853032</v>
      </c>
      <c r="M404" s="148">
        <f t="shared" ca="1" si="173"/>
        <v>15.993203178083865</v>
      </c>
      <c r="N404" s="163">
        <f t="shared" ca="1" si="170"/>
        <v>11.493203178083865</v>
      </c>
      <c r="O404" s="1061" t="s">
        <v>1583</v>
      </c>
      <c r="P404" s="104"/>
      <c r="R404" s="119"/>
      <c r="S404" s="1072"/>
      <c r="T404" s="1072"/>
      <c r="U404" s="1072"/>
      <c r="V404" s="1072"/>
      <c r="W404" s="1072"/>
      <c r="X404" s="1072"/>
      <c r="Y404" s="1072"/>
      <c r="Z404" s="1072"/>
      <c r="AA404" s="1072"/>
      <c r="AB404" s="1072"/>
      <c r="AC404" s="1072"/>
      <c r="AD404" s="1072"/>
      <c r="AE404" s="1072"/>
      <c r="AF404" s="1072"/>
      <c r="AG404" s="1072"/>
      <c r="AH404" s="1072"/>
      <c r="AI404" s="1072"/>
      <c r="AJ404" s="1073"/>
      <c r="AK404" s="1052" cm="1">
        <f t="array" aca="1" ref="AK404" ca="1">INDEX(OFFSET($AK$19,MATCH($B404,$B$19:$B$150,0)-1,0,COUNTA($B$19:$B$24),COUNTA($AK$17:$BB$17)),MATCH($F404,$F$19:$F$24,0),MATCH(AK$17,$AK$17:$BB$17,0))*INDEX($10:$13,MATCH($O404,$R$10:$R$13,0),COLUMN())</f>
        <v>3.029204295</v>
      </c>
      <c r="AL404" s="1050" cm="1">
        <f t="array" aca="1" ref="AL404" ca="1">INDEX(OFFSET($AK$19,MATCH($B404,$B$19:$B$150,0)-1,0,COUNTA($B$19:$B$24),COUNTA($AK$17:$BB$17)),MATCH($F404,$F$19:$F$24,0),MATCH(AL$17,$AK$17:$BB$17,0))*INDEX($10:$13,MATCH($O404,$R$10:$R$13,0),COLUMN())</f>
        <v>7.562365407999999E-7</v>
      </c>
      <c r="AM404" s="1050" cm="1">
        <f t="array" aca="1" ref="AM404" ca="1">INDEX(OFFSET($AK$19,MATCH($B404,$B$19:$B$150,0)-1,0,COUNTA($B$19:$B$24),COUNTA($AK$17:$BB$17)),MATCH($F404,$F$19:$F$24,0),MATCH(AM$17,$AK$17:$BB$17,0))*INDEX($10:$13,MATCH($O404,$R$10:$R$13,0),COLUMN())</f>
        <v>1.4180369681E-3</v>
      </c>
      <c r="AN404" s="1050" cm="1">
        <f t="array" aca="1" ref="AN404" ca="1">INDEX(OFFSET($AK$19,MATCH($B404,$B$19:$B$150,0)-1,0,COUNTA($B$19:$B$24),COUNTA($AK$17:$BB$17)),MATCH($F404,$F$19:$F$24,0),MATCH(AN$17,$AK$17:$BB$17,0))*INDEX($10:$13,MATCH($O404,$R$10:$R$13,0),COLUMN())</f>
        <v>2.3862011249999999E-2</v>
      </c>
      <c r="AO404" s="1050" cm="1">
        <f t="array" aca="1" ref="AO404" ca="1">INDEX(OFFSET($AK$19,MATCH($B404,$B$19:$B$150,0)-1,0,COUNTA($B$19:$B$24),COUNTA($AK$17:$BB$17)),MATCH($F404,$F$19:$F$24,0),MATCH(AO$17,$AK$17:$BB$17,0))*INDEX($10:$13,MATCH($O404,$R$10:$R$13,0),COLUMN())</f>
        <v>3.5911233680000003</v>
      </c>
      <c r="AP404" s="1050" cm="1">
        <f t="array" aca="1" ref="AP404" ca="1">INDEX(OFFSET($AK$19,MATCH($B404,$B$19:$B$150,0)-1,0,COUNTA($B$19:$B$24),COUNTA($AK$17:$BB$17)),MATCH($F404,$F$19:$F$24,0),MATCH(AP$17,$AK$17:$BB$17,0))*INDEX($10:$13,MATCH($O404,$R$10:$R$13,0),COLUMN())</f>
        <v>3.3143514544000001</v>
      </c>
      <c r="AQ404" s="1050" cm="1">
        <f t="array" aca="1" ref="AQ404" ca="1">INDEX(OFFSET($AK$19,MATCH($B404,$B$19:$B$150,0)-1,0,COUNTA($B$19:$B$24),COUNTA($AK$17:$BB$17)),MATCH($F404,$F$19:$F$24,0),MATCH(AQ$17,$AK$17:$BB$17,0))*INDEX($10:$13,MATCH($O404,$R$10:$R$13,0),COLUMN())</f>
        <v>8.3060915160000012E-3</v>
      </c>
      <c r="AR404" s="1050" cm="1">
        <f t="array" aca="1" ref="AR404" ca="1">INDEX(OFFSET($AK$19,MATCH($B404,$B$19:$B$150,0)-1,0,COUNTA($B$19:$B$24),COUNTA($AK$17:$BB$17)),MATCH($F404,$F$19:$F$24,0),MATCH(AR$17,$AK$17:$BB$17,0))*INDEX($10:$13,MATCH($O404,$R$10:$R$13,0),COLUMN())</f>
        <v>0.82411016089999989</v>
      </c>
      <c r="AS404" s="1050" cm="1">
        <f t="array" aca="1" ref="AS404" ca="1">INDEX(OFFSET($AK$19,MATCH($B404,$B$19:$B$150,0)-1,0,COUNTA($B$19:$B$24),COUNTA($AK$17:$BB$17)),MATCH($F404,$F$19:$F$24,0),MATCH(AS$17,$AK$17:$BB$17,0))*INDEX($10:$13,MATCH($O404,$R$10:$R$13,0),COLUMN())</f>
        <v>5.1346593440999996E-2</v>
      </c>
      <c r="AT404" s="1050" cm="1">
        <f t="array" aca="1" ref="AT404" ca="1">INDEX(OFFSET($AK$19,MATCH($B404,$B$19:$B$150,0)-1,0,COUNTA($B$19:$B$24),COUNTA($AK$17:$BB$17)),MATCH($F404,$F$19:$F$24,0),MATCH(AT$17,$AK$17:$BB$17,0))*INDEX($10:$13,MATCH($O404,$R$10:$R$13,0),COLUMN())</f>
        <v>7.8558213580000002E-5</v>
      </c>
      <c r="AU404" s="1050" cm="1">
        <f t="array" aca="1" ref="AU404" ca="1">INDEX(OFFSET($AK$19,MATCH($B404,$B$19:$B$150,0)-1,0,COUNTA($B$19:$B$24),COUNTA($AK$17:$BB$17)),MATCH($F404,$F$19:$F$24,0),MATCH(AU$17,$AK$17:$BB$17,0))*INDEX($10:$13,MATCH($O404,$R$10:$R$13,0),COLUMN())</f>
        <v>1.6544444529000001E-5</v>
      </c>
      <c r="AV404" s="1050" cm="1">
        <f t="array" aca="1" ref="AV404" ca="1">INDEX(OFFSET($AK$19,MATCH($B404,$B$19:$B$150,0)-1,0,COUNTA($B$19:$B$24),COUNTA($AK$17:$BB$17)),MATCH($F404,$F$19:$F$24,0),MATCH(AV$17,$AK$17:$BB$17,0))*INDEX($10:$13,MATCH($O404,$R$10:$R$13,0),COLUMN())</f>
        <v>0.10706271473000001</v>
      </c>
      <c r="AW404" s="1050" cm="1">
        <f t="array" aca="1" ref="AW404" ca="1">INDEX(OFFSET($AK$19,MATCH($B404,$B$19:$B$150,0)-1,0,COUNTA($B$19:$B$24),COUNTA($AK$17:$BB$17)),MATCH($F404,$F$19:$F$24,0),MATCH(AW$17,$AK$17:$BB$17,0))*INDEX($10:$13,MATCH($O404,$R$10:$R$13,0),COLUMN())</f>
        <v>0.54232050144999999</v>
      </c>
      <c r="AX404" s="1050" cm="1">
        <f t="array" aca="1" ref="AX404" ca="1">INDEX(OFFSET($AK$19,MATCH($B404,$B$19:$B$150,0)-1,0,COUNTA($B$19:$B$24),COUNTA($AK$17:$BB$17)),MATCH($F404,$F$19:$F$24,0),MATCH(AX$17,$AK$17:$BB$17,0))*INDEX($10:$13,MATCH($O404,$R$10:$R$13,0),COLUMN())</f>
        <v>2.0915341134999999E-6</v>
      </c>
      <c r="AY404" s="1050" cm="1">
        <f t="array" aca="1" ref="AY404" ca="1">INDEX(OFFSET($AK$19,MATCH($B404,$B$19:$B$150,0)-1,0,COUNTA($B$19:$B$24),COUNTA($AK$17:$BB$17)),MATCH($F404,$F$19:$F$24,0),MATCH(AY$17,$AK$17:$BB$17,0))*INDEX($10:$13,MATCH($O404,$R$10:$R$13,0),COLUMN())</f>
        <v>0</v>
      </c>
      <c r="AZ404" s="1050" cm="1">
        <f t="array" aca="1" ref="AZ404" ca="1">INDEX(OFFSET($AK$19,MATCH($B404,$B$19:$B$150,0)-1,0,COUNTA($B$19:$B$24),COUNTA($AK$17:$BB$17)),MATCH($F404,$F$19:$F$24,0),MATCH(AZ$17,$AK$17:$BB$17,0))*INDEX($10:$13,MATCH($O404,$R$10:$R$13,0),COLUMN())</f>
        <v>0</v>
      </c>
      <c r="BA404" s="1050" cm="1">
        <f t="array" aca="1" ref="BA404" ca="1">INDEX(OFFSET($AK$19,MATCH($B404,$B$19:$B$150,0)-1,0,COUNTA($B$19:$B$24),COUNTA($AK$17:$BB$17)),MATCH($F404,$F$19:$F$24,0),MATCH(BA$17,$AK$17:$BB$17,0))*INDEX($10:$13,MATCH($O404,$R$10:$R$13,0),COLUMN())</f>
        <v>0</v>
      </c>
      <c r="BB404" s="1051" cm="1">
        <f t="array" aca="1" ref="BB404" ca="1">INDEX(OFFSET($AK$19,MATCH($B404,$B$19:$B$150,0)-1,0,COUNTA($B$19:$B$24),COUNTA($AK$17:$BB$17)),MATCH($F404,$F$19:$F$24,0),MATCH(BB$17,$AK$17:$BB$17,0))*INDEX($10:$13,MATCH($O404,$R$10:$R$13,0),COLUMN())</f>
        <v>0</v>
      </c>
      <c r="BC404" s="1053">
        <f t="shared" ca="1" si="171"/>
        <v>0.54232259298411345</v>
      </c>
      <c r="BE404" s="1"/>
      <c r="BF404" s="1"/>
      <c r="BG404" s="1"/>
      <c r="BH404" s="1"/>
      <c r="BI404" s="1"/>
      <c r="BJ404" s="1"/>
      <c r="BK404" s="1"/>
      <c r="BL404" s="1"/>
      <c r="BM404" s="1"/>
      <c r="BN404" s="1"/>
      <c r="BO404" s="1"/>
      <c r="BP404" s="1"/>
      <c r="BQ404" s="1"/>
      <c r="BR404" s="1"/>
      <c r="BS404" s="1"/>
      <c r="BT404" s="1"/>
      <c r="BU404" s="1"/>
      <c r="BV404" s="1"/>
      <c r="BW404" s="1"/>
      <c r="BX404" s="1"/>
      <c r="BY404" s="1"/>
      <c r="BZ404" s="1"/>
    </row>
    <row r="405" spans="2:78" ht="12" customHeight="1" outlineLevel="1" x14ac:dyDescent="0.25">
      <c r="B405" s="88" t="s">
        <v>115</v>
      </c>
      <c r="C405" s="88" t="s">
        <v>124</v>
      </c>
      <c r="D405" s="89" t="s">
        <v>154</v>
      </c>
      <c r="E405" s="89" t="s">
        <v>115</v>
      </c>
      <c r="F405" s="90" t="s">
        <v>92</v>
      </c>
      <c r="G405" s="18" t="s">
        <v>126</v>
      </c>
      <c r="H405" s="91" t="s">
        <v>127</v>
      </c>
      <c r="I405" s="92" t="s">
        <v>127</v>
      </c>
      <c r="J405" s="142">
        <v>0.64</v>
      </c>
      <c r="K405" s="143">
        <v>0.35299999999999998</v>
      </c>
      <c r="L405" s="151">
        <f t="shared" ca="1" si="172"/>
        <v>2.1198693103129456</v>
      </c>
      <c r="M405" s="143">
        <f t="shared" ca="1" si="173"/>
        <v>1.1013138665404698</v>
      </c>
      <c r="N405" s="162">
        <f t="shared" ca="1" si="170"/>
        <v>0.74831386654046972</v>
      </c>
      <c r="O405" s="1060" t="s">
        <v>1583</v>
      </c>
      <c r="P405" s="88"/>
      <c r="Q405" s="89"/>
      <c r="R405" s="150"/>
      <c r="S405" s="1070"/>
      <c r="T405" s="1070"/>
      <c r="U405" s="1070"/>
      <c r="V405" s="1070"/>
      <c r="W405" s="1070"/>
      <c r="X405" s="1070"/>
      <c r="Y405" s="1070"/>
      <c r="Z405" s="1070"/>
      <c r="AA405" s="1070"/>
      <c r="AB405" s="1070"/>
      <c r="AC405" s="1070"/>
      <c r="AD405" s="1070"/>
      <c r="AE405" s="1070"/>
      <c r="AF405" s="1070"/>
      <c r="AG405" s="1070"/>
      <c r="AH405" s="1070"/>
      <c r="AI405" s="1070"/>
      <c r="AJ405" s="1071"/>
      <c r="AK405" s="1048" cm="1">
        <f t="array" aca="1" ref="AK405" ca="1">INDEX(OFFSET($AK$19,MATCH($B405,$B$19:$B$150,0)-1,0,COUNTA($B$19:$B$24),COUNTA($AK$17:$BB$17)),MATCH($F405,$F$19:$F$24,0),MATCH(AK$17,$AK$17:$BB$17,0))*INDEX($10:$13,MATCH($O405,$R$10:$R$13,0),COLUMN())</f>
        <v>0.27286410450000004</v>
      </c>
      <c r="AL405" s="1046" cm="1">
        <f t="array" aca="1" ref="AL405" ca="1">INDEX(OFFSET($AK$19,MATCH($B405,$B$19:$B$150,0)-1,0,COUNTA($B$19:$B$24),COUNTA($AK$17:$BB$17)),MATCH($F405,$F$19:$F$24,0),MATCH(AL$17,$AK$17:$BB$17,0))*INDEX($10:$13,MATCH($O405,$R$10:$R$13,0),COLUMN())</f>
        <v>1.5639603455999999E-7</v>
      </c>
      <c r="AM405" s="1046" cm="1">
        <f t="array" aca="1" ref="AM405" ca="1">INDEX(OFFSET($AK$19,MATCH($B405,$B$19:$B$150,0)-1,0,COUNTA($B$19:$B$24),COUNTA($AK$17:$BB$17)),MATCH($F405,$F$19:$F$24,0),MATCH(AM$17,$AK$17:$BB$17,0))*INDEX($10:$13,MATCH($O405,$R$10:$R$13,0),COLUMN())</f>
        <v>3.0464834179000003E-4</v>
      </c>
      <c r="AN405" s="1046" cm="1">
        <f t="array" aca="1" ref="AN405" ca="1">INDEX(OFFSET($AK$19,MATCH($B405,$B$19:$B$150,0)-1,0,COUNTA($B$19:$B$24),COUNTA($AK$17:$BB$17)),MATCH($F405,$F$19:$F$24,0),MATCH(AN$17,$AK$17:$BB$17,0))*INDEX($10:$13,MATCH($O405,$R$10:$R$13,0),COLUMN())</f>
        <v>1.4279914549999999E-3</v>
      </c>
      <c r="AO405" s="1046" cm="1">
        <f t="array" aca="1" ref="AO405" ca="1">INDEX(OFFSET($AK$19,MATCH($B405,$B$19:$B$150,0)-1,0,COUNTA($B$19:$B$24),COUNTA($AK$17:$BB$17)),MATCH($F405,$F$19:$F$24,0),MATCH(AO$17,$AK$17:$BB$17,0))*INDEX($10:$13,MATCH($O405,$R$10:$R$13,0),COLUMN())</f>
        <v>0.19094345088</v>
      </c>
      <c r="AP405" s="1046" cm="1">
        <f t="array" aca="1" ref="AP405" ca="1">INDEX(OFFSET($AK$19,MATCH($B405,$B$19:$B$150,0)-1,0,COUNTA($B$19:$B$24),COUNTA($AK$17:$BB$17)),MATCH($F405,$F$19:$F$24,0),MATCH(AP$17,$AK$17:$BB$17,0))*INDEX($10:$13,MATCH($O405,$R$10:$R$13,0),COLUMN())</f>
        <v>0.17736989178999998</v>
      </c>
      <c r="AQ405" s="1046" cm="1">
        <f t="array" aca="1" ref="AQ405" ca="1">INDEX(OFFSET($AK$19,MATCH($B405,$B$19:$B$150,0)-1,0,COUNTA($B$19:$B$24),COUNTA($AK$17:$BB$17)),MATCH($F405,$F$19:$F$24,0),MATCH(AQ$17,$AK$17:$BB$17,0))*INDEX($10:$13,MATCH($O405,$R$10:$R$13,0),COLUMN())</f>
        <v>3.7126598820000004E-4</v>
      </c>
      <c r="AR405" s="1046" cm="1">
        <f t="array" aca="1" ref="AR405" ca="1">INDEX(OFFSET($AK$19,MATCH($B405,$B$19:$B$150,0)-1,0,COUNTA($B$19:$B$24),COUNTA($AK$17:$BB$17)),MATCH($F405,$F$19:$F$24,0),MATCH(AR$17,$AK$17:$BB$17,0))*INDEX($10:$13,MATCH($O405,$R$10:$R$13,0),COLUMN())</f>
        <v>3.8187372779999999E-2</v>
      </c>
      <c r="AS405" s="1046" cm="1">
        <f t="array" aca="1" ref="AS405" ca="1">INDEX(OFFSET($AK$19,MATCH($B405,$B$19:$B$150,0)-1,0,COUNTA($B$19:$B$24),COUNTA($AK$17:$BB$17)),MATCH($F405,$F$19:$F$24,0),MATCH(AS$17,$AK$17:$BB$17,0))*INDEX($10:$13,MATCH($O405,$R$10:$R$13,0),COLUMN())</f>
        <v>2.5982587289999998E-2</v>
      </c>
      <c r="AT405" s="1046" cm="1">
        <f t="array" aca="1" ref="AT405" ca="1">INDEX(OFFSET($AK$19,MATCH($B405,$B$19:$B$150,0)-1,0,COUNTA($B$19:$B$24),COUNTA($AK$17:$BB$17)),MATCH($F405,$F$19:$F$24,0),MATCH(AT$17,$AK$17:$BB$17,0))*INDEX($10:$13,MATCH($O405,$R$10:$R$13,0),COLUMN())</f>
        <v>3.1531811057000003E-5</v>
      </c>
      <c r="AU405" s="1046" cm="1">
        <f t="array" aca="1" ref="AU405" ca="1">INDEX(OFFSET($AK$19,MATCH($B405,$B$19:$B$150,0)-1,0,COUNTA($B$19:$B$24),COUNTA($AK$17:$BB$17)),MATCH($F405,$F$19:$F$24,0),MATCH(AU$17,$AK$17:$BB$17,0))*INDEX($10:$13,MATCH($O405,$R$10:$R$13,0),COLUMN())</f>
        <v>2.1322760148000001E-6</v>
      </c>
      <c r="AV405" s="1046" cm="1">
        <f t="array" aca="1" ref="AV405" ca="1">INDEX(OFFSET($AK$19,MATCH($B405,$B$19:$B$150,0)-1,0,COUNTA($B$19:$B$24),COUNTA($AK$17:$BB$17)),MATCH($F405,$F$19:$F$24,0),MATCH(AV$17,$AK$17:$BB$17,0))*INDEX($10:$13,MATCH($O405,$R$10:$R$13,0),COLUMN())</f>
        <v>4.3890296926999998E-3</v>
      </c>
      <c r="AW405" s="1046" cm="1">
        <f t="array" aca="1" ref="AW405" ca="1">INDEX(OFFSET($AK$19,MATCH($B405,$B$19:$B$150,0)-1,0,COUNTA($B$19:$B$24),COUNTA($AK$17:$BB$17)),MATCH($F405,$F$19:$F$24,0),MATCH(AW$17,$AK$17:$BB$17,0))*INDEX($10:$13,MATCH($O405,$R$10:$R$13,0),COLUMN())</f>
        <v>3.6439299195000004E-2</v>
      </c>
      <c r="AX405" s="1046" cm="1">
        <f t="array" aca="1" ref="AX405" ca="1">INDEX(OFFSET($AK$19,MATCH($B405,$B$19:$B$150,0)-1,0,COUNTA($B$19:$B$24),COUNTA($AK$17:$BB$17)),MATCH($F405,$F$19:$F$24,0),MATCH(AX$17,$AK$17:$BB$17,0))*INDEX($10:$13,MATCH($O405,$R$10:$R$13,0),COLUMN())</f>
        <v>4.0414467340000001E-7</v>
      </c>
      <c r="AY405" s="1046" cm="1">
        <f t="array" aca="1" ref="AY405" ca="1">INDEX(OFFSET($AK$19,MATCH($B405,$B$19:$B$150,0)-1,0,COUNTA($B$19:$B$24),COUNTA($AK$17:$BB$17)),MATCH($F405,$F$19:$F$24,0),MATCH(AY$17,$AK$17:$BB$17,0))*INDEX($10:$13,MATCH($O405,$R$10:$R$13,0),COLUMN())</f>
        <v>0</v>
      </c>
      <c r="AZ405" s="1046" cm="1">
        <f t="array" aca="1" ref="AZ405" ca="1">INDEX(OFFSET($AK$19,MATCH($B405,$B$19:$B$150,0)-1,0,COUNTA($B$19:$B$24),COUNTA($AK$17:$BB$17)),MATCH($F405,$F$19:$F$24,0),MATCH(AZ$17,$AK$17:$BB$17,0))*INDEX($10:$13,MATCH($O405,$R$10:$R$13,0),COLUMN())</f>
        <v>0</v>
      </c>
      <c r="BA405" s="1046" cm="1">
        <f t="array" aca="1" ref="BA405" ca="1">INDEX(OFFSET($AK$19,MATCH($B405,$B$19:$B$150,0)-1,0,COUNTA($B$19:$B$24),COUNTA($AK$17:$BB$17)),MATCH($F405,$F$19:$F$24,0),MATCH(BA$17,$AK$17:$BB$17,0))*INDEX($10:$13,MATCH($O405,$R$10:$R$13,0),COLUMN())</f>
        <v>0</v>
      </c>
      <c r="BB405" s="1047" cm="1">
        <f t="array" aca="1" ref="BB405" ca="1">INDEX(OFFSET($AK$19,MATCH($B405,$B$19:$B$150,0)-1,0,COUNTA($B$19:$B$24),COUNTA($AK$17:$BB$17)),MATCH($F405,$F$19:$F$24,0),MATCH(BB$17,$AK$17:$BB$17,0))*INDEX($10:$13,MATCH($O405,$R$10:$R$13,0),COLUMN())</f>
        <v>0</v>
      </c>
      <c r="BC405" s="1049">
        <f t="shared" ca="1" si="171"/>
        <v>3.6439703339673404E-2</v>
      </c>
      <c r="BE405" s="1"/>
      <c r="BF405" s="1"/>
      <c r="BG405" s="1"/>
      <c r="BH405" s="1"/>
      <c r="BI405" s="1"/>
      <c r="BJ405" s="1"/>
      <c r="BK405" s="1"/>
      <c r="BL405" s="1"/>
      <c r="BM405" s="1"/>
      <c r="BN405" s="1"/>
      <c r="BO405" s="1"/>
      <c r="BP405" s="1"/>
      <c r="BQ405" s="1"/>
      <c r="BR405" s="1"/>
      <c r="BS405" s="1"/>
      <c r="BT405" s="1"/>
      <c r="BU405" s="1"/>
      <c r="BV405" s="1"/>
      <c r="BW405" s="1"/>
      <c r="BX405" s="1"/>
      <c r="BY405" s="1"/>
      <c r="BZ405" s="1"/>
    </row>
    <row r="406" spans="2:78" ht="12" customHeight="1" outlineLevel="1" x14ac:dyDescent="0.25">
      <c r="B406" s="104" t="s">
        <v>115</v>
      </c>
      <c r="C406" s="104" t="s">
        <v>124</v>
      </c>
      <c r="D406" s="2" t="s">
        <v>154</v>
      </c>
      <c r="E406" s="2" t="s">
        <v>115</v>
      </c>
      <c r="F406" s="105" t="s">
        <v>122</v>
      </c>
      <c r="G406" s="27" t="s">
        <v>1579</v>
      </c>
      <c r="H406" s="106" t="s">
        <v>128</v>
      </c>
      <c r="I406" s="107" t="s">
        <v>129</v>
      </c>
      <c r="J406" s="147">
        <v>0.64</v>
      </c>
      <c r="K406" s="148">
        <v>0.4819</v>
      </c>
      <c r="L406" s="149">
        <f t="shared" ca="1" si="172"/>
        <v>1.4870420789103744</v>
      </c>
      <c r="M406" s="148">
        <f t="shared" ca="1" si="173"/>
        <v>1.1985055778269094</v>
      </c>
      <c r="N406" s="163">
        <f t="shared" ca="1" si="170"/>
        <v>0.71660557782690948</v>
      </c>
      <c r="O406" s="1061" t="s">
        <v>1583</v>
      </c>
      <c r="P406" s="104"/>
      <c r="R406" s="119"/>
      <c r="S406" s="1072"/>
      <c r="T406" s="1072"/>
      <c r="U406" s="1072"/>
      <c r="V406" s="1072"/>
      <c r="W406" s="1072"/>
      <c r="X406" s="1072"/>
      <c r="Y406" s="1072"/>
      <c r="Z406" s="1072"/>
      <c r="AA406" s="1072"/>
      <c r="AB406" s="1072"/>
      <c r="AC406" s="1072"/>
      <c r="AD406" s="1072"/>
      <c r="AE406" s="1072"/>
      <c r="AF406" s="1072"/>
      <c r="AG406" s="1072"/>
      <c r="AH406" s="1072"/>
      <c r="AI406" s="1072"/>
      <c r="AJ406" s="1073"/>
      <c r="AK406" s="1052" cm="1">
        <f t="array" aca="1" ref="AK406" ca="1">INDEX(OFFSET($AK$19,MATCH($B406,$B$19:$B$150,0)-1,0,COUNTA($B$19:$B$24),COUNTA($AK$17:$BB$17)),MATCH($F406,$F$19:$F$24,0),MATCH(AK$17,$AK$17:$BB$17,0))*INDEX($10:$13,MATCH($O406,$R$10:$R$13,0),COLUMN())</f>
        <v>0.23015838299999999</v>
      </c>
      <c r="AL406" s="1050" cm="1">
        <f t="array" aca="1" ref="AL406" ca="1">INDEX(OFFSET($AK$19,MATCH($B406,$B$19:$B$150,0)-1,0,COUNTA($B$19:$B$24),COUNTA($AK$17:$BB$17)),MATCH($F406,$F$19:$F$24,0),MATCH(AL$17,$AK$17:$BB$17,0))*INDEX($10:$13,MATCH($O406,$R$10:$R$13,0),COLUMN())</f>
        <v>1.8012857583999998E-7</v>
      </c>
      <c r="AM406" s="1050" cm="1">
        <f t="array" aca="1" ref="AM406" ca="1">INDEX(OFFSET($AK$19,MATCH($B406,$B$19:$B$150,0)-1,0,COUNTA($B$19:$B$24),COUNTA($AK$17:$BB$17)),MATCH($F406,$F$19:$F$24,0),MATCH(AM$17,$AK$17:$BB$17,0))*INDEX($10:$13,MATCH($O406,$R$10:$R$13,0),COLUMN())</f>
        <v>3.4490974452000003E-4</v>
      </c>
      <c r="AN406" s="1050" cm="1">
        <f t="array" aca="1" ref="AN406" ca="1">INDEX(OFFSET($AK$19,MATCH($B406,$B$19:$B$150,0)-1,0,COUNTA($B$19:$B$24),COUNTA($AK$17:$BB$17)),MATCH($F406,$F$19:$F$24,0),MATCH(AN$17,$AK$17:$BB$17,0))*INDEX($10:$13,MATCH($O406,$R$10:$R$13,0),COLUMN())</f>
        <v>1.4066387149999997E-3</v>
      </c>
      <c r="AO406" s="1050" cm="1">
        <f t="array" aca="1" ref="AO406" ca="1">INDEX(OFFSET($AK$19,MATCH($B406,$B$19:$B$150,0)-1,0,COUNTA($B$19:$B$24),COUNTA($AK$17:$BB$17)),MATCH($F406,$F$19:$F$24,0),MATCH(AO$17,$AK$17:$BB$17,0))*INDEX($10:$13,MATCH($O406,$R$10:$R$13,0),COLUMN())</f>
        <v>0.19781715127999999</v>
      </c>
      <c r="AP406" s="1050" cm="1">
        <f t="array" aca="1" ref="AP406" ca="1">INDEX(OFFSET($AK$19,MATCH($B406,$B$19:$B$150,0)-1,0,COUNTA($B$19:$B$24),COUNTA($AK$17:$BB$17)),MATCH($F406,$F$19:$F$24,0),MATCH(AP$17,$AK$17:$BB$17,0))*INDEX($10:$13,MATCH($O406,$R$10:$R$13,0),COLUMN())</f>
        <v>0.18480235780999998</v>
      </c>
      <c r="AQ406" s="1050" cm="1">
        <f t="array" aca="1" ref="AQ406" ca="1">INDEX(OFFSET($AK$19,MATCH($B406,$B$19:$B$150,0)-1,0,COUNTA($B$19:$B$24),COUNTA($AK$17:$BB$17)),MATCH($F406,$F$19:$F$24,0),MATCH(AQ$17,$AK$17:$BB$17,0))*INDEX($10:$13,MATCH($O406,$R$10:$R$13,0),COLUMN())</f>
        <v>3.1646436180000003E-4</v>
      </c>
      <c r="AR406" s="1050" cm="1">
        <f t="array" aca="1" ref="AR406" ca="1">INDEX(OFFSET($AK$19,MATCH($B406,$B$19:$B$150,0)-1,0,COUNTA($B$19:$B$24),COUNTA($AK$17:$BB$17)),MATCH($F406,$F$19:$F$24,0),MATCH(AR$17,$AK$17:$BB$17,0))*INDEX($10:$13,MATCH($O406,$R$10:$R$13,0),COLUMN())</f>
        <v>3.3733641299999999E-2</v>
      </c>
      <c r="AS406" s="1050" cm="1">
        <f t="array" aca="1" ref="AS406" ca="1">INDEX(OFFSET($AK$19,MATCH($B406,$B$19:$B$150,0)-1,0,COUNTA($B$19:$B$24),COUNTA($AK$17:$BB$17)),MATCH($F406,$F$19:$F$24,0),MATCH(AS$17,$AK$17:$BB$17,0))*INDEX($10:$13,MATCH($O406,$R$10:$R$13,0),COLUMN())</f>
        <v>1.6880068644999999E-3</v>
      </c>
      <c r="AT406" s="1050" cm="1">
        <f t="array" aca="1" ref="AT406" ca="1">INDEX(OFFSET($AK$19,MATCH($B406,$B$19:$B$150,0)-1,0,COUNTA($B$19:$B$24),COUNTA($AK$17:$BB$17)),MATCH($F406,$F$19:$F$24,0),MATCH(AT$17,$AK$17:$BB$17,0))*INDEX($10:$13,MATCH($O406,$R$10:$R$13,0),COLUMN())</f>
        <v>3.9844328099999997E-6</v>
      </c>
      <c r="AU406" s="1050" cm="1">
        <f t="array" aca="1" ref="AU406" ca="1">INDEX(OFFSET($AK$19,MATCH($B406,$B$19:$B$150,0)-1,0,COUNTA($B$19:$B$24),COUNTA($AK$17:$BB$17)),MATCH($F406,$F$19:$F$24,0),MATCH(AU$17,$AK$17:$BB$17,0))*INDEX($10:$13,MATCH($O406,$R$10:$R$13,0),COLUMN())</f>
        <v>8.1359214740000001E-7</v>
      </c>
      <c r="AV406" s="1050" cm="1">
        <f t="array" aca="1" ref="AV406" ca="1">INDEX(OFFSET($AK$19,MATCH($B406,$B$19:$B$150,0)-1,0,COUNTA($B$19:$B$24),COUNTA($AK$17:$BB$17)),MATCH($F406,$F$19:$F$24,0),MATCH(AV$17,$AK$17:$BB$17,0))*INDEX($10:$13,MATCH($O406,$R$10:$R$13,0),COLUMN())</f>
        <v>3.0569395828999998E-3</v>
      </c>
      <c r="AW406" s="1050" cm="1">
        <f t="array" aca="1" ref="AW406" ca="1">INDEX(OFFSET($AK$19,MATCH($B406,$B$19:$B$150,0)-1,0,COUNTA($B$19:$B$24),COUNTA($AK$17:$BB$17)),MATCH($F406,$F$19:$F$24,0),MATCH(AW$17,$AK$17:$BB$17,0))*INDEX($10:$13,MATCH($O406,$R$10:$R$13,0),COLUMN())</f>
        <v>6.3275836715000006E-2</v>
      </c>
      <c r="AX406" s="1050" cm="1">
        <f t="array" aca="1" ref="AX406" ca="1">INDEX(OFFSET($AK$19,MATCH($B406,$B$19:$B$150,0)-1,0,COUNTA($B$19:$B$24),COUNTA($AK$17:$BB$17)),MATCH($F406,$F$19:$F$24,0),MATCH(AX$17,$AK$17:$BB$17,0))*INDEX($10:$13,MATCH($O406,$R$10:$R$13,0),COLUMN())</f>
        <v>2.7029965624999998E-7</v>
      </c>
      <c r="AY406" s="1050" cm="1">
        <f t="array" aca="1" ref="AY406" ca="1">INDEX(OFFSET($AK$19,MATCH($B406,$B$19:$B$150,0)-1,0,COUNTA($B$19:$B$24),COUNTA($AK$17:$BB$17)),MATCH($F406,$F$19:$F$24,0),MATCH(AY$17,$AK$17:$BB$17,0))*INDEX($10:$13,MATCH($O406,$R$10:$R$13,0),COLUMN())</f>
        <v>0</v>
      </c>
      <c r="AZ406" s="1050" cm="1">
        <f t="array" aca="1" ref="AZ406" ca="1">INDEX(OFFSET($AK$19,MATCH($B406,$B$19:$B$150,0)-1,0,COUNTA($B$19:$B$24),COUNTA($AK$17:$BB$17)),MATCH($F406,$F$19:$F$24,0),MATCH(AZ$17,$AK$17:$BB$17,0))*INDEX($10:$13,MATCH($O406,$R$10:$R$13,0),COLUMN())</f>
        <v>0</v>
      </c>
      <c r="BA406" s="1050" cm="1">
        <f t="array" aca="1" ref="BA406" ca="1">INDEX(OFFSET($AK$19,MATCH($B406,$B$19:$B$150,0)-1,0,COUNTA($B$19:$B$24),COUNTA($AK$17:$BB$17)),MATCH($F406,$F$19:$F$24,0),MATCH(BA$17,$AK$17:$BB$17,0))*INDEX($10:$13,MATCH($O406,$R$10:$R$13,0),COLUMN())</f>
        <v>0</v>
      </c>
      <c r="BB406" s="1051" cm="1">
        <f t="array" aca="1" ref="BB406" ca="1">INDEX(OFFSET($AK$19,MATCH($B406,$B$19:$B$150,0)-1,0,COUNTA($B$19:$B$24),COUNTA($AK$17:$BB$17)),MATCH($F406,$F$19:$F$24,0),MATCH(BB$17,$AK$17:$BB$17,0))*INDEX($10:$13,MATCH($O406,$R$10:$R$13,0),COLUMN())</f>
        <v>0</v>
      </c>
      <c r="BC406" s="1053">
        <f t="shared" ca="1" si="171"/>
        <v>6.327610701465626E-2</v>
      </c>
      <c r="BE406" s="1"/>
      <c r="BF406" s="1"/>
      <c r="BG406" s="1"/>
      <c r="BH406" s="1"/>
      <c r="BI406" s="1"/>
      <c r="BJ406" s="1"/>
      <c r="BK406" s="1"/>
      <c r="BL406" s="1"/>
      <c r="BM406" s="1"/>
      <c r="BN406" s="1"/>
      <c r="BO406" s="1"/>
      <c r="BP406" s="1"/>
      <c r="BQ406" s="1"/>
      <c r="BR406" s="1"/>
      <c r="BS406" s="1"/>
      <c r="BT406" s="1"/>
      <c r="BU406" s="1"/>
      <c r="BV406" s="1"/>
      <c r="BW406" s="1"/>
      <c r="BX406" s="1"/>
      <c r="BY406" s="1"/>
      <c r="BZ406" s="1"/>
    </row>
    <row r="407" spans="2:78" ht="12" customHeight="1" outlineLevel="1" x14ac:dyDescent="0.25">
      <c r="B407" s="104" t="s">
        <v>115</v>
      </c>
      <c r="C407" s="104" t="s">
        <v>124</v>
      </c>
      <c r="D407" s="2" t="s">
        <v>154</v>
      </c>
      <c r="E407" s="2" t="s">
        <v>115</v>
      </c>
      <c r="F407" s="105" t="s">
        <v>93</v>
      </c>
      <c r="G407" s="27" t="s">
        <v>1578</v>
      </c>
      <c r="H407" s="106" t="s">
        <v>130</v>
      </c>
      <c r="I407" s="107" t="s">
        <v>129</v>
      </c>
      <c r="J407" s="147">
        <v>0.64</v>
      </c>
      <c r="K407" s="148">
        <v>0.4819</v>
      </c>
      <c r="L407" s="149">
        <f t="shared" ca="1" si="172"/>
        <v>1.7148057194129145</v>
      </c>
      <c r="M407" s="148">
        <f t="shared" ca="1" si="173"/>
        <v>1.3082648761850835</v>
      </c>
      <c r="N407" s="163">
        <f t="shared" ca="1" si="170"/>
        <v>0.82636487618508347</v>
      </c>
      <c r="O407" s="1061" t="s">
        <v>1583</v>
      </c>
      <c r="P407" s="104"/>
      <c r="R407" s="119"/>
      <c r="S407" s="1072"/>
      <c r="T407" s="1072"/>
      <c r="U407" s="1072"/>
      <c r="V407" s="1072"/>
      <c r="W407" s="1072"/>
      <c r="X407" s="1072"/>
      <c r="Y407" s="1072"/>
      <c r="Z407" s="1072"/>
      <c r="AA407" s="1072"/>
      <c r="AB407" s="1072"/>
      <c r="AC407" s="1072"/>
      <c r="AD407" s="1072"/>
      <c r="AE407" s="1072"/>
      <c r="AF407" s="1072"/>
      <c r="AG407" s="1072"/>
      <c r="AH407" s="1072"/>
      <c r="AI407" s="1072"/>
      <c r="AJ407" s="1073"/>
      <c r="AK407" s="1052" cm="1">
        <f t="array" aca="1" ref="AK407" ca="1">INDEX(OFFSET($AK$19,MATCH($B407,$B$19:$B$150,0)-1,0,COUNTA($B$19:$B$24),COUNTA($AK$17:$BB$17)),MATCH($F407,$F$19:$F$24,0),MATCH(AK$17,$AK$17:$BB$17,0))*INDEX($10:$13,MATCH($O407,$R$10:$R$13,0),COLUMN())</f>
        <v>0.25958333700000003</v>
      </c>
      <c r="AL407" s="1050" cm="1">
        <f t="array" aca="1" ref="AL407" ca="1">INDEX(OFFSET($AK$19,MATCH($B407,$B$19:$B$150,0)-1,0,COUNTA($B$19:$B$24),COUNTA($AK$17:$BB$17)),MATCH($F407,$F$19:$F$24,0),MATCH(AL$17,$AK$17:$BB$17,0))*INDEX($10:$13,MATCH($O407,$R$10:$R$13,0),COLUMN())</f>
        <v>2.0319106159999999E-7</v>
      </c>
      <c r="AM407" s="1050" cm="1">
        <f t="array" aca="1" ref="AM407" ca="1">INDEX(OFFSET($AK$19,MATCH($B407,$B$19:$B$150,0)-1,0,COUNTA($B$19:$B$24),COUNTA($AK$17:$BB$17)),MATCH($F407,$F$19:$F$24,0),MATCH(AM$17,$AK$17:$BB$17,0))*INDEX($10:$13,MATCH($O407,$R$10:$R$13,0),COLUMN())</f>
        <v>3.8869876535000005E-4</v>
      </c>
      <c r="AN407" s="1050" cm="1">
        <f t="array" aca="1" ref="AN407" ca="1">INDEX(OFFSET($AK$19,MATCH($B407,$B$19:$B$150,0)-1,0,COUNTA($B$19:$B$24),COUNTA($AK$17:$BB$17)),MATCH($F407,$F$19:$F$24,0),MATCH(AN$17,$AK$17:$BB$17,0))*INDEX($10:$13,MATCH($O407,$R$10:$R$13,0),COLUMN())</f>
        <v>1.7027945349999999E-3</v>
      </c>
      <c r="AO407" s="1050" cm="1">
        <f t="array" aca="1" ref="AO407" ca="1">INDEX(OFFSET($AK$19,MATCH($B407,$B$19:$B$150,0)-1,0,COUNTA($B$19:$B$24),COUNTA($AK$17:$BB$17)),MATCH($F407,$F$19:$F$24,0),MATCH(AO$17,$AK$17:$BB$17,0))*INDEX($10:$13,MATCH($O407,$R$10:$R$13,0),COLUMN())</f>
        <v>0.22316652904000001</v>
      </c>
      <c r="AP407" s="1050" cm="1">
        <f t="array" aca="1" ref="AP407" ca="1">INDEX(OFFSET($AK$19,MATCH($B407,$B$19:$B$150,0)-1,0,COUNTA($B$19:$B$24),COUNTA($AK$17:$BB$17)),MATCH($F407,$F$19:$F$24,0),MATCH(AP$17,$AK$17:$BB$17,0))*INDEX($10:$13,MATCH($O407,$R$10:$R$13,0),COLUMN())</f>
        <v>0.20769655843999998</v>
      </c>
      <c r="AQ407" s="1050" cm="1">
        <f t="array" aca="1" ref="AQ407" ca="1">INDEX(OFFSET($AK$19,MATCH($B407,$B$19:$B$150,0)-1,0,COUNTA($B$19:$B$24),COUNTA($AK$17:$BB$17)),MATCH($F407,$F$19:$F$24,0),MATCH(AQ$17,$AK$17:$BB$17,0))*INDEX($10:$13,MATCH($O407,$R$10:$R$13,0),COLUMN())</f>
        <v>3.7163220360000003E-4</v>
      </c>
      <c r="AR407" s="1050" cm="1">
        <f t="array" aca="1" ref="AR407" ca="1">INDEX(OFFSET($AK$19,MATCH($B407,$B$19:$B$150,0)-1,0,COUNTA($B$19:$B$24),COUNTA($AK$17:$BB$17)),MATCH($F407,$F$19:$F$24,0),MATCH(AR$17,$AK$17:$BB$17,0))*INDEX($10:$13,MATCH($O407,$R$10:$R$13,0),COLUMN())</f>
        <v>3.911806827E-2</v>
      </c>
      <c r="AS407" s="1050" cm="1">
        <f t="array" aca="1" ref="AS407" ca="1">INDEX(OFFSET($AK$19,MATCH($B407,$B$19:$B$150,0)-1,0,COUNTA($B$19:$B$24),COUNTA($AK$17:$BB$17)),MATCH($F407,$F$19:$F$24,0),MATCH(AS$17,$AK$17:$BB$17,0))*INDEX($10:$13,MATCH($O407,$R$10:$R$13,0),COLUMN())</f>
        <v>2.040721364E-3</v>
      </c>
      <c r="AT407" s="1050" cm="1">
        <f t="array" aca="1" ref="AT407" ca="1">INDEX(OFFSET($AK$19,MATCH($B407,$B$19:$B$150,0)-1,0,COUNTA($B$19:$B$24),COUNTA($AK$17:$BB$17)),MATCH($F407,$F$19:$F$24,0),MATCH(AT$17,$AK$17:$BB$17,0))*INDEX($10:$13,MATCH($O407,$R$10:$R$13,0),COLUMN())</f>
        <v>4.9115111339999994E-6</v>
      </c>
      <c r="AU407" s="1050" cm="1">
        <f t="array" aca="1" ref="AU407" ca="1">INDEX(OFFSET($AK$19,MATCH($B407,$B$19:$B$150,0)-1,0,COUNTA($B$19:$B$24),COUNTA($AK$17:$BB$17)),MATCH($F407,$F$19:$F$24,0),MATCH(AU$17,$AK$17:$BB$17,0))*INDEX($10:$13,MATCH($O407,$R$10:$R$13,0),COLUMN())</f>
        <v>1.0089900289000001E-6</v>
      </c>
      <c r="AV407" s="1050" cm="1">
        <f t="array" aca="1" ref="AV407" ca="1">INDEX(OFFSET($AK$19,MATCH($B407,$B$19:$B$150,0)-1,0,COUNTA($B$19:$B$24),COUNTA($AK$17:$BB$17)),MATCH($F407,$F$19:$F$24,0),MATCH(AV$17,$AK$17:$BB$17,0))*INDEX($10:$13,MATCH($O407,$R$10:$R$13,0),COLUMN())</f>
        <v>3.8832763111999995E-3</v>
      </c>
      <c r="AW407" s="1050" cm="1">
        <f t="array" aca="1" ref="AW407" ca="1">INDEX(OFFSET($AK$19,MATCH($B407,$B$19:$B$150,0)-1,0,COUNTA($B$19:$B$24),COUNTA($AK$17:$BB$17)),MATCH($F407,$F$19:$F$24,0),MATCH(AW$17,$AK$17:$BB$17,0))*INDEX($10:$13,MATCH($O407,$R$10:$R$13,0),COLUMN())</f>
        <v>8.8406832150000017E-2</v>
      </c>
      <c r="AX407" s="1050" cm="1">
        <f t="array" aca="1" ref="AX407" ca="1">INDEX(OFFSET($AK$19,MATCH($B407,$B$19:$B$150,0)-1,0,COUNTA($B$19:$B$24),COUNTA($AK$17:$BB$17)),MATCH($F407,$F$19:$F$24,0),MATCH(AX$17,$AK$17:$BB$17,0))*INDEX($10:$13,MATCH($O407,$R$10:$R$13,0),COLUMN())</f>
        <v>3.0441370895000003E-7</v>
      </c>
      <c r="AY407" s="1050" cm="1">
        <f t="array" aca="1" ref="AY407" ca="1">INDEX(OFFSET($AK$19,MATCH($B407,$B$19:$B$150,0)-1,0,COUNTA($B$19:$B$24),COUNTA($AK$17:$BB$17)),MATCH($F407,$F$19:$F$24,0),MATCH(AY$17,$AK$17:$BB$17,0))*INDEX($10:$13,MATCH($O407,$R$10:$R$13,0),COLUMN())</f>
        <v>0</v>
      </c>
      <c r="AZ407" s="1050" cm="1">
        <f t="array" aca="1" ref="AZ407" ca="1">INDEX(OFFSET($AK$19,MATCH($B407,$B$19:$B$150,0)-1,0,COUNTA($B$19:$B$24),COUNTA($AK$17:$BB$17)),MATCH($F407,$F$19:$F$24,0),MATCH(AZ$17,$AK$17:$BB$17,0))*INDEX($10:$13,MATCH($O407,$R$10:$R$13,0),COLUMN())</f>
        <v>0</v>
      </c>
      <c r="BA407" s="1050" cm="1">
        <f t="array" aca="1" ref="BA407" ca="1">INDEX(OFFSET($AK$19,MATCH($B407,$B$19:$B$150,0)-1,0,COUNTA($B$19:$B$24),COUNTA($AK$17:$BB$17)),MATCH($F407,$F$19:$F$24,0),MATCH(BA$17,$AK$17:$BB$17,0))*INDEX($10:$13,MATCH($O407,$R$10:$R$13,0),COLUMN())</f>
        <v>0</v>
      </c>
      <c r="BB407" s="1051" cm="1">
        <f t="array" aca="1" ref="BB407" ca="1">INDEX(OFFSET($AK$19,MATCH($B407,$B$19:$B$150,0)-1,0,COUNTA($B$19:$B$24),COUNTA($AK$17:$BB$17)),MATCH($F407,$F$19:$F$24,0),MATCH(BB$17,$AK$17:$BB$17,0))*INDEX($10:$13,MATCH($O407,$R$10:$R$13,0),COLUMN())</f>
        <v>0</v>
      </c>
      <c r="BC407" s="1053">
        <f t="shared" ca="1" si="171"/>
        <v>8.8407136563708966E-2</v>
      </c>
      <c r="BE407" s="1"/>
      <c r="BF407" s="1"/>
      <c r="BG407" s="1"/>
      <c r="BH407" s="1"/>
      <c r="BI407" s="1"/>
      <c r="BJ407" s="1"/>
      <c r="BK407" s="1"/>
      <c r="BL407" s="1"/>
      <c r="BM407" s="1"/>
      <c r="BN407" s="1"/>
      <c r="BO407" s="1"/>
      <c r="BP407" s="1"/>
      <c r="BQ407" s="1"/>
      <c r="BR407" s="1"/>
      <c r="BS407" s="1"/>
      <c r="BT407" s="1"/>
      <c r="BU407" s="1"/>
      <c r="BV407" s="1"/>
      <c r="BW407" s="1"/>
      <c r="BX407" s="1"/>
      <c r="BY407" s="1"/>
      <c r="BZ407" s="1"/>
    </row>
    <row r="408" spans="2:78" ht="12" customHeight="1" outlineLevel="1" x14ac:dyDescent="0.25">
      <c r="B408" s="104" t="s">
        <v>115</v>
      </c>
      <c r="C408" s="104" t="s">
        <v>124</v>
      </c>
      <c r="D408" s="2" t="s">
        <v>154</v>
      </c>
      <c r="E408" s="2" t="s">
        <v>115</v>
      </c>
      <c r="F408" s="105" t="s">
        <v>94</v>
      </c>
      <c r="G408" s="27" t="s">
        <v>1580</v>
      </c>
      <c r="H408" s="106" t="s">
        <v>131</v>
      </c>
      <c r="I408" s="107" t="s">
        <v>129</v>
      </c>
      <c r="J408" s="147">
        <v>0.64</v>
      </c>
      <c r="K408" s="148">
        <v>0.4819</v>
      </c>
      <c r="L408" s="149">
        <f t="shared" ca="1" si="172"/>
        <v>1.3216386812636747</v>
      </c>
      <c r="M408" s="148">
        <f t="shared" ca="1" si="173"/>
        <v>1.1187976805009647</v>
      </c>
      <c r="N408" s="163">
        <f t="shared" ca="1" si="170"/>
        <v>0.63689768050096485</v>
      </c>
      <c r="O408" s="1061" t="s">
        <v>1583</v>
      </c>
      <c r="P408" s="104"/>
      <c r="R408" s="119"/>
      <c r="S408" s="1072"/>
      <c r="T408" s="1072"/>
      <c r="U408" s="1072"/>
      <c r="V408" s="1072"/>
      <c r="W408" s="1072"/>
      <c r="X408" s="1072"/>
      <c r="Y408" s="1072"/>
      <c r="Z408" s="1072"/>
      <c r="AA408" s="1072"/>
      <c r="AB408" s="1072"/>
      <c r="AC408" s="1072"/>
      <c r="AD408" s="1072"/>
      <c r="AE408" s="1072"/>
      <c r="AF408" s="1072"/>
      <c r="AG408" s="1072"/>
      <c r="AH408" s="1072"/>
      <c r="AI408" s="1072"/>
      <c r="AJ408" s="1073"/>
      <c r="AK408" s="1052" cm="1">
        <f t="array" aca="1" ref="AK408" ca="1">INDEX(OFFSET($AK$19,MATCH($B408,$B$19:$B$150,0)-1,0,COUNTA($B$19:$B$24),COUNTA($AK$17:$BB$17)),MATCH($F408,$F$19:$F$24,0),MATCH(AK$17,$AK$17:$BB$17,0))*INDEX($10:$13,MATCH($O408,$R$10:$R$13,0),COLUMN())</f>
        <v>0.20775721200000002</v>
      </c>
      <c r="AL408" s="1050" cm="1">
        <f t="array" aca="1" ref="AL408" ca="1">INDEX(OFFSET($AK$19,MATCH($B408,$B$19:$B$150,0)-1,0,COUNTA($B$19:$B$24),COUNTA($AK$17:$BB$17)),MATCH($F408,$F$19:$F$24,0),MATCH(AL$17,$AK$17:$BB$17,0))*INDEX($10:$13,MATCH($O408,$R$10:$R$13,0),COLUMN())</f>
        <v>1.6258727423999997E-7</v>
      </c>
      <c r="AM408" s="1050" cm="1">
        <f t="array" aca="1" ref="AM408" ca="1">INDEX(OFFSET($AK$19,MATCH($B408,$B$19:$B$150,0)-1,0,COUNTA($B$19:$B$24),COUNTA($AK$17:$BB$17)),MATCH($F408,$F$19:$F$24,0),MATCH(AM$17,$AK$17:$BB$17,0))*INDEX($10:$13,MATCH($O408,$R$10:$R$13,0),COLUMN())</f>
        <v>3.1152389863000002E-4</v>
      </c>
      <c r="AN408" s="1050" cm="1">
        <f t="array" aca="1" ref="AN408" ca="1">INDEX(OFFSET($AK$19,MATCH($B408,$B$19:$B$150,0)-1,0,COUNTA($B$19:$B$24),COUNTA($AK$17:$BB$17)),MATCH($F408,$F$19:$F$24,0),MATCH(AN$17,$AK$17:$BB$17,0))*INDEX($10:$13,MATCH($O408,$R$10:$R$13,0),COLUMN())</f>
        <v>1.2055555799999999E-3</v>
      </c>
      <c r="AO408" s="1050" cm="1">
        <f t="array" aca="1" ref="AO408" ca="1">INDEX(OFFSET($AK$19,MATCH($B408,$B$19:$B$150,0)-1,0,COUNTA($B$19:$B$24),COUNTA($AK$17:$BB$17)),MATCH($F408,$F$19:$F$24,0),MATCH(AO$17,$AK$17:$BB$17,0))*INDEX($10:$13,MATCH($O408,$R$10:$R$13,0),COLUMN())</f>
        <v>0.17844063440000002</v>
      </c>
      <c r="AP408" s="1050" cm="1">
        <f t="array" aca="1" ref="AP408" ca="1">INDEX(OFFSET($AK$19,MATCH($B408,$B$19:$B$150,0)-1,0,COUNTA($B$19:$B$24),COUNTA($AK$17:$BB$17)),MATCH($F408,$F$19:$F$24,0),MATCH(AP$17,$AK$17:$BB$17,0))*INDEX($10:$13,MATCH($O408,$R$10:$R$13,0),COLUMN())</f>
        <v>0.16713051886999997</v>
      </c>
      <c r="AQ408" s="1050" cm="1">
        <f t="array" aca="1" ref="AQ408" ca="1">INDEX(OFFSET($AK$19,MATCH($B408,$B$19:$B$150,0)-1,0,COUNTA($B$19:$B$24),COUNTA($AK$17:$BB$17)),MATCH($F408,$F$19:$F$24,0),MATCH(AQ$17,$AK$17:$BB$17,0))*INDEX($10:$13,MATCH($O408,$R$10:$R$13,0),COLUMN())</f>
        <v>2.7727520340000003E-4</v>
      </c>
      <c r="AR408" s="1050" cm="1">
        <f t="array" aca="1" ref="AR408" ca="1">INDEX(OFFSET($AK$19,MATCH($B408,$B$19:$B$150,0)-1,0,COUNTA($B$19:$B$24),COUNTA($AK$17:$BB$17)),MATCH($F408,$F$19:$F$24,0),MATCH(AR$17,$AK$17:$BB$17,0))*INDEX($10:$13,MATCH($O408,$R$10:$R$13,0),COLUMN())</f>
        <v>2.9844389126000001E-2</v>
      </c>
      <c r="AS408" s="1050" cm="1">
        <f t="array" aca="1" ref="AS408" ca="1">INDEX(OFFSET($AK$19,MATCH($B408,$B$19:$B$150,0)-1,0,COUNTA($B$19:$B$24),COUNTA($AK$17:$BB$17)),MATCH($F408,$F$19:$F$24,0),MATCH(AS$17,$AK$17:$BB$17,0))*INDEX($10:$13,MATCH($O408,$R$10:$R$13,0),COLUMN())</f>
        <v>1.4460030518999999E-3</v>
      </c>
      <c r="AT408" s="1050" cm="1">
        <f t="array" aca="1" ref="AT408" ca="1">INDEX(OFFSET($AK$19,MATCH($B408,$B$19:$B$150,0)-1,0,COUNTA($B$19:$B$24),COUNTA($AK$17:$BB$17)),MATCH($F408,$F$19:$F$24,0),MATCH(AT$17,$AK$17:$BB$17,0))*INDEX($10:$13,MATCH($O408,$R$10:$R$13,0),COLUMN())</f>
        <v>3.3703251687999997E-6</v>
      </c>
      <c r="AU408" s="1050" cm="1">
        <f t="array" aca="1" ref="AU408" ca="1">INDEX(OFFSET($AK$19,MATCH($B408,$B$19:$B$150,0)-1,0,COUNTA($B$19:$B$24),COUNTA($AK$17:$BB$17)),MATCH($F408,$F$19:$F$24,0),MATCH(AU$17,$AK$17:$BB$17,0))*INDEX($10:$13,MATCH($O408,$R$10:$R$13,0),COLUMN())</f>
        <v>6.8479024854999997E-7</v>
      </c>
      <c r="AV408" s="1050" cm="1">
        <f t="array" aca="1" ref="AV408" ca="1">INDEX(OFFSET($AK$19,MATCH($B408,$B$19:$B$150,0)-1,0,COUNTA($B$19:$B$24),COUNTA($AK$17:$BB$17)),MATCH($F408,$F$19:$F$24,0),MATCH(AV$17,$AK$17:$BB$17,0))*INDEX($10:$13,MATCH($O408,$R$10:$R$13,0),COLUMN())</f>
        <v>2.5144090021999997E-3</v>
      </c>
      <c r="AW408" s="1050" cm="1">
        <f t="array" aca="1" ref="AW408" ca="1">INDEX(OFFSET($AK$19,MATCH($B408,$B$19:$B$150,0)-1,0,COUNTA($B$19:$B$24),COUNTA($AK$17:$BB$17)),MATCH($F408,$F$19:$F$24,0),MATCH(AW$17,$AK$17:$BB$17,0))*INDEX($10:$13,MATCH($O408,$R$10:$R$13,0),COLUMN())</f>
        <v>4.7965697455000005E-2</v>
      </c>
      <c r="AX408" s="1050" cm="1">
        <f t="array" aca="1" ref="AX408" ca="1">INDEX(OFFSET($AK$19,MATCH($B408,$B$19:$B$150,0)-1,0,COUNTA($B$19:$B$24),COUNTA($AK$17:$BB$17)),MATCH($F408,$F$19:$F$24,0),MATCH(AX$17,$AK$17:$BB$17,0))*INDEX($10:$13,MATCH($O408,$R$10:$R$13,0),COLUMN())</f>
        <v>2.4421114315000001E-7</v>
      </c>
      <c r="AY408" s="1050" cm="1">
        <f t="array" aca="1" ref="AY408" ca="1">INDEX(OFFSET($AK$19,MATCH($B408,$B$19:$B$150,0)-1,0,COUNTA($B$19:$B$24),COUNTA($AK$17:$BB$17)),MATCH($F408,$F$19:$F$24,0),MATCH(AY$17,$AK$17:$BB$17,0))*INDEX($10:$13,MATCH($O408,$R$10:$R$13,0),COLUMN())</f>
        <v>0</v>
      </c>
      <c r="AZ408" s="1050" cm="1">
        <f t="array" aca="1" ref="AZ408" ca="1">INDEX(OFFSET($AK$19,MATCH($B408,$B$19:$B$150,0)-1,0,COUNTA($B$19:$B$24),COUNTA($AK$17:$BB$17)),MATCH($F408,$F$19:$F$24,0),MATCH(AZ$17,$AK$17:$BB$17,0))*INDEX($10:$13,MATCH($O408,$R$10:$R$13,0),COLUMN())</f>
        <v>0</v>
      </c>
      <c r="BA408" s="1050" cm="1">
        <f t="array" aca="1" ref="BA408" ca="1">INDEX(OFFSET($AK$19,MATCH($B408,$B$19:$B$150,0)-1,0,COUNTA($B$19:$B$24),COUNTA($AK$17:$BB$17)),MATCH($F408,$F$19:$F$24,0),MATCH(BA$17,$AK$17:$BB$17,0))*INDEX($10:$13,MATCH($O408,$R$10:$R$13,0),COLUMN())</f>
        <v>0</v>
      </c>
      <c r="BB408" s="1051" cm="1">
        <f t="array" aca="1" ref="BB408" ca="1">INDEX(OFFSET($AK$19,MATCH($B408,$B$19:$B$150,0)-1,0,COUNTA($B$19:$B$24),COUNTA($AK$17:$BB$17)),MATCH($F408,$F$19:$F$24,0),MATCH(BB$17,$AK$17:$BB$17,0))*INDEX($10:$13,MATCH($O408,$R$10:$R$13,0),COLUMN())</f>
        <v>0</v>
      </c>
      <c r="BC408" s="1053">
        <f t="shared" ca="1" si="171"/>
        <v>4.7965941666143153E-2</v>
      </c>
      <c r="BE408" s="1"/>
      <c r="BF408" s="1"/>
      <c r="BG408" s="1"/>
      <c r="BH408" s="1"/>
      <c r="BI408" s="1"/>
      <c r="BJ408" s="1"/>
      <c r="BK408" s="1"/>
      <c r="BL408" s="1"/>
      <c r="BM408" s="1"/>
      <c r="BN408" s="1"/>
      <c r="BO408" s="1"/>
      <c r="BP408" s="1"/>
      <c r="BQ408" s="1"/>
      <c r="BR408" s="1"/>
      <c r="BS408" s="1"/>
      <c r="BT408" s="1"/>
      <c r="BU408" s="1"/>
      <c r="BV408" s="1"/>
      <c r="BW408" s="1"/>
      <c r="BX408" s="1"/>
      <c r="BY408" s="1"/>
      <c r="BZ408" s="1"/>
    </row>
    <row r="409" spans="2:78" ht="12" customHeight="1" outlineLevel="1" x14ac:dyDescent="0.25">
      <c r="B409" s="104" t="s">
        <v>115</v>
      </c>
      <c r="C409" s="104" t="s">
        <v>124</v>
      </c>
      <c r="D409" s="2" t="s">
        <v>154</v>
      </c>
      <c r="E409" s="2" t="s">
        <v>115</v>
      </c>
      <c r="F409" s="105" t="s">
        <v>95</v>
      </c>
      <c r="G409" s="27" t="s">
        <v>1581</v>
      </c>
      <c r="H409" s="106" t="s">
        <v>128</v>
      </c>
      <c r="I409" s="107" t="s">
        <v>127</v>
      </c>
      <c r="J409" s="147">
        <v>0.64</v>
      </c>
      <c r="K409" s="148">
        <v>0.4819</v>
      </c>
      <c r="L409" s="149">
        <f t="shared" ca="1" si="172"/>
        <v>1.5100563859104399</v>
      </c>
      <c r="M409" s="148">
        <f t="shared" ca="1" si="173"/>
        <v>1.2095961723702411</v>
      </c>
      <c r="N409" s="163">
        <f t="shared" ca="1" si="170"/>
        <v>0.72769617237024098</v>
      </c>
      <c r="O409" s="1061" t="s">
        <v>1583</v>
      </c>
      <c r="P409" s="104"/>
      <c r="R409" s="119"/>
      <c r="S409" s="1072"/>
      <c r="T409" s="1072"/>
      <c r="U409" s="1072"/>
      <c r="V409" s="1072"/>
      <c r="W409" s="1072"/>
      <c r="X409" s="1072"/>
      <c r="Y409" s="1072"/>
      <c r="Z409" s="1072"/>
      <c r="AA409" s="1072"/>
      <c r="AB409" s="1072"/>
      <c r="AC409" s="1072"/>
      <c r="AD409" s="1072"/>
      <c r="AE409" s="1072"/>
      <c r="AF409" s="1072"/>
      <c r="AG409" s="1072"/>
      <c r="AH409" s="1072"/>
      <c r="AI409" s="1072"/>
      <c r="AJ409" s="1073"/>
      <c r="AK409" s="1052" cm="1">
        <f t="array" aca="1" ref="AK409" ca="1">INDEX(OFFSET($AK$19,MATCH($B409,$B$19:$B$150,0)-1,0,COUNTA($B$19:$B$24),COUNTA($AK$17:$BB$17)),MATCH($F409,$F$19:$F$24,0),MATCH(AK$17,$AK$17:$BB$17,0))*INDEX($10:$13,MATCH($O409,$R$10:$R$13,0),COLUMN())</f>
        <v>0.2315172405</v>
      </c>
      <c r="AL409" s="1050" cm="1">
        <f t="array" aca="1" ref="AL409" ca="1">INDEX(OFFSET($AK$19,MATCH($B409,$B$19:$B$150,0)-1,0,COUNTA($B$19:$B$24),COUNTA($AK$17:$BB$17)),MATCH($F409,$F$19:$F$24,0),MATCH(AL$17,$AK$17:$BB$17,0))*INDEX($10:$13,MATCH($O409,$R$10:$R$13,0),COLUMN())</f>
        <v>1.8021266831999998E-7</v>
      </c>
      <c r="AM409" s="1050" cm="1">
        <f t="array" aca="1" ref="AM409" ca="1">INDEX(OFFSET($AK$19,MATCH($B409,$B$19:$B$150,0)-1,0,COUNTA($B$19:$B$24),COUNTA($AK$17:$BB$17)),MATCH($F409,$F$19:$F$24,0),MATCH(AM$17,$AK$17:$BB$17,0))*INDEX($10:$13,MATCH($O409,$R$10:$R$13,0),COLUMN())</f>
        <v>3.4506493556000004E-4</v>
      </c>
      <c r="AN409" s="1050" cm="1">
        <f t="array" aca="1" ref="AN409" ca="1">INDEX(OFFSET($AK$19,MATCH($B409,$B$19:$B$150,0)-1,0,COUNTA($B$19:$B$24),COUNTA($AK$17:$BB$17)),MATCH($F409,$F$19:$F$24,0),MATCH(AN$17,$AK$17:$BB$17,0))*INDEX($10:$13,MATCH($O409,$R$10:$R$13,0),COLUMN())</f>
        <v>1.4230389799999999E-3</v>
      </c>
      <c r="AO409" s="1050" cm="1">
        <f t="array" aca="1" ref="AO409" ca="1">INDEX(OFFSET($AK$19,MATCH($B409,$B$19:$B$150,0)-1,0,COUNTA($B$19:$B$24),COUNTA($AK$17:$BB$17)),MATCH($F409,$F$19:$F$24,0),MATCH(AO$17,$AK$17:$BB$17,0))*INDEX($10:$13,MATCH($O409,$R$10:$R$13,0),COLUMN())</f>
        <v>0.20167118552000002</v>
      </c>
      <c r="AP409" s="1050" cm="1">
        <f t="array" aca="1" ref="AP409" ca="1">INDEX(OFFSET($AK$19,MATCH($B409,$B$19:$B$150,0)-1,0,COUNTA($B$19:$B$24),COUNTA($AK$17:$BB$17)),MATCH($F409,$F$19:$F$24,0),MATCH(AP$17,$AK$17:$BB$17,0))*INDEX($10:$13,MATCH($O409,$R$10:$R$13,0),COLUMN())</f>
        <v>0.18845494499999998</v>
      </c>
      <c r="AQ409" s="1050" cm="1">
        <f t="array" aca="1" ref="AQ409" ca="1">INDEX(OFFSET($AK$19,MATCH($B409,$B$19:$B$150,0)-1,0,COUNTA($B$19:$B$24),COUNTA($AK$17:$BB$17)),MATCH($F409,$F$19:$F$24,0),MATCH(AQ$17,$AK$17:$BB$17,0))*INDEX($10:$13,MATCH($O409,$R$10:$R$13,0),COLUMN())</f>
        <v>3.4898746620000003E-4</v>
      </c>
      <c r="AR409" s="1050" cm="1">
        <f t="array" aca="1" ref="AR409" ca="1">INDEX(OFFSET($AK$19,MATCH($B409,$B$19:$B$150,0)-1,0,COUNTA($B$19:$B$24),COUNTA($AK$17:$BB$17)),MATCH($F409,$F$19:$F$24,0),MATCH(AR$17,$AK$17:$BB$17,0))*INDEX($10:$13,MATCH($O409,$R$10:$R$13,0),COLUMN())</f>
        <v>3.4704524209999997E-2</v>
      </c>
      <c r="AS409" s="1050" cm="1">
        <f t="array" aca="1" ref="AS409" ca="1">INDEX(OFFSET($AK$19,MATCH($B409,$B$19:$B$150,0)-1,0,COUNTA($B$19:$B$24),COUNTA($AK$17:$BB$17)),MATCH($F409,$F$19:$F$24,0),MATCH(AS$17,$AK$17:$BB$17,0))*INDEX($10:$13,MATCH($O409,$R$10:$R$13,0),COLUMN())</f>
        <v>2.2037519338999998E-3</v>
      </c>
      <c r="AT409" s="1050" cm="1">
        <f t="array" aca="1" ref="AT409" ca="1">INDEX(OFFSET($AK$19,MATCH($B409,$B$19:$B$150,0)-1,0,COUNTA($B$19:$B$24),COUNTA($AK$17:$BB$17)),MATCH($F409,$F$19:$F$24,0),MATCH(AT$17,$AK$17:$BB$17,0))*INDEX($10:$13,MATCH($O409,$R$10:$R$13,0),COLUMN())</f>
        <v>4.3813505049999996E-6</v>
      </c>
      <c r="AU409" s="1050" cm="1">
        <f t="array" aca="1" ref="AU409" ca="1">INDEX(OFFSET($AK$19,MATCH($B409,$B$19:$B$150,0)-1,0,COUNTA($B$19:$B$24),COUNTA($AK$17:$BB$17)),MATCH($F409,$F$19:$F$24,0),MATCH(AU$17,$AK$17:$BB$17,0))*INDEX($10:$13,MATCH($O409,$R$10:$R$13,0),COLUMN())</f>
        <v>8.7473405140000001E-7</v>
      </c>
      <c r="AV409" s="1050" cm="1">
        <f t="array" aca="1" ref="AV409" ca="1">INDEX(OFFSET($AK$19,MATCH($B409,$B$19:$B$150,0)-1,0,COUNTA($B$19:$B$24),COUNTA($AK$17:$BB$17)),MATCH($F409,$F$19:$F$24,0),MATCH(AV$17,$AK$17:$BB$17,0))*INDEX($10:$13,MATCH($O409,$R$10:$R$13,0),COLUMN())</f>
        <v>3.7458905126999996E-3</v>
      </c>
      <c r="AW409" s="1050" cm="1">
        <f t="array" aca="1" ref="AW409" ca="1">INDEX(OFFSET($AK$19,MATCH($B409,$B$19:$B$150,0)-1,0,COUNTA($B$19:$B$24),COUNTA($AK$17:$BB$17)),MATCH($F409,$F$19:$F$24,0),MATCH(AW$17,$AK$17:$BB$17,0))*INDEX($10:$13,MATCH($O409,$R$10:$R$13,0),COLUMN())</f>
        <v>6.3275836715000006E-2</v>
      </c>
      <c r="AX409" s="1050" cm="1">
        <f t="array" aca="1" ref="AX409" ca="1">INDEX(OFFSET($AK$19,MATCH($B409,$B$19:$B$150,0)-1,0,COUNTA($B$19:$B$24),COUNTA($AK$17:$BB$17)),MATCH($F409,$F$19:$F$24,0),MATCH(AX$17,$AK$17:$BB$17,0))*INDEX($10:$13,MATCH($O409,$R$10:$R$13,0),COLUMN())</f>
        <v>2.7029965624999998E-7</v>
      </c>
      <c r="AY409" s="1050" cm="1">
        <f t="array" aca="1" ref="AY409" ca="1">INDEX(OFFSET($AK$19,MATCH($B409,$B$19:$B$150,0)-1,0,COUNTA($B$19:$B$24),COUNTA($AK$17:$BB$17)),MATCH($F409,$F$19:$F$24,0),MATCH(AY$17,$AK$17:$BB$17,0))*INDEX($10:$13,MATCH($O409,$R$10:$R$13,0),COLUMN())</f>
        <v>0</v>
      </c>
      <c r="AZ409" s="1050" cm="1">
        <f t="array" aca="1" ref="AZ409" ca="1">INDEX(OFFSET($AK$19,MATCH($B409,$B$19:$B$150,0)-1,0,COUNTA($B$19:$B$24),COUNTA($AK$17:$BB$17)),MATCH($F409,$F$19:$F$24,0),MATCH(AZ$17,$AK$17:$BB$17,0))*INDEX($10:$13,MATCH($O409,$R$10:$R$13,0),COLUMN())</f>
        <v>0</v>
      </c>
      <c r="BA409" s="1050" cm="1">
        <f t="array" aca="1" ref="BA409" ca="1">INDEX(OFFSET($AK$19,MATCH($B409,$B$19:$B$150,0)-1,0,COUNTA($B$19:$B$24),COUNTA($AK$17:$BB$17)),MATCH($F409,$F$19:$F$24,0),MATCH(BA$17,$AK$17:$BB$17,0))*INDEX($10:$13,MATCH($O409,$R$10:$R$13,0),COLUMN())</f>
        <v>0</v>
      </c>
      <c r="BB409" s="1051" cm="1">
        <f t="array" aca="1" ref="BB409" ca="1">INDEX(OFFSET($AK$19,MATCH($B409,$B$19:$B$150,0)-1,0,COUNTA($B$19:$B$24),COUNTA($AK$17:$BB$17)),MATCH($F409,$F$19:$F$24,0),MATCH(BB$17,$AK$17:$BB$17,0))*INDEX($10:$13,MATCH($O409,$R$10:$R$13,0),COLUMN())</f>
        <v>0</v>
      </c>
      <c r="BC409" s="1053">
        <f t="shared" ca="1" si="171"/>
        <v>6.327610701465626E-2</v>
      </c>
      <c r="BE409" s="1"/>
      <c r="BF409" s="1"/>
      <c r="BG409" s="1"/>
      <c r="BH409" s="1"/>
      <c r="BI409" s="1"/>
      <c r="BJ409" s="1"/>
      <c r="BK409" s="1"/>
      <c r="BL409" s="1"/>
      <c r="BM409" s="1"/>
      <c r="BN409" s="1"/>
      <c r="BO409" s="1"/>
      <c r="BP409" s="1"/>
      <c r="BQ409" s="1"/>
      <c r="BR409" s="1"/>
      <c r="BS409" s="1"/>
      <c r="BT409" s="1"/>
      <c r="BU409" s="1"/>
      <c r="BV409" s="1"/>
      <c r="BW409" s="1"/>
      <c r="BX409" s="1"/>
      <c r="BY409" s="1"/>
      <c r="BZ409" s="1"/>
    </row>
    <row r="410" spans="2:78" ht="12" customHeight="1" outlineLevel="1" x14ac:dyDescent="0.25">
      <c r="B410" s="104" t="s">
        <v>115</v>
      </c>
      <c r="C410" s="104" t="s">
        <v>124</v>
      </c>
      <c r="D410" s="2" t="s">
        <v>154</v>
      </c>
      <c r="E410" s="2" t="s">
        <v>115</v>
      </c>
      <c r="F410" s="105" t="s">
        <v>96</v>
      </c>
      <c r="G410" s="27" t="s">
        <v>1582</v>
      </c>
      <c r="H410" s="106" t="s">
        <v>128</v>
      </c>
      <c r="I410" s="107" t="s">
        <v>1577</v>
      </c>
      <c r="J410" s="147">
        <v>0.64</v>
      </c>
      <c r="K410" s="148">
        <v>0.4819</v>
      </c>
      <c r="L410" s="149">
        <f t="shared" ca="1" si="172"/>
        <v>1.7327315040747562</v>
      </c>
      <c r="M410" s="148">
        <f t="shared" ca="1" si="173"/>
        <v>1.3169033118136251</v>
      </c>
      <c r="N410" s="163">
        <f t="shared" ca="1" si="170"/>
        <v>0.83500331181362497</v>
      </c>
      <c r="O410" s="1061" t="s">
        <v>1583</v>
      </c>
      <c r="P410" s="104"/>
      <c r="R410" s="119"/>
      <c r="S410" s="1072"/>
      <c r="T410" s="1072"/>
      <c r="U410" s="1072"/>
      <c r="V410" s="1072"/>
      <c r="W410" s="1072"/>
      <c r="X410" s="1072"/>
      <c r="Y410" s="1072"/>
      <c r="Z410" s="1072"/>
      <c r="AA410" s="1072"/>
      <c r="AB410" s="1072"/>
      <c r="AC410" s="1072"/>
      <c r="AD410" s="1072"/>
      <c r="AE410" s="1072"/>
      <c r="AF410" s="1072"/>
      <c r="AG410" s="1072"/>
      <c r="AH410" s="1072"/>
      <c r="AI410" s="1072"/>
      <c r="AJ410" s="1073"/>
      <c r="AK410" s="1052" cm="1">
        <f t="array" aca="1" ref="AK410" ca="1">INDEX(OFFSET($AK$19,MATCH($B410,$B$19:$B$150,0)-1,0,COUNTA($B$19:$B$24),COUNTA($AK$17:$BB$17)),MATCH($F410,$F$19:$F$24,0),MATCH(AK$17,$AK$17:$BB$17,0))*INDEX($10:$13,MATCH($O410,$R$10:$R$13,0),COLUMN())</f>
        <v>0.24348992850000001</v>
      </c>
      <c r="AL410" s="1050" cm="1">
        <f t="array" aca="1" ref="AL410" ca="1">INDEX(OFFSET($AK$19,MATCH($B410,$B$19:$B$150,0)-1,0,COUNTA($B$19:$B$24),COUNTA($AK$17:$BB$17)),MATCH($F410,$F$19:$F$24,0),MATCH(AL$17,$AK$17:$BB$17,0))*INDEX($10:$13,MATCH($O410,$R$10:$R$13,0),COLUMN())</f>
        <v>1.8026754943999999E-7</v>
      </c>
      <c r="AM410" s="1050" cm="1">
        <f t="array" aca="1" ref="AM410" ca="1">INDEX(OFFSET($AK$19,MATCH($B410,$B$19:$B$150,0)-1,0,COUNTA($B$19:$B$24),COUNTA($AK$17:$BB$17)),MATCH($F410,$F$19:$F$24,0),MATCH(AM$17,$AK$17:$BB$17,0))*INDEX($10:$13,MATCH($O410,$R$10:$R$13,0),COLUMN())</f>
        <v>3.4516621265000003E-4</v>
      </c>
      <c r="AN410" s="1050" cm="1">
        <f t="array" aca="1" ref="AN410" ca="1">INDEX(OFFSET($AK$19,MATCH($B410,$B$19:$B$150,0)-1,0,COUNTA($B$19:$B$24),COUNTA($AK$17:$BB$17)),MATCH($F410,$F$19:$F$24,0),MATCH(AN$17,$AK$17:$BB$17,0))*INDEX($10:$13,MATCH($O410,$R$10:$R$13,0),COLUMN())</f>
        <v>1.4337421449999999E-3</v>
      </c>
      <c r="AO410" s="1050" cm="1">
        <f t="array" aca="1" ref="AO410" ca="1">INDEX(OFFSET($AK$19,MATCH($B410,$B$19:$B$150,0)-1,0,COUNTA($B$19:$B$24),COUNTA($AK$17:$BB$17)),MATCH($F410,$F$19:$F$24,0),MATCH(AO$17,$AK$17:$BB$17,0))*INDEX($10:$13,MATCH($O410,$R$10:$R$13,0),COLUMN())</f>
        <v>0.24185320432000001</v>
      </c>
      <c r="AP410" s="1050" cm="1">
        <f t="array" aca="1" ref="AP410" ca="1">INDEX(OFFSET($AK$19,MATCH($B410,$B$19:$B$150,0)-1,0,COUNTA($B$19:$B$24),COUNTA($AK$17:$BB$17)),MATCH($F410,$F$19:$F$24,0),MATCH(AP$17,$AK$17:$BB$17,0))*INDEX($10:$13,MATCH($O410,$R$10:$R$13,0),COLUMN())</f>
        <v>0.22740197228</v>
      </c>
      <c r="AQ410" s="1050" cm="1">
        <f t="array" aca="1" ref="AQ410" ca="1">INDEX(OFFSET($AK$19,MATCH($B410,$B$19:$B$150,0)-1,0,COUNTA($B$19:$B$24),COUNTA($AK$17:$BB$17)),MATCH($F410,$F$19:$F$24,0),MATCH(AQ$17,$AK$17:$BB$17,0))*INDEX($10:$13,MATCH($O410,$R$10:$R$13,0),COLUMN())</f>
        <v>5.4408757200000006E-4</v>
      </c>
      <c r="AR410" s="1050" cm="1">
        <f t="array" aca="1" ref="AR410" ca="1">INDEX(OFFSET($AK$19,MATCH($B410,$B$19:$B$150,0)-1,0,COUNTA($B$19:$B$24),COUNTA($AK$17:$BB$17)),MATCH($F410,$F$19:$F$24,0),MATCH(AR$17,$AK$17:$BB$17,0))*INDEX($10:$13,MATCH($O410,$R$10:$R$13,0),COLUMN())</f>
        <v>4.5150812059999997E-2</v>
      </c>
      <c r="AS410" s="1050" cm="1">
        <f t="array" aca="1" ref="AS410" ca="1">INDEX(OFFSET($AK$19,MATCH($B410,$B$19:$B$150,0)-1,0,COUNTA($B$19:$B$24),COUNTA($AK$17:$BB$17)),MATCH($F410,$F$19:$F$24,0),MATCH(AS$17,$AK$17:$BB$17,0))*INDEX($10:$13,MATCH($O410,$R$10:$R$13,0),COLUMN())</f>
        <v>3.8438609087999998E-3</v>
      </c>
      <c r="AT410" s="1050" cm="1">
        <f t="array" aca="1" ref="AT410" ca="1">INDEX(OFFSET($AK$19,MATCH($B410,$B$19:$B$150,0)-1,0,COUNTA($B$19:$B$24),COUNTA($AK$17:$BB$17)),MATCH($F410,$F$19:$F$24,0),MATCH(AT$17,$AK$17:$BB$17,0))*INDEX($10:$13,MATCH($O410,$R$10:$R$13,0),COLUMN())</f>
        <v>5.0727142400000006E-6</v>
      </c>
      <c r="AU410" s="1050" cm="1">
        <f t="array" aca="1" ref="AU410" ca="1">INDEX(OFFSET($AK$19,MATCH($B410,$B$19:$B$150,0)-1,0,COUNTA($B$19:$B$24),COUNTA($AK$17:$BB$17)),MATCH($F410,$F$19:$F$24,0),MATCH(AU$17,$AK$17:$BB$17,0))*INDEX($10:$13,MATCH($O410,$R$10:$R$13,0),COLUMN())</f>
        <v>9.5814512920000004E-7</v>
      </c>
      <c r="AV410" s="1050" cm="1">
        <f t="array" aca="1" ref="AV410" ca="1">INDEX(OFFSET($AK$19,MATCH($B410,$B$19:$B$150,0)-1,0,COUNTA($B$19:$B$24),COUNTA($AK$17:$BB$17)),MATCH($F410,$F$19:$F$24,0),MATCH(AV$17,$AK$17:$BB$17,0))*INDEX($10:$13,MATCH($O410,$R$10:$R$13,0),COLUMN())</f>
        <v>7.6582196736000004E-3</v>
      </c>
      <c r="AW410" s="1050" cm="1">
        <f t="array" aca="1" ref="AW410" ca="1">INDEX(OFFSET($AK$19,MATCH($B410,$B$19:$B$150,0)-1,0,COUNTA($B$19:$B$24),COUNTA($AK$17:$BB$17)),MATCH($F410,$F$19:$F$24,0),MATCH(AW$17,$AK$17:$BB$17,0))*INDEX($10:$13,MATCH($O410,$R$10:$R$13,0),COLUMN())</f>
        <v>6.3275836715000006E-2</v>
      </c>
      <c r="AX410" s="1050" cm="1">
        <f t="array" aca="1" ref="AX410" ca="1">INDEX(OFFSET($AK$19,MATCH($B410,$B$19:$B$150,0)-1,0,COUNTA($B$19:$B$24),COUNTA($AK$17:$BB$17)),MATCH($F410,$F$19:$F$24,0),MATCH(AX$17,$AK$17:$BB$17,0))*INDEX($10:$13,MATCH($O410,$R$10:$R$13,0),COLUMN())</f>
        <v>2.7029965624999998E-7</v>
      </c>
      <c r="AY410" s="1050" cm="1">
        <f t="array" aca="1" ref="AY410" ca="1">INDEX(OFFSET($AK$19,MATCH($B410,$B$19:$B$150,0)-1,0,COUNTA($B$19:$B$24),COUNTA($AK$17:$BB$17)),MATCH($F410,$F$19:$F$24,0),MATCH(AY$17,$AK$17:$BB$17,0))*INDEX($10:$13,MATCH($O410,$R$10:$R$13,0),COLUMN())</f>
        <v>0</v>
      </c>
      <c r="AZ410" s="1050" cm="1">
        <f t="array" aca="1" ref="AZ410" ca="1">INDEX(OFFSET($AK$19,MATCH($B410,$B$19:$B$150,0)-1,0,COUNTA($B$19:$B$24),COUNTA($AK$17:$BB$17)),MATCH($F410,$F$19:$F$24,0),MATCH(AZ$17,$AK$17:$BB$17,0))*INDEX($10:$13,MATCH($O410,$R$10:$R$13,0),COLUMN())</f>
        <v>0</v>
      </c>
      <c r="BA410" s="1050" cm="1">
        <f t="array" aca="1" ref="BA410" ca="1">INDEX(OFFSET($AK$19,MATCH($B410,$B$19:$B$150,0)-1,0,COUNTA($B$19:$B$24),COUNTA($AK$17:$BB$17)),MATCH($F410,$F$19:$F$24,0),MATCH(BA$17,$AK$17:$BB$17,0))*INDEX($10:$13,MATCH($O410,$R$10:$R$13,0),COLUMN())</f>
        <v>0</v>
      </c>
      <c r="BB410" s="1051" cm="1">
        <f t="array" aca="1" ref="BB410" ca="1">INDEX(OFFSET($AK$19,MATCH($B410,$B$19:$B$150,0)-1,0,COUNTA($B$19:$B$24),COUNTA($AK$17:$BB$17)),MATCH($F410,$F$19:$F$24,0),MATCH(BB$17,$AK$17:$BB$17,0))*INDEX($10:$13,MATCH($O410,$R$10:$R$13,0),COLUMN())</f>
        <v>0</v>
      </c>
      <c r="BC410" s="1053">
        <f t="shared" ca="1" si="171"/>
        <v>6.327610701465626E-2</v>
      </c>
      <c r="BE410" s="1"/>
      <c r="BF410" s="1"/>
      <c r="BG410" s="1"/>
      <c r="BH410" s="1"/>
      <c r="BI410" s="1"/>
      <c r="BJ410" s="1"/>
      <c r="BK410" s="1"/>
      <c r="BL410" s="1"/>
      <c r="BM410" s="1"/>
      <c r="BN410" s="1"/>
      <c r="BO410" s="1"/>
      <c r="BP410" s="1"/>
      <c r="BQ410" s="1"/>
      <c r="BR410" s="1"/>
      <c r="BS410" s="1"/>
      <c r="BT410" s="1"/>
      <c r="BU410" s="1"/>
      <c r="BV410" s="1"/>
      <c r="BW410" s="1"/>
      <c r="BX410" s="1"/>
      <c r="BY410" s="1"/>
      <c r="BZ410" s="1"/>
    </row>
    <row r="411" spans="2:78" ht="12" customHeight="1" outlineLevel="1" x14ac:dyDescent="0.25">
      <c r="B411" s="88" t="s">
        <v>116</v>
      </c>
      <c r="C411" s="88" t="s">
        <v>124</v>
      </c>
      <c r="D411" s="89" t="s">
        <v>152</v>
      </c>
      <c r="E411" s="89" t="s">
        <v>156</v>
      </c>
      <c r="F411" s="90" t="s">
        <v>92</v>
      </c>
      <c r="G411" s="18" t="s">
        <v>126</v>
      </c>
      <c r="H411" s="91" t="s">
        <v>127</v>
      </c>
      <c r="I411" s="92" t="s">
        <v>127</v>
      </c>
      <c r="J411" s="142">
        <v>1.55</v>
      </c>
      <c r="K411" s="143">
        <v>2.118052738336714</v>
      </c>
      <c r="L411" s="151">
        <f t="shared" ca="1" si="172"/>
        <v>0.86751384344505911</v>
      </c>
      <c r="M411" s="143">
        <f t="shared" ca="1" si="173"/>
        <v>3.9554928099905289</v>
      </c>
      <c r="N411" s="162">
        <f t="shared" ca="1" si="170"/>
        <v>1.8374400716538148</v>
      </c>
      <c r="O411" s="1060" t="s">
        <v>1583</v>
      </c>
      <c r="P411" s="88"/>
      <c r="Q411" s="89"/>
      <c r="R411" s="150"/>
      <c r="S411" s="1070"/>
      <c r="T411" s="1070"/>
      <c r="U411" s="1070"/>
      <c r="V411" s="1070"/>
      <c r="W411" s="1070"/>
      <c r="X411" s="1070"/>
      <c r="Y411" s="1070"/>
      <c r="Z411" s="1070"/>
      <c r="AA411" s="1070"/>
      <c r="AB411" s="1070"/>
      <c r="AC411" s="1070"/>
      <c r="AD411" s="1070"/>
      <c r="AE411" s="1070"/>
      <c r="AF411" s="1070"/>
      <c r="AG411" s="1070"/>
      <c r="AH411" s="1070"/>
      <c r="AI411" s="1070"/>
      <c r="AJ411" s="1071"/>
      <c r="AK411" s="1048" cm="1">
        <f t="array" aca="1" ref="AK411" ca="1">INDEX(OFFSET($AK$19,MATCH($B411,$B$19:$B$150,0)-1,0,COUNTA($B$19:$B$24),COUNTA($AK$17:$BB$17)),MATCH($F411,$F$19:$F$24,0),MATCH(AK$17,$AK$17:$BB$17,0))*INDEX($10:$13,MATCH($O411,$R$10:$R$13,0),COLUMN())</f>
        <v>0.54330106350000007</v>
      </c>
      <c r="AL411" s="1046" cm="1">
        <f t="array" aca="1" ref="AL411" ca="1">INDEX(OFFSET($AK$19,MATCH($B411,$B$19:$B$150,0)-1,0,COUNTA($B$19:$B$24),COUNTA($AK$17:$BB$17)),MATCH($F411,$F$19:$F$24,0),MATCH(AL$17,$AK$17:$BB$17,0))*INDEX($10:$13,MATCH($O411,$R$10:$R$13,0),COLUMN())</f>
        <v>7.2845437599999998E-7</v>
      </c>
      <c r="AM411" s="1046" cm="1">
        <f t="array" aca="1" ref="AM411" ca="1">INDEX(OFFSET($AK$19,MATCH($B411,$B$19:$B$150,0)-1,0,COUNTA($B$19:$B$24),COUNTA($AK$17:$BB$17)),MATCH($F411,$F$19:$F$24,0),MATCH(AM$17,$AK$17:$BB$17,0))*INDEX($10:$13,MATCH($O411,$R$10:$R$13,0),COLUMN())</f>
        <v>1.4110849037000002E-3</v>
      </c>
      <c r="AN411" s="1046" cm="1">
        <f t="array" aca="1" ref="AN411" ca="1">INDEX(OFFSET($AK$19,MATCH($B411,$B$19:$B$150,0)-1,0,COUNTA($B$19:$B$24),COUNTA($AK$17:$BB$17)),MATCH($F411,$F$19:$F$24,0),MATCH(AN$17,$AK$17:$BB$17,0))*INDEX($10:$13,MATCH($O411,$R$10:$R$13,0),COLUMN())</f>
        <v>4.4725328499999996E-3</v>
      </c>
      <c r="AO411" s="1046" cm="1">
        <f t="array" aca="1" ref="AO411" ca="1">INDEX(OFFSET($AK$19,MATCH($B411,$B$19:$B$150,0)-1,0,COUNTA($B$19:$B$24),COUNTA($AK$17:$BB$17)),MATCH($F411,$F$19:$F$24,0),MATCH(AO$17,$AK$17:$BB$17,0))*INDEX($10:$13,MATCH($O411,$R$10:$R$13,0),COLUMN())</f>
        <v>0.41612956000000001</v>
      </c>
      <c r="AP411" s="1046" cm="1">
        <f t="array" aca="1" ref="AP411" ca="1">INDEX(OFFSET($AK$19,MATCH($B411,$B$19:$B$150,0)-1,0,COUNTA($B$19:$B$24),COUNTA($AK$17:$BB$17)),MATCH($F411,$F$19:$F$24,0),MATCH(AP$17,$AK$17:$BB$17,0))*INDEX($10:$13,MATCH($O411,$R$10:$R$13,0),COLUMN())</f>
        <v>0.32060009316999999</v>
      </c>
      <c r="AQ411" s="1046" cm="1">
        <f t="array" aca="1" ref="AQ411" ca="1">INDEX(OFFSET($AK$19,MATCH($B411,$B$19:$B$150,0)-1,0,COUNTA($B$19:$B$24),COUNTA($AK$17:$BB$17)),MATCH($F411,$F$19:$F$24,0),MATCH(AQ$17,$AK$17:$BB$17,0))*INDEX($10:$13,MATCH($O411,$R$10:$R$13,0),COLUMN())</f>
        <v>7.2856583160000004E-4</v>
      </c>
      <c r="AR411" s="1046" cm="1">
        <f t="array" aca="1" ref="AR411" ca="1">INDEX(OFFSET($AK$19,MATCH($B411,$B$19:$B$150,0)-1,0,COUNTA($B$19:$B$24),COUNTA($AK$17:$BB$17)),MATCH($F411,$F$19:$F$24,0),MATCH(AR$17,$AK$17:$BB$17,0))*INDEX($10:$13,MATCH($O411,$R$10:$R$13,0),COLUMN())</f>
        <v>4.9526159100000001E-2</v>
      </c>
      <c r="AS411" s="1046" cm="1">
        <f t="array" aca="1" ref="AS411" ca="1">INDEX(OFFSET($AK$19,MATCH($B411,$B$19:$B$150,0)-1,0,COUNTA($B$19:$B$24),COUNTA($AK$17:$BB$17)),MATCH($F411,$F$19:$F$24,0),MATCH(AS$17,$AK$17:$BB$17,0))*INDEX($10:$13,MATCH($O411,$R$10:$R$13,0),COLUMN())</f>
        <v>0.25455605703</v>
      </c>
      <c r="AT411" s="1046" cm="1">
        <f t="array" aca="1" ref="AT411" ca="1">INDEX(OFFSET($AK$19,MATCH($B411,$B$19:$B$150,0)-1,0,COUNTA($B$19:$B$24),COUNTA($AK$17:$BB$17)),MATCH($F411,$F$19:$F$24,0),MATCH(AT$17,$AK$17:$BB$17,0))*INDEX($10:$13,MATCH($O411,$R$10:$R$13,0),COLUMN())</f>
        <v>2.9712988728E-4</v>
      </c>
      <c r="AU411" s="1046" cm="1">
        <f t="array" aca="1" ref="AU411" ca="1">INDEX(OFFSET($AK$19,MATCH($B411,$B$19:$B$150,0)-1,0,COUNTA($B$19:$B$24),COUNTA($AK$17:$BB$17)),MATCH($F411,$F$19:$F$24,0),MATCH(AU$17,$AK$17:$BB$17,0))*INDEX($10:$13,MATCH($O411,$R$10:$R$13,0),COLUMN())</f>
        <v>1.6551750282999999E-5</v>
      </c>
      <c r="AV411" s="1046" cm="1">
        <f t="array" aca="1" ref="AV411" ca="1">INDEX(OFFSET($AK$19,MATCH($B411,$B$19:$B$150,0)-1,0,COUNTA($B$19:$B$24),COUNTA($AK$17:$BB$17)),MATCH($F411,$F$19:$F$24,0),MATCH(AV$17,$AK$17:$BB$17,0))*INDEX($10:$13,MATCH($O411,$R$10:$R$13,0),COLUMN())</f>
        <v>9.1822426993999999E-3</v>
      </c>
      <c r="AW411" s="1046" cm="1">
        <f t="array" aca="1" ref="AW411" ca="1">INDEX(OFFSET($AK$19,MATCH($B411,$B$19:$B$150,0)-1,0,COUNTA($B$19:$B$24),COUNTA($AK$17:$BB$17)),MATCH($F411,$F$19:$F$24,0),MATCH(AW$17,$AK$17:$BB$17,0))*INDEX($10:$13,MATCH($O411,$R$10:$R$13,0),COLUMN())</f>
        <v>0.23721663030000001</v>
      </c>
      <c r="AX411" s="1046" cm="1">
        <f t="array" aca="1" ref="AX411" ca="1">INDEX(OFFSET($AK$19,MATCH($B411,$B$19:$B$150,0)-1,0,COUNTA($B$19:$B$24),COUNTA($AK$17:$BB$17)),MATCH($F411,$F$19:$F$24,0),MATCH(AX$17,$AK$17:$BB$17,0))*INDEX($10:$13,MATCH($O411,$R$10:$R$13,0),COLUMN())</f>
        <v>1.6721771755000001E-6</v>
      </c>
      <c r="AY411" s="1046" cm="1">
        <f t="array" aca="1" ref="AY411" ca="1">INDEX(OFFSET($AK$19,MATCH($B411,$B$19:$B$150,0)-1,0,COUNTA($B$19:$B$24),COUNTA($AK$17:$BB$17)),MATCH($F411,$F$19:$F$24,0),MATCH(AY$17,$AK$17:$BB$17,0))*INDEX($10:$13,MATCH($O411,$R$10:$R$13,0),COLUMN())</f>
        <v>0</v>
      </c>
      <c r="AZ411" s="1046" cm="1">
        <f t="array" aca="1" ref="AZ411" ca="1">INDEX(OFFSET($AK$19,MATCH($B411,$B$19:$B$150,0)-1,0,COUNTA($B$19:$B$24),COUNTA($AK$17:$BB$17)),MATCH($F411,$F$19:$F$24,0),MATCH(AZ$17,$AK$17:$BB$17,0))*INDEX($10:$13,MATCH($O411,$R$10:$R$13,0),COLUMN())</f>
        <v>0</v>
      </c>
      <c r="BA411" s="1046" cm="1">
        <f t="array" aca="1" ref="BA411" ca="1">INDEX(OFFSET($AK$19,MATCH($B411,$B$19:$B$150,0)-1,0,COUNTA($B$19:$B$24),COUNTA($AK$17:$BB$17)),MATCH($F411,$F$19:$F$24,0),MATCH(BA$17,$AK$17:$BB$17,0))*INDEX($10:$13,MATCH($O411,$R$10:$R$13,0),COLUMN())</f>
        <v>0</v>
      </c>
      <c r="BB411" s="1047" cm="1">
        <f t="array" aca="1" ref="BB411" ca="1">INDEX(OFFSET($AK$19,MATCH($B411,$B$19:$B$150,0)-1,0,COUNTA($B$19:$B$24),COUNTA($AK$17:$BB$17)),MATCH($F411,$F$19:$F$24,0),MATCH(BB$17,$AK$17:$BB$17,0))*INDEX($10:$13,MATCH($O411,$R$10:$R$13,0),COLUMN())</f>
        <v>0</v>
      </c>
      <c r="BC411" s="1049">
        <f t="shared" ca="1" si="171"/>
        <v>0.23721830247717551</v>
      </c>
      <c r="BE411" s="1"/>
      <c r="BF411" s="1"/>
      <c r="BG411" s="1"/>
      <c r="BH411" s="1"/>
      <c r="BI411" s="1"/>
      <c r="BJ411" s="1"/>
      <c r="BK411" s="1"/>
      <c r="BL411" s="1"/>
      <c r="BM411" s="1"/>
      <c r="BN411" s="1"/>
      <c r="BO411" s="1"/>
      <c r="BP411" s="1"/>
      <c r="BQ411" s="1"/>
      <c r="BR411" s="1"/>
      <c r="BS411" s="1"/>
      <c r="BT411" s="1"/>
      <c r="BU411" s="1"/>
      <c r="BV411" s="1"/>
      <c r="BW411" s="1"/>
      <c r="BX411" s="1"/>
      <c r="BY411" s="1"/>
      <c r="BZ411" s="1"/>
    </row>
    <row r="412" spans="2:78" ht="12" customHeight="1" outlineLevel="1" x14ac:dyDescent="0.25">
      <c r="B412" s="104" t="s">
        <v>116</v>
      </c>
      <c r="C412" s="104" t="s">
        <v>124</v>
      </c>
      <c r="D412" s="2" t="s">
        <v>152</v>
      </c>
      <c r="E412" s="2" t="s">
        <v>156</v>
      </c>
      <c r="F412" s="105" t="s">
        <v>122</v>
      </c>
      <c r="G412" s="27" t="s">
        <v>1579</v>
      </c>
      <c r="H412" s="106" t="s">
        <v>128</v>
      </c>
      <c r="I412" s="107" t="s">
        <v>129</v>
      </c>
      <c r="J412" s="147">
        <v>1.55</v>
      </c>
      <c r="K412" s="148">
        <v>4.3927738336713995</v>
      </c>
      <c r="L412" s="149">
        <f t="shared" ca="1" si="172"/>
        <v>0.33889193797539596</v>
      </c>
      <c r="M412" s="148">
        <f t="shared" ca="1" si="173"/>
        <v>5.8814494712519103</v>
      </c>
      <c r="N412" s="163">
        <f t="shared" ca="1" si="170"/>
        <v>1.4886756375805104</v>
      </c>
      <c r="O412" s="1061" t="s">
        <v>1583</v>
      </c>
      <c r="P412" s="104"/>
      <c r="R412" s="119"/>
      <c r="S412" s="1072"/>
      <c r="T412" s="1072"/>
      <c r="U412" s="1072"/>
      <c r="V412" s="1072"/>
      <c r="W412" s="1072"/>
      <c r="X412" s="1072"/>
      <c r="Y412" s="1072"/>
      <c r="Z412" s="1072"/>
      <c r="AA412" s="1072"/>
      <c r="AB412" s="1072"/>
      <c r="AC412" s="1072"/>
      <c r="AD412" s="1072"/>
      <c r="AE412" s="1072"/>
      <c r="AF412" s="1072"/>
      <c r="AG412" s="1072"/>
      <c r="AH412" s="1072"/>
      <c r="AI412" s="1072"/>
      <c r="AJ412" s="1073"/>
      <c r="AK412" s="1052" cm="1">
        <f t="array" aca="1" ref="AK412" ca="1">INDEX(OFFSET($AK$19,MATCH($B412,$B$19:$B$150,0)-1,0,COUNTA($B$19:$B$24),COUNTA($AK$17:$BB$17)),MATCH($F412,$F$19:$F$24,0),MATCH(AK$17,$AK$17:$BB$17,0))*INDEX($10:$13,MATCH($O412,$R$10:$R$13,0),COLUMN())</f>
        <v>0.26151699600000006</v>
      </c>
      <c r="AL412" s="1050" cm="1">
        <f t="array" aca="1" ref="AL412" ca="1">INDEX(OFFSET($AK$19,MATCH($B412,$B$19:$B$150,0)-1,0,COUNTA($B$19:$B$24),COUNTA($AK$17:$BB$17)),MATCH($F412,$F$19:$F$24,0),MATCH(AL$17,$AK$17:$BB$17,0))*INDEX($10:$13,MATCH($O412,$R$10:$R$13,0),COLUMN())</f>
        <v>7.8834419999999997E-7</v>
      </c>
      <c r="AM412" s="1050" cm="1">
        <f t="array" aca="1" ref="AM412" ca="1">INDEX(OFFSET($AK$19,MATCH($B412,$B$19:$B$150,0)-1,0,COUNTA($B$19:$B$24),COUNTA($AK$17:$BB$17)),MATCH($F412,$F$19:$F$24,0),MATCH(AM$17,$AK$17:$BB$17,0))*INDEX($10:$13,MATCH($O412,$R$10:$R$13,0),COLUMN())</f>
        <v>1.5055455555E-3</v>
      </c>
      <c r="AN412" s="1050" cm="1">
        <f t="array" aca="1" ref="AN412" ca="1">INDEX(OFFSET($AK$19,MATCH($B412,$B$19:$B$150,0)-1,0,COUNTA($B$19:$B$24),COUNTA($AK$17:$BB$17)),MATCH($F412,$F$19:$F$24,0),MATCH(AN$17,$AK$17:$BB$17,0))*INDEX($10:$13,MATCH($O412,$R$10:$R$13,0),COLUMN())</f>
        <v>3.5757782599999998E-3</v>
      </c>
      <c r="AO412" s="1050" cm="1">
        <f t="array" aca="1" ref="AO412" ca="1">INDEX(OFFSET($AK$19,MATCH($B412,$B$19:$B$150,0)-1,0,COUNTA($B$19:$B$24),COUNTA($AK$17:$BB$17)),MATCH($F412,$F$19:$F$24,0),MATCH(AO$17,$AK$17:$BB$17,0))*INDEX($10:$13,MATCH($O412,$R$10:$R$13,0),COLUMN())</f>
        <v>0.43218039200000002</v>
      </c>
      <c r="AP412" s="1050" cm="1">
        <f t="array" aca="1" ref="AP412" ca="1">INDEX(OFFSET($AK$19,MATCH($B412,$B$19:$B$150,0)-1,0,COUNTA($B$19:$B$24),COUNTA($AK$17:$BB$17)),MATCH($F412,$F$19:$F$24,0),MATCH(AP$17,$AK$17:$BB$17,0))*INDEX($10:$13,MATCH($O412,$R$10:$R$13,0),COLUMN())</f>
        <v>0.32973563405999995</v>
      </c>
      <c r="AQ412" s="1050" cm="1">
        <f t="array" aca="1" ref="AQ412" ca="1">INDEX(OFFSET($AK$19,MATCH($B412,$B$19:$B$150,0)-1,0,COUNTA($B$19:$B$24),COUNTA($AK$17:$BB$17)),MATCH($F412,$F$19:$F$24,0),MATCH(AQ$17,$AK$17:$BB$17,0))*INDEX($10:$13,MATCH($O412,$R$10:$R$13,0),COLUMN())</f>
        <v>1.2883854510000001E-4</v>
      </c>
      <c r="AR412" s="1050" cm="1">
        <f t="array" aca="1" ref="AR412" ca="1">INDEX(OFFSET($AK$19,MATCH($B412,$B$19:$B$150,0)-1,0,COUNTA($B$19:$B$24),COUNTA($AK$17:$BB$17)),MATCH($F412,$F$19:$F$24,0),MATCH(AR$17,$AK$17:$BB$17,0))*INDEX($10:$13,MATCH($O412,$R$10:$R$13,0),COLUMN())</f>
        <v>3.612028951E-2</v>
      </c>
      <c r="AS412" s="1050" cm="1">
        <f t="array" aca="1" ref="AS412" ca="1">INDEX(OFFSET($AK$19,MATCH($B412,$B$19:$B$150,0)-1,0,COUNTA($B$19:$B$24),COUNTA($AK$17:$BB$17)),MATCH($F412,$F$19:$F$24,0),MATCH(AS$17,$AK$17:$BB$17,0))*INDEX($10:$13,MATCH($O412,$R$10:$R$13,0),COLUMN())</f>
        <v>1.6992665843999999E-4</v>
      </c>
      <c r="AT412" s="1050" cm="1">
        <f t="array" aca="1" ref="AT412" ca="1">INDEX(OFFSET($AK$19,MATCH($B412,$B$19:$B$150,0)-1,0,COUNTA($B$19:$B$24),COUNTA($AK$17:$BB$17)),MATCH($F412,$F$19:$F$24,0),MATCH(AT$17,$AK$17:$BB$17,0))*INDEX($10:$13,MATCH($O412,$R$10:$R$13,0),COLUMN())</f>
        <v>1.1327803116E-5</v>
      </c>
      <c r="AU412" s="1050" cm="1">
        <f t="array" aca="1" ref="AU412" ca="1">INDEX(OFFSET($AK$19,MATCH($B412,$B$19:$B$150,0)-1,0,COUNTA($B$19:$B$24),COUNTA($AK$17:$BB$17)),MATCH($F412,$F$19:$F$24,0),MATCH(AU$17,$AK$17:$BB$17,0))*INDEX($10:$13,MATCH($O412,$R$10:$R$13,0),COLUMN())</f>
        <v>2.5337703547000003E-6</v>
      </c>
      <c r="AV412" s="1050" cm="1">
        <f t="array" aca="1" ref="AV412" ca="1">INDEX(OFFSET($AK$19,MATCH($B412,$B$19:$B$150,0)-1,0,COUNTA($B$19:$B$24),COUNTA($AK$17:$BB$17)),MATCH($F412,$F$19:$F$24,0),MATCH(AV$17,$AK$17:$BB$17,0))*INDEX($10:$13,MATCH($O412,$R$10:$R$13,0),COLUMN())</f>
        <v>6.7160069999999997E-4</v>
      </c>
      <c r="AW412" s="1050" cm="1">
        <f t="array" aca="1" ref="AW412" ca="1">INDEX(OFFSET($AK$19,MATCH($B412,$B$19:$B$150,0)-1,0,COUNTA($B$19:$B$24),COUNTA($AK$17:$BB$17)),MATCH($F412,$F$19:$F$24,0),MATCH(AW$17,$AK$17:$BB$17,0))*INDEX($10:$13,MATCH($O412,$R$10:$R$13,0),COLUMN())</f>
        <v>0.42305440449999998</v>
      </c>
      <c r="AX412" s="1050" cm="1">
        <f t="array" aca="1" ref="AX412" ca="1">INDEX(OFFSET($AK$19,MATCH($B412,$B$19:$B$150,0)-1,0,COUNTA($B$19:$B$24),COUNTA($AK$17:$BB$17)),MATCH($F412,$F$19:$F$24,0),MATCH(AX$17,$AK$17:$BB$17,0))*INDEX($10:$13,MATCH($O412,$R$10:$R$13,0),COLUMN())</f>
        <v>1.5818738000000003E-6</v>
      </c>
      <c r="AY412" s="1050" cm="1">
        <f t="array" aca="1" ref="AY412" ca="1">INDEX(OFFSET($AK$19,MATCH($B412,$B$19:$B$150,0)-1,0,COUNTA($B$19:$B$24),COUNTA($AK$17:$BB$17)),MATCH($F412,$F$19:$F$24,0),MATCH(AY$17,$AK$17:$BB$17,0))*INDEX($10:$13,MATCH($O412,$R$10:$R$13,0),COLUMN())</f>
        <v>0</v>
      </c>
      <c r="AZ412" s="1050" cm="1">
        <f t="array" aca="1" ref="AZ412" ca="1">INDEX(OFFSET($AK$19,MATCH($B412,$B$19:$B$150,0)-1,0,COUNTA($B$19:$B$24),COUNTA($AK$17:$BB$17)),MATCH($F412,$F$19:$F$24,0),MATCH(AZ$17,$AK$17:$BB$17,0))*INDEX($10:$13,MATCH($O412,$R$10:$R$13,0),COLUMN())</f>
        <v>0</v>
      </c>
      <c r="BA412" s="1050" cm="1">
        <f t="array" aca="1" ref="BA412" ca="1">INDEX(OFFSET($AK$19,MATCH($B412,$B$19:$B$150,0)-1,0,COUNTA($B$19:$B$24),COUNTA($AK$17:$BB$17)),MATCH($F412,$F$19:$F$24,0),MATCH(BA$17,$AK$17:$BB$17,0))*INDEX($10:$13,MATCH($O412,$R$10:$R$13,0),COLUMN())</f>
        <v>0</v>
      </c>
      <c r="BB412" s="1051" cm="1">
        <f t="array" aca="1" ref="BB412" ca="1">INDEX(OFFSET($AK$19,MATCH($B412,$B$19:$B$150,0)-1,0,COUNTA($B$19:$B$24),COUNTA($AK$17:$BB$17)),MATCH($F412,$F$19:$F$24,0),MATCH(BB$17,$AK$17:$BB$17,0))*INDEX($10:$13,MATCH($O412,$R$10:$R$13,0),COLUMN())</f>
        <v>0</v>
      </c>
      <c r="BC412" s="1053">
        <f t="shared" ref="BC412:BC416" ca="1" si="174">SUM(AW412:AY412)</f>
        <v>0.42305598637379999</v>
      </c>
      <c r="BE412" s="1"/>
      <c r="BF412" s="1"/>
      <c r="BG412" s="1"/>
      <c r="BH412" s="1"/>
      <c r="BI412" s="1"/>
      <c r="BJ412" s="1"/>
      <c r="BK412" s="1"/>
      <c r="BL412" s="1"/>
      <c r="BM412" s="1"/>
      <c r="BN412" s="1"/>
      <c r="BO412" s="1"/>
      <c r="BP412" s="1"/>
      <c r="BQ412" s="1"/>
      <c r="BR412" s="1"/>
      <c r="BS412" s="1"/>
      <c r="BT412" s="1"/>
      <c r="BU412" s="1"/>
      <c r="BV412" s="1"/>
      <c r="BW412" s="1"/>
      <c r="BX412" s="1"/>
      <c r="BY412" s="1"/>
      <c r="BZ412" s="1"/>
    </row>
    <row r="413" spans="2:78" ht="12" customHeight="1" outlineLevel="1" x14ac:dyDescent="0.25">
      <c r="B413" s="104" t="s">
        <v>116</v>
      </c>
      <c r="C413" s="104" t="s">
        <v>124</v>
      </c>
      <c r="D413" s="2" t="s">
        <v>152</v>
      </c>
      <c r="E413" s="2" t="s">
        <v>156</v>
      </c>
      <c r="F413" s="105" t="s">
        <v>93</v>
      </c>
      <c r="G413" s="27" t="s">
        <v>1578</v>
      </c>
      <c r="H413" s="106" t="s">
        <v>130</v>
      </c>
      <c r="I413" s="107" t="s">
        <v>129</v>
      </c>
      <c r="J413" s="147">
        <v>1.55</v>
      </c>
      <c r="K413" s="148">
        <v>4.3927738336713995</v>
      </c>
      <c r="L413" s="149">
        <f t="shared" ca="1" si="172"/>
        <v>0.38358392316028633</v>
      </c>
      <c r="M413" s="148">
        <f t="shared" ca="1" si="173"/>
        <v>6.077771254346926</v>
      </c>
      <c r="N413" s="163">
        <f t="shared" ref="N413:N476" ca="1" si="175">SUMIFS($S413:$BB413,$S$14:$BB$14,$D$13)</f>
        <v>1.6849974206755265</v>
      </c>
      <c r="O413" s="1061" t="s">
        <v>1583</v>
      </c>
      <c r="P413" s="104"/>
      <c r="R413" s="119"/>
      <c r="S413" s="1072"/>
      <c r="T413" s="1072"/>
      <c r="U413" s="1072"/>
      <c r="V413" s="1072"/>
      <c r="W413" s="1072"/>
      <c r="X413" s="1072"/>
      <c r="Y413" s="1072"/>
      <c r="Z413" s="1072"/>
      <c r="AA413" s="1072"/>
      <c r="AB413" s="1072"/>
      <c r="AC413" s="1072"/>
      <c r="AD413" s="1072"/>
      <c r="AE413" s="1072"/>
      <c r="AF413" s="1072"/>
      <c r="AG413" s="1072"/>
      <c r="AH413" s="1072"/>
      <c r="AI413" s="1072"/>
      <c r="AJ413" s="1073"/>
      <c r="AK413" s="1052" cm="1">
        <f t="array" aca="1" ref="AK413" ca="1">INDEX(OFFSET($AK$19,MATCH($B413,$B$19:$B$150,0)-1,0,COUNTA($B$19:$B$24),COUNTA($AK$17:$BB$17)),MATCH($F413,$F$19:$F$24,0),MATCH(AK$17,$AK$17:$BB$17,0))*INDEX($10:$13,MATCH($O413,$R$10:$R$13,0),COLUMN())</f>
        <v>0.298423086</v>
      </c>
      <c r="AL413" s="1050" cm="1">
        <f t="array" aca="1" ref="AL413" ca="1">INDEX(OFFSET($AK$19,MATCH($B413,$B$19:$B$150,0)-1,0,COUNTA($B$19:$B$24),COUNTA($AK$17:$BB$17)),MATCH($F413,$F$19:$F$24,0),MATCH(AL$17,$AK$17:$BB$17,0))*INDEX($10:$13,MATCH($O413,$R$10:$R$13,0),COLUMN())</f>
        <v>8.2533248799999997E-7</v>
      </c>
      <c r="AM413" s="1050" cm="1">
        <f t="array" aca="1" ref="AM413" ca="1">INDEX(OFFSET($AK$19,MATCH($B413,$B$19:$B$150,0)-1,0,COUNTA($B$19:$B$24),COUNTA($AK$17:$BB$17)),MATCH($F413,$F$19:$F$24,0),MATCH(AM$17,$AK$17:$BB$17,0))*INDEX($10:$13,MATCH($O413,$R$10:$R$13,0),COLUMN())</f>
        <v>1.5744202924E-3</v>
      </c>
      <c r="AN413" s="1050" cm="1">
        <f t="array" aca="1" ref="AN413" ca="1">INDEX(OFFSET($AK$19,MATCH($B413,$B$19:$B$150,0)-1,0,COUNTA($B$19:$B$24),COUNTA($AK$17:$BB$17)),MATCH($F413,$F$19:$F$24,0),MATCH(AN$17,$AK$17:$BB$17,0))*INDEX($10:$13,MATCH($O413,$R$10:$R$13,0),COLUMN())</f>
        <v>4.23217204E-3</v>
      </c>
      <c r="AO413" s="1050" cm="1">
        <f t="array" aca="1" ref="AO413" ca="1">INDEX(OFFSET($AK$19,MATCH($B413,$B$19:$B$150,0)-1,0,COUNTA($B$19:$B$24),COUNTA($AK$17:$BB$17)),MATCH($F413,$F$19:$F$24,0),MATCH(AO$17,$AK$17:$BB$17,0))*INDEX($10:$13,MATCH($O413,$R$10:$R$13,0),COLUMN())</f>
        <v>0.4434254608</v>
      </c>
      <c r="AP413" s="1050" cm="1">
        <f t="array" aca="1" ref="AP413" ca="1">INDEX(OFFSET($AK$19,MATCH($B413,$B$19:$B$150,0)-1,0,COUNTA($B$19:$B$24),COUNTA($AK$17:$BB$17)),MATCH($F413,$F$19:$F$24,0),MATCH(AP$17,$AK$17:$BB$17,0))*INDEX($10:$13,MATCH($O413,$R$10:$R$13,0),COLUMN())</f>
        <v>0.33809129746</v>
      </c>
      <c r="AQ413" s="1050" cm="1">
        <f t="array" aca="1" ref="AQ413" ca="1">INDEX(OFFSET($AK$19,MATCH($B413,$B$19:$B$150,0)-1,0,COUNTA($B$19:$B$24),COUNTA($AK$17:$BB$17)),MATCH($F413,$F$19:$F$24,0),MATCH(AQ$17,$AK$17:$BB$17,0))*INDEX($10:$13,MATCH($O413,$R$10:$R$13,0),COLUMN())</f>
        <v>1.654925793E-4</v>
      </c>
      <c r="AR413" s="1050" cm="1">
        <f t="array" aca="1" ref="AR413" ca="1">INDEX(OFFSET($AK$19,MATCH($B413,$B$19:$B$150,0)-1,0,COUNTA($B$19:$B$24),COUNTA($AK$17:$BB$17)),MATCH($F413,$F$19:$F$24,0),MATCH(AR$17,$AK$17:$BB$17,0))*INDEX($10:$13,MATCH($O413,$R$10:$R$13,0),COLUMN())</f>
        <v>4.4479904199999996E-2</v>
      </c>
      <c r="AS413" s="1050" cm="1">
        <f t="array" aca="1" ref="AS413" ca="1">INDEX(OFFSET($AK$19,MATCH($B413,$B$19:$B$150,0)-1,0,COUNTA($B$19:$B$24),COUNTA($AK$17:$BB$17)),MATCH($F413,$F$19:$F$24,0),MATCH(AS$17,$AK$17:$BB$17,0))*INDEX($10:$13,MATCH($O413,$R$10:$R$13,0),COLUMN())</f>
        <v>4.0460946756999997E-4</v>
      </c>
      <c r="AT413" s="1050" cm="1">
        <f t="array" aca="1" ref="AT413" ca="1">INDEX(OFFSET($AK$19,MATCH($B413,$B$19:$B$150,0)-1,0,COUNTA($B$19:$B$24),COUNTA($AK$17:$BB$17)),MATCH($F413,$F$19:$F$24,0),MATCH(AT$17,$AK$17:$BB$17,0))*INDEX($10:$13,MATCH($O413,$R$10:$R$13,0),COLUMN())</f>
        <v>1.4431012905E-5</v>
      </c>
      <c r="AU413" s="1050" cm="1">
        <f t="array" aca="1" ref="AU413" ca="1">INDEX(OFFSET($AK$19,MATCH($B413,$B$19:$B$150,0)-1,0,COUNTA($B$19:$B$24),COUNTA($AK$17:$BB$17)),MATCH($F413,$F$19:$F$24,0),MATCH(AU$17,$AK$17:$BB$17,0))*INDEX($10:$13,MATCH($O413,$R$10:$R$13,0),COLUMN())</f>
        <v>3.1816727901E-6</v>
      </c>
      <c r="AV413" s="1050" cm="1">
        <f t="array" aca="1" ref="AV413" ca="1">INDEX(OFFSET($AK$19,MATCH($B413,$B$19:$B$150,0)-1,0,COUNTA($B$19:$B$24),COUNTA($AK$17:$BB$17)),MATCH($F413,$F$19:$F$24,0),MATCH(AV$17,$AK$17:$BB$17,0))*INDEX($10:$13,MATCH($O413,$R$10:$R$13,0),COLUMN())</f>
        <v>1.4765351976999998E-3</v>
      </c>
      <c r="AW413" s="1050" cm="1">
        <f t="array" aca="1" ref="AW413" ca="1">INDEX(OFFSET($AK$19,MATCH($B413,$B$19:$B$150,0)-1,0,COUNTA($B$19:$B$24),COUNTA($AK$17:$BB$17)),MATCH($F413,$F$19:$F$24,0),MATCH(AW$17,$AK$17:$BB$17,0))*INDEX($10:$13,MATCH($O413,$R$10:$R$13,0),COLUMN())</f>
        <v>0.55270436845000004</v>
      </c>
      <c r="AX413" s="1050" cm="1">
        <f t="array" aca="1" ref="AX413" ca="1">INDEX(OFFSET($AK$19,MATCH($B413,$B$19:$B$150,0)-1,0,COUNTA($B$19:$B$24),COUNTA($AK$17:$BB$17)),MATCH($F413,$F$19:$F$24,0),MATCH(AX$17,$AK$17:$BB$17,0))*INDEX($10:$13,MATCH($O413,$R$10:$R$13,0),COLUMN())</f>
        <v>1.6361703735000001E-6</v>
      </c>
      <c r="AY413" s="1050" cm="1">
        <f t="array" aca="1" ref="AY413" ca="1">INDEX(OFFSET($AK$19,MATCH($B413,$B$19:$B$150,0)-1,0,COUNTA($B$19:$B$24),COUNTA($AK$17:$BB$17)),MATCH($F413,$F$19:$F$24,0),MATCH(AY$17,$AK$17:$BB$17,0))*INDEX($10:$13,MATCH($O413,$R$10:$R$13,0),COLUMN())</f>
        <v>0</v>
      </c>
      <c r="AZ413" s="1050" cm="1">
        <f t="array" aca="1" ref="AZ413" ca="1">INDEX(OFFSET($AK$19,MATCH($B413,$B$19:$B$150,0)-1,0,COUNTA($B$19:$B$24),COUNTA($AK$17:$BB$17)),MATCH($F413,$F$19:$F$24,0),MATCH(AZ$17,$AK$17:$BB$17,0))*INDEX($10:$13,MATCH($O413,$R$10:$R$13,0),COLUMN())</f>
        <v>0</v>
      </c>
      <c r="BA413" s="1050" cm="1">
        <f t="array" aca="1" ref="BA413" ca="1">INDEX(OFFSET($AK$19,MATCH($B413,$B$19:$B$150,0)-1,0,COUNTA($B$19:$B$24),COUNTA($AK$17:$BB$17)),MATCH($F413,$F$19:$F$24,0),MATCH(BA$17,$AK$17:$BB$17,0))*INDEX($10:$13,MATCH($O413,$R$10:$R$13,0),COLUMN())</f>
        <v>0</v>
      </c>
      <c r="BB413" s="1051" cm="1">
        <f t="array" aca="1" ref="BB413" ca="1">INDEX(OFFSET($AK$19,MATCH($B413,$B$19:$B$150,0)-1,0,COUNTA($B$19:$B$24),COUNTA($AK$17:$BB$17)),MATCH($F413,$F$19:$F$24,0),MATCH(BB$17,$AK$17:$BB$17,0))*INDEX($10:$13,MATCH($O413,$R$10:$R$13,0),COLUMN())</f>
        <v>0</v>
      </c>
      <c r="BC413" s="1053">
        <f t="shared" ca="1" si="174"/>
        <v>0.55270600462037356</v>
      </c>
      <c r="BE413" s="1"/>
      <c r="BF413" s="1"/>
      <c r="BG413" s="1"/>
      <c r="BH413" s="1"/>
      <c r="BI413" s="1"/>
      <c r="BJ413" s="1"/>
      <c r="BK413" s="1"/>
      <c r="BL413" s="1"/>
      <c r="BM413" s="1"/>
      <c r="BN413" s="1"/>
      <c r="BO413" s="1"/>
      <c r="BP413" s="1"/>
      <c r="BQ413" s="1"/>
      <c r="BR413" s="1"/>
      <c r="BS413" s="1"/>
      <c r="BT413" s="1"/>
      <c r="BU413" s="1"/>
      <c r="BV413" s="1"/>
      <c r="BW413" s="1"/>
      <c r="BX413" s="1"/>
      <c r="BY413" s="1"/>
      <c r="BZ413" s="1"/>
    </row>
    <row r="414" spans="2:78" ht="12" customHeight="1" outlineLevel="1" x14ac:dyDescent="0.25">
      <c r="B414" s="104" t="s">
        <v>116</v>
      </c>
      <c r="C414" s="104" t="s">
        <v>124</v>
      </c>
      <c r="D414" s="2" t="s">
        <v>152</v>
      </c>
      <c r="E414" s="2" t="s">
        <v>156</v>
      </c>
      <c r="F414" s="105" t="s">
        <v>94</v>
      </c>
      <c r="G414" s="27" t="s">
        <v>1580</v>
      </c>
      <c r="H414" s="106" t="s">
        <v>131</v>
      </c>
      <c r="I414" s="107" t="s">
        <v>129</v>
      </c>
      <c r="J414" s="147">
        <v>1.55</v>
      </c>
      <c r="K414" s="148">
        <v>4.3927738336713995</v>
      </c>
      <c r="L414" s="149">
        <f t="shared" ca="1" si="172"/>
        <v>0.3093885347191786</v>
      </c>
      <c r="M414" s="148">
        <f t="shared" ca="1" si="173"/>
        <v>5.751847693423743</v>
      </c>
      <c r="N414" s="163">
        <f t="shared" ca="1" si="175"/>
        <v>1.3590738597523431</v>
      </c>
      <c r="O414" s="1061" t="s">
        <v>1583</v>
      </c>
      <c r="P414" s="104"/>
      <c r="R414" s="119"/>
      <c r="S414" s="1072"/>
      <c r="T414" s="1072"/>
      <c r="U414" s="1072"/>
      <c r="V414" s="1072"/>
      <c r="W414" s="1072"/>
      <c r="X414" s="1072"/>
      <c r="Y414" s="1072"/>
      <c r="Z414" s="1072"/>
      <c r="AA414" s="1072"/>
      <c r="AB414" s="1072"/>
      <c r="AC414" s="1072"/>
      <c r="AD414" s="1072"/>
      <c r="AE414" s="1072"/>
      <c r="AF414" s="1072"/>
      <c r="AG414" s="1072"/>
      <c r="AH414" s="1072"/>
      <c r="AI414" s="1072"/>
      <c r="AJ414" s="1073"/>
      <c r="AK414" s="1052" cm="1">
        <f t="array" aca="1" ref="AK414" ca="1">INDEX(OFFSET($AK$19,MATCH($B414,$B$19:$B$150,0)-1,0,COUNTA($B$19:$B$24),COUNTA($AK$17:$BB$17)),MATCH($F414,$F$19:$F$24,0),MATCH(AK$17,$AK$17:$BB$17,0))*INDEX($10:$13,MATCH($O414,$R$10:$R$13,0),COLUMN())</f>
        <v>0.23716607850000002</v>
      </c>
      <c r="AL414" s="1050" cm="1">
        <f t="array" aca="1" ref="AL414" ca="1">INDEX(OFFSET($AK$19,MATCH($B414,$B$19:$B$150,0)-1,0,COUNTA($B$19:$B$24),COUNTA($AK$17:$BB$17)),MATCH($F414,$F$19:$F$24,0),MATCH(AL$17,$AK$17:$BB$17,0))*INDEX($10:$13,MATCH($O414,$R$10:$R$13,0),COLUMN())</f>
        <v>7.6059498879999996E-7</v>
      </c>
      <c r="AM414" s="1050" cm="1">
        <f t="array" aca="1" ref="AM414" ca="1">INDEX(OFFSET($AK$19,MATCH($B414,$B$19:$B$150,0)-1,0,COUNTA($B$19:$B$24),COUNTA($AK$17:$BB$17)),MATCH($F414,$F$19:$F$24,0),MATCH(AM$17,$AK$17:$BB$17,0))*INDEX($10:$13,MATCH($O414,$R$10:$R$13,0),COLUMN())</f>
        <v>1.4536524451E-3</v>
      </c>
      <c r="AN414" s="1050" cm="1">
        <f t="array" aca="1" ref="AN414" ca="1">INDEX(OFFSET($AK$19,MATCH($B414,$B$19:$B$150,0)-1,0,COUNTA($B$19:$B$24),COUNTA($AK$17:$BB$17)),MATCH($F414,$F$19:$F$24,0),MATCH(AN$17,$AK$17:$BB$17,0))*INDEX($10:$13,MATCH($O414,$R$10:$R$13,0),COLUMN())</f>
        <v>3.1489518499999997E-3</v>
      </c>
      <c r="AO414" s="1050" cm="1">
        <f t="array" aca="1" ref="AO414" ca="1">INDEX(OFFSET($AK$19,MATCH($B414,$B$19:$B$150,0)-1,0,COUNTA($B$19:$B$24),COUNTA($AK$17:$BB$17)),MATCH($F414,$F$19:$F$24,0),MATCH(AO$17,$AK$17:$BB$17,0))*INDEX($10:$13,MATCH($O414,$R$10:$R$13,0),COLUMN())</f>
        <v>0.42295565200000002</v>
      </c>
      <c r="AP414" s="1050" cm="1">
        <f t="array" aca="1" ref="AP414" ca="1">INDEX(OFFSET($AK$19,MATCH($B414,$B$19:$B$150,0)-1,0,COUNTA($B$19:$B$24),COUNTA($AK$17:$BB$17)),MATCH($F414,$F$19:$F$24,0),MATCH(AP$17,$AK$17:$BB$17,0))*INDEX($10:$13,MATCH($O414,$R$10:$R$13,0),COLUMN())</f>
        <v>0.32248117852999997</v>
      </c>
      <c r="AQ414" s="1050" cm="1">
        <f t="array" aca="1" ref="AQ414" ca="1">INDEX(OFFSET($AK$19,MATCH($B414,$B$19:$B$150,0)-1,0,COUNTA($B$19:$B$24),COUNTA($AK$17:$BB$17)),MATCH($F414,$F$19:$F$24,0),MATCH(AQ$17,$AK$17:$BB$17,0))*INDEX($10:$13,MATCH($O414,$R$10:$R$13,0),COLUMN())</f>
        <v>1.0548136818000001E-4</v>
      </c>
      <c r="AR414" s="1050" cm="1">
        <f t="array" aca="1" ref="AR414" ca="1">INDEX(OFFSET($AK$19,MATCH($B414,$B$19:$B$150,0)-1,0,COUNTA($B$19:$B$24),COUNTA($AK$17:$BB$17)),MATCH($F414,$F$19:$F$24,0),MATCH(AR$17,$AK$17:$BB$17,0))*INDEX($10:$13,MATCH($O414,$R$10:$R$13,0),COLUMN())</f>
        <v>3.0650505791E-2</v>
      </c>
      <c r="AS414" s="1050" cm="1">
        <f t="array" aca="1" ref="AS414" ca="1">INDEX(OFFSET($AK$19,MATCH($B414,$B$19:$B$150,0)-1,0,COUNTA($B$19:$B$24),COUNTA($AK$17:$BB$17)),MATCH($F414,$F$19:$F$24,0),MATCH(AS$17,$AK$17:$BB$17,0))*INDEX($10:$13,MATCH($O414,$R$10:$R$13,0),COLUMN())</f>
        <v>2.4109381317999998E-5</v>
      </c>
      <c r="AT414" s="1050" cm="1">
        <f t="array" aca="1" ref="AT414" ca="1">INDEX(OFFSET($AK$19,MATCH($B414,$B$19:$B$150,0)-1,0,COUNTA($B$19:$B$24),COUNTA($AK$17:$BB$17)),MATCH($F414,$F$19:$F$24,0),MATCH(AT$17,$AK$17:$BB$17,0))*INDEX($10:$13,MATCH($O414,$R$10:$R$13,0),COLUMN())</f>
        <v>9.3526999160000012E-6</v>
      </c>
      <c r="AU414" s="1050" cm="1">
        <f t="array" aca="1" ref="AU414" ca="1">INDEX(OFFSET($AK$19,MATCH($B414,$B$19:$B$150,0)-1,0,COUNTA($B$19:$B$24),COUNTA($AK$17:$BB$17)),MATCH($F414,$F$19:$F$24,0),MATCH(AU$17,$AK$17:$BB$17,0))*INDEX($10:$13,MATCH($O414,$R$10:$R$13,0),COLUMN())</f>
        <v>2.1200853229999996E-6</v>
      </c>
      <c r="AV414" s="1050" cm="1">
        <f t="array" aca="1" ref="AV414" ca="1">INDEX(OFFSET($AK$19,MATCH($B414,$B$19:$B$150,0)-1,0,COUNTA($B$19:$B$24),COUNTA($AK$17:$BB$17)),MATCH($F414,$F$19:$F$24,0),MATCH(AV$17,$AK$17:$BB$17,0))*INDEX($10:$13,MATCH($O414,$R$10:$R$13,0),COLUMN())</f>
        <v>1.7568117006E-4</v>
      </c>
      <c r="AW414" s="1050" cm="1">
        <f t="array" aca="1" ref="AW414" ca="1">INDEX(OFFSET($AK$19,MATCH($B414,$B$19:$B$150,0)-1,0,COUNTA($B$19:$B$24),COUNTA($AK$17:$BB$17)),MATCH($F414,$F$19:$F$24,0),MATCH(AW$17,$AK$17:$BB$17,0))*INDEX($10:$13,MATCH($O414,$R$10:$R$13,0),COLUMN())</f>
        <v>0.34089879784999999</v>
      </c>
      <c r="AX414" s="1050" cm="1">
        <f t="array" aca="1" ref="AX414" ca="1">INDEX(OFFSET($AK$19,MATCH($B414,$B$19:$B$150,0)-1,0,COUNTA($B$19:$B$24),COUNTA($AK$17:$BB$17)),MATCH($F414,$F$19:$F$24,0),MATCH(AX$17,$AK$17:$BB$17,0))*INDEX($10:$13,MATCH($O414,$R$10:$R$13,0),COLUMN())</f>
        <v>1.5374864570000002E-6</v>
      </c>
      <c r="AY414" s="1050" cm="1">
        <f t="array" aca="1" ref="AY414" ca="1">INDEX(OFFSET($AK$19,MATCH($B414,$B$19:$B$150,0)-1,0,COUNTA($B$19:$B$24),COUNTA($AK$17:$BB$17)),MATCH($F414,$F$19:$F$24,0),MATCH(AY$17,$AK$17:$BB$17,0))*INDEX($10:$13,MATCH($O414,$R$10:$R$13,0),COLUMN())</f>
        <v>0</v>
      </c>
      <c r="AZ414" s="1050" cm="1">
        <f t="array" aca="1" ref="AZ414" ca="1">INDEX(OFFSET($AK$19,MATCH($B414,$B$19:$B$150,0)-1,0,COUNTA($B$19:$B$24),COUNTA($AK$17:$BB$17)),MATCH($F414,$F$19:$F$24,0),MATCH(AZ$17,$AK$17:$BB$17,0))*INDEX($10:$13,MATCH($O414,$R$10:$R$13,0),COLUMN())</f>
        <v>0</v>
      </c>
      <c r="BA414" s="1050" cm="1">
        <f t="array" aca="1" ref="BA414" ca="1">INDEX(OFFSET($AK$19,MATCH($B414,$B$19:$B$150,0)-1,0,COUNTA($B$19:$B$24),COUNTA($AK$17:$BB$17)),MATCH($F414,$F$19:$F$24,0),MATCH(BA$17,$AK$17:$BB$17,0))*INDEX($10:$13,MATCH($O414,$R$10:$R$13,0),COLUMN())</f>
        <v>0</v>
      </c>
      <c r="BB414" s="1051" cm="1">
        <f t="array" aca="1" ref="BB414" ca="1">INDEX(OFFSET($AK$19,MATCH($B414,$B$19:$B$150,0)-1,0,COUNTA($B$19:$B$24),COUNTA($AK$17:$BB$17)),MATCH($F414,$F$19:$F$24,0),MATCH(BB$17,$AK$17:$BB$17,0))*INDEX($10:$13,MATCH($O414,$R$10:$R$13,0),COLUMN())</f>
        <v>0</v>
      </c>
      <c r="BC414" s="1053">
        <f t="shared" ca="1" si="174"/>
        <v>0.34090033533645697</v>
      </c>
      <c r="BE414" s="1"/>
      <c r="BF414" s="1"/>
      <c r="BG414" s="1"/>
      <c r="BH414" s="1"/>
      <c r="BI414" s="1"/>
      <c r="BJ414" s="1"/>
      <c r="BK414" s="1"/>
      <c r="BL414" s="1"/>
      <c r="BM414" s="1"/>
      <c r="BN414" s="1"/>
      <c r="BO414" s="1"/>
      <c r="BP414" s="1"/>
      <c r="BQ414" s="1"/>
      <c r="BR414" s="1"/>
      <c r="BS414" s="1"/>
      <c r="BT414" s="1"/>
      <c r="BU414" s="1"/>
      <c r="BV414" s="1"/>
      <c r="BW414" s="1"/>
      <c r="BX414" s="1"/>
      <c r="BY414" s="1"/>
      <c r="BZ414" s="1"/>
    </row>
    <row r="415" spans="2:78" ht="12" customHeight="1" outlineLevel="1" x14ac:dyDescent="0.25">
      <c r="B415" s="104" t="s">
        <v>116</v>
      </c>
      <c r="C415" s="104" t="s">
        <v>124</v>
      </c>
      <c r="D415" s="2" t="s">
        <v>152</v>
      </c>
      <c r="E415" s="2" t="s">
        <v>156</v>
      </c>
      <c r="F415" s="105" t="s">
        <v>95</v>
      </c>
      <c r="G415" s="27" t="s">
        <v>1581</v>
      </c>
      <c r="H415" s="106" t="s">
        <v>128</v>
      </c>
      <c r="I415" s="107" t="s">
        <v>127</v>
      </c>
      <c r="J415" s="147">
        <v>1.55</v>
      </c>
      <c r="K415" s="148">
        <v>4.3927738336713995</v>
      </c>
      <c r="L415" s="149">
        <f t="shared" ca="1" si="172"/>
        <v>0.36770983714651528</v>
      </c>
      <c r="M415" s="148">
        <f t="shared" ca="1" si="173"/>
        <v>6.0080399846721839</v>
      </c>
      <c r="N415" s="163">
        <f t="shared" ca="1" si="175"/>
        <v>1.615266151000784</v>
      </c>
      <c r="O415" s="1061" t="s">
        <v>1583</v>
      </c>
      <c r="P415" s="104"/>
      <c r="R415" s="119"/>
      <c r="S415" s="1072"/>
      <c r="T415" s="1072"/>
      <c r="U415" s="1072"/>
      <c r="V415" s="1072"/>
      <c r="W415" s="1072"/>
      <c r="X415" s="1072"/>
      <c r="Y415" s="1072"/>
      <c r="Z415" s="1072"/>
      <c r="AA415" s="1072"/>
      <c r="AB415" s="1072"/>
      <c r="AC415" s="1072"/>
      <c r="AD415" s="1072"/>
      <c r="AE415" s="1072"/>
      <c r="AF415" s="1072"/>
      <c r="AG415" s="1072"/>
      <c r="AH415" s="1072"/>
      <c r="AI415" s="1072"/>
      <c r="AJ415" s="1073"/>
      <c r="AK415" s="1052" cm="1">
        <f t="array" aca="1" ref="AK415" ca="1">INDEX(OFFSET($AK$19,MATCH($B415,$B$19:$B$150,0)-1,0,COUNTA($B$19:$B$24),COUNTA($AK$17:$BB$17)),MATCH($F415,$F$19:$F$24,0),MATCH(AK$17,$AK$17:$BB$17,0))*INDEX($10:$13,MATCH($O415,$R$10:$R$13,0),COLUMN())</f>
        <v>0.27678732900000003</v>
      </c>
      <c r="AL415" s="1050" cm="1">
        <f t="array" aca="1" ref="AL415" ca="1">INDEX(OFFSET($AK$19,MATCH($B415,$B$19:$B$150,0)-1,0,COUNTA($B$19:$B$24),COUNTA($AK$17:$BB$17)),MATCH($F415,$F$19:$F$24,0),MATCH(AL$17,$AK$17:$BB$17,0))*INDEX($10:$13,MATCH($O415,$R$10:$R$13,0),COLUMN())</f>
        <v>7.8914001120000001E-7</v>
      </c>
      <c r="AM415" s="1050" cm="1">
        <f t="array" aca="1" ref="AM415" ca="1">INDEX(OFFSET($AK$19,MATCH($B415,$B$19:$B$150,0)-1,0,COUNTA($B$19:$B$24),COUNTA($AK$17:$BB$17)),MATCH($F415,$F$19:$F$24,0),MATCH(AM$17,$AK$17:$BB$17,0))*INDEX($10:$13,MATCH($O415,$R$10:$R$13,0),COLUMN())</f>
        <v>1.5070141171000001E-3</v>
      </c>
      <c r="AN415" s="1050" cm="1">
        <f t="array" aca="1" ref="AN415" ca="1">INDEX(OFFSET($AK$19,MATCH($B415,$B$19:$B$150,0)-1,0,COUNTA($B$19:$B$24),COUNTA($AK$17:$BB$17)),MATCH($F415,$F$19:$F$24,0),MATCH(AN$17,$AK$17:$BB$17,0))*INDEX($10:$13,MATCH($O415,$R$10:$R$13,0),COLUMN())</f>
        <v>3.7309796149999999E-3</v>
      </c>
      <c r="AO415" s="1050" cm="1">
        <f t="array" aca="1" ref="AO415" ca="1">INDEX(OFFSET($AK$19,MATCH($B415,$B$19:$B$150,0)-1,0,COUNTA($B$19:$B$24),COUNTA($AK$17:$BB$17)),MATCH($F415,$F$19:$F$24,0),MATCH(AO$17,$AK$17:$BB$17,0))*INDEX($10:$13,MATCH($O415,$R$10:$R$13,0),COLUMN())</f>
        <v>0.47684440160000002</v>
      </c>
      <c r="AP415" s="1050" cm="1">
        <f t="array" aca="1" ref="AP415" ca="1">INDEX(OFFSET($AK$19,MATCH($B415,$B$19:$B$150,0)-1,0,COUNTA($B$19:$B$24),COUNTA($AK$17:$BB$17)),MATCH($F415,$F$19:$F$24,0),MATCH(AP$17,$AK$17:$BB$17,0))*INDEX($10:$13,MATCH($O415,$R$10:$R$13,0),COLUMN())</f>
        <v>0.37225328825999998</v>
      </c>
      <c r="AQ415" s="1050" cm="1">
        <f t="array" aca="1" ref="AQ415" ca="1">INDEX(OFFSET($AK$19,MATCH($B415,$B$19:$B$150,0)-1,0,COUNTA($B$19:$B$24),COUNTA($AK$17:$BB$17)),MATCH($F415,$F$19:$F$24,0),MATCH(AQ$17,$AK$17:$BB$17,0))*INDEX($10:$13,MATCH($O415,$R$10:$R$13,0),COLUMN())</f>
        <v>4.743087978E-4</v>
      </c>
      <c r="AR415" s="1050" cm="1">
        <f t="array" aca="1" ref="AR415" ca="1">INDEX(OFFSET($AK$19,MATCH($B415,$B$19:$B$150,0)-1,0,COUNTA($B$19:$B$24),COUNTA($AK$17:$BB$17)),MATCH($F415,$F$19:$F$24,0),MATCH(AR$17,$AK$17:$BB$17,0))*INDEX($10:$13,MATCH($O415,$R$10:$R$13,0),COLUMN())</f>
        <v>4.7442204080000001E-2</v>
      </c>
      <c r="AS415" s="1050" cm="1">
        <f t="array" aca="1" ref="AS415" ca="1">INDEX(OFFSET($AK$19,MATCH($B415,$B$19:$B$150,0)-1,0,COUNTA($B$19:$B$24),COUNTA($AK$17:$BB$17)),MATCH($F415,$F$19:$F$24,0),MATCH(AS$17,$AK$17:$BB$17,0))*INDEX($10:$13,MATCH($O415,$R$10:$R$13,0),COLUMN())</f>
        <v>5.3591001452999998E-3</v>
      </c>
      <c r="AT415" s="1050" cm="1">
        <f t="array" aca="1" ref="AT415" ca="1">INDEX(OFFSET($AK$19,MATCH($B415,$B$19:$B$150,0)-1,0,COUNTA($B$19:$B$24),COUNTA($AK$17:$BB$17)),MATCH($F415,$F$19:$F$24,0),MATCH(AT$17,$AK$17:$BB$17,0))*INDEX($10:$13,MATCH($O415,$R$10:$R$13,0),COLUMN())</f>
        <v>1.5201632745999999E-5</v>
      </c>
      <c r="AU415" s="1050" cm="1">
        <f t="array" aca="1" ref="AU415" ca="1">INDEX(OFFSET($AK$19,MATCH($B415,$B$19:$B$150,0)-1,0,COUNTA($B$19:$B$24),COUNTA($AK$17:$BB$17)),MATCH($F415,$F$19:$F$24,0),MATCH(AU$17,$AK$17:$BB$17,0))*INDEX($10:$13,MATCH($O415,$R$10:$R$13,0),COLUMN())</f>
        <v>3.127147227E-6</v>
      </c>
      <c r="AV415" s="1050" cm="1">
        <f t="array" aca="1" ref="AV415" ca="1">INDEX(OFFSET($AK$19,MATCH($B415,$B$19:$B$150,0)-1,0,COUNTA($B$19:$B$24),COUNTA($AK$17:$BB$17)),MATCH($F415,$F$19:$F$24,0),MATCH(AV$17,$AK$17:$BB$17,0))*INDEX($10:$13,MATCH($O415,$R$10:$R$13,0),COLUMN())</f>
        <v>7.7924210917999998E-3</v>
      </c>
      <c r="AW415" s="1050" cm="1">
        <f t="array" aca="1" ref="AW415" ca="1">INDEX(OFFSET($AK$19,MATCH($B415,$B$19:$B$150,0)-1,0,COUNTA($B$19:$B$24),COUNTA($AK$17:$BB$17)),MATCH($F415,$F$19:$F$24,0),MATCH(AW$17,$AK$17:$BB$17,0))*INDEX($10:$13,MATCH($O415,$R$10:$R$13,0),COLUMN())</f>
        <v>0.42305440449999998</v>
      </c>
      <c r="AX415" s="1050" cm="1">
        <f t="array" aca="1" ref="AX415" ca="1">INDEX(OFFSET($AK$19,MATCH($B415,$B$19:$B$150,0)-1,0,COUNTA($B$19:$B$24),COUNTA($AK$17:$BB$17)),MATCH($F415,$F$19:$F$24,0),MATCH(AX$17,$AK$17:$BB$17,0))*INDEX($10:$13,MATCH($O415,$R$10:$R$13,0),COLUMN())</f>
        <v>1.5818738000000003E-6</v>
      </c>
      <c r="AY415" s="1050" cm="1">
        <f t="array" aca="1" ref="AY415" ca="1">INDEX(OFFSET($AK$19,MATCH($B415,$B$19:$B$150,0)-1,0,COUNTA($B$19:$B$24),COUNTA($AK$17:$BB$17)),MATCH($F415,$F$19:$F$24,0),MATCH(AY$17,$AK$17:$BB$17,0))*INDEX($10:$13,MATCH($O415,$R$10:$R$13,0),COLUMN())</f>
        <v>0</v>
      </c>
      <c r="AZ415" s="1050" cm="1">
        <f t="array" aca="1" ref="AZ415" ca="1">INDEX(OFFSET($AK$19,MATCH($B415,$B$19:$B$150,0)-1,0,COUNTA($B$19:$B$24),COUNTA($AK$17:$BB$17)),MATCH($F415,$F$19:$F$24,0),MATCH(AZ$17,$AK$17:$BB$17,0))*INDEX($10:$13,MATCH($O415,$R$10:$R$13,0),COLUMN())</f>
        <v>0</v>
      </c>
      <c r="BA415" s="1050" cm="1">
        <f t="array" aca="1" ref="BA415" ca="1">INDEX(OFFSET($AK$19,MATCH($B415,$B$19:$B$150,0)-1,0,COUNTA($B$19:$B$24),COUNTA($AK$17:$BB$17)),MATCH($F415,$F$19:$F$24,0),MATCH(BA$17,$AK$17:$BB$17,0))*INDEX($10:$13,MATCH($O415,$R$10:$R$13,0),COLUMN())</f>
        <v>0</v>
      </c>
      <c r="BB415" s="1051" cm="1">
        <f t="array" aca="1" ref="BB415" ca="1">INDEX(OFFSET($AK$19,MATCH($B415,$B$19:$B$150,0)-1,0,COUNTA($B$19:$B$24),COUNTA($AK$17:$BB$17)),MATCH($F415,$F$19:$F$24,0),MATCH(BB$17,$AK$17:$BB$17,0))*INDEX($10:$13,MATCH($O415,$R$10:$R$13,0),COLUMN())</f>
        <v>0</v>
      </c>
      <c r="BC415" s="1053">
        <f t="shared" ca="1" si="174"/>
        <v>0.42305598637379999</v>
      </c>
      <c r="BE415" s="1"/>
      <c r="BF415" s="1"/>
      <c r="BG415" s="1"/>
      <c r="BH415" s="1"/>
      <c r="BI415" s="1"/>
      <c r="BJ415" s="1"/>
      <c r="BK415" s="1"/>
      <c r="BL415" s="1"/>
      <c r="BM415" s="1"/>
      <c r="BN415" s="1"/>
      <c r="BO415" s="1"/>
      <c r="BP415" s="1"/>
      <c r="BQ415" s="1"/>
      <c r="BR415" s="1"/>
      <c r="BS415" s="1"/>
      <c r="BT415" s="1"/>
      <c r="BU415" s="1"/>
      <c r="BV415" s="1"/>
      <c r="BW415" s="1"/>
      <c r="BX415" s="1"/>
      <c r="BY415" s="1"/>
      <c r="BZ415" s="1"/>
    </row>
    <row r="416" spans="2:78" ht="12" customHeight="1" outlineLevel="1" x14ac:dyDescent="0.25">
      <c r="B416" s="104" t="s">
        <v>116</v>
      </c>
      <c r="C416" s="104" t="s">
        <v>124</v>
      </c>
      <c r="D416" s="2" t="s">
        <v>152</v>
      </c>
      <c r="E416" s="2" t="s">
        <v>156</v>
      </c>
      <c r="F416" s="105" t="s">
        <v>96</v>
      </c>
      <c r="G416" s="27" t="s">
        <v>1582</v>
      </c>
      <c r="H416" s="106" t="s">
        <v>128</v>
      </c>
      <c r="I416" s="107" t="s">
        <v>1577</v>
      </c>
      <c r="J416" s="147">
        <v>1.55</v>
      </c>
      <c r="K416" s="148">
        <v>4.3927738336713995</v>
      </c>
      <c r="L416" s="149">
        <f t="shared" ca="1" si="172"/>
        <v>0.38920542127990448</v>
      </c>
      <c r="M416" s="148">
        <f t="shared" ca="1" si="173"/>
        <v>6.1024652241928177</v>
      </c>
      <c r="N416" s="163">
        <f t="shared" ca="1" si="175"/>
        <v>1.7096913905214182</v>
      </c>
      <c r="O416" s="1061" t="s">
        <v>1583</v>
      </c>
      <c r="P416" s="104"/>
      <c r="R416" s="119"/>
      <c r="S416" s="1072"/>
      <c r="T416" s="1072"/>
      <c r="U416" s="1072"/>
      <c r="V416" s="1072"/>
      <c r="W416" s="1072"/>
      <c r="X416" s="1072"/>
      <c r="Y416" s="1072"/>
      <c r="Z416" s="1072"/>
      <c r="AA416" s="1072"/>
      <c r="AB416" s="1072"/>
      <c r="AC416" s="1072"/>
      <c r="AD416" s="1072"/>
      <c r="AE416" s="1072"/>
      <c r="AF416" s="1072"/>
      <c r="AG416" s="1072"/>
      <c r="AH416" s="1072"/>
      <c r="AI416" s="1072"/>
      <c r="AJ416" s="1073"/>
      <c r="AK416" s="1052" cm="1">
        <f t="array" aca="1" ref="AK416" ca="1">INDEX(OFFSET($AK$19,MATCH($B416,$B$19:$B$150,0)-1,0,COUNTA($B$19:$B$24),COUNTA($AK$17:$BB$17)),MATCH($F416,$F$19:$F$24,0),MATCH(AK$17,$AK$17:$BB$17,0))*INDEX($10:$13,MATCH($O416,$R$10:$R$13,0),COLUMN())</f>
        <v>0.28791607650000001</v>
      </c>
      <c r="AL416" s="1050" cm="1">
        <f t="array" aca="1" ref="AL416" ca="1">INDEX(OFFSET($AK$19,MATCH($B416,$B$19:$B$150,0)-1,0,COUNTA($B$19:$B$24),COUNTA($AK$17:$BB$17)),MATCH($F416,$F$19:$F$24,0),MATCH(AL$17,$AK$17:$BB$17,0))*INDEX($10:$13,MATCH($O416,$R$10:$R$13,0),COLUMN())</f>
        <v>7.8965936479999997E-7</v>
      </c>
      <c r="AM416" s="1050" cm="1">
        <f t="array" aca="1" ref="AM416" ca="1">INDEX(OFFSET($AK$19,MATCH($B416,$B$19:$B$150,0)-1,0,COUNTA($B$19:$B$24),COUNTA($AK$17:$BB$17)),MATCH($F416,$F$19:$F$24,0),MATCH(AM$17,$AK$17:$BB$17,0))*INDEX($10:$13,MATCH($O416,$R$10:$R$13,0),COLUMN())</f>
        <v>1.5079725361000001E-3</v>
      </c>
      <c r="AN416" s="1050" cm="1">
        <f t="array" aca="1" ref="AN416" ca="1">INDEX(OFFSET($AK$19,MATCH($B416,$B$19:$B$150,0)-1,0,COUNTA($B$19:$B$24),COUNTA($AK$17:$BB$17)),MATCH($F416,$F$19:$F$24,0),MATCH(AN$17,$AK$17:$BB$17,0))*INDEX($10:$13,MATCH($O416,$R$10:$R$13,0),COLUMN())</f>
        <v>3.8322664399999995E-3</v>
      </c>
      <c r="AO416" s="1050" cm="1">
        <f t="array" aca="1" ref="AO416" ca="1">INDEX(OFFSET($AK$19,MATCH($B416,$B$19:$B$150,0)-1,0,COUNTA($B$19:$B$24),COUNTA($AK$17:$BB$17)),MATCH($F416,$F$19:$F$24,0),MATCH(AO$17,$AK$17:$BB$17,0))*INDEX($10:$13,MATCH($O416,$R$10:$R$13,0),COLUMN())</f>
        <v>0.50994401919999999</v>
      </c>
      <c r="AP416" s="1050" cm="1">
        <f t="array" aca="1" ref="AP416" ca="1">INDEX(OFFSET($AK$19,MATCH($B416,$B$19:$B$150,0)-1,0,COUNTA($B$19:$B$24),COUNTA($AK$17:$BB$17)),MATCH($F416,$F$19:$F$24,0),MATCH(AP$17,$AK$17:$BB$17,0))*INDEX($10:$13,MATCH($O416,$R$10:$R$13,0),COLUMN())</f>
        <v>0.40383635102999998</v>
      </c>
      <c r="AQ416" s="1050" cm="1">
        <f t="array" aca="1" ref="AQ416" ca="1">INDEX(OFFSET($AK$19,MATCH($B416,$B$19:$B$150,0)-1,0,COUNTA($B$19:$B$24),COUNTA($AK$17:$BB$17)),MATCH($F416,$F$19:$F$24,0),MATCH(AQ$17,$AK$17:$BB$17,0))*INDEX($10:$13,MATCH($O416,$R$10:$R$13,0),COLUMN())</f>
        <v>7.2323358360000002E-4</v>
      </c>
      <c r="AR416" s="1050" cm="1">
        <f t="array" aca="1" ref="AR416" ca="1">INDEX(OFFSET($AK$19,MATCH($B416,$B$19:$B$150,0)-1,0,COUNTA($B$19:$B$24),COUNTA($AK$17:$BB$17)),MATCH($F416,$F$19:$F$24,0),MATCH(AR$17,$AK$17:$BB$17,0))*INDEX($10:$13,MATCH($O416,$R$10:$R$13,0),COLUMN())</f>
        <v>5.5860292989999998E-2</v>
      </c>
      <c r="AS416" s="1050" cm="1">
        <f t="array" aca="1" ref="AS416" ca="1">INDEX(OFFSET($AK$19,MATCH($B416,$B$19:$B$150,0)-1,0,COUNTA($B$19:$B$24),COUNTA($AK$17:$BB$17)),MATCH($F416,$F$19:$F$24,0),MATCH(AS$17,$AK$17:$BB$17,0))*INDEX($10:$13,MATCH($O416,$R$10:$R$13,0),COLUMN())</f>
        <v>9.0751129919999993E-3</v>
      </c>
      <c r="AT416" s="1050" cm="1">
        <f t="array" aca="1" ref="AT416" ca="1">INDEX(OFFSET($AK$19,MATCH($B416,$B$19:$B$150,0)-1,0,COUNTA($B$19:$B$24),COUNTA($AK$17:$BB$17)),MATCH($F416,$F$19:$F$24,0),MATCH(AT$17,$AK$17:$BB$17,0))*INDEX($10:$13,MATCH($O416,$R$10:$R$13,0),COLUMN())</f>
        <v>1.6876038469000001E-5</v>
      </c>
      <c r="AU416" s="1050" cm="1">
        <f t="array" aca="1" ref="AU416" ca="1">INDEX(OFFSET($AK$19,MATCH($B416,$B$19:$B$150,0)-1,0,COUNTA($B$19:$B$24),COUNTA($AK$17:$BB$17)),MATCH($F416,$F$19:$F$24,0),MATCH(AU$17,$AK$17:$BB$17,0))*INDEX($10:$13,MATCH($O416,$R$10:$R$13,0),COLUMN())</f>
        <v>3.3662820844999998E-6</v>
      </c>
      <c r="AV416" s="1050" cm="1">
        <f t="array" aca="1" ref="AV416" ca="1">INDEX(OFFSET($AK$19,MATCH($B416,$B$19:$B$150,0)-1,0,COUNTA($B$19:$B$24),COUNTA($AK$17:$BB$17)),MATCH($F416,$F$19:$F$24,0),MATCH(AV$17,$AK$17:$BB$17,0))*INDEX($10:$13,MATCH($O416,$R$10:$R$13,0),COLUMN())</f>
        <v>1.3919046895999999E-2</v>
      </c>
      <c r="AW416" s="1050" cm="1">
        <f t="array" aca="1" ref="AW416" ca="1">INDEX(OFFSET($AK$19,MATCH($B416,$B$19:$B$150,0)-1,0,COUNTA($B$19:$B$24),COUNTA($AK$17:$BB$17)),MATCH($F416,$F$19:$F$24,0),MATCH(AW$17,$AK$17:$BB$17,0))*INDEX($10:$13,MATCH($O416,$R$10:$R$13,0),COLUMN())</f>
        <v>0.42305440449999998</v>
      </c>
      <c r="AX416" s="1050" cm="1">
        <f t="array" aca="1" ref="AX416" ca="1">INDEX(OFFSET($AK$19,MATCH($B416,$B$19:$B$150,0)-1,0,COUNTA($B$19:$B$24),COUNTA($AK$17:$BB$17)),MATCH($F416,$F$19:$F$24,0),MATCH(AX$17,$AK$17:$BB$17,0))*INDEX($10:$13,MATCH($O416,$R$10:$R$13,0),COLUMN())</f>
        <v>1.5818738000000003E-6</v>
      </c>
      <c r="AY416" s="1050" cm="1">
        <f t="array" aca="1" ref="AY416" ca="1">INDEX(OFFSET($AK$19,MATCH($B416,$B$19:$B$150,0)-1,0,COUNTA($B$19:$B$24),COUNTA($AK$17:$BB$17)),MATCH($F416,$F$19:$F$24,0),MATCH(AY$17,$AK$17:$BB$17,0))*INDEX($10:$13,MATCH($O416,$R$10:$R$13,0),COLUMN())</f>
        <v>0</v>
      </c>
      <c r="AZ416" s="1050" cm="1">
        <f t="array" aca="1" ref="AZ416" ca="1">INDEX(OFFSET($AK$19,MATCH($B416,$B$19:$B$150,0)-1,0,COUNTA($B$19:$B$24),COUNTA($AK$17:$BB$17)),MATCH($F416,$F$19:$F$24,0),MATCH(AZ$17,$AK$17:$BB$17,0))*INDEX($10:$13,MATCH($O416,$R$10:$R$13,0),COLUMN())</f>
        <v>0</v>
      </c>
      <c r="BA416" s="1050" cm="1">
        <f t="array" aca="1" ref="BA416" ca="1">INDEX(OFFSET($AK$19,MATCH($B416,$B$19:$B$150,0)-1,0,COUNTA($B$19:$B$24),COUNTA($AK$17:$BB$17)),MATCH($F416,$F$19:$F$24,0),MATCH(BA$17,$AK$17:$BB$17,0))*INDEX($10:$13,MATCH($O416,$R$10:$R$13,0),COLUMN())</f>
        <v>0</v>
      </c>
      <c r="BB416" s="1051" cm="1">
        <f t="array" aca="1" ref="BB416" ca="1">INDEX(OFFSET($AK$19,MATCH($B416,$B$19:$B$150,0)-1,0,COUNTA($B$19:$B$24),COUNTA($AK$17:$BB$17)),MATCH($F416,$F$19:$F$24,0),MATCH(BB$17,$AK$17:$BB$17,0))*INDEX($10:$13,MATCH($O416,$R$10:$R$13,0),COLUMN())</f>
        <v>0</v>
      </c>
      <c r="BC416" s="1053">
        <f t="shared" ca="1" si="174"/>
        <v>0.42305598637379999</v>
      </c>
      <c r="BE416" s="1"/>
      <c r="BF416" s="1"/>
      <c r="BG416" s="1"/>
      <c r="BH416" s="1"/>
      <c r="BI416" s="1"/>
      <c r="BJ416" s="1"/>
      <c r="BK416" s="1"/>
      <c r="BL416" s="1"/>
      <c r="BM416" s="1"/>
      <c r="BN416" s="1"/>
      <c r="BO416" s="1"/>
      <c r="BP416" s="1"/>
      <c r="BQ416" s="1"/>
      <c r="BR416" s="1"/>
      <c r="BS416" s="1"/>
      <c r="BT416" s="1"/>
      <c r="BU416" s="1"/>
      <c r="BV416" s="1"/>
      <c r="BW416" s="1"/>
      <c r="BX416" s="1"/>
      <c r="BY416" s="1"/>
      <c r="BZ416" s="1"/>
    </row>
    <row r="417" spans="2:78" ht="12" customHeight="1" outlineLevel="1" x14ac:dyDescent="0.25">
      <c r="B417" s="88" t="s">
        <v>91</v>
      </c>
      <c r="C417" s="88" t="s">
        <v>121</v>
      </c>
      <c r="D417" s="89" t="s">
        <v>132</v>
      </c>
      <c r="E417" s="89" t="s">
        <v>133</v>
      </c>
      <c r="F417" s="90" t="s">
        <v>92</v>
      </c>
      <c r="G417" s="18" t="s">
        <v>126</v>
      </c>
      <c r="H417" s="91" t="s">
        <v>127</v>
      </c>
      <c r="I417" s="92" t="s">
        <v>127</v>
      </c>
      <c r="J417" s="142">
        <v>3.8217059399999997</v>
      </c>
      <c r="K417" s="143">
        <v>0.21084</v>
      </c>
      <c r="L417" s="144">
        <f t="shared" ca="1" si="172"/>
        <v>0.65112321374321791</v>
      </c>
      <c r="M417" s="143">
        <f t="shared" ca="1" si="173"/>
        <v>0.34812281838562009</v>
      </c>
      <c r="N417" s="162">
        <f t="shared" ca="1" si="175"/>
        <v>0.13728281838562006</v>
      </c>
      <c r="O417" s="1060" t="s">
        <v>1584</v>
      </c>
      <c r="P417" s="169"/>
      <c r="Q417" s="145"/>
      <c r="R417" s="96"/>
      <c r="S417" s="1070"/>
      <c r="T417" s="1070"/>
      <c r="U417" s="1070"/>
      <c r="V417" s="1070"/>
      <c r="W417" s="1070"/>
      <c r="X417" s="1070"/>
      <c r="Y417" s="1070"/>
      <c r="Z417" s="1070"/>
      <c r="AA417" s="1070"/>
      <c r="AB417" s="1070"/>
      <c r="AC417" s="1070"/>
      <c r="AD417" s="1070"/>
      <c r="AE417" s="1070"/>
      <c r="AF417" s="1070"/>
      <c r="AG417" s="1070"/>
      <c r="AH417" s="1070"/>
      <c r="AI417" s="1070"/>
      <c r="AJ417" s="1071"/>
      <c r="AK417" s="1048" cm="1">
        <f t="array" aca="1" ref="AK417" ca="1">INDEX(OFFSET($AK$19,MATCH($B417,$B$19:$B$150,0)-1,0,COUNTA($B$19:$B$24),COUNTA($AK$17:$BB$17)),MATCH($F417,$F$19:$F$24,0),MATCH(AK$17,$AK$17:$BB$17,0))*INDEX($10:$13,MATCH($O417,$R$10:$R$13,0),COLUMN())</f>
        <v>2.67842210622414E-2</v>
      </c>
      <c r="AL417" s="1046" cm="1">
        <f t="array" aca="1" ref="AL417" ca="1">INDEX(OFFSET($AK$19,MATCH($B417,$B$19:$B$150,0)-1,0,COUNTA($B$19:$B$24),COUNTA($AK$17:$BB$17)),MATCH($F417,$F$19:$F$24,0),MATCH(AL$17,$AK$17:$BB$17,0))*INDEX($10:$13,MATCH($O417,$R$10:$R$13,0),COLUMN())</f>
        <v>4.1831238020000005E-8</v>
      </c>
      <c r="AM417" s="1046" cm="1">
        <f t="array" aca="1" ref="AM417" ca="1">INDEX(OFFSET($AK$19,MATCH($B417,$B$19:$B$150,0)-1,0,COUNTA($B$19:$B$24),COUNTA($AK$17:$BB$17)),MATCH($F417,$F$19:$F$24,0),MATCH(AM$17,$AK$17:$BB$17,0))*INDEX($10:$13,MATCH($O417,$R$10:$R$13,0),COLUMN())</f>
        <v>7.0459207830000006E-5</v>
      </c>
      <c r="AN417" s="1046" cm="1">
        <f t="array" aca="1" ref="AN417" ca="1">INDEX(OFFSET($AK$19,MATCH($B417,$B$19:$B$150,0)-1,0,COUNTA($B$19:$B$24),COUNTA($AK$17:$BB$17)),MATCH($F417,$F$19:$F$24,0),MATCH(AN$17,$AK$17:$BB$17,0))*INDEX($10:$13,MATCH($O417,$R$10:$R$13,0),COLUMN())</f>
        <v>4.8508022639999991E-4</v>
      </c>
      <c r="AO417" s="1046" cm="1">
        <f t="array" aca="1" ref="AO417" ca="1">INDEX(OFFSET($AK$19,MATCH($B417,$B$19:$B$150,0)-1,0,COUNTA($B$19:$B$24),COUNTA($AK$17:$BB$17)),MATCH($F417,$F$19:$F$24,0),MATCH(AO$17,$AK$17:$BB$17,0))*INDEX($10:$13,MATCH($O417,$R$10:$R$13,0),COLUMN())</f>
        <v>2.9181378799999998E-2</v>
      </c>
      <c r="AP417" s="1046" cm="1">
        <f t="array" aca="1" ref="AP417" ca="1">INDEX(OFFSET($AK$19,MATCH($B417,$B$19:$B$150,0)-1,0,COUNTA($B$19:$B$24),COUNTA($AK$17:$BB$17)),MATCH($F417,$F$19:$F$24,0),MATCH(AP$17,$AK$17:$BB$17,0))*INDEX($10:$13,MATCH($O417,$R$10:$R$13,0),COLUMN())</f>
        <v>3.7202180028000002E-3</v>
      </c>
      <c r="AQ417" s="1046" cm="1">
        <f t="array" aca="1" ref="AQ417" ca="1">INDEX(OFFSET($AK$19,MATCH($B417,$B$19:$B$150,0)-1,0,COUNTA($B$19:$B$24),COUNTA($AK$17:$BB$17)),MATCH($F417,$F$19:$F$24,0),MATCH(AQ$17,$AK$17:$BB$17,0))*INDEX($10:$13,MATCH($O417,$R$10:$R$13,0),COLUMN())</f>
        <v>3.2273529999999997E-5</v>
      </c>
      <c r="AR417" s="1046" cm="1">
        <f t="array" aca="1" ref="AR417" ca="1">INDEX(OFFSET($AK$19,MATCH($B417,$B$19:$B$150,0)-1,0,COUNTA($B$19:$B$24),COUNTA($AK$17:$BB$17)),MATCH($F417,$F$19:$F$24,0),MATCH(AR$17,$AK$17:$BB$17,0))*INDEX($10:$13,MATCH($O417,$R$10:$R$13,0),COLUMN())</f>
        <v>2.7548530524000001E-2</v>
      </c>
      <c r="AS417" s="1046" cm="1">
        <f t="array" aca="1" ref="AS417" ca="1">INDEX(OFFSET($AK$19,MATCH($B417,$B$19:$B$150,0)-1,0,COUNTA($B$19:$B$24),COUNTA($AK$17:$BB$17)),MATCH($F417,$F$19:$F$24,0),MATCH(AS$17,$AK$17:$BB$17,0))*INDEX($10:$13,MATCH($O417,$R$10:$R$13,0),COLUMN())</f>
        <v>1.1788909469999999E-2</v>
      </c>
      <c r="AT417" s="1046" cm="1">
        <f t="array" aca="1" ref="AT417" ca="1">INDEX(OFFSET($AK$19,MATCH($B417,$B$19:$B$150,0)-1,0,COUNTA($B$19:$B$24),COUNTA($AK$17:$BB$17)),MATCH($F417,$F$19:$F$24,0),MATCH(AT$17,$AK$17:$BB$17,0))*INDEX($10:$13,MATCH($O417,$R$10:$R$13,0),COLUMN())</f>
        <v>1.3188350374999999E-5</v>
      </c>
      <c r="AU417" s="1046" cm="1">
        <f t="array" aca="1" ref="AU417" ca="1">INDEX(OFFSET($AK$19,MATCH($B417,$B$19:$B$150,0)-1,0,COUNTA($B$19:$B$24),COUNTA($AK$17:$BB$17)),MATCH($F417,$F$19:$F$24,0),MATCH(AU$17,$AK$17:$BB$17,0))*INDEX($10:$13,MATCH($O417,$R$10:$R$13,0),COLUMN())</f>
        <v>7.3954999711999997E-7</v>
      </c>
      <c r="AV417" s="1046" cm="1">
        <f t="array" aca="1" ref="AV417" ca="1">INDEX(OFFSET($AK$19,MATCH($B417,$B$19:$B$150,0)-1,0,COUNTA($B$19:$B$24),COUNTA($AK$17:$BB$17)),MATCH($F417,$F$19:$F$24,0),MATCH(AV$17,$AK$17:$BB$17,0))*INDEX($10:$13,MATCH($O417,$R$10:$R$13,0),COLUMN())</f>
        <v>3.8304729024999993E-3</v>
      </c>
      <c r="AW417" s="1046" cm="1">
        <f t="array" aca="1" ref="AW417" ca="1">INDEX(OFFSET($AK$19,MATCH($B417,$B$19:$B$150,0)-1,0,COUNTA($B$19:$B$24),COUNTA($AK$17:$BB$17)),MATCH($F417,$F$19:$F$24,0),MATCH(AW$17,$AK$17:$BB$17,0))*INDEX($10:$13,MATCH($O417,$R$10:$R$13,0),COLUMN())</f>
        <v>3.3827241750000001E-2</v>
      </c>
      <c r="AX417" s="1046" cm="1">
        <f t="array" aca="1" ref="AX417" ca="1">INDEX(OFFSET($AK$19,MATCH($B417,$B$19:$B$150,0)-1,0,COUNTA($B$19:$B$24),COUNTA($AK$17:$BB$17)),MATCH($F417,$F$19:$F$24,0),MATCH(AX$17,$AK$17:$BB$17,0))*INDEX($10:$13,MATCH($O417,$R$10:$R$13,0),COLUMN())</f>
        <v>6.4890599699999988E-8</v>
      </c>
      <c r="AY417" s="1046" cm="1">
        <f t="array" aca="1" ref="AY417" ca="1">INDEX(OFFSET($AK$19,MATCH($B417,$B$19:$B$150,0)-1,0,COUNTA($B$19:$B$24),COUNTA($AK$17:$BB$17)),MATCH($F417,$F$19:$F$24,0),MATCH(AY$17,$AK$17:$BB$17,0))*INDEX($10:$13,MATCH($O417,$R$10:$R$13,0),COLUMN())</f>
        <v>-1.7123611781249999E-9</v>
      </c>
      <c r="AZ417" s="1046" cm="1">
        <f t="array" aca="1" ref="AZ417" ca="1">INDEX(OFFSET($AK$19,MATCH($B417,$B$19:$B$150,0)-1,0,COUNTA($B$19:$B$24),COUNTA($AK$17:$BB$17)),MATCH($F417,$F$19:$F$24,0),MATCH(AZ$17,$AK$17:$BB$17,0))*INDEX($10:$13,MATCH($O417,$R$10:$R$13,0),COLUMN())</f>
        <v>0</v>
      </c>
      <c r="BA417" s="1046" cm="1">
        <f t="array" aca="1" ref="BA417" ca="1">INDEX(OFFSET($AK$19,MATCH($B417,$B$19:$B$150,0)-1,0,COUNTA($B$19:$B$24),COUNTA($AK$17:$BB$17)),MATCH($F417,$F$19:$F$24,0),MATCH(BA$17,$AK$17:$BB$17,0))*INDEX($10:$13,MATCH($O417,$R$10:$R$13,0),COLUMN())</f>
        <v>0</v>
      </c>
      <c r="BB417" s="1047" cm="1">
        <f t="array" aca="1" ref="BB417" ca="1">INDEX(OFFSET($AK$19,MATCH($B417,$B$19:$B$150,0)-1,0,COUNTA($B$19:$B$24),COUNTA($AK$17:$BB$17)),MATCH($F417,$F$19:$F$24,0),MATCH(BB$17,$AK$17:$BB$17,0))*INDEX($10:$13,MATCH($O417,$R$10:$R$13,0),COLUMN())</f>
        <v>0</v>
      </c>
      <c r="BC417" s="1049">
        <f ca="1">SUM(AW417:AY417)</f>
        <v>3.3827304928238523E-2</v>
      </c>
      <c r="BD417" s="146"/>
      <c r="BE417" s="1"/>
      <c r="BF417" s="1"/>
      <c r="BG417" s="1"/>
      <c r="BH417" s="1"/>
      <c r="BI417" s="1"/>
      <c r="BJ417" s="1"/>
      <c r="BK417" s="1"/>
      <c r="BL417" s="1"/>
      <c r="BM417" s="1"/>
      <c r="BN417" s="1"/>
      <c r="BO417" s="1"/>
      <c r="BP417" s="1"/>
      <c r="BQ417" s="1"/>
      <c r="BR417" s="1"/>
      <c r="BS417" s="1"/>
      <c r="BT417" s="1"/>
      <c r="BU417" s="1"/>
      <c r="BV417" s="1"/>
      <c r="BW417" s="1"/>
      <c r="BX417" s="1"/>
      <c r="BY417" s="1"/>
      <c r="BZ417" s="1"/>
    </row>
    <row r="418" spans="2:78" ht="12" customHeight="1" outlineLevel="1" x14ac:dyDescent="0.25">
      <c r="B418" s="104" t="s">
        <v>91</v>
      </c>
      <c r="C418" s="104" t="s">
        <v>121</v>
      </c>
      <c r="D418" s="2" t="s">
        <v>132</v>
      </c>
      <c r="E418" s="2" t="s">
        <v>133</v>
      </c>
      <c r="F418" s="105" t="s">
        <v>122</v>
      </c>
      <c r="G418" s="27" t="s">
        <v>1579</v>
      </c>
      <c r="H418" s="106" t="s">
        <v>128</v>
      </c>
      <c r="I418" s="107" t="s">
        <v>129</v>
      </c>
      <c r="J418" s="147">
        <v>3.8217059399999997</v>
      </c>
      <c r="K418" s="148">
        <v>0.43951000000000001</v>
      </c>
      <c r="L418" s="149">
        <f t="shared" ca="1" si="172"/>
        <v>0.20522811063792287</v>
      </c>
      <c r="M418" s="148">
        <f t="shared" ca="1" si="173"/>
        <v>0.52970980690647351</v>
      </c>
      <c r="N418" s="163">
        <f t="shared" ca="1" si="175"/>
        <v>9.0199806906473487E-2</v>
      </c>
      <c r="O418" s="1061" t="s">
        <v>1584</v>
      </c>
      <c r="P418" s="104"/>
      <c r="R418" s="119"/>
      <c r="S418" s="1072"/>
      <c r="T418" s="1072"/>
      <c r="U418" s="1072"/>
      <c r="V418" s="1072"/>
      <c r="W418" s="1072"/>
      <c r="X418" s="1072"/>
      <c r="Y418" s="1072"/>
      <c r="Z418" s="1072"/>
      <c r="AA418" s="1072"/>
      <c r="AB418" s="1072"/>
      <c r="AC418" s="1072"/>
      <c r="AD418" s="1072"/>
      <c r="AE418" s="1072"/>
      <c r="AF418" s="1072"/>
      <c r="AG418" s="1072"/>
      <c r="AH418" s="1072"/>
      <c r="AI418" s="1072"/>
      <c r="AJ418" s="1073"/>
      <c r="AK418" s="1052" cm="1">
        <f t="array" aca="1" ref="AK418" ca="1">INDEX(OFFSET($AK$19,MATCH($B418,$B$19:$B$150,0)-1,0,COUNTA($B$19:$B$24),COUNTA($AK$17:$BB$17)),MATCH($F418,$F$19:$F$24,0),MATCH(AK$17,$AK$17:$BB$17,0))*INDEX($10:$13,MATCH($O418,$R$10:$R$13,0),COLUMN())</f>
        <v>1.3009719379612712E-2</v>
      </c>
      <c r="AL418" s="1050" cm="1">
        <f t="array" aca="1" ref="AL418" ca="1">INDEX(OFFSET($AK$19,MATCH($B418,$B$19:$B$150,0)-1,0,COUNTA($B$19:$B$24),COUNTA($AK$17:$BB$17)),MATCH($F418,$F$19:$F$24,0),MATCH(AL$17,$AK$17:$BB$17,0))*INDEX($10:$13,MATCH($O418,$R$10:$R$13,0),COLUMN())</f>
        <v>3.0531145580000001E-8</v>
      </c>
      <c r="AM418" s="1050" cm="1">
        <f t="array" aca="1" ref="AM418" ca="1">INDEX(OFFSET($AK$19,MATCH($B418,$B$19:$B$150,0)-1,0,COUNTA($B$19:$B$24),COUNTA($AK$17:$BB$17)),MATCH($F418,$F$19:$F$24,0),MATCH(AM$17,$AK$17:$BB$17,0))*INDEX($10:$13,MATCH($O418,$R$10:$R$13,0),COLUMN())</f>
        <v>5.0175934380000002E-5</v>
      </c>
      <c r="AN418" s="1050" cm="1">
        <f t="array" aca="1" ref="AN418" ca="1">INDEX(OFFSET($AK$19,MATCH($B418,$B$19:$B$150,0)-1,0,COUNTA($B$19:$B$24),COUNTA($AK$17:$BB$17)),MATCH($F418,$F$19:$F$24,0),MATCH(AN$17,$AK$17:$BB$17,0))*INDEX($10:$13,MATCH($O418,$R$10:$R$13,0),COLUMN())</f>
        <v>6.5383201799999995E-4</v>
      </c>
      <c r="AO418" s="1050" cm="1">
        <f t="array" aca="1" ref="AO418" ca="1">INDEX(OFFSET($AK$19,MATCH($B418,$B$19:$B$150,0)-1,0,COUNTA($B$19:$B$24),COUNTA($AK$17:$BB$17)),MATCH($F418,$F$19:$F$24,0),MATCH(AO$17,$AK$17:$BB$17,0))*INDEX($10:$13,MATCH($O418,$R$10:$R$13,0),COLUMN())</f>
        <v>9.6262605600000006E-3</v>
      </c>
      <c r="AP418" s="1050" cm="1">
        <f t="array" aca="1" ref="AP418" ca="1">INDEX(OFFSET($AK$19,MATCH($B418,$B$19:$B$150,0)-1,0,COUNTA($B$19:$B$24),COUNTA($AK$17:$BB$17)),MATCH($F418,$F$19:$F$24,0),MATCH(AP$17,$AK$17:$BB$17,0))*INDEX($10:$13,MATCH($O418,$R$10:$R$13,0),COLUMN())</f>
        <v>7.5702098840000004E-4</v>
      </c>
      <c r="AQ418" s="1050" cm="1">
        <f t="array" aca="1" ref="AQ418" ca="1">INDEX(OFFSET($AK$19,MATCH($B418,$B$19:$B$150,0)-1,0,COUNTA($B$19:$B$24),COUNTA($AK$17:$BB$17)),MATCH($F418,$F$19:$F$24,0),MATCH(AQ$17,$AK$17:$BB$17,0))*INDEX($10:$13,MATCH($O418,$R$10:$R$13,0),COLUMN())</f>
        <v>6.3048492499999999E-6</v>
      </c>
      <c r="AR418" s="1050" cm="1">
        <f t="array" aca="1" ref="AR418" ca="1">INDEX(OFFSET($AK$19,MATCH($B418,$B$19:$B$150,0)-1,0,COUNTA($B$19:$B$24),COUNTA($AK$17:$BB$17)),MATCH($F418,$F$19:$F$24,0),MATCH(AR$17,$AK$17:$BB$17,0))*INDEX($10:$13,MATCH($O418,$R$10:$R$13,0),COLUMN())</f>
        <v>1.4318246246999998E-2</v>
      </c>
      <c r="AS418" s="1050" cm="1">
        <f t="array" aca="1" ref="AS418" ca="1">INDEX(OFFSET($AK$19,MATCH($B418,$B$19:$B$150,0)-1,0,COUNTA($B$19:$B$24),COUNTA($AK$17:$BB$17)),MATCH($F418,$F$19:$F$24,0),MATCH(AS$17,$AK$17:$BB$17,0))*INDEX($10:$13,MATCH($O418,$R$10:$R$13,0),COLUMN())</f>
        <v>1.8169628489999998E-5</v>
      </c>
      <c r="AT418" s="1050" cm="1">
        <f t="array" aca="1" ref="AT418" ca="1">INDEX(OFFSET($AK$19,MATCH($B418,$B$19:$B$150,0)-1,0,COUNTA($B$19:$B$24),COUNTA($AK$17:$BB$17)),MATCH($F418,$F$19:$F$24,0),MATCH(AT$17,$AK$17:$BB$17,0))*INDEX($10:$13,MATCH($O418,$R$10:$R$13,0),COLUMN())</f>
        <v>5.3795734400000003E-7</v>
      </c>
      <c r="AU418" s="1050" cm="1">
        <f t="array" aca="1" ref="AU418" ca="1">INDEX(OFFSET($AK$19,MATCH($B418,$B$19:$B$150,0)-1,0,COUNTA($B$19:$B$24),COUNTA($AK$17:$BB$17)),MATCH($F418,$F$19:$F$24,0),MATCH(AU$17,$AK$17:$BB$17,0))*INDEX($10:$13,MATCH($O418,$R$10:$R$13,0),COLUMN())</f>
        <v>1.1396614816000001E-7</v>
      </c>
      <c r="AV418" s="1050" cm="1">
        <f t="array" aca="1" ref="AV418" ca="1">INDEX(OFFSET($AK$19,MATCH($B418,$B$19:$B$150,0)-1,0,COUNTA($B$19:$B$24),COUNTA($AK$17:$BB$17)),MATCH($F418,$F$19:$F$24,0),MATCH(AV$17,$AK$17:$BB$17,0))*INDEX($10:$13,MATCH($O418,$R$10:$R$13,0),COLUMN())</f>
        <v>5.55124989E-4</v>
      </c>
      <c r="AW418" s="1050" cm="1">
        <f t="array" aca="1" ref="AW418" ca="1">INDEX(OFFSET($AK$19,MATCH($B418,$B$19:$B$150,0)-1,0,COUNTA($B$19:$B$24),COUNTA($AK$17:$BB$17)),MATCH($F418,$F$19:$F$24,0),MATCH(AW$17,$AK$17:$BB$17,0))*INDEX($10:$13,MATCH($O418,$R$10:$R$13,0),COLUMN())</f>
        <v>5.1204254999999997E-2</v>
      </c>
      <c r="AX418" s="1050" cm="1">
        <f t="array" aca="1" ref="AX418" ca="1">INDEX(OFFSET($AK$19,MATCH($B418,$B$19:$B$150,0)-1,0,COUNTA($B$19:$B$24),COUNTA($AK$17:$BB$17)),MATCH($F418,$F$19:$F$24,0),MATCH(AX$17,$AK$17:$BB$17,0))*INDEX($10:$13,MATCH($O418,$R$10:$R$13,0),COLUMN())</f>
        <v>1.52507544E-8</v>
      </c>
      <c r="AY418" s="1050" cm="1">
        <f t="array" aca="1" ref="AY418" ca="1">INDEX(OFFSET($AK$19,MATCH($B418,$B$19:$B$150,0)-1,0,COUNTA($B$19:$B$24),COUNTA($AK$17:$BB$17)),MATCH($F418,$F$19:$F$24,0),MATCH(AY$17,$AK$17:$BB$17,0))*INDEX($10:$13,MATCH($O418,$R$10:$R$13,0),COLUMN())</f>
        <v>-3.9305133899999998E-10</v>
      </c>
      <c r="AZ418" s="1050" cm="1">
        <f t="array" aca="1" ref="AZ418" ca="1">INDEX(OFFSET($AK$19,MATCH($B418,$B$19:$B$150,0)-1,0,COUNTA($B$19:$B$24),COUNTA($AK$17:$BB$17)),MATCH($F418,$F$19:$F$24,0),MATCH(AZ$17,$AK$17:$BB$17,0))*INDEX($10:$13,MATCH($O418,$R$10:$R$13,0),COLUMN())</f>
        <v>0</v>
      </c>
      <c r="BA418" s="1050" cm="1">
        <f t="array" aca="1" ref="BA418" ca="1">INDEX(OFFSET($AK$19,MATCH($B418,$B$19:$B$150,0)-1,0,COUNTA($B$19:$B$24),COUNTA($AK$17:$BB$17)),MATCH($F418,$F$19:$F$24,0),MATCH(BA$17,$AK$17:$BB$17,0))*INDEX($10:$13,MATCH($O418,$R$10:$R$13,0),COLUMN())</f>
        <v>0</v>
      </c>
      <c r="BB418" s="1051" cm="1">
        <f t="array" aca="1" ref="BB418" ca="1">INDEX(OFFSET($AK$19,MATCH($B418,$B$19:$B$150,0)-1,0,COUNTA($B$19:$B$24),COUNTA($AK$17:$BB$17)),MATCH($F418,$F$19:$F$24,0),MATCH(BB$17,$AK$17:$BB$17,0))*INDEX($10:$13,MATCH($O418,$R$10:$R$13,0),COLUMN())</f>
        <v>0</v>
      </c>
      <c r="BC418" s="1053">
        <f t="shared" ref="BC418:BC470" ca="1" si="176">SUM(AW418:AY418)</f>
        <v>5.1204269857703058E-2</v>
      </c>
      <c r="BE418" s="1"/>
      <c r="BF418" s="1"/>
      <c r="BG418" s="1"/>
      <c r="BH418" s="1"/>
      <c r="BI418" s="1"/>
      <c r="BJ418" s="1"/>
      <c r="BK418" s="1"/>
      <c r="BL418" s="1"/>
      <c r="BM418" s="1"/>
      <c r="BN418" s="1"/>
      <c r="BO418" s="1"/>
      <c r="BP418" s="1"/>
      <c r="BQ418" s="1"/>
      <c r="BR418" s="1"/>
      <c r="BS418" s="1"/>
      <c r="BT418" s="1"/>
      <c r="BU418" s="1"/>
      <c r="BV418" s="1"/>
      <c r="BW418" s="1"/>
      <c r="BX418" s="1"/>
      <c r="BY418" s="1"/>
      <c r="BZ418" s="1"/>
    </row>
    <row r="419" spans="2:78" ht="12" customHeight="1" outlineLevel="1" x14ac:dyDescent="0.25">
      <c r="B419" s="104" t="s">
        <v>91</v>
      </c>
      <c r="C419" s="104" t="s">
        <v>121</v>
      </c>
      <c r="D419" s="2" t="s">
        <v>132</v>
      </c>
      <c r="E419" s="2" t="s">
        <v>133</v>
      </c>
      <c r="F419" s="105" t="s">
        <v>93</v>
      </c>
      <c r="G419" s="27" t="s">
        <v>1578</v>
      </c>
      <c r="H419" s="106" t="s">
        <v>130</v>
      </c>
      <c r="I419" s="107" t="s">
        <v>129</v>
      </c>
      <c r="J419" s="147">
        <v>3.8217059399999997</v>
      </c>
      <c r="K419" s="148">
        <v>0.43951000000000001</v>
      </c>
      <c r="L419" s="149">
        <f t="shared" ca="1" si="172"/>
        <v>0.23668173061103009</v>
      </c>
      <c r="M419" s="148">
        <f t="shared" ca="1" si="173"/>
        <v>0.54353398742085379</v>
      </c>
      <c r="N419" s="163">
        <f t="shared" ca="1" si="175"/>
        <v>0.10402398742085384</v>
      </c>
      <c r="O419" s="1061" t="s">
        <v>1584</v>
      </c>
      <c r="P419" s="104"/>
      <c r="R419" s="119"/>
      <c r="S419" s="1072"/>
      <c r="T419" s="1072"/>
      <c r="U419" s="1072"/>
      <c r="V419" s="1072"/>
      <c r="W419" s="1072"/>
      <c r="X419" s="1072"/>
      <c r="Y419" s="1072"/>
      <c r="Z419" s="1072"/>
      <c r="AA419" s="1072"/>
      <c r="AB419" s="1072"/>
      <c r="AC419" s="1072"/>
      <c r="AD419" s="1072"/>
      <c r="AE419" s="1072"/>
      <c r="AF419" s="1072"/>
      <c r="AG419" s="1072"/>
      <c r="AH419" s="1072"/>
      <c r="AI419" s="1072"/>
      <c r="AJ419" s="1073"/>
      <c r="AK419" s="1052" cm="1">
        <f t="array" aca="1" ref="AK419" ca="1">INDEX(OFFSET($AK$19,MATCH($B419,$B$19:$B$150,0)-1,0,COUNTA($B$19:$B$24),COUNTA($AK$17:$BB$17)),MATCH($F419,$F$19:$F$24,0),MATCH(AK$17,$AK$17:$BB$17,0))*INDEX($10:$13,MATCH($O419,$R$10:$R$13,0),COLUMN())</f>
        <v>1.4993765480928309E-2</v>
      </c>
      <c r="AL419" s="1050" cm="1">
        <f t="array" aca="1" ref="AL419" ca="1">INDEX(OFFSET($AK$19,MATCH($B419,$B$19:$B$150,0)-1,0,COUNTA($B$19:$B$24),COUNTA($AK$17:$BB$17)),MATCH($F419,$F$19:$F$24,0),MATCH(AL$17,$AK$17:$BB$17,0))*INDEX($10:$13,MATCH($O419,$R$10:$R$13,0),COLUMN())</f>
        <v>3.5187297340000006E-8</v>
      </c>
      <c r="AM419" s="1050" cm="1">
        <f t="array" aca="1" ref="AM419" ca="1">INDEX(OFFSET($AK$19,MATCH($B419,$B$19:$B$150,0)-1,0,COUNTA($B$19:$B$24),COUNTA($AK$17:$BB$17)),MATCH($F419,$F$19:$F$24,0),MATCH(AM$17,$AK$17:$BB$17,0))*INDEX($10:$13,MATCH($O419,$R$10:$R$13,0),COLUMN())</f>
        <v>5.7828011669999998E-5</v>
      </c>
      <c r="AN419" s="1050" cm="1">
        <f t="array" aca="1" ref="AN419" ca="1">INDEX(OFFSET($AK$19,MATCH($B419,$B$19:$B$150,0)-1,0,COUNTA($B$19:$B$24),COUNTA($AK$17:$BB$17)),MATCH($F419,$F$19:$F$24,0),MATCH(AN$17,$AK$17:$BB$17,0))*INDEX($10:$13,MATCH($O419,$R$10:$R$13,0),COLUMN())</f>
        <v>7.5354462960000004E-4</v>
      </c>
      <c r="AO419" s="1050" cm="1">
        <f t="array" aca="1" ref="AO419" ca="1">INDEX(OFFSET($AK$19,MATCH($B419,$B$19:$B$150,0)-1,0,COUNTA($B$19:$B$24),COUNTA($AK$17:$BB$17)),MATCH($F419,$F$19:$F$24,0),MATCH(AO$17,$AK$17:$BB$17,0))*INDEX($10:$13,MATCH($O419,$R$10:$R$13,0),COLUMN())</f>
        <v>1.109431288E-2</v>
      </c>
      <c r="AP419" s="1050" cm="1">
        <f t="array" aca="1" ref="AP419" ca="1">INDEX(OFFSET($AK$19,MATCH($B419,$B$19:$B$150,0)-1,0,COUNTA($B$19:$B$24),COUNTA($AK$17:$BB$17)),MATCH($F419,$F$19:$F$24,0),MATCH(AP$17,$AK$17:$BB$17,0))*INDEX($10:$13,MATCH($O419,$R$10:$R$13,0),COLUMN())</f>
        <v>8.7247041400000005E-4</v>
      </c>
      <c r="AQ419" s="1050" cm="1">
        <f t="array" aca="1" ref="AQ419" ca="1">INDEX(OFFSET($AK$19,MATCH($B419,$B$19:$B$150,0)-1,0,COUNTA($B$19:$B$24),COUNTA($AK$17:$BB$17)),MATCH($F419,$F$19:$F$24,0),MATCH(AQ$17,$AK$17:$BB$17,0))*INDEX($10:$13,MATCH($O419,$R$10:$R$13,0),COLUMN())</f>
        <v>7.26637E-6</v>
      </c>
      <c r="AR419" s="1050" cm="1">
        <f t="array" aca="1" ref="AR419" ca="1">INDEX(OFFSET($AK$19,MATCH($B419,$B$19:$B$150,0)-1,0,COUNTA($B$19:$B$24),COUNTA($AK$17:$BB$17)),MATCH($F419,$F$19:$F$24,0),MATCH(AR$17,$AK$17:$BB$17,0))*INDEX($10:$13,MATCH($O419,$R$10:$R$13,0),COLUMN())</f>
        <v>1.6501849398999999E-2</v>
      </c>
      <c r="AS419" s="1050" cm="1">
        <f t="array" aca="1" ref="AS419" ca="1">INDEX(OFFSET($AK$19,MATCH($B419,$B$19:$B$150,0)-1,0,COUNTA($B$19:$B$24),COUNTA($AK$17:$BB$17)),MATCH($F419,$F$19:$F$24,0),MATCH(AS$17,$AK$17:$BB$17,0))*INDEX($10:$13,MATCH($O419,$R$10:$R$13,0),COLUMN())</f>
        <v>2.7222974999999998E-5</v>
      </c>
      <c r="AT419" s="1050" cm="1">
        <f t="array" aca="1" ref="AT419" ca="1">INDEX(OFFSET($AK$19,MATCH($B419,$B$19:$B$150,0)-1,0,COUNTA($B$19:$B$24),COUNTA($AK$17:$BB$17)),MATCH($F419,$F$19:$F$24,0),MATCH(AT$17,$AK$17:$BB$17,0))*INDEX($10:$13,MATCH($O419,$R$10:$R$13,0),COLUMN())</f>
        <v>6.2220165E-7</v>
      </c>
      <c r="AU419" s="1050" cm="1">
        <f t="array" aca="1" ref="AU419" ca="1">INDEX(OFFSET($AK$19,MATCH($B419,$B$19:$B$150,0)-1,0,COUNTA($B$19:$B$24),COUNTA($AK$17:$BB$17)),MATCH($F419,$F$19:$F$24,0),MATCH(AU$17,$AK$17:$BB$17,0))*INDEX($10:$13,MATCH($O419,$R$10:$R$13,0),COLUMN())</f>
        <v>1.3157988192E-7</v>
      </c>
      <c r="AV419" s="1050" cm="1">
        <f t="array" aca="1" ref="AV419" ca="1">INDEX(OFFSET($AK$19,MATCH($B419,$B$19:$B$150,0)-1,0,COUNTA($B$19:$B$24),COUNTA($AK$17:$BB$17)),MATCH($F419,$F$19:$F$24,0),MATCH(AV$17,$AK$17:$BB$17,0))*INDEX($10:$13,MATCH($O419,$R$10:$R$13,0),COLUMN())</f>
        <v>7.0176546824999989E-4</v>
      </c>
      <c r="AW419" s="1050" cm="1">
        <f t="array" aca="1" ref="AW419" ca="1">INDEX(OFFSET($AK$19,MATCH($B419,$B$19:$B$150,0)-1,0,COUNTA($B$19:$B$24),COUNTA($AK$17:$BB$17)),MATCH($F419,$F$19:$F$24,0),MATCH(AW$17,$AK$17:$BB$17,0))*INDEX($10:$13,MATCH($O419,$R$10:$R$13,0),COLUMN())</f>
        <v>5.9013155699999993E-2</v>
      </c>
      <c r="AX419" s="1050" cm="1">
        <f t="array" aca="1" ref="AX419" ca="1">INDEX(OFFSET($AK$19,MATCH($B419,$B$19:$B$150,0)-1,0,COUNTA($B$19:$B$24),COUNTA($AK$17:$BB$17)),MATCH($F419,$F$19:$F$24,0),MATCH(AX$17,$AK$17:$BB$17,0))*INDEX($10:$13,MATCH($O419,$R$10:$R$13,0),COLUMN())</f>
        <v>1.7576569874999997E-8</v>
      </c>
      <c r="AY419" s="1050" cm="1">
        <f t="array" aca="1" ref="AY419" ca="1">INDEX(OFFSET($AK$19,MATCH($B419,$B$19:$B$150,0)-1,0,COUNTA($B$19:$B$24),COUNTA($AK$17:$BB$17)),MATCH($F419,$F$19:$F$24,0),MATCH(AY$17,$AK$17:$BB$17,0))*INDEX($10:$13,MATCH($O419,$R$10:$R$13,0),COLUMN())</f>
        <v>-4.5299360249999992E-10</v>
      </c>
      <c r="AZ419" s="1050" cm="1">
        <f t="array" aca="1" ref="AZ419" ca="1">INDEX(OFFSET($AK$19,MATCH($B419,$B$19:$B$150,0)-1,0,COUNTA($B$19:$B$24),COUNTA($AK$17:$BB$17)),MATCH($F419,$F$19:$F$24,0),MATCH(AZ$17,$AK$17:$BB$17,0))*INDEX($10:$13,MATCH($O419,$R$10:$R$13,0),COLUMN())</f>
        <v>0</v>
      </c>
      <c r="BA419" s="1050" cm="1">
        <f t="array" aca="1" ref="BA419" ca="1">INDEX(OFFSET($AK$19,MATCH($B419,$B$19:$B$150,0)-1,0,COUNTA($B$19:$B$24),COUNTA($AK$17:$BB$17)),MATCH($F419,$F$19:$F$24,0),MATCH(BA$17,$AK$17:$BB$17,0))*INDEX($10:$13,MATCH($O419,$R$10:$R$13,0),COLUMN())</f>
        <v>0</v>
      </c>
      <c r="BB419" s="1051" cm="1">
        <f t="array" aca="1" ref="BB419" ca="1">INDEX(OFFSET($AK$19,MATCH($B419,$B$19:$B$150,0)-1,0,COUNTA($B$19:$B$24),COUNTA($AK$17:$BB$17)),MATCH($F419,$F$19:$F$24,0),MATCH(BB$17,$AK$17:$BB$17,0))*INDEX($10:$13,MATCH($O419,$R$10:$R$13,0),COLUMN())</f>
        <v>0</v>
      </c>
      <c r="BC419" s="1053">
        <f t="shared" ca="1" si="176"/>
        <v>5.9013172823576265E-2</v>
      </c>
      <c r="BE419" s="1"/>
      <c r="BF419" s="1"/>
      <c r="BG419" s="1"/>
      <c r="BH419" s="1"/>
      <c r="BI419" s="1"/>
      <c r="BJ419" s="1"/>
      <c r="BK419" s="1"/>
      <c r="BL419" s="1"/>
      <c r="BM419" s="1"/>
      <c r="BN419" s="1"/>
      <c r="BO419" s="1"/>
      <c r="BP419" s="1"/>
      <c r="BQ419" s="1"/>
      <c r="BR419" s="1"/>
      <c r="BS419" s="1"/>
      <c r="BT419" s="1"/>
      <c r="BU419" s="1"/>
      <c r="BV419" s="1"/>
      <c r="BW419" s="1"/>
      <c r="BX419" s="1"/>
      <c r="BY419" s="1"/>
      <c r="BZ419" s="1"/>
    </row>
    <row r="420" spans="2:78" ht="12" customHeight="1" outlineLevel="1" x14ac:dyDescent="0.25">
      <c r="B420" s="104" t="s">
        <v>91</v>
      </c>
      <c r="C420" s="104" t="s">
        <v>121</v>
      </c>
      <c r="D420" s="2" t="s">
        <v>132</v>
      </c>
      <c r="E420" s="2" t="s">
        <v>133</v>
      </c>
      <c r="F420" s="105" t="s">
        <v>94</v>
      </c>
      <c r="G420" s="27" t="s">
        <v>1580</v>
      </c>
      <c r="H420" s="106" t="s">
        <v>131</v>
      </c>
      <c r="I420" s="107" t="s">
        <v>129</v>
      </c>
      <c r="J420" s="147">
        <v>3.8217059399999997</v>
      </c>
      <c r="K420" s="148">
        <v>0.43951000000000001</v>
      </c>
      <c r="L420" s="149">
        <f t="shared" ca="1" si="172"/>
        <v>0.18112114453066308</v>
      </c>
      <c r="M420" s="148">
        <f t="shared" ca="1" si="173"/>
        <v>0.51911455423267172</v>
      </c>
      <c r="N420" s="148">
        <f t="shared" ca="1" si="175"/>
        <v>7.9604554232671737E-2</v>
      </c>
      <c r="O420" s="1062" t="s">
        <v>1584</v>
      </c>
      <c r="P420" s="104"/>
      <c r="R420" s="119"/>
      <c r="S420" s="1072"/>
      <c r="T420" s="1072"/>
      <c r="U420" s="1072"/>
      <c r="V420" s="1072"/>
      <c r="W420" s="1072"/>
      <c r="X420" s="1072"/>
      <c r="Y420" s="1072"/>
      <c r="Z420" s="1072"/>
      <c r="AA420" s="1072"/>
      <c r="AB420" s="1072"/>
      <c r="AC420" s="1072"/>
      <c r="AD420" s="1072"/>
      <c r="AE420" s="1072"/>
      <c r="AF420" s="1072"/>
      <c r="AG420" s="1072"/>
      <c r="AH420" s="1072"/>
      <c r="AI420" s="1072"/>
      <c r="AJ420" s="1073"/>
      <c r="AK420" s="1052" cm="1">
        <f t="array" aca="1" ref="AK420" ca="1">INDEX(OFFSET($AK$19,MATCH($B420,$B$19:$B$150,0)-1,0,COUNTA($B$19:$B$24),COUNTA($AK$17:$BB$17)),MATCH($F420,$F$19:$F$24,0),MATCH(AK$17,$AK$17:$BB$17,0))*INDEX($10:$13,MATCH($O420,$R$10:$R$13,0),COLUMN())</f>
        <v>1.1488940369633402E-2</v>
      </c>
      <c r="AL420" s="1050" cm="1">
        <f t="array" aca="1" ref="AL420" ca="1">INDEX(OFFSET($AK$19,MATCH($B420,$B$19:$B$150,0)-1,0,COUNTA($B$19:$B$24),COUNTA($AK$17:$BB$17)),MATCH($F420,$F$19:$F$24,0),MATCH(AL$17,$AK$17:$BB$17,0))*INDEX($10:$13,MATCH($O420,$R$10:$R$13,0),COLUMN())</f>
        <v>2.696219006E-8</v>
      </c>
      <c r="AM420" s="1050" cm="1">
        <f t="array" aca="1" ref="AM420" ca="1">INDEX(OFFSET($AK$19,MATCH($B420,$B$19:$B$150,0)-1,0,COUNTA($B$19:$B$24),COUNTA($AK$17:$BB$17)),MATCH($F420,$F$19:$F$24,0),MATCH(AM$17,$AK$17:$BB$17,0))*INDEX($10:$13,MATCH($O420,$R$10:$R$13,0),COLUMN())</f>
        <v>4.4310588300000004E-5</v>
      </c>
      <c r="AN420" s="1050" cm="1">
        <f t="array" aca="1" ref="AN420" ca="1">INDEX(OFFSET($AK$19,MATCH($B420,$B$19:$B$150,0)-1,0,COUNTA($B$19:$B$24),COUNTA($AK$17:$BB$17)),MATCH($F420,$F$19:$F$24,0),MATCH(AN$17,$AK$17:$BB$17,0))*INDEX($10:$13,MATCH($O420,$R$10:$R$13,0),COLUMN())</f>
        <v>5.7740193840000002E-4</v>
      </c>
      <c r="AO420" s="1050" cm="1">
        <f t="array" aca="1" ref="AO420" ca="1">INDEX(OFFSET($AK$19,MATCH($B420,$B$19:$B$150,0)-1,0,COUNTA($B$19:$B$24),COUNTA($AK$17:$BB$17)),MATCH($F420,$F$19:$F$24,0),MATCH(AO$17,$AK$17:$BB$17,0))*INDEX($10:$13,MATCH($O420,$R$10:$R$13,0),COLUMN())</f>
        <v>8.5009931999999993E-3</v>
      </c>
      <c r="AP420" s="1050" cm="1">
        <f t="array" aca="1" ref="AP420" ca="1">INDEX(OFFSET($AK$19,MATCH($B420,$B$19:$B$150,0)-1,0,COUNTA($B$19:$B$24),COUNTA($AK$17:$BB$17)),MATCH($F420,$F$19:$F$24,0),MATCH(AP$17,$AK$17:$BB$17,0))*INDEX($10:$13,MATCH($O420,$R$10:$R$13,0),COLUMN())</f>
        <v>6.6852858939999999E-4</v>
      </c>
      <c r="AQ420" s="1050" cm="1">
        <f t="array" aca="1" ref="AQ420" ca="1">INDEX(OFFSET($AK$19,MATCH($B420,$B$19:$B$150,0)-1,0,COUNTA($B$19:$B$24),COUNTA($AK$17:$BB$17)),MATCH($F420,$F$19:$F$24,0),MATCH(AQ$17,$AK$17:$BB$17,0))*INDEX($10:$13,MATCH($O420,$R$10:$R$13,0),COLUMN())</f>
        <v>5.5678402500000004E-6</v>
      </c>
      <c r="AR420" s="1050" cm="1">
        <f t="array" aca="1" ref="AR420" ca="1">INDEX(OFFSET($AK$19,MATCH($B420,$B$19:$B$150,0)-1,0,COUNTA($B$19:$B$24),COUNTA($AK$17:$BB$17)),MATCH($F420,$F$19:$F$24,0),MATCH(AR$17,$AK$17:$BB$17,0))*INDEX($10:$13,MATCH($O420,$R$10:$R$13,0),COLUMN())</f>
        <v>1.2644506447000001E-2</v>
      </c>
      <c r="AS420" s="1050" cm="1">
        <f t="array" aca="1" ref="AS420" ca="1">INDEX(OFFSET($AK$19,MATCH($B420,$B$19:$B$150,0)-1,0,COUNTA($B$19:$B$24),COUNTA($AK$17:$BB$17)),MATCH($F420,$F$19:$F$24,0),MATCH(AS$17,$AK$17:$BB$17,0))*INDEX($10:$13,MATCH($O420,$R$10:$R$13,0),COLUMN())</f>
        <v>1.1433070584E-5</v>
      </c>
      <c r="AT420" s="1050" cm="1">
        <f t="array" aca="1" ref="AT420" ca="1">INDEX(OFFSET($AK$19,MATCH($B420,$B$19:$B$150,0)-1,0,COUNTA($B$19:$B$24),COUNTA($AK$17:$BB$17)),MATCH($F420,$F$19:$F$24,0),MATCH(AT$17,$AK$17:$BB$17,0))*INDEX($10:$13,MATCH($O420,$R$10:$R$13,0),COLUMN())</f>
        <v>4.7346928505000005E-7</v>
      </c>
      <c r="AU420" s="1050" cm="1">
        <f t="array" aca="1" ref="AU420" ca="1">INDEX(OFFSET($AK$19,MATCH($B420,$B$19:$B$150,0)-1,0,COUNTA($B$19:$B$24),COUNTA($AK$17:$BB$17)),MATCH($F420,$F$19:$F$24,0),MATCH(AU$17,$AK$17:$BB$17,0))*INDEX($10:$13,MATCH($O420,$R$10:$R$13,0),COLUMN())</f>
        <v>1.0047397600000001E-7</v>
      </c>
      <c r="AV420" s="1050" cm="1">
        <f t="array" aca="1" ref="AV420" ca="1">INDEX(OFFSET($AK$19,MATCH($B420,$B$19:$B$150,0)-1,0,COUNTA($B$19:$B$24),COUNTA($AK$17:$BB$17)),MATCH($F420,$F$19:$F$24,0),MATCH(AV$17,$AK$17:$BB$17,0))*INDEX($10:$13,MATCH($O420,$R$10:$R$13,0),COLUMN())</f>
        <v>4.4355441274999995E-4</v>
      </c>
      <c r="AW420" s="1050" cm="1">
        <f t="array" aca="1" ref="AW420" ca="1">INDEX(OFFSET($AK$19,MATCH($B420,$B$19:$B$150,0)-1,0,COUNTA($B$19:$B$24),COUNTA($AK$17:$BB$17)),MATCH($F420,$F$19:$F$24,0),MATCH(AW$17,$AK$17:$BB$17,0))*INDEX($10:$13,MATCH($O420,$R$10:$R$13,0),COLUMN())</f>
        <v>4.5218703749999999E-2</v>
      </c>
      <c r="AX420" s="1050" cm="1">
        <f t="array" aca="1" ref="AX420" ca="1">INDEX(OFFSET($AK$19,MATCH($B420,$B$19:$B$150,0)-1,0,COUNTA($B$19:$B$24),COUNTA($AK$17:$BB$17)),MATCH($F420,$F$19:$F$24,0),MATCH(AX$17,$AK$17:$BB$17,0))*INDEX($10:$13,MATCH($O420,$R$10:$R$13,0),COLUMN())</f>
        <v>1.34680086E-8</v>
      </c>
      <c r="AY420" s="1050" cm="1">
        <f t="array" aca="1" ref="AY420" ca="1">INDEX(OFFSET($AK$19,MATCH($B420,$B$19:$B$150,0)-1,0,COUNTA($B$19:$B$24),COUNTA($AK$17:$BB$17)),MATCH($F420,$F$19:$F$24,0),MATCH(AY$17,$AK$17:$BB$17,0))*INDEX($10:$13,MATCH($O420,$R$10:$R$13,0),COLUMN())</f>
        <v>-3.4710537206249995E-10</v>
      </c>
      <c r="AZ420" s="1050" cm="1">
        <f t="array" aca="1" ref="AZ420" ca="1">INDEX(OFFSET($AK$19,MATCH($B420,$B$19:$B$150,0)-1,0,COUNTA($B$19:$B$24),COUNTA($AK$17:$BB$17)),MATCH($F420,$F$19:$F$24,0),MATCH(AZ$17,$AK$17:$BB$17,0))*INDEX($10:$13,MATCH($O420,$R$10:$R$13,0),COLUMN())</f>
        <v>0</v>
      </c>
      <c r="BA420" s="1050" cm="1">
        <f t="array" aca="1" ref="BA420" ca="1">INDEX(OFFSET($AK$19,MATCH($B420,$B$19:$B$150,0)-1,0,COUNTA($B$19:$B$24),COUNTA($AK$17:$BB$17)),MATCH($F420,$F$19:$F$24,0),MATCH(BA$17,$AK$17:$BB$17,0))*INDEX($10:$13,MATCH($O420,$R$10:$R$13,0),COLUMN())</f>
        <v>0</v>
      </c>
      <c r="BB420" s="1051" cm="1">
        <f t="array" aca="1" ref="BB420" ca="1">INDEX(OFFSET($AK$19,MATCH($B420,$B$19:$B$150,0)-1,0,COUNTA($B$19:$B$24),COUNTA($AK$17:$BB$17)),MATCH($F420,$F$19:$F$24,0),MATCH(BB$17,$AK$17:$BB$17,0))*INDEX($10:$13,MATCH($O420,$R$10:$R$13,0),COLUMN())</f>
        <v>0</v>
      </c>
      <c r="BC420" s="1053">
        <f t="shared" ca="1" si="176"/>
        <v>4.5218716870903224E-2</v>
      </c>
      <c r="BE420" s="1"/>
      <c r="BF420" s="1"/>
      <c r="BG420" s="1"/>
      <c r="BH420" s="1"/>
      <c r="BI420" s="1"/>
      <c r="BJ420" s="1"/>
      <c r="BK420" s="1"/>
      <c r="BL420" s="1"/>
      <c r="BM420" s="1"/>
      <c r="BN420" s="1"/>
      <c r="BO420" s="1"/>
      <c r="BP420" s="1"/>
      <c r="BQ420" s="1"/>
      <c r="BR420" s="1"/>
      <c r="BS420" s="1"/>
      <c r="BT420" s="1"/>
      <c r="BU420" s="1"/>
      <c r="BV420" s="1"/>
      <c r="BW420" s="1"/>
      <c r="BX420" s="1"/>
      <c r="BY420" s="1"/>
      <c r="BZ420" s="1"/>
    </row>
    <row r="421" spans="2:78" ht="12" customHeight="1" outlineLevel="1" x14ac:dyDescent="0.25">
      <c r="B421" s="104" t="s">
        <v>91</v>
      </c>
      <c r="C421" s="104" t="s">
        <v>121</v>
      </c>
      <c r="D421" s="2" t="s">
        <v>132</v>
      </c>
      <c r="E421" s="2" t="s">
        <v>133</v>
      </c>
      <c r="F421" s="105" t="s">
        <v>95</v>
      </c>
      <c r="G421" s="27" t="s">
        <v>1581</v>
      </c>
      <c r="H421" s="106" t="s">
        <v>128</v>
      </c>
      <c r="I421" s="107" t="s">
        <v>127</v>
      </c>
      <c r="J421" s="147">
        <v>3.8217059399999997</v>
      </c>
      <c r="K421" s="148">
        <v>0.43951000000000001</v>
      </c>
      <c r="L421" s="149">
        <f t="shared" ca="1" si="172"/>
        <v>0.2592047853793869</v>
      </c>
      <c r="M421" s="148">
        <f t="shared" ca="1" si="173"/>
        <v>0.55343309522209438</v>
      </c>
      <c r="N421" s="148">
        <f t="shared" ca="1" si="175"/>
        <v>0.11392309522209433</v>
      </c>
      <c r="O421" s="1062" t="s">
        <v>1584</v>
      </c>
      <c r="P421" s="104"/>
      <c r="R421" s="119"/>
      <c r="S421" s="1072"/>
      <c r="T421" s="1072"/>
      <c r="U421" s="1072"/>
      <c r="V421" s="1072"/>
      <c r="W421" s="1072"/>
      <c r="X421" s="1072"/>
      <c r="Y421" s="1072"/>
      <c r="Z421" s="1072"/>
      <c r="AA421" s="1072"/>
      <c r="AB421" s="1072"/>
      <c r="AC421" s="1072"/>
      <c r="AD421" s="1072"/>
      <c r="AE421" s="1072"/>
      <c r="AF421" s="1072"/>
      <c r="AG421" s="1072"/>
      <c r="AH421" s="1072"/>
      <c r="AI421" s="1072"/>
      <c r="AJ421" s="1073"/>
      <c r="AK421" s="1052" cm="1">
        <f t="array" aca="1" ref="AK421" ca="1">INDEX(OFFSET($AK$19,MATCH($B421,$B$19:$B$150,0)-1,0,COUNTA($B$19:$B$24),COUNTA($AK$17:$BB$17)),MATCH($F421,$F$19:$F$24,0),MATCH(AK$17,$AK$17:$BB$17,0))*INDEX($10:$13,MATCH($O421,$R$10:$R$13,0),COLUMN())</f>
        <v>1.4892992274392168E-2</v>
      </c>
      <c r="AL421" s="1050" cm="1">
        <f t="array" aca="1" ref="AL421" ca="1">INDEX(OFFSET($AK$19,MATCH($B421,$B$19:$B$150,0)-1,0,COUNTA($B$19:$B$24),COUNTA($AK$17:$BB$17)),MATCH($F421,$F$19:$F$24,0),MATCH(AL$17,$AK$17:$BB$17,0))*INDEX($10:$13,MATCH($O421,$R$10:$R$13,0),COLUMN())</f>
        <v>3.0763370170000003E-8</v>
      </c>
      <c r="AM421" s="1050" cm="1">
        <f t="array" aca="1" ref="AM421" ca="1">INDEX(OFFSET($AK$19,MATCH($B421,$B$19:$B$150,0)-1,0,COUNTA($B$19:$B$24),COUNTA($AK$17:$BB$17)),MATCH($F421,$F$19:$F$24,0),MATCH(AM$17,$AK$17:$BB$17,0))*INDEX($10:$13,MATCH($O421,$R$10:$R$13,0),COLUMN())</f>
        <v>5.0555714220000002E-5</v>
      </c>
      <c r="AN421" s="1050" cm="1">
        <f t="array" aca="1" ref="AN421" ca="1">INDEX(OFFSET($AK$19,MATCH($B421,$B$19:$B$150,0)-1,0,COUNTA($B$19:$B$24),COUNTA($AK$17:$BB$17)),MATCH($F421,$F$19:$F$24,0),MATCH(AN$17,$AK$17:$BB$17,0))*INDEX($10:$13,MATCH($O421,$R$10:$R$13,0),COLUMN())</f>
        <v>6.9933648119999993E-4</v>
      </c>
      <c r="AO421" s="1050" cm="1">
        <f t="array" aca="1" ref="AO421" ca="1">INDEX(OFFSET($AK$19,MATCH($B421,$B$19:$B$150,0)-1,0,COUNTA($B$19:$B$24),COUNTA($AK$17:$BB$17)),MATCH($F421,$F$19:$F$24,0),MATCH(AO$17,$AK$17:$BB$17,0))*INDEX($10:$13,MATCH($O421,$R$10:$R$13,0),COLUMN())</f>
        <v>2.2435641479999997E-2</v>
      </c>
      <c r="AP421" s="1050" cm="1">
        <f t="array" aca="1" ref="AP421" ca="1">INDEX(OFFSET($AK$19,MATCH($B421,$B$19:$B$150,0)-1,0,COUNTA($B$19:$B$24),COUNTA($AK$17:$BB$17)),MATCH($F421,$F$19:$F$24,0),MATCH(AP$17,$AK$17:$BB$17,0))*INDEX($10:$13,MATCH($O421,$R$10:$R$13,0),COLUMN())</f>
        <v>2.5637757058E-3</v>
      </c>
      <c r="AQ421" s="1050" cm="1">
        <f t="array" aca="1" ref="AQ421" ca="1">INDEX(OFFSET($AK$19,MATCH($B421,$B$19:$B$150,0)-1,0,COUNTA($B$19:$B$24),COUNTA($AK$17:$BB$17)),MATCH($F421,$F$19:$F$24,0),MATCH(AQ$17,$AK$17:$BB$17,0))*INDEX($10:$13,MATCH($O421,$R$10:$R$13,0),COLUMN())</f>
        <v>2.4947132000000001E-5</v>
      </c>
      <c r="AR421" s="1050" cm="1">
        <f t="array" aca="1" ref="AR421" ca="1">INDEX(OFFSET($AK$19,MATCH($B421,$B$19:$B$150,0)-1,0,COUNTA($B$19:$B$24),COUNTA($AK$17:$BB$17)),MATCH($F421,$F$19:$F$24,0),MATCH(AR$17,$AK$17:$BB$17,0))*INDEX($10:$13,MATCH($O421,$R$10:$R$13,0),COLUMN())</f>
        <v>1.8864364009E-2</v>
      </c>
      <c r="AS421" s="1050" cm="1">
        <f t="array" aca="1" ref="AS421" ca="1">INDEX(OFFSET($AK$19,MATCH($B421,$B$19:$B$150,0)-1,0,COUNTA($B$19:$B$24),COUNTA($AK$17:$BB$17)),MATCH($F421,$F$19:$F$24,0),MATCH(AS$17,$AK$17:$BB$17,0))*INDEX($10:$13,MATCH($O421,$R$10:$R$13,0),COLUMN())</f>
        <v>2.9118800879999996E-4</v>
      </c>
      <c r="AT421" s="1050" cm="1">
        <f t="array" aca="1" ref="AT421" ca="1">INDEX(OFFSET($AK$19,MATCH($B421,$B$19:$B$150,0)-1,0,COUNTA($B$19:$B$24),COUNTA($AK$17:$BB$17)),MATCH($F421,$F$19:$F$24,0),MATCH(AT$17,$AK$17:$BB$17,0))*INDEX($10:$13,MATCH($O421,$R$10:$R$13,0),COLUMN())</f>
        <v>7.433862235E-7</v>
      </c>
      <c r="AU421" s="1050" cm="1">
        <f t="array" aca="1" ref="AU421" ca="1">INDEX(OFFSET($AK$19,MATCH($B421,$B$19:$B$150,0)-1,0,COUNTA($B$19:$B$24),COUNTA($AK$17:$BB$17)),MATCH($F421,$F$19:$F$24,0),MATCH(AU$17,$AK$17:$BB$17,0))*INDEX($10:$13,MATCH($O421,$R$10:$R$13,0),COLUMN())</f>
        <v>1.4553688544000002E-7</v>
      </c>
      <c r="AV421" s="1050" cm="1">
        <f t="array" aca="1" ref="AV421" ca="1">INDEX(OFFSET($AK$19,MATCH($B421,$B$19:$B$150,0)-1,0,COUNTA($B$19:$B$24),COUNTA($AK$17:$BB$17)),MATCH($F421,$F$19:$F$24,0),MATCH(AV$17,$AK$17:$BB$17,0))*INDEX($10:$13,MATCH($O421,$R$10:$R$13,0),COLUMN())</f>
        <v>2.8951048724999997E-3</v>
      </c>
      <c r="AW421" s="1050" cm="1">
        <f t="array" aca="1" ref="AW421" ca="1">INDEX(OFFSET($AK$19,MATCH($B421,$B$19:$B$150,0)-1,0,COUNTA($B$19:$B$24),COUNTA($AK$17:$BB$17)),MATCH($F421,$F$19:$F$24,0),MATCH(AW$17,$AK$17:$BB$17,0))*INDEX($10:$13,MATCH($O421,$R$10:$R$13,0),COLUMN())</f>
        <v>5.1204254999999997E-2</v>
      </c>
      <c r="AX421" s="1050" cm="1">
        <f t="array" aca="1" ref="AX421" ca="1">INDEX(OFFSET($AK$19,MATCH($B421,$B$19:$B$150,0)-1,0,COUNTA($B$19:$B$24),COUNTA($AK$17:$BB$17)),MATCH($F421,$F$19:$F$24,0),MATCH(AX$17,$AK$17:$BB$17,0))*INDEX($10:$13,MATCH($O421,$R$10:$R$13,0),COLUMN())</f>
        <v>1.52507544E-8</v>
      </c>
      <c r="AY421" s="1050" cm="1">
        <f t="array" aca="1" ref="AY421" ca="1">INDEX(OFFSET($AK$19,MATCH($B421,$B$19:$B$150,0)-1,0,COUNTA($B$19:$B$24),COUNTA($AK$17:$BB$17)),MATCH($F421,$F$19:$F$24,0),MATCH(AY$17,$AK$17:$BB$17,0))*INDEX($10:$13,MATCH($O421,$R$10:$R$13,0),COLUMN())</f>
        <v>-3.9305133899999998E-10</v>
      </c>
      <c r="AZ421" s="1050" cm="1">
        <f t="array" aca="1" ref="AZ421" ca="1">INDEX(OFFSET($AK$19,MATCH($B421,$B$19:$B$150,0)-1,0,COUNTA($B$19:$B$24),COUNTA($AK$17:$BB$17)),MATCH($F421,$F$19:$F$24,0),MATCH(AZ$17,$AK$17:$BB$17,0))*INDEX($10:$13,MATCH($O421,$R$10:$R$13,0),COLUMN())</f>
        <v>0</v>
      </c>
      <c r="BA421" s="1050" cm="1">
        <f t="array" aca="1" ref="BA421" ca="1">INDEX(OFFSET($AK$19,MATCH($B421,$B$19:$B$150,0)-1,0,COUNTA($B$19:$B$24),COUNTA($AK$17:$BB$17)),MATCH($F421,$F$19:$F$24,0),MATCH(BA$17,$AK$17:$BB$17,0))*INDEX($10:$13,MATCH($O421,$R$10:$R$13,0),COLUMN())</f>
        <v>0</v>
      </c>
      <c r="BB421" s="1051" cm="1">
        <f t="array" aca="1" ref="BB421" ca="1">INDEX(OFFSET($AK$19,MATCH($B421,$B$19:$B$150,0)-1,0,COUNTA($B$19:$B$24),COUNTA($AK$17:$BB$17)),MATCH($F421,$F$19:$F$24,0),MATCH(BB$17,$AK$17:$BB$17,0))*INDEX($10:$13,MATCH($O421,$R$10:$R$13,0),COLUMN())</f>
        <v>0</v>
      </c>
      <c r="BC421" s="1053">
        <f t="shared" ca="1" si="176"/>
        <v>5.1204269857703058E-2</v>
      </c>
      <c r="BE421" s="1"/>
      <c r="BF421" s="1"/>
      <c r="BG421" s="1"/>
      <c r="BH421" s="1"/>
      <c r="BI421" s="1"/>
      <c r="BJ421" s="1"/>
      <c r="BK421" s="1"/>
      <c r="BL421" s="1"/>
      <c r="BM421" s="1"/>
      <c r="BN421" s="1"/>
      <c r="BO421" s="1"/>
      <c r="BP421" s="1"/>
      <c r="BQ421" s="1"/>
      <c r="BR421" s="1"/>
      <c r="BS421" s="1"/>
      <c r="BT421" s="1"/>
      <c r="BU421" s="1"/>
      <c r="BV421" s="1"/>
      <c r="BW421" s="1"/>
      <c r="BX421" s="1"/>
      <c r="BY421" s="1"/>
      <c r="BZ421" s="1"/>
    </row>
    <row r="422" spans="2:78" ht="12" customHeight="1" outlineLevel="1" x14ac:dyDescent="0.25">
      <c r="B422" s="104" t="s">
        <v>91</v>
      </c>
      <c r="C422" s="104" t="s">
        <v>121</v>
      </c>
      <c r="D422" s="2" t="s">
        <v>132</v>
      </c>
      <c r="E422" s="2" t="s">
        <v>133</v>
      </c>
      <c r="F422" s="105" t="s">
        <v>96</v>
      </c>
      <c r="G422" s="27" t="s">
        <v>1582</v>
      </c>
      <c r="H422" s="106" t="s">
        <v>128</v>
      </c>
      <c r="I422" s="107" t="s">
        <v>1577</v>
      </c>
      <c r="J422" s="147">
        <v>3.8217059399999997</v>
      </c>
      <c r="K422" s="148">
        <v>0.43951000000000001</v>
      </c>
      <c r="L422" s="149">
        <f t="shared" ca="1" si="172"/>
        <v>0.29886898086783381</v>
      </c>
      <c r="M422" s="148">
        <f t="shared" ca="1" si="173"/>
        <v>0.57086590578122165</v>
      </c>
      <c r="N422" s="148">
        <f t="shared" ca="1" si="175"/>
        <v>0.13135590578122164</v>
      </c>
      <c r="O422" s="1062" t="s">
        <v>1584</v>
      </c>
      <c r="P422" s="104"/>
      <c r="R422" s="119"/>
      <c r="S422" s="1072"/>
      <c r="T422" s="1072"/>
      <c r="U422" s="1072"/>
      <c r="V422" s="1072"/>
      <c r="W422" s="1072"/>
      <c r="X422" s="1072"/>
      <c r="Y422" s="1072"/>
      <c r="Z422" s="1072"/>
      <c r="AA422" s="1072"/>
      <c r="AB422" s="1072"/>
      <c r="AC422" s="1072"/>
      <c r="AD422" s="1072"/>
      <c r="AE422" s="1072"/>
      <c r="AF422" s="1072"/>
      <c r="AG422" s="1072"/>
      <c r="AH422" s="1072"/>
      <c r="AI422" s="1072"/>
      <c r="AJ422" s="1073"/>
      <c r="AK422" s="1052" cm="1">
        <f t="array" aca="1" ref="AK422" ca="1">INDEX(OFFSET($AK$19,MATCH($B422,$B$19:$B$150,0)-1,0,COUNTA($B$19:$B$24),COUNTA($AK$17:$BB$17)),MATCH($F422,$F$19:$F$24,0),MATCH(AK$17,$AK$17:$BB$17,0))*INDEX($10:$13,MATCH($O422,$R$10:$R$13,0),COLUMN())</f>
        <v>1.6242703725998852E-2</v>
      </c>
      <c r="AL422" s="1050" cm="1">
        <f t="array" aca="1" ref="AL422" ca="1">INDEX(OFFSET($AK$19,MATCH($B422,$B$19:$B$150,0)-1,0,COUNTA($B$19:$B$24),COUNTA($AK$17:$BB$17)),MATCH($F422,$F$19:$F$24,0),MATCH(AL$17,$AK$17:$BB$17,0))*INDEX($10:$13,MATCH($O422,$R$10:$R$13,0),COLUMN())</f>
        <v>3.0914920920000002E-8</v>
      </c>
      <c r="AM422" s="1050" cm="1">
        <f t="array" aca="1" ref="AM422" ca="1">INDEX(OFFSET($AK$19,MATCH($B422,$B$19:$B$150,0)-1,0,COUNTA($B$19:$B$24),COUNTA($AK$17:$BB$17)),MATCH($F422,$F$19:$F$24,0),MATCH(AM$17,$AK$17:$BB$17,0))*INDEX($10:$13,MATCH($O422,$R$10:$R$13,0),COLUMN())</f>
        <v>5.0803566659999998E-5</v>
      </c>
      <c r="AN422" s="1050" cm="1">
        <f t="array" aca="1" ref="AN422" ca="1">INDEX(OFFSET($AK$19,MATCH($B422,$B$19:$B$150,0)-1,0,COUNTA($B$19:$B$24),COUNTA($AK$17:$BB$17)),MATCH($F422,$F$19:$F$24,0),MATCH(AN$17,$AK$17:$BB$17,0))*INDEX($10:$13,MATCH($O422,$R$10:$R$13,0),COLUMN())</f>
        <v>7.2903342120000003E-4</v>
      </c>
      <c r="AO422" s="1050" cm="1">
        <f t="array" aca="1" ref="AO422" ca="1">INDEX(OFFSET($AK$19,MATCH($B422,$B$19:$B$150,0)-1,0,COUNTA($B$19:$B$24),COUNTA($AK$17:$BB$17)),MATCH($F422,$F$19:$F$24,0),MATCH(AO$17,$AK$17:$BB$17,0))*INDEX($10:$13,MATCH($O422,$R$10:$R$13,0),COLUMN())</f>
        <v>3.17483348E-2</v>
      </c>
      <c r="AP422" s="1050" cm="1">
        <f t="array" aca="1" ref="AP422" ca="1">INDEX(OFFSET($AK$19,MATCH($B422,$B$19:$B$150,0)-1,0,COUNTA($B$19:$B$24),COUNTA($AK$17:$BB$17)),MATCH($F422,$F$19:$F$24,0),MATCH(AP$17,$AK$17:$BB$17,0))*INDEX($10:$13,MATCH($O422,$R$10:$R$13,0),COLUMN())</f>
        <v>3.8799734078E-3</v>
      </c>
      <c r="AQ422" s="1050" cm="1">
        <f t="array" aca="1" ref="AQ422" ca="1">INDEX(OFFSET($AK$19,MATCH($B422,$B$19:$B$150,0)-1,0,COUNTA($B$19:$B$24),COUNTA($AK$17:$BB$17)),MATCH($F422,$F$19:$F$24,0),MATCH(AQ$17,$AK$17:$BB$17,0))*INDEX($10:$13,MATCH($O422,$R$10:$R$13,0),COLUMN())</f>
        <v>3.8223779999999997E-5</v>
      </c>
      <c r="AR422" s="1050" cm="1">
        <f t="array" aca="1" ref="AR422" ca="1">INDEX(OFFSET($AK$19,MATCH($B422,$B$19:$B$150,0)-1,0,COUNTA($B$19:$B$24),COUNTA($AK$17:$BB$17)),MATCH($F422,$F$19:$F$24,0),MATCH(AR$17,$AK$17:$BB$17,0))*INDEX($10:$13,MATCH($O422,$R$10:$R$13,0),COLUMN())</f>
        <v>2.2178821006999999E-2</v>
      </c>
      <c r="AS422" s="1050" cm="1">
        <f t="array" aca="1" ref="AS422" ca="1">INDEX(OFFSET($AK$19,MATCH($B422,$B$19:$B$150,0)-1,0,COUNTA($B$19:$B$24),COUNTA($AK$17:$BB$17)),MATCH($F422,$F$19:$F$24,0),MATCH(AS$17,$AK$17:$BB$17,0))*INDEX($10:$13,MATCH($O422,$R$10:$R$13,0),COLUMN())</f>
        <v>4.8414738059999996E-4</v>
      </c>
      <c r="AT422" s="1050" cm="1">
        <f t="array" aca="1" ref="AT422" ca="1">INDEX(OFFSET($AK$19,MATCH($B422,$B$19:$B$150,0)-1,0,COUNTA($B$19:$B$24),COUNTA($AK$17:$BB$17)),MATCH($F422,$F$19:$F$24,0),MATCH(AT$17,$AK$17:$BB$17,0))*INDEX($10:$13,MATCH($O422,$R$10:$R$13,0),COLUMN())</f>
        <v>8.3076644249999993E-7</v>
      </c>
      <c r="AU422" s="1050" cm="1">
        <f t="array" aca="1" ref="AU422" ca="1">INDEX(OFFSET($AK$19,MATCH($B422,$B$19:$B$150,0)-1,0,COUNTA($B$19:$B$24),COUNTA($AK$17:$BB$17)),MATCH($F422,$F$19:$F$24,0),MATCH(AU$17,$AK$17:$BB$17,0))*INDEX($10:$13,MATCH($O422,$R$10:$R$13,0),COLUMN())</f>
        <v>1.5810789632000002E-7</v>
      </c>
      <c r="AV422" s="1050" cm="1">
        <f t="array" aca="1" ref="AV422" ca="1">INDEX(OFFSET($AK$19,MATCH($B422,$B$19:$B$150,0)-1,0,COUNTA($B$19:$B$24),COUNTA($AK$17:$BB$17)),MATCH($F422,$F$19:$F$24,0),MATCH(AV$17,$AK$17:$BB$17,0))*INDEX($10:$13,MATCH($O422,$R$10:$R$13,0),COLUMN())</f>
        <v>4.7985750449999988E-3</v>
      </c>
      <c r="AW422" s="1050" cm="1">
        <f t="array" aca="1" ref="AW422" ca="1">INDEX(OFFSET($AK$19,MATCH($B422,$B$19:$B$150,0)-1,0,COUNTA($B$19:$B$24),COUNTA($AK$17:$BB$17)),MATCH($F422,$F$19:$F$24,0),MATCH(AW$17,$AK$17:$BB$17,0))*INDEX($10:$13,MATCH($O422,$R$10:$R$13,0),COLUMN())</f>
        <v>5.1204254999999997E-2</v>
      </c>
      <c r="AX422" s="1050" cm="1">
        <f t="array" aca="1" ref="AX422" ca="1">INDEX(OFFSET($AK$19,MATCH($B422,$B$19:$B$150,0)-1,0,COUNTA($B$19:$B$24),COUNTA($AK$17:$BB$17)),MATCH($F422,$F$19:$F$24,0),MATCH(AX$17,$AK$17:$BB$17,0))*INDEX($10:$13,MATCH($O422,$R$10:$R$13,0),COLUMN())</f>
        <v>1.52507544E-8</v>
      </c>
      <c r="AY422" s="1050" cm="1">
        <f t="array" aca="1" ref="AY422" ca="1">INDEX(OFFSET($AK$19,MATCH($B422,$B$19:$B$150,0)-1,0,COUNTA($B$19:$B$24),COUNTA($AK$17:$BB$17)),MATCH($F422,$F$19:$F$24,0),MATCH(AY$17,$AK$17:$BB$17,0))*INDEX($10:$13,MATCH($O422,$R$10:$R$13,0),COLUMN())</f>
        <v>-3.9305133899999998E-10</v>
      </c>
      <c r="AZ422" s="1050" cm="1">
        <f t="array" aca="1" ref="AZ422" ca="1">INDEX(OFFSET($AK$19,MATCH($B422,$B$19:$B$150,0)-1,0,COUNTA($B$19:$B$24),COUNTA($AK$17:$BB$17)),MATCH($F422,$F$19:$F$24,0),MATCH(AZ$17,$AK$17:$BB$17,0))*INDEX($10:$13,MATCH($O422,$R$10:$R$13,0),COLUMN())</f>
        <v>0</v>
      </c>
      <c r="BA422" s="1050" cm="1">
        <f t="array" aca="1" ref="BA422" ca="1">INDEX(OFFSET($AK$19,MATCH($B422,$B$19:$B$150,0)-1,0,COUNTA($B$19:$B$24),COUNTA($AK$17:$BB$17)),MATCH($F422,$F$19:$F$24,0),MATCH(BA$17,$AK$17:$BB$17,0))*INDEX($10:$13,MATCH($O422,$R$10:$R$13,0),COLUMN())</f>
        <v>0</v>
      </c>
      <c r="BB422" s="1051" cm="1">
        <f t="array" aca="1" ref="BB422" ca="1">INDEX(OFFSET($AK$19,MATCH($B422,$B$19:$B$150,0)-1,0,COUNTA($B$19:$B$24),COUNTA($AK$17:$BB$17)),MATCH($F422,$F$19:$F$24,0),MATCH(BB$17,$AK$17:$BB$17,0))*INDEX($10:$13,MATCH($O422,$R$10:$R$13,0),COLUMN())</f>
        <v>0</v>
      </c>
      <c r="BC422" s="1053">
        <f t="shared" ca="1" si="176"/>
        <v>5.1204269857703058E-2</v>
      </c>
      <c r="BE422" s="1"/>
      <c r="BF422" s="1"/>
      <c r="BG422" s="1"/>
      <c r="BH422" s="1"/>
      <c r="BI422" s="1"/>
      <c r="BJ422" s="1"/>
      <c r="BK422" s="1"/>
      <c r="BL422" s="1"/>
      <c r="BM422" s="1"/>
      <c r="BN422" s="1"/>
      <c r="BO422" s="1"/>
      <c r="BP422" s="1"/>
      <c r="BQ422" s="1"/>
      <c r="BR422" s="1"/>
      <c r="BS422" s="1"/>
      <c r="BT422" s="1"/>
      <c r="BU422" s="1"/>
      <c r="BV422" s="1"/>
      <c r="BW422" s="1"/>
      <c r="BX422" s="1"/>
      <c r="BY422" s="1"/>
      <c r="BZ422" s="1"/>
    </row>
    <row r="423" spans="2:78" ht="12" customHeight="1" outlineLevel="1" x14ac:dyDescent="0.25">
      <c r="B423" s="88" t="s">
        <v>97</v>
      </c>
      <c r="C423" s="88" t="s">
        <v>121</v>
      </c>
      <c r="D423" s="89" t="s">
        <v>132</v>
      </c>
      <c r="E423" s="89" t="s">
        <v>134</v>
      </c>
      <c r="F423" s="90" t="s">
        <v>92</v>
      </c>
      <c r="G423" s="18" t="s">
        <v>126</v>
      </c>
      <c r="H423" s="91" t="s">
        <v>127</v>
      </c>
      <c r="I423" s="92" t="s">
        <v>127</v>
      </c>
      <c r="J423" s="142">
        <v>4.0702721800000008</v>
      </c>
      <c r="K423" s="143">
        <v>0.19115317137940699</v>
      </c>
      <c r="L423" s="144">
        <f t="shared" ca="1" si="172"/>
        <v>0.56866075891886225</v>
      </c>
      <c r="M423" s="143">
        <f t="shared" ca="1" si="173"/>
        <v>0.29985447888576788</v>
      </c>
      <c r="N423" s="162">
        <f t="shared" ca="1" si="175"/>
        <v>0.10870130750636092</v>
      </c>
      <c r="O423" s="1060" t="s">
        <v>1584</v>
      </c>
      <c r="P423" s="88"/>
      <c r="Q423" s="89"/>
      <c r="R423" s="150"/>
      <c r="S423" s="1070"/>
      <c r="T423" s="1070"/>
      <c r="U423" s="1070"/>
      <c r="V423" s="1070"/>
      <c r="W423" s="1070"/>
      <c r="X423" s="1070"/>
      <c r="Y423" s="1070"/>
      <c r="Z423" s="1070"/>
      <c r="AA423" s="1070"/>
      <c r="AB423" s="1070"/>
      <c r="AC423" s="1070"/>
      <c r="AD423" s="1070"/>
      <c r="AE423" s="1070"/>
      <c r="AF423" s="1070"/>
      <c r="AG423" s="1070"/>
      <c r="AH423" s="1070"/>
      <c r="AI423" s="1070"/>
      <c r="AJ423" s="1071"/>
      <c r="AK423" s="1048" cm="1">
        <f t="array" aca="1" ref="AK423" ca="1">INDEX(OFFSET($AK$19,MATCH($B423,$B$19:$B$150,0)-1,0,COUNTA($B$19:$B$24),COUNTA($AK$17:$BB$17)),MATCH($F423,$F$19:$F$24,0),MATCH(AK$17,$AK$17:$BB$17,0))*INDEX($10:$13,MATCH($O423,$R$10:$R$13,0),COLUMN())</f>
        <v>2.023784691543979E-2</v>
      </c>
      <c r="AL423" s="1046" cm="1">
        <f t="array" aca="1" ref="AL423" ca="1">INDEX(OFFSET($AK$19,MATCH($B423,$B$19:$B$150,0)-1,0,COUNTA($B$19:$B$24),COUNTA($AK$17:$BB$17)),MATCH($F423,$F$19:$F$24,0),MATCH(AL$17,$AK$17:$BB$17,0))*INDEX($10:$13,MATCH($O423,$R$10:$R$13,0),COLUMN())</f>
        <v>3.8961141960000007E-8</v>
      </c>
      <c r="AM423" s="1046" cm="1">
        <f t="array" aca="1" ref="AM423" ca="1">INDEX(OFFSET($AK$19,MATCH($B423,$B$19:$B$150,0)-1,0,COUNTA($B$19:$B$24),COUNTA($AK$17:$BB$17)),MATCH($F423,$F$19:$F$24,0),MATCH(AM$17,$AK$17:$BB$17,0))*INDEX($10:$13,MATCH($O423,$R$10:$R$13,0),COLUMN())</f>
        <v>6.5588327639999993E-5</v>
      </c>
      <c r="AN423" s="1046" cm="1">
        <f t="array" aca="1" ref="AN423" ca="1">INDEX(OFFSET($AK$19,MATCH($B423,$B$19:$B$150,0)-1,0,COUNTA($B$19:$B$24),COUNTA($AK$17:$BB$17)),MATCH($F423,$F$19:$F$24,0),MATCH(AN$17,$AK$17:$BB$17,0))*INDEX($10:$13,MATCH($O423,$R$10:$R$13,0),COLUMN())</f>
        <v>3.8376002279999998E-4</v>
      </c>
      <c r="AO423" s="1046" cm="1">
        <f t="array" aca="1" ref="AO423" ca="1">INDEX(OFFSET($AK$19,MATCH($B423,$B$19:$B$150,0)-1,0,COUNTA($B$19:$B$24),COUNTA($AK$17:$BB$17)),MATCH($F423,$F$19:$F$24,0),MATCH(AO$17,$AK$17:$BB$17,0))*INDEX($10:$13,MATCH($O423,$R$10:$R$13,0),COLUMN())</f>
        <v>2.103181808E-2</v>
      </c>
      <c r="AP423" s="1046" cm="1">
        <f t="array" aca="1" ref="AP423" ca="1">INDEX(OFFSET($AK$19,MATCH($B423,$B$19:$B$150,0)-1,0,COUNTA($B$19:$B$24),COUNTA($AK$17:$BB$17)),MATCH($F423,$F$19:$F$24,0),MATCH(AP$17,$AK$17:$BB$17,0))*INDEX($10:$13,MATCH($O423,$R$10:$R$13,0),COLUMN())</f>
        <v>2.6338759888000001E-3</v>
      </c>
      <c r="AQ423" s="1046" cm="1">
        <f t="array" aca="1" ref="AQ423" ca="1">INDEX(OFFSET($AK$19,MATCH($B423,$B$19:$B$150,0)-1,0,COUNTA($B$19:$B$24),COUNTA($AK$17:$BB$17)),MATCH($F423,$F$19:$F$24,0),MATCH(AQ$17,$AK$17:$BB$17,0))*INDEX($10:$13,MATCH($O423,$R$10:$R$13,0),COLUMN())</f>
        <v>3.8588352499999998E-5</v>
      </c>
      <c r="AR423" s="1046" cm="1">
        <f t="array" aca="1" ref="AR423" ca="1">INDEX(OFFSET($AK$19,MATCH($B423,$B$19:$B$150,0)-1,0,COUNTA($B$19:$B$24),COUNTA($AK$17:$BB$17)),MATCH($F423,$F$19:$F$24,0),MATCH(AR$17,$AK$17:$BB$17,0))*INDEX($10:$13,MATCH($O423,$R$10:$R$13,0),COLUMN())</f>
        <v>2.0271545086999999E-2</v>
      </c>
      <c r="AS423" s="1046" cm="1">
        <f t="array" aca="1" ref="AS423" ca="1">INDEX(OFFSET($AK$19,MATCH($B423,$B$19:$B$150,0)-1,0,COUNTA($B$19:$B$24),COUNTA($AK$17:$BB$17)),MATCH($F423,$F$19:$F$24,0),MATCH(AS$17,$AK$17:$BB$17,0))*INDEX($10:$13,MATCH($O423,$R$10:$R$13,0),COLUMN())</f>
        <v>1.7900440739999999E-2</v>
      </c>
      <c r="AT423" s="1046" cm="1">
        <f t="array" aca="1" ref="AT423" ca="1">INDEX(OFFSET($AK$19,MATCH($B423,$B$19:$B$150,0)-1,0,COUNTA($B$19:$B$24),COUNTA($AK$17:$BB$17)),MATCH($F423,$F$19:$F$24,0),MATCH(AT$17,$AK$17:$BB$17,0))*INDEX($10:$13,MATCH($O423,$R$10:$R$13,0),COLUMN())</f>
        <v>1.9826356225000001E-5</v>
      </c>
      <c r="AU423" s="1046" cm="1">
        <f t="array" aca="1" ref="AU423" ca="1">INDEX(OFFSET($AK$19,MATCH($B423,$B$19:$B$150,0)-1,0,COUNTA($B$19:$B$24),COUNTA($AK$17:$BB$17)),MATCH($F423,$F$19:$F$24,0),MATCH(AU$17,$AK$17:$BB$17,0))*INDEX($10:$13,MATCH($O423,$R$10:$R$13,0),COLUMN())</f>
        <v>1.1227180223999999E-6</v>
      </c>
      <c r="AV423" s="1046" cm="1">
        <f t="array" aca="1" ref="AV423" ca="1">INDEX(OFFSET($AK$19,MATCH($B423,$B$19:$B$150,0)-1,0,COUNTA($B$19:$B$24),COUNTA($AK$17:$BB$17)),MATCH($F423,$F$19:$F$24,0),MATCH(AV$17,$AK$17:$BB$17,0))*INDEX($10:$13,MATCH($O423,$R$10:$R$13,0),COLUMN())</f>
        <v>9.8866009749999997E-4</v>
      </c>
      <c r="AW423" s="1046" cm="1">
        <f t="array" aca="1" ref="AW423" ca="1">INDEX(OFFSET($AK$19,MATCH($B423,$B$19:$B$150,0)-1,0,COUNTA($B$19:$B$24),COUNTA($AK$17:$BB$17)),MATCH($F423,$F$19:$F$24,0),MATCH(AW$17,$AK$17:$BB$17,0))*INDEX($10:$13,MATCH($O423,$R$10:$R$13,0),COLUMN())</f>
        <v>2.5128140894999998E-2</v>
      </c>
      <c r="AX423" s="1046" cm="1">
        <f t="array" aca="1" ref="AX423" ca="1">INDEX(OFFSET($AK$19,MATCH($B423,$B$19:$B$150,0)-1,0,COUNTA($B$19:$B$24),COUNTA($AK$17:$BB$17)),MATCH($F423,$F$19:$F$24,0),MATCH(AX$17,$AK$17:$BB$17,0))*INDEX($10:$13,MATCH($O423,$R$10:$R$13,0),COLUMN())</f>
        <v>5.6496147599999999E-8</v>
      </c>
      <c r="AY423" s="1046" cm="1">
        <f t="array" aca="1" ref="AY423" ca="1">INDEX(OFFSET($AK$19,MATCH($B423,$B$19:$B$150,0)-1,0,COUNTA($B$19:$B$24),COUNTA($AK$17:$BB$17)),MATCH($F423,$F$19:$F$24,0),MATCH(AY$17,$AK$17:$BB$17,0))*INDEX($10:$13,MATCH($O423,$R$10:$R$13,0),COLUMN())</f>
        <v>-1.5318557943749998E-9</v>
      </c>
      <c r="AZ423" s="1046" cm="1">
        <f t="array" aca="1" ref="AZ423" ca="1">INDEX(OFFSET($AK$19,MATCH($B423,$B$19:$B$150,0)-1,0,COUNTA($B$19:$B$24),COUNTA($AK$17:$BB$17)),MATCH($F423,$F$19:$F$24,0),MATCH(AZ$17,$AK$17:$BB$17,0))*INDEX($10:$13,MATCH($O423,$R$10:$R$13,0),COLUMN())</f>
        <v>0</v>
      </c>
      <c r="BA423" s="1046" cm="1">
        <f t="array" aca="1" ref="BA423" ca="1">INDEX(OFFSET($AK$19,MATCH($B423,$B$19:$B$150,0)-1,0,COUNTA($B$19:$B$24),COUNTA($AK$17:$BB$17)),MATCH($F423,$F$19:$F$24,0),MATCH(BA$17,$AK$17:$BB$17,0))*INDEX($10:$13,MATCH($O423,$R$10:$R$13,0),COLUMN())</f>
        <v>0</v>
      </c>
      <c r="BB423" s="1047" cm="1">
        <f t="array" aca="1" ref="BB423" ca="1">INDEX(OFFSET($AK$19,MATCH($B423,$B$19:$B$150,0)-1,0,COUNTA($B$19:$B$24),COUNTA($AK$17:$BB$17)),MATCH($F423,$F$19:$F$24,0),MATCH(BB$17,$AK$17:$BB$17,0))*INDEX($10:$13,MATCH($O423,$R$10:$R$13,0),COLUMN())</f>
        <v>0</v>
      </c>
      <c r="BC423" s="1049">
        <f t="shared" ca="1" si="176"/>
        <v>2.5128195859291803E-2</v>
      </c>
      <c r="BE423" s="1"/>
      <c r="BF423" s="1"/>
      <c r="BG423" s="1"/>
      <c r="BH423" s="1"/>
      <c r="BI423" s="1"/>
      <c r="BJ423" s="1"/>
      <c r="BK423" s="1"/>
      <c r="BL423" s="1"/>
      <c r="BM423" s="1"/>
      <c r="BN423" s="1"/>
      <c r="BO423" s="1"/>
      <c r="BP423" s="1"/>
      <c r="BQ423" s="1"/>
      <c r="BR423" s="1"/>
      <c r="BS423" s="1"/>
      <c r="BT423" s="1"/>
      <c r="BU423" s="1"/>
      <c r="BV423" s="1"/>
      <c r="BW423" s="1"/>
      <c r="BX423" s="1"/>
      <c r="BY423" s="1"/>
      <c r="BZ423" s="1"/>
    </row>
    <row r="424" spans="2:78" ht="12" customHeight="1" outlineLevel="1" x14ac:dyDescent="0.25">
      <c r="B424" s="104" t="s">
        <v>97</v>
      </c>
      <c r="C424" s="104" t="s">
        <v>121</v>
      </c>
      <c r="D424" s="2" t="s">
        <v>132</v>
      </c>
      <c r="E424" s="2" t="s">
        <v>134</v>
      </c>
      <c r="F424" s="105" t="s">
        <v>122</v>
      </c>
      <c r="G424" s="27" t="s">
        <v>1579</v>
      </c>
      <c r="H424" s="106" t="s">
        <v>128</v>
      </c>
      <c r="I424" s="107" t="s">
        <v>129</v>
      </c>
      <c r="J424" s="147">
        <v>4.0702721800000008</v>
      </c>
      <c r="K424" s="148">
        <v>0.46051038847432407</v>
      </c>
      <c r="L424" s="149">
        <f t="shared" ca="1" si="172"/>
        <v>0.12816954137047648</v>
      </c>
      <c r="M424" s="148">
        <f t="shared" ca="1" si="173"/>
        <v>0.51953379376141817</v>
      </c>
      <c r="N424" s="163">
        <f t="shared" ca="1" si="175"/>
        <v>5.9023405287094072E-2</v>
      </c>
      <c r="O424" s="1061" t="s">
        <v>1584</v>
      </c>
      <c r="P424" s="104"/>
      <c r="R424" s="119"/>
      <c r="S424" s="1072"/>
      <c r="T424" s="1072"/>
      <c r="U424" s="1072"/>
      <c r="V424" s="1072"/>
      <c r="W424" s="1072"/>
      <c r="X424" s="1072"/>
      <c r="Y424" s="1072"/>
      <c r="Z424" s="1072"/>
      <c r="AA424" s="1072"/>
      <c r="AB424" s="1072"/>
      <c r="AC424" s="1072"/>
      <c r="AD424" s="1072"/>
      <c r="AE424" s="1072"/>
      <c r="AF424" s="1072"/>
      <c r="AG424" s="1072"/>
      <c r="AH424" s="1072"/>
      <c r="AI424" s="1072"/>
      <c r="AJ424" s="1073"/>
      <c r="AK424" s="1052" cm="1">
        <f t="array" aca="1" ref="AK424" ca="1">INDEX(OFFSET($AK$19,MATCH($B424,$B$19:$B$150,0)-1,0,COUNTA($B$19:$B$24),COUNTA($AK$17:$BB$17)),MATCH($F424,$F$19:$F$24,0),MATCH(AK$17,$AK$17:$BB$17,0))*INDEX($10:$13,MATCH($O424,$R$10:$R$13,0),COLUMN())</f>
        <v>9.5284694701607137E-3</v>
      </c>
      <c r="AL424" s="1050" cm="1">
        <f t="array" aca="1" ref="AL424" ca="1">INDEX(OFFSET($AK$19,MATCH($B424,$B$19:$B$150,0)-1,0,COUNTA($B$19:$B$24),COUNTA($AK$17:$BB$17)),MATCH($F424,$F$19:$F$24,0),MATCH(AL$17,$AK$17:$BB$17,0))*INDEX($10:$13,MATCH($O424,$R$10:$R$13,0),COLUMN())</f>
        <v>2.1023061033000002E-8</v>
      </c>
      <c r="AM424" s="1050" cm="1">
        <f t="array" aca="1" ref="AM424" ca="1">INDEX(OFFSET($AK$19,MATCH($B424,$B$19:$B$150,0)-1,0,COUNTA($B$19:$B$24),COUNTA($AK$17:$BB$17)),MATCH($F424,$F$19:$F$24,0),MATCH(AM$17,$AK$17:$BB$17,0))*INDEX($10:$13,MATCH($O424,$R$10:$R$13,0),COLUMN())</f>
        <v>3.4538614110000001E-5</v>
      </c>
      <c r="AN424" s="1050" cm="1">
        <f t="array" aca="1" ref="AN424" ca="1">INDEX(OFFSET($AK$19,MATCH($B424,$B$19:$B$150,0)-1,0,COUNTA($B$19:$B$24),COUNTA($AK$17:$BB$17)),MATCH($F424,$F$19:$F$24,0),MATCH(AN$17,$AK$17:$BB$17,0))*INDEX($10:$13,MATCH($O424,$R$10:$R$13,0),COLUMN())</f>
        <v>4.3222966079999996E-4</v>
      </c>
      <c r="AO424" s="1050" cm="1">
        <f t="array" aca="1" ref="AO424" ca="1">INDEX(OFFSET($AK$19,MATCH($B424,$B$19:$B$150,0)-1,0,COUNTA($B$19:$B$24),COUNTA($AK$17:$BB$17)),MATCH($F424,$F$19:$F$24,0),MATCH(AO$17,$AK$17:$BB$17,0))*INDEX($10:$13,MATCH($O424,$R$10:$R$13,0),COLUMN())</f>
        <v>6.3012446000000003E-3</v>
      </c>
      <c r="AP424" s="1050" cm="1">
        <f t="array" aca="1" ref="AP424" ca="1">INDEX(OFFSET($AK$19,MATCH($B424,$B$19:$B$150,0)-1,0,COUNTA($B$19:$B$24),COUNTA($AK$17:$BB$17)),MATCH($F424,$F$19:$F$24,0),MATCH(AP$17,$AK$17:$BB$17,0))*INDEX($10:$13,MATCH($O424,$R$10:$R$13,0),COLUMN())</f>
        <v>4.9210068864000004E-4</v>
      </c>
      <c r="AQ424" s="1050" cm="1">
        <f t="array" aca="1" ref="AQ424" ca="1">INDEX(OFFSET($AK$19,MATCH($B424,$B$19:$B$150,0)-1,0,COUNTA($B$19:$B$24),COUNTA($AK$17:$BB$17)),MATCH($F424,$F$19:$F$24,0),MATCH(AQ$17,$AK$17:$BB$17,0))*INDEX($10:$13,MATCH($O424,$R$10:$R$13,0),COLUMN())</f>
        <v>4.0660940000000002E-6</v>
      </c>
      <c r="AR424" s="1050" cm="1">
        <f t="array" aca="1" ref="AR424" ca="1">INDEX(OFFSET($AK$19,MATCH($B424,$B$19:$B$150,0)-1,0,COUNTA($B$19:$B$24),COUNTA($AK$17:$BB$17)),MATCH($F424,$F$19:$F$24,0),MATCH(AR$17,$AK$17:$BB$17,0))*INDEX($10:$13,MATCH($O424,$R$10:$R$13,0),COLUMN())</f>
        <v>9.9995920189999993E-3</v>
      </c>
      <c r="AS424" s="1050" cm="1">
        <f t="array" aca="1" ref="AS424" ca="1">INDEX(OFFSET($AK$19,MATCH($B424,$B$19:$B$150,0)-1,0,COUNTA($B$19:$B$24),COUNTA($AK$17:$BB$17)),MATCH($F424,$F$19:$F$24,0),MATCH(AS$17,$AK$17:$BB$17,0))*INDEX($10:$13,MATCH($O424,$R$10:$R$13,0),COLUMN())</f>
        <v>1.1208091985999999E-5</v>
      </c>
      <c r="AT424" s="1050" cm="1">
        <f t="array" aca="1" ref="AT424" ca="1">INDEX(OFFSET($AK$19,MATCH($B424,$B$19:$B$150,0)-1,0,COUNTA($B$19:$B$24),COUNTA($AK$17:$BB$17)),MATCH($F424,$F$19:$F$24,0),MATCH(AT$17,$AK$17:$BB$17,0))*INDEX($10:$13,MATCH($O424,$R$10:$R$13,0),COLUMN())</f>
        <v>3.4583135975000006E-7</v>
      </c>
      <c r="AU424" s="1050" cm="1">
        <f t="array" aca="1" ref="AU424" ca="1">INDEX(OFFSET($AK$19,MATCH($B424,$B$19:$B$150,0)-1,0,COUNTA($B$19:$B$24),COUNTA($AK$17:$BB$17)),MATCH($F424,$F$19:$F$24,0),MATCH(AU$17,$AK$17:$BB$17,0))*INDEX($10:$13,MATCH($O424,$R$10:$R$13,0),COLUMN())</f>
        <v>7.3468379072000002E-8</v>
      </c>
      <c r="AV424" s="1050" cm="1">
        <f t="array" aca="1" ref="AV424" ca="1">INDEX(OFFSET($AK$19,MATCH($B424,$B$19:$B$150,0)-1,0,COUNTA($B$19:$B$24),COUNTA($AK$17:$BB$17)),MATCH($F424,$F$19:$F$24,0),MATCH(AV$17,$AK$17:$BB$17,0))*INDEX($10:$13,MATCH($O424,$R$10:$R$13,0),COLUMN())</f>
        <v>-7.9353620749999989E-4</v>
      </c>
      <c r="AW424" s="1050" cm="1">
        <f t="array" aca="1" ref="AW424" ca="1">INDEX(OFFSET($AK$19,MATCH($B424,$B$19:$B$150,0)-1,0,COUNTA($B$19:$B$24),COUNTA($AK$17:$BB$17)),MATCH($F424,$F$19:$F$24,0),MATCH(AW$17,$AK$17:$BB$17,0))*INDEX($10:$13,MATCH($O424,$R$10:$R$13,0),COLUMN())</f>
        <v>3.3013042050000004E-2</v>
      </c>
      <c r="AX424" s="1050" cm="1">
        <f t="array" aca="1" ref="AX424" ca="1">INDEX(OFFSET($AK$19,MATCH($B424,$B$19:$B$150,0)-1,0,COUNTA($B$19:$B$24),COUNTA($AK$17:$BB$17)),MATCH($F424,$F$19:$F$24,0),MATCH(AX$17,$AK$17:$BB$17,0))*INDEX($10:$13,MATCH($O424,$R$10:$R$13,0),COLUMN())</f>
        <v>1.0144548719999999E-8</v>
      </c>
      <c r="AY424" s="1050" cm="1">
        <f t="array" aca="1" ref="AY424" ca="1">INDEX(OFFSET($AK$19,MATCH($B424,$B$19:$B$150,0)-1,0,COUNTA($B$19:$B$24),COUNTA($AK$17:$BB$17)),MATCH($F424,$F$19:$F$24,0),MATCH(AY$17,$AK$17:$BB$17,0))*INDEX($10:$13,MATCH($O424,$R$10:$R$13,0),COLUMN())</f>
        <v>-2.6145122906249997E-10</v>
      </c>
      <c r="AZ424" s="1050" cm="1">
        <f t="array" aca="1" ref="AZ424" ca="1">INDEX(OFFSET($AK$19,MATCH($B424,$B$19:$B$150,0)-1,0,COUNTA($B$19:$B$24),COUNTA($AK$17:$BB$17)),MATCH($F424,$F$19:$F$24,0),MATCH(AZ$17,$AK$17:$BB$17,0))*INDEX($10:$13,MATCH($O424,$R$10:$R$13,0),COLUMN())</f>
        <v>0</v>
      </c>
      <c r="BA424" s="1050" cm="1">
        <f t="array" aca="1" ref="BA424" ca="1">INDEX(OFFSET($AK$19,MATCH($B424,$B$19:$B$150,0)-1,0,COUNTA($B$19:$B$24),COUNTA($AK$17:$BB$17)),MATCH($F424,$F$19:$F$24,0),MATCH(BA$17,$AK$17:$BB$17,0))*INDEX($10:$13,MATCH($O424,$R$10:$R$13,0),COLUMN())</f>
        <v>0</v>
      </c>
      <c r="BB424" s="1051" cm="1">
        <f t="array" aca="1" ref="BB424" ca="1">INDEX(OFFSET($AK$19,MATCH($B424,$B$19:$B$150,0)-1,0,COUNTA($B$19:$B$24),COUNTA($AK$17:$BB$17)),MATCH($F424,$F$19:$F$24,0),MATCH(BB$17,$AK$17:$BB$17,0))*INDEX($10:$13,MATCH($O424,$R$10:$R$13,0),COLUMN())</f>
        <v>0</v>
      </c>
      <c r="BC424" s="1053">
        <f t="shared" ca="1" si="176"/>
        <v>3.3013051933097497E-2</v>
      </c>
      <c r="BE424" s="1"/>
      <c r="BF424" s="1"/>
      <c r="BG424" s="1"/>
      <c r="BH424" s="1"/>
      <c r="BI424" s="1"/>
      <c r="BJ424" s="1"/>
      <c r="BK424" s="1"/>
      <c r="BL424" s="1"/>
      <c r="BM424" s="1"/>
      <c r="BN424" s="1"/>
      <c r="BO424" s="1"/>
      <c r="BP424" s="1"/>
      <c r="BQ424" s="1"/>
      <c r="BR424" s="1"/>
      <c r="BS424" s="1"/>
      <c r="BT424" s="1"/>
      <c r="BU424" s="1"/>
      <c r="BV424" s="1"/>
      <c r="BW424" s="1"/>
      <c r="BX424" s="1"/>
      <c r="BY424" s="1"/>
      <c r="BZ424" s="1"/>
    </row>
    <row r="425" spans="2:78" ht="12" customHeight="1" outlineLevel="1" x14ac:dyDescent="0.25">
      <c r="B425" s="104" t="s">
        <v>97</v>
      </c>
      <c r="C425" s="104" t="s">
        <v>121</v>
      </c>
      <c r="D425" s="2" t="s">
        <v>132</v>
      </c>
      <c r="E425" s="2" t="s">
        <v>134</v>
      </c>
      <c r="F425" s="105" t="s">
        <v>93</v>
      </c>
      <c r="G425" s="27" t="s">
        <v>1578</v>
      </c>
      <c r="H425" s="106" t="s">
        <v>130</v>
      </c>
      <c r="I425" s="107" t="s">
        <v>129</v>
      </c>
      <c r="J425" s="147">
        <v>4.0702721800000008</v>
      </c>
      <c r="K425" s="148">
        <v>0.46051038847432407</v>
      </c>
      <c r="L425" s="149">
        <f t="shared" ca="1" si="172"/>
        <v>0.16095155507778899</v>
      </c>
      <c r="M425" s="148">
        <f t="shared" ca="1" si="173"/>
        <v>0.53463025162874322</v>
      </c>
      <c r="N425" s="163">
        <f t="shared" ca="1" si="175"/>
        <v>7.411986315441918E-2</v>
      </c>
      <c r="O425" s="1061" t="s">
        <v>1584</v>
      </c>
      <c r="P425" s="104"/>
      <c r="R425" s="119"/>
      <c r="S425" s="1072"/>
      <c r="T425" s="1072"/>
      <c r="U425" s="1072"/>
      <c r="V425" s="1072"/>
      <c r="W425" s="1072"/>
      <c r="X425" s="1072"/>
      <c r="Y425" s="1072"/>
      <c r="Z425" s="1072"/>
      <c r="AA425" s="1072"/>
      <c r="AB425" s="1072"/>
      <c r="AC425" s="1072"/>
      <c r="AD425" s="1072"/>
      <c r="AE425" s="1072"/>
      <c r="AF425" s="1072"/>
      <c r="AG425" s="1072"/>
      <c r="AH425" s="1072"/>
      <c r="AI425" s="1072"/>
      <c r="AJ425" s="1073"/>
      <c r="AK425" s="1052" cm="1">
        <f t="array" aca="1" ref="AK425" ca="1">INDEX(OFFSET($AK$19,MATCH($B425,$B$19:$B$150,0)-1,0,COUNTA($B$19:$B$24),COUNTA($AK$17:$BB$17)),MATCH($F425,$F$19:$F$24,0),MATCH(AK$17,$AK$17:$BB$17,0))*INDEX($10:$13,MATCH($O425,$R$10:$R$13,0),COLUMN())</f>
        <v>1.1916423586891918E-2</v>
      </c>
      <c r="AL425" s="1050" cm="1">
        <f t="array" aca="1" ref="AL425" ca="1">INDEX(OFFSET($AK$19,MATCH($B425,$B$19:$B$150,0)-1,0,COUNTA($B$19:$B$24),COUNTA($AK$17:$BB$17)),MATCH($F425,$F$19:$F$24,0),MATCH(AL$17,$AK$17:$BB$17,0))*INDEX($10:$13,MATCH($O425,$R$10:$R$13,0),COLUMN())</f>
        <v>2.6291702580000003E-8</v>
      </c>
      <c r="AM425" s="1050" cm="1">
        <f t="array" aca="1" ref="AM425" ca="1">INDEX(OFFSET($AK$19,MATCH($B425,$B$19:$B$150,0)-1,0,COUNTA($B$19:$B$24),COUNTA($AK$17:$BB$17)),MATCH($F425,$F$19:$F$24,0),MATCH(AM$17,$AK$17:$BB$17,0))*INDEX($10:$13,MATCH($O425,$R$10:$R$13,0),COLUMN())</f>
        <v>4.3194420720000003E-5</v>
      </c>
      <c r="AN425" s="1050" cm="1">
        <f t="array" aca="1" ref="AN425" ca="1">INDEX(OFFSET($AK$19,MATCH($B425,$B$19:$B$150,0)-1,0,COUNTA($B$19:$B$24),COUNTA($AK$17:$BB$17)),MATCH($F425,$F$19:$F$24,0),MATCH(AN$17,$AK$17:$BB$17,0))*INDEX($10:$13,MATCH($O425,$R$10:$R$13,0),COLUMN())</f>
        <v>5.4055182719999991E-4</v>
      </c>
      <c r="AO425" s="1050" cm="1">
        <f t="array" aca="1" ref="AO425" ca="1">INDEX(OFFSET($AK$19,MATCH($B425,$B$19:$B$150,0)-1,0,COUNTA($B$19:$B$24),COUNTA($AK$17:$BB$17)),MATCH($F425,$F$19:$F$24,0),MATCH(AO$17,$AK$17:$BB$17,0))*INDEX($10:$13,MATCH($O425,$R$10:$R$13,0),COLUMN())</f>
        <v>7.8804154799999998E-3</v>
      </c>
      <c r="AP425" s="1050" cm="1">
        <f t="array" aca="1" ref="AP425" ca="1">INDEX(OFFSET($AK$19,MATCH($B425,$B$19:$B$150,0)-1,0,COUNTA($B$19:$B$24),COUNTA($AK$17:$BB$17)),MATCH($F425,$F$19:$F$24,0),MATCH(AP$17,$AK$17:$BB$17,0))*INDEX($10:$13,MATCH($O425,$R$10:$R$13,0),COLUMN())</f>
        <v>6.1542731140000007E-4</v>
      </c>
      <c r="AQ425" s="1050" cm="1">
        <f t="array" aca="1" ref="AQ425" ca="1">INDEX(OFFSET($AK$19,MATCH($B425,$B$19:$B$150,0)-1,0,COUNTA($B$19:$B$24),COUNTA($AK$17:$BB$17)),MATCH($F425,$F$19:$F$24,0),MATCH(AQ$17,$AK$17:$BB$17,0))*INDEX($10:$13,MATCH($O425,$R$10:$R$13,0),COLUMN())</f>
        <v>5.085108E-6</v>
      </c>
      <c r="AR425" s="1050" cm="1">
        <f t="array" aca="1" ref="AR425" ca="1">INDEX(OFFSET($AK$19,MATCH($B425,$B$19:$B$150,0)-1,0,COUNTA($B$19:$B$24),COUNTA($AK$17:$BB$17)),MATCH($F425,$F$19:$F$24,0),MATCH(AR$17,$AK$17:$BB$17,0))*INDEX($10:$13,MATCH($O425,$R$10:$R$13,0),COLUMN())</f>
        <v>1.2505615091E-2</v>
      </c>
      <c r="AS425" s="1050" cm="1">
        <f t="array" aca="1" ref="AS425" ca="1">INDEX(OFFSET($AK$19,MATCH($B425,$B$19:$B$150,0)-1,0,COUNTA($B$19:$B$24),COUNTA($AK$17:$BB$17)),MATCH($F425,$F$19:$F$24,0),MATCH(AS$17,$AK$17:$BB$17,0))*INDEX($10:$13,MATCH($O425,$R$10:$R$13,0),COLUMN())</f>
        <v>1.9747804049999998E-5</v>
      </c>
      <c r="AT425" s="1050" cm="1">
        <f t="array" aca="1" ref="AT425" ca="1">INDEX(OFFSET($AK$19,MATCH($B425,$B$19:$B$150,0)-1,0,COUNTA($B$19:$B$24),COUNTA($AK$17:$BB$17)),MATCH($F425,$F$19:$F$24,0),MATCH(AT$17,$AK$17:$BB$17,0))*INDEX($10:$13,MATCH($O425,$R$10:$R$13,0),COLUMN())</f>
        <v>4.3429563620000001E-7</v>
      </c>
      <c r="AU425" s="1050" cm="1">
        <f t="array" aca="1" ref="AU425" ca="1">INDEX(OFFSET($AK$19,MATCH($B425,$B$19:$B$150,0)-1,0,COUNTA($B$19:$B$24),COUNTA($AK$17:$BB$17)),MATCH($F425,$F$19:$F$24,0),MATCH(AU$17,$AK$17:$BB$17,0))*INDEX($10:$13,MATCH($O425,$R$10:$R$13,0),COLUMN())</f>
        <v>9.2084392928000005E-8</v>
      </c>
      <c r="AV425" s="1050" cm="1">
        <f t="array" aca="1" ref="AV425" ca="1">INDEX(OFFSET($AK$19,MATCH($B425,$B$19:$B$150,0)-1,0,COUNTA($B$19:$B$24),COUNTA($AK$17:$BB$17)),MATCH($F425,$F$19:$F$24,0),MATCH(AV$17,$AK$17:$BB$17,0))*INDEX($10:$13,MATCH($O425,$R$10:$R$13,0),COLUMN())</f>
        <v>-6.9368720649999995E-4</v>
      </c>
      <c r="AW425" s="1050" cm="1">
        <f t="array" aca="1" ref="AW425" ca="1">INDEX(OFFSET($AK$19,MATCH($B425,$B$19:$B$150,0)-1,0,COUNTA($B$19:$B$24),COUNTA($AK$17:$BB$17)),MATCH($F425,$F$19:$F$24,0),MATCH(AW$17,$AK$17:$BB$17,0))*INDEX($10:$13,MATCH($O425,$R$10:$R$13,0),COLUMN())</f>
        <v>4.1286524699999994E-2</v>
      </c>
      <c r="AX425" s="1050" cm="1">
        <f t="array" aca="1" ref="AX425" ca="1">INDEX(OFFSET($AK$19,MATCH($B425,$B$19:$B$150,0)-1,0,COUNTA($B$19:$B$24),COUNTA($AK$17:$BB$17)),MATCH($F425,$F$19:$F$24,0),MATCH(AX$17,$AK$17:$BB$17,0))*INDEX($10:$13,MATCH($O425,$R$10:$R$13,0),COLUMN())</f>
        <v>1.2686899739999999E-8</v>
      </c>
      <c r="AY425" s="1050" cm="1">
        <f t="array" aca="1" ref="AY425" ca="1">INDEX(OFFSET($AK$19,MATCH($B425,$B$19:$B$150,0)-1,0,COUNTA($B$19:$B$24),COUNTA($AK$17:$BB$17)),MATCH($F425,$F$19:$F$24,0),MATCH(AY$17,$AK$17:$BB$17,0))*INDEX($10:$13,MATCH($O425,$R$10:$R$13,0),COLUMN())</f>
        <v>-3.2697417712499995E-10</v>
      </c>
      <c r="AZ425" s="1050" cm="1">
        <f t="array" aca="1" ref="AZ425" ca="1">INDEX(OFFSET($AK$19,MATCH($B425,$B$19:$B$150,0)-1,0,COUNTA($B$19:$B$24),COUNTA($AK$17:$BB$17)),MATCH($F425,$F$19:$F$24,0),MATCH(AZ$17,$AK$17:$BB$17,0))*INDEX($10:$13,MATCH($O425,$R$10:$R$13,0),COLUMN())</f>
        <v>0</v>
      </c>
      <c r="BA425" s="1050" cm="1">
        <f t="array" aca="1" ref="BA425" ca="1">INDEX(OFFSET($AK$19,MATCH($B425,$B$19:$B$150,0)-1,0,COUNTA($B$19:$B$24),COUNTA($AK$17:$BB$17)),MATCH($F425,$F$19:$F$24,0),MATCH(BA$17,$AK$17:$BB$17,0))*INDEX($10:$13,MATCH($O425,$R$10:$R$13,0),COLUMN())</f>
        <v>0</v>
      </c>
      <c r="BB425" s="1051" cm="1">
        <f t="array" aca="1" ref="BB425" ca="1">INDEX(OFFSET($AK$19,MATCH($B425,$B$19:$B$150,0)-1,0,COUNTA($B$19:$B$24),COUNTA($AK$17:$BB$17)),MATCH($F425,$F$19:$F$24,0),MATCH(BB$17,$AK$17:$BB$17,0))*INDEX($10:$13,MATCH($O425,$R$10:$R$13,0),COLUMN())</f>
        <v>0</v>
      </c>
      <c r="BC425" s="1053">
        <f t="shared" ca="1" si="176"/>
        <v>4.1286537059925556E-2</v>
      </c>
      <c r="BE425" s="1"/>
      <c r="BF425" s="1"/>
      <c r="BG425" s="1"/>
      <c r="BH425" s="1"/>
      <c r="BI425" s="1"/>
      <c r="BJ425" s="1"/>
      <c r="BK425" s="1"/>
      <c r="BL425" s="1"/>
      <c r="BM425" s="1"/>
      <c r="BN425" s="1"/>
      <c r="BO425" s="1"/>
      <c r="BP425" s="1"/>
      <c r="BQ425" s="1"/>
      <c r="BR425" s="1"/>
      <c r="BS425" s="1"/>
      <c r="BT425" s="1"/>
      <c r="BU425" s="1"/>
      <c r="BV425" s="1"/>
      <c r="BW425" s="1"/>
      <c r="BX425" s="1"/>
      <c r="BY425" s="1"/>
      <c r="BZ425" s="1"/>
    </row>
    <row r="426" spans="2:78" ht="12" customHeight="1" outlineLevel="1" x14ac:dyDescent="0.25">
      <c r="B426" s="104" t="s">
        <v>97</v>
      </c>
      <c r="C426" s="104" t="s">
        <v>121</v>
      </c>
      <c r="D426" s="2" t="s">
        <v>132</v>
      </c>
      <c r="E426" s="2" t="s">
        <v>134</v>
      </c>
      <c r="F426" s="105" t="s">
        <v>94</v>
      </c>
      <c r="G426" s="27" t="s">
        <v>1580</v>
      </c>
      <c r="H426" s="106" t="s">
        <v>131</v>
      </c>
      <c r="I426" s="107" t="s">
        <v>129</v>
      </c>
      <c r="J426" s="147">
        <v>4.0702721800000008</v>
      </c>
      <c r="K426" s="148">
        <v>0.46051038847432407</v>
      </c>
      <c r="L426" s="149">
        <f t="shared" ca="1" si="172"/>
        <v>0.10633103149776713</v>
      </c>
      <c r="M426" s="148">
        <f t="shared" ca="1" si="173"/>
        <v>0.50947693309623643</v>
      </c>
      <c r="N426" s="148">
        <f t="shared" ca="1" si="175"/>
        <v>4.8966544621912328E-2</v>
      </c>
      <c r="O426" s="1062" t="s">
        <v>1584</v>
      </c>
      <c r="P426" s="104"/>
      <c r="R426" s="119"/>
      <c r="S426" s="1072"/>
      <c r="T426" s="1072"/>
      <c r="U426" s="1072"/>
      <c r="V426" s="1072"/>
      <c r="W426" s="1072"/>
      <c r="X426" s="1072"/>
      <c r="Y426" s="1072"/>
      <c r="Z426" s="1072"/>
      <c r="AA426" s="1072"/>
      <c r="AB426" s="1072"/>
      <c r="AC426" s="1072"/>
      <c r="AD426" s="1072"/>
      <c r="AE426" s="1072"/>
      <c r="AF426" s="1072"/>
      <c r="AG426" s="1072"/>
      <c r="AH426" s="1072"/>
      <c r="AI426" s="1072"/>
      <c r="AJ426" s="1073"/>
      <c r="AK426" s="1052" cm="1">
        <f t="array" aca="1" ref="AK426" ca="1">INDEX(OFFSET($AK$19,MATCH($B426,$B$19:$B$150,0)-1,0,COUNTA($B$19:$B$24),COUNTA($AK$17:$BB$17)),MATCH($F426,$F$19:$F$24,0),MATCH(AK$17,$AK$17:$BB$17,0))*INDEX($10:$13,MATCH($O426,$R$10:$R$13,0),COLUMN())</f>
        <v>7.9376746263544948E-3</v>
      </c>
      <c r="AL426" s="1050" cm="1">
        <f t="array" aca="1" ref="AL426" ca="1">INDEX(OFFSET($AK$19,MATCH($B426,$B$19:$B$150,0)-1,0,COUNTA($B$19:$B$24),COUNTA($AK$17:$BB$17)),MATCH($F426,$F$19:$F$24,0),MATCH(AL$17,$AK$17:$BB$17,0))*INDEX($10:$13,MATCH($O426,$R$10:$R$13,0),COLUMN())</f>
        <v>1.7513224118000002E-8</v>
      </c>
      <c r="AM426" s="1050" cm="1">
        <f t="array" aca="1" ref="AM426" ca="1">INDEX(OFFSET($AK$19,MATCH($B426,$B$19:$B$150,0)-1,0,COUNTA($B$19:$B$24),COUNTA($AK$17:$BB$17)),MATCH($F426,$F$19:$F$24,0),MATCH(AM$17,$AK$17:$BB$17,0))*INDEX($10:$13,MATCH($O426,$R$10:$R$13,0),COLUMN())</f>
        <v>2.8772330895000001E-5</v>
      </c>
      <c r="AN426" s="1050" cm="1">
        <f t="array" aca="1" ref="AN426" ca="1">INDEX(OFFSET($AK$19,MATCH($B426,$B$19:$B$150,0)-1,0,COUNTA($B$19:$B$24),COUNTA($AK$17:$BB$17)),MATCH($F426,$F$19:$F$24,0),MATCH(AN$17,$AK$17:$BB$17,0))*INDEX($10:$13,MATCH($O426,$R$10:$R$13,0),COLUMN())</f>
        <v>3.6006815880000001E-4</v>
      </c>
      <c r="AO426" s="1050" cm="1">
        <f t="array" aca="1" ref="AO426" ca="1">INDEX(OFFSET($AK$19,MATCH($B426,$B$19:$B$150,0)-1,0,COUNTA($B$19:$B$24),COUNTA($AK$17:$BB$17)),MATCH($F426,$F$19:$F$24,0),MATCH(AO$17,$AK$17:$BB$17,0))*INDEX($10:$13,MATCH($O426,$R$10:$R$13,0),COLUMN())</f>
        <v>5.2492406399999997E-3</v>
      </c>
      <c r="AP426" s="1050" cm="1">
        <f t="array" aca="1" ref="AP426" ca="1">INDEX(OFFSET($AK$19,MATCH($B426,$B$19:$B$150,0)-1,0,COUNTA($B$19:$B$24),COUNTA($AK$17:$BB$17)),MATCH($F426,$F$19:$F$24,0),MATCH(AP$17,$AK$17:$BB$17,0))*INDEX($10:$13,MATCH($O426,$R$10:$R$13,0),COLUMN())</f>
        <v>4.0994361774000001E-4</v>
      </c>
      <c r="AQ426" s="1050" cm="1">
        <f t="array" aca="1" ref="AQ426" ca="1">INDEX(OFFSET($AK$19,MATCH($B426,$B$19:$B$150,0)-1,0,COUNTA($B$19:$B$24),COUNTA($AK$17:$BB$17)),MATCH($F426,$F$19:$F$24,0),MATCH(AQ$17,$AK$17:$BB$17,0))*INDEX($10:$13,MATCH($O426,$R$10:$R$13,0),COLUMN())</f>
        <v>3.3872524999999998E-6</v>
      </c>
      <c r="AR426" s="1050" cm="1">
        <f t="array" aca="1" ref="AR426" ca="1">INDEX(OFFSET($AK$19,MATCH($B426,$B$19:$B$150,0)-1,0,COUNTA($B$19:$B$24),COUNTA($AK$17:$BB$17)),MATCH($F426,$F$19:$F$24,0),MATCH(AR$17,$AK$17:$BB$17,0))*INDEX($10:$13,MATCH($O426,$R$10:$R$13,0),COLUMN())</f>
        <v>8.3301424639999986E-3</v>
      </c>
      <c r="AS426" s="1050" cm="1">
        <f t="array" aca="1" ref="AS426" ca="1">INDEX(OFFSET($AK$19,MATCH($B426,$B$19:$B$150,0)-1,0,COUNTA($B$19:$B$24),COUNTA($AK$17:$BB$17)),MATCH($F426,$F$19:$F$24,0),MATCH(AS$17,$AK$17:$BB$17,0))*INDEX($10:$13,MATCH($O426,$R$10:$R$13,0),COLUMN())</f>
        <v>5.5195096319999996E-6</v>
      </c>
      <c r="AT426" s="1050" cm="1">
        <f t="array" aca="1" ref="AT426" ca="1">INDEX(OFFSET($AK$19,MATCH($B426,$B$19:$B$150,0)-1,0,COUNTA($B$19:$B$24),COUNTA($AK$17:$BB$17)),MATCH($F426,$F$19:$F$24,0),MATCH(AT$17,$AK$17:$BB$17,0))*INDEX($10:$13,MATCH($O426,$R$10:$R$13,0),COLUMN())</f>
        <v>2.8689879635000003E-7</v>
      </c>
      <c r="AU426" s="1050" cm="1">
        <f t="array" aca="1" ref="AU426" ca="1">INDEX(OFFSET($AK$19,MATCH($B426,$B$19:$B$150,0)-1,0,COUNTA($B$19:$B$24),COUNTA($AK$17:$BB$17)),MATCH($F426,$F$19:$F$24,0),MATCH(AU$17,$AK$17:$BB$17,0))*INDEX($10:$13,MATCH($O426,$R$10:$R$13,0),COLUMN())</f>
        <v>6.1066873216000008E-8</v>
      </c>
      <c r="AV426" s="1050" cm="1">
        <f t="array" aca="1" ref="AV426" ca="1">INDEX(OFFSET($AK$19,MATCH($B426,$B$19:$B$150,0)-1,0,COUNTA($B$19:$B$24),COUNTA($AK$17:$BB$17)),MATCH($F426,$F$19:$F$24,0),MATCH(AV$17,$AK$17:$BB$17,0))*INDEX($10:$13,MATCH($O426,$R$10:$R$13,0),COLUMN())</f>
        <v>-8.6003443999999984E-4</v>
      </c>
      <c r="AW426" s="1050" cm="1">
        <f t="array" aca="1" ref="AW426" ca="1">INDEX(OFFSET($AK$19,MATCH($B426,$B$19:$B$150,0)-1,0,COUNTA($B$19:$B$24),COUNTA($AK$17:$BB$17)),MATCH($F426,$F$19:$F$24,0),MATCH(AW$17,$AK$17:$BB$17,0))*INDEX($10:$13,MATCH($O426,$R$10:$R$13,0),COLUMN())</f>
        <v>2.7501456749999997E-2</v>
      </c>
      <c r="AX426" s="1050" cm="1">
        <f t="array" aca="1" ref="AX426" ca="1">INDEX(OFFSET($AK$19,MATCH($B426,$B$19:$B$150,0)-1,0,COUNTA($B$19:$B$24),COUNTA($AK$17:$BB$17)),MATCH($F426,$F$19:$F$24,0),MATCH(AX$17,$AK$17:$BB$17,0))*INDEX($10:$13,MATCH($O426,$R$10:$R$13,0),COLUMN())</f>
        <v>8.4508986449999999E-9</v>
      </c>
      <c r="AY426" s="1050" cm="1">
        <f t="array" aca="1" ref="AY426" ca="1">INDEX(OFFSET($AK$19,MATCH($B426,$B$19:$B$150,0)-1,0,COUNTA($B$19:$B$24),COUNTA($AK$17:$BB$17)),MATCH($F426,$F$19:$F$24,0),MATCH(AY$17,$AK$17:$BB$17,0))*INDEX($10:$13,MATCH($O426,$R$10:$R$13,0),COLUMN())</f>
        <v>-2.17801486125E-10</v>
      </c>
      <c r="AZ426" s="1050" cm="1">
        <f t="array" aca="1" ref="AZ426" ca="1">INDEX(OFFSET($AK$19,MATCH($B426,$B$19:$B$150,0)-1,0,COUNTA($B$19:$B$24),COUNTA($AK$17:$BB$17)),MATCH($F426,$F$19:$F$24,0),MATCH(AZ$17,$AK$17:$BB$17,0))*INDEX($10:$13,MATCH($O426,$R$10:$R$13,0),COLUMN())</f>
        <v>0</v>
      </c>
      <c r="BA426" s="1050" cm="1">
        <f t="array" aca="1" ref="BA426" ca="1">INDEX(OFFSET($AK$19,MATCH($B426,$B$19:$B$150,0)-1,0,COUNTA($B$19:$B$24),COUNTA($AK$17:$BB$17)),MATCH($F426,$F$19:$F$24,0),MATCH(BA$17,$AK$17:$BB$17,0))*INDEX($10:$13,MATCH($O426,$R$10:$R$13,0),COLUMN())</f>
        <v>0</v>
      </c>
      <c r="BB426" s="1051" cm="1">
        <f t="array" aca="1" ref="BB426" ca="1">INDEX(OFFSET($AK$19,MATCH($B426,$B$19:$B$150,0)-1,0,COUNTA($B$19:$B$24),COUNTA($AK$17:$BB$17)),MATCH($F426,$F$19:$F$24,0),MATCH(BB$17,$AK$17:$BB$17,0))*INDEX($10:$13,MATCH($O426,$R$10:$R$13,0),COLUMN())</f>
        <v>0</v>
      </c>
      <c r="BC426" s="1053">
        <f t="shared" ca="1" si="176"/>
        <v>2.7501464983097156E-2</v>
      </c>
      <c r="BE426" s="1"/>
      <c r="BF426" s="1"/>
      <c r="BG426" s="1"/>
      <c r="BH426" s="1"/>
      <c r="BI426" s="1"/>
      <c r="BJ426" s="1"/>
      <c r="BK426" s="1"/>
      <c r="BL426" s="1"/>
      <c r="BM426" s="1"/>
      <c r="BN426" s="1"/>
      <c r="BO426" s="1"/>
      <c r="BP426" s="1"/>
      <c r="BQ426" s="1"/>
      <c r="BR426" s="1"/>
      <c r="BS426" s="1"/>
      <c r="BT426" s="1"/>
      <c r="BU426" s="1"/>
      <c r="BV426" s="1"/>
      <c r="BW426" s="1"/>
      <c r="BX426" s="1"/>
      <c r="BY426" s="1"/>
      <c r="BZ426" s="1"/>
    </row>
    <row r="427" spans="2:78" ht="12" customHeight="1" outlineLevel="1" x14ac:dyDescent="0.25">
      <c r="B427" s="104" t="s">
        <v>97</v>
      </c>
      <c r="C427" s="104" t="s">
        <v>121</v>
      </c>
      <c r="D427" s="2" t="s">
        <v>132</v>
      </c>
      <c r="E427" s="2" t="s">
        <v>134</v>
      </c>
      <c r="F427" s="105" t="s">
        <v>95</v>
      </c>
      <c r="G427" s="27" t="s">
        <v>1581</v>
      </c>
      <c r="H427" s="106" t="s">
        <v>128</v>
      </c>
      <c r="I427" s="107" t="s">
        <v>127</v>
      </c>
      <c r="J427" s="147">
        <v>4.0702721800000008</v>
      </c>
      <c r="K427" s="148">
        <v>0.46051038847432407</v>
      </c>
      <c r="L427" s="149">
        <f t="shared" ca="1" si="172"/>
        <v>0.16004244619394073</v>
      </c>
      <c r="M427" s="148">
        <f t="shared" ca="1" si="173"/>
        <v>0.5342115975434768</v>
      </c>
      <c r="N427" s="148">
        <f t="shared" ca="1" si="175"/>
        <v>7.3701209069152757E-2</v>
      </c>
      <c r="O427" s="1062" t="s">
        <v>1584</v>
      </c>
      <c r="P427" s="104"/>
      <c r="R427" s="119"/>
      <c r="S427" s="1072"/>
      <c r="T427" s="1072"/>
      <c r="U427" s="1072"/>
      <c r="V427" s="1072"/>
      <c r="W427" s="1072"/>
      <c r="X427" s="1072"/>
      <c r="Y427" s="1072"/>
      <c r="Z427" s="1072"/>
      <c r="AA427" s="1072"/>
      <c r="AB427" s="1072"/>
      <c r="AC427" s="1072"/>
      <c r="AD427" s="1072"/>
      <c r="AE427" s="1072"/>
      <c r="AF427" s="1072"/>
      <c r="AG427" s="1072"/>
      <c r="AH427" s="1072"/>
      <c r="AI427" s="1072"/>
      <c r="AJ427" s="1073"/>
      <c r="AK427" s="1052" cm="1">
        <f t="array" aca="1" ref="AK427" ca="1">INDEX(OFFSET($AK$19,MATCH($B427,$B$19:$B$150,0)-1,0,COUNTA($B$19:$B$24),COUNTA($AK$17:$BB$17)),MATCH($F427,$F$19:$F$24,0),MATCH(AK$17,$AK$17:$BB$17,0))*INDEX($10:$13,MATCH($O427,$R$10:$R$13,0),COLUMN())</f>
        <v>1.0742676818918726E-2</v>
      </c>
      <c r="AL427" s="1050" cm="1">
        <f t="array" aca="1" ref="AL427" ca="1">INDEX(OFFSET($AK$19,MATCH($B427,$B$19:$B$150,0)-1,0,COUNTA($B$19:$B$24),COUNTA($AK$17:$BB$17)),MATCH($F427,$F$19:$F$24,0),MATCH(AL$17,$AK$17:$BB$17,0))*INDEX($10:$13,MATCH($O427,$R$10:$R$13,0),COLUMN())</f>
        <v>2.1172782787E-8</v>
      </c>
      <c r="AM427" s="1050" cm="1">
        <f t="array" aca="1" ref="AM427" ca="1">INDEX(OFFSET($AK$19,MATCH($B427,$B$19:$B$150,0)-1,0,COUNTA($B$19:$B$24),COUNTA($AK$17:$BB$17)),MATCH($F427,$F$19:$F$24,0),MATCH(AM$17,$AK$17:$BB$17,0))*INDEX($10:$13,MATCH($O427,$R$10:$R$13,0),COLUMN())</f>
        <v>3.4783469820000004E-5</v>
      </c>
      <c r="AN427" s="1050" cm="1">
        <f t="array" aca="1" ref="AN427" ca="1">INDEX(OFFSET($AK$19,MATCH($B427,$B$19:$B$150,0)-1,0,COUNTA($B$19:$B$24),COUNTA($AK$17:$BB$17)),MATCH($F427,$F$19:$F$24,0),MATCH(AN$17,$AK$17:$BB$17,0))*INDEX($10:$13,MATCH($O427,$R$10:$R$13,0),COLUMN())</f>
        <v>4.6156786199999999E-4</v>
      </c>
      <c r="AO427" s="1050" cm="1">
        <f t="array" aca="1" ref="AO427" ca="1">INDEX(OFFSET($AK$19,MATCH($B427,$B$19:$B$150,0)-1,0,COUNTA($B$19:$B$24),COUNTA($AK$17:$BB$17)),MATCH($F427,$F$19:$F$24,0),MATCH(AO$17,$AK$17:$BB$17,0))*INDEX($10:$13,MATCH($O427,$R$10:$R$13,0),COLUMN())</f>
        <v>1.4559866999999999E-2</v>
      </c>
      <c r="AP427" s="1050" cm="1">
        <f t="array" aca="1" ref="AP427" ca="1">INDEX(OFFSET($AK$19,MATCH($B427,$B$19:$B$150,0)-1,0,COUNTA($B$19:$B$24),COUNTA($AK$17:$BB$17)),MATCH($F427,$F$19:$F$24,0),MATCH(AP$17,$AK$17:$BB$17,0))*INDEX($10:$13,MATCH($O427,$R$10:$R$13,0),COLUMN())</f>
        <v>1.656973903E-3</v>
      </c>
      <c r="AQ427" s="1050" cm="1">
        <f t="array" aca="1" ref="AQ427" ca="1">INDEX(OFFSET($AK$19,MATCH($B427,$B$19:$B$150,0)-1,0,COUNTA($B$19:$B$24),COUNTA($AK$17:$BB$17)),MATCH($F427,$F$19:$F$24,0),MATCH(AQ$17,$AK$17:$BB$17,0))*INDEX($10:$13,MATCH($O427,$R$10:$R$13,0),COLUMN())</f>
        <v>1.6085377000000001E-5</v>
      </c>
      <c r="AR427" s="1050" cm="1">
        <f t="array" aca="1" ref="AR427" ca="1">INDEX(OFFSET($AK$19,MATCH($B427,$B$19:$B$150,0)-1,0,COUNTA($B$19:$B$24),COUNTA($AK$17:$BB$17)),MATCH($F427,$F$19:$F$24,0),MATCH(AR$17,$AK$17:$BB$17,0))*INDEX($10:$13,MATCH($O427,$R$10:$R$13,0),COLUMN())</f>
        <v>1.2930621160000001E-2</v>
      </c>
      <c r="AS427" s="1050" cm="1">
        <f t="array" aca="1" ref="AS427" ca="1">INDEX(OFFSET($AK$19,MATCH($B427,$B$19:$B$150,0)-1,0,COUNTA($B$19:$B$24),COUNTA($AK$17:$BB$17)),MATCH($F427,$F$19:$F$24,0),MATCH(AS$17,$AK$17:$BB$17,0))*INDEX($10:$13,MATCH($O427,$R$10:$R$13,0),COLUMN())</f>
        <v>1.91129328E-4</v>
      </c>
      <c r="AT427" s="1050" cm="1">
        <f t="array" aca="1" ref="AT427" ca="1">INDEX(OFFSET($AK$19,MATCH($B427,$B$19:$B$150,0)-1,0,COUNTA($B$19:$B$24),COUNTA($AK$17:$BB$17)),MATCH($F427,$F$19:$F$24,0),MATCH(AT$17,$AK$17:$BB$17,0))*INDEX($10:$13,MATCH($O427,$R$10:$R$13,0),COLUMN())</f>
        <v>4.8130557070000003E-7</v>
      </c>
      <c r="AU427" s="1050" cm="1">
        <f t="array" aca="1" ref="AU427" ca="1">INDEX(OFFSET($AK$19,MATCH($B427,$B$19:$B$150,0)-1,0,COUNTA($B$19:$B$24),COUNTA($AK$17:$BB$17)),MATCH($F427,$F$19:$F$24,0),MATCH(AU$17,$AK$17:$BB$17,0))*INDEX($10:$13,MATCH($O427,$R$10:$R$13,0),COLUMN())</f>
        <v>9.4196963072000002E-8</v>
      </c>
      <c r="AV427" s="1050" cm="1">
        <f t="array" aca="1" ref="AV427" ca="1">INDEX(OFFSET($AK$19,MATCH($B427,$B$19:$B$150,0)-1,0,COUNTA($B$19:$B$24),COUNTA($AK$17:$BB$17)),MATCH($F427,$F$19:$F$24,0),MATCH(AV$17,$AK$17:$BB$17,0))*INDEX($10:$13,MATCH($O427,$R$10:$R$13,0),COLUMN())</f>
        <v>9.3855542000000004E-5</v>
      </c>
      <c r="AW427" s="1050" cm="1">
        <f t="array" aca="1" ref="AW427" ca="1">INDEX(OFFSET($AK$19,MATCH($B427,$B$19:$B$150,0)-1,0,COUNTA($B$19:$B$24),COUNTA($AK$17:$BB$17)),MATCH($F427,$F$19:$F$24,0),MATCH(AW$17,$AK$17:$BB$17,0))*INDEX($10:$13,MATCH($O427,$R$10:$R$13,0),COLUMN())</f>
        <v>3.3013042050000004E-2</v>
      </c>
      <c r="AX427" s="1050" cm="1">
        <f t="array" aca="1" ref="AX427" ca="1">INDEX(OFFSET($AK$19,MATCH($B427,$B$19:$B$150,0)-1,0,COUNTA($B$19:$B$24),COUNTA($AK$17:$BB$17)),MATCH($F427,$F$19:$F$24,0),MATCH(AX$17,$AK$17:$BB$17,0))*INDEX($10:$13,MATCH($O427,$R$10:$R$13,0),COLUMN())</f>
        <v>1.0144548719999999E-8</v>
      </c>
      <c r="AY427" s="1050" cm="1">
        <f t="array" aca="1" ref="AY427" ca="1">INDEX(OFFSET($AK$19,MATCH($B427,$B$19:$B$150,0)-1,0,COUNTA($B$19:$B$24),COUNTA($AK$17:$BB$17)),MATCH($F427,$F$19:$F$24,0),MATCH(AY$17,$AK$17:$BB$17,0))*INDEX($10:$13,MATCH($O427,$R$10:$R$13,0),COLUMN())</f>
        <v>-2.6145122906249997E-10</v>
      </c>
      <c r="AZ427" s="1050" cm="1">
        <f t="array" aca="1" ref="AZ427" ca="1">INDEX(OFFSET($AK$19,MATCH($B427,$B$19:$B$150,0)-1,0,COUNTA($B$19:$B$24),COUNTA($AK$17:$BB$17)),MATCH($F427,$F$19:$F$24,0),MATCH(AZ$17,$AK$17:$BB$17,0))*INDEX($10:$13,MATCH($O427,$R$10:$R$13,0),COLUMN())</f>
        <v>0</v>
      </c>
      <c r="BA427" s="1050" cm="1">
        <f t="array" aca="1" ref="BA427" ca="1">INDEX(OFFSET($AK$19,MATCH($B427,$B$19:$B$150,0)-1,0,COUNTA($B$19:$B$24),COUNTA($AK$17:$BB$17)),MATCH($F427,$F$19:$F$24,0),MATCH(BA$17,$AK$17:$BB$17,0))*INDEX($10:$13,MATCH($O427,$R$10:$R$13,0),COLUMN())</f>
        <v>0</v>
      </c>
      <c r="BB427" s="1051" cm="1">
        <f t="array" aca="1" ref="BB427" ca="1">INDEX(OFFSET($AK$19,MATCH($B427,$B$19:$B$150,0)-1,0,COUNTA($B$19:$B$24),COUNTA($AK$17:$BB$17)),MATCH($F427,$F$19:$F$24,0),MATCH(BB$17,$AK$17:$BB$17,0))*INDEX($10:$13,MATCH($O427,$R$10:$R$13,0),COLUMN())</f>
        <v>0</v>
      </c>
      <c r="BC427" s="1053">
        <f t="shared" ca="1" si="176"/>
        <v>3.3013051933097497E-2</v>
      </c>
      <c r="BE427" s="1"/>
      <c r="BF427" s="1"/>
      <c r="BG427" s="1"/>
      <c r="BH427" s="1"/>
      <c r="BI427" s="1"/>
      <c r="BJ427" s="1"/>
      <c r="BK427" s="1"/>
      <c r="BL427" s="1"/>
      <c r="BM427" s="1"/>
      <c r="BN427" s="1"/>
      <c r="BO427" s="1"/>
      <c r="BP427" s="1"/>
      <c r="BQ427" s="1"/>
      <c r="BR427" s="1"/>
      <c r="BS427" s="1"/>
      <c r="BT427" s="1"/>
      <c r="BU427" s="1"/>
      <c r="BV427" s="1"/>
      <c r="BW427" s="1"/>
      <c r="BX427" s="1"/>
      <c r="BY427" s="1"/>
      <c r="BZ427" s="1"/>
    </row>
    <row r="428" spans="2:78" ht="12" customHeight="1" outlineLevel="1" x14ac:dyDescent="0.25">
      <c r="B428" s="104" t="s">
        <v>97</v>
      </c>
      <c r="C428" s="104" t="s">
        <v>121</v>
      </c>
      <c r="D428" s="2" t="s">
        <v>132</v>
      </c>
      <c r="E428" s="2" t="s">
        <v>134</v>
      </c>
      <c r="F428" s="105" t="s">
        <v>96</v>
      </c>
      <c r="G428" s="27" t="s">
        <v>1582</v>
      </c>
      <c r="H428" s="106" t="s">
        <v>128</v>
      </c>
      <c r="I428" s="107" t="s">
        <v>1577</v>
      </c>
      <c r="J428" s="147">
        <v>4.0702721800000008</v>
      </c>
      <c r="K428" s="148">
        <v>0.46051038847432407</v>
      </c>
      <c r="L428" s="149">
        <f t="shared" ca="1" si="172"/>
        <v>0.18375918921533507</v>
      </c>
      <c r="M428" s="148">
        <f t="shared" ca="1" si="173"/>
        <v>0.54513340408560484</v>
      </c>
      <c r="N428" s="148">
        <f t="shared" ca="1" si="175"/>
        <v>8.4623015611280772E-2</v>
      </c>
      <c r="O428" s="1062" t="s">
        <v>1584</v>
      </c>
      <c r="P428" s="104"/>
      <c r="R428" s="119"/>
      <c r="S428" s="1072"/>
      <c r="T428" s="1072"/>
      <c r="U428" s="1072"/>
      <c r="V428" s="1072"/>
      <c r="W428" s="1072"/>
      <c r="X428" s="1072"/>
      <c r="Y428" s="1072"/>
      <c r="Z428" s="1072"/>
      <c r="AA428" s="1072"/>
      <c r="AB428" s="1072"/>
      <c r="AC428" s="1072"/>
      <c r="AD428" s="1072"/>
      <c r="AE428" s="1072"/>
      <c r="AF428" s="1072"/>
      <c r="AG428" s="1072"/>
      <c r="AH428" s="1072"/>
      <c r="AI428" s="1072"/>
      <c r="AJ428" s="1073"/>
      <c r="AK428" s="1052" cm="1">
        <f t="array" aca="1" ref="AK428" ca="1">INDEX(OFFSET($AK$19,MATCH($B428,$B$19:$B$150,0)-1,0,COUNTA($B$19:$B$24),COUNTA($AK$17:$BB$17)),MATCH($F428,$F$19:$F$24,0),MATCH(AK$17,$AK$17:$BB$17,0))*INDEX($10:$13,MATCH($O428,$R$10:$R$13,0),COLUMN())</f>
        <v>1.1612879087004818E-2</v>
      </c>
      <c r="AL428" s="1050" cm="1">
        <f t="array" aca="1" ref="AL428" ca="1">INDEX(OFFSET($AK$19,MATCH($B428,$B$19:$B$150,0)-1,0,COUNTA($B$19:$B$24),COUNTA($AK$17:$BB$17)),MATCH($F428,$F$19:$F$24,0),MATCH(AL$17,$AK$17:$BB$17,0))*INDEX($10:$13,MATCH($O428,$R$10:$R$13,0),COLUMN())</f>
        <v>2.1270493738E-8</v>
      </c>
      <c r="AM428" s="1050" cm="1">
        <f t="array" aca="1" ref="AM428" ca="1">INDEX(OFFSET($AK$19,MATCH($B428,$B$19:$B$150,0)-1,0,COUNTA($B$19:$B$24),COUNTA($AK$17:$BB$17)),MATCH($F428,$F$19:$F$24,0),MATCH(AM$17,$AK$17:$BB$17,0))*INDEX($10:$13,MATCH($O428,$R$10:$R$13,0),COLUMN())</f>
        <v>3.4943267699999999E-5</v>
      </c>
      <c r="AN428" s="1050" cm="1">
        <f t="array" aca="1" ref="AN428" ca="1">INDEX(OFFSET($AK$19,MATCH($B428,$B$19:$B$150,0)-1,0,COUNTA($B$19:$B$24),COUNTA($AK$17:$BB$17)),MATCH($F428,$F$19:$F$24,0),MATCH(AN$17,$AK$17:$BB$17,0))*INDEX($10:$13,MATCH($O428,$R$10:$R$13,0),COLUMN())</f>
        <v>4.8071443560000001E-4</v>
      </c>
      <c r="AO428" s="1050" cm="1">
        <f t="array" aca="1" ref="AO428" ca="1">INDEX(OFFSET($AK$19,MATCH($B428,$B$19:$B$150,0)-1,0,COUNTA($B$19:$B$24),COUNTA($AK$17:$BB$17)),MATCH($F428,$F$19:$F$24,0),MATCH(AO$17,$AK$17:$BB$17,0))*INDEX($10:$13,MATCH($O428,$R$10:$R$13,0),COLUMN())</f>
        <v>2.0564062399999999E-2</v>
      </c>
      <c r="AP428" s="1050" cm="1">
        <f t="array" aca="1" ref="AP428" ca="1">INDEX(OFFSET($AK$19,MATCH($B428,$B$19:$B$150,0)-1,0,COUNTA($B$19:$B$24),COUNTA($AK$17:$BB$17)),MATCH($F428,$F$19:$F$24,0),MATCH(AP$17,$AK$17:$BB$17,0))*INDEX($10:$13,MATCH($O428,$R$10:$R$13,0),COLUMN())</f>
        <v>2.5055692296000001E-3</v>
      </c>
      <c r="AQ428" s="1050" cm="1">
        <f t="array" aca="1" ref="AQ428" ca="1">INDEX(OFFSET($AK$19,MATCH($B428,$B$19:$B$150,0)-1,0,COUNTA($B$19:$B$24),COUNTA($AK$17:$BB$17)),MATCH($F428,$F$19:$F$24,0),MATCH(AQ$17,$AK$17:$BB$17,0))*INDEX($10:$13,MATCH($O428,$R$10:$R$13,0),COLUMN())</f>
        <v>2.4645260999999999E-5</v>
      </c>
      <c r="AR428" s="1050" cm="1">
        <f t="array" aca="1" ref="AR428" ca="1">INDEX(OFFSET($AK$19,MATCH($B428,$B$19:$B$150,0)-1,0,COUNTA($B$19:$B$24),COUNTA($AK$17:$BB$17)),MATCH($F428,$F$19:$F$24,0),MATCH(AR$17,$AK$17:$BB$17,0))*INDEX($10:$13,MATCH($O428,$R$10:$R$13,0),COLUMN())</f>
        <v>1.5067559073000001E-2</v>
      </c>
      <c r="AS428" s="1050" cm="1">
        <f t="array" aca="1" ref="AS428" ca="1">INDEX(OFFSET($AK$19,MATCH($B428,$B$19:$B$150,0)-1,0,COUNTA($B$19:$B$24),COUNTA($AK$17:$BB$17)),MATCH($F428,$F$19:$F$24,0),MATCH(AS$17,$AK$17:$BB$17,0))*INDEX($10:$13,MATCH($O428,$R$10:$R$13,0),COLUMN())</f>
        <v>3.1942511639999996E-4</v>
      </c>
      <c r="AT428" s="1050" cm="1">
        <f t="array" aca="1" ref="AT428" ca="1">INDEX(OFFSET($AK$19,MATCH($B428,$B$19:$B$150,0)-1,0,COUNTA($B$19:$B$24),COUNTA($AK$17:$BB$17)),MATCH($F428,$F$19:$F$24,0),MATCH(AT$17,$AK$17:$BB$17,0))*INDEX($10:$13,MATCH($O428,$R$10:$R$13,0),COLUMN())</f>
        <v>5.3917547000000002E-7</v>
      </c>
      <c r="AU428" s="1050" cm="1">
        <f t="array" aca="1" ref="AU428" ca="1">INDEX(OFFSET($AK$19,MATCH($B428,$B$19:$B$150,0)-1,0,COUNTA($B$19:$B$24),COUNTA($AK$17:$BB$17)),MATCH($F428,$F$19:$F$24,0),MATCH(AU$17,$AK$17:$BB$17,0))*INDEX($10:$13,MATCH($O428,$R$10:$R$13,0),COLUMN())</f>
        <v>1.0245441472000001E-7</v>
      </c>
      <c r="AV428" s="1050" cm="1">
        <f t="array" aca="1" ref="AV428" ca="1">INDEX(OFFSET($AK$19,MATCH($B428,$B$19:$B$150,0)-1,0,COUNTA($B$19:$B$24),COUNTA($AK$17:$BB$17)),MATCH($F428,$F$19:$F$24,0),MATCH(AV$17,$AK$17:$BB$17,0))*INDEX($10:$13,MATCH($O428,$R$10:$R$13,0),COLUMN())</f>
        <v>9.9950290749999983E-4</v>
      </c>
      <c r="AW428" s="1050" cm="1">
        <f t="array" aca="1" ref="AW428" ca="1">INDEX(OFFSET($AK$19,MATCH($B428,$B$19:$B$150,0)-1,0,COUNTA($B$19:$B$24),COUNTA($AK$17:$BB$17)),MATCH($F428,$F$19:$F$24,0),MATCH(AW$17,$AK$17:$BB$17,0))*INDEX($10:$13,MATCH($O428,$R$10:$R$13,0),COLUMN())</f>
        <v>3.3013042050000004E-2</v>
      </c>
      <c r="AX428" s="1050" cm="1">
        <f t="array" aca="1" ref="AX428" ca="1">INDEX(OFFSET($AK$19,MATCH($B428,$B$19:$B$150,0)-1,0,COUNTA($B$19:$B$24),COUNTA($AK$17:$BB$17)),MATCH($F428,$F$19:$F$24,0),MATCH(AX$17,$AK$17:$BB$17,0))*INDEX($10:$13,MATCH($O428,$R$10:$R$13,0),COLUMN())</f>
        <v>1.0144548719999999E-8</v>
      </c>
      <c r="AY428" s="1050" cm="1">
        <f t="array" aca="1" ref="AY428" ca="1">INDEX(OFFSET($AK$19,MATCH($B428,$B$19:$B$150,0)-1,0,COUNTA($B$19:$B$24),COUNTA($AK$17:$BB$17)),MATCH($F428,$F$19:$F$24,0),MATCH(AY$17,$AK$17:$BB$17,0))*INDEX($10:$13,MATCH($O428,$R$10:$R$13,0),COLUMN())</f>
        <v>-2.6145122906249997E-10</v>
      </c>
      <c r="AZ428" s="1050" cm="1">
        <f t="array" aca="1" ref="AZ428" ca="1">INDEX(OFFSET($AK$19,MATCH($B428,$B$19:$B$150,0)-1,0,COUNTA($B$19:$B$24),COUNTA($AK$17:$BB$17)),MATCH($F428,$F$19:$F$24,0),MATCH(AZ$17,$AK$17:$BB$17,0))*INDEX($10:$13,MATCH($O428,$R$10:$R$13,0),COLUMN())</f>
        <v>0</v>
      </c>
      <c r="BA428" s="1050" cm="1">
        <f t="array" aca="1" ref="BA428" ca="1">INDEX(OFFSET($AK$19,MATCH($B428,$B$19:$B$150,0)-1,0,COUNTA($B$19:$B$24),COUNTA($AK$17:$BB$17)),MATCH($F428,$F$19:$F$24,0),MATCH(BA$17,$AK$17:$BB$17,0))*INDEX($10:$13,MATCH($O428,$R$10:$R$13,0),COLUMN())</f>
        <v>0</v>
      </c>
      <c r="BB428" s="1051" cm="1">
        <f t="array" aca="1" ref="BB428" ca="1">INDEX(OFFSET($AK$19,MATCH($B428,$B$19:$B$150,0)-1,0,COUNTA($B$19:$B$24),COUNTA($AK$17:$BB$17)),MATCH($F428,$F$19:$F$24,0),MATCH(BB$17,$AK$17:$BB$17,0))*INDEX($10:$13,MATCH($O428,$R$10:$R$13,0),COLUMN())</f>
        <v>0</v>
      </c>
      <c r="BC428" s="1053">
        <f t="shared" ca="1" si="176"/>
        <v>3.3013051933097497E-2</v>
      </c>
      <c r="BE428" s="1"/>
      <c r="BF428" s="1"/>
      <c r="BG428" s="1"/>
      <c r="BH428" s="1"/>
      <c r="BI428" s="1"/>
      <c r="BJ428" s="1"/>
      <c r="BK428" s="1"/>
      <c r="BL428" s="1"/>
      <c r="BM428" s="1"/>
      <c r="BN428" s="1"/>
      <c r="BO428" s="1"/>
      <c r="BP428" s="1"/>
      <c r="BQ428" s="1"/>
      <c r="BR428" s="1"/>
      <c r="BS428" s="1"/>
      <c r="BT428" s="1"/>
      <c r="BU428" s="1"/>
      <c r="BV428" s="1"/>
      <c r="BW428" s="1"/>
      <c r="BX428" s="1"/>
      <c r="BY428" s="1"/>
      <c r="BZ428" s="1"/>
    </row>
    <row r="429" spans="2:78" ht="12" customHeight="1" outlineLevel="1" x14ac:dyDescent="0.25">
      <c r="B429" s="88" t="s">
        <v>98</v>
      </c>
      <c r="C429" s="88" t="s">
        <v>121</v>
      </c>
      <c r="D429" s="89" t="s">
        <v>132</v>
      </c>
      <c r="E429" s="89" t="s">
        <v>98</v>
      </c>
      <c r="F429" s="90" t="s">
        <v>92</v>
      </c>
      <c r="G429" s="18" t="s">
        <v>126</v>
      </c>
      <c r="H429" s="91" t="s">
        <v>127</v>
      </c>
      <c r="I429" s="92" t="s">
        <v>127</v>
      </c>
      <c r="J429" s="142">
        <v>3.8217059399999997</v>
      </c>
      <c r="K429" s="143">
        <v>0.18564647389881783</v>
      </c>
      <c r="L429" s="144">
        <f t="shared" ca="1" si="172"/>
        <v>0.9105697442788826</v>
      </c>
      <c r="M429" s="143">
        <f t="shared" ca="1" si="173"/>
        <v>0.35469053616314061</v>
      </c>
      <c r="N429" s="143">
        <f t="shared" ca="1" si="175"/>
        <v>0.16904406226432281</v>
      </c>
      <c r="O429" s="1063" t="s">
        <v>1584</v>
      </c>
      <c r="P429" s="88"/>
      <c r="Q429" s="89"/>
      <c r="R429" s="150"/>
      <c r="S429" s="1070"/>
      <c r="T429" s="1070"/>
      <c r="U429" s="1070"/>
      <c r="V429" s="1070"/>
      <c r="W429" s="1070"/>
      <c r="X429" s="1070"/>
      <c r="Y429" s="1070"/>
      <c r="Z429" s="1070"/>
      <c r="AA429" s="1070"/>
      <c r="AB429" s="1070"/>
      <c r="AC429" s="1070"/>
      <c r="AD429" s="1070"/>
      <c r="AE429" s="1070"/>
      <c r="AF429" s="1070"/>
      <c r="AG429" s="1070"/>
      <c r="AH429" s="1070"/>
      <c r="AI429" s="1070"/>
      <c r="AJ429" s="1071"/>
      <c r="AK429" s="1048" cm="1">
        <f t="array" aca="1" ref="AK429" ca="1">INDEX(OFFSET($AK$19,MATCH($B429,$B$19:$B$150,0)-1,0,COUNTA($B$19:$B$24),COUNTA($AK$17:$BB$17)),MATCH($F429,$F$19:$F$24,0),MATCH(AK$17,$AK$17:$BB$17,0))*INDEX($10:$13,MATCH($O429,$R$10:$R$13,0),COLUMN())</f>
        <v>2.9025654940140828E-2</v>
      </c>
      <c r="AL429" s="1046" cm="1">
        <f t="array" aca="1" ref="AL429" ca="1">INDEX(OFFSET($AK$19,MATCH($B429,$B$19:$B$150,0)-1,0,COUNTA($B$19:$B$24),COUNTA($AK$17:$BB$17)),MATCH($F429,$F$19:$F$24,0),MATCH(AL$17,$AK$17:$BB$17,0))*INDEX($10:$13,MATCH($O429,$R$10:$R$13,0),COLUMN())</f>
        <v>5.5326001900000001E-8</v>
      </c>
      <c r="AM429" s="1046" cm="1">
        <f t="array" aca="1" ref="AM429" ca="1">INDEX(OFFSET($AK$19,MATCH($B429,$B$19:$B$150,0)-1,0,COUNTA($B$19:$B$24),COUNTA($AK$17:$BB$17)),MATCH($F429,$F$19:$F$24,0),MATCH(AM$17,$AK$17:$BB$17,0))*INDEX($10:$13,MATCH($O429,$R$10:$R$13,0),COLUMN())</f>
        <v>9.2660682509999997E-5</v>
      </c>
      <c r="AN429" s="1046" cm="1">
        <f t="array" aca="1" ref="AN429" ca="1">INDEX(OFFSET($AK$19,MATCH($B429,$B$19:$B$150,0)-1,0,COUNTA($B$19:$B$24),COUNTA($AK$17:$BB$17)),MATCH($F429,$F$19:$F$24,0),MATCH(AN$17,$AK$17:$BB$17,0))*INDEX($10:$13,MATCH($O429,$R$10:$R$13,0),COLUMN())</f>
        <v>6.6915135839999999E-4</v>
      </c>
      <c r="AO429" s="1046" cm="1">
        <f t="array" aca="1" ref="AO429" ca="1">INDEX(OFFSET($AK$19,MATCH($B429,$B$19:$B$150,0)-1,0,COUNTA($B$19:$B$24),COUNTA($AK$17:$BB$17)),MATCH($F429,$F$19:$F$24,0),MATCH(AO$17,$AK$17:$BB$17,0))*INDEX($10:$13,MATCH($O429,$R$10:$R$13,0),COLUMN())</f>
        <v>3.5347981200000003E-2</v>
      </c>
      <c r="AP429" s="1046" cm="1">
        <f t="array" aca="1" ref="AP429" ca="1">INDEX(OFFSET($AK$19,MATCH($B429,$B$19:$B$150,0)-1,0,COUNTA($B$19:$B$24),COUNTA($AK$17:$BB$17)),MATCH($F429,$F$19:$F$24,0),MATCH(AP$17,$AK$17:$BB$17,0))*INDEX($10:$13,MATCH($O429,$R$10:$R$13,0),COLUMN())</f>
        <v>4.4252754512000003E-3</v>
      </c>
      <c r="AQ429" s="1046" cm="1">
        <f t="array" aca="1" ref="AQ429" ca="1">INDEX(OFFSET($AK$19,MATCH($B429,$B$19:$B$150,0)-1,0,COUNTA($B$19:$B$24),COUNTA($AK$17:$BB$17)),MATCH($F429,$F$19:$F$24,0),MATCH(AQ$17,$AK$17:$BB$17,0))*INDEX($10:$13,MATCH($O429,$R$10:$R$13,0),COLUMN())</f>
        <v>4.4073970000000003E-5</v>
      </c>
      <c r="AR429" s="1046" cm="1">
        <f t="array" aca="1" ref="AR429" ca="1">INDEX(OFFSET($AK$19,MATCH($B429,$B$19:$B$150,0)-1,0,COUNTA($B$19:$B$24),COUNTA($AK$17:$BB$17)),MATCH($F429,$F$19:$F$24,0),MATCH(AR$17,$AK$17:$BB$17,0))*INDEX($10:$13,MATCH($O429,$R$10:$R$13,0),COLUMN())</f>
        <v>2.7830454200999999E-2</v>
      </c>
      <c r="AS429" s="1046" cm="1">
        <f t="array" aca="1" ref="AS429" ca="1">INDEX(OFFSET($AK$19,MATCH($B429,$B$19:$B$150,0)-1,0,COUNTA($B$19:$B$24),COUNTA($AK$17:$BB$17)),MATCH($F429,$F$19:$F$24,0),MATCH(AS$17,$AK$17:$BB$17,0))*INDEX($10:$13,MATCH($O429,$R$10:$R$13,0),COLUMN())</f>
        <v>1.7717892659999998E-2</v>
      </c>
      <c r="AT429" s="1046" cm="1">
        <f t="array" aca="1" ref="AT429" ca="1">INDEX(OFFSET($AK$19,MATCH($B429,$B$19:$B$150,0)-1,0,COUNTA($B$19:$B$24),COUNTA($AK$17:$BB$17)),MATCH($F429,$F$19:$F$24,0),MATCH(AT$17,$AK$17:$BB$17,0))*INDEX($10:$13,MATCH($O429,$R$10:$R$13,0),COLUMN())</f>
        <v>1.9793520755000003E-5</v>
      </c>
      <c r="AU429" s="1046" cm="1">
        <f t="array" aca="1" ref="AU429" ca="1">INDEX(OFFSET($AK$19,MATCH($B429,$B$19:$B$150,0)-1,0,COUNTA($B$19:$B$24),COUNTA($AK$17:$BB$17)),MATCH($F429,$F$19:$F$24,0),MATCH(AU$17,$AK$17:$BB$17,0))*INDEX($10:$13,MATCH($O429,$R$10:$R$13,0),COLUMN())</f>
        <v>1.1338523296000001E-6</v>
      </c>
      <c r="AV429" s="1046" cm="1">
        <f t="array" aca="1" ref="AV429" ca="1">INDEX(OFFSET($AK$19,MATCH($B429,$B$19:$B$150,0)-1,0,COUNTA($B$19:$B$24),COUNTA($AK$17:$BB$17)),MATCH($F429,$F$19:$F$24,0),MATCH(AV$17,$AK$17:$BB$17,0))*INDEX($10:$13,MATCH($O429,$R$10:$R$13,0),COLUMN())</f>
        <v>5.2807383249999992E-3</v>
      </c>
      <c r="AW429" s="1046" cm="1">
        <f t="array" aca="1" ref="AW429" ca="1">INDEX(OFFSET($AK$19,MATCH($B429,$B$19:$B$150,0)-1,0,COUNTA($B$19:$B$24),COUNTA($AK$17:$BB$17)),MATCH($F429,$F$19:$F$24,0),MATCH(AW$17,$AK$17:$BB$17,0))*INDEX($10:$13,MATCH($O429,$R$10:$R$13,0),COLUMN())</f>
        <v>4.8589127999999995E-2</v>
      </c>
      <c r="AX429" s="1046" cm="1">
        <f t="array" aca="1" ref="AX429" ca="1">INDEX(OFFSET($AK$19,MATCH($B429,$B$19:$B$150,0)-1,0,COUNTA($B$19:$B$24),COUNTA($AK$17:$BB$17)),MATCH($F429,$F$19:$F$24,0),MATCH(AX$17,$AK$17:$BB$17,0))*INDEX($10:$13,MATCH($O429,$R$10:$R$13,0),COLUMN())</f>
        <v>7.0649330999999996E-8</v>
      </c>
      <c r="AY429" s="1046" cm="1">
        <f t="array" aca="1" ref="AY429" ca="1">INDEX(OFFSET($AK$19,MATCH($B429,$B$19:$B$150,0)-1,0,COUNTA($B$19:$B$24),COUNTA($AK$17:$BB$17)),MATCH($F429,$F$19:$F$24,0),MATCH(AY$17,$AK$17:$BB$17,0))*INDEX($10:$13,MATCH($O429,$R$10:$R$13,0),COLUMN())</f>
        <v>-1.8723455324999997E-9</v>
      </c>
      <c r="AZ429" s="1046" cm="1">
        <f t="array" aca="1" ref="AZ429" ca="1">INDEX(OFFSET($AK$19,MATCH($B429,$B$19:$B$150,0)-1,0,COUNTA($B$19:$B$24),COUNTA($AK$17:$BB$17)),MATCH($F429,$F$19:$F$24,0),MATCH(AZ$17,$AK$17:$BB$17,0))*INDEX($10:$13,MATCH($O429,$R$10:$R$13,0),COLUMN())</f>
        <v>0</v>
      </c>
      <c r="BA429" s="1046" cm="1">
        <f t="array" aca="1" ref="BA429" ca="1">INDEX(OFFSET($AK$19,MATCH($B429,$B$19:$B$150,0)-1,0,COUNTA($B$19:$B$24),COUNTA($AK$17:$BB$17)),MATCH($F429,$F$19:$F$24,0),MATCH(BA$17,$AK$17:$BB$17,0))*INDEX($10:$13,MATCH($O429,$R$10:$R$13,0),COLUMN())</f>
        <v>0</v>
      </c>
      <c r="BB429" s="1047" cm="1">
        <f t="array" aca="1" ref="BB429" ca="1">INDEX(OFFSET($AK$19,MATCH($B429,$B$19:$B$150,0)-1,0,COUNTA($B$19:$B$24),COUNTA($AK$17:$BB$17)),MATCH($F429,$F$19:$F$24,0),MATCH(BB$17,$AK$17:$BB$17,0))*INDEX($10:$13,MATCH($O429,$R$10:$R$13,0),COLUMN())</f>
        <v>0</v>
      </c>
      <c r="BC429" s="1049">
        <f t="shared" ca="1" si="176"/>
        <v>4.8589196776985456E-2</v>
      </c>
      <c r="BE429" s="1"/>
      <c r="BF429" s="1"/>
      <c r="BG429" s="1"/>
      <c r="BH429" s="1"/>
      <c r="BI429" s="1"/>
      <c r="BJ429" s="1"/>
      <c r="BK429" s="1"/>
      <c r="BL429" s="1"/>
      <c r="BM429" s="1"/>
      <c r="BN429" s="1"/>
      <c r="BO429" s="1"/>
      <c r="BP429" s="1"/>
      <c r="BQ429" s="1"/>
      <c r="BR429" s="1"/>
      <c r="BS429" s="1"/>
      <c r="BT429" s="1"/>
      <c r="BU429" s="1"/>
      <c r="BV429" s="1"/>
      <c r="BW429" s="1"/>
      <c r="BX429" s="1"/>
      <c r="BY429" s="1"/>
      <c r="BZ429" s="1"/>
    </row>
    <row r="430" spans="2:78" ht="12" customHeight="1" outlineLevel="1" x14ac:dyDescent="0.25">
      <c r="B430" s="104" t="s">
        <v>98</v>
      </c>
      <c r="C430" s="104" t="s">
        <v>121</v>
      </c>
      <c r="D430" s="2" t="s">
        <v>132</v>
      </c>
      <c r="E430" s="2" t="s">
        <v>98</v>
      </c>
      <c r="F430" s="105" t="s">
        <v>122</v>
      </c>
      <c r="G430" s="27" t="s">
        <v>1579</v>
      </c>
      <c r="H430" s="106" t="s">
        <v>128</v>
      </c>
      <c r="I430" s="107" t="s">
        <v>129</v>
      </c>
      <c r="J430" s="147">
        <v>3.8217059399999997</v>
      </c>
      <c r="K430" s="148">
        <v>0.37645999999999996</v>
      </c>
      <c r="L430" s="149">
        <f t="shared" ca="1" si="172"/>
        <v>0.21330799898199063</v>
      </c>
      <c r="M430" s="148">
        <f t="shared" ca="1" si="173"/>
        <v>0.45676192929676013</v>
      </c>
      <c r="N430" s="148">
        <f t="shared" ca="1" si="175"/>
        <v>8.030192929676018E-2</v>
      </c>
      <c r="O430" s="1062" t="s">
        <v>1584</v>
      </c>
      <c r="P430" s="104"/>
      <c r="R430" s="119"/>
      <c r="S430" s="1072"/>
      <c r="T430" s="1072"/>
      <c r="U430" s="1072"/>
      <c r="V430" s="1072"/>
      <c r="W430" s="1072"/>
      <c r="X430" s="1072"/>
      <c r="Y430" s="1072"/>
      <c r="Z430" s="1072"/>
      <c r="AA430" s="1072"/>
      <c r="AB430" s="1072"/>
      <c r="AC430" s="1072"/>
      <c r="AD430" s="1072"/>
      <c r="AE430" s="1072"/>
      <c r="AF430" s="1072"/>
      <c r="AG430" s="1072"/>
      <c r="AH430" s="1072"/>
      <c r="AI430" s="1072"/>
      <c r="AJ430" s="1073"/>
      <c r="AK430" s="1052" cm="1">
        <f t="array" aca="1" ref="AK430" ca="1">INDEX(OFFSET($AK$19,MATCH($B430,$B$19:$B$150,0)-1,0,COUNTA($B$19:$B$24),COUNTA($AK$17:$BB$17)),MATCH($F430,$F$19:$F$24,0),MATCH(AK$17,$AK$17:$BB$17,0))*INDEX($10:$13,MATCH($O430,$R$10:$R$13,0),COLUMN())</f>
        <v>1.0699956947957294E-2</v>
      </c>
      <c r="AL430" s="1050" cm="1">
        <f t="array" aca="1" ref="AL430" ca="1">INDEX(OFFSET($AK$19,MATCH($B430,$B$19:$B$150,0)-1,0,COUNTA($B$19:$B$24),COUNTA($AK$17:$BB$17)),MATCH($F430,$F$19:$F$24,0),MATCH(AL$17,$AK$17:$BB$17,0))*INDEX($10:$13,MATCH($O430,$R$10:$R$13,0),COLUMN())</f>
        <v>3.0146084020000001E-8</v>
      </c>
      <c r="AM430" s="1050" cm="1">
        <f t="array" aca="1" ref="AM430" ca="1">INDEX(OFFSET($AK$19,MATCH($B430,$B$19:$B$150,0)-1,0,COUNTA($B$19:$B$24),COUNTA($AK$17:$BB$17)),MATCH($F430,$F$19:$F$24,0),MATCH(AM$17,$AK$17:$BB$17,0))*INDEX($10:$13,MATCH($O430,$R$10:$R$13,0),COLUMN())</f>
        <v>4.9526416169999998E-5</v>
      </c>
      <c r="AN430" s="1050" cm="1">
        <f t="array" aca="1" ref="AN430" ca="1">INDEX(OFFSET($AK$19,MATCH($B430,$B$19:$B$150,0)-1,0,COUNTA($B$19:$B$24),COUNTA($AK$17:$BB$17)),MATCH($F430,$F$19:$F$24,0),MATCH(AN$17,$AK$17:$BB$17,0))*INDEX($10:$13,MATCH($O430,$R$10:$R$13,0),COLUMN())</f>
        <v>6.2596226279999995E-4</v>
      </c>
      <c r="AO430" s="1050" cm="1">
        <f t="array" aca="1" ref="AO430" ca="1">INDEX(OFFSET($AK$19,MATCH($B430,$B$19:$B$150,0)-1,0,COUNTA($B$19:$B$24),COUNTA($AK$17:$BB$17)),MATCH($F430,$F$19:$F$24,0),MATCH(AO$17,$AK$17:$BB$17,0))*INDEX($10:$13,MATCH($O430,$R$10:$R$13,0),COLUMN())</f>
        <v>9.2640435999999989E-3</v>
      </c>
      <c r="AP430" s="1050" cm="1">
        <f t="array" aca="1" ref="AP430" ca="1">INDEX(OFFSET($AK$19,MATCH($B430,$B$19:$B$150,0)-1,0,COUNTA($B$19:$B$24),COUNTA($AK$17:$BB$17)),MATCH($F430,$F$19:$F$24,0),MATCH(AP$17,$AK$17:$BB$17,0))*INDEX($10:$13,MATCH($O430,$R$10:$R$13,0),COLUMN())</f>
        <v>7.3106951599999999E-4</v>
      </c>
      <c r="AQ430" s="1050" cm="1">
        <f t="array" aca="1" ref="AQ430" ca="1">INDEX(OFFSET($AK$19,MATCH($B430,$B$19:$B$150,0)-1,0,COUNTA($B$19:$B$24),COUNTA($AK$17:$BB$17)),MATCH($F430,$F$19:$F$24,0),MATCH(AQ$17,$AK$17:$BB$17,0))*INDEX($10:$13,MATCH($O430,$R$10:$R$13,0),COLUMN())</f>
        <v>6.1107955000000002E-6</v>
      </c>
      <c r="AR430" s="1050" cm="1">
        <f t="array" aca="1" ref="AR430" ca="1">INDEX(OFFSET($AK$19,MATCH($B430,$B$19:$B$150,0)-1,0,COUNTA($B$19:$B$24),COUNTA($AK$17:$BB$17)),MATCH($F430,$F$19:$F$24,0),MATCH(AR$17,$AK$17:$BB$17,0))*INDEX($10:$13,MATCH($O430,$R$10:$R$13,0),COLUMN())</f>
        <v>8.7505749669999997E-3</v>
      </c>
      <c r="AS430" s="1050" cm="1">
        <f t="array" aca="1" ref="AS430" ca="1">INDEX(OFFSET($AK$19,MATCH($B430,$B$19:$B$150,0)-1,0,COUNTA($B$19:$B$24),COUNTA($AK$17:$BB$17)),MATCH($F430,$F$19:$F$24,0),MATCH(AS$17,$AK$17:$BB$17,0))*INDEX($10:$13,MATCH($O430,$R$10:$R$13,0),COLUMN())</f>
        <v>1.3629512519999999E-5</v>
      </c>
      <c r="AT430" s="1050" cm="1">
        <f t="array" aca="1" ref="AT430" ca="1">INDEX(OFFSET($AK$19,MATCH($B430,$B$19:$B$150,0)-1,0,COUNTA($B$19:$B$24),COUNTA($AK$17:$BB$17)),MATCH($F430,$F$19:$F$24,0),MATCH(AT$17,$AK$17:$BB$17,0))*INDEX($10:$13,MATCH($O430,$R$10:$R$13,0),COLUMN())</f>
        <v>5.2044525500000008E-7</v>
      </c>
      <c r="AU430" s="1050" cm="1">
        <f t="array" aca="1" ref="AU430" ca="1">INDEX(OFFSET($AK$19,MATCH($B430,$B$19:$B$150,0)-1,0,COUNTA($B$19:$B$24),COUNTA($AK$17:$BB$17)),MATCH($F430,$F$19:$F$24,0),MATCH(AU$17,$AK$17:$BB$17,0))*INDEX($10:$13,MATCH($O430,$R$10:$R$13,0),COLUMN())</f>
        <v>1.1028387392E-7</v>
      </c>
      <c r="AV430" s="1050" cm="1">
        <f t="array" aca="1" ref="AV430" ca="1">INDEX(OFFSET($AK$19,MATCH($B430,$B$19:$B$150,0)-1,0,COUNTA($B$19:$B$24),COUNTA($AK$17:$BB$17)),MATCH($F430,$F$19:$F$24,0),MATCH(AV$17,$AK$17:$BB$17,0))*INDEX($10:$13,MATCH($O430,$R$10:$R$13,0),COLUMN())</f>
        <v>5.2532129749999993E-4</v>
      </c>
      <c r="AW430" s="1050" cm="1">
        <f t="array" aca="1" ref="AW430" ca="1">INDEX(OFFSET($AK$19,MATCH($B430,$B$19:$B$150,0)-1,0,COUNTA($B$19:$B$24),COUNTA($AK$17:$BB$17)),MATCH($F430,$F$19:$F$24,0),MATCH(AW$17,$AK$17:$BB$17,0))*INDEX($10:$13,MATCH($O430,$R$10:$R$13,0),COLUMN())</f>
        <v>4.9635058949999998E-2</v>
      </c>
      <c r="AX430" s="1050" cm="1">
        <f t="array" aca="1" ref="AX430" ca="1">INDEX(OFFSET($AK$19,MATCH($B430,$B$19:$B$150,0)-1,0,COUNTA($B$19:$B$24),COUNTA($AK$17:$BB$17)),MATCH($F430,$F$19:$F$24,0),MATCH(AX$17,$AK$17:$BB$17,0))*INDEX($10:$13,MATCH($O430,$R$10:$R$13,0),COLUMN())</f>
        <v>1.4530590795000001E-8</v>
      </c>
      <c r="AY430" s="1050" cm="1">
        <f t="array" aca="1" ref="AY430" ca="1">INDEX(OFFSET($AK$19,MATCH($B430,$B$19:$B$150,0)-1,0,COUNTA($B$19:$B$24),COUNTA($AK$17:$BB$17)),MATCH($F430,$F$19:$F$24,0),MATCH(AY$17,$AK$17:$BB$17,0))*INDEX($10:$13,MATCH($O430,$R$10:$R$13,0),COLUMN())</f>
        <v>-3.7449085162499996E-10</v>
      </c>
      <c r="AZ430" s="1050" cm="1">
        <f t="array" aca="1" ref="AZ430" ca="1">INDEX(OFFSET($AK$19,MATCH($B430,$B$19:$B$150,0)-1,0,COUNTA($B$19:$B$24),COUNTA($AK$17:$BB$17)),MATCH($F430,$F$19:$F$24,0),MATCH(AZ$17,$AK$17:$BB$17,0))*INDEX($10:$13,MATCH($O430,$R$10:$R$13,0),COLUMN())</f>
        <v>0</v>
      </c>
      <c r="BA430" s="1050" cm="1">
        <f t="array" aca="1" ref="BA430" ca="1">INDEX(OFFSET($AK$19,MATCH($B430,$B$19:$B$150,0)-1,0,COUNTA($B$19:$B$24),COUNTA($AK$17:$BB$17)),MATCH($F430,$F$19:$F$24,0),MATCH(BA$17,$AK$17:$BB$17,0))*INDEX($10:$13,MATCH($O430,$R$10:$R$13,0),COLUMN())</f>
        <v>0</v>
      </c>
      <c r="BB430" s="1051" cm="1">
        <f t="array" aca="1" ref="BB430" ca="1">INDEX(OFFSET($AK$19,MATCH($B430,$B$19:$B$150,0)-1,0,COUNTA($B$19:$B$24),COUNTA($AK$17:$BB$17)),MATCH($F430,$F$19:$F$24,0),MATCH(BB$17,$AK$17:$BB$17,0))*INDEX($10:$13,MATCH($O430,$R$10:$R$13,0),COLUMN())</f>
        <v>0</v>
      </c>
      <c r="BC430" s="1053">
        <f t="shared" ca="1" si="176"/>
        <v>4.9635073106099936E-2</v>
      </c>
      <c r="BE430" s="1"/>
      <c r="BF430" s="1"/>
      <c r="BG430" s="1"/>
      <c r="BH430" s="1"/>
      <c r="BI430" s="1"/>
      <c r="BJ430" s="1"/>
      <c r="BK430" s="1"/>
      <c r="BL430" s="1"/>
      <c r="BM430" s="1"/>
      <c r="BN430" s="1"/>
      <c r="BO430" s="1"/>
      <c r="BP430" s="1"/>
      <c r="BQ430" s="1"/>
      <c r="BR430" s="1"/>
      <c r="BS430" s="1"/>
      <c r="BT430" s="1"/>
      <c r="BU430" s="1"/>
      <c r="BV430" s="1"/>
      <c r="BW430" s="1"/>
      <c r="BX430" s="1"/>
      <c r="BY430" s="1"/>
      <c r="BZ430" s="1"/>
    </row>
    <row r="431" spans="2:78" ht="12" customHeight="1" outlineLevel="1" x14ac:dyDescent="0.25">
      <c r="B431" s="104" t="s">
        <v>98</v>
      </c>
      <c r="C431" s="104" t="s">
        <v>121</v>
      </c>
      <c r="D431" s="2" t="s">
        <v>132</v>
      </c>
      <c r="E431" s="2" t="s">
        <v>98</v>
      </c>
      <c r="F431" s="105" t="s">
        <v>93</v>
      </c>
      <c r="G431" s="27" t="s">
        <v>1578</v>
      </c>
      <c r="H431" s="106" t="s">
        <v>130</v>
      </c>
      <c r="I431" s="107" t="s">
        <v>129</v>
      </c>
      <c r="J431" s="147">
        <v>3.8217059399999997</v>
      </c>
      <c r="K431" s="148">
        <v>0.37645999999999996</v>
      </c>
      <c r="L431" s="149">
        <f t="shared" ca="1" si="172"/>
        <v>0.22713026078495119</v>
      </c>
      <c r="M431" s="148">
        <f t="shared" ca="1" si="173"/>
        <v>0.46196545797510269</v>
      </c>
      <c r="N431" s="148">
        <f t="shared" ca="1" si="175"/>
        <v>8.5505457975102714E-2</v>
      </c>
      <c r="O431" s="1062" t="s">
        <v>1584</v>
      </c>
      <c r="P431" s="104"/>
      <c r="R431" s="119"/>
      <c r="S431" s="1072"/>
      <c r="T431" s="1072"/>
      <c r="U431" s="1072"/>
      <c r="V431" s="1072"/>
      <c r="W431" s="1072"/>
      <c r="X431" s="1072"/>
      <c r="Y431" s="1072"/>
      <c r="Z431" s="1072"/>
      <c r="AA431" s="1072"/>
      <c r="AB431" s="1072"/>
      <c r="AC431" s="1072"/>
      <c r="AD431" s="1072"/>
      <c r="AE431" s="1072"/>
      <c r="AF431" s="1072"/>
      <c r="AG431" s="1072"/>
      <c r="AH431" s="1072"/>
      <c r="AI431" s="1072"/>
      <c r="AJ431" s="1073"/>
      <c r="AK431" s="1052" cm="1">
        <f t="array" aca="1" ref="AK431" ca="1">INDEX(OFFSET($AK$19,MATCH($B431,$B$19:$B$150,0)-1,0,COUNTA($B$19:$B$24),COUNTA($AK$17:$BB$17)),MATCH($F431,$F$19:$F$24,0),MATCH(AK$17,$AK$17:$BB$17,0))*INDEX($10:$13,MATCH($O431,$R$10:$R$13,0),COLUMN())</f>
        <v>1.1390035330133542E-2</v>
      </c>
      <c r="AL431" s="1050" cm="1">
        <f t="array" aca="1" ref="AL431" ca="1">INDEX(OFFSET($AK$19,MATCH($B431,$B$19:$B$150,0)-1,0,COUNTA($B$19:$B$24),COUNTA($AK$17:$BB$17)),MATCH($F431,$F$19:$F$24,0),MATCH(AL$17,$AK$17:$BB$17,0))*INDEX($10:$13,MATCH($O431,$R$10:$R$13,0),COLUMN())</f>
        <v>3.2090311630000006E-8</v>
      </c>
      <c r="AM431" s="1050" cm="1">
        <f t="array" aca="1" ref="AM431" ca="1">INDEX(OFFSET($AK$19,MATCH($B431,$B$19:$B$150,0)-1,0,COUNTA($B$19:$B$24),COUNTA($AK$17:$BB$17)),MATCH($F431,$F$19:$F$24,0),MATCH(AM$17,$AK$17:$BB$17,0))*INDEX($10:$13,MATCH($O431,$R$10:$R$13,0),COLUMN())</f>
        <v>5.2720550190000001E-5</v>
      </c>
      <c r="AN431" s="1050" cm="1">
        <f t="array" aca="1" ref="AN431" ca="1">INDEX(OFFSET($AK$19,MATCH($B431,$B$19:$B$150,0)-1,0,COUNTA($B$19:$B$24),COUNTA($AK$17:$BB$17)),MATCH($F431,$F$19:$F$24,0),MATCH(AN$17,$AK$17:$BB$17,0))*INDEX($10:$13,MATCH($O431,$R$10:$R$13,0),COLUMN())</f>
        <v>6.663327804E-4</v>
      </c>
      <c r="AO431" s="1050" cm="1">
        <f t="array" aca="1" ref="AO431" ca="1">INDEX(OFFSET($AK$19,MATCH($B431,$B$19:$B$150,0)-1,0,COUNTA($B$19:$B$24),COUNTA($AK$17:$BB$17)),MATCH($F431,$F$19:$F$24,0),MATCH(AO$17,$AK$17:$BB$17,0))*INDEX($10:$13,MATCH($O431,$R$10:$R$13,0),COLUMN())</f>
        <v>9.8615145999999994E-3</v>
      </c>
      <c r="AP431" s="1050" cm="1">
        <f t="array" aca="1" ref="AP431" ca="1">INDEX(OFFSET($AK$19,MATCH($B431,$B$19:$B$150,0)-1,0,COUNTA($B$19:$B$24),COUNTA($AK$17:$BB$17)),MATCH($F431,$F$19:$F$24,0),MATCH(AP$17,$AK$17:$BB$17,0))*INDEX($10:$13,MATCH($O431,$R$10:$R$13,0),COLUMN())</f>
        <v>7.7821878840000002E-4</v>
      </c>
      <c r="AQ431" s="1050" cm="1">
        <f t="array" aca="1" ref="AQ431" ca="1">INDEX(OFFSET($AK$19,MATCH($B431,$B$19:$B$150,0)-1,0,COUNTA($B$19:$B$24),COUNTA($AK$17:$BB$17)),MATCH($F431,$F$19:$F$24,0),MATCH(AQ$17,$AK$17:$BB$17,0))*INDEX($10:$13,MATCH($O431,$R$10:$R$13,0),COLUMN())</f>
        <v>6.5049022499999997E-6</v>
      </c>
      <c r="AR431" s="1050" cm="1">
        <f t="array" aca="1" ref="AR431" ca="1">INDEX(OFFSET($AK$19,MATCH($B431,$B$19:$B$150,0)-1,0,COUNTA($B$19:$B$24),COUNTA($AK$17:$BB$17)),MATCH($F431,$F$19:$F$24,0),MATCH(AR$17,$AK$17:$BB$17,0))*INDEX($10:$13,MATCH($O431,$R$10:$R$13,0),COLUMN())</f>
        <v>9.3149304950000001E-3</v>
      </c>
      <c r="AS431" s="1050" cm="1">
        <f t="array" aca="1" ref="AS431" ca="1">INDEX(OFFSET($AK$19,MATCH($B431,$B$19:$B$150,0)-1,0,COUNTA($B$19:$B$24),COUNTA($AK$17:$BB$17)),MATCH($F431,$F$19:$F$24,0),MATCH(AS$17,$AK$17:$BB$17,0))*INDEX($10:$13,MATCH($O431,$R$10:$R$13,0),COLUMN())</f>
        <v>1.664526708E-5</v>
      </c>
      <c r="AT431" s="1050" cm="1">
        <f t="array" aca="1" ref="AT431" ca="1">INDEX(OFFSET($AK$19,MATCH($B431,$B$19:$B$150,0)-1,0,COUNTA($B$19:$B$24),COUNTA($AK$17:$BB$17)),MATCH($F431,$F$19:$F$24,0),MATCH(AT$17,$AK$17:$BB$17,0))*INDEX($10:$13,MATCH($O431,$R$10:$R$13,0),COLUMN())</f>
        <v>5.5475512500000002E-7</v>
      </c>
      <c r="AU431" s="1050" cm="1">
        <f t="array" aca="1" ref="AU431" ca="1">INDEX(OFFSET($AK$19,MATCH($B431,$B$19:$B$150,0)-1,0,COUNTA($B$19:$B$24),COUNTA($AK$17:$BB$17)),MATCH($F431,$F$19:$F$24,0),MATCH(AU$17,$AK$17:$BB$17,0))*INDEX($10:$13,MATCH($O431,$R$10:$R$13,0),COLUMN())</f>
        <v>1.1747688576E-7</v>
      </c>
      <c r="AV431" s="1050" cm="1">
        <f t="array" aca="1" ref="AV431" ca="1">INDEX(OFFSET($AK$19,MATCH($B431,$B$19:$B$150,0)-1,0,COUNTA($B$19:$B$24),COUNTA($AK$17:$BB$17)),MATCH($F431,$F$19:$F$24,0),MATCH(AV$17,$AK$17:$BB$17,0))*INDEX($10:$13,MATCH($O431,$R$10:$R$13,0),COLUMN())</f>
        <v>5.8163697024999998E-4</v>
      </c>
      <c r="AW431" s="1050" cm="1">
        <f t="array" aca="1" ref="AW431" ca="1">INDEX(OFFSET($AK$19,MATCH($B431,$B$19:$B$150,0)-1,0,COUNTA($B$19:$B$24),COUNTA($AK$17:$BB$17)),MATCH($F431,$F$19:$F$24,0),MATCH(AW$17,$AK$17:$BB$17,0))*INDEX($10:$13,MATCH($O431,$R$10:$R$13,0),COLUMN())</f>
        <v>5.2836198899999999E-2</v>
      </c>
      <c r="AX431" s="1050" cm="1">
        <f t="array" aca="1" ref="AX431" ca="1">INDEX(OFFSET($AK$19,MATCH($B431,$B$19:$B$150,0)-1,0,COUNTA($B$19:$B$24),COUNTA($AK$17:$BB$17)),MATCH($F431,$F$19:$F$24,0),MATCH(AX$17,$AK$17:$BB$17,0))*INDEX($10:$13,MATCH($O431,$R$10:$R$13,0),COLUMN())</f>
        <v>1.5467719875E-8</v>
      </c>
      <c r="AY431" s="1050" cm="1">
        <f t="array" aca="1" ref="AY431" ca="1">INDEX(OFFSET($AK$19,MATCH($B431,$B$19:$B$150,0)-1,0,COUNTA($B$19:$B$24),COUNTA($AK$17:$BB$17)),MATCH($F431,$F$19:$F$24,0),MATCH(AY$17,$AK$17:$BB$17,0))*INDEX($10:$13,MATCH($O431,$R$10:$R$13,0),COLUMN())</f>
        <v>-3.9864309693749999E-10</v>
      </c>
      <c r="AZ431" s="1050" cm="1">
        <f t="array" aca="1" ref="AZ431" ca="1">INDEX(OFFSET($AK$19,MATCH($B431,$B$19:$B$150,0)-1,0,COUNTA($B$19:$B$24),COUNTA($AK$17:$BB$17)),MATCH($F431,$F$19:$F$24,0),MATCH(AZ$17,$AK$17:$BB$17,0))*INDEX($10:$13,MATCH($O431,$R$10:$R$13,0),COLUMN())</f>
        <v>0</v>
      </c>
      <c r="BA431" s="1050" cm="1">
        <f t="array" aca="1" ref="BA431" ca="1">INDEX(OFFSET($AK$19,MATCH($B431,$B$19:$B$150,0)-1,0,COUNTA($B$19:$B$24),COUNTA($AK$17:$BB$17)),MATCH($F431,$F$19:$F$24,0),MATCH(BA$17,$AK$17:$BB$17,0))*INDEX($10:$13,MATCH($O431,$R$10:$R$13,0),COLUMN())</f>
        <v>0</v>
      </c>
      <c r="BB431" s="1051" cm="1">
        <f t="array" aca="1" ref="BB431" ca="1">INDEX(OFFSET($AK$19,MATCH($B431,$B$19:$B$150,0)-1,0,COUNTA($B$19:$B$24),COUNTA($AK$17:$BB$17)),MATCH($F431,$F$19:$F$24,0),MATCH(BB$17,$AK$17:$BB$17,0))*INDEX($10:$13,MATCH($O431,$R$10:$R$13,0),COLUMN())</f>
        <v>0</v>
      </c>
      <c r="BC431" s="1053">
        <f t="shared" ca="1" si="176"/>
        <v>5.2836213969076777E-2</v>
      </c>
      <c r="BE431" s="1"/>
      <c r="BF431" s="1"/>
      <c r="BG431" s="1"/>
      <c r="BH431" s="1"/>
      <c r="BI431" s="1"/>
      <c r="BJ431" s="1"/>
      <c r="BK431" s="1"/>
      <c r="BL431" s="1"/>
      <c r="BM431" s="1"/>
      <c r="BN431" s="1"/>
      <c r="BO431" s="1"/>
      <c r="BP431" s="1"/>
      <c r="BQ431" s="1"/>
      <c r="BR431" s="1"/>
      <c r="BS431" s="1"/>
      <c r="BT431" s="1"/>
      <c r="BU431" s="1"/>
      <c r="BV431" s="1"/>
      <c r="BW431" s="1"/>
      <c r="BX431" s="1"/>
      <c r="BY431" s="1"/>
      <c r="BZ431" s="1"/>
    </row>
    <row r="432" spans="2:78" ht="12" customHeight="1" outlineLevel="1" x14ac:dyDescent="0.25">
      <c r="B432" s="104" t="s">
        <v>98</v>
      </c>
      <c r="C432" s="104" t="s">
        <v>121</v>
      </c>
      <c r="D432" s="2" t="s">
        <v>132</v>
      </c>
      <c r="E432" s="2" t="s">
        <v>98</v>
      </c>
      <c r="F432" s="105" t="s">
        <v>94</v>
      </c>
      <c r="G432" s="27" t="s">
        <v>1580</v>
      </c>
      <c r="H432" s="106" t="s">
        <v>131</v>
      </c>
      <c r="I432" s="107" t="s">
        <v>129</v>
      </c>
      <c r="J432" s="147">
        <v>3.8217059399999997</v>
      </c>
      <c r="K432" s="148">
        <v>0.37645999999999996</v>
      </c>
      <c r="L432" s="149">
        <f t="shared" ca="1" si="172"/>
        <v>0.20106137773018276</v>
      </c>
      <c r="M432" s="148">
        <f t="shared" ca="1" si="173"/>
        <v>0.45215156626030456</v>
      </c>
      <c r="N432" s="148">
        <f t="shared" ca="1" si="175"/>
        <v>7.5691566260304599E-2</v>
      </c>
      <c r="O432" s="1062" t="s">
        <v>1584</v>
      </c>
      <c r="P432" s="104"/>
      <c r="R432" s="119"/>
      <c r="S432" s="1072"/>
      <c r="T432" s="1072"/>
      <c r="U432" s="1072"/>
      <c r="V432" s="1072"/>
      <c r="W432" s="1072"/>
      <c r="X432" s="1072"/>
      <c r="Y432" s="1072"/>
      <c r="Z432" s="1072"/>
      <c r="AA432" s="1072"/>
      <c r="AB432" s="1072"/>
      <c r="AC432" s="1072"/>
      <c r="AD432" s="1072"/>
      <c r="AE432" s="1072"/>
      <c r="AF432" s="1072"/>
      <c r="AG432" s="1072"/>
      <c r="AH432" s="1072"/>
      <c r="AI432" s="1072"/>
      <c r="AJ432" s="1073"/>
      <c r="AK432" s="1052" cm="1">
        <f t="array" aca="1" ref="AK432" ca="1">INDEX(OFFSET($AK$19,MATCH($B432,$B$19:$B$150,0)-1,0,COUNTA($B$19:$B$24),COUNTA($AK$17:$BB$17)),MATCH($F432,$F$19:$F$24,0),MATCH(AK$17,$AK$17:$BB$17,0))*INDEX($10:$13,MATCH($O432,$R$10:$R$13,0),COLUMN())</f>
        <v>1.0088542234064458E-2</v>
      </c>
      <c r="AL432" s="1050" cm="1">
        <f t="array" aca="1" ref="AL432" ca="1">INDEX(OFFSET($AK$19,MATCH($B432,$B$19:$B$150,0)-1,0,COUNTA($B$19:$B$24),COUNTA($AK$17:$BB$17)),MATCH($F432,$F$19:$F$24,0),MATCH(AL$17,$AK$17:$BB$17,0))*INDEX($10:$13,MATCH($O432,$R$10:$R$13,0),COLUMN())</f>
        <v>2.842348184E-8</v>
      </c>
      <c r="AM432" s="1050" cm="1">
        <f t="array" aca="1" ref="AM432" ca="1">INDEX(OFFSET($AK$19,MATCH($B432,$B$19:$B$150,0)-1,0,COUNTA($B$19:$B$24),COUNTA($AK$17:$BB$17)),MATCH($F432,$F$19:$F$24,0),MATCH(AM$17,$AK$17:$BB$17,0))*INDEX($10:$13,MATCH($O432,$R$10:$R$13,0),COLUMN())</f>
        <v>4.6696386330000002E-5</v>
      </c>
      <c r="AN432" s="1050" cm="1">
        <f t="array" aca="1" ref="AN432" ca="1">INDEX(OFFSET($AK$19,MATCH($B432,$B$19:$B$150,0)-1,0,COUNTA($B$19:$B$24),COUNTA($AK$17:$BB$17)),MATCH($F432,$F$19:$F$24,0),MATCH(AN$17,$AK$17:$BB$17,0))*INDEX($10:$13,MATCH($O432,$R$10:$R$13,0),COLUMN())</f>
        <v>5.9019365160000001E-4</v>
      </c>
      <c r="AO432" s="1050" cm="1">
        <f t="array" aca="1" ref="AO432" ca="1">INDEX(OFFSET($AK$19,MATCH($B432,$B$19:$B$150,0)-1,0,COUNTA($B$19:$B$24),COUNTA($AK$17:$BB$17)),MATCH($F432,$F$19:$F$24,0),MATCH(AO$17,$AK$17:$BB$17,0))*INDEX($10:$13,MATCH($O432,$R$10:$R$13,0),COLUMN())</f>
        <v>8.7346795200000001E-3</v>
      </c>
      <c r="AP432" s="1050" cm="1">
        <f t="array" aca="1" ref="AP432" ca="1">INDEX(OFFSET($AK$19,MATCH($B432,$B$19:$B$150,0)-1,0,COUNTA($B$19:$B$24),COUNTA($AK$17:$BB$17)),MATCH($F432,$F$19:$F$24,0),MATCH(AP$17,$AK$17:$BB$17,0))*INDEX($10:$13,MATCH($O432,$R$10:$R$13,0),COLUMN())</f>
        <v>6.8929491160000004E-4</v>
      </c>
      <c r="AQ432" s="1050" cm="1">
        <f t="array" aca="1" ref="AQ432" ca="1">INDEX(OFFSET($AK$19,MATCH($B432,$B$19:$B$150,0)-1,0,COUNTA($B$19:$B$24),COUNTA($AK$17:$BB$17)),MATCH($F432,$F$19:$F$24,0),MATCH(AQ$17,$AK$17:$BB$17,0))*INDEX($10:$13,MATCH($O432,$R$10:$R$13,0),COLUMN())</f>
        <v>5.7616135000000003E-6</v>
      </c>
      <c r="AR432" s="1050" cm="1">
        <f t="array" aca="1" ref="AR432" ca="1">INDEX(OFFSET($AK$19,MATCH($B432,$B$19:$B$150,0)-1,0,COUNTA($B$19:$B$24),COUNTA($AK$17:$BB$17)),MATCH($F432,$F$19:$F$24,0),MATCH(AR$17,$AK$17:$BB$17,0))*INDEX($10:$13,MATCH($O432,$R$10:$R$13,0),COLUMN())</f>
        <v>8.2505513440000004E-3</v>
      </c>
      <c r="AS432" s="1050" cm="1">
        <f t="array" aca="1" ref="AS432" ca="1">INDEX(OFFSET($AK$19,MATCH($B432,$B$19:$B$150,0)-1,0,COUNTA($B$19:$B$24),COUNTA($AK$17:$BB$17)),MATCH($F432,$F$19:$F$24,0),MATCH(AS$17,$AK$17:$BB$17,0))*INDEX($10:$13,MATCH($O432,$R$10:$R$13,0),COLUMN())</f>
        <v>1.0958113998E-5</v>
      </c>
      <c r="AT432" s="1050" cm="1">
        <f t="array" aca="1" ref="AT432" ca="1">INDEX(OFFSET($AK$19,MATCH($B432,$B$19:$B$150,0)-1,0,COUNTA($B$19:$B$24),COUNTA($AK$17:$BB$17)),MATCH($F432,$F$19:$F$24,0),MATCH(AT$17,$AK$17:$BB$17,0))*INDEX($10:$13,MATCH($O432,$R$10:$R$13,0),COLUMN())</f>
        <v>4.9004671600000002E-7</v>
      </c>
      <c r="AU432" s="1050" cm="1">
        <f t="array" aca="1" ref="AU432" ca="1">INDEX(OFFSET($AK$19,MATCH($B432,$B$19:$B$150,0)-1,0,COUNTA($B$19:$B$24),COUNTA($AK$17:$BB$17)),MATCH($F432,$F$19:$F$24,0),MATCH(AU$17,$AK$17:$BB$17,0))*INDEX($10:$13,MATCH($O432,$R$10:$R$13,0),COLUMN())</f>
        <v>1.0391081952E-7</v>
      </c>
      <c r="AV432" s="1050" cm="1">
        <f t="array" aca="1" ref="AV432" ca="1">INDEX(OFFSET($AK$19,MATCH($B432,$B$19:$B$150,0)-1,0,COUNTA($B$19:$B$24),COUNTA($AK$17:$BB$17)),MATCH($F432,$F$19:$F$24,0),MATCH(AV$17,$AK$17:$BB$17,0))*INDEX($10:$13,MATCH($O432,$R$10:$R$13,0),COLUMN())</f>
        <v>4.7543130699999997E-4</v>
      </c>
      <c r="AW432" s="1050" cm="1">
        <f t="array" aca="1" ref="AW432" ca="1">INDEX(OFFSET($AK$19,MATCH($B432,$B$19:$B$150,0)-1,0,COUNTA($B$19:$B$24),COUNTA($AK$17:$BB$17)),MATCH($F432,$F$19:$F$24,0),MATCH(AW$17,$AK$17:$BB$17,0))*INDEX($10:$13,MATCH($O432,$R$10:$R$13,0),COLUMN())</f>
        <v>4.6798821449999993E-2</v>
      </c>
      <c r="AX432" s="1050" cm="1">
        <f t="array" aca="1" ref="AX432" ca="1">INDEX(OFFSET($AK$19,MATCH($B432,$B$19:$B$150,0)-1,0,COUNTA($B$19:$B$24),COUNTA($AK$17:$BB$17)),MATCH($F432,$F$19:$F$24,0),MATCH(AX$17,$AK$17:$BB$17,0))*INDEX($10:$13,MATCH($O432,$R$10:$R$13,0),COLUMN())</f>
        <v>1.3700286569999999E-8</v>
      </c>
      <c r="AY432" s="1050" cm="1">
        <f t="array" aca="1" ref="AY432" ca="1">INDEX(OFFSET($AK$19,MATCH($B432,$B$19:$B$150,0)-1,0,COUNTA($B$19:$B$24),COUNTA($AK$17:$BB$17)),MATCH($F432,$F$19:$F$24,0),MATCH(AY$17,$AK$17:$BB$17,0))*INDEX($10:$13,MATCH($O432,$R$10:$R$13,0),COLUMN())</f>
        <v>-3.5309177437499997E-10</v>
      </c>
      <c r="AZ432" s="1050" cm="1">
        <f t="array" aca="1" ref="AZ432" ca="1">INDEX(OFFSET($AK$19,MATCH($B432,$B$19:$B$150,0)-1,0,COUNTA($B$19:$B$24),COUNTA($AK$17:$BB$17)),MATCH($F432,$F$19:$F$24,0),MATCH(AZ$17,$AK$17:$BB$17,0))*INDEX($10:$13,MATCH($O432,$R$10:$R$13,0),COLUMN())</f>
        <v>0</v>
      </c>
      <c r="BA432" s="1050" cm="1">
        <f t="array" aca="1" ref="BA432" ca="1">INDEX(OFFSET($AK$19,MATCH($B432,$B$19:$B$150,0)-1,0,COUNTA($B$19:$B$24),COUNTA($AK$17:$BB$17)),MATCH($F432,$F$19:$F$24,0),MATCH(BA$17,$AK$17:$BB$17,0))*INDEX($10:$13,MATCH($O432,$R$10:$R$13,0),COLUMN())</f>
        <v>0</v>
      </c>
      <c r="BB432" s="1051" cm="1">
        <f t="array" aca="1" ref="BB432" ca="1">INDEX(OFFSET($AK$19,MATCH($B432,$B$19:$B$150,0)-1,0,COUNTA($B$19:$B$24),COUNTA($AK$17:$BB$17)),MATCH($F432,$F$19:$F$24,0),MATCH(BB$17,$AK$17:$BB$17,0))*INDEX($10:$13,MATCH($O432,$R$10:$R$13,0),COLUMN())</f>
        <v>0</v>
      </c>
      <c r="BC432" s="1053">
        <f t="shared" ca="1" si="176"/>
        <v>4.6798834797194794E-2</v>
      </c>
      <c r="BE432" s="1"/>
      <c r="BF432" s="1"/>
      <c r="BG432" s="1"/>
      <c r="BH432" s="1"/>
      <c r="BI432" s="1"/>
      <c r="BJ432" s="1"/>
      <c r="BK432" s="1"/>
      <c r="BL432" s="1"/>
      <c r="BM432" s="1"/>
      <c r="BN432" s="1"/>
      <c r="BO432" s="1"/>
      <c r="BP432" s="1"/>
      <c r="BQ432" s="1"/>
      <c r="BR432" s="1"/>
      <c r="BS432" s="1"/>
      <c r="BT432" s="1"/>
      <c r="BU432" s="1"/>
      <c r="BV432" s="1"/>
      <c r="BW432" s="1"/>
      <c r="BX432" s="1"/>
      <c r="BY432" s="1"/>
      <c r="BZ432" s="1"/>
    </row>
    <row r="433" spans="2:78" ht="12" customHeight="1" outlineLevel="1" x14ac:dyDescent="0.25">
      <c r="B433" s="104" t="s">
        <v>98</v>
      </c>
      <c r="C433" s="104" t="s">
        <v>121</v>
      </c>
      <c r="D433" s="2" t="s">
        <v>132</v>
      </c>
      <c r="E433" s="2" t="s">
        <v>98</v>
      </c>
      <c r="F433" s="105" t="s">
        <v>95</v>
      </c>
      <c r="G433" s="27" t="s">
        <v>1581</v>
      </c>
      <c r="H433" s="106" t="s">
        <v>128</v>
      </c>
      <c r="I433" s="107" t="s">
        <v>127</v>
      </c>
      <c r="J433" s="147">
        <v>3.8217059399999997</v>
      </c>
      <c r="K433" s="148">
        <v>0.37645999999999996</v>
      </c>
      <c r="L433" s="149">
        <f t="shared" ca="1" si="172"/>
        <v>0.27450096560506948</v>
      </c>
      <c r="M433" s="148">
        <f t="shared" ca="1" si="173"/>
        <v>0.47979863351168439</v>
      </c>
      <c r="N433" s="148">
        <f t="shared" ca="1" si="175"/>
        <v>0.10333863351168444</v>
      </c>
      <c r="O433" s="1062" t="s">
        <v>1584</v>
      </c>
      <c r="P433" s="104"/>
      <c r="R433" s="119"/>
      <c r="S433" s="1072"/>
      <c r="T433" s="1072"/>
      <c r="U433" s="1072"/>
      <c r="V433" s="1072"/>
      <c r="W433" s="1072"/>
      <c r="X433" s="1072"/>
      <c r="Y433" s="1072"/>
      <c r="Z433" s="1072"/>
      <c r="AA433" s="1072"/>
      <c r="AB433" s="1072"/>
      <c r="AC433" s="1072"/>
      <c r="AD433" s="1072"/>
      <c r="AE433" s="1072"/>
      <c r="AF433" s="1072"/>
      <c r="AG433" s="1072"/>
      <c r="AH433" s="1072"/>
      <c r="AI433" s="1072"/>
      <c r="AJ433" s="1073"/>
      <c r="AK433" s="1052" cm="1">
        <f t="array" aca="1" ref="AK433" ca="1">INDEX(OFFSET($AK$19,MATCH($B433,$B$19:$B$150,0)-1,0,COUNTA($B$19:$B$24),COUNTA($AK$17:$BB$17)),MATCH($F433,$F$19:$F$24,0),MATCH(AK$17,$AK$17:$BB$17,0))*INDEX($10:$13,MATCH($O433,$R$10:$R$13,0),COLUMN())</f>
        <v>1.2525516119444689E-2</v>
      </c>
      <c r="AL433" s="1050" cm="1">
        <f t="array" aca="1" ref="AL433" ca="1">INDEX(OFFSET($AK$19,MATCH($B433,$B$19:$B$150,0)-1,0,COUNTA($B$19:$B$24),COUNTA($AK$17:$BB$17)),MATCH($F433,$F$19:$F$24,0),MATCH(AL$17,$AK$17:$BB$17,0))*INDEX($10:$13,MATCH($O433,$R$10:$R$13,0),COLUMN())</f>
        <v>3.0371190199999999E-8</v>
      </c>
      <c r="AM433" s="1050" cm="1">
        <f t="array" aca="1" ref="AM433" ca="1">INDEX(OFFSET($AK$19,MATCH($B433,$B$19:$B$150,0)-1,0,COUNTA($B$19:$B$24),COUNTA($AK$17:$BB$17)),MATCH($F433,$F$19:$F$24,0),MATCH(AM$17,$AK$17:$BB$17,0))*INDEX($10:$13,MATCH($O433,$R$10:$R$13,0),COLUMN())</f>
        <v>4.9894559550000003E-5</v>
      </c>
      <c r="AN433" s="1050" cm="1">
        <f t="array" aca="1" ref="AN433" ca="1">INDEX(OFFSET($AK$19,MATCH($B433,$B$19:$B$150,0)-1,0,COUNTA($B$19:$B$24),COUNTA($AK$17:$BB$17)),MATCH($F433,$F$19:$F$24,0),MATCH(AN$17,$AK$17:$BB$17,0))*INDEX($10:$13,MATCH($O433,$R$10:$R$13,0),COLUMN())</f>
        <v>6.7007220839999991E-4</v>
      </c>
      <c r="AO433" s="1050" cm="1">
        <f t="array" aca="1" ref="AO433" ca="1">INDEX(OFFSET($AK$19,MATCH($B433,$B$19:$B$150,0)-1,0,COUNTA($B$19:$B$24),COUNTA($AK$17:$BB$17)),MATCH($F433,$F$19:$F$24,0),MATCH(AO$17,$AK$17:$BB$17,0))*INDEX($10:$13,MATCH($O433,$R$10:$R$13,0),COLUMN())</f>
        <v>2.1680870960000001E-2</v>
      </c>
      <c r="AP433" s="1050" cm="1">
        <f t="array" aca="1" ref="AP433" ca="1">INDEX(OFFSET($AK$19,MATCH($B433,$B$19:$B$150,0)-1,0,COUNTA($B$19:$B$24),COUNTA($AK$17:$BB$17)),MATCH($F433,$F$19:$F$24,0),MATCH(AP$17,$AK$17:$BB$17,0))*INDEX($10:$13,MATCH($O433,$R$10:$R$13,0),COLUMN())</f>
        <v>2.4824547908E-3</v>
      </c>
      <c r="AQ433" s="1050" cm="1">
        <f t="array" aca="1" ref="AQ433" ca="1">INDEX(OFFSET($AK$19,MATCH($B433,$B$19:$B$150,0)-1,0,COUNTA($B$19:$B$24),COUNTA($AK$17:$BB$17)),MATCH($F433,$F$19:$F$24,0),MATCH(AQ$17,$AK$17:$BB$17,0))*INDEX($10:$13,MATCH($O433,$R$10:$R$13,0),COLUMN())</f>
        <v>2.4181770499999999E-5</v>
      </c>
      <c r="AR433" s="1050" cm="1">
        <f t="array" aca="1" ref="AR433" ca="1">INDEX(OFFSET($AK$19,MATCH($B433,$B$19:$B$150,0)-1,0,COUNTA($B$19:$B$24),COUNTA($AK$17:$BB$17)),MATCH($F433,$F$19:$F$24,0),MATCH(AR$17,$AK$17:$BB$17,0))*INDEX($10:$13,MATCH($O433,$R$10:$R$13,0),COLUMN())</f>
        <v>1.3157373436999999E-2</v>
      </c>
      <c r="AS433" s="1050" cm="1">
        <f t="array" aca="1" ref="AS433" ca="1">INDEX(OFFSET($AK$19,MATCH($B433,$B$19:$B$150,0)-1,0,COUNTA($B$19:$B$24),COUNTA($AK$17:$BB$17)),MATCH($F433,$F$19:$F$24,0),MATCH(AS$17,$AK$17:$BB$17,0))*INDEX($10:$13,MATCH($O433,$R$10:$R$13,0),COLUMN())</f>
        <v>2.8724820929999995E-4</v>
      </c>
      <c r="AT433" s="1050" cm="1">
        <f t="array" aca="1" ref="AT433" ca="1">INDEX(OFFSET($AK$19,MATCH($B433,$B$19:$B$150,0)-1,0,COUNTA($B$19:$B$24),COUNTA($AK$17:$BB$17)),MATCH($F433,$F$19:$F$24,0),MATCH(AT$17,$AK$17:$BB$17,0))*INDEX($10:$13,MATCH($O433,$R$10:$R$13,0),COLUMN())</f>
        <v>7.2127439450000001E-7</v>
      </c>
      <c r="AU433" s="1050" cm="1">
        <f t="array" aca="1" ref="AU433" ca="1">INDEX(OFFSET($AK$19,MATCH($B433,$B$19:$B$150,0)-1,0,COUNTA($B$19:$B$24),COUNTA($AK$17:$BB$17)),MATCH($F433,$F$19:$F$24,0),MATCH(AU$17,$AK$17:$BB$17,0))*INDEX($10:$13,MATCH($O433,$R$10:$R$13,0),COLUMN())</f>
        <v>1.4097000512000002E-7</v>
      </c>
      <c r="AV433" s="1050" cm="1">
        <f t="array" aca="1" ref="AV433" ca="1">INDEX(OFFSET($AK$19,MATCH($B433,$B$19:$B$150,0)-1,0,COUNTA($B$19:$B$24),COUNTA($AK$17:$BB$17)),MATCH($F433,$F$19:$F$24,0),MATCH(AV$17,$AK$17:$BB$17,0))*INDEX($10:$13,MATCH($O433,$R$10:$R$13,0),COLUMN())</f>
        <v>2.825055735E-3</v>
      </c>
      <c r="AW433" s="1050" cm="1">
        <f t="array" aca="1" ref="AW433" ca="1">INDEX(OFFSET($AK$19,MATCH($B433,$B$19:$B$150,0)-1,0,COUNTA($B$19:$B$24),COUNTA($AK$17:$BB$17)),MATCH($F433,$F$19:$F$24,0),MATCH(AW$17,$AK$17:$BB$17,0))*INDEX($10:$13,MATCH($O433,$R$10:$R$13,0),COLUMN())</f>
        <v>4.9635058949999998E-2</v>
      </c>
      <c r="AX433" s="1050" cm="1">
        <f t="array" aca="1" ref="AX433" ca="1">INDEX(OFFSET($AK$19,MATCH($B433,$B$19:$B$150,0)-1,0,COUNTA($B$19:$B$24),COUNTA($AK$17:$BB$17)),MATCH($F433,$F$19:$F$24,0),MATCH(AX$17,$AK$17:$BB$17,0))*INDEX($10:$13,MATCH($O433,$R$10:$R$13,0),COLUMN())</f>
        <v>1.4530590795000001E-8</v>
      </c>
      <c r="AY433" s="1050" cm="1">
        <f t="array" aca="1" ref="AY433" ca="1">INDEX(OFFSET($AK$19,MATCH($B433,$B$19:$B$150,0)-1,0,COUNTA($B$19:$B$24),COUNTA($AK$17:$BB$17)),MATCH($F433,$F$19:$F$24,0),MATCH(AY$17,$AK$17:$BB$17,0))*INDEX($10:$13,MATCH($O433,$R$10:$R$13,0),COLUMN())</f>
        <v>-3.7449085162499996E-10</v>
      </c>
      <c r="AZ433" s="1050" cm="1">
        <f t="array" aca="1" ref="AZ433" ca="1">INDEX(OFFSET($AK$19,MATCH($B433,$B$19:$B$150,0)-1,0,COUNTA($B$19:$B$24),COUNTA($AK$17:$BB$17)),MATCH($F433,$F$19:$F$24,0),MATCH(AZ$17,$AK$17:$BB$17,0))*INDEX($10:$13,MATCH($O433,$R$10:$R$13,0),COLUMN())</f>
        <v>0</v>
      </c>
      <c r="BA433" s="1050" cm="1">
        <f t="array" aca="1" ref="BA433" ca="1">INDEX(OFFSET($AK$19,MATCH($B433,$B$19:$B$150,0)-1,0,COUNTA($B$19:$B$24),COUNTA($AK$17:$BB$17)),MATCH($F433,$F$19:$F$24,0),MATCH(BA$17,$AK$17:$BB$17,0))*INDEX($10:$13,MATCH($O433,$R$10:$R$13,0),COLUMN())</f>
        <v>0</v>
      </c>
      <c r="BB433" s="1051" cm="1">
        <f t="array" aca="1" ref="BB433" ca="1">INDEX(OFFSET($AK$19,MATCH($B433,$B$19:$B$150,0)-1,0,COUNTA($B$19:$B$24),COUNTA($AK$17:$BB$17)),MATCH($F433,$F$19:$F$24,0),MATCH(BB$17,$AK$17:$BB$17,0))*INDEX($10:$13,MATCH($O433,$R$10:$R$13,0),COLUMN())</f>
        <v>0</v>
      </c>
      <c r="BC433" s="1053">
        <f t="shared" ca="1" si="176"/>
        <v>4.9635073106099936E-2</v>
      </c>
      <c r="BE433" s="1"/>
      <c r="BF433" s="1"/>
      <c r="BG433" s="1"/>
      <c r="BH433" s="1"/>
      <c r="BI433" s="1"/>
      <c r="BJ433" s="1"/>
      <c r="BK433" s="1"/>
      <c r="BL433" s="1"/>
      <c r="BM433" s="1"/>
      <c r="BN433" s="1"/>
      <c r="BO433" s="1"/>
      <c r="BP433" s="1"/>
      <c r="BQ433" s="1"/>
      <c r="BR433" s="1"/>
      <c r="BS433" s="1"/>
      <c r="BT433" s="1"/>
      <c r="BU433" s="1"/>
      <c r="BV433" s="1"/>
      <c r="BW433" s="1"/>
      <c r="BX433" s="1"/>
      <c r="BY433" s="1"/>
      <c r="BZ433" s="1"/>
    </row>
    <row r="434" spans="2:78" ht="12" customHeight="1" outlineLevel="1" x14ac:dyDescent="0.25">
      <c r="B434" s="104" t="s">
        <v>98</v>
      </c>
      <c r="C434" s="104" t="s">
        <v>121</v>
      </c>
      <c r="D434" s="2" t="s">
        <v>132</v>
      </c>
      <c r="E434" s="2" t="s">
        <v>98</v>
      </c>
      <c r="F434" s="105" t="s">
        <v>96</v>
      </c>
      <c r="G434" s="27" t="s">
        <v>1582</v>
      </c>
      <c r="H434" s="106" t="s">
        <v>128</v>
      </c>
      <c r="I434" s="107" t="s">
        <v>1577</v>
      </c>
      <c r="J434" s="147">
        <v>3.8217059399999997</v>
      </c>
      <c r="K434" s="148">
        <v>0.37645999999999996</v>
      </c>
      <c r="L434" s="149">
        <f t="shared" ca="1" si="172"/>
        <v>0.31947000232175754</v>
      </c>
      <c r="M434" s="148">
        <f t="shared" ca="1" si="173"/>
        <v>0.4967276770740488</v>
      </c>
      <c r="N434" s="148">
        <f t="shared" ca="1" si="175"/>
        <v>0.12026767707404883</v>
      </c>
      <c r="O434" s="1062" t="s">
        <v>1584</v>
      </c>
      <c r="P434" s="104"/>
      <c r="R434" s="119"/>
      <c r="S434" s="1072"/>
      <c r="T434" s="1072"/>
      <c r="U434" s="1072"/>
      <c r="V434" s="1072"/>
      <c r="W434" s="1072"/>
      <c r="X434" s="1072"/>
      <c r="Y434" s="1072"/>
      <c r="Z434" s="1072"/>
      <c r="AA434" s="1072"/>
      <c r="AB434" s="1072"/>
      <c r="AC434" s="1072"/>
      <c r="AD434" s="1072"/>
      <c r="AE434" s="1072"/>
      <c r="AF434" s="1072"/>
      <c r="AG434" s="1072"/>
      <c r="AH434" s="1072"/>
      <c r="AI434" s="1072"/>
      <c r="AJ434" s="1073"/>
      <c r="AK434" s="1052" cm="1">
        <f t="array" aca="1" ref="AK434" ca="1">INDEX(OFFSET($AK$19,MATCH($B434,$B$19:$B$150,0)-1,0,COUNTA($B$19:$B$24),COUNTA($AK$17:$BB$17)),MATCH($F434,$F$19:$F$24,0),MATCH(AK$17,$AK$17:$BB$17,0))*INDEX($10:$13,MATCH($O434,$R$10:$R$13,0),COLUMN())</f>
        <v>1.3833864352330139E-2</v>
      </c>
      <c r="AL434" s="1050" cm="1">
        <f t="array" aca="1" ref="AL434" ca="1">INDEX(OFFSET($AK$19,MATCH($B434,$B$19:$B$150,0)-1,0,COUNTA($B$19:$B$24),COUNTA($AK$17:$BB$17)),MATCH($F434,$F$19:$F$24,0),MATCH(AL$17,$AK$17:$BB$17,0))*INDEX($10:$13,MATCH($O434,$R$10:$R$13,0),COLUMN())</f>
        <v>3.0518097740000001E-8</v>
      </c>
      <c r="AM434" s="1050" cm="1">
        <f t="array" aca="1" ref="AM434" ca="1">INDEX(OFFSET($AK$19,MATCH($B434,$B$19:$B$150,0)-1,0,COUNTA($B$19:$B$24),COUNTA($AK$17:$BB$17)),MATCH($F434,$F$19:$F$24,0),MATCH(AM$17,$AK$17:$BB$17,0))*INDEX($10:$13,MATCH($O434,$R$10:$R$13,0),COLUMN())</f>
        <v>5.0134814729999995E-5</v>
      </c>
      <c r="AN434" s="1050" cm="1">
        <f t="array" aca="1" ref="AN434" ca="1">INDEX(OFFSET($AK$19,MATCH($B434,$B$19:$B$150,0)-1,0,COUNTA($B$19:$B$24),COUNTA($AK$17:$BB$17)),MATCH($F434,$F$19:$F$24,0),MATCH(AN$17,$AK$17:$BB$17,0))*INDEX($10:$13,MATCH($O434,$R$10:$R$13,0),COLUMN())</f>
        <v>6.9885905880000005E-4</v>
      </c>
      <c r="AO434" s="1050" cm="1">
        <f t="array" aca="1" ref="AO434" ca="1">INDEX(OFFSET($AK$19,MATCH($B434,$B$19:$B$150,0)-1,0,COUNTA($B$19:$B$24),COUNTA($AK$17:$BB$17)),MATCH($F434,$F$19:$F$24,0),MATCH(AO$17,$AK$17:$BB$17,0))*INDEX($10:$13,MATCH($O434,$R$10:$R$13,0),COLUMN())</f>
        <v>3.0708171199999999E-2</v>
      </c>
      <c r="AP434" s="1050" cm="1">
        <f t="array" aca="1" ref="AP434" ca="1">INDEX(OFFSET($AK$19,MATCH($B434,$B$19:$B$150,0)-1,0,COUNTA($B$19:$B$24),COUNTA($AK$17:$BB$17)),MATCH($F434,$F$19:$F$24,0),MATCH(AP$17,$AK$17:$BB$17,0))*INDEX($10:$13,MATCH($O434,$R$10:$R$13,0),COLUMN())</f>
        <v>3.7583166036000001E-3</v>
      </c>
      <c r="AQ434" s="1050" cm="1">
        <f t="array" aca="1" ref="AQ434" ca="1">INDEX(OFFSET($AK$19,MATCH($B434,$B$19:$B$150,0)-1,0,COUNTA($B$19:$B$24),COUNTA($AK$17:$BB$17)),MATCH($F434,$F$19:$F$24,0),MATCH(AQ$17,$AK$17:$BB$17,0))*INDEX($10:$13,MATCH($O434,$R$10:$R$13,0),COLUMN())</f>
        <v>3.7051544999999999E-5</v>
      </c>
      <c r="AR434" s="1050" cm="1">
        <f t="array" aca="1" ref="AR434" ca="1">INDEX(OFFSET($AK$19,MATCH($B434,$B$19:$B$150,0)-1,0,COUNTA($B$19:$B$24),COUNTA($AK$17:$BB$17)),MATCH($F434,$F$19:$F$24,0),MATCH(AR$17,$AK$17:$BB$17,0))*INDEX($10:$13,MATCH($O434,$R$10:$R$13,0),COLUMN())</f>
        <v>1.6370256280000002E-2</v>
      </c>
      <c r="AS434" s="1050" cm="1">
        <f t="array" aca="1" ref="AS434" ca="1">INDEX(OFFSET($AK$19,MATCH($B434,$B$19:$B$150,0)-1,0,COUNTA($B$19:$B$24),COUNTA($AK$17:$BB$17)),MATCH($F434,$F$19:$F$24,0),MATCH(AS$17,$AK$17:$BB$17,0))*INDEX($10:$13,MATCH($O434,$R$10:$R$13,0),COLUMN())</f>
        <v>4.8111726779999993E-4</v>
      </c>
      <c r="AT434" s="1050" cm="1">
        <f t="array" aca="1" ref="AT434" ca="1">INDEX(OFFSET($AK$19,MATCH($B434,$B$19:$B$150,0)-1,0,COUNTA($B$19:$B$24),COUNTA($AK$17:$BB$17)),MATCH($F434,$F$19:$F$24,0),MATCH(AT$17,$AK$17:$BB$17,0))*INDEX($10:$13,MATCH($O434,$R$10:$R$13,0),COLUMN())</f>
        <v>8.0826831099999999E-7</v>
      </c>
      <c r="AU434" s="1050" cm="1">
        <f t="array" aca="1" ref="AU434" ca="1">INDEX(OFFSET($AK$19,MATCH($B434,$B$19:$B$150,0)-1,0,COUNTA($B$19:$B$24),COUNTA($AK$17:$BB$17)),MATCH($F434,$F$19:$F$24,0),MATCH(AU$17,$AK$17:$BB$17,0))*INDEX($10:$13,MATCH($O434,$R$10:$R$13,0),COLUMN())</f>
        <v>1.5338428E-7</v>
      </c>
      <c r="AV434" s="1050" cm="1">
        <f t="array" aca="1" ref="AV434" ca="1">INDEX(OFFSET($AK$19,MATCH($B434,$B$19:$B$150,0)-1,0,COUNTA($B$19:$B$24),COUNTA($AK$17:$BB$17)),MATCH($F434,$F$19:$F$24,0),MATCH(AV$17,$AK$17:$BB$17,0))*INDEX($10:$13,MATCH($O434,$R$10:$R$13,0),COLUMN())</f>
        <v>4.6938406749999989E-3</v>
      </c>
      <c r="AW434" s="1050" cm="1">
        <f t="array" aca="1" ref="AW434" ca="1">INDEX(OFFSET($AK$19,MATCH($B434,$B$19:$B$150,0)-1,0,COUNTA($B$19:$B$24),COUNTA($AK$17:$BB$17)),MATCH($F434,$F$19:$F$24,0),MATCH(AW$17,$AK$17:$BB$17,0))*INDEX($10:$13,MATCH($O434,$R$10:$R$13,0),COLUMN())</f>
        <v>4.9635058949999998E-2</v>
      </c>
      <c r="AX434" s="1050" cm="1">
        <f t="array" aca="1" ref="AX434" ca="1">INDEX(OFFSET($AK$19,MATCH($B434,$B$19:$B$150,0)-1,0,COUNTA($B$19:$B$24),COUNTA($AK$17:$BB$17)),MATCH($F434,$F$19:$F$24,0),MATCH(AX$17,$AK$17:$BB$17,0))*INDEX($10:$13,MATCH($O434,$R$10:$R$13,0),COLUMN())</f>
        <v>1.4530590795000001E-8</v>
      </c>
      <c r="AY434" s="1050" cm="1">
        <f t="array" aca="1" ref="AY434" ca="1">INDEX(OFFSET($AK$19,MATCH($B434,$B$19:$B$150,0)-1,0,COUNTA($B$19:$B$24),COUNTA($AK$17:$BB$17)),MATCH($F434,$F$19:$F$24,0),MATCH(AY$17,$AK$17:$BB$17,0))*INDEX($10:$13,MATCH($O434,$R$10:$R$13,0),COLUMN())</f>
        <v>-3.7449085162499996E-10</v>
      </c>
      <c r="AZ434" s="1050" cm="1">
        <f t="array" aca="1" ref="AZ434" ca="1">INDEX(OFFSET($AK$19,MATCH($B434,$B$19:$B$150,0)-1,0,COUNTA($B$19:$B$24),COUNTA($AK$17:$BB$17)),MATCH($F434,$F$19:$F$24,0),MATCH(AZ$17,$AK$17:$BB$17,0))*INDEX($10:$13,MATCH($O434,$R$10:$R$13,0),COLUMN())</f>
        <v>0</v>
      </c>
      <c r="BA434" s="1050" cm="1">
        <f t="array" aca="1" ref="BA434" ca="1">INDEX(OFFSET($AK$19,MATCH($B434,$B$19:$B$150,0)-1,0,COUNTA($B$19:$B$24),COUNTA($AK$17:$BB$17)),MATCH($F434,$F$19:$F$24,0),MATCH(BA$17,$AK$17:$BB$17,0))*INDEX($10:$13,MATCH($O434,$R$10:$R$13,0),COLUMN())</f>
        <v>0</v>
      </c>
      <c r="BB434" s="1051" cm="1">
        <f t="array" aca="1" ref="BB434" ca="1">INDEX(OFFSET($AK$19,MATCH($B434,$B$19:$B$150,0)-1,0,COUNTA($B$19:$B$24),COUNTA($AK$17:$BB$17)),MATCH($F434,$F$19:$F$24,0),MATCH(BB$17,$AK$17:$BB$17,0))*INDEX($10:$13,MATCH($O434,$R$10:$R$13,0),COLUMN())</f>
        <v>0</v>
      </c>
      <c r="BC434" s="1053">
        <f t="shared" ca="1" si="176"/>
        <v>4.9635073106099936E-2</v>
      </c>
      <c r="BE434" s="1"/>
      <c r="BF434" s="1"/>
      <c r="BG434" s="1"/>
      <c r="BH434" s="1"/>
      <c r="BI434" s="1"/>
      <c r="BJ434" s="1"/>
      <c r="BK434" s="1"/>
      <c r="BL434" s="1"/>
      <c r="BM434" s="1"/>
      <c r="BN434" s="1"/>
      <c r="BO434" s="1"/>
      <c r="BP434" s="1"/>
      <c r="BQ434" s="1"/>
      <c r="BR434" s="1"/>
      <c r="BS434" s="1"/>
      <c r="BT434" s="1"/>
      <c r="BU434" s="1"/>
      <c r="BV434" s="1"/>
      <c r="BW434" s="1"/>
      <c r="BX434" s="1"/>
      <c r="BY434" s="1"/>
      <c r="BZ434" s="1"/>
    </row>
    <row r="435" spans="2:78" ht="12" customHeight="1" outlineLevel="1" x14ac:dyDescent="0.25">
      <c r="B435" s="88" t="s">
        <v>99</v>
      </c>
      <c r="C435" s="88" t="s">
        <v>121</v>
      </c>
      <c r="D435" s="89" t="s">
        <v>132</v>
      </c>
      <c r="E435" s="89" t="s">
        <v>99</v>
      </c>
      <c r="F435" s="90" t="s">
        <v>92</v>
      </c>
      <c r="G435" s="18" t="s">
        <v>126</v>
      </c>
      <c r="H435" s="91" t="s">
        <v>127</v>
      </c>
      <c r="I435" s="92" t="s">
        <v>127</v>
      </c>
      <c r="J435" s="142">
        <v>3.72132342</v>
      </c>
      <c r="K435" s="143">
        <v>0.17004</v>
      </c>
      <c r="L435" s="144">
        <f t="shared" ca="1" si="172"/>
        <v>0.85028636729330664</v>
      </c>
      <c r="M435" s="143">
        <f t="shared" ca="1" si="173"/>
        <v>0.31462269389455388</v>
      </c>
      <c r="N435" s="143">
        <f t="shared" ca="1" si="175"/>
        <v>0.14458269389455386</v>
      </c>
      <c r="O435" s="1063" t="s">
        <v>1584</v>
      </c>
      <c r="P435" s="88"/>
      <c r="Q435" s="89"/>
      <c r="R435" s="150"/>
      <c r="S435" s="1070"/>
      <c r="T435" s="1070"/>
      <c r="U435" s="1070"/>
      <c r="V435" s="1070"/>
      <c r="W435" s="1070"/>
      <c r="X435" s="1070"/>
      <c r="Y435" s="1070"/>
      <c r="Z435" s="1070"/>
      <c r="AA435" s="1070"/>
      <c r="AB435" s="1070"/>
      <c r="AC435" s="1070"/>
      <c r="AD435" s="1070"/>
      <c r="AE435" s="1070"/>
      <c r="AF435" s="1070"/>
      <c r="AG435" s="1070"/>
      <c r="AH435" s="1070"/>
      <c r="AI435" s="1070"/>
      <c r="AJ435" s="1071"/>
      <c r="AK435" s="1048" cm="1">
        <f t="array" aca="1" ref="AK435" ca="1">INDEX(OFFSET($AK$19,MATCH($B435,$B$19:$B$150,0)-1,0,COUNTA($B$19:$B$24),COUNTA($AK$17:$BB$17)),MATCH($F435,$F$19:$F$24,0),MATCH(AK$17,$AK$17:$BB$17,0))*INDEX($10:$13,MATCH($O435,$R$10:$R$13,0),COLUMN())</f>
        <v>2.4162998828555739E-2</v>
      </c>
      <c r="AL435" s="1046" cm="1">
        <f t="array" aca="1" ref="AL435" ca="1">INDEX(OFFSET($AK$19,MATCH($B435,$B$19:$B$150,0)-1,0,COUNTA($B$19:$B$24),COUNTA($AK$17:$BB$17)),MATCH($F435,$F$19:$F$24,0),MATCH(AL$17,$AK$17:$BB$17,0))*INDEX($10:$13,MATCH($O435,$R$10:$R$13,0),COLUMN())</f>
        <v>4.6941447539999998E-8</v>
      </c>
      <c r="AM435" s="1046" cm="1">
        <f t="array" aca="1" ref="AM435" ca="1">INDEX(OFFSET($AK$19,MATCH($B435,$B$19:$B$150,0)-1,0,COUNTA($B$19:$B$24),COUNTA($AK$17:$BB$17)),MATCH($F435,$F$19:$F$24,0),MATCH(AM$17,$AK$17:$BB$17,0))*INDEX($10:$13,MATCH($O435,$R$10:$R$13,0),COLUMN())</f>
        <v>7.8566972220000001E-5</v>
      </c>
      <c r="AN435" s="1046" cm="1">
        <f t="array" aca="1" ref="AN435" ca="1">INDEX(OFFSET($AK$19,MATCH($B435,$B$19:$B$150,0)-1,0,COUNTA($B$19:$B$24),COUNTA($AK$17:$BB$17)),MATCH($F435,$F$19:$F$24,0),MATCH(AN$17,$AK$17:$BB$17,0))*INDEX($10:$13,MATCH($O435,$R$10:$R$13,0),COLUMN())</f>
        <v>5.4903737280000001E-4</v>
      </c>
      <c r="AO435" s="1046" cm="1">
        <f t="array" aca="1" ref="AO435" ca="1">INDEX(OFFSET($AK$19,MATCH($B435,$B$19:$B$150,0)-1,0,COUNTA($B$19:$B$24),COUNTA($AK$17:$BB$17)),MATCH($F435,$F$19:$F$24,0),MATCH(AO$17,$AK$17:$BB$17,0))*INDEX($10:$13,MATCH($O435,$R$10:$R$13,0),COLUMN())</f>
        <v>2.8859258400000001E-2</v>
      </c>
      <c r="AP435" s="1046" cm="1">
        <f t="array" aca="1" ref="AP435" ca="1">INDEX(OFFSET($AK$19,MATCH($B435,$B$19:$B$150,0)-1,0,COUNTA($B$19:$B$24),COUNTA($AK$17:$BB$17)),MATCH($F435,$F$19:$F$24,0),MATCH(AP$17,$AK$17:$BB$17,0))*INDEX($10:$13,MATCH($O435,$R$10:$R$13,0),COLUMN())</f>
        <v>3.6097838294000002E-3</v>
      </c>
      <c r="AQ435" s="1046" cm="1">
        <f t="array" aca="1" ref="AQ435" ca="1">INDEX(OFFSET($AK$19,MATCH($B435,$B$19:$B$150,0)-1,0,COUNTA($B$19:$B$24),COUNTA($AK$17:$BB$17)),MATCH($F435,$F$19:$F$24,0),MATCH(AQ$17,$AK$17:$BB$17,0))*INDEX($10:$13,MATCH($O435,$R$10:$R$13,0),COLUMN())</f>
        <v>3.5930260000000001E-5</v>
      </c>
      <c r="AR435" s="1046" cm="1">
        <f t="array" aca="1" ref="AR435" ca="1">INDEX(OFFSET($AK$19,MATCH($B435,$B$19:$B$150,0)-1,0,COUNTA($B$19:$B$24),COUNTA($AK$17:$BB$17)),MATCH($F435,$F$19:$F$24,0),MATCH(AR$17,$AK$17:$BB$17,0))*INDEX($10:$13,MATCH($O435,$R$10:$R$13,0),COLUMN())</f>
        <v>2.3921496133999999E-2</v>
      </c>
      <c r="AS435" s="1046" cm="1">
        <f t="array" aca="1" ref="AS435" ca="1">INDEX(OFFSET($AK$19,MATCH($B435,$B$19:$B$150,0)-1,0,COUNTA($B$19:$B$24),COUNTA($AK$17:$BB$17)),MATCH($F435,$F$19:$F$24,0),MATCH(AS$17,$AK$17:$BB$17,0))*INDEX($10:$13,MATCH($O435,$R$10:$R$13,0),COLUMN())</f>
        <v>1.9559986289999998E-2</v>
      </c>
      <c r="AT435" s="1046" cm="1">
        <f t="array" aca="1" ref="AT435" ca="1">INDEX(OFFSET($AK$19,MATCH($B435,$B$19:$B$150,0)-1,0,COUNTA($B$19:$B$24),COUNTA($AK$17:$BB$17)),MATCH($F435,$F$19:$F$24,0),MATCH(AT$17,$AK$17:$BB$17,0))*INDEX($10:$13,MATCH($O435,$R$10:$R$13,0),COLUMN())</f>
        <v>2.1734735679999998E-5</v>
      </c>
      <c r="AU435" s="1046" cm="1">
        <f t="array" aca="1" ref="AU435" ca="1">INDEX(OFFSET($AK$19,MATCH($B435,$B$19:$B$150,0)-1,0,COUNTA($B$19:$B$24),COUNTA($AK$17:$BB$17)),MATCH($F435,$F$19:$F$24,0),MATCH(AU$17,$AK$17:$BB$17,0))*INDEX($10:$13,MATCH($O435,$R$10:$R$13,0),COLUMN())</f>
        <v>1.2039909952E-6</v>
      </c>
      <c r="AV435" s="1046" cm="1">
        <f t="array" aca="1" ref="AV435" ca="1">INDEX(OFFSET($AK$19,MATCH($B435,$B$19:$B$150,0)-1,0,COUNTA($B$19:$B$24),COUNTA($AK$17:$BB$17)),MATCH($F435,$F$19:$F$24,0),MATCH(AV$17,$AK$17:$BB$17,0))*INDEX($10:$13,MATCH($O435,$R$10:$R$13,0),COLUMN())</f>
        <v>4.1746086524999991E-3</v>
      </c>
      <c r="AW435" s="1046" cm="1">
        <f t="array" aca="1" ref="AW435" ca="1">INDEX(OFFSET($AK$19,MATCH($B435,$B$19:$B$150,0)-1,0,COUNTA($B$19:$B$24),COUNTA($AK$17:$BB$17)),MATCH($F435,$F$19:$F$24,0),MATCH(AW$17,$AK$17:$BB$17,0))*INDEX($10:$13,MATCH($O435,$R$10:$R$13,0),COLUMN())</f>
        <v>3.9607984649999997E-2</v>
      </c>
      <c r="AX435" s="1046" cm="1">
        <f t="array" aca="1" ref="AX435" ca="1">INDEX(OFFSET($AK$19,MATCH($B435,$B$19:$B$150,0)-1,0,COUNTA($B$19:$B$24),COUNTA($AK$17:$BB$17)),MATCH($F435,$F$19:$F$24,0),MATCH(AX$17,$AK$17:$BB$17,0))*INDEX($10:$13,MATCH($O435,$R$10:$R$13,0),COLUMN())</f>
        <v>5.8380638400000002E-8</v>
      </c>
      <c r="AY435" s="1046" cm="1">
        <f t="array" aca="1" ref="AY435" ca="1">INDEX(OFFSET($AK$19,MATCH($B435,$B$19:$B$150,0)-1,0,COUNTA($B$19:$B$24),COUNTA($AK$17:$BB$17)),MATCH($F435,$F$19:$F$24,0),MATCH(AY$17,$AK$17:$BB$17,0))*INDEX($10:$13,MATCH($O435,$R$10:$R$13,0),COLUMN())</f>
        <v>-1.5436829812499998E-9</v>
      </c>
      <c r="AZ435" s="1046" cm="1">
        <f t="array" aca="1" ref="AZ435" ca="1">INDEX(OFFSET($AK$19,MATCH($B435,$B$19:$B$150,0)-1,0,COUNTA($B$19:$B$24),COUNTA($AK$17:$BB$17)),MATCH($F435,$F$19:$F$24,0),MATCH(AZ$17,$AK$17:$BB$17,0))*INDEX($10:$13,MATCH($O435,$R$10:$R$13,0),COLUMN())</f>
        <v>0</v>
      </c>
      <c r="BA435" s="1046" cm="1">
        <f t="array" aca="1" ref="BA435" ca="1">INDEX(OFFSET($AK$19,MATCH($B435,$B$19:$B$150,0)-1,0,COUNTA($B$19:$B$24),COUNTA($AK$17:$BB$17)),MATCH($F435,$F$19:$F$24,0),MATCH(BA$17,$AK$17:$BB$17,0))*INDEX($10:$13,MATCH($O435,$R$10:$R$13,0),COLUMN())</f>
        <v>0</v>
      </c>
      <c r="BB435" s="1047" cm="1">
        <f t="array" aca="1" ref="BB435" ca="1">INDEX(OFFSET($AK$19,MATCH($B435,$B$19:$B$150,0)-1,0,COUNTA($B$19:$B$24),COUNTA($AK$17:$BB$17)),MATCH($F435,$F$19:$F$24,0),MATCH(BB$17,$AK$17:$BB$17,0))*INDEX($10:$13,MATCH($O435,$R$10:$R$13,0),COLUMN())</f>
        <v>0</v>
      </c>
      <c r="BC435" s="1049">
        <f t="shared" ca="1" si="176"/>
        <v>3.9608041486955417E-2</v>
      </c>
      <c r="BE435" s="1"/>
      <c r="BF435" s="1"/>
      <c r="BG435" s="1"/>
      <c r="BH435" s="1"/>
      <c r="BI435" s="1"/>
      <c r="BJ435" s="1"/>
      <c r="BK435" s="1"/>
      <c r="BL435" s="1"/>
      <c r="BM435" s="1"/>
      <c r="BN435" s="1"/>
      <c r="BO435" s="1"/>
      <c r="BP435" s="1"/>
      <c r="BQ435" s="1"/>
      <c r="BR435" s="1"/>
      <c r="BS435" s="1"/>
      <c r="BT435" s="1"/>
      <c r="BU435" s="1"/>
      <c r="BV435" s="1"/>
      <c r="BW435" s="1"/>
      <c r="BX435" s="1"/>
      <c r="BY435" s="1"/>
      <c r="BZ435" s="1"/>
    </row>
    <row r="436" spans="2:78" ht="12" customHeight="1" outlineLevel="1" x14ac:dyDescent="0.25">
      <c r="B436" s="104" t="s">
        <v>99</v>
      </c>
      <c r="C436" s="104" t="s">
        <v>121</v>
      </c>
      <c r="D436" s="2" t="s">
        <v>132</v>
      </c>
      <c r="E436" s="2" t="s">
        <v>99</v>
      </c>
      <c r="F436" s="105" t="s">
        <v>122</v>
      </c>
      <c r="G436" s="27" t="s">
        <v>1579</v>
      </c>
      <c r="H436" s="106" t="s">
        <v>128</v>
      </c>
      <c r="I436" s="107" t="s">
        <v>129</v>
      </c>
      <c r="J436" s="147">
        <v>3.72132342</v>
      </c>
      <c r="K436" s="148">
        <v>0.37839999999999996</v>
      </c>
      <c r="L436" s="149">
        <f t="shared" ca="1" si="172"/>
        <v>0.24863556436362919</v>
      </c>
      <c r="M436" s="148">
        <f t="shared" ca="1" si="173"/>
        <v>0.47248369755519726</v>
      </c>
      <c r="N436" s="148">
        <f t="shared" ca="1" si="175"/>
        <v>9.4083697555197271E-2</v>
      </c>
      <c r="O436" s="1062" t="s">
        <v>1584</v>
      </c>
      <c r="P436" s="104"/>
      <c r="R436" s="119"/>
      <c r="S436" s="1072"/>
      <c r="T436" s="1072"/>
      <c r="U436" s="1072"/>
      <c r="V436" s="1072"/>
      <c r="W436" s="1072"/>
      <c r="X436" s="1072"/>
      <c r="Y436" s="1072"/>
      <c r="Z436" s="1072"/>
      <c r="AA436" s="1072"/>
      <c r="AB436" s="1072"/>
      <c r="AC436" s="1072"/>
      <c r="AD436" s="1072"/>
      <c r="AE436" s="1072"/>
      <c r="AF436" s="1072"/>
      <c r="AG436" s="1072"/>
      <c r="AH436" s="1072"/>
      <c r="AI436" s="1072"/>
      <c r="AJ436" s="1073"/>
      <c r="AK436" s="1052" cm="1">
        <f t="array" aca="1" ref="AK436" ca="1">INDEX(OFFSET($AK$19,MATCH($B436,$B$19:$B$150,0)-1,0,COUNTA($B$19:$B$24),COUNTA($AK$17:$BB$17)),MATCH($F436,$F$19:$F$24,0),MATCH(AK$17,$AK$17:$BB$17,0))*INDEX($10:$13,MATCH($O436,$R$10:$R$13,0),COLUMN())</f>
        <v>1.2876381727604125E-2</v>
      </c>
      <c r="AL436" s="1050" cm="1">
        <f t="array" aca="1" ref="AL436" ca="1">INDEX(OFFSET($AK$19,MATCH($B436,$B$19:$B$150,0)-1,0,COUNTA($B$19:$B$24),COUNTA($AK$17:$BB$17)),MATCH($F436,$F$19:$F$24,0),MATCH(AL$17,$AK$17:$BB$17,0))*INDEX($10:$13,MATCH($O436,$R$10:$R$13,0),COLUMN())</f>
        <v>3.3564439090000003E-8</v>
      </c>
      <c r="AM436" s="1050" cm="1">
        <f t="array" aca="1" ref="AM436" ca="1">INDEX(OFFSET($AK$19,MATCH($B436,$B$19:$B$150,0)-1,0,COUNTA($B$19:$B$24),COUNTA($AK$17:$BB$17)),MATCH($F436,$F$19:$F$24,0),MATCH(AM$17,$AK$17:$BB$17,0))*INDEX($10:$13,MATCH($O436,$R$10:$R$13,0),COLUMN())</f>
        <v>5.5159237980000003E-5</v>
      </c>
      <c r="AN436" s="1050" cm="1">
        <f t="array" aca="1" ref="AN436" ca="1">INDEX(OFFSET($AK$19,MATCH($B436,$B$19:$B$150,0)-1,0,COUNTA($B$19:$B$24),COUNTA($AK$17:$BB$17)),MATCH($F436,$F$19:$F$24,0),MATCH(AN$17,$AK$17:$BB$17,0))*INDEX($10:$13,MATCH($O436,$R$10:$R$13,0),COLUMN())</f>
        <v>7.1848844760000002E-4</v>
      </c>
      <c r="AO436" s="1050" cm="1">
        <f t="array" aca="1" ref="AO436" ca="1">INDEX(OFFSET($AK$19,MATCH($B436,$B$19:$B$150,0)-1,0,COUNTA($B$19:$B$24),COUNTA($AK$17:$BB$17)),MATCH($F436,$F$19:$F$24,0),MATCH(AO$17,$AK$17:$BB$17,0))*INDEX($10:$13,MATCH($O436,$R$10:$R$13,0),COLUMN())</f>
        <v>1.060957184E-2</v>
      </c>
      <c r="AP436" s="1050" cm="1">
        <f t="array" aca="1" ref="AP436" ca="1">INDEX(OFFSET($AK$19,MATCH($B436,$B$19:$B$150,0)-1,0,COUNTA($B$19:$B$24),COUNTA($AK$17:$BB$17)),MATCH($F436,$F$19:$F$24,0),MATCH(AP$17,$AK$17:$BB$17,0))*INDEX($10:$13,MATCH($O436,$R$10:$R$13,0),COLUMN())</f>
        <v>8.3608068199999999E-4</v>
      </c>
      <c r="AQ436" s="1050" cm="1">
        <f t="array" aca="1" ref="AQ436" ca="1">INDEX(OFFSET($AK$19,MATCH($B436,$B$19:$B$150,0)-1,0,COUNTA($B$19:$B$24),COUNTA($AK$17:$BB$17)),MATCH($F436,$F$19:$F$24,0),MATCH(AQ$17,$AK$17:$BB$17,0))*INDEX($10:$13,MATCH($O436,$R$10:$R$13,0),COLUMN())</f>
        <v>6.9789089999999998E-6</v>
      </c>
      <c r="AR436" s="1050" cm="1">
        <f t="array" aca="1" ref="AR436" ca="1">INDEX(OFFSET($AK$19,MATCH($B436,$B$19:$B$150,0)-1,0,COUNTA($B$19:$B$24),COUNTA($AK$17:$BB$17)),MATCH($F436,$F$19:$F$24,0),MATCH(AR$17,$AK$17:$BB$17,0))*INDEX($10:$13,MATCH($O436,$R$10:$R$13,0),COLUMN())</f>
        <v>1.1761718019E-2</v>
      </c>
      <c r="AS436" s="1050" cm="1">
        <f t="array" aca="1" ref="AS436" ca="1">INDEX(OFFSET($AK$19,MATCH($B436,$B$19:$B$150,0)-1,0,COUNTA($B$19:$B$24),COUNTA($AK$17:$BB$17)),MATCH($F436,$F$19:$F$24,0),MATCH(AS$17,$AK$17:$BB$17,0))*INDEX($10:$13,MATCH($O436,$R$10:$R$13,0),COLUMN())</f>
        <v>1.654261947E-5</v>
      </c>
      <c r="AT436" s="1050" cm="1">
        <f t="array" aca="1" ref="AT436" ca="1">INDEX(OFFSET($AK$19,MATCH($B436,$B$19:$B$150,0)-1,0,COUNTA($B$19:$B$24),COUNTA($AK$17:$BB$17)),MATCH($F436,$F$19:$F$24,0),MATCH(AT$17,$AK$17:$BB$17,0))*INDEX($10:$13,MATCH($O436,$R$10:$R$13,0),COLUMN())</f>
        <v>5.9523851150000003E-7</v>
      </c>
      <c r="AU436" s="1050" cm="1">
        <f t="array" aca="1" ref="AU436" ca="1">INDEX(OFFSET($AK$19,MATCH($B436,$B$19:$B$150,0)-1,0,COUNTA($B$19:$B$24),COUNTA($AK$17:$BB$17)),MATCH($F436,$F$19:$F$24,0),MATCH(AU$17,$AK$17:$BB$17,0))*INDEX($10:$13,MATCH($O436,$R$10:$R$13,0),COLUMN())</f>
        <v>1.2612015199999999E-7</v>
      </c>
      <c r="AV436" s="1050" cm="1">
        <f t="array" aca="1" ref="AV436" ca="1">INDEX(OFFSET($AK$19,MATCH($B436,$B$19:$B$150,0)-1,0,COUNTA($B$19:$B$24),COUNTA($AK$17:$BB$17)),MATCH($F436,$F$19:$F$24,0),MATCH(AV$17,$AK$17:$BB$17,0))*INDEX($10:$13,MATCH($O436,$R$10:$R$13,0),COLUMN())</f>
        <v>5.1875866999999995E-4</v>
      </c>
      <c r="AW436" s="1050" cm="1">
        <f t="array" aca="1" ref="AW436" ca="1">INDEX(OFFSET($AK$19,MATCH($B436,$B$19:$B$150,0)-1,0,COUNTA($B$19:$B$24),COUNTA($AK$17:$BB$17)),MATCH($F436,$F$19:$F$24,0),MATCH(AW$17,$AK$17:$BB$17,0))*INDEX($10:$13,MATCH($O436,$R$10:$R$13,0),COLUMN())</f>
        <v>5.6683246199999995E-2</v>
      </c>
      <c r="AX436" s="1050" cm="1">
        <f t="array" aca="1" ref="AX436" ca="1">INDEX(OFFSET($AK$19,MATCH($B436,$B$19:$B$150,0)-1,0,COUNTA($B$19:$B$24),COUNTA($AK$17:$BB$17)),MATCH($F436,$F$19:$F$24,0),MATCH(AX$17,$AK$17:$BB$17,0))*INDEX($10:$13,MATCH($O436,$R$10:$R$13,0),COLUMN())</f>
        <v>1.6710103079999997E-8</v>
      </c>
      <c r="AY436" s="1050" cm="1">
        <f t="array" aca="1" ref="AY436" ca="1">INDEX(OFFSET($AK$19,MATCH($B436,$B$19:$B$150,0)-1,0,COUNTA($B$19:$B$24),COUNTA($AK$17:$BB$17)),MATCH($F436,$F$19:$F$24,0),MATCH(AY$17,$AK$17:$BB$17,0))*INDEX($10:$13,MATCH($O436,$R$10:$R$13,0),COLUMN())</f>
        <v>-4.3066251618749994E-10</v>
      </c>
      <c r="AZ436" s="1050" cm="1">
        <f t="array" aca="1" ref="AZ436" ca="1">INDEX(OFFSET($AK$19,MATCH($B436,$B$19:$B$150,0)-1,0,COUNTA($B$19:$B$24),COUNTA($AK$17:$BB$17)),MATCH($F436,$F$19:$F$24,0),MATCH(AZ$17,$AK$17:$BB$17,0))*INDEX($10:$13,MATCH($O436,$R$10:$R$13,0),COLUMN())</f>
        <v>0</v>
      </c>
      <c r="BA436" s="1050" cm="1">
        <f t="array" aca="1" ref="BA436" ca="1">INDEX(OFFSET($AK$19,MATCH($B436,$B$19:$B$150,0)-1,0,COUNTA($B$19:$B$24),COUNTA($AK$17:$BB$17)),MATCH($F436,$F$19:$F$24,0),MATCH(BA$17,$AK$17:$BB$17,0))*INDEX($10:$13,MATCH($O436,$R$10:$R$13,0),COLUMN())</f>
        <v>0</v>
      </c>
      <c r="BB436" s="1051" cm="1">
        <f t="array" aca="1" ref="BB436" ca="1">INDEX(OFFSET($AK$19,MATCH($B436,$B$19:$B$150,0)-1,0,COUNTA($B$19:$B$24),COUNTA($AK$17:$BB$17)),MATCH($F436,$F$19:$F$24,0),MATCH(BB$17,$AK$17:$BB$17,0))*INDEX($10:$13,MATCH($O436,$R$10:$R$13,0),COLUMN())</f>
        <v>0</v>
      </c>
      <c r="BC436" s="1053">
        <f t="shared" ca="1" si="176"/>
        <v>5.6683262479440555E-2</v>
      </c>
      <c r="BE436" s="1"/>
      <c r="BF436" s="1"/>
      <c r="BG436" s="1"/>
      <c r="BH436" s="1"/>
      <c r="BI436" s="1"/>
      <c r="BJ436" s="1"/>
      <c r="BK436" s="1"/>
      <c r="BL436" s="1"/>
      <c r="BM436" s="1"/>
      <c r="BN436" s="1"/>
      <c r="BO436" s="1"/>
      <c r="BP436" s="1"/>
      <c r="BQ436" s="1"/>
      <c r="BR436" s="1"/>
      <c r="BS436" s="1"/>
      <c r="BT436" s="1"/>
      <c r="BU436" s="1"/>
      <c r="BV436" s="1"/>
      <c r="BW436" s="1"/>
      <c r="BX436" s="1"/>
      <c r="BY436" s="1"/>
      <c r="BZ436" s="1"/>
    </row>
    <row r="437" spans="2:78" ht="12" customHeight="1" outlineLevel="1" x14ac:dyDescent="0.25">
      <c r="B437" s="104" t="s">
        <v>99</v>
      </c>
      <c r="C437" s="104" t="s">
        <v>121</v>
      </c>
      <c r="D437" s="2" t="s">
        <v>132</v>
      </c>
      <c r="E437" s="2" t="s">
        <v>99</v>
      </c>
      <c r="F437" s="105" t="s">
        <v>93</v>
      </c>
      <c r="G437" s="27" t="s">
        <v>1578</v>
      </c>
      <c r="H437" s="106" t="s">
        <v>130</v>
      </c>
      <c r="I437" s="107" t="s">
        <v>129</v>
      </c>
      <c r="J437" s="147">
        <v>3.72132342</v>
      </c>
      <c r="K437" s="148">
        <v>0.37839999999999996</v>
      </c>
      <c r="L437" s="149">
        <f t="shared" ca="1" si="172"/>
        <v>0.3179681728904975</v>
      </c>
      <c r="M437" s="148">
        <f t="shared" ca="1" si="173"/>
        <v>0.49871915662176419</v>
      </c>
      <c r="N437" s="148">
        <f t="shared" ca="1" si="175"/>
        <v>0.12031915662176425</v>
      </c>
      <c r="O437" s="1062" t="s">
        <v>1584</v>
      </c>
      <c r="P437" s="104"/>
      <c r="R437" s="119"/>
      <c r="S437" s="1072"/>
      <c r="T437" s="1072"/>
      <c r="U437" s="1072"/>
      <c r="V437" s="1072"/>
      <c r="W437" s="1072"/>
      <c r="X437" s="1072"/>
      <c r="Y437" s="1072"/>
      <c r="Z437" s="1072"/>
      <c r="AA437" s="1072"/>
      <c r="AB437" s="1072"/>
      <c r="AC437" s="1072"/>
      <c r="AD437" s="1072"/>
      <c r="AE437" s="1072"/>
      <c r="AF437" s="1072"/>
      <c r="AG437" s="1072"/>
      <c r="AH437" s="1072"/>
      <c r="AI437" s="1072"/>
      <c r="AJ437" s="1073"/>
      <c r="AK437" s="1052" cm="1">
        <f t="array" aca="1" ref="AK437" ca="1">INDEX(OFFSET($AK$19,MATCH($B437,$B$19:$B$150,0)-1,0,COUNTA($B$19:$B$24),COUNTA($AK$17:$BB$17)),MATCH($F437,$F$19:$F$24,0),MATCH(AK$17,$AK$17:$BB$17,0))*INDEX($10:$13,MATCH($O437,$R$10:$R$13,0),COLUMN())</f>
        <v>1.6450881263552913E-2</v>
      </c>
      <c r="AL437" s="1050" cm="1">
        <f t="array" aca="1" ref="AL437" ca="1">INDEX(OFFSET($AK$19,MATCH($B437,$B$19:$B$150,0)-1,0,COUNTA($B$19:$B$24),COUNTA($AK$17:$BB$17)),MATCH($F437,$F$19:$F$24,0),MATCH(AL$17,$AK$17:$BB$17,0))*INDEX($10:$13,MATCH($O437,$R$10:$R$13,0),COLUMN())</f>
        <v>4.2881969259999999E-8</v>
      </c>
      <c r="AM437" s="1050" cm="1">
        <f t="array" aca="1" ref="AM437" ca="1">INDEX(OFFSET($AK$19,MATCH($B437,$B$19:$B$150,0)-1,0,COUNTA($B$19:$B$24),COUNTA($AK$17:$BB$17)),MATCH($F437,$F$19:$F$24,0),MATCH(AM$17,$AK$17:$BB$17,0))*INDEX($10:$13,MATCH($O437,$R$10:$R$13,0),COLUMN())</f>
        <v>7.0471509570000003E-5</v>
      </c>
      <c r="AN437" s="1050" cm="1">
        <f t="array" aca="1" ref="AN437" ca="1">INDEX(OFFSET($AK$19,MATCH($B437,$B$19:$B$150,0)-1,0,COUNTA($B$19:$B$24),COUNTA($AK$17:$BB$17)),MATCH($F437,$F$19:$F$24,0),MATCH(AN$17,$AK$17:$BB$17,0))*INDEX($10:$13,MATCH($O437,$R$10:$R$13,0),COLUMN())</f>
        <v>9.1794166799999996E-4</v>
      </c>
      <c r="AO437" s="1050" cm="1">
        <f t="array" aca="1" ref="AO437" ca="1">INDEX(OFFSET($AK$19,MATCH($B437,$B$19:$B$150,0)-1,0,COUNTA($B$19:$B$24),COUNTA($AK$17:$BB$17)),MATCH($F437,$F$19:$F$24,0),MATCH(AO$17,$AK$17:$BB$17,0))*INDEX($10:$13,MATCH($O437,$R$10:$R$13,0),COLUMN())</f>
        <v>1.355480196E-2</v>
      </c>
      <c r="AP437" s="1050" cm="1">
        <f t="array" aca="1" ref="AP437" ca="1">INDEX(OFFSET($AK$19,MATCH($B437,$B$19:$B$150,0)-1,0,COUNTA($B$19:$B$24),COUNTA($AK$17:$BB$17)),MATCH($F437,$F$19:$F$24,0),MATCH(AP$17,$AK$17:$BB$17,0))*INDEX($10:$13,MATCH($O437,$R$10:$R$13,0),COLUMN())</f>
        <v>1.0681777086000001E-3</v>
      </c>
      <c r="AQ437" s="1050" cm="1">
        <f t="array" aca="1" ref="AQ437" ca="1">INDEX(OFFSET($AK$19,MATCH($B437,$B$19:$B$150,0)-1,0,COUNTA($B$19:$B$24),COUNTA($AK$17:$BB$17)),MATCH($F437,$F$19:$F$24,0),MATCH(AQ$17,$AK$17:$BB$17,0))*INDEX($10:$13,MATCH($O437,$R$10:$R$13,0),COLUMN())</f>
        <v>8.9162627499999994E-6</v>
      </c>
      <c r="AR437" s="1050" cm="1">
        <f t="array" aca="1" ref="AR437" ca="1">INDEX(OFFSET($AK$19,MATCH($B437,$B$19:$B$150,0)-1,0,COUNTA($B$19:$B$24),COUNTA($AK$17:$BB$17)),MATCH($F437,$F$19:$F$24,0),MATCH(AR$17,$AK$17:$BB$17,0))*INDEX($10:$13,MATCH($O437,$R$10:$R$13,0),COLUMN())</f>
        <v>1.5026785107E-2</v>
      </c>
      <c r="AS437" s="1050" cm="1">
        <f t="array" aca="1" ref="AS437" ca="1">INDEX(OFFSET($AK$19,MATCH($B437,$B$19:$B$150,0)-1,0,COUNTA($B$19:$B$24),COUNTA($AK$17:$BB$17)),MATCH($F437,$F$19:$F$24,0),MATCH(AS$17,$AK$17:$BB$17,0))*INDEX($10:$13,MATCH($O437,$R$10:$R$13,0),COLUMN())</f>
        <v>3.0003331409999999E-5</v>
      </c>
      <c r="AT437" s="1050" cm="1">
        <f t="array" aca="1" ref="AT437" ca="1">INDEX(OFFSET($AK$19,MATCH($B437,$B$19:$B$150,0)-1,0,COUNTA($B$19:$B$24),COUNTA($AK$17:$BB$17)),MATCH($F437,$F$19:$F$24,0),MATCH(AT$17,$AK$17:$BB$17,0))*INDEX($10:$13,MATCH($O437,$R$10:$R$13,0),COLUMN())</f>
        <v>7.6340973950000009E-7</v>
      </c>
      <c r="AU437" s="1050" cm="1">
        <f t="array" aca="1" ref="AU437" ca="1">INDEX(OFFSET($AK$19,MATCH($B437,$B$19:$B$150,0)-1,0,COUNTA($B$19:$B$24),COUNTA($AK$17:$BB$17)),MATCH($F437,$F$19:$F$24,0),MATCH(AU$17,$AK$17:$BB$17,0))*INDEX($10:$13,MATCH($O437,$R$10:$R$13,0),COLUMN())</f>
        <v>1.6144803968E-7</v>
      </c>
      <c r="AV437" s="1050" cm="1">
        <f t="array" aca="1" ref="AV437" ca="1">INDEX(OFFSET($AK$19,MATCH($B437,$B$19:$B$150,0)-1,0,COUNTA($B$19:$B$24),COUNTA($AK$17:$BB$17)),MATCH($F437,$F$19:$F$24,0),MATCH(AV$17,$AK$17:$BB$17,0))*INDEX($10:$13,MATCH($O437,$R$10:$R$13,0),COLUMN())</f>
        <v>7.7160452249999993E-4</v>
      </c>
      <c r="AW437" s="1050" cm="1">
        <f t="array" aca="1" ref="AW437" ca="1">INDEX(OFFSET($AK$19,MATCH($B437,$B$19:$B$150,0)-1,0,COUNTA($B$19:$B$24),COUNTA($AK$17:$BB$17)),MATCH($F437,$F$19:$F$24,0),MATCH(AW$17,$AK$17:$BB$17,0))*INDEX($10:$13,MATCH($O437,$R$10:$R$13,0),COLUMN())</f>
        <v>7.2418584750000001E-2</v>
      </c>
      <c r="AX437" s="1050" cm="1">
        <f t="array" aca="1" ref="AX437" ca="1">INDEX(OFFSET($AK$19,MATCH($B437,$B$19:$B$150,0)-1,0,COUNTA($B$19:$B$24),COUNTA($AK$17:$BB$17)),MATCH($F437,$F$19:$F$24,0),MATCH(AX$17,$AK$17:$BB$17,0))*INDEX($10:$13,MATCH($O437,$R$10:$R$13,0),COLUMN())</f>
        <v>2.1348847859999998E-8</v>
      </c>
      <c r="AY437" s="1050" cm="1">
        <f t="array" aca="1" ref="AY437" ca="1">INDEX(OFFSET($AK$19,MATCH($B437,$B$19:$B$150,0)-1,0,COUNTA($B$19:$B$24),COUNTA($AK$17:$BB$17)),MATCH($F437,$F$19:$F$24,0),MATCH(AY$17,$AK$17:$BB$17,0))*INDEX($10:$13,MATCH($O437,$R$10:$R$13,0),COLUMN())</f>
        <v>-5.502149566875E-10</v>
      </c>
      <c r="AZ437" s="1050" cm="1">
        <f t="array" aca="1" ref="AZ437" ca="1">INDEX(OFFSET($AK$19,MATCH($B437,$B$19:$B$150,0)-1,0,COUNTA($B$19:$B$24),COUNTA($AK$17:$BB$17)),MATCH($F437,$F$19:$F$24,0),MATCH(AZ$17,$AK$17:$BB$17,0))*INDEX($10:$13,MATCH($O437,$R$10:$R$13,0),COLUMN())</f>
        <v>0</v>
      </c>
      <c r="BA437" s="1050" cm="1">
        <f t="array" aca="1" ref="BA437" ca="1">INDEX(OFFSET($AK$19,MATCH($B437,$B$19:$B$150,0)-1,0,COUNTA($B$19:$B$24),COUNTA($AK$17:$BB$17)),MATCH($F437,$F$19:$F$24,0),MATCH(BA$17,$AK$17:$BB$17,0))*INDEX($10:$13,MATCH($O437,$R$10:$R$13,0),COLUMN())</f>
        <v>0</v>
      </c>
      <c r="BB437" s="1051" cm="1">
        <f t="array" aca="1" ref="BB437" ca="1">INDEX(OFFSET($AK$19,MATCH($B437,$B$19:$B$150,0)-1,0,COUNTA($B$19:$B$24),COUNTA($AK$17:$BB$17)),MATCH($F437,$F$19:$F$24,0),MATCH(BB$17,$AK$17:$BB$17,0))*INDEX($10:$13,MATCH($O437,$R$10:$R$13,0),COLUMN())</f>
        <v>0</v>
      </c>
      <c r="BC437" s="1053">
        <f t="shared" ca="1" si="176"/>
        <v>7.24186055486329E-2</v>
      </c>
      <c r="BE437" s="1"/>
      <c r="BF437" s="1"/>
      <c r="BG437" s="1"/>
      <c r="BH437" s="1"/>
      <c r="BI437" s="1"/>
      <c r="BJ437" s="1"/>
      <c r="BK437" s="1"/>
      <c r="BL437" s="1"/>
      <c r="BM437" s="1"/>
      <c r="BN437" s="1"/>
      <c r="BO437" s="1"/>
      <c r="BP437" s="1"/>
      <c r="BQ437" s="1"/>
      <c r="BR437" s="1"/>
      <c r="BS437" s="1"/>
      <c r="BT437" s="1"/>
      <c r="BU437" s="1"/>
      <c r="BV437" s="1"/>
      <c r="BW437" s="1"/>
      <c r="BX437" s="1"/>
      <c r="BY437" s="1"/>
      <c r="BZ437" s="1"/>
    </row>
    <row r="438" spans="2:78" ht="12" customHeight="1" outlineLevel="1" x14ac:dyDescent="0.25">
      <c r="B438" s="104" t="s">
        <v>99</v>
      </c>
      <c r="C438" s="104" t="s">
        <v>121</v>
      </c>
      <c r="D438" s="2" t="s">
        <v>132</v>
      </c>
      <c r="E438" s="2" t="s">
        <v>99</v>
      </c>
      <c r="F438" s="105" t="s">
        <v>94</v>
      </c>
      <c r="G438" s="27" t="s">
        <v>1580</v>
      </c>
      <c r="H438" s="106" t="s">
        <v>131</v>
      </c>
      <c r="I438" s="107" t="s">
        <v>129</v>
      </c>
      <c r="J438" s="147">
        <v>3.72132342</v>
      </c>
      <c r="K438" s="148">
        <v>0.37839999999999996</v>
      </c>
      <c r="L438" s="149">
        <f t="shared" ca="1" si="172"/>
        <v>0.20401063188818347</v>
      </c>
      <c r="M438" s="148">
        <f t="shared" ca="1" si="173"/>
        <v>0.45559762310648855</v>
      </c>
      <c r="N438" s="148">
        <f t="shared" ca="1" si="175"/>
        <v>7.7197623106488616E-2</v>
      </c>
      <c r="O438" s="1062" t="s">
        <v>1584</v>
      </c>
      <c r="P438" s="104"/>
      <c r="R438" s="119"/>
      <c r="S438" s="1072"/>
      <c r="T438" s="1072"/>
      <c r="U438" s="1072"/>
      <c r="V438" s="1072"/>
      <c r="W438" s="1072"/>
      <c r="X438" s="1072"/>
      <c r="Y438" s="1072"/>
      <c r="Z438" s="1072"/>
      <c r="AA438" s="1072"/>
      <c r="AB438" s="1072"/>
      <c r="AC438" s="1072"/>
      <c r="AD438" s="1072"/>
      <c r="AE438" s="1072"/>
      <c r="AF438" s="1072"/>
      <c r="AG438" s="1072"/>
      <c r="AH438" s="1072"/>
      <c r="AI438" s="1072"/>
      <c r="AJ438" s="1073"/>
      <c r="AK438" s="1052" cm="1">
        <f t="array" aca="1" ref="AK438" ca="1">INDEX(OFFSET($AK$19,MATCH($B438,$B$19:$B$150,0)-1,0,COUNTA($B$19:$B$24),COUNTA($AK$17:$BB$17)),MATCH($F438,$F$19:$F$24,0),MATCH(AK$17,$AK$17:$BB$17,0))*INDEX($10:$13,MATCH($O438,$R$10:$R$13,0),COLUMN())</f>
        <v>1.0575694790316692E-2</v>
      </c>
      <c r="AL438" s="1050" cm="1">
        <f t="array" aca="1" ref="AL438" ca="1">INDEX(OFFSET($AK$19,MATCH($B438,$B$19:$B$150,0)-1,0,COUNTA($B$19:$B$24),COUNTA($AK$17:$BB$17)),MATCH($F438,$F$19:$F$24,0),MATCH(AL$17,$AK$17:$BB$17,0))*INDEX($10:$13,MATCH($O438,$R$10:$R$13,0),COLUMN())</f>
        <v>2.7567312370000004E-8</v>
      </c>
      <c r="AM438" s="1050" cm="1">
        <f t="array" aca="1" ref="AM438" ca="1">INDEX(OFFSET($AK$19,MATCH($B438,$B$19:$B$150,0)-1,0,COUNTA($B$19:$B$24),COUNTA($AK$17:$BB$17)),MATCH($F438,$F$19:$F$24,0),MATCH(AM$17,$AK$17:$BB$17,0))*INDEX($10:$13,MATCH($O438,$R$10:$R$13,0),COLUMN())</f>
        <v>4.5303661260000007E-5</v>
      </c>
      <c r="AN438" s="1050" cm="1">
        <f t="array" aca="1" ref="AN438" ca="1">INDEX(OFFSET($AK$19,MATCH($B438,$B$19:$B$150,0)-1,0,COUNTA($B$19:$B$24),COUNTA($AK$17:$BB$17)),MATCH($F438,$F$19:$F$24,0),MATCH(AN$17,$AK$17:$BB$17,0))*INDEX($10:$13,MATCH($O438,$R$10:$R$13,0),COLUMN())</f>
        <v>5.9011252440000004E-4</v>
      </c>
      <c r="AO438" s="1050" cm="1">
        <f t="array" aca="1" ref="AO438" ca="1">INDEX(OFFSET($AK$19,MATCH($B438,$B$19:$B$150,0)-1,0,COUNTA($B$19:$B$24),COUNTA($AK$17:$BB$17)),MATCH($F438,$F$19:$F$24,0),MATCH(AO$17,$AK$17:$BB$17,0))*INDEX($10:$13,MATCH($O438,$R$10:$R$13,0),COLUMN())</f>
        <v>8.7139068800000004E-3</v>
      </c>
      <c r="AP438" s="1050" cm="1">
        <f t="array" aca="1" ref="AP438" ca="1">INDEX(OFFSET($AK$19,MATCH($B438,$B$19:$B$150,0)-1,0,COUNTA($B$19:$B$24),COUNTA($AK$17:$BB$17)),MATCH($F438,$F$19:$F$24,0),MATCH(AP$17,$AK$17:$BB$17,0))*INDEX($10:$13,MATCH($O438,$R$10:$R$13,0),COLUMN())</f>
        <v>6.8669399940000009E-4</v>
      </c>
      <c r="AQ438" s="1050" cm="1">
        <f t="array" aca="1" ref="AQ438" ca="1">INDEX(OFFSET($AK$19,MATCH($B438,$B$19:$B$150,0)-1,0,COUNTA($B$19:$B$24),COUNTA($AK$17:$BB$17)),MATCH($F438,$F$19:$F$24,0),MATCH(AQ$17,$AK$17:$BB$17,0))*INDEX($10:$13,MATCH($O438,$R$10:$R$13,0),COLUMN())</f>
        <v>5.7319525000000004E-6</v>
      </c>
      <c r="AR438" s="1050" cm="1">
        <f t="array" aca="1" ref="AR438" ca="1">INDEX(OFFSET($AK$19,MATCH($B438,$B$19:$B$150,0)-1,0,COUNTA($B$19:$B$24),COUNTA($AK$17:$BB$17)),MATCH($F438,$F$19:$F$24,0),MATCH(AR$17,$AK$17:$BB$17,0))*INDEX($10:$13,MATCH($O438,$R$10:$R$13,0),COLUMN())</f>
        <v>9.6601930539999999E-3</v>
      </c>
      <c r="AS438" s="1050" cm="1">
        <f t="array" aca="1" ref="AS438" ca="1">INDEX(OFFSET($AK$19,MATCH($B438,$B$19:$B$150,0)-1,0,COUNTA($B$19:$B$24),COUNTA($AK$17:$BB$17)),MATCH($F438,$F$19:$F$24,0),MATCH(AS$17,$AK$17:$BB$17,0))*INDEX($10:$13,MATCH($O438,$R$10:$R$13,0),COLUMN())</f>
        <v>7.8856426350000001E-6</v>
      </c>
      <c r="AT438" s="1050" cm="1">
        <f t="array" aca="1" ref="AT438" ca="1">INDEX(OFFSET($AK$19,MATCH($B438,$B$19:$B$150,0)-1,0,COUNTA($B$19:$B$24),COUNTA($AK$17:$BB$17)),MATCH($F438,$F$19:$F$24,0),MATCH(AT$17,$AK$17:$BB$17,0))*INDEX($10:$13,MATCH($O438,$R$10:$R$13,0),COLUMN())</f>
        <v>4.8699921850000003E-7</v>
      </c>
      <c r="AU438" s="1050" cm="1">
        <f t="array" aca="1" ref="AU438" ca="1">INDEX(OFFSET($AK$19,MATCH($B438,$B$19:$B$150,0)-1,0,COUNTA($B$19:$B$24),COUNTA($AK$17:$BB$17)),MATCH($F438,$F$19:$F$24,0),MATCH(AU$17,$AK$17:$BB$17,0))*INDEX($10:$13,MATCH($O438,$R$10:$R$13,0),COLUMN())</f>
        <v>1.0338198432000001E-7</v>
      </c>
      <c r="AV438" s="1050" cm="1">
        <f t="array" aca="1" ref="AV438" ca="1">INDEX(OFFSET($AK$19,MATCH($B438,$B$19:$B$150,0)-1,0,COUNTA($B$19:$B$24),COUNTA($AK$17:$BB$17)),MATCH($F438,$F$19:$F$24,0),MATCH(AV$17,$AK$17:$BB$17,0))*INDEX($10:$13,MATCH($O438,$R$10:$R$13,0),COLUMN())</f>
        <v>3.5610143275E-4</v>
      </c>
      <c r="AW438" s="1050" cm="1">
        <f t="array" aca="1" ref="AW438" ca="1">INDEX(OFFSET($AK$19,MATCH($B438,$B$19:$B$150,0)-1,0,COUNTA($B$19:$B$24),COUNTA($AK$17:$BB$17)),MATCH($F438,$F$19:$F$24,0),MATCH(AW$17,$AK$17:$BB$17,0))*INDEX($10:$13,MATCH($O438,$R$10:$R$13,0),COLUMN())</f>
        <v>4.6555367850000001E-2</v>
      </c>
      <c r="AX438" s="1050" cm="1">
        <f t="array" aca="1" ref="AX438" ca="1">INDEX(OFFSET($AK$19,MATCH($B438,$B$19:$B$150,0)-1,0,COUNTA($B$19:$B$24),COUNTA($AK$17:$BB$17)),MATCH($F438,$F$19:$F$24,0),MATCH(AX$17,$AK$17:$BB$17,0))*INDEX($10:$13,MATCH($O438,$R$10:$R$13,0),COLUMN())</f>
        <v>1.3724425635E-8</v>
      </c>
      <c r="AY438" s="1050" cm="1">
        <f t="array" aca="1" ref="AY438" ca="1">INDEX(OFFSET($AK$19,MATCH($B438,$B$19:$B$150,0)-1,0,COUNTA($B$19:$B$24),COUNTA($AK$17:$BB$17)),MATCH($F438,$F$19:$F$24,0),MATCH(AY$17,$AK$17:$BB$17,0))*INDEX($10:$13,MATCH($O438,$R$10:$R$13,0),COLUMN())</f>
        <v>-3.5371390106249997E-10</v>
      </c>
      <c r="AZ438" s="1050" cm="1">
        <f t="array" aca="1" ref="AZ438" ca="1">INDEX(OFFSET($AK$19,MATCH($B438,$B$19:$B$150,0)-1,0,COUNTA($B$19:$B$24),COUNTA($AK$17:$BB$17)),MATCH($F438,$F$19:$F$24,0),MATCH(AZ$17,$AK$17:$BB$17,0))*INDEX($10:$13,MATCH($O438,$R$10:$R$13,0),COLUMN())</f>
        <v>0</v>
      </c>
      <c r="BA438" s="1050" cm="1">
        <f t="array" aca="1" ref="BA438" ca="1">INDEX(OFFSET($AK$19,MATCH($B438,$B$19:$B$150,0)-1,0,COUNTA($B$19:$B$24),COUNTA($AK$17:$BB$17)),MATCH($F438,$F$19:$F$24,0),MATCH(BA$17,$AK$17:$BB$17,0))*INDEX($10:$13,MATCH($O438,$R$10:$R$13,0),COLUMN())</f>
        <v>0</v>
      </c>
      <c r="BB438" s="1051" cm="1">
        <f t="array" aca="1" ref="BB438" ca="1">INDEX(OFFSET($AK$19,MATCH($B438,$B$19:$B$150,0)-1,0,COUNTA($B$19:$B$24),COUNTA($AK$17:$BB$17)),MATCH($F438,$F$19:$F$24,0),MATCH(BB$17,$AK$17:$BB$17,0))*INDEX($10:$13,MATCH($O438,$R$10:$R$13,0),COLUMN())</f>
        <v>0</v>
      </c>
      <c r="BC438" s="1053">
        <f t="shared" ca="1" si="176"/>
        <v>4.655538122071174E-2</v>
      </c>
      <c r="BE438" s="1"/>
      <c r="BF438" s="1"/>
      <c r="BG438" s="1"/>
      <c r="BH438" s="1"/>
      <c r="BI438" s="1"/>
      <c r="BJ438" s="1"/>
      <c r="BK438" s="1"/>
      <c r="BL438" s="1"/>
      <c r="BM438" s="1"/>
      <c r="BN438" s="1"/>
      <c r="BO438" s="1"/>
      <c r="BP438" s="1"/>
      <c r="BQ438" s="1"/>
      <c r="BR438" s="1"/>
      <c r="BS438" s="1"/>
      <c r="BT438" s="1"/>
      <c r="BU438" s="1"/>
      <c r="BV438" s="1"/>
      <c r="BW438" s="1"/>
      <c r="BX438" s="1"/>
      <c r="BY438" s="1"/>
      <c r="BZ438" s="1"/>
    </row>
    <row r="439" spans="2:78" ht="12" customHeight="1" outlineLevel="1" x14ac:dyDescent="0.25">
      <c r="B439" s="104" t="s">
        <v>99</v>
      </c>
      <c r="C439" s="104" t="s">
        <v>121</v>
      </c>
      <c r="D439" s="2" t="s">
        <v>132</v>
      </c>
      <c r="E439" s="2" t="s">
        <v>99</v>
      </c>
      <c r="F439" s="105" t="s">
        <v>95</v>
      </c>
      <c r="G439" s="27" t="s">
        <v>1581</v>
      </c>
      <c r="H439" s="106" t="s">
        <v>128</v>
      </c>
      <c r="I439" s="107" t="s">
        <v>127</v>
      </c>
      <c r="J439" s="147">
        <v>3.72132342</v>
      </c>
      <c r="K439" s="148">
        <v>0.37839999999999996</v>
      </c>
      <c r="L439" s="149">
        <f t="shared" ca="1" si="172"/>
        <v>0.31803221593968178</v>
      </c>
      <c r="M439" s="148">
        <f t="shared" ca="1" si="173"/>
        <v>0.49874339051157551</v>
      </c>
      <c r="N439" s="148">
        <f t="shared" ca="1" si="175"/>
        <v>0.12034339051157557</v>
      </c>
      <c r="O439" s="1062" t="s">
        <v>1584</v>
      </c>
      <c r="P439" s="104"/>
      <c r="R439" s="119"/>
      <c r="S439" s="1072"/>
      <c r="T439" s="1072"/>
      <c r="U439" s="1072"/>
      <c r="V439" s="1072"/>
      <c r="W439" s="1072"/>
      <c r="X439" s="1072"/>
      <c r="Y439" s="1072"/>
      <c r="Z439" s="1072"/>
      <c r="AA439" s="1072"/>
      <c r="AB439" s="1072"/>
      <c r="AC439" s="1072"/>
      <c r="AD439" s="1072"/>
      <c r="AE439" s="1072"/>
      <c r="AF439" s="1072"/>
      <c r="AG439" s="1072"/>
      <c r="AH439" s="1072"/>
      <c r="AI439" s="1072"/>
      <c r="AJ439" s="1073"/>
      <c r="AK439" s="1052" cm="1">
        <f t="array" aca="1" ref="AK439" ca="1">INDEX(OFFSET($AK$19,MATCH($B439,$B$19:$B$150,0)-1,0,COUNTA($B$19:$B$24),COUNTA($AK$17:$BB$17)),MATCH($F439,$F$19:$F$24,0),MATCH(AK$17,$AK$17:$BB$17,0))*INDEX($10:$13,MATCH($O439,$R$10:$R$13,0),COLUMN())</f>
        <v>1.4961170488319332E-2</v>
      </c>
      <c r="AL439" s="1050" cm="1">
        <f t="array" aca="1" ref="AL439" ca="1">INDEX(OFFSET($AK$19,MATCH($B439,$B$19:$B$150,0)-1,0,COUNTA($B$19:$B$24),COUNTA($AK$17:$BB$17)),MATCH($F439,$F$19:$F$24,0),MATCH(AL$17,$AK$17:$BB$17,0))*INDEX($10:$13,MATCH($O439,$R$10:$R$13,0),COLUMN())</f>
        <v>3.3821510710000003E-8</v>
      </c>
      <c r="AM439" s="1050" cm="1">
        <f t="array" aca="1" ref="AM439" ca="1">INDEX(OFFSET($AK$19,MATCH($B439,$B$19:$B$150,0)-1,0,COUNTA($B$19:$B$24),COUNTA($AK$17:$BB$17)),MATCH($F439,$F$19:$F$24,0),MATCH(AM$17,$AK$17:$BB$17,0))*INDEX($10:$13,MATCH($O439,$R$10:$R$13,0),COLUMN())</f>
        <v>5.5579656330000003E-5</v>
      </c>
      <c r="AN439" s="1050" cm="1">
        <f t="array" aca="1" ref="AN439" ca="1">INDEX(OFFSET($AK$19,MATCH($B439,$B$19:$B$150,0)-1,0,COUNTA($B$19:$B$24),COUNTA($AK$17:$BB$17)),MATCH($F439,$F$19:$F$24,0),MATCH(AN$17,$AK$17:$BB$17,0))*INDEX($10:$13,MATCH($O439,$R$10:$R$13,0),COLUMN())</f>
        <v>7.6886201280000003E-4</v>
      </c>
      <c r="AO439" s="1050" cm="1">
        <f t="array" aca="1" ref="AO439" ca="1">INDEX(OFFSET($AK$19,MATCH($B439,$B$19:$B$150,0)-1,0,COUNTA($B$19:$B$24),COUNTA($AK$17:$BB$17)),MATCH($F439,$F$19:$F$24,0),MATCH(AO$17,$AK$17:$BB$17,0))*INDEX($10:$13,MATCH($O439,$R$10:$R$13,0),COLUMN())</f>
        <v>2.4789591119999999E-2</v>
      </c>
      <c r="AP439" s="1050" cm="1">
        <f t="array" aca="1" ref="AP439" ca="1">INDEX(OFFSET($AK$19,MATCH($B439,$B$19:$B$150,0)-1,0,COUNTA($B$19:$B$24),COUNTA($AK$17:$BB$17)),MATCH($F439,$F$19:$F$24,0),MATCH(AP$17,$AK$17:$BB$17,0))*INDEX($10:$13,MATCH($O439,$R$10:$R$13,0),COLUMN())</f>
        <v>2.8361630173999999E-3</v>
      </c>
      <c r="AQ439" s="1050" cm="1">
        <f t="array" aca="1" ref="AQ439" ca="1">INDEX(OFFSET($AK$19,MATCH($B439,$B$19:$B$150,0)-1,0,COUNTA($B$19:$B$24),COUNTA($AK$17:$BB$17)),MATCH($F439,$F$19:$F$24,0),MATCH(AQ$17,$AK$17:$BB$17,0))*INDEX($10:$13,MATCH($O439,$R$10:$R$13,0),COLUMN())</f>
        <v>2.7615964999999999E-5</v>
      </c>
      <c r="AR439" s="1050" cm="1">
        <f t="array" aca="1" ref="AR439" ca="1">INDEX(OFFSET($AK$19,MATCH($B439,$B$19:$B$150,0)-1,0,COUNTA($B$19:$B$24),COUNTA($AK$17:$BB$17)),MATCH($F439,$F$19:$F$24,0),MATCH(AR$17,$AK$17:$BB$17,0))*INDEX($10:$13,MATCH($O439,$R$10:$R$13,0),COLUMN())</f>
        <v>1.6794282698999997E-2</v>
      </c>
      <c r="AS439" s="1050" cm="1">
        <f t="array" aca="1" ref="AS439" ca="1">INDEX(OFFSET($AK$19,MATCH($B439,$B$19:$B$150,0)-1,0,COUNTA($B$19:$B$24),COUNTA($AK$17:$BB$17)),MATCH($F439,$F$19:$F$24,0),MATCH(AS$17,$AK$17:$BB$17,0))*INDEX($10:$13,MATCH($O439,$R$10:$R$13,0),COLUMN())</f>
        <v>3.2746597649999998E-4</v>
      </c>
      <c r="AT439" s="1050" cm="1">
        <f t="array" aca="1" ref="AT439" ca="1">INDEX(OFFSET($AK$19,MATCH($B439,$B$19:$B$150,0)-1,0,COUNTA($B$19:$B$24),COUNTA($AK$17:$BB$17)),MATCH($F439,$F$19:$F$24,0),MATCH(AT$17,$AK$17:$BB$17,0))*INDEX($10:$13,MATCH($O439,$R$10:$R$13,0),COLUMN())</f>
        <v>8.2455339850000011E-7</v>
      </c>
      <c r="AU439" s="1050" cm="1">
        <f t="array" aca="1" ref="AU439" ca="1">INDEX(OFFSET($AK$19,MATCH($B439,$B$19:$B$150,0)-1,0,COUNTA($B$19:$B$24),COUNTA($AK$17:$BB$17)),MATCH($F439,$F$19:$F$24,0),MATCH(AU$17,$AK$17:$BB$17,0))*INDEX($10:$13,MATCH($O439,$R$10:$R$13,0),COLUMN())</f>
        <v>1.6117687648000001E-7</v>
      </c>
      <c r="AV439" s="1050" cm="1">
        <f t="array" aca="1" ref="AV439" ca="1">INDEX(OFFSET($AK$19,MATCH($B439,$B$19:$B$150,0)-1,0,COUNTA($B$19:$B$24),COUNTA($AK$17:$BB$17)),MATCH($F439,$F$19:$F$24,0),MATCH(AV$17,$AK$17:$BB$17,0))*INDEX($10:$13,MATCH($O439,$R$10:$R$13,0),COLUMN())</f>
        <v>3.0983775449999998E-3</v>
      </c>
      <c r="AW439" s="1050" cm="1">
        <f t="array" aca="1" ref="AW439" ca="1">INDEX(OFFSET($AK$19,MATCH($B439,$B$19:$B$150,0)-1,0,COUNTA($B$19:$B$24),COUNTA($AK$17:$BB$17)),MATCH($F439,$F$19:$F$24,0),MATCH(AW$17,$AK$17:$BB$17,0))*INDEX($10:$13,MATCH($O439,$R$10:$R$13,0),COLUMN())</f>
        <v>5.6683246199999995E-2</v>
      </c>
      <c r="AX439" s="1050" cm="1">
        <f t="array" aca="1" ref="AX439" ca="1">INDEX(OFFSET($AK$19,MATCH($B439,$B$19:$B$150,0)-1,0,COUNTA($B$19:$B$24),COUNTA($AK$17:$BB$17)),MATCH($F439,$F$19:$F$24,0),MATCH(AX$17,$AK$17:$BB$17,0))*INDEX($10:$13,MATCH($O439,$R$10:$R$13,0),COLUMN())</f>
        <v>1.6710103079999997E-8</v>
      </c>
      <c r="AY439" s="1050" cm="1">
        <f t="array" aca="1" ref="AY439" ca="1">INDEX(OFFSET($AK$19,MATCH($B439,$B$19:$B$150,0)-1,0,COUNTA($B$19:$B$24),COUNTA($AK$17:$BB$17)),MATCH($F439,$F$19:$F$24,0),MATCH(AY$17,$AK$17:$BB$17,0))*INDEX($10:$13,MATCH($O439,$R$10:$R$13,0),COLUMN())</f>
        <v>-4.3066251618749994E-10</v>
      </c>
      <c r="AZ439" s="1050" cm="1">
        <f t="array" aca="1" ref="AZ439" ca="1">INDEX(OFFSET($AK$19,MATCH($B439,$B$19:$B$150,0)-1,0,COUNTA($B$19:$B$24),COUNTA($AK$17:$BB$17)),MATCH($F439,$F$19:$F$24,0),MATCH(AZ$17,$AK$17:$BB$17,0))*INDEX($10:$13,MATCH($O439,$R$10:$R$13,0),COLUMN())</f>
        <v>0</v>
      </c>
      <c r="BA439" s="1050" cm="1">
        <f t="array" aca="1" ref="BA439" ca="1">INDEX(OFFSET($AK$19,MATCH($B439,$B$19:$B$150,0)-1,0,COUNTA($B$19:$B$24),COUNTA($AK$17:$BB$17)),MATCH($F439,$F$19:$F$24,0),MATCH(BA$17,$AK$17:$BB$17,0))*INDEX($10:$13,MATCH($O439,$R$10:$R$13,0),COLUMN())</f>
        <v>0</v>
      </c>
      <c r="BB439" s="1051" cm="1">
        <f t="array" aca="1" ref="BB439" ca="1">INDEX(OFFSET($AK$19,MATCH($B439,$B$19:$B$150,0)-1,0,COUNTA($B$19:$B$24),COUNTA($AK$17:$BB$17)),MATCH($F439,$F$19:$F$24,0),MATCH(BB$17,$AK$17:$BB$17,0))*INDEX($10:$13,MATCH($O439,$R$10:$R$13,0),COLUMN())</f>
        <v>0</v>
      </c>
      <c r="BC439" s="1053">
        <f t="shared" ca="1" si="176"/>
        <v>5.6683262479440555E-2</v>
      </c>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2:78" ht="12" customHeight="1" outlineLevel="1" x14ac:dyDescent="0.25">
      <c r="B440" s="104" t="s">
        <v>99</v>
      </c>
      <c r="C440" s="104" t="s">
        <v>121</v>
      </c>
      <c r="D440" s="2" t="s">
        <v>132</v>
      </c>
      <c r="E440" s="2" t="s">
        <v>99</v>
      </c>
      <c r="F440" s="105" t="s">
        <v>96</v>
      </c>
      <c r="G440" s="27" t="s">
        <v>1582</v>
      </c>
      <c r="H440" s="106" t="s">
        <v>128</v>
      </c>
      <c r="I440" s="107" t="s">
        <v>1577</v>
      </c>
      <c r="J440" s="147">
        <v>3.72132342</v>
      </c>
      <c r="K440" s="148">
        <v>0.37839999999999996</v>
      </c>
      <c r="L440" s="149">
        <f t="shared" ca="1" si="172"/>
        <v>0.36909943672545964</v>
      </c>
      <c r="M440" s="148">
        <f t="shared" ca="1" si="173"/>
        <v>0.51806722685691386</v>
      </c>
      <c r="N440" s="148">
        <f t="shared" ca="1" si="175"/>
        <v>0.13966722685691391</v>
      </c>
      <c r="O440" s="1062" t="s">
        <v>1584</v>
      </c>
      <c r="P440" s="104"/>
      <c r="R440" s="119"/>
      <c r="S440" s="1072"/>
      <c r="T440" s="1072"/>
      <c r="U440" s="1072"/>
      <c r="V440" s="1072"/>
      <c r="W440" s="1072"/>
      <c r="X440" s="1072"/>
      <c r="Y440" s="1072"/>
      <c r="Z440" s="1072"/>
      <c r="AA440" s="1072"/>
      <c r="AB440" s="1072"/>
      <c r="AC440" s="1072"/>
      <c r="AD440" s="1072"/>
      <c r="AE440" s="1072"/>
      <c r="AF440" s="1072"/>
      <c r="AG440" s="1072"/>
      <c r="AH440" s="1072"/>
      <c r="AI440" s="1072"/>
      <c r="AJ440" s="1073"/>
      <c r="AK440" s="1052" cm="1">
        <f t="array" aca="1" ref="AK440" ca="1">INDEX(OFFSET($AK$19,MATCH($B440,$B$19:$B$150,0)-1,0,COUNTA($B$19:$B$24),COUNTA($AK$17:$BB$17)),MATCH($F440,$F$19:$F$24,0),MATCH(AK$17,$AK$17:$BB$17,0))*INDEX($10:$13,MATCH($O440,$R$10:$R$13,0),COLUMN())</f>
        <v>1.6455304608715769E-2</v>
      </c>
      <c r="AL440" s="1050" cm="1">
        <f t="array" aca="1" ref="AL440" ca="1">INDEX(OFFSET($AK$19,MATCH($B440,$B$19:$B$150,0)-1,0,COUNTA($B$19:$B$24),COUNTA($AK$17:$BB$17)),MATCH($F440,$F$19:$F$24,0),MATCH(AL$17,$AK$17:$BB$17,0))*INDEX($10:$13,MATCH($O440,$R$10:$R$13,0),COLUMN())</f>
        <v>3.3989280650000005E-8</v>
      </c>
      <c r="AM440" s="1050" cm="1">
        <f t="array" aca="1" ref="AM440" ca="1">INDEX(OFFSET($AK$19,MATCH($B440,$B$19:$B$150,0)-1,0,COUNTA($B$19:$B$24),COUNTA($AK$17:$BB$17)),MATCH($F440,$F$19:$F$24,0),MATCH(AM$17,$AK$17:$BB$17,0))*INDEX($10:$13,MATCH($O440,$R$10:$R$13,0),COLUMN())</f>
        <v>5.5854030870000001E-5</v>
      </c>
      <c r="AN440" s="1050" cm="1">
        <f t="array" aca="1" ref="AN440" ca="1">INDEX(OFFSET($AK$19,MATCH($B440,$B$19:$B$150,0)-1,0,COUNTA($B$19:$B$24),COUNTA($AK$17:$BB$17)),MATCH($F440,$F$19:$F$24,0),MATCH(AN$17,$AK$17:$BB$17,0))*INDEX($10:$13,MATCH($O440,$R$10:$R$13,0),COLUMN())</f>
        <v>8.017365971999999E-4</v>
      </c>
      <c r="AO440" s="1050" cm="1">
        <f t="array" aca="1" ref="AO440" ca="1">INDEX(OFFSET($AK$19,MATCH($B440,$B$19:$B$150,0)-1,0,COUNTA($B$19:$B$24),COUNTA($AK$17:$BB$17)),MATCH($F440,$F$19:$F$24,0),MATCH(AO$17,$AK$17:$BB$17,0))*INDEX($10:$13,MATCH($O440,$R$10:$R$13,0),COLUMN())</f>
        <v>3.5098767200000006E-2</v>
      </c>
      <c r="AP440" s="1050" cm="1">
        <f t="array" aca="1" ref="AP440" ca="1">INDEX(OFFSET($AK$19,MATCH($B440,$B$19:$B$150,0)-1,0,COUNTA($B$19:$B$24),COUNTA($AK$17:$BB$17)),MATCH($F440,$F$19:$F$24,0),MATCH(AP$17,$AK$17:$BB$17,0))*INDEX($10:$13,MATCH($O440,$R$10:$R$13,0),COLUMN())</f>
        <v>4.2931974298000006E-3</v>
      </c>
      <c r="AQ440" s="1050" cm="1">
        <f t="array" aca="1" ref="AQ440" ca="1">INDEX(OFFSET($AK$19,MATCH($B440,$B$19:$B$150,0)-1,0,COUNTA($B$19:$B$24),COUNTA($AK$17:$BB$17)),MATCH($F440,$F$19:$F$24,0),MATCH(AQ$17,$AK$17:$BB$17,0))*INDEX($10:$13,MATCH($O440,$R$10:$R$13,0),COLUMN())</f>
        <v>4.2313249999999997E-5</v>
      </c>
      <c r="AR440" s="1050" cm="1">
        <f t="array" aca="1" ref="AR440" ca="1">INDEX(OFFSET($AK$19,MATCH($B440,$B$19:$B$150,0)-1,0,COUNTA($B$19:$B$24),COUNTA($AK$17:$BB$17)),MATCH($F440,$F$19:$F$24,0),MATCH(AR$17,$AK$17:$BB$17,0))*INDEX($10:$13,MATCH($O440,$R$10:$R$13,0),COLUMN())</f>
        <v>2.0463395699999998E-2</v>
      </c>
      <c r="AS440" s="1050" cm="1">
        <f t="array" aca="1" ref="AS440" ca="1">INDEX(OFFSET($AK$19,MATCH($B440,$B$19:$B$150,0)-1,0,COUNTA($B$19:$B$24),COUNTA($AK$17:$BB$17)),MATCH($F440,$F$19:$F$24,0),MATCH(AS$17,$AK$17:$BB$17,0))*INDEX($10:$13,MATCH($O440,$R$10:$R$13,0),COLUMN())</f>
        <v>5.4857523239999989E-4</v>
      </c>
      <c r="AT440" s="1050" cm="1">
        <f t="array" aca="1" ref="AT440" ca="1">INDEX(OFFSET($AK$19,MATCH($B440,$B$19:$B$150,0)-1,0,COUNTA($B$19:$B$24),COUNTA($AK$17:$BB$17)),MATCH($F440,$F$19:$F$24,0),MATCH(AT$17,$AK$17:$BB$17,0))*INDEX($10:$13,MATCH($O440,$R$10:$R$13,0),COLUMN())</f>
        <v>9.2385637250000004E-7</v>
      </c>
      <c r="AU440" s="1050" cm="1">
        <f t="array" aca="1" ref="AU440" ca="1">INDEX(OFFSET($AK$19,MATCH($B440,$B$19:$B$150,0)-1,0,COUNTA($B$19:$B$24),COUNTA($AK$17:$BB$17)),MATCH($F440,$F$19:$F$24,0),MATCH(AU$17,$AK$17:$BB$17,0))*INDEX($10:$13,MATCH($O440,$R$10:$R$13,0),COLUMN())</f>
        <v>1.7535033440000002E-7</v>
      </c>
      <c r="AV440" s="1050" cm="1">
        <f t="array" aca="1" ref="AV440" ca="1">INDEX(OFFSET($AK$19,MATCH($B440,$B$19:$B$150,0)-1,0,COUNTA($B$19:$B$24),COUNTA($AK$17:$BB$17)),MATCH($F440,$F$19:$F$24,0),MATCH(AV$17,$AK$17:$BB$17,0))*INDEX($10:$13,MATCH($O440,$R$10:$R$13,0),COLUMN())</f>
        <v>5.2236871324999991E-3</v>
      </c>
      <c r="AW440" s="1050" cm="1">
        <f t="array" aca="1" ref="AW440" ca="1">INDEX(OFFSET($AK$19,MATCH($B440,$B$19:$B$150,0)-1,0,COUNTA($B$19:$B$24),COUNTA($AK$17:$BB$17)),MATCH($F440,$F$19:$F$24,0),MATCH(AW$17,$AK$17:$BB$17,0))*INDEX($10:$13,MATCH($O440,$R$10:$R$13,0),COLUMN())</f>
        <v>5.6683246199999995E-2</v>
      </c>
      <c r="AX440" s="1050" cm="1">
        <f t="array" aca="1" ref="AX440" ca="1">INDEX(OFFSET($AK$19,MATCH($B440,$B$19:$B$150,0)-1,0,COUNTA($B$19:$B$24),COUNTA($AK$17:$BB$17)),MATCH($F440,$F$19:$F$24,0),MATCH(AX$17,$AK$17:$BB$17,0))*INDEX($10:$13,MATCH($O440,$R$10:$R$13,0),COLUMN())</f>
        <v>1.6710103079999997E-8</v>
      </c>
      <c r="AY440" s="1050" cm="1">
        <f t="array" aca="1" ref="AY440" ca="1">INDEX(OFFSET($AK$19,MATCH($B440,$B$19:$B$150,0)-1,0,COUNTA($B$19:$B$24),COUNTA($AK$17:$BB$17)),MATCH($F440,$F$19:$F$24,0),MATCH(AY$17,$AK$17:$BB$17,0))*INDEX($10:$13,MATCH($O440,$R$10:$R$13,0),COLUMN())</f>
        <v>-4.3066251618749994E-10</v>
      </c>
      <c r="AZ440" s="1050" cm="1">
        <f t="array" aca="1" ref="AZ440" ca="1">INDEX(OFFSET($AK$19,MATCH($B440,$B$19:$B$150,0)-1,0,COUNTA($B$19:$B$24),COUNTA($AK$17:$BB$17)),MATCH($F440,$F$19:$F$24,0),MATCH(AZ$17,$AK$17:$BB$17,0))*INDEX($10:$13,MATCH($O440,$R$10:$R$13,0),COLUMN())</f>
        <v>0</v>
      </c>
      <c r="BA440" s="1050" cm="1">
        <f t="array" aca="1" ref="BA440" ca="1">INDEX(OFFSET($AK$19,MATCH($B440,$B$19:$B$150,0)-1,0,COUNTA($B$19:$B$24),COUNTA($AK$17:$BB$17)),MATCH($F440,$F$19:$F$24,0),MATCH(BA$17,$AK$17:$BB$17,0))*INDEX($10:$13,MATCH($O440,$R$10:$R$13,0),COLUMN())</f>
        <v>0</v>
      </c>
      <c r="BB440" s="1051" cm="1">
        <f t="array" aca="1" ref="BB440" ca="1">INDEX(OFFSET($AK$19,MATCH($B440,$B$19:$B$150,0)-1,0,COUNTA($B$19:$B$24),COUNTA($AK$17:$BB$17)),MATCH($F440,$F$19:$F$24,0),MATCH(BB$17,$AK$17:$BB$17,0))*INDEX($10:$13,MATCH($O440,$R$10:$R$13,0),COLUMN())</f>
        <v>0</v>
      </c>
      <c r="BC440" s="1053">
        <f t="shared" ca="1" si="176"/>
        <v>5.6683262479440555E-2</v>
      </c>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2:78" ht="12" customHeight="1" outlineLevel="1" x14ac:dyDescent="0.25">
      <c r="B441" s="88" t="s">
        <v>100</v>
      </c>
      <c r="C441" s="88" t="s">
        <v>121</v>
      </c>
      <c r="D441" s="89" t="s">
        <v>132</v>
      </c>
      <c r="E441" s="89" t="s">
        <v>135</v>
      </c>
      <c r="F441" s="90" t="s">
        <v>92</v>
      </c>
      <c r="G441" s="18" t="s">
        <v>126</v>
      </c>
      <c r="H441" s="91" t="s">
        <v>127</v>
      </c>
      <c r="I441" s="92" t="s">
        <v>127</v>
      </c>
      <c r="J441" s="142">
        <v>3.7523941999999999</v>
      </c>
      <c r="K441" s="143">
        <v>0.19027961896782761</v>
      </c>
      <c r="L441" s="144">
        <f t="shared" ca="1" si="172"/>
        <v>0.67781494355262328</v>
      </c>
      <c r="M441" s="143">
        <f t="shared" ca="1" si="173"/>
        <v>0.31925398815772033</v>
      </c>
      <c r="N441" s="162">
        <f t="shared" ca="1" si="175"/>
        <v>0.12897436918989275</v>
      </c>
      <c r="O441" s="1060" t="s">
        <v>1584</v>
      </c>
      <c r="P441" s="88"/>
      <c r="Q441" s="89"/>
      <c r="R441" s="150"/>
      <c r="S441" s="1070"/>
      <c r="T441" s="1070"/>
      <c r="U441" s="1070"/>
      <c r="V441" s="1070"/>
      <c r="W441" s="1070"/>
      <c r="X441" s="1070"/>
      <c r="Y441" s="1070"/>
      <c r="Z441" s="1070"/>
      <c r="AA441" s="1070"/>
      <c r="AB441" s="1070"/>
      <c r="AC441" s="1070"/>
      <c r="AD441" s="1070"/>
      <c r="AE441" s="1070"/>
      <c r="AF441" s="1070"/>
      <c r="AG441" s="1070"/>
      <c r="AH441" s="1070"/>
      <c r="AI441" s="1070"/>
      <c r="AJ441" s="1071"/>
      <c r="AK441" s="1048" cm="1">
        <f t="array" aca="1" ref="AK441" ca="1">INDEX(OFFSET($AK$19,MATCH($B441,$B$19:$B$150,0)-1,0,COUNTA($B$19:$B$24),COUNTA($AK$17:$BB$17)),MATCH($F441,$F$19:$F$24,0),MATCH(AK$17,$AK$17:$BB$17,0))*INDEX($10:$13,MATCH($O441,$R$10:$R$13,0),COLUMN())</f>
        <v>2.2584690576030492E-2</v>
      </c>
      <c r="AL441" s="1046" cm="1">
        <f t="array" aca="1" ref="AL441" ca="1">INDEX(OFFSET($AK$19,MATCH($B441,$B$19:$B$150,0)-1,0,COUNTA($B$19:$B$24),COUNTA($AK$17:$BB$17)),MATCH($F441,$F$19:$F$24,0),MATCH(AL$17,$AK$17:$BB$17,0))*INDEX($10:$13,MATCH($O441,$R$10:$R$13,0),COLUMN())</f>
        <v>4.213865786E-8</v>
      </c>
      <c r="AM441" s="1046" cm="1">
        <f t="array" aca="1" ref="AM441" ca="1">INDEX(OFFSET($AK$19,MATCH($B441,$B$19:$B$150,0)-1,0,COUNTA($B$19:$B$24),COUNTA($AK$17:$BB$17)),MATCH($F441,$F$19:$F$24,0),MATCH(AM$17,$AK$17:$BB$17,0))*INDEX($10:$13,MATCH($O441,$R$10:$R$13,0),COLUMN())</f>
        <v>7.0498224720000002E-5</v>
      </c>
      <c r="AN441" s="1046" cm="1">
        <f t="array" aca="1" ref="AN441" ca="1">INDEX(OFFSET($AK$19,MATCH($B441,$B$19:$B$150,0)-1,0,COUNTA($B$19:$B$24),COUNTA($AK$17:$BB$17)),MATCH($F441,$F$19:$F$24,0),MATCH(AN$17,$AK$17:$BB$17,0))*INDEX($10:$13,MATCH($O441,$R$10:$R$13,0),COLUMN())</f>
        <v>4.8679859760000001E-4</v>
      </c>
      <c r="AO441" s="1046" cm="1">
        <f t="array" aca="1" ref="AO441" ca="1">INDEX(OFFSET($AK$19,MATCH($B441,$B$19:$B$150,0)-1,0,COUNTA($B$19:$B$24),COUNTA($AK$17:$BB$17)),MATCH($F441,$F$19:$F$24,0),MATCH(AO$17,$AK$17:$BB$17,0))*INDEX($10:$13,MATCH($O441,$R$10:$R$13,0),COLUMN())</f>
        <v>2.5483433079999999E-2</v>
      </c>
      <c r="AP441" s="1046" cm="1">
        <f t="array" aca="1" ref="AP441" ca="1">INDEX(OFFSET($AK$19,MATCH($B441,$B$19:$B$150,0)-1,0,COUNTA($B$19:$B$24),COUNTA($AK$17:$BB$17)),MATCH($F441,$F$19:$F$24,0),MATCH(AP$17,$AK$17:$BB$17,0))*INDEX($10:$13,MATCH($O441,$R$10:$R$13,0),COLUMN())</f>
        <v>3.1856565638E-3</v>
      </c>
      <c r="AQ441" s="1046" cm="1">
        <f t="array" aca="1" ref="AQ441" ca="1">INDEX(OFFSET($AK$19,MATCH($B441,$B$19:$B$150,0)-1,0,COUNTA($B$19:$B$24),COUNTA($AK$17:$BB$17)),MATCH($F441,$F$19:$F$24,0),MATCH(AQ$17,$AK$17:$BB$17,0))*INDEX($10:$13,MATCH($O441,$R$10:$R$13,0),COLUMN())</f>
        <v>3.1699072499999998E-5</v>
      </c>
      <c r="AR441" s="1046" cm="1">
        <f t="array" aca="1" ref="AR441" ca="1">INDEX(OFFSET($AK$19,MATCH($B441,$B$19:$B$150,0)-1,0,COUNTA($B$19:$B$24),COUNTA($AK$17:$BB$17)),MATCH($F441,$F$19:$F$24,0),MATCH(AR$17,$AK$17:$BB$17,0))*INDEX($10:$13,MATCH($O441,$R$10:$R$13,0),COLUMN())</f>
        <v>2.1698409355E-2</v>
      </c>
      <c r="AS441" s="1046" cm="1">
        <f t="array" aca="1" ref="AS441" ca="1">INDEX(OFFSET($AK$19,MATCH($B441,$B$19:$B$150,0)-1,0,COUNTA($B$19:$B$24),COUNTA($AK$17:$BB$17)),MATCH($F441,$F$19:$F$24,0),MATCH(AS$17,$AK$17:$BB$17,0))*INDEX($10:$13,MATCH($O441,$R$10:$R$13,0),COLUMN())</f>
        <v>1.7046940949999999E-2</v>
      </c>
      <c r="AT441" s="1046" cm="1">
        <f t="array" aca="1" ref="AT441" ca="1">INDEX(OFFSET($AK$19,MATCH($B441,$B$19:$B$150,0)-1,0,COUNTA($B$19:$B$24),COUNTA($AK$17:$BB$17)),MATCH($F441,$F$19:$F$24,0),MATCH(AT$17,$AK$17:$BB$17,0))*INDEX($10:$13,MATCH($O441,$R$10:$R$13,0),COLUMN())</f>
        <v>1.8962283619999999E-5</v>
      </c>
      <c r="AU441" s="1046" cm="1">
        <f t="array" aca="1" ref="AU441" ca="1">INDEX(OFFSET($AK$19,MATCH($B441,$B$19:$B$150,0)-1,0,COUNTA($B$19:$B$24),COUNTA($AK$17:$BB$17)),MATCH($F441,$F$19:$F$24,0),MATCH(AU$17,$AK$17:$BB$17,0))*INDEX($10:$13,MATCH($O441,$R$10:$R$13,0),COLUMN())</f>
        <v>1.0455563935999999E-6</v>
      </c>
      <c r="AV441" s="1046" cm="1">
        <f t="array" aca="1" ref="AV441" ca="1">INDEX(OFFSET($AK$19,MATCH($B441,$B$19:$B$150,0)-1,0,COUNTA($B$19:$B$24),COUNTA($AK$17:$BB$17)),MATCH($F441,$F$19:$F$24,0),MATCH(AV$17,$AK$17:$BB$17,0))*INDEX($10:$13,MATCH($O441,$R$10:$R$13,0),COLUMN())</f>
        <v>3.4227428349999996E-3</v>
      </c>
      <c r="AW441" s="1046" cm="1">
        <f t="array" aca="1" ref="AW441" ca="1">INDEX(OFFSET($AK$19,MATCH($B441,$B$19:$B$150,0)-1,0,COUNTA($B$19:$B$24),COUNTA($AK$17:$BB$17)),MATCH($F441,$F$19:$F$24,0),MATCH(AW$17,$AK$17:$BB$17,0))*INDEX($10:$13,MATCH($O441,$R$10:$R$13,0),COLUMN())</f>
        <v>3.4943399699999995E-2</v>
      </c>
      <c r="AX441" s="1046" cm="1">
        <f t="array" aca="1" ref="AX441" ca="1">INDEX(OFFSET($AK$19,MATCH($B441,$B$19:$B$150,0)-1,0,COUNTA($B$19:$B$24),COUNTA($AK$17:$BB$17)),MATCH($F441,$F$19:$F$24,0),MATCH(AX$17,$AK$17:$BB$17,0))*INDEX($10:$13,MATCH($O441,$R$10:$R$13,0),COLUMN())</f>
        <v>5.162127435E-8</v>
      </c>
      <c r="AY441" s="1046" cm="1">
        <f t="array" aca="1" ref="AY441" ca="1">INDEX(OFFSET($AK$19,MATCH($B441,$B$19:$B$150,0)-1,0,COUNTA($B$19:$B$24),COUNTA($AK$17:$BB$17)),MATCH($F441,$F$19:$F$24,0),MATCH(AY$17,$AK$17:$BB$17,0))*INDEX($10:$13,MATCH($O441,$R$10:$R$13,0),COLUMN())</f>
        <v>-1.3647035812499999E-9</v>
      </c>
      <c r="AZ441" s="1046" cm="1">
        <f t="array" aca="1" ref="AZ441" ca="1">INDEX(OFFSET($AK$19,MATCH($B441,$B$19:$B$150,0)-1,0,COUNTA($B$19:$B$24),COUNTA($AK$17:$BB$17)),MATCH($F441,$F$19:$F$24,0),MATCH(AZ$17,$AK$17:$BB$17,0))*INDEX($10:$13,MATCH($O441,$R$10:$R$13,0),COLUMN())</f>
        <v>0</v>
      </c>
      <c r="BA441" s="1046" cm="1">
        <f t="array" aca="1" ref="BA441" ca="1">INDEX(OFFSET($AK$19,MATCH($B441,$B$19:$B$150,0)-1,0,COUNTA($B$19:$B$24),COUNTA($AK$17:$BB$17)),MATCH($F441,$F$19:$F$24,0),MATCH(BA$17,$AK$17:$BB$17,0))*INDEX($10:$13,MATCH($O441,$R$10:$R$13,0),COLUMN())</f>
        <v>0</v>
      </c>
      <c r="BB441" s="1047" cm="1">
        <f t="array" aca="1" ref="BB441" ca="1">INDEX(OFFSET($AK$19,MATCH($B441,$B$19:$B$150,0)-1,0,COUNTA($B$19:$B$24),COUNTA($AK$17:$BB$17)),MATCH($F441,$F$19:$F$24,0),MATCH(BB$17,$AK$17:$BB$17,0))*INDEX($10:$13,MATCH($O441,$R$10:$R$13,0),COLUMN())</f>
        <v>0</v>
      </c>
      <c r="BC441" s="1049">
        <f t="shared" ca="1" si="176"/>
        <v>3.4943449956570768E-2</v>
      </c>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2:78" ht="12" customHeight="1" outlineLevel="1" x14ac:dyDescent="0.25">
      <c r="B442" s="104" t="s">
        <v>100</v>
      </c>
      <c r="C442" s="104" t="s">
        <v>121</v>
      </c>
      <c r="D442" s="2" t="s">
        <v>132</v>
      </c>
      <c r="E442" s="2" t="s">
        <v>135</v>
      </c>
      <c r="F442" s="105" t="s">
        <v>122</v>
      </c>
      <c r="G442" s="27" t="s">
        <v>1579</v>
      </c>
      <c r="H442" s="106" t="s">
        <v>128</v>
      </c>
      <c r="I442" s="107" t="s">
        <v>129</v>
      </c>
      <c r="J442" s="147">
        <v>3.7523941999999999</v>
      </c>
      <c r="K442" s="148">
        <v>0.4056506487491307</v>
      </c>
      <c r="L442" s="149">
        <f t="shared" ca="1" si="172"/>
        <v>0.20958986797161128</v>
      </c>
      <c r="M442" s="148">
        <f t="shared" ca="1" si="173"/>
        <v>0.49067091466305945</v>
      </c>
      <c r="N442" s="163">
        <f t="shared" ca="1" si="175"/>
        <v>8.5020265913928764E-2</v>
      </c>
      <c r="O442" s="1061" t="s">
        <v>1584</v>
      </c>
      <c r="P442" s="104"/>
      <c r="R442" s="119"/>
      <c r="S442" s="1072"/>
      <c r="T442" s="1072"/>
      <c r="U442" s="1072"/>
      <c r="V442" s="1072"/>
      <c r="W442" s="1072"/>
      <c r="X442" s="1072"/>
      <c r="Y442" s="1072"/>
      <c r="Z442" s="1072"/>
      <c r="AA442" s="1072"/>
      <c r="AB442" s="1072"/>
      <c r="AC442" s="1072"/>
      <c r="AD442" s="1072"/>
      <c r="AE442" s="1072"/>
      <c r="AF442" s="1072"/>
      <c r="AG442" s="1072"/>
      <c r="AH442" s="1072"/>
      <c r="AI442" s="1072"/>
      <c r="AJ442" s="1073"/>
      <c r="AK442" s="1052" cm="1">
        <f t="array" aca="1" ref="AK442" ca="1">INDEX(OFFSET($AK$19,MATCH($B442,$B$19:$B$150,0)-1,0,COUNTA($B$19:$B$24),COUNTA($AK$17:$BB$17)),MATCH($F442,$F$19:$F$24,0),MATCH(AK$17,$AK$17:$BB$17,0))*INDEX($10:$13,MATCH($O442,$R$10:$R$13,0),COLUMN())</f>
        <v>1.3100687554284816E-2</v>
      </c>
      <c r="AL442" s="1050" cm="1">
        <f t="array" aca="1" ref="AL442" ca="1">INDEX(OFFSET($AK$19,MATCH($B442,$B$19:$B$150,0)-1,0,COUNTA($B$19:$B$24),COUNTA($AK$17:$BB$17)),MATCH($F442,$F$19:$F$24,0),MATCH(AL$17,$AK$17:$BB$17,0))*INDEX($10:$13,MATCH($O442,$R$10:$R$13,0),COLUMN())</f>
        <v>3.0377000290000002E-8</v>
      </c>
      <c r="AM442" s="1050" cm="1">
        <f t="array" aca="1" ref="AM442" ca="1">INDEX(OFFSET($AK$19,MATCH($B442,$B$19:$B$150,0)-1,0,COUNTA($B$19:$B$24),COUNTA($AK$17:$BB$17)),MATCH($F442,$F$19:$F$24,0),MATCH(AM$17,$AK$17:$BB$17,0))*INDEX($10:$13,MATCH($O442,$R$10:$R$13,0),COLUMN())</f>
        <v>4.991038371E-5</v>
      </c>
      <c r="AN442" s="1050" cm="1">
        <f t="array" aca="1" ref="AN442" ca="1">INDEX(OFFSET($AK$19,MATCH($B442,$B$19:$B$150,0)-1,0,COUNTA($B$19:$B$24),COUNTA($AK$17:$BB$17)),MATCH($F442,$F$19:$F$24,0),MATCH(AN$17,$AK$17:$BB$17,0))*INDEX($10:$13,MATCH($O442,$R$10:$R$13,0),COLUMN())</f>
        <v>6.3414280439999993E-4</v>
      </c>
      <c r="AO442" s="1050" cm="1">
        <f t="array" aca="1" ref="AO442" ca="1">INDEX(OFFSET($AK$19,MATCH($B442,$B$19:$B$150,0)-1,0,COUNTA($B$19:$B$24),COUNTA($AK$17:$BB$17)),MATCH($F442,$F$19:$F$24,0),MATCH(AO$17,$AK$17:$BB$17,0))*INDEX($10:$13,MATCH($O442,$R$10:$R$13,0),COLUMN())</f>
        <v>9.3425239599999998E-3</v>
      </c>
      <c r="AP442" s="1050" cm="1">
        <f t="array" aca="1" ref="AP442" ca="1">INDEX(OFFSET($AK$19,MATCH($B442,$B$19:$B$150,0)-1,0,COUNTA($B$19:$B$24),COUNTA($AK$17:$BB$17)),MATCH($F442,$F$19:$F$24,0),MATCH(AP$17,$AK$17:$BB$17,0))*INDEX($10:$13,MATCH($O442,$R$10:$R$13,0),COLUMN())</f>
        <v>7.3493461660000003E-4</v>
      </c>
      <c r="AQ442" s="1050" cm="1">
        <f t="array" aca="1" ref="AQ442" ca="1">INDEX(OFFSET($AK$19,MATCH($B442,$B$19:$B$150,0)-1,0,COUNTA($B$19:$B$24),COUNTA($AK$17:$BB$17)),MATCH($F442,$F$19:$F$24,0),MATCH(AQ$17,$AK$17:$BB$17,0))*INDEX($10:$13,MATCH($O442,$R$10:$R$13,0),COLUMN())</f>
        <v>6.1223480000000003E-6</v>
      </c>
      <c r="AR442" s="1050" cm="1">
        <f t="array" aca="1" ref="AR442" ca="1">INDEX(OFFSET($AK$19,MATCH($B442,$B$19:$B$150,0)-1,0,COUNTA($B$19:$B$24),COUNTA($AK$17:$BB$17)),MATCH($F442,$F$19:$F$24,0),MATCH(AR$17,$AK$17:$BB$17,0))*INDEX($10:$13,MATCH($O442,$R$10:$R$13,0),COLUMN())</f>
        <v>1.1163135075E-2</v>
      </c>
      <c r="AS442" s="1050" cm="1">
        <f t="array" aca="1" ref="AS442" ca="1">INDEX(OFFSET($AK$19,MATCH($B442,$B$19:$B$150,0)-1,0,COUNTA($B$19:$B$24),COUNTA($AK$17:$BB$17)),MATCH($F442,$F$19:$F$24,0),MATCH(AS$17,$AK$17:$BB$17,0))*INDEX($10:$13,MATCH($O442,$R$10:$R$13,0),COLUMN())</f>
        <v>-8.6121639629999984E-6</v>
      </c>
      <c r="AT442" s="1050" cm="1">
        <f t="array" aca="1" ref="AT442" ca="1">INDEX(OFFSET($AK$19,MATCH($B442,$B$19:$B$150,0)-1,0,COUNTA($B$19:$B$24),COUNTA($AK$17:$BB$17)),MATCH($F442,$F$19:$F$24,0),MATCH(AT$17,$AK$17:$BB$17,0))*INDEX($10:$13,MATCH($O442,$R$10:$R$13,0),COLUMN())</f>
        <v>5.1361005299999999E-7</v>
      </c>
      <c r="AU442" s="1050" cm="1">
        <f t="array" aca="1" ref="AU442" ca="1">INDEX(OFFSET($AK$19,MATCH($B442,$B$19:$B$150,0)-1,0,COUNTA($B$19:$B$24),COUNTA($AK$17:$BB$17)),MATCH($F442,$F$19:$F$24,0),MATCH(AU$17,$AK$17:$BB$17,0))*INDEX($10:$13,MATCH($O442,$R$10:$R$13,0),COLUMN())</f>
        <v>1.0976602016000001E-7</v>
      </c>
      <c r="AV442" s="1050" cm="1">
        <f t="array" aca="1" ref="AV442" ca="1">INDEX(OFFSET($AK$19,MATCH($B442,$B$19:$B$150,0)-1,0,COUNTA($B$19:$B$24),COUNTA($AK$17:$BB$17)),MATCH($F442,$F$19:$F$24,0),MATCH(AV$17,$AK$17:$BB$17,0))*INDEX($10:$13,MATCH($O442,$R$10:$R$13,0),COLUMN())</f>
        <v>2.7409662474999998E-4</v>
      </c>
      <c r="AW442" s="1050" cm="1">
        <f t="array" aca="1" ref="AW442" ca="1">INDEX(OFFSET($AK$19,MATCH($B442,$B$19:$B$150,0)-1,0,COUNTA($B$19:$B$24),COUNTA($AK$17:$BB$17)),MATCH($F442,$F$19:$F$24,0),MATCH(AW$17,$AK$17:$BB$17,0))*INDEX($10:$13,MATCH($O442,$R$10:$R$13,0),COLUMN())</f>
        <v>4.9722656550000001E-2</v>
      </c>
      <c r="AX442" s="1050" cm="1">
        <f t="array" aca="1" ref="AX442" ca="1">INDEX(OFFSET($AK$19,MATCH($B442,$B$19:$B$150,0)-1,0,COUNTA($B$19:$B$24),COUNTA($AK$17:$BB$17)),MATCH($F442,$F$19:$F$24,0),MATCH(AX$17,$AK$17:$BB$17,0))*INDEX($10:$13,MATCH($O442,$R$10:$R$13,0),COLUMN())</f>
        <v>1.4789230155E-8</v>
      </c>
      <c r="AY442" s="1050" cm="1">
        <f t="array" aca="1" ref="AY442" ca="1">INDEX(OFFSET($AK$19,MATCH($B442,$B$19:$B$150,0)-1,0,COUNTA($B$19:$B$24),COUNTA($AK$17:$BB$17)),MATCH($F442,$F$19:$F$24,0),MATCH(AY$17,$AK$17:$BB$17,0))*INDEX($10:$13,MATCH($O442,$R$10:$R$13,0),COLUMN())</f>
        <v>-3.8115665999999991E-10</v>
      </c>
      <c r="AZ442" s="1050" cm="1">
        <f t="array" aca="1" ref="AZ442" ca="1">INDEX(OFFSET($AK$19,MATCH($B442,$B$19:$B$150,0)-1,0,COUNTA($B$19:$B$24),COUNTA($AK$17:$BB$17)),MATCH($F442,$F$19:$F$24,0),MATCH(AZ$17,$AK$17:$BB$17,0))*INDEX($10:$13,MATCH($O442,$R$10:$R$13,0),COLUMN())</f>
        <v>0</v>
      </c>
      <c r="BA442" s="1050" cm="1">
        <f t="array" aca="1" ref="BA442" ca="1">INDEX(OFFSET($AK$19,MATCH($B442,$B$19:$B$150,0)-1,0,COUNTA($B$19:$B$24),COUNTA($AK$17:$BB$17)),MATCH($F442,$F$19:$F$24,0),MATCH(BA$17,$AK$17:$BB$17,0))*INDEX($10:$13,MATCH($O442,$R$10:$R$13,0),COLUMN())</f>
        <v>0</v>
      </c>
      <c r="BB442" s="1051" cm="1">
        <f t="array" aca="1" ref="BB442" ca="1">INDEX(OFFSET($AK$19,MATCH($B442,$B$19:$B$150,0)-1,0,COUNTA($B$19:$B$24),COUNTA($AK$17:$BB$17)),MATCH($F442,$F$19:$F$24,0),MATCH(BB$17,$AK$17:$BB$17,0))*INDEX($10:$13,MATCH($O442,$R$10:$R$13,0),COLUMN())</f>
        <v>0</v>
      </c>
      <c r="BC442" s="1053">
        <f t="shared" ca="1" si="176"/>
        <v>4.9722670958073492E-2</v>
      </c>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2:78" ht="12" customHeight="1" outlineLevel="1" x14ac:dyDescent="0.25">
      <c r="B443" s="104" t="s">
        <v>100</v>
      </c>
      <c r="C443" s="104" t="s">
        <v>121</v>
      </c>
      <c r="D443" s="2" t="s">
        <v>132</v>
      </c>
      <c r="E443" s="2" t="s">
        <v>135</v>
      </c>
      <c r="F443" s="105" t="s">
        <v>93</v>
      </c>
      <c r="G443" s="27" t="s">
        <v>1578</v>
      </c>
      <c r="H443" s="106" t="s">
        <v>130</v>
      </c>
      <c r="I443" s="107" t="s">
        <v>129</v>
      </c>
      <c r="J443" s="147">
        <v>3.7523941999999999</v>
      </c>
      <c r="K443" s="148">
        <v>0.4056506487491307</v>
      </c>
      <c r="L443" s="149">
        <f t="shared" ca="1" si="172"/>
        <v>0.26677363496455631</v>
      </c>
      <c r="M443" s="148">
        <f t="shared" ca="1" si="173"/>
        <v>0.5138675468416668</v>
      </c>
      <c r="N443" s="163">
        <f t="shared" ca="1" si="175"/>
        <v>0.10821689809253605</v>
      </c>
      <c r="O443" s="1061" t="s">
        <v>1584</v>
      </c>
      <c r="P443" s="104"/>
      <c r="R443" s="119"/>
      <c r="S443" s="1072"/>
      <c r="T443" s="1072"/>
      <c r="U443" s="1072"/>
      <c r="V443" s="1072"/>
      <c r="W443" s="1072"/>
      <c r="X443" s="1072"/>
      <c r="Y443" s="1072"/>
      <c r="Z443" s="1072"/>
      <c r="AA443" s="1072"/>
      <c r="AB443" s="1072"/>
      <c r="AC443" s="1072"/>
      <c r="AD443" s="1072"/>
      <c r="AE443" s="1072"/>
      <c r="AF443" s="1072"/>
      <c r="AG443" s="1072"/>
      <c r="AH443" s="1072"/>
      <c r="AI443" s="1072"/>
      <c r="AJ443" s="1073"/>
      <c r="AK443" s="1052" cm="1">
        <f t="array" aca="1" ref="AK443" ca="1">INDEX(OFFSET($AK$19,MATCH($B443,$B$19:$B$150,0)-1,0,COUNTA($B$19:$B$24),COUNTA($AK$17:$BB$17)),MATCH($F443,$F$19:$F$24,0),MATCH(AK$17,$AK$17:$BB$17,0))*INDEX($10:$13,MATCH($O443,$R$10:$R$13,0),COLUMN())</f>
        <v>1.6654099982609583E-2</v>
      </c>
      <c r="AL443" s="1050" cm="1">
        <f t="array" aca="1" ref="AL443" ca="1">INDEX(OFFSET($AK$19,MATCH($B443,$B$19:$B$150,0)-1,0,COUNTA($B$19:$B$24),COUNTA($AK$17:$BB$17)),MATCH($F443,$F$19:$F$24,0),MATCH(AL$17,$AK$17:$BB$17,0))*INDEX($10:$13,MATCH($O443,$R$10:$R$13,0),COLUMN())</f>
        <v>3.8616415110000003E-8</v>
      </c>
      <c r="AM443" s="1050" cm="1">
        <f t="array" aca="1" ref="AM443" ca="1">INDEX(OFFSET($AK$19,MATCH($B443,$B$19:$B$150,0)-1,0,COUNTA($B$19:$B$24),COUNTA($AK$17:$BB$17)),MATCH($F443,$F$19:$F$24,0),MATCH(AM$17,$AK$17:$BB$17,0))*INDEX($10:$13,MATCH($O443,$R$10:$R$13,0),COLUMN())</f>
        <v>6.3448006049999999E-5</v>
      </c>
      <c r="AN443" s="1050" cm="1">
        <f t="array" aca="1" ref="AN443" ca="1">INDEX(OFFSET($AK$19,MATCH($B443,$B$19:$B$150,0)-1,0,COUNTA($B$19:$B$24),COUNTA($AK$17:$BB$17)),MATCH($F443,$F$19:$F$24,0),MATCH(AN$17,$AK$17:$BB$17,0))*INDEX($10:$13,MATCH($O443,$R$10:$R$13,0),COLUMN())</f>
        <v>8.0614680719999997E-4</v>
      </c>
      <c r="AO443" s="1050" cm="1">
        <f t="array" aca="1" ref="AO443" ca="1">INDEX(OFFSET($AK$19,MATCH($B443,$B$19:$B$150,0)-1,0,COUNTA($B$19:$B$24),COUNTA($AK$17:$BB$17)),MATCH($F443,$F$19:$F$24,0),MATCH(AO$17,$AK$17:$BB$17,0))*INDEX($10:$13,MATCH($O443,$R$10:$R$13,0),COLUMN())</f>
        <v>1.187657688E-2</v>
      </c>
      <c r="AP443" s="1050" cm="1">
        <f t="array" aca="1" ref="AP443" ca="1">INDEX(OFFSET($AK$19,MATCH($B443,$B$19:$B$150,0)-1,0,COUNTA($B$19:$B$24),COUNTA($AK$17:$BB$17)),MATCH($F443,$F$19:$F$24,0),MATCH(AP$17,$AK$17:$BB$17,0))*INDEX($10:$13,MATCH($O443,$R$10:$R$13,0),COLUMN())</f>
        <v>9.3427725500000002E-4</v>
      </c>
      <c r="AQ443" s="1050" cm="1">
        <f t="array" aca="1" ref="AQ443" ca="1">INDEX(OFFSET($AK$19,MATCH($B443,$B$19:$B$150,0)-1,0,COUNTA($B$19:$B$24),COUNTA($AK$17:$BB$17)),MATCH($F443,$F$19:$F$24,0),MATCH(AQ$17,$AK$17:$BB$17,0))*INDEX($10:$13,MATCH($O443,$R$10:$R$13,0),COLUMN())</f>
        <v>7.7829650000000008E-6</v>
      </c>
      <c r="AR443" s="1050" cm="1">
        <f t="array" aca="1" ref="AR443" ca="1">INDEX(OFFSET($AK$19,MATCH($B443,$B$19:$B$150,0)-1,0,COUNTA($B$19:$B$24),COUNTA($AK$17:$BB$17)),MATCH($F443,$F$19:$F$24,0),MATCH(AR$17,$AK$17:$BB$17,0))*INDEX($10:$13,MATCH($O443,$R$10:$R$13,0),COLUMN())</f>
        <v>1.4191008372E-2</v>
      </c>
      <c r="AS443" s="1050" cm="1">
        <f t="array" aca="1" ref="AS443" ca="1">INDEX(OFFSET($AK$19,MATCH($B443,$B$19:$B$150,0)-1,0,COUNTA($B$19:$B$24),COUNTA($AK$17:$BB$17)),MATCH($F443,$F$19:$F$24,0),MATCH(AS$17,$AK$17:$BB$17,0))*INDEX($10:$13,MATCH($O443,$R$10:$R$13,0),COLUMN())</f>
        <v>6.1510018050000002E-7</v>
      </c>
      <c r="AT443" s="1050" cm="1">
        <f t="array" aca="1" ref="AT443" ca="1">INDEX(OFFSET($AK$19,MATCH($B443,$B$19:$B$150,0)-1,0,COUNTA($B$19:$B$24),COUNTA($AK$17:$BB$17)),MATCH($F443,$F$19:$F$24,0),MATCH(AT$17,$AK$17:$BB$17,0))*INDEX($10:$13,MATCH($O443,$R$10:$R$13,0),COLUMN())</f>
        <v>6.568549E-7</v>
      </c>
      <c r="AU443" s="1050" cm="1">
        <f t="array" aca="1" ref="AU443" ca="1">INDEX(OFFSET($AK$19,MATCH($B443,$B$19:$B$150,0)-1,0,COUNTA($B$19:$B$24),COUNTA($AK$17:$BB$17)),MATCH($F443,$F$19:$F$24,0),MATCH(AU$17,$AK$17:$BB$17,0))*INDEX($10:$13,MATCH($O443,$R$10:$R$13,0),COLUMN())</f>
        <v>1.3995608192000001E-7</v>
      </c>
      <c r="AV443" s="1050" cm="1">
        <f t="array" aca="1" ref="AV443" ca="1">INDEX(OFFSET($AK$19,MATCH($B443,$B$19:$B$150,0)-1,0,COUNTA($B$19:$B$24),COUNTA($AK$17:$BB$17)),MATCH($F443,$F$19:$F$24,0),MATCH(AV$17,$AK$17:$BB$17,0))*INDEX($10:$13,MATCH($O443,$R$10:$R$13,0),COLUMN())</f>
        <v>4.7272723099999999E-4</v>
      </c>
      <c r="AW443" s="1050" cm="1">
        <f t="array" aca="1" ref="AW443" ca="1">INDEX(OFFSET($AK$19,MATCH($B443,$B$19:$B$150,0)-1,0,COUNTA($B$19:$B$24),COUNTA($AK$17:$BB$17)),MATCH($F443,$F$19:$F$24,0),MATCH(AW$17,$AK$17:$BB$17,0))*INDEX($10:$13,MATCH($O443,$R$10:$R$13,0),COLUMN())</f>
        <v>6.3209361749999998E-2</v>
      </c>
      <c r="AX443" s="1050" cm="1">
        <f t="array" aca="1" ref="AX443" ca="1">INDEX(OFFSET($AK$19,MATCH($B443,$B$19:$B$150,0)-1,0,COUNTA($B$19:$B$24),COUNTA($AK$17:$BB$17)),MATCH($F443,$F$19:$F$24,0),MATCH(AX$17,$AK$17:$BB$17,0))*INDEX($10:$13,MATCH($O443,$R$10:$R$13,0),COLUMN())</f>
        <v>1.8800639999999998E-8</v>
      </c>
      <c r="AY443" s="1050" cm="1">
        <f t="array" aca="1" ref="AY443" ca="1">INDEX(OFFSET($AK$19,MATCH($B443,$B$19:$B$150,0)-1,0,COUNTA($B$19:$B$24),COUNTA($AK$17:$BB$17)),MATCH($F443,$F$19:$F$24,0),MATCH(AY$17,$AK$17:$BB$17,0))*INDEX($10:$13,MATCH($O443,$R$10:$R$13,0),COLUMN())</f>
        <v>-4.8454105499999991E-10</v>
      </c>
      <c r="AZ443" s="1050" cm="1">
        <f t="array" aca="1" ref="AZ443" ca="1">INDEX(OFFSET($AK$19,MATCH($B443,$B$19:$B$150,0)-1,0,COUNTA($B$19:$B$24),COUNTA($AK$17:$BB$17)),MATCH($F443,$F$19:$F$24,0),MATCH(AZ$17,$AK$17:$BB$17,0))*INDEX($10:$13,MATCH($O443,$R$10:$R$13,0),COLUMN())</f>
        <v>0</v>
      </c>
      <c r="BA443" s="1050" cm="1">
        <f t="array" aca="1" ref="BA443" ca="1">INDEX(OFFSET($AK$19,MATCH($B443,$B$19:$B$150,0)-1,0,COUNTA($B$19:$B$24),COUNTA($AK$17:$BB$17)),MATCH($F443,$F$19:$F$24,0),MATCH(BA$17,$AK$17:$BB$17,0))*INDEX($10:$13,MATCH($O443,$R$10:$R$13,0),COLUMN())</f>
        <v>0</v>
      </c>
      <c r="BB443" s="1051" cm="1">
        <f t="array" aca="1" ref="BB443" ca="1">INDEX(OFFSET($AK$19,MATCH($B443,$B$19:$B$150,0)-1,0,COUNTA($B$19:$B$24),COUNTA($AK$17:$BB$17)),MATCH($F443,$F$19:$F$24,0),MATCH(BB$17,$AK$17:$BB$17,0))*INDEX($10:$13,MATCH($O443,$R$10:$R$13,0),COLUMN())</f>
        <v>0</v>
      </c>
      <c r="BC443" s="1053">
        <f t="shared" ca="1" si="176"/>
        <v>6.3209380066098941E-2</v>
      </c>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2:78" ht="12" customHeight="1" outlineLevel="1" x14ac:dyDescent="0.25">
      <c r="B444" s="104" t="s">
        <v>100</v>
      </c>
      <c r="C444" s="104" t="s">
        <v>121</v>
      </c>
      <c r="D444" s="2" t="s">
        <v>132</v>
      </c>
      <c r="E444" s="2" t="s">
        <v>135</v>
      </c>
      <c r="F444" s="105" t="s">
        <v>94</v>
      </c>
      <c r="G444" s="27" t="s">
        <v>1580</v>
      </c>
      <c r="H444" s="106" t="s">
        <v>131</v>
      </c>
      <c r="I444" s="107" t="s">
        <v>129</v>
      </c>
      <c r="J444" s="147">
        <v>3.7523941999999999</v>
      </c>
      <c r="K444" s="148">
        <v>0.4056506487491307</v>
      </c>
      <c r="L444" s="149">
        <f t="shared" ca="1" si="172"/>
        <v>0.17250180595202513</v>
      </c>
      <c r="M444" s="148">
        <f t="shared" ca="1" si="173"/>
        <v>0.47562611824396639</v>
      </c>
      <c r="N444" s="148">
        <f t="shared" ca="1" si="175"/>
        <v>6.9975469494835657E-2</v>
      </c>
      <c r="O444" s="1062" t="s">
        <v>1584</v>
      </c>
      <c r="P444" s="104"/>
      <c r="R444" s="119"/>
      <c r="S444" s="1072"/>
      <c r="T444" s="1072"/>
      <c r="U444" s="1072"/>
      <c r="V444" s="1072"/>
      <c r="W444" s="1072"/>
      <c r="X444" s="1072"/>
      <c r="Y444" s="1072"/>
      <c r="Z444" s="1072"/>
      <c r="AA444" s="1072"/>
      <c r="AB444" s="1072"/>
      <c r="AC444" s="1072"/>
      <c r="AD444" s="1072"/>
      <c r="AE444" s="1072"/>
      <c r="AF444" s="1072"/>
      <c r="AG444" s="1072"/>
      <c r="AH444" s="1072"/>
      <c r="AI444" s="1072"/>
      <c r="AJ444" s="1073"/>
      <c r="AK444" s="1052" cm="1">
        <f t="array" aca="1" ref="AK444" ca="1">INDEX(OFFSET($AK$19,MATCH($B444,$B$19:$B$150,0)-1,0,COUNTA($B$19:$B$24),COUNTA($AK$17:$BB$17)),MATCH($F444,$F$19:$F$24,0),MATCH(AK$17,$AK$17:$BB$17,0))*INDEX($10:$13,MATCH($O444,$R$10:$R$13,0),COLUMN())</f>
        <v>1.0796019905832543E-2</v>
      </c>
      <c r="AL444" s="1050" cm="1">
        <f t="array" aca="1" ref="AL444" ca="1">INDEX(OFFSET($AK$19,MATCH($B444,$B$19:$B$150,0)-1,0,COUNTA($B$19:$B$24),COUNTA($AK$17:$BB$17)),MATCH($F444,$F$19:$F$24,0),MATCH(AL$17,$AK$17:$BB$17,0))*INDEX($10:$13,MATCH($O444,$R$10:$R$13,0),COLUMN())</f>
        <v>2.5033089900000004E-8</v>
      </c>
      <c r="AM444" s="1050" cm="1">
        <f t="array" aca="1" ref="AM444" ca="1">INDEX(OFFSET($AK$19,MATCH($B444,$B$19:$B$150,0)-1,0,COUNTA($B$19:$B$24),COUNTA($AK$17:$BB$17)),MATCH($F444,$F$19:$F$24,0),MATCH(AM$17,$AK$17:$BB$17,0))*INDEX($10:$13,MATCH($O444,$R$10:$R$13,0),COLUMN())</f>
        <v>4.1130166770000005E-5</v>
      </c>
      <c r="AN444" s="1050" cm="1">
        <f t="array" aca="1" ref="AN444" ca="1">INDEX(OFFSET($AK$19,MATCH($B444,$B$19:$B$150,0)-1,0,COUNTA($B$19:$B$24),COUNTA($AK$17:$BB$17)),MATCH($F444,$F$19:$F$24,0),MATCH(AN$17,$AK$17:$BB$17,0))*INDEX($10:$13,MATCH($O444,$R$10:$R$13,0),COLUMN())</f>
        <v>5.2258464719999996E-4</v>
      </c>
      <c r="AO444" s="1050" cm="1">
        <f t="array" aca="1" ref="AO444" ca="1">INDEX(OFFSET($AK$19,MATCH($B444,$B$19:$B$150,0)-1,0,COUNTA($B$19:$B$24),COUNTA($AK$17:$BB$17)),MATCH($F444,$F$19:$F$24,0),MATCH(AO$17,$AK$17:$BB$17,0))*INDEX($10:$13,MATCH($O444,$R$10:$R$13,0),COLUMN())</f>
        <v>7.6989905999999995E-3</v>
      </c>
      <c r="AP444" s="1050" cm="1">
        <f t="array" aca="1" ref="AP444" ca="1">INDEX(OFFSET($AK$19,MATCH($B444,$B$19:$B$150,0)-1,0,COUNTA($B$19:$B$24),COUNTA($AK$17:$BB$17)),MATCH($F444,$F$19:$F$24,0),MATCH(AP$17,$AK$17:$BB$17,0))*INDEX($10:$13,MATCH($O444,$R$10:$R$13,0),COLUMN())</f>
        <v>6.0564518420000001E-4</v>
      </c>
      <c r="AQ444" s="1050" cm="1">
        <f t="array" aca="1" ref="AQ444" ca="1">INDEX(OFFSET($AK$19,MATCH($B444,$B$19:$B$150,0)-1,0,COUNTA($B$19:$B$24),COUNTA($AK$17:$BB$17)),MATCH($F444,$F$19:$F$24,0),MATCH(AQ$17,$AK$17:$BB$17,0))*INDEX($10:$13,MATCH($O444,$R$10:$R$13,0),COLUMN())</f>
        <v>5.0453067499999999E-6</v>
      </c>
      <c r="AR444" s="1050" cm="1">
        <f t="array" aca="1" ref="AR444" ca="1">INDEX(OFFSET($AK$19,MATCH($B444,$B$19:$B$150,0)-1,0,COUNTA($B$19:$B$24),COUNTA($AK$17:$BB$17)),MATCH($F444,$F$19:$F$24,0),MATCH(AR$17,$AK$17:$BB$17,0))*INDEX($10:$13,MATCH($O444,$R$10:$R$13,0),COLUMN())</f>
        <v>9.1993209099999994E-3</v>
      </c>
      <c r="AS444" s="1050" cm="1">
        <f t="array" aca="1" ref="AS444" ca="1">INDEX(OFFSET($AK$19,MATCH($B444,$B$19:$B$150,0)-1,0,COUNTA($B$19:$B$24),COUNTA($AK$17:$BB$17)),MATCH($F444,$F$19:$F$24,0),MATCH(AS$17,$AK$17:$BB$17,0))*INDEX($10:$13,MATCH($O444,$R$10:$R$13,0),COLUMN())</f>
        <v>-1.4592967739999999E-5</v>
      </c>
      <c r="AT444" s="1050" cm="1">
        <f t="array" aca="1" ref="AT444" ca="1">INDEX(OFFSET($AK$19,MATCH($B444,$B$19:$B$150,0)-1,0,COUNTA($B$19:$B$24),COUNTA($AK$17:$BB$17)),MATCH($F444,$F$19:$F$24,0),MATCH(AT$17,$AK$17:$BB$17,0))*INDEX($10:$13,MATCH($O444,$R$10:$R$13,0),COLUMN())</f>
        <v>4.2070581010000003E-7</v>
      </c>
      <c r="AU444" s="1050" cm="1">
        <f t="array" aca="1" ref="AU444" ca="1">INDEX(OFFSET($AK$19,MATCH($B444,$B$19:$B$150,0)-1,0,COUNTA($B$19:$B$24),COUNTA($AK$17:$BB$17)),MATCH($F444,$F$19:$F$24,0),MATCH(AU$17,$AK$17:$BB$17,0))*INDEX($10:$13,MATCH($O444,$R$10:$R$13,0),COLUMN())</f>
        <v>9.0185512479999993E-8</v>
      </c>
      <c r="AV444" s="1050" cm="1">
        <f t="array" aca="1" ref="AV444" ca="1">INDEX(OFFSET($AK$19,MATCH($B444,$B$19:$B$150,0)-1,0,COUNTA($B$19:$B$24),COUNTA($AK$17:$BB$17)),MATCH($F444,$F$19:$F$24,0),MATCH(AV$17,$AK$17:$BB$17,0))*INDEX($10:$13,MATCH($O444,$R$10:$R$13,0),COLUMN())</f>
        <v>1.4530989399999999E-4</v>
      </c>
      <c r="AW444" s="1050" cm="1">
        <f t="array" aca="1" ref="AW444" ca="1">INDEX(OFFSET($AK$19,MATCH($B444,$B$19:$B$150,0)-1,0,COUNTA($B$19:$B$24),COUNTA($AK$17:$BB$17)),MATCH($F444,$F$19:$F$24,0),MATCH(AW$17,$AK$17:$BB$17,0))*INDEX($10:$13,MATCH($O444,$R$10:$R$13,0),COLUMN())</f>
        <v>4.0975468049999998E-2</v>
      </c>
      <c r="AX444" s="1050" cm="1">
        <f t="array" aca="1" ref="AX444" ca="1">INDEX(OFFSET($AK$19,MATCH($B444,$B$19:$B$150,0)-1,0,COUNTA($B$19:$B$24),COUNTA($AK$17:$BB$17)),MATCH($F444,$F$19:$F$24,0),MATCH(AX$17,$AK$17:$BB$17,0))*INDEX($10:$13,MATCH($O444,$R$10:$R$13,0),COLUMN())</f>
        <v>1.2187514369999999E-8</v>
      </c>
      <c r="AY444" s="1050" cm="1">
        <f t="array" aca="1" ref="AY444" ca="1">INDEX(OFFSET($AK$19,MATCH($B444,$B$19:$B$150,0)-1,0,COUNTA($B$19:$B$24),COUNTA($AK$17:$BB$17)),MATCH($F444,$F$19:$F$24,0),MATCH(AY$17,$AK$17:$BB$17,0))*INDEX($10:$13,MATCH($O444,$R$10:$R$13,0),COLUMN())</f>
        <v>-3.1410373106249995E-10</v>
      </c>
      <c r="AZ444" s="1050" cm="1">
        <f t="array" aca="1" ref="AZ444" ca="1">INDEX(OFFSET($AK$19,MATCH($B444,$B$19:$B$150,0)-1,0,COUNTA($B$19:$B$24),COUNTA($AK$17:$BB$17)),MATCH($F444,$F$19:$F$24,0),MATCH(AZ$17,$AK$17:$BB$17,0))*INDEX($10:$13,MATCH($O444,$R$10:$R$13,0),COLUMN())</f>
        <v>0</v>
      </c>
      <c r="BA444" s="1050" cm="1">
        <f t="array" aca="1" ref="BA444" ca="1">INDEX(OFFSET($AK$19,MATCH($B444,$B$19:$B$150,0)-1,0,COUNTA($B$19:$B$24),COUNTA($AK$17:$BB$17)),MATCH($F444,$F$19:$F$24,0),MATCH(BA$17,$AK$17:$BB$17,0))*INDEX($10:$13,MATCH($O444,$R$10:$R$13,0),COLUMN())</f>
        <v>0</v>
      </c>
      <c r="BB444" s="1051" cm="1">
        <f t="array" aca="1" ref="BB444" ca="1">INDEX(OFFSET($AK$19,MATCH($B444,$B$19:$B$150,0)-1,0,COUNTA($B$19:$B$24),COUNTA($AK$17:$BB$17)),MATCH($F444,$F$19:$F$24,0),MATCH(BB$17,$AK$17:$BB$17,0))*INDEX($10:$13,MATCH($O444,$R$10:$R$13,0),COLUMN())</f>
        <v>0</v>
      </c>
      <c r="BC444" s="1053">
        <f t="shared" ca="1" si="176"/>
        <v>4.0975479923410642E-2</v>
      </c>
      <c r="BE444" s="1"/>
      <c r="BF444" s="1"/>
      <c r="BG444" s="1"/>
      <c r="BH444" s="1"/>
      <c r="BI444" s="1"/>
      <c r="BJ444" s="1"/>
      <c r="BK444" s="1"/>
      <c r="BL444" s="1"/>
      <c r="BM444" s="1"/>
      <c r="BN444" s="1"/>
      <c r="BO444" s="1"/>
      <c r="BP444" s="1"/>
      <c r="BQ444" s="1"/>
      <c r="BR444" s="1"/>
      <c r="BS444" s="1"/>
      <c r="BT444" s="1"/>
      <c r="BU444" s="1"/>
      <c r="BV444" s="1"/>
      <c r="BW444" s="1"/>
      <c r="BX444" s="1"/>
      <c r="BY444" s="1"/>
      <c r="BZ444" s="1"/>
    </row>
    <row r="445" spans="2:78" ht="12" customHeight="1" outlineLevel="1" x14ac:dyDescent="0.25">
      <c r="B445" s="104" t="s">
        <v>100</v>
      </c>
      <c r="C445" s="104" t="s">
        <v>121</v>
      </c>
      <c r="D445" s="2" t="s">
        <v>132</v>
      </c>
      <c r="E445" s="2" t="s">
        <v>135</v>
      </c>
      <c r="F445" s="105" t="s">
        <v>95</v>
      </c>
      <c r="G445" s="27" t="s">
        <v>1581</v>
      </c>
      <c r="H445" s="106" t="s">
        <v>128</v>
      </c>
      <c r="I445" s="107" t="s">
        <v>127</v>
      </c>
      <c r="J445" s="147">
        <v>3.7523941999999999</v>
      </c>
      <c r="K445" s="148">
        <v>0.4056506487491307</v>
      </c>
      <c r="L445" s="149">
        <f t="shared" ca="1" si="172"/>
        <v>0.2661087324727851</v>
      </c>
      <c r="M445" s="148">
        <f t="shared" ca="1" si="173"/>
        <v>0.51359782871452486</v>
      </c>
      <c r="N445" s="148">
        <f t="shared" ca="1" si="175"/>
        <v>0.10794717996539414</v>
      </c>
      <c r="O445" s="1062" t="s">
        <v>1584</v>
      </c>
      <c r="P445" s="104"/>
      <c r="R445" s="119"/>
      <c r="S445" s="1072"/>
      <c r="T445" s="1072"/>
      <c r="U445" s="1072"/>
      <c r="V445" s="1072"/>
      <c r="W445" s="1072"/>
      <c r="X445" s="1072"/>
      <c r="Y445" s="1072"/>
      <c r="Z445" s="1072"/>
      <c r="AA445" s="1072"/>
      <c r="AB445" s="1072"/>
      <c r="AC445" s="1072"/>
      <c r="AD445" s="1072"/>
      <c r="AE445" s="1072"/>
      <c r="AF445" s="1072"/>
      <c r="AG445" s="1072"/>
      <c r="AH445" s="1072"/>
      <c r="AI445" s="1072"/>
      <c r="AJ445" s="1073"/>
      <c r="AK445" s="1052" cm="1">
        <f t="array" aca="1" ref="AK445" ca="1">INDEX(OFFSET($AK$19,MATCH($B445,$B$19:$B$150,0)-1,0,COUNTA($B$19:$B$24),COUNTA($AK$17:$BB$17)),MATCH($F445,$F$19:$F$24,0),MATCH(AK$17,$AK$17:$BB$17,0))*INDEX($10:$13,MATCH($O445,$R$10:$R$13,0),COLUMN())</f>
        <v>1.4929468550231383E-2</v>
      </c>
      <c r="AL445" s="1050" cm="1">
        <f t="array" aca="1" ref="AL445" ca="1">INDEX(OFFSET($AK$19,MATCH($B445,$B$19:$B$150,0)-1,0,COUNTA($B$19:$B$24),COUNTA($AK$17:$BB$17)),MATCH($F445,$F$19:$F$24,0),MATCH(AL$17,$AK$17:$BB$17,0))*INDEX($10:$13,MATCH($O445,$R$10:$R$13,0),COLUMN())</f>
        <v>3.0602504270000004E-8</v>
      </c>
      <c r="AM445" s="1050" cm="1">
        <f t="array" aca="1" ref="AM445" ca="1">INDEX(OFFSET($AK$19,MATCH($B445,$B$19:$B$150,0)-1,0,COUNTA($B$19:$B$24),COUNTA($AK$17:$BB$17)),MATCH($F445,$F$19:$F$24,0),MATCH(AM$17,$AK$17:$BB$17,0))*INDEX($10:$13,MATCH($O445,$R$10:$R$13,0),COLUMN())</f>
        <v>5.0279177519999999E-5</v>
      </c>
      <c r="AN445" s="1050" cm="1">
        <f t="array" aca="1" ref="AN445" ca="1">INDEX(OFFSET($AK$19,MATCH($B445,$B$19:$B$150,0)-1,0,COUNTA($B$19:$B$24),COUNTA($AK$17:$BB$17)),MATCH($F445,$F$19:$F$24,0),MATCH(AN$17,$AK$17:$BB$17,0))*INDEX($10:$13,MATCH($O445,$R$10:$R$13,0),COLUMN())</f>
        <v>6.7833060119999993E-4</v>
      </c>
      <c r="AO445" s="1050" cm="1">
        <f t="array" aca="1" ref="AO445" ca="1">INDEX(OFFSET($AK$19,MATCH($B445,$B$19:$B$150,0)-1,0,COUNTA($B$19:$B$24),COUNTA($AK$17:$BB$17)),MATCH($F445,$F$19:$F$24,0),MATCH(AO$17,$AK$17:$BB$17,0))*INDEX($10:$13,MATCH($O445,$R$10:$R$13,0),COLUMN())</f>
        <v>2.1781264960000001E-2</v>
      </c>
      <c r="AP445" s="1050" cm="1">
        <f t="array" aca="1" ref="AP445" ca="1">INDEX(OFFSET($AK$19,MATCH($B445,$B$19:$B$150,0)-1,0,COUNTA($B$19:$B$24),COUNTA($AK$17:$BB$17)),MATCH($F445,$F$19:$F$24,0),MATCH(AP$17,$AK$17:$BB$17,0))*INDEX($10:$13,MATCH($O445,$R$10:$R$13,0),COLUMN())</f>
        <v>2.4894108252000004E-3</v>
      </c>
      <c r="AQ445" s="1050" cm="1">
        <f t="array" aca="1" ref="AQ445" ca="1">INDEX(OFFSET($AK$19,MATCH($B445,$B$19:$B$150,0)-1,0,COUNTA($B$19:$B$24),COUNTA($AK$17:$BB$17)),MATCH($F445,$F$19:$F$24,0),MATCH(AQ$17,$AK$17:$BB$17,0))*INDEX($10:$13,MATCH($O445,$R$10:$R$13,0),COLUMN())</f>
        <v>2.4225215499999999E-5</v>
      </c>
      <c r="AR445" s="1050" cm="1">
        <f t="array" aca="1" ref="AR445" ca="1">INDEX(OFFSET($AK$19,MATCH($B445,$B$19:$B$150,0)-1,0,COUNTA($B$19:$B$24),COUNTA($AK$17:$BB$17)),MATCH($F445,$F$19:$F$24,0),MATCH(AR$17,$AK$17:$BB$17,0))*INDEX($10:$13,MATCH($O445,$R$10:$R$13,0),COLUMN())</f>
        <v>1.5577711032999998E-2</v>
      </c>
      <c r="AS445" s="1050" cm="1">
        <f t="array" aca="1" ref="AS445" ca="1">INDEX(OFFSET($AK$19,MATCH($B445,$B$19:$B$150,0)-1,0,COUNTA($B$19:$B$24),COUNTA($AK$17:$BB$17)),MATCH($F445,$F$19:$F$24,0),MATCH(AS$17,$AK$17:$BB$17,0))*INDEX($10:$13,MATCH($O445,$R$10:$R$13,0),COLUMN())</f>
        <v>2.5868226149999997E-4</v>
      </c>
      <c r="AT445" s="1050" cm="1">
        <f t="array" aca="1" ref="AT445" ca="1">INDEX(OFFSET($AK$19,MATCH($B445,$B$19:$B$150,0)-1,0,COUNTA($B$19:$B$24),COUNTA($AK$17:$BB$17)),MATCH($F445,$F$19:$F$24,0),MATCH(AT$17,$AK$17:$BB$17,0))*INDEX($10:$13,MATCH($O445,$R$10:$R$13,0),COLUMN())</f>
        <v>7.1388241249999995E-7</v>
      </c>
      <c r="AU445" s="1050" cm="1">
        <f t="array" aca="1" ref="AU445" ca="1">INDEX(OFFSET($AK$19,MATCH($B445,$B$19:$B$150,0)-1,0,COUNTA($B$19:$B$24),COUNTA($AK$17:$BB$17)),MATCH($F445,$F$19:$F$24,0),MATCH(AU$17,$AK$17:$BB$17,0))*INDEX($10:$13,MATCH($O445,$R$10:$R$13,0),COLUMN())</f>
        <v>1.4045325248E-7</v>
      </c>
      <c r="AV445" s="1050" cm="1">
        <f t="array" aca="1" ref="AV445" ca="1">INDEX(OFFSET($AK$19,MATCH($B445,$B$19:$B$150,0)-1,0,COUNTA($B$19:$B$24),COUNTA($AK$17:$BB$17)),MATCH($F445,$F$19:$F$24,0),MATCH(AV$17,$AK$17:$BB$17,0))*INDEX($10:$13,MATCH($O445,$R$10:$R$13,0),COLUMN())</f>
        <v>2.4342514450000001E-3</v>
      </c>
      <c r="AW445" s="1050" cm="1">
        <f t="array" aca="1" ref="AW445" ca="1">INDEX(OFFSET($AK$19,MATCH($B445,$B$19:$B$150,0)-1,0,COUNTA($B$19:$B$24),COUNTA($AK$17:$BB$17)),MATCH($F445,$F$19:$F$24,0),MATCH(AW$17,$AK$17:$BB$17,0))*INDEX($10:$13,MATCH($O445,$R$10:$R$13,0),COLUMN())</f>
        <v>4.9722656550000001E-2</v>
      </c>
      <c r="AX445" s="1050" cm="1">
        <f t="array" aca="1" ref="AX445" ca="1">INDEX(OFFSET($AK$19,MATCH($B445,$B$19:$B$150,0)-1,0,COUNTA($B$19:$B$24),COUNTA($AK$17:$BB$17)),MATCH($F445,$F$19:$F$24,0),MATCH(AX$17,$AK$17:$BB$17,0))*INDEX($10:$13,MATCH($O445,$R$10:$R$13,0),COLUMN())</f>
        <v>1.4789230155E-8</v>
      </c>
      <c r="AY445" s="1050" cm="1">
        <f t="array" aca="1" ref="AY445" ca="1">INDEX(OFFSET($AK$19,MATCH($B445,$B$19:$B$150,0)-1,0,COUNTA($B$19:$B$24),COUNTA($AK$17:$BB$17)),MATCH($F445,$F$19:$F$24,0),MATCH(AY$17,$AK$17:$BB$17,0))*INDEX($10:$13,MATCH($O445,$R$10:$R$13,0),COLUMN())</f>
        <v>-3.8115665999999991E-10</v>
      </c>
      <c r="AZ445" s="1050" cm="1">
        <f t="array" aca="1" ref="AZ445" ca="1">INDEX(OFFSET($AK$19,MATCH($B445,$B$19:$B$150,0)-1,0,COUNTA($B$19:$B$24),COUNTA($AK$17:$BB$17)),MATCH($F445,$F$19:$F$24,0),MATCH(AZ$17,$AK$17:$BB$17,0))*INDEX($10:$13,MATCH($O445,$R$10:$R$13,0),COLUMN())</f>
        <v>0</v>
      </c>
      <c r="BA445" s="1050" cm="1">
        <f t="array" aca="1" ref="BA445" ca="1">INDEX(OFFSET($AK$19,MATCH($B445,$B$19:$B$150,0)-1,0,COUNTA($B$19:$B$24),COUNTA($AK$17:$BB$17)),MATCH($F445,$F$19:$F$24,0),MATCH(BA$17,$AK$17:$BB$17,0))*INDEX($10:$13,MATCH($O445,$R$10:$R$13,0),COLUMN())</f>
        <v>0</v>
      </c>
      <c r="BB445" s="1051" cm="1">
        <f t="array" aca="1" ref="BB445" ca="1">INDEX(OFFSET($AK$19,MATCH($B445,$B$19:$B$150,0)-1,0,COUNTA($B$19:$B$24),COUNTA($AK$17:$BB$17)),MATCH($F445,$F$19:$F$24,0),MATCH(BB$17,$AK$17:$BB$17,0))*INDEX($10:$13,MATCH($O445,$R$10:$R$13,0),COLUMN())</f>
        <v>0</v>
      </c>
      <c r="BC445" s="1053">
        <f t="shared" ca="1" si="176"/>
        <v>4.9722670958073492E-2</v>
      </c>
      <c r="BE445" s="1"/>
      <c r="BF445" s="1"/>
      <c r="BG445" s="1"/>
      <c r="BH445" s="1"/>
      <c r="BI445" s="1"/>
      <c r="BJ445" s="1"/>
      <c r="BK445" s="1"/>
      <c r="BL445" s="1"/>
      <c r="BM445" s="1"/>
      <c r="BN445" s="1"/>
      <c r="BO445" s="1"/>
      <c r="BP445" s="1"/>
      <c r="BQ445" s="1"/>
      <c r="BR445" s="1"/>
      <c r="BS445" s="1"/>
      <c r="BT445" s="1"/>
      <c r="BU445" s="1"/>
      <c r="BV445" s="1"/>
      <c r="BW445" s="1"/>
      <c r="BX445" s="1"/>
      <c r="BY445" s="1"/>
      <c r="BZ445" s="1"/>
    </row>
    <row r="446" spans="2:78" ht="12" customHeight="1" outlineLevel="1" x14ac:dyDescent="0.25">
      <c r="B446" s="104" t="s">
        <v>100</v>
      </c>
      <c r="C446" s="104" t="s">
        <v>121</v>
      </c>
      <c r="D446" s="2" t="s">
        <v>132</v>
      </c>
      <c r="E446" s="2" t="s">
        <v>135</v>
      </c>
      <c r="F446" s="105" t="s">
        <v>96</v>
      </c>
      <c r="G446" s="27" t="s">
        <v>1582</v>
      </c>
      <c r="H446" s="106" t="s">
        <v>128</v>
      </c>
      <c r="I446" s="107" t="s">
        <v>1577</v>
      </c>
      <c r="J446" s="147">
        <v>3.7523941999999999</v>
      </c>
      <c r="K446" s="148">
        <v>0.4056506487491307</v>
      </c>
      <c r="L446" s="149">
        <f t="shared" ca="1" si="172"/>
        <v>0.30784926018603992</v>
      </c>
      <c r="M446" s="148">
        <f t="shared" ca="1" si="173"/>
        <v>0.53052990086053775</v>
      </c>
      <c r="N446" s="148">
        <f t="shared" ca="1" si="175"/>
        <v>0.12487925211140703</v>
      </c>
      <c r="O446" s="1062" t="s">
        <v>1584</v>
      </c>
      <c r="P446" s="104"/>
      <c r="R446" s="119"/>
      <c r="S446" s="1072"/>
      <c r="T446" s="1072"/>
      <c r="U446" s="1072"/>
      <c r="V446" s="1072"/>
      <c r="W446" s="1072"/>
      <c r="X446" s="1072"/>
      <c r="Y446" s="1072"/>
      <c r="Z446" s="1072"/>
      <c r="AA446" s="1072"/>
      <c r="AB446" s="1072"/>
      <c r="AC446" s="1072"/>
      <c r="AD446" s="1072"/>
      <c r="AE446" s="1072"/>
      <c r="AF446" s="1072"/>
      <c r="AG446" s="1072"/>
      <c r="AH446" s="1072"/>
      <c r="AI446" s="1072"/>
      <c r="AJ446" s="1073"/>
      <c r="AK446" s="1052" cm="1">
        <f t="array" aca="1" ref="AK446" ca="1">INDEX(OFFSET($AK$19,MATCH($B446,$B$19:$B$150,0)-1,0,COUNTA($B$19:$B$24),COUNTA($AK$17:$BB$17)),MATCH($F446,$F$19:$F$24,0),MATCH(AK$17,$AK$17:$BB$17,0))*INDEX($10:$13,MATCH($O446,$R$10:$R$13,0),COLUMN())</f>
        <v>1.6240125787260744E-2</v>
      </c>
      <c r="AL446" s="1050" cm="1">
        <f t="array" aca="1" ref="AL446" ca="1">INDEX(OFFSET($AK$19,MATCH($B446,$B$19:$B$150,0)-1,0,COUNTA($B$19:$B$24),COUNTA($AK$17:$BB$17)),MATCH($F446,$F$19:$F$24,0),MATCH(AL$17,$AK$17:$BB$17,0))*INDEX($10:$13,MATCH($O446,$R$10:$R$13,0),COLUMN())</f>
        <v>3.0749672590000001E-8</v>
      </c>
      <c r="AM446" s="1050" cm="1">
        <f t="array" aca="1" ref="AM446" ca="1">INDEX(OFFSET($AK$19,MATCH($B446,$B$19:$B$150,0)-1,0,COUNTA($B$19:$B$24),COUNTA($AK$17:$BB$17)),MATCH($F446,$F$19:$F$24,0),MATCH(AM$17,$AK$17:$BB$17,0))*INDEX($10:$13,MATCH($O446,$R$10:$R$13,0),COLUMN())</f>
        <v>5.0519857409999996E-5</v>
      </c>
      <c r="AN446" s="1050" cm="1">
        <f t="array" aca="1" ref="AN446" ca="1">INDEX(OFFSET($AK$19,MATCH($B446,$B$19:$B$150,0)-1,0,COUNTA($B$19:$B$24),COUNTA($AK$17:$BB$17)),MATCH($F446,$F$19:$F$24,0),MATCH(AN$17,$AK$17:$BB$17,0))*INDEX($10:$13,MATCH($O446,$R$10:$R$13,0),COLUMN())</f>
        <v>7.0716825479999988E-4</v>
      </c>
      <c r="AO446" s="1050" cm="1">
        <f t="array" aca="1" ref="AO446" ca="1">INDEX(OFFSET($AK$19,MATCH($B446,$B$19:$B$150,0)-1,0,COUNTA($B$19:$B$24),COUNTA($AK$17:$BB$17)),MATCH($F446,$F$19:$F$24,0),MATCH(AO$17,$AK$17:$BB$17,0))*INDEX($10:$13,MATCH($O446,$R$10:$R$13,0),COLUMN())</f>
        <v>3.0824494399999999E-2</v>
      </c>
      <c r="AP446" s="1050" cm="1">
        <f t="array" aca="1" ref="AP446" ca="1">INDEX(OFFSET($AK$19,MATCH($B446,$B$19:$B$150,0)-1,0,COUNTA($B$19:$B$24),COUNTA($AK$17:$BB$17)),MATCH($F446,$F$19:$F$24,0),MATCH(AP$17,$AK$17:$BB$17,0))*INDEX($10:$13,MATCH($O446,$R$10:$R$13,0),COLUMN())</f>
        <v>3.7675243388000002E-3</v>
      </c>
      <c r="AQ446" s="1050" cm="1">
        <f t="array" aca="1" ref="AQ446" ca="1">INDEX(OFFSET($AK$19,MATCH($B446,$B$19:$B$150,0)-1,0,COUNTA($B$19:$B$24),COUNTA($AK$17:$BB$17)),MATCH($F446,$F$19:$F$24,0),MATCH(AQ$17,$AK$17:$BB$17,0))*INDEX($10:$13,MATCH($O446,$R$10:$R$13,0),COLUMN())</f>
        <v>3.7117702500000002E-5</v>
      </c>
      <c r="AR446" s="1050" cm="1">
        <f t="array" aca="1" ref="AR446" ca="1">INDEX(OFFSET($AK$19,MATCH($B446,$B$19:$B$150,0)-1,0,COUNTA($B$19:$B$24),COUNTA($AK$17:$BB$17)),MATCH($F446,$F$19:$F$24,0),MATCH(AR$17,$AK$17:$BB$17,0))*INDEX($10:$13,MATCH($O446,$R$10:$R$13,0),COLUMN())</f>
        <v>1.8796264027999998E-2</v>
      </c>
      <c r="AS446" s="1050" cm="1">
        <f t="array" aca="1" ref="AS446" ca="1">INDEX(OFFSET($AK$19,MATCH($B446,$B$19:$B$150,0)-1,0,COUNTA($B$19:$B$24),COUNTA($AK$17:$BB$17)),MATCH($F446,$F$19:$F$24,0),MATCH(AS$17,$AK$17:$BB$17,0))*INDEX($10:$13,MATCH($O446,$R$10:$R$13,0),COLUMN())</f>
        <v>4.5177245099999996E-4</v>
      </c>
      <c r="AT446" s="1050" cm="1">
        <f t="array" aca="1" ref="AT446" ca="1">INDEX(OFFSET($AK$19,MATCH($B446,$B$19:$B$150,0)-1,0,COUNTA($B$19:$B$24),COUNTA($AK$17:$BB$17)),MATCH($F446,$F$19:$F$24,0),MATCH(AT$17,$AK$17:$BB$17,0))*INDEX($10:$13,MATCH($O446,$R$10:$R$13,0),COLUMN())</f>
        <v>8.0082685900000005E-7</v>
      </c>
      <c r="AU446" s="1050" cm="1">
        <f t="array" aca="1" ref="AU446" ca="1">INDEX(OFFSET($AK$19,MATCH($B446,$B$19:$B$150,0)-1,0,COUNTA($B$19:$B$24),COUNTA($AK$17:$BB$17)),MATCH($F446,$F$19:$F$24,0),MATCH(AU$17,$AK$17:$BB$17,0))*INDEX($10:$13,MATCH($O446,$R$10:$R$13,0),COLUMN())</f>
        <v>1.528695312E-7</v>
      </c>
      <c r="AV446" s="1050" cm="1">
        <f t="array" aca="1" ref="AV446" ca="1">INDEX(OFFSET($AK$19,MATCH($B446,$B$19:$B$150,0)-1,0,COUNTA($B$19:$B$24),COUNTA($AK$17:$BB$17)),MATCH($F446,$F$19:$F$24,0),MATCH(AV$17,$AK$17:$BB$17,0))*INDEX($10:$13,MATCH($O446,$R$10:$R$13,0),COLUMN())</f>
        <v>4.2806098874999992E-3</v>
      </c>
      <c r="AW446" s="1050" cm="1">
        <f t="array" aca="1" ref="AW446" ca="1">INDEX(OFFSET($AK$19,MATCH($B446,$B$19:$B$150,0)-1,0,COUNTA($B$19:$B$24),COUNTA($AK$17:$BB$17)),MATCH($F446,$F$19:$F$24,0),MATCH(AW$17,$AK$17:$BB$17,0))*INDEX($10:$13,MATCH($O446,$R$10:$R$13,0),COLUMN())</f>
        <v>4.9722656550000001E-2</v>
      </c>
      <c r="AX446" s="1050" cm="1">
        <f t="array" aca="1" ref="AX446" ca="1">INDEX(OFFSET($AK$19,MATCH($B446,$B$19:$B$150,0)-1,0,COUNTA($B$19:$B$24),COUNTA($AK$17:$BB$17)),MATCH($F446,$F$19:$F$24,0),MATCH(AX$17,$AK$17:$BB$17,0))*INDEX($10:$13,MATCH($O446,$R$10:$R$13,0),COLUMN())</f>
        <v>1.4789230155E-8</v>
      </c>
      <c r="AY446" s="1050" cm="1">
        <f t="array" aca="1" ref="AY446" ca="1">INDEX(OFFSET($AK$19,MATCH($B446,$B$19:$B$150,0)-1,0,COUNTA($B$19:$B$24),COUNTA($AK$17:$BB$17)),MATCH($F446,$F$19:$F$24,0),MATCH(AY$17,$AK$17:$BB$17,0))*INDEX($10:$13,MATCH($O446,$R$10:$R$13,0),COLUMN())</f>
        <v>-3.8115665999999991E-10</v>
      </c>
      <c r="AZ446" s="1050" cm="1">
        <f t="array" aca="1" ref="AZ446" ca="1">INDEX(OFFSET($AK$19,MATCH($B446,$B$19:$B$150,0)-1,0,COUNTA($B$19:$B$24),COUNTA($AK$17:$BB$17)),MATCH($F446,$F$19:$F$24,0),MATCH(AZ$17,$AK$17:$BB$17,0))*INDEX($10:$13,MATCH($O446,$R$10:$R$13,0),COLUMN())</f>
        <v>0</v>
      </c>
      <c r="BA446" s="1050" cm="1">
        <f t="array" aca="1" ref="BA446" ca="1">INDEX(OFFSET($AK$19,MATCH($B446,$B$19:$B$150,0)-1,0,COUNTA($B$19:$B$24),COUNTA($AK$17:$BB$17)),MATCH($F446,$F$19:$F$24,0),MATCH(BA$17,$AK$17:$BB$17,0))*INDEX($10:$13,MATCH($O446,$R$10:$R$13,0),COLUMN())</f>
        <v>0</v>
      </c>
      <c r="BB446" s="1051" cm="1">
        <f t="array" aca="1" ref="BB446" ca="1">INDEX(OFFSET($AK$19,MATCH($B446,$B$19:$B$150,0)-1,0,COUNTA($B$19:$B$24),COUNTA($AK$17:$BB$17)),MATCH($F446,$F$19:$F$24,0),MATCH(BB$17,$AK$17:$BB$17,0))*INDEX($10:$13,MATCH($O446,$R$10:$R$13,0),COLUMN())</f>
        <v>0</v>
      </c>
      <c r="BC446" s="1053">
        <f t="shared" ca="1" si="176"/>
        <v>4.9722670958073492E-2</v>
      </c>
      <c r="BE446" s="1"/>
      <c r="BF446" s="1"/>
      <c r="BG446" s="1"/>
      <c r="BH446" s="1"/>
      <c r="BI446" s="1"/>
      <c r="BJ446" s="1"/>
      <c r="BK446" s="1"/>
      <c r="BL446" s="1"/>
      <c r="BM446" s="1"/>
      <c r="BN446" s="1"/>
      <c r="BO446" s="1"/>
      <c r="BP446" s="1"/>
      <c r="BQ446" s="1"/>
      <c r="BR446" s="1"/>
      <c r="BS446" s="1"/>
      <c r="BT446" s="1"/>
      <c r="BU446" s="1"/>
      <c r="BV446" s="1"/>
      <c r="BW446" s="1"/>
      <c r="BX446" s="1"/>
      <c r="BY446" s="1"/>
      <c r="BZ446" s="1"/>
    </row>
    <row r="447" spans="2:78" ht="12" customHeight="1" outlineLevel="1" x14ac:dyDescent="0.25">
      <c r="B447" s="88" t="s">
        <v>101</v>
      </c>
      <c r="C447" s="88" t="s">
        <v>121</v>
      </c>
      <c r="D447" s="89" t="s">
        <v>132</v>
      </c>
      <c r="E447" s="89" t="s">
        <v>136</v>
      </c>
      <c r="F447" s="90" t="s">
        <v>92</v>
      </c>
      <c r="G447" s="18" t="s">
        <v>126</v>
      </c>
      <c r="H447" s="91" t="s">
        <v>127</v>
      </c>
      <c r="I447" s="92" t="s">
        <v>127</v>
      </c>
      <c r="J447" s="142">
        <v>3.7906351599999999</v>
      </c>
      <c r="K447" s="143">
        <v>0.18195499999999998</v>
      </c>
      <c r="L447" s="144">
        <f t="shared" ca="1" si="172"/>
        <v>0.63791357641035262</v>
      </c>
      <c r="M447" s="143">
        <f t="shared" ca="1" si="173"/>
        <v>0.29802656479574569</v>
      </c>
      <c r="N447" s="143">
        <f t="shared" ca="1" si="175"/>
        <v>0.11607156479574569</v>
      </c>
      <c r="O447" s="1063" t="s">
        <v>1584</v>
      </c>
      <c r="P447" s="88"/>
      <c r="Q447" s="89"/>
      <c r="R447" s="150"/>
      <c r="S447" s="1070"/>
      <c r="T447" s="1070"/>
      <c r="U447" s="1070"/>
      <c r="V447" s="1070"/>
      <c r="W447" s="1070"/>
      <c r="X447" s="1070"/>
      <c r="Y447" s="1070"/>
      <c r="Z447" s="1070"/>
      <c r="AA447" s="1070"/>
      <c r="AB447" s="1070"/>
      <c r="AC447" s="1070"/>
      <c r="AD447" s="1070"/>
      <c r="AE447" s="1070"/>
      <c r="AF447" s="1070"/>
      <c r="AG447" s="1070"/>
      <c r="AH447" s="1070"/>
      <c r="AI447" s="1070"/>
      <c r="AJ447" s="1071"/>
      <c r="AK447" s="1048" cm="1">
        <f t="array" aca="1" ref="AK447" ca="1">INDEX(OFFSET($AK$19,MATCH($B447,$B$19:$B$150,0)-1,0,COUNTA($B$19:$B$24),COUNTA($AK$17:$BB$17)),MATCH($F447,$F$19:$F$24,0),MATCH(AK$17,$AK$17:$BB$17,0))*INDEX($10:$13,MATCH($O447,$R$10:$R$13,0),COLUMN())</f>
        <v>2.3301661219699198E-2</v>
      </c>
      <c r="AL447" s="1046" cm="1">
        <f t="array" aca="1" ref="AL447" ca="1">INDEX(OFFSET($AK$19,MATCH($B447,$B$19:$B$150,0)-1,0,COUNTA($B$19:$B$24),COUNTA($AK$17:$BB$17)),MATCH($F447,$F$19:$F$24,0),MATCH(AL$17,$AK$17:$BB$17,0))*INDEX($10:$13,MATCH($O447,$R$10:$R$13,0),COLUMN())</f>
        <v>2.9579623450000001E-8</v>
      </c>
      <c r="AM447" s="1046" cm="1">
        <f t="array" aca="1" ref="AM447" ca="1">INDEX(OFFSET($AK$19,MATCH($B447,$B$19:$B$150,0)-1,0,COUNTA($B$19:$B$24),COUNTA($AK$17:$BB$17)),MATCH($F447,$F$19:$F$24,0),MATCH(AM$17,$AK$17:$BB$17,0))*INDEX($10:$13,MATCH($O447,$R$10:$R$13,0),COLUMN())</f>
        <v>5.008188933E-5</v>
      </c>
      <c r="AN447" s="1046" cm="1">
        <f t="array" aca="1" ref="AN447" ca="1">INDEX(OFFSET($AK$19,MATCH($B447,$B$19:$B$150,0)-1,0,COUNTA($B$19:$B$24),COUNTA($AK$17:$BB$17)),MATCH($F447,$F$19:$F$24,0),MATCH(AN$17,$AK$17:$BB$17,0))*INDEX($10:$13,MATCH($O447,$R$10:$R$13,0),COLUMN())</f>
        <v>3.9625691280000002E-4</v>
      </c>
      <c r="AO447" s="1046" cm="1">
        <f t="array" aca="1" ref="AO447" ca="1">INDEX(OFFSET($AK$19,MATCH($B447,$B$19:$B$150,0)-1,0,COUNTA($B$19:$B$24),COUNTA($AK$17:$BB$17)),MATCH($F447,$F$19:$F$24,0),MATCH(AO$17,$AK$17:$BB$17,0))*INDEX($10:$13,MATCH($O447,$R$10:$R$13,0),COLUMN())</f>
        <v>2.4073704759999998E-2</v>
      </c>
      <c r="AP447" s="1046" cm="1">
        <f t="array" aca="1" ref="AP447" ca="1">INDEX(OFFSET($AK$19,MATCH($B447,$B$19:$B$150,0)-1,0,COUNTA($B$19:$B$24),COUNTA($AK$17:$BB$17)),MATCH($F447,$F$19:$F$24,0),MATCH(AP$17,$AK$17:$BB$17,0))*INDEX($10:$13,MATCH($O447,$R$10:$R$13,0),COLUMN())</f>
        <v>3.0743906265999999E-3</v>
      </c>
      <c r="AQ447" s="1046" cm="1">
        <f t="array" aca="1" ref="AQ447" ca="1">INDEX(OFFSET($AK$19,MATCH($B447,$B$19:$B$150,0)-1,0,COUNTA($B$19:$B$24),COUNTA($AK$17:$BB$17)),MATCH($F447,$F$19:$F$24,0),MATCH(AQ$17,$AK$17:$BB$17,0))*INDEX($10:$13,MATCH($O447,$R$10:$R$13,0),COLUMN())</f>
        <v>2.6842439999999998E-5</v>
      </c>
      <c r="AR447" s="1046" cm="1">
        <f t="array" aca="1" ref="AR447" ca="1">INDEX(OFFSET($AK$19,MATCH($B447,$B$19:$B$150,0)-1,0,COUNTA($B$19:$B$24),COUNTA($AK$17:$BB$17)),MATCH($F447,$F$19:$F$24,0),MATCH(AR$17,$AK$17:$BB$17,0))*INDEX($10:$13,MATCH($O447,$R$10:$R$13,0),COLUMN())</f>
        <v>2.4276135964999997E-2</v>
      </c>
      <c r="AS447" s="1046" cm="1">
        <f t="array" aca="1" ref="AS447" ca="1">INDEX(OFFSET($AK$19,MATCH($B447,$B$19:$B$150,0)-1,0,COUNTA($B$19:$B$24),COUNTA($AK$17:$BB$17)),MATCH($F447,$F$19:$F$24,0),MATCH(AS$17,$AK$17:$BB$17,0))*INDEX($10:$13,MATCH($O447,$R$10:$R$13,0),COLUMN())</f>
        <v>1.0416475134E-2</v>
      </c>
      <c r="AT447" s="1046" cm="1">
        <f t="array" aca="1" ref="AT447" ca="1">INDEX(OFFSET($AK$19,MATCH($B447,$B$19:$B$150,0)-1,0,COUNTA($B$19:$B$24),COUNTA($AK$17:$BB$17)),MATCH($F447,$F$19:$F$24,0),MATCH(AT$17,$AK$17:$BB$17,0))*INDEX($10:$13,MATCH($O447,$R$10:$R$13,0),COLUMN())</f>
        <v>1.1603276284999999E-5</v>
      </c>
      <c r="AU447" s="1046" cm="1">
        <f t="array" aca="1" ref="AU447" ca="1">INDEX(OFFSET($AK$19,MATCH($B447,$B$19:$B$150,0)-1,0,COUNTA($B$19:$B$24),COUNTA($AK$17:$BB$17)),MATCH($F447,$F$19:$F$24,0),MATCH(AU$17,$AK$17:$BB$17,0))*INDEX($10:$13,MATCH($O447,$R$10:$R$13,0),COLUMN())</f>
        <v>5.9179453344000012E-7</v>
      </c>
      <c r="AV447" s="1046" cm="1">
        <f t="array" aca="1" ref="AV447" ca="1">INDEX(OFFSET($AK$19,MATCH($B447,$B$19:$B$150,0)-1,0,COUNTA($B$19:$B$24),COUNTA($AK$17:$BB$17)),MATCH($F447,$F$19:$F$24,0),MATCH(AV$17,$AK$17:$BB$17,0))*INDEX($10:$13,MATCH($O447,$R$10:$R$13,0),COLUMN())</f>
        <v>2.9738109449999996E-3</v>
      </c>
      <c r="AW447" s="1046" cm="1">
        <f t="array" aca="1" ref="AW447" ca="1">INDEX(OFFSET($AK$19,MATCH($B447,$B$19:$B$150,0)-1,0,COUNTA($B$19:$B$24),COUNTA($AK$17:$BB$17)),MATCH($F447,$F$19:$F$24,0),MATCH(AW$17,$AK$17:$BB$17,0))*INDEX($10:$13,MATCH($O447,$R$10:$R$13,0),COLUMN())</f>
        <v>2.7469928549999998E-2</v>
      </c>
      <c r="AX447" s="1046" cm="1">
        <f t="array" aca="1" ref="AX447" ca="1">INDEX(OFFSET($AK$19,MATCH($B447,$B$19:$B$150,0)-1,0,COUNTA($B$19:$B$24),COUNTA($AK$17:$BB$17)),MATCH($F447,$F$19:$F$24,0),MATCH(AX$17,$AK$17:$BB$17,0))*INDEX($10:$13,MATCH($O447,$R$10:$R$13,0),COLUMN())</f>
        <v>5.3113480800000002E-8</v>
      </c>
      <c r="AY447" s="1046" cm="1">
        <f t="array" aca="1" ref="AY447" ca="1">INDEX(OFFSET($AK$19,MATCH($B447,$B$19:$B$150,0)-1,0,COUNTA($B$19:$B$24),COUNTA($AK$17:$BB$17)),MATCH($F447,$F$19:$F$24,0),MATCH(AY$17,$AK$17:$BB$17,0))*INDEX($10:$13,MATCH($O447,$R$10:$R$13,0),COLUMN())</f>
        <v>-1.4106061631249999E-9</v>
      </c>
      <c r="AZ447" s="1046" cm="1">
        <f t="array" aca="1" ref="AZ447" ca="1">INDEX(OFFSET($AK$19,MATCH($B447,$B$19:$B$150,0)-1,0,COUNTA($B$19:$B$24),COUNTA($AK$17:$BB$17)),MATCH($F447,$F$19:$F$24,0),MATCH(AZ$17,$AK$17:$BB$17,0))*INDEX($10:$13,MATCH($O447,$R$10:$R$13,0),COLUMN())</f>
        <v>0</v>
      </c>
      <c r="BA447" s="1046" cm="1">
        <f t="array" aca="1" ref="BA447" ca="1">INDEX(OFFSET($AK$19,MATCH($B447,$B$19:$B$150,0)-1,0,COUNTA($B$19:$B$24),COUNTA($AK$17:$BB$17)),MATCH($F447,$F$19:$F$24,0),MATCH(BA$17,$AK$17:$BB$17,0))*INDEX($10:$13,MATCH($O447,$R$10:$R$13,0),COLUMN())</f>
        <v>0</v>
      </c>
      <c r="BB447" s="1047" cm="1">
        <f t="array" aca="1" ref="BB447" ca="1">INDEX(OFFSET($AK$19,MATCH($B447,$B$19:$B$150,0)-1,0,COUNTA($B$19:$B$24),COUNTA($AK$17:$BB$17)),MATCH($F447,$F$19:$F$24,0),MATCH(BB$17,$AK$17:$BB$17,0))*INDEX($10:$13,MATCH($O447,$R$10:$R$13,0),COLUMN())</f>
        <v>0</v>
      </c>
      <c r="BC447" s="1049">
        <f t="shared" ca="1" si="176"/>
        <v>2.7469980252874636E-2</v>
      </c>
      <c r="BE447" s="1"/>
      <c r="BF447" s="1"/>
      <c r="BG447" s="1"/>
      <c r="BH447" s="1"/>
      <c r="BI447" s="1"/>
      <c r="BJ447" s="1"/>
      <c r="BK447" s="1"/>
      <c r="BL447" s="1"/>
      <c r="BM447" s="1"/>
      <c r="BN447" s="1"/>
      <c r="BO447" s="1"/>
      <c r="BP447" s="1"/>
      <c r="BQ447" s="1"/>
      <c r="BR447" s="1"/>
      <c r="BS447" s="1"/>
      <c r="BT447" s="1"/>
      <c r="BU447" s="1"/>
      <c r="BV447" s="1"/>
      <c r="BW447" s="1"/>
      <c r="BX447" s="1"/>
      <c r="BY447" s="1"/>
      <c r="BZ447" s="1"/>
    </row>
    <row r="448" spans="2:78" ht="12" customHeight="1" outlineLevel="1" x14ac:dyDescent="0.25">
      <c r="B448" s="104" t="s">
        <v>101</v>
      </c>
      <c r="C448" s="104" t="s">
        <v>121</v>
      </c>
      <c r="D448" s="2" t="s">
        <v>132</v>
      </c>
      <c r="E448" s="2" t="s">
        <v>136</v>
      </c>
      <c r="F448" s="105" t="s">
        <v>122</v>
      </c>
      <c r="G448" s="27" t="s">
        <v>1579</v>
      </c>
      <c r="H448" s="106" t="s">
        <v>128</v>
      </c>
      <c r="I448" s="107" t="s">
        <v>129</v>
      </c>
      <c r="J448" s="147">
        <v>3.7906351599999999</v>
      </c>
      <c r="K448" s="148">
        <v>0.41675000000000001</v>
      </c>
      <c r="L448" s="149">
        <f t="shared" ca="1" si="172"/>
        <v>0.19100773578895131</v>
      </c>
      <c r="M448" s="148">
        <f t="shared" ca="1" si="173"/>
        <v>0.49635247389004544</v>
      </c>
      <c r="N448" s="148">
        <f t="shared" ca="1" si="175"/>
        <v>7.9602473890045461E-2</v>
      </c>
      <c r="O448" s="1062" t="s">
        <v>1584</v>
      </c>
      <c r="P448" s="104"/>
      <c r="R448" s="119"/>
      <c r="S448" s="1072"/>
      <c r="T448" s="1072"/>
      <c r="U448" s="1072"/>
      <c r="V448" s="1072"/>
      <c r="W448" s="1072"/>
      <c r="X448" s="1072"/>
      <c r="Y448" s="1072"/>
      <c r="Z448" s="1072"/>
      <c r="AA448" s="1072"/>
      <c r="AB448" s="1072"/>
      <c r="AC448" s="1072"/>
      <c r="AD448" s="1072"/>
      <c r="AE448" s="1072"/>
      <c r="AF448" s="1072"/>
      <c r="AG448" s="1072"/>
      <c r="AH448" s="1072"/>
      <c r="AI448" s="1072"/>
      <c r="AJ448" s="1073"/>
      <c r="AK448" s="1052" cm="1">
        <f t="array" aca="1" ref="AK448" ca="1">INDEX(OFFSET($AK$19,MATCH($B448,$B$19:$B$150,0)-1,0,COUNTA($B$19:$B$24),COUNTA($AK$17:$BB$17)),MATCH($F448,$F$19:$F$24,0),MATCH(AK$17,$AK$17:$BB$17,0))*INDEX($10:$13,MATCH($O448,$R$10:$R$13,0),COLUMN())</f>
        <v>1.2720578753046708E-2</v>
      </c>
      <c r="AL448" s="1050" cm="1">
        <f t="array" aca="1" ref="AL448" ca="1">INDEX(OFFSET($AK$19,MATCH($B448,$B$19:$B$150,0)-1,0,COUNTA($B$19:$B$24),COUNTA($AK$17:$BB$17)),MATCH($F448,$F$19:$F$24,0),MATCH(AL$17,$AK$17:$BB$17,0))*INDEX($10:$13,MATCH($O448,$R$10:$R$13,0),COLUMN())</f>
        <v>2.5810762380000003E-8</v>
      </c>
      <c r="AM448" s="1050" cm="1">
        <f t="array" aca="1" ref="AM448" ca="1">INDEX(OFFSET($AK$19,MATCH($B448,$B$19:$B$150,0)-1,0,COUNTA($B$19:$B$24),COUNTA($AK$17:$BB$17)),MATCH($F448,$F$19:$F$24,0),MATCH(AM$17,$AK$17:$BB$17,0))*INDEX($10:$13,MATCH($O448,$R$10:$R$13,0),COLUMN())</f>
        <v>4.2419705130000005E-5</v>
      </c>
      <c r="AN448" s="1050" cm="1">
        <f t="array" aca="1" ref="AN448" ca="1">INDEX(OFFSET($AK$19,MATCH($B448,$B$19:$B$150,0)-1,0,COUNTA($B$19:$B$24),COUNTA($AK$17:$BB$17)),MATCH($F448,$F$19:$F$24,0),MATCH(AN$17,$AK$17:$BB$17,0))*INDEX($10:$13,MATCH($O448,$R$10:$R$13,0),COLUMN())</f>
        <v>5.5386525599999991E-4</v>
      </c>
      <c r="AO448" s="1050" cm="1">
        <f t="array" aca="1" ref="AO448" ca="1">INDEX(OFFSET($AK$19,MATCH($B448,$B$19:$B$150,0)-1,0,COUNTA($B$19:$B$24),COUNTA($AK$17:$BB$17)),MATCH($F448,$F$19:$F$24,0),MATCH(AO$17,$AK$17:$BB$17,0))*INDEX($10:$13,MATCH($O448,$R$10:$R$13,0),COLUMN())</f>
        <v>8.1212614000000013E-3</v>
      </c>
      <c r="AP448" s="1050" cm="1">
        <f t="array" aca="1" ref="AP448" ca="1">INDEX(OFFSET($AK$19,MATCH($B448,$B$19:$B$150,0)-1,0,COUNTA($B$19:$B$24),COUNTA($AK$17:$BB$17)),MATCH($F448,$F$19:$F$24,0),MATCH(AP$17,$AK$17:$BB$17,0))*INDEX($10:$13,MATCH($O448,$R$10:$R$13,0),COLUMN())</f>
        <v>6.3694097439999993E-4</v>
      </c>
      <c r="AQ448" s="1050" cm="1">
        <f t="array" aca="1" ref="AQ448" ca="1">INDEX(OFFSET($AK$19,MATCH($B448,$B$19:$B$150,0)-1,0,COUNTA($B$19:$B$24),COUNTA($AK$17:$BB$17)),MATCH($F448,$F$19:$F$24,0),MATCH(AQ$17,$AK$17:$BB$17,0))*INDEX($10:$13,MATCH($O448,$R$10:$R$13,0),COLUMN())</f>
        <v>5.2887124999999999E-6</v>
      </c>
      <c r="AR448" s="1050" cm="1">
        <f t="array" aca="1" ref="AR448" ca="1">INDEX(OFFSET($AK$19,MATCH($B448,$B$19:$B$150,0)-1,0,COUNTA($B$19:$B$24),COUNTA($AK$17:$BB$17)),MATCH($F448,$F$19:$F$24,0),MATCH(AR$17,$AK$17:$BB$17,0))*INDEX($10:$13,MATCH($O448,$R$10:$R$13,0),COLUMN())</f>
        <v>1.4320638770000001E-2</v>
      </c>
      <c r="AS448" s="1050" cm="1">
        <f t="array" aca="1" ref="AS448" ca="1">INDEX(OFFSET($AK$19,MATCH($B448,$B$19:$B$150,0)-1,0,COUNTA($B$19:$B$24),COUNTA($AK$17:$BB$17)),MATCH($F448,$F$19:$F$24,0),MATCH(AS$17,$AK$17:$BB$17,0))*INDEX($10:$13,MATCH($O448,$R$10:$R$13,0),COLUMN())</f>
        <v>-1.0499227127999999E-5</v>
      </c>
      <c r="AT448" s="1050" cm="1">
        <f t="array" aca="1" ref="AT448" ca="1">INDEX(OFFSET($AK$19,MATCH($B448,$B$19:$B$150,0)-1,0,COUNTA($B$19:$B$24),COUNTA($AK$17:$BB$17)),MATCH($F448,$F$19:$F$24,0),MATCH(AT$17,$AK$17:$BB$17,0))*INDEX($10:$13,MATCH($O448,$R$10:$R$13,0),COLUMN())</f>
        <v>4.4072261369999999E-7</v>
      </c>
      <c r="AU448" s="1050" cm="1">
        <f t="array" aca="1" ref="AU448" ca="1">INDEX(OFFSET($AK$19,MATCH($B448,$B$19:$B$150,0)-1,0,COUNTA($B$19:$B$24),COUNTA($AK$17:$BB$17)),MATCH($F448,$F$19:$F$24,0),MATCH(AU$17,$AK$17:$BB$17,0))*INDEX($10:$13,MATCH($O448,$R$10:$R$13,0),COLUMN())</f>
        <v>9.4617449056000002E-8</v>
      </c>
      <c r="AV448" s="1050" cm="1">
        <f t="array" aca="1" ref="AV448" ca="1">INDEX(OFFSET($AK$19,MATCH($B448,$B$19:$B$150,0)-1,0,COUNTA($B$19:$B$24),COUNTA($AK$17:$BB$17)),MATCH($F448,$F$19:$F$24,0),MATCH(AV$17,$AK$17:$BB$17,0))*INDEX($10:$13,MATCH($O448,$R$10:$R$13,0),COLUMN())</f>
        <v>2.6429814099999997E-4</v>
      </c>
      <c r="AW448" s="1050" cm="1">
        <f t="array" aca="1" ref="AW448" ca="1">INDEX(OFFSET($AK$19,MATCH($B448,$B$19:$B$150,0)-1,0,COUNTA($B$19:$B$24),COUNTA($AK$17:$BB$17)),MATCH($F448,$F$19:$F$24,0),MATCH(AW$17,$AK$17:$BB$17,0))*INDEX($10:$13,MATCH($O448,$R$10:$R$13,0),COLUMN())</f>
        <v>4.2947107649999997E-2</v>
      </c>
      <c r="AX448" s="1050" cm="1">
        <f t="array" aca="1" ref="AX448" ca="1">INDEX(OFFSET($AK$19,MATCH($B448,$B$19:$B$150,0)-1,0,COUNTA($B$19:$B$24),COUNTA($AK$17:$BB$17)),MATCH($F448,$F$19:$F$24,0),MATCH(AX$17,$AK$17:$BB$17,0))*INDEX($10:$13,MATCH($O448,$R$10:$R$13,0),COLUMN())</f>
        <v>1.2937709834999999E-8</v>
      </c>
      <c r="AY448" s="1050" cm="1">
        <f t="array" aca="1" ref="AY448" ca="1">INDEX(OFFSET($AK$19,MATCH($B448,$B$19:$B$150,0)-1,0,COUNTA($B$19:$B$24),COUNTA($AK$17:$BB$17)),MATCH($F448,$F$19:$F$24,0),MATCH(AY$17,$AK$17:$BB$17,0))*INDEX($10:$13,MATCH($O448,$R$10:$R$13,0),COLUMN())</f>
        <v>-3.3343820718749997E-10</v>
      </c>
      <c r="AZ448" s="1050" cm="1">
        <f t="array" aca="1" ref="AZ448" ca="1">INDEX(OFFSET($AK$19,MATCH($B448,$B$19:$B$150,0)-1,0,COUNTA($B$19:$B$24),COUNTA($AK$17:$BB$17)),MATCH($F448,$F$19:$F$24,0),MATCH(AZ$17,$AK$17:$BB$17,0))*INDEX($10:$13,MATCH($O448,$R$10:$R$13,0),COLUMN())</f>
        <v>0</v>
      </c>
      <c r="BA448" s="1050" cm="1">
        <f t="array" aca="1" ref="BA448" ca="1">INDEX(OFFSET($AK$19,MATCH($B448,$B$19:$B$150,0)-1,0,COUNTA($B$19:$B$24),COUNTA($AK$17:$BB$17)),MATCH($F448,$F$19:$F$24,0),MATCH(BA$17,$AK$17:$BB$17,0))*INDEX($10:$13,MATCH($O448,$R$10:$R$13,0),COLUMN())</f>
        <v>0</v>
      </c>
      <c r="BB448" s="1051" cm="1">
        <f t="array" aca="1" ref="BB448" ca="1">INDEX(OFFSET($AK$19,MATCH($B448,$B$19:$B$150,0)-1,0,COUNTA($B$19:$B$24),COUNTA($AK$17:$BB$17)),MATCH($F448,$F$19:$F$24,0),MATCH(BB$17,$AK$17:$BB$17,0))*INDEX($10:$13,MATCH($O448,$R$10:$R$13,0),COLUMN())</f>
        <v>0</v>
      </c>
      <c r="BC448" s="1053">
        <f t="shared" ca="1" si="176"/>
        <v>4.2947120254271623E-2</v>
      </c>
      <c r="BE448" s="1"/>
      <c r="BF448" s="1"/>
      <c r="BG448" s="1"/>
      <c r="BH448" s="1"/>
      <c r="BI448" s="1"/>
      <c r="BJ448" s="1"/>
      <c r="BK448" s="1"/>
      <c r="BL448" s="1"/>
      <c r="BM448" s="1"/>
      <c r="BN448" s="1"/>
      <c r="BO448" s="1"/>
      <c r="BP448" s="1"/>
      <c r="BQ448" s="1"/>
      <c r="BR448" s="1"/>
      <c r="BS448" s="1"/>
      <c r="BT448" s="1"/>
      <c r="BU448" s="1"/>
      <c r="BV448" s="1"/>
      <c r="BW448" s="1"/>
      <c r="BX448" s="1"/>
      <c r="BY448" s="1"/>
      <c r="BZ448" s="1"/>
    </row>
    <row r="449" spans="2:78" ht="12" customHeight="1" outlineLevel="1" x14ac:dyDescent="0.25">
      <c r="B449" s="104" t="s">
        <v>101</v>
      </c>
      <c r="C449" s="104" t="s">
        <v>121</v>
      </c>
      <c r="D449" s="2" t="s">
        <v>132</v>
      </c>
      <c r="E449" s="2" t="s">
        <v>136</v>
      </c>
      <c r="F449" s="105" t="s">
        <v>93</v>
      </c>
      <c r="G449" s="27" t="s">
        <v>1578</v>
      </c>
      <c r="H449" s="106" t="s">
        <v>130</v>
      </c>
      <c r="I449" s="107" t="s">
        <v>129</v>
      </c>
      <c r="J449" s="147">
        <v>3.7906351599999999</v>
      </c>
      <c r="K449" s="148">
        <v>0.41675000000000001</v>
      </c>
      <c r="L449" s="149">
        <f t="shared" ca="1" si="172"/>
        <v>0.24112266360267826</v>
      </c>
      <c r="M449" s="148">
        <f t="shared" ca="1" si="173"/>
        <v>0.51723787005641619</v>
      </c>
      <c r="N449" s="148">
        <f t="shared" ca="1" si="175"/>
        <v>0.10048787005641617</v>
      </c>
      <c r="O449" s="1062" t="s">
        <v>1584</v>
      </c>
      <c r="P449" s="104"/>
      <c r="R449" s="119"/>
      <c r="S449" s="1072"/>
      <c r="T449" s="1072"/>
      <c r="U449" s="1072"/>
      <c r="V449" s="1072"/>
      <c r="W449" s="1072"/>
      <c r="X449" s="1072"/>
      <c r="Y449" s="1072"/>
      <c r="Z449" s="1072"/>
      <c r="AA449" s="1072"/>
      <c r="AB449" s="1072"/>
      <c r="AC449" s="1072"/>
      <c r="AD449" s="1072"/>
      <c r="AE449" s="1072"/>
      <c r="AF449" s="1072"/>
      <c r="AG449" s="1072"/>
      <c r="AH449" s="1072"/>
      <c r="AI449" s="1072"/>
      <c r="AJ449" s="1073"/>
      <c r="AK449" s="1052" cm="1">
        <f t="array" aca="1" ref="AK449" ca="1">INDEX(OFFSET($AK$19,MATCH($B449,$B$19:$B$150,0)-1,0,COUNTA($B$19:$B$24),COUNTA($AK$17:$BB$17)),MATCH($F449,$F$19:$F$24,0),MATCH(AK$17,$AK$17:$BB$17,0))*INDEX($10:$13,MATCH($O449,$R$10:$R$13,0),COLUMN())</f>
        <v>1.6043008110022468E-2</v>
      </c>
      <c r="AL449" s="1050" cm="1">
        <f t="array" aca="1" ref="AL449" ca="1">INDEX(OFFSET($AK$19,MATCH($B449,$B$19:$B$150,0)-1,0,COUNTA($B$19:$B$24),COUNTA($AK$17:$BB$17)),MATCH($F449,$F$19:$F$24,0),MATCH(AL$17,$AK$17:$BB$17,0))*INDEX($10:$13,MATCH($O449,$R$10:$R$13,0),COLUMN())</f>
        <v>3.2552155220000005E-8</v>
      </c>
      <c r="AM449" s="1050" cm="1">
        <f t="array" aca="1" ref="AM449" ca="1">INDEX(OFFSET($AK$19,MATCH($B449,$B$19:$B$150,0)-1,0,COUNTA($B$19:$B$24),COUNTA($AK$17:$BB$17)),MATCH($F449,$F$19:$F$24,0),MATCH(AM$17,$AK$17:$BB$17,0))*INDEX($10:$13,MATCH($O449,$R$10:$R$13,0),COLUMN())</f>
        <v>5.3499111930000002E-5</v>
      </c>
      <c r="AN449" s="1050" cm="1">
        <f t="array" aca="1" ref="AN449" ca="1">INDEX(OFFSET($AK$19,MATCH($B449,$B$19:$B$150,0)-1,0,COUNTA($B$19:$B$24),COUNTA($AK$17:$BB$17)),MATCH($F449,$F$19:$F$24,0),MATCH(AN$17,$AK$17:$BB$17,0))*INDEX($10:$13,MATCH($O449,$R$10:$R$13,0),COLUMN())</f>
        <v>6.9852677160000003E-4</v>
      </c>
      <c r="AO449" s="1050" cm="1">
        <f t="array" aca="1" ref="AO449" ca="1">INDEX(OFFSET($AK$19,MATCH($B449,$B$19:$B$150,0)-1,0,COUNTA($B$19:$B$24),COUNTA($AK$17:$BB$17)),MATCH($F449,$F$19:$F$24,0),MATCH(AO$17,$AK$17:$BB$17,0))*INDEX($10:$13,MATCH($O449,$R$10:$R$13,0),COLUMN())</f>
        <v>1.0242415960000001E-2</v>
      </c>
      <c r="AP449" s="1050" cm="1">
        <f t="array" aca="1" ref="AP449" ca="1">INDEX(OFFSET($AK$19,MATCH($B449,$B$19:$B$150,0)-1,0,COUNTA($B$19:$B$24),COUNTA($AK$17:$BB$17)),MATCH($F449,$F$19:$F$24,0),MATCH(AP$17,$AK$17:$BB$17,0))*INDEX($10:$13,MATCH($O449,$R$10:$R$13,0),COLUMN())</f>
        <v>8.0330062499999995E-4</v>
      </c>
      <c r="AQ449" s="1050" cm="1">
        <f t="array" aca="1" ref="AQ449" ca="1">INDEX(OFFSET($AK$19,MATCH($B449,$B$19:$B$150,0)-1,0,COUNTA($B$19:$B$24),COUNTA($AK$17:$BB$17)),MATCH($F449,$F$19:$F$24,0),MATCH(AQ$17,$AK$17:$BB$17,0))*INDEX($10:$13,MATCH($O449,$R$10:$R$13,0),COLUMN())</f>
        <v>6.6700467500000001E-6</v>
      </c>
      <c r="AR449" s="1050" cm="1">
        <f t="array" aca="1" ref="AR449" ca="1">INDEX(OFFSET($AK$19,MATCH($B449,$B$19:$B$150,0)-1,0,COUNTA($B$19:$B$24),COUNTA($AK$17:$BB$17)),MATCH($F449,$F$19:$F$24,0),MATCH(AR$17,$AK$17:$BB$17,0))*INDEX($10:$13,MATCH($O449,$R$10:$R$13,0),COLUMN())</f>
        <v>1.8060980411999997E-2</v>
      </c>
      <c r="AS449" s="1050" cm="1">
        <f t="array" aca="1" ref="AS449" ca="1">INDEX(OFFSET($AK$19,MATCH($B449,$B$19:$B$150,0)-1,0,COUNTA($B$19:$B$24),COUNTA($AK$17:$BB$17)),MATCH($F449,$F$19:$F$24,0),MATCH(AS$17,$AK$17:$BB$17,0))*INDEX($10:$13,MATCH($O449,$R$10:$R$13,0),COLUMN())</f>
        <v>-4.4574662339999994E-6</v>
      </c>
      <c r="AT449" s="1050" cm="1">
        <f t="array" aca="1" ref="AT449" ca="1">INDEX(OFFSET($AK$19,MATCH($B449,$B$19:$B$150,0)-1,0,COUNTA($B$19:$B$24),COUNTA($AK$17:$BB$17)),MATCH($F449,$F$19:$F$24,0),MATCH(AT$17,$AK$17:$BB$17,0))*INDEX($10:$13,MATCH($O449,$R$10:$R$13,0),COLUMN())</f>
        <v>5.5895149050000002E-7</v>
      </c>
      <c r="AU449" s="1050" cm="1">
        <f t="array" aca="1" ref="AU449" ca="1">INDEX(OFFSET($AK$19,MATCH($B449,$B$19:$B$150,0)-1,0,COUNTA($B$19:$B$24),COUNTA($AK$17:$BB$17)),MATCH($F449,$F$19:$F$24,0),MATCH(AU$17,$AK$17:$BB$17,0))*INDEX($10:$13,MATCH($O449,$R$10:$R$13,0),COLUMN())</f>
        <v>1.1966512864000001E-7</v>
      </c>
      <c r="AV449" s="1050" cm="1">
        <f t="array" aca="1" ref="AV449" ca="1">INDEX(OFFSET($AK$19,MATCH($B449,$B$19:$B$150,0)-1,0,COUNTA($B$19:$B$24),COUNTA($AK$17:$BB$17)),MATCH($F449,$F$19:$F$24,0),MATCH(AV$17,$AK$17:$BB$17,0))*INDEX($10:$13,MATCH($O449,$R$10:$R$13,0),COLUMN())</f>
        <v>4.1893247024999997E-4</v>
      </c>
      <c r="AW449" s="1050" cm="1">
        <f t="array" aca="1" ref="AW449" ca="1">INDEX(OFFSET($AK$19,MATCH($B449,$B$19:$B$150,0)-1,0,COUNTA($B$19:$B$24),COUNTA($AK$17:$BB$17)),MATCH($F449,$F$19:$F$24,0),MATCH(AW$17,$AK$17:$BB$17,0))*INDEX($10:$13,MATCH($O449,$R$10:$R$13,0),COLUMN())</f>
        <v>5.4164266949999991E-2</v>
      </c>
      <c r="AX449" s="1050" cm="1">
        <f t="array" aca="1" ref="AX449" ca="1">INDEX(OFFSET($AK$19,MATCH($B449,$B$19:$B$150,0)-1,0,COUNTA($B$19:$B$24),COUNTA($AK$17:$BB$17)),MATCH($F449,$F$19:$F$24,0),MATCH(AX$17,$AK$17:$BB$17,0))*INDEX($10:$13,MATCH($O449,$R$10:$R$13,0),COLUMN())</f>
        <v>1.6316850749999998E-8</v>
      </c>
      <c r="AY449" s="1050" cm="1">
        <f t="array" aca="1" ref="AY449" ca="1">INDEX(OFFSET($AK$19,MATCH($B449,$B$19:$B$150,0)-1,0,COUNTA($B$19:$B$24),COUNTA($AK$17:$BB$17)),MATCH($F449,$F$19:$F$24,0),MATCH(AY$17,$AK$17:$BB$17,0))*INDEX($10:$13,MATCH($O449,$R$10:$R$13,0),COLUMN())</f>
        <v>-4.2052739456249991E-10</v>
      </c>
      <c r="AZ449" s="1050" cm="1">
        <f t="array" aca="1" ref="AZ449" ca="1">INDEX(OFFSET($AK$19,MATCH($B449,$B$19:$B$150,0)-1,0,COUNTA($B$19:$B$24),COUNTA($AK$17:$BB$17)),MATCH($F449,$F$19:$F$24,0),MATCH(AZ$17,$AK$17:$BB$17,0))*INDEX($10:$13,MATCH($O449,$R$10:$R$13,0),COLUMN())</f>
        <v>0</v>
      </c>
      <c r="BA449" s="1050" cm="1">
        <f t="array" aca="1" ref="BA449" ca="1">INDEX(OFFSET($AK$19,MATCH($B449,$B$19:$B$150,0)-1,0,COUNTA($B$19:$B$24),COUNTA($AK$17:$BB$17)),MATCH($F449,$F$19:$F$24,0),MATCH(BA$17,$AK$17:$BB$17,0))*INDEX($10:$13,MATCH($O449,$R$10:$R$13,0),COLUMN())</f>
        <v>0</v>
      </c>
      <c r="BB449" s="1051" cm="1">
        <f t="array" aca="1" ref="BB449" ca="1">INDEX(OFFSET($AK$19,MATCH($B449,$B$19:$B$150,0)-1,0,COUNTA($B$19:$B$24),COUNTA($AK$17:$BB$17)),MATCH($F449,$F$19:$F$24,0),MATCH(BB$17,$AK$17:$BB$17,0))*INDEX($10:$13,MATCH($O449,$R$10:$R$13,0),COLUMN())</f>
        <v>0</v>
      </c>
      <c r="BC449" s="1053">
        <f t="shared" ca="1" si="176"/>
        <v>5.4164282846323346E-2</v>
      </c>
      <c r="BE449" s="1"/>
      <c r="BF449" s="1"/>
      <c r="BG449" s="1"/>
      <c r="BH449" s="1"/>
      <c r="BI449" s="1"/>
      <c r="BJ449" s="1"/>
      <c r="BK449" s="1"/>
      <c r="BL449" s="1"/>
      <c r="BM449" s="1"/>
      <c r="BN449" s="1"/>
      <c r="BO449" s="1"/>
      <c r="BP449" s="1"/>
      <c r="BQ449" s="1"/>
      <c r="BR449" s="1"/>
      <c r="BS449" s="1"/>
      <c r="BT449" s="1"/>
      <c r="BU449" s="1"/>
      <c r="BV449" s="1"/>
      <c r="BW449" s="1"/>
      <c r="BX449" s="1"/>
      <c r="BY449" s="1"/>
      <c r="BZ449" s="1"/>
    </row>
    <row r="450" spans="2:78" ht="12" customHeight="1" outlineLevel="1" x14ac:dyDescent="0.25">
      <c r="B450" s="104" t="s">
        <v>101</v>
      </c>
      <c r="C450" s="104" t="s">
        <v>121</v>
      </c>
      <c r="D450" s="2" t="s">
        <v>132</v>
      </c>
      <c r="E450" s="2" t="s">
        <v>136</v>
      </c>
      <c r="F450" s="105" t="s">
        <v>94</v>
      </c>
      <c r="G450" s="27" t="s">
        <v>1580</v>
      </c>
      <c r="H450" s="106" t="s">
        <v>131</v>
      </c>
      <c r="I450" s="107" t="s">
        <v>129</v>
      </c>
      <c r="J450" s="147">
        <v>3.7906351599999999</v>
      </c>
      <c r="K450" s="148">
        <v>0.41675000000000001</v>
      </c>
      <c r="L450" s="149">
        <f t="shared" ref="L450:L504" ca="1" si="177">IFERROR(N450/K450,"?")</f>
        <v>0.15807949632462359</v>
      </c>
      <c r="M450" s="148">
        <f t="shared" ref="M450:M504" ca="1" si="178">IFERROR(K450+N450,"?")</f>
        <v>0.48262963009328691</v>
      </c>
      <c r="N450" s="148">
        <f t="shared" ca="1" si="175"/>
        <v>6.5879630093286887E-2</v>
      </c>
      <c r="O450" s="1062" t="s">
        <v>1584</v>
      </c>
      <c r="P450" s="104"/>
      <c r="R450" s="119"/>
      <c r="S450" s="1072"/>
      <c r="T450" s="1072"/>
      <c r="U450" s="1072"/>
      <c r="V450" s="1072"/>
      <c r="W450" s="1072"/>
      <c r="X450" s="1072"/>
      <c r="Y450" s="1072"/>
      <c r="Z450" s="1072"/>
      <c r="AA450" s="1072"/>
      <c r="AB450" s="1072"/>
      <c r="AC450" s="1072"/>
      <c r="AD450" s="1072"/>
      <c r="AE450" s="1072"/>
      <c r="AF450" s="1072"/>
      <c r="AG450" s="1072"/>
      <c r="AH450" s="1072"/>
      <c r="AI450" s="1072"/>
      <c r="AJ450" s="1073"/>
      <c r="AK450" s="1052" cm="1">
        <f t="array" aca="1" ref="AK450" ca="1">INDEX(OFFSET($AK$19,MATCH($B450,$B$19:$B$150,0)-1,0,COUNTA($B$19:$B$24),COUNTA($AK$17:$BB$17)),MATCH($F450,$F$19:$F$24,0),MATCH(AK$17,$AK$17:$BB$17,0))*INDEX($10:$13,MATCH($O450,$R$10:$R$13,0),COLUMN())</f>
        <v>1.053755818776232E-2</v>
      </c>
      <c r="AL450" s="1050" cm="1">
        <f t="array" aca="1" ref="AL450" ca="1">INDEX(OFFSET($AK$19,MATCH($B450,$B$19:$B$150,0)-1,0,COUNTA($B$19:$B$24),COUNTA($AK$17:$BB$17)),MATCH($F450,$F$19:$F$24,0),MATCH(AL$17,$AK$17:$BB$17,0))*INDEX($10:$13,MATCH($O450,$R$10:$R$13,0),COLUMN())</f>
        <v>2.1381291204000002E-8</v>
      </c>
      <c r="AM450" s="1050" cm="1">
        <f t="array" aca="1" ref="AM450" ca="1">INDEX(OFFSET($AK$19,MATCH($B450,$B$19:$B$150,0)-1,0,COUNTA($B$19:$B$24),COUNTA($AK$17:$BB$17)),MATCH($F450,$F$19:$F$24,0),MATCH(AM$17,$AK$17:$BB$17,0))*INDEX($10:$13,MATCH($O450,$R$10:$R$13,0),COLUMN())</f>
        <v>3.5139917339999999E-5</v>
      </c>
      <c r="AN450" s="1050" cm="1">
        <f t="array" aca="1" ref="AN450" ca="1">INDEX(OFFSET($AK$19,MATCH($B450,$B$19:$B$150,0)-1,0,COUNTA($B$19:$B$24),COUNTA($AK$17:$BB$17)),MATCH($F450,$F$19:$F$24,0),MATCH(AN$17,$AK$17:$BB$17,0))*INDEX($10:$13,MATCH($O450,$R$10:$R$13,0),COLUMN())</f>
        <v>4.5881460239999999E-4</v>
      </c>
      <c r="AO450" s="1050" cm="1">
        <f t="array" aca="1" ref="AO450" ca="1">INDEX(OFFSET($AK$19,MATCH($B450,$B$19:$B$150,0)-1,0,COUNTA($B$19:$B$24),COUNTA($AK$17:$BB$17)),MATCH($F450,$F$19:$F$24,0),MATCH(AO$17,$AK$17:$BB$17,0))*INDEX($10:$13,MATCH($O450,$R$10:$R$13,0),COLUMN())</f>
        <v>6.7275446000000004E-3</v>
      </c>
      <c r="AP450" s="1050" cm="1">
        <f t="array" aca="1" ref="AP450" ca="1">INDEX(OFFSET($AK$19,MATCH($B450,$B$19:$B$150,0)-1,0,COUNTA($B$19:$B$24),COUNTA($AK$17:$BB$17)),MATCH($F450,$F$19:$F$24,0),MATCH(AP$17,$AK$17:$BB$17,0))*INDEX($10:$13,MATCH($O450,$R$10:$R$13,0),COLUMN())</f>
        <v>5.276334404E-4</v>
      </c>
      <c r="AQ450" s="1050" cm="1">
        <f t="array" aca="1" ref="AQ450" ca="1">INDEX(OFFSET($AK$19,MATCH($B450,$B$19:$B$150,0)-1,0,COUNTA($B$19:$B$24),COUNTA($AK$17:$BB$17)),MATCH($F450,$F$19:$F$24,0),MATCH(AQ$17,$AK$17:$BB$17,0))*INDEX($10:$13,MATCH($O450,$R$10:$R$13,0),COLUMN())</f>
        <v>4.381099E-6</v>
      </c>
      <c r="AR450" s="1050" cm="1">
        <f t="array" aca="1" ref="AR450" ca="1">INDEX(OFFSET($AK$19,MATCH($B450,$B$19:$B$150,0)-1,0,COUNTA($B$19:$B$24),COUNTA($AK$17:$BB$17)),MATCH($F450,$F$19:$F$24,0),MATCH(AR$17,$AK$17:$BB$17,0))*INDEX($10:$13,MATCH($O450,$R$10:$R$13,0),COLUMN())</f>
        <v>1.1863026269E-2</v>
      </c>
      <c r="AS450" s="1050" cm="1">
        <f t="array" aca="1" ref="AS450" ca="1">INDEX(OFFSET($AK$19,MATCH($B450,$B$19:$B$150,0)-1,0,COUNTA($B$19:$B$24),COUNTA($AK$17:$BB$17)),MATCH($F450,$F$19:$F$24,0),MATCH(AS$17,$AK$17:$BB$17,0))*INDEX($10:$13,MATCH($O450,$R$10:$R$13,0),COLUMN())</f>
        <v>-1.446703479E-5</v>
      </c>
      <c r="AT450" s="1050" cm="1">
        <f t="array" aca="1" ref="AT450" ca="1">INDEX(OFFSET($AK$19,MATCH($B450,$B$19:$B$150,0)-1,0,COUNTA($B$19:$B$24),COUNTA($AK$17:$BB$17)),MATCH($F450,$F$19:$F$24,0),MATCH(AT$17,$AK$17:$BB$17,0))*INDEX($10:$13,MATCH($O450,$R$10:$R$13,0),COLUMN())</f>
        <v>3.6304036255000003E-7</v>
      </c>
      <c r="AU450" s="1050" cm="1">
        <f t="array" aca="1" ref="AU450" ca="1">INDEX(OFFSET($AK$19,MATCH($B450,$B$19:$B$150,0)-1,0,COUNTA($B$19:$B$24),COUNTA($AK$17:$BB$17)),MATCH($F450,$F$19:$F$24,0),MATCH(AU$17,$AK$17:$BB$17,0))*INDEX($10:$13,MATCH($O450,$R$10:$R$13,0),COLUMN())</f>
        <v>7.8159809951999998E-8</v>
      </c>
      <c r="AV450" s="1050" cm="1">
        <f t="array" aca="1" ref="AV450" ca="1">INDEX(OFFSET($AK$19,MATCH($B450,$B$19:$B$150,0)-1,0,COUNTA($B$19:$B$24),COUNTA($AK$17:$BB$17)),MATCH($F450,$F$19:$F$24,0),MATCH(AV$17,$AK$17:$BB$17,0))*INDEX($10:$13,MATCH($O450,$R$10:$R$13,0),COLUMN())</f>
        <v>1.627139395E-4</v>
      </c>
      <c r="AW450" s="1050" cm="1">
        <f t="array" aca="1" ref="AW450" ca="1">INDEX(OFFSET($AK$19,MATCH($B450,$B$19:$B$150,0)-1,0,COUNTA($B$19:$B$24),COUNTA($AK$17:$BB$17)),MATCH($F450,$F$19:$F$24,0),MATCH(AW$17,$AK$17:$BB$17,0))*INDEX($10:$13,MATCH($O450,$R$10:$R$13,0),COLUMN())</f>
        <v>3.5576812049999997E-2</v>
      </c>
      <c r="AX450" s="1050" cm="1">
        <f t="array" aca="1" ref="AX450" ca="1">INDEX(OFFSET($AK$19,MATCH($B450,$B$19:$B$150,0)-1,0,COUNTA($B$19:$B$24),COUNTA($AK$17:$BB$17)),MATCH($F450,$F$19:$F$24,0),MATCH(AX$17,$AK$17:$BB$17,0))*INDEX($10:$13,MATCH($O450,$R$10:$R$13,0),COLUMN())</f>
        <v>1.0717426619999999E-8</v>
      </c>
      <c r="AY450" s="1050" cm="1">
        <f t="array" aca="1" ref="AY450" ca="1">INDEX(OFFSET($AK$19,MATCH($B450,$B$19:$B$150,0)-1,0,COUNTA($B$19:$B$24),COUNTA($AK$17:$BB$17)),MATCH($F450,$F$19:$F$24,0),MATCH(AY$17,$AK$17:$BB$17,0))*INDEX($10:$13,MATCH($O450,$R$10:$R$13,0),COLUMN())</f>
        <v>-2.7621576731249999E-10</v>
      </c>
      <c r="AZ450" s="1050" cm="1">
        <f t="array" aca="1" ref="AZ450" ca="1">INDEX(OFFSET($AK$19,MATCH($B450,$B$19:$B$150,0)-1,0,COUNTA($B$19:$B$24),COUNTA($AK$17:$BB$17)),MATCH($F450,$F$19:$F$24,0),MATCH(AZ$17,$AK$17:$BB$17,0))*INDEX($10:$13,MATCH($O450,$R$10:$R$13,0),COLUMN())</f>
        <v>0</v>
      </c>
      <c r="BA450" s="1050" cm="1">
        <f t="array" aca="1" ref="BA450" ca="1">INDEX(OFFSET($AK$19,MATCH($B450,$B$19:$B$150,0)-1,0,COUNTA($B$19:$B$24),COUNTA($AK$17:$BB$17)),MATCH($F450,$F$19:$F$24,0),MATCH(BA$17,$AK$17:$BB$17,0))*INDEX($10:$13,MATCH($O450,$R$10:$R$13,0),COLUMN())</f>
        <v>0</v>
      </c>
      <c r="BB450" s="1051" cm="1">
        <f t="array" aca="1" ref="BB450" ca="1">INDEX(OFFSET($AK$19,MATCH($B450,$B$19:$B$150,0)-1,0,COUNTA($B$19:$B$24),COUNTA($AK$17:$BB$17)),MATCH($F450,$F$19:$F$24,0),MATCH(BB$17,$AK$17:$BB$17,0))*INDEX($10:$13,MATCH($O450,$R$10:$R$13,0),COLUMN())</f>
        <v>0</v>
      </c>
      <c r="BC450" s="1053">
        <f t="shared" ca="1" si="176"/>
        <v>3.5576822491210851E-2</v>
      </c>
      <c r="BE450" s="1"/>
      <c r="BF450" s="1"/>
      <c r="BG450" s="1"/>
      <c r="BH450" s="1"/>
      <c r="BI450" s="1"/>
      <c r="BJ450" s="1"/>
      <c r="BK450" s="1"/>
      <c r="BL450" s="1"/>
      <c r="BM450" s="1"/>
      <c r="BN450" s="1"/>
      <c r="BO450" s="1"/>
      <c r="BP450" s="1"/>
      <c r="BQ450" s="1"/>
      <c r="BR450" s="1"/>
      <c r="BS450" s="1"/>
      <c r="BT450" s="1"/>
      <c r="BU450" s="1"/>
      <c r="BV450" s="1"/>
      <c r="BW450" s="1"/>
      <c r="BX450" s="1"/>
      <c r="BY450" s="1"/>
      <c r="BZ450" s="1"/>
    </row>
    <row r="451" spans="2:78" ht="12" customHeight="1" outlineLevel="1" x14ac:dyDescent="0.25">
      <c r="B451" s="104" t="s">
        <v>101</v>
      </c>
      <c r="C451" s="104" t="s">
        <v>121</v>
      </c>
      <c r="D451" s="2" t="s">
        <v>132</v>
      </c>
      <c r="E451" s="2" t="s">
        <v>136</v>
      </c>
      <c r="F451" s="105" t="s">
        <v>95</v>
      </c>
      <c r="G451" s="27" t="s">
        <v>1581</v>
      </c>
      <c r="H451" s="106" t="s">
        <v>128</v>
      </c>
      <c r="I451" s="107" t="s">
        <v>127</v>
      </c>
      <c r="J451" s="147">
        <v>3.7906351599999999</v>
      </c>
      <c r="K451" s="148">
        <v>0.41675000000000001</v>
      </c>
      <c r="L451" s="149">
        <f t="shared" ca="1" si="177"/>
        <v>0.23855833723239098</v>
      </c>
      <c r="M451" s="148">
        <f t="shared" ca="1" si="178"/>
        <v>0.51616918704159898</v>
      </c>
      <c r="N451" s="148">
        <f t="shared" ca="1" si="175"/>
        <v>9.9419187041598939E-2</v>
      </c>
      <c r="O451" s="1062" t="s">
        <v>1584</v>
      </c>
      <c r="P451" s="104"/>
      <c r="R451" s="119"/>
      <c r="S451" s="1072"/>
      <c r="T451" s="1072"/>
      <c r="U451" s="1072"/>
      <c r="V451" s="1072"/>
      <c r="W451" s="1072"/>
      <c r="X451" s="1072"/>
      <c r="Y451" s="1072"/>
      <c r="Z451" s="1072"/>
      <c r="AA451" s="1072"/>
      <c r="AB451" s="1072"/>
      <c r="AC451" s="1072"/>
      <c r="AD451" s="1072"/>
      <c r="AE451" s="1072"/>
      <c r="AF451" s="1072"/>
      <c r="AG451" s="1072"/>
      <c r="AH451" s="1072"/>
      <c r="AI451" s="1072"/>
      <c r="AJ451" s="1073"/>
      <c r="AK451" s="1052" cm="1">
        <f t="array" aca="1" ref="AK451" ca="1">INDEX(OFFSET($AK$19,MATCH($B451,$B$19:$B$150,0)-1,0,COUNTA($B$19:$B$24),COUNTA($AK$17:$BB$17)),MATCH($F451,$F$19:$F$24,0),MATCH(AK$17,$AK$17:$BB$17,0))*INDEX($10:$13,MATCH($O451,$R$10:$R$13,0),COLUMN())</f>
        <v>1.43001574070737E-2</v>
      </c>
      <c r="AL451" s="1050" cm="1">
        <f t="array" aca="1" ref="AL451" ca="1">INDEX(OFFSET($AK$19,MATCH($B451,$B$19:$B$150,0)-1,0,COUNTA($B$19:$B$24),COUNTA($AK$17:$BB$17)),MATCH($F451,$F$19:$F$24,0),MATCH(AL$17,$AK$17:$BB$17,0))*INDEX($10:$13,MATCH($O451,$R$10:$R$13,0),COLUMN())</f>
        <v>2.6005536310000002E-8</v>
      </c>
      <c r="AM451" s="1050" cm="1">
        <f t="array" aca="1" ref="AM451" ca="1">INDEX(OFFSET($AK$19,MATCH($B451,$B$19:$B$150,0)-1,0,COUNTA($B$19:$B$24),COUNTA($AK$17:$BB$17)),MATCH($F451,$F$19:$F$24,0),MATCH(AM$17,$AK$17:$BB$17,0))*INDEX($10:$13,MATCH($O451,$R$10:$R$13,0),COLUMN())</f>
        <v>4.2738243570000001E-5</v>
      </c>
      <c r="AN451" s="1050" cm="1">
        <f t="array" aca="1" ref="AN451" ca="1">INDEX(OFFSET($AK$19,MATCH($B451,$B$19:$B$150,0)-1,0,COUNTA($B$19:$B$24),COUNTA($AK$17:$BB$17)),MATCH($F451,$F$19:$F$24,0),MATCH(AN$17,$AK$17:$BB$17,0))*INDEX($10:$13,MATCH($O451,$R$10:$R$13,0),COLUMN())</f>
        <v>5.920317143999999E-4</v>
      </c>
      <c r="AO451" s="1050" cm="1">
        <f t="array" aca="1" ref="AO451" ca="1">INDEX(OFFSET($AK$19,MATCH($B451,$B$19:$B$150,0)-1,0,COUNTA($B$19:$B$24),COUNTA($AK$17:$BB$17)),MATCH($F451,$F$19:$F$24,0),MATCH(AO$17,$AK$17:$BB$17,0))*INDEX($10:$13,MATCH($O451,$R$10:$R$13,0),COLUMN())</f>
        <v>1.8865014559999997E-2</v>
      </c>
      <c r="AP451" s="1050" cm="1">
        <f t="array" aca="1" ref="AP451" ca="1">INDEX(OFFSET($AK$19,MATCH($B451,$B$19:$B$150,0)-1,0,COUNTA($B$19:$B$24),COUNTA($AK$17:$BB$17)),MATCH($F451,$F$19:$F$24,0),MATCH(AP$17,$AK$17:$BB$17,0))*INDEX($10:$13,MATCH($O451,$R$10:$R$13,0),COLUMN())</f>
        <v>2.1523402416000004E-3</v>
      </c>
      <c r="AQ451" s="1050" cm="1">
        <f t="array" aca="1" ref="AQ451" ca="1">INDEX(OFFSET($AK$19,MATCH($B451,$B$19:$B$150,0)-1,0,COUNTA($B$19:$B$24),COUNTA($AK$17:$BB$17)),MATCH($F451,$F$19:$F$24,0),MATCH(AQ$17,$AK$17:$BB$17,0))*INDEX($10:$13,MATCH($O451,$R$10:$R$13,0),COLUMN())</f>
        <v>2.092475925E-5</v>
      </c>
      <c r="AR451" s="1050" cm="1">
        <f t="array" aca="1" ref="AR451" ca="1">INDEX(OFFSET($AK$19,MATCH($B451,$B$19:$B$150,0)-1,0,COUNTA($B$19:$B$24),COUNTA($AK$17:$BB$17)),MATCH($F451,$F$19:$F$24,0),MATCH(AR$17,$AK$17:$BB$17,0))*INDEX($10:$13,MATCH($O451,$R$10:$R$13,0),COLUMN())</f>
        <v>1.8133654269999997E-2</v>
      </c>
      <c r="AS451" s="1050" cm="1">
        <f t="array" aca="1" ref="AS451" ca="1">INDEX(OFFSET($AK$19,MATCH($B451,$B$19:$B$150,0)-1,0,COUNTA($B$19:$B$24),COUNTA($AK$17:$BB$17)),MATCH($F451,$F$19:$F$24,0),MATCH(AS$17,$AK$17:$BB$17,0))*INDEX($10:$13,MATCH($O451,$R$10:$R$13,0),COLUMN())</f>
        <v>2.2059313379999999E-4</v>
      </c>
      <c r="AT451" s="1050" cm="1">
        <f t="array" aca="1" ref="AT451" ca="1">INDEX(OFFSET($AK$19,MATCH($B451,$B$19:$B$150,0)-1,0,COUNTA($B$19:$B$24),COUNTA($AK$17:$BB$17)),MATCH($F451,$F$19:$F$24,0),MATCH(AT$17,$AK$17:$BB$17,0))*INDEX($10:$13,MATCH($O451,$R$10:$R$13,0),COLUMN())</f>
        <v>6.1434649299999998E-7</v>
      </c>
      <c r="AU451" s="1050" cm="1">
        <f t="array" aca="1" ref="AU451" ca="1">INDEX(OFFSET($AK$19,MATCH($B451,$B$19:$B$150,0)-1,0,COUNTA($B$19:$B$24),COUNTA($AK$17:$BB$17)),MATCH($F451,$F$19:$F$24,0),MATCH(AU$17,$AK$17:$BB$17,0))*INDEX($10:$13,MATCH($O451,$R$10:$R$13,0),COLUMN())</f>
        <v>1.2122310432E-7</v>
      </c>
      <c r="AV451" s="1050" cm="1">
        <f t="array" aca="1" ref="AV451" ca="1">INDEX(OFFSET($AK$19,MATCH($B451,$B$19:$B$150,0)-1,0,COUNTA($B$19:$B$24),COUNTA($AK$17:$BB$17)),MATCH($F451,$F$19:$F$24,0),MATCH(AV$17,$AK$17:$BB$17,0))*INDEX($10:$13,MATCH($O451,$R$10:$R$13,0),COLUMN())</f>
        <v>2.1438508824999998E-3</v>
      </c>
      <c r="AW451" s="1050" cm="1">
        <f t="array" aca="1" ref="AW451" ca="1">INDEX(OFFSET($AK$19,MATCH($B451,$B$19:$B$150,0)-1,0,COUNTA($B$19:$B$24),COUNTA($AK$17:$BB$17)),MATCH($F451,$F$19:$F$24,0),MATCH(AW$17,$AK$17:$BB$17,0))*INDEX($10:$13,MATCH($O451,$R$10:$R$13,0),COLUMN())</f>
        <v>4.2947107649999997E-2</v>
      </c>
      <c r="AX451" s="1050" cm="1">
        <f t="array" aca="1" ref="AX451" ca="1">INDEX(OFFSET($AK$19,MATCH($B451,$B$19:$B$150,0)-1,0,COUNTA($B$19:$B$24),COUNTA($AK$17:$BB$17)),MATCH($F451,$F$19:$F$24,0),MATCH(AX$17,$AK$17:$BB$17,0))*INDEX($10:$13,MATCH($O451,$R$10:$R$13,0),COLUMN())</f>
        <v>1.2937709834999999E-8</v>
      </c>
      <c r="AY451" s="1050" cm="1">
        <f t="array" aca="1" ref="AY451" ca="1">INDEX(OFFSET($AK$19,MATCH($B451,$B$19:$B$150,0)-1,0,COUNTA($B$19:$B$24),COUNTA($AK$17:$BB$17)),MATCH($F451,$F$19:$F$24,0),MATCH(AY$17,$AK$17:$BB$17,0))*INDEX($10:$13,MATCH($O451,$R$10:$R$13,0),COLUMN())</f>
        <v>-3.3343820718749997E-10</v>
      </c>
      <c r="AZ451" s="1050" cm="1">
        <f t="array" aca="1" ref="AZ451" ca="1">INDEX(OFFSET($AK$19,MATCH($B451,$B$19:$B$150,0)-1,0,COUNTA($B$19:$B$24),COUNTA($AK$17:$BB$17)),MATCH($F451,$F$19:$F$24,0),MATCH(AZ$17,$AK$17:$BB$17,0))*INDEX($10:$13,MATCH($O451,$R$10:$R$13,0),COLUMN())</f>
        <v>0</v>
      </c>
      <c r="BA451" s="1050" cm="1">
        <f t="array" aca="1" ref="BA451" ca="1">INDEX(OFFSET($AK$19,MATCH($B451,$B$19:$B$150,0)-1,0,COUNTA($B$19:$B$24),COUNTA($AK$17:$BB$17)),MATCH($F451,$F$19:$F$24,0),MATCH(BA$17,$AK$17:$BB$17,0))*INDEX($10:$13,MATCH($O451,$R$10:$R$13,0),COLUMN())</f>
        <v>0</v>
      </c>
      <c r="BB451" s="1051" cm="1">
        <f t="array" aca="1" ref="BB451" ca="1">INDEX(OFFSET($AK$19,MATCH($B451,$B$19:$B$150,0)-1,0,COUNTA($B$19:$B$24),COUNTA($AK$17:$BB$17)),MATCH($F451,$F$19:$F$24,0),MATCH(BB$17,$AK$17:$BB$17,0))*INDEX($10:$13,MATCH($O451,$R$10:$R$13,0),COLUMN())</f>
        <v>0</v>
      </c>
      <c r="BC451" s="1053">
        <f t="shared" ca="1" si="176"/>
        <v>4.2947120254271623E-2</v>
      </c>
      <c r="BE451" s="1"/>
      <c r="BF451" s="1"/>
      <c r="BG451" s="1"/>
      <c r="BH451" s="1"/>
      <c r="BI451" s="1"/>
      <c r="BJ451" s="1"/>
      <c r="BK451" s="1"/>
      <c r="BL451" s="1"/>
      <c r="BM451" s="1"/>
      <c r="BN451" s="1"/>
      <c r="BO451" s="1"/>
      <c r="BP451" s="1"/>
      <c r="BQ451" s="1"/>
      <c r="BR451" s="1"/>
      <c r="BS451" s="1"/>
      <c r="BT451" s="1"/>
      <c r="BU451" s="1"/>
      <c r="BV451" s="1"/>
      <c r="BW451" s="1"/>
      <c r="BX451" s="1"/>
      <c r="BY451" s="1"/>
      <c r="BZ451" s="1"/>
    </row>
    <row r="452" spans="2:78" ht="12" customHeight="1" outlineLevel="1" x14ac:dyDescent="0.25">
      <c r="B452" s="104" t="s">
        <v>101</v>
      </c>
      <c r="C452" s="104" t="s">
        <v>121</v>
      </c>
      <c r="D452" s="2" t="s">
        <v>132</v>
      </c>
      <c r="E452" s="2" t="s">
        <v>136</v>
      </c>
      <c r="F452" s="105" t="s">
        <v>96</v>
      </c>
      <c r="G452" s="27" t="s">
        <v>1582</v>
      </c>
      <c r="H452" s="106" t="s">
        <v>128</v>
      </c>
      <c r="I452" s="107" t="s">
        <v>1577</v>
      </c>
      <c r="J452" s="147">
        <v>3.7906351599999999</v>
      </c>
      <c r="K452" s="148">
        <v>0.41675000000000001</v>
      </c>
      <c r="L452" s="149">
        <f t="shared" ca="1" si="177"/>
        <v>0.27365321401745585</v>
      </c>
      <c r="M452" s="148">
        <f t="shared" ca="1" si="178"/>
        <v>0.5307949769417748</v>
      </c>
      <c r="N452" s="148">
        <f t="shared" ca="1" si="175"/>
        <v>0.11404497694177473</v>
      </c>
      <c r="O452" s="1062" t="s">
        <v>1584</v>
      </c>
      <c r="P452" s="104"/>
      <c r="R452" s="119"/>
      <c r="S452" s="1072"/>
      <c r="T452" s="1072"/>
      <c r="U452" s="1072"/>
      <c r="V452" s="1072"/>
      <c r="W452" s="1072"/>
      <c r="X452" s="1072"/>
      <c r="Y452" s="1072"/>
      <c r="Z452" s="1072"/>
      <c r="AA452" s="1072"/>
      <c r="AB452" s="1072"/>
      <c r="AC452" s="1072"/>
      <c r="AD452" s="1072"/>
      <c r="AE452" s="1072"/>
      <c r="AF452" s="1072"/>
      <c r="AG452" s="1072"/>
      <c r="AH452" s="1072"/>
      <c r="AI452" s="1072"/>
      <c r="AJ452" s="1073"/>
      <c r="AK452" s="1052" cm="1">
        <f t="array" aca="1" ref="AK452" ca="1">INDEX(OFFSET($AK$19,MATCH($B452,$B$19:$B$150,0)-1,0,COUNTA($B$19:$B$24),COUNTA($AK$17:$BB$17)),MATCH($F452,$F$19:$F$24,0),MATCH(AK$17,$AK$17:$BB$17,0))*INDEX($10:$13,MATCH($O452,$R$10:$R$13,0),COLUMN())</f>
        <v>1.5432215719166089E-2</v>
      </c>
      <c r="AL452" s="1050" cm="1">
        <f t="array" aca="1" ref="AL452" ca="1">INDEX(OFFSET($AK$19,MATCH($B452,$B$19:$B$150,0)-1,0,COUNTA($B$19:$B$24),COUNTA($AK$17:$BB$17)),MATCH($F452,$F$19:$F$24,0),MATCH(AL$17,$AK$17:$BB$17,0))*INDEX($10:$13,MATCH($O452,$R$10:$R$13,0),COLUMN())</f>
        <v>2.6132651090000001E-8</v>
      </c>
      <c r="AM452" s="1050" cm="1">
        <f t="array" aca="1" ref="AM452" ca="1">INDEX(OFFSET($AK$19,MATCH($B452,$B$19:$B$150,0)-1,0,COUNTA($B$19:$B$24),COUNTA($AK$17:$BB$17)),MATCH($F452,$F$19:$F$24,0),MATCH(AM$17,$AK$17:$BB$17,0))*INDEX($10:$13,MATCH($O452,$R$10:$R$13,0),COLUMN())</f>
        <v>4.2946128720000003E-5</v>
      </c>
      <c r="AN452" s="1050" cm="1">
        <f t="array" aca="1" ref="AN452" ca="1">INDEX(OFFSET($AK$19,MATCH($B452,$B$19:$B$150,0)-1,0,COUNTA($B$19:$B$24),COUNTA($AK$17:$BB$17)),MATCH($F452,$F$19:$F$24,0),MATCH(AN$17,$AK$17:$BB$17,0))*INDEX($10:$13,MATCH($O452,$R$10:$R$13,0),COLUMN())</f>
        <v>6.1693975559999994E-4</v>
      </c>
      <c r="AO452" s="1050" cm="1">
        <f t="array" aca="1" ref="AO452" ca="1">INDEX(OFFSET($AK$19,MATCH($B452,$B$19:$B$150,0)-1,0,COUNTA($B$19:$B$24),COUNTA($AK$17:$BB$17)),MATCH($F452,$F$19:$F$24,0),MATCH(AO$17,$AK$17:$BB$17,0))*INDEX($10:$13,MATCH($O452,$R$10:$R$13,0),COLUMN())</f>
        <v>2.66759528E-2</v>
      </c>
      <c r="AP452" s="1050" cm="1">
        <f t="array" aca="1" ref="AP452" ca="1">INDEX(OFFSET($AK$19,MATCH($B452,$B$19:$B$150,0)-1,0,COUNTA($B$19:$B$24),COUNTA($AK$17:$BB$17)),MATCH($F452,$F$19:$F$24,0),MATCH(AP$17,$AK$17:$BB$17,0))*INDEX($10:$13,MATCH($O452,$R$10:$R$13,0),COLUMN())</f>
        <v>3.2562892640000001E-3</v>
      </c>
      <c r="AQ452" s="1050" cm="1">
        <f t="array" aca="1" ref="AQ452" ca="1">INDEX(OFFSET($AK$19,MATCH($B452,$B$19:$B$150,0)-1,0,COUNTA($B$19:$B$24),COUNTA($AK$17:$BB$17)),MATCH($F452,$F$19:$F$24,0),MATCH(AQ$17,$AK$17:$BB$17,0))*INDEX($10:$13,MATCH($O452,$R$10:$R$13,0),COLUMN())</f>
        <v>3.2060427500000001E-5</v>
      </c>
      <c r="AR452" s="1050" cm="1">
        <f t="array" aca="1" ref="AR452" ca="1">INDEX(OFFSET($AK$19,MATCH($B452,$B$19:$B$150,0)-1,0,COUNTA($B$19:$B$24),COUNTA($AK$17:$BB$17)),MATCH($F452,$F$19:$F$24,0),MATCH(AR$17,$AK$17:$BB$17,0))*INDEX($10:$13,MATCH($O452,$R$10:$R$13,0),COLUMN())</f>
        <v>2.0913625113E-2</v>
      </c>
      <c r="AS452" s="1050" cm="1">
        <f t="array" aca="1" ref="AS452" ca="1">INDEX(OFFSET($AK$19,MATCH($B452,$B$19:$B$150,0)-1,0,COUNTA($B$19:$B$24),COUNTA($AK$17:$BB$17)),MATCH($F452,$F$19:$F$24,0),MATCH(AS$17,$AK$17:$BB$17,0))*INDEX($10:$13,MATCH($O452,$R$10:$R$13,0),COLUMN())</f>
        <v>3.8738725739999997E-4</v>
      </c>
      <c r="AT452" s="1050" cm="1">
        <f t="array" aca="1" ref="AT452" ca="1">INDEX(OFFSET($AK$19,MATCH($B452,$B$19:$B$150,0)-1,0,COUNTA($B$19:$B$24),COUNTA($AK$17:$BB$17)),MATCH($F452,$F$19:$F$24,0),MATCH(AT$17,$AK$17:$BB$17,0))*INDEX($10:$13,MATCH($O452,$R$10:$R$13,0),COLUMN())</f>
        <v>6.8944345650000006E-7</v>
      </c>
      <c r="AU452" s="1050" cm="1">
        <f t="array" aca="1" ref="AU452" ca="1">INDEX(OFFSET($AK$19,MATCH($B452,$B$19:$B$150,0)-1,0,COUNTA($B$19:$B$24),COUNTA($AK$17:$BB$17)),MATCH($F452,$F$19:$F$24,0),MATCH(AU$17,$AK$17:$BB$17,0))*INDEX($10:$13,MATCH($O452,$R$10:$R$13,0),COLUMN())</f>
        <v>1.3194350944000003E-7</v>
      </c>
      <c r="AV452" s="1050" cm="1">
        <f t="array" aca="1" ref="AV452" ca="1">INDEX(OFFSET($AK$19,MATCH($B452,$B$19:$B$150,0)-1,0,COUNTA($B$19:$B$24),COUNTA($AK$17:$BB$17)),MATCH($F452,$F$19:$F$24,0),MATCH(AV$17,$AK$17:$BB$17,0))*INDEX($10:$13,MATCH($O452,$R$10:$R$13,0),COLUMN())</f>
        <v>3.7395927024999999E-3</v>
      </c>
      <c r="AW452" s="1050" cm="1">
        <f t="array" aca="1" ref="AW452" ca="1">INDEX(OFFSET($AK$19,MATCH($B452,$B$19:$B$150,0)-1,0,COUNTA($B$19:$B$24),COUNTA($AK$17:$BB$17)),MATCH($F452,$F$19:$F$24,0),MATCH(AW$17,$AK$17:$BB$17,0))*INDEX($10:$13,MATCH($O452,$R$10:$R$13,0),COLUMN())</f>
        <v>4.2947107649999997E-2</v>
      </c>
      <c r="AX452" s="1050" cm="1">
        <f t="array" aca="1" ref="AX452" ca="1">INDEX(OFFSET($AK$19,MATCH($B452,$B$19:$B$150,0)-1,0,COUNTA($B$19:$B$24),COUNTA($AK$17:$BB$17)),MATCH($F452,$F$19:$F$24,0),MATCH(AX$17,$AK$17:$BB$17,0))*INDEX($10:$13,MATCH($O452,$R$10:$R$13,0),COLUMN())</f>
        <v>1.2937709834999999E-8</v>
      </c>
      <c r="AY452" s="1050" cm="1">
        <f t="array" aca="1" ref="AY452" ca="1">INDEX(OFFSET($AK$19,MATCH($B452,$B$19:$B$150,0)-1,0,COUNTA($B$19:$B$24),COUNTA($AK$17:$BB$17)),MATCH($F452,$F$19:$F$24,0),MATCH(AY$17,$AK$17:$BB$17,0))*INDEX($10:$13,MATCH($O452,$R$10:$R$13,0),COLUMN())</f>
        <v>-3.3343820718749997E-10</v>
      </c>
      <c r="AZ452" s="1050" cm="1">
        <f t="array" aca="1" ref="AZ452" ca="1">INDEX(OFFSET($AK$19,MATCH($B452,$B$19:$B$150,0)-1,0,COUNTA($B$19:$B$24),COUNTA($AK$17:$BB$17)),MATCH($F452,$F$19:$F$24,0),MATCH(AZ$17,$AK$17:$BB$17,0))*INDEX($10:$13,MATCH($O452,$R$10:$R$13,0),COLUMN())</f>
        <v>0</v>
      </c>
      <c r="BA452" s="1050" cm="1">
        <f t="array" aca="1" ref="BA452" ca="1">INDEX(OFFSET($AK$19,MATCH($B452,$B$19:$B$150,0)-1,0,COUNTA($B$19:$B$24),COUNTA($AK$17:$BB$17)),MATCH($F452,$F$19:$F$24,0),MATCH(BA$17,$AK$17:$BB$17,0))*INDEX($10:$13,MATCH($O452,$R$10:$R$13,0),COLUMN())</f>
        <v>0</v>
      </c>
      <c r="BB452" s="1051" cm="1">
        <f t="array" aca="1" ref="BB452" ca="1">INDEX(OFFSET($AK$19,MATCH($B452,$B$19:$B$150,0)-1,0,COUNTA($B$19:$B$24),COUNTA($AK$17:$BB$17)),MATCH($F452,$F$19:$F$24,0),MATCH(BB$17,$AK$17:$BB$17,0))*INDEX($10:$13,MATCH($O452,$R$10:$R$13,0),COLUMN())</f>
        <v>0</v>
      </c>
      <c r="BC452" s="1053">
        <f t="shared" ca="1" si="176"/>
        <v>4.2947120254271623E-2</v>
      </c>
      <c r="BE452" s="1"/>
      <c r="BF452" s="1"/>
      <c r="BG452" s="1"/>
      <c r="BH452" s="1"/>
      <c r="BI452" s="1"/>
      <c r="BJ452" s="1"/>
      <c r="BK452" s="1"/>
      <c r="BL452" s="1"/>
      <c r="BM452" s="1"/>
      <c r="BN452" s="1"/>
      <c r="BO452" s="1"/>
      <c r="BP452" s="1"/>
      <c r="BQ452" s="1"/>
      <c r="BR452" s="1"/>
      <c r="BS452" s="1"/>
      <c r="BT452" s="1"/>
      <c r="BU452" s="1"/>
      <c r="BV452" s="1"/>
      <c r="BW452" s="1"/>
      <c r="BX452" s="1"/>
      <c r="BY452" s="1"/>
      <c r="BZ452" s="1"/>
    </row>
    <row r="453" spans="2:78" ht="12" customHeight="1" outlineLevel="1" x14ac:dyDescent="0.25">
      <c r="B453" s="88" t="s">
        <v>102</v>
      </c>
      <c r="C453" s="88" t="s">
        <v>121</v>
      </c>
      <c r="D453" s="89" t="s">
        <v>137</v>
      </c>
      <c r="E453" s="89" t="s">
        <v>138</v>
      </c>
      <c r="F453" s="90" t="s">
        <v>92</v>
      </c>
      <c r="G453" s="18" t="s">
        <v>126</v>
      </c>
      <c r="H453" s="91" t="s">
        <v>127</v>
      </c>
      <c r="I453" s="92" t="s">
        <v>127</v>
      </c>
      <c r="J453" s="142">
        <v>3.8814574399999997</v>
      </c>
      <c r="K453" s="143">
        <v>1.4249898934019873</v>
      </c>
      <c r="L453" s="144">
        <f t="shared" ca="1" si="177"/>
        <v>0.14241054847193543</v>
      </c>
      <c r="M453" s="143">
        <f t="shared" ca="1" si="178"/>
        <v>1.6279234856883291</v>
      </c>
      <c r="N453" s="143">
        <f t="shared" ca="1" si="175"/>
        <v>0.20293359228634184</v>
      </c>
      <c r="O453" s="1063" t="s">
        <v>1584</v>
      </c>
      <c r="P453" s="88"/>
      <c r="Q453" s="89"/>
      <c r="R453" s="150"/>
      <c r="S453" s="1070"/>
      <c r="T453" s="1070"/>
      <c r="U453" s="1070"/>
      <c r="V453" s="1070"/>
      <c r="W453" s="1070"/>
      <c r="X453" s="1070"/>
      <c r="Y453" s="1070"/>
      <c r="Z453" s="1070"/>
      <c r="AA453" s="1070"/>
      <c r="AB453" s="1070"/>
      <c r="AC453" s="1070"/>
      <c r="AD453" s="1070"/>
      <c r="AE453" s="1070"/>
      <c r="AF453" s="1070"/>
      <c r="AG453" s="1070"/>
      <c r="AH453" s="1070"/>
      <c r="AI453" s="1070"/>
      <c r="AJ453" s="1071"/>
      <c r="AK453" s="1048" cm="1">
        <f t="array" aca="1" ref="AK453" ca="1">INDEX(OFFSET($AK$19,MATCH($B453,$B$19:$B$150,0)-1,0,COUNTA($B$19:$B$24),COUNTA($AK$17:$BB$17)),MATCH($F453,$F$19:$F$24,0),MATCH(AK$17,$AK$17:$BB$17,0))*INDEX($10:$13,MATCH($O453,$R$10:$R$13,0),COLUMN())</f>
        <v>2.4366273251214321E-2</v>
      </c>
      <c r="AL453" s="1046" cm="1">
        <f t="array" aca="1" ref="AL453" ca="1">INDEX(OFFSET($AK$19,MATCH($B453,$B$19:$B$150,0)-1,0,COUNTA($B$19:$B$24),COUNTA($AK$17:$BB$17)),MATCH($F453,$F$19:$F$24,0),MATCH(AL$17,$AK$17:$BB$17,0))*INDEX($10:$13,MATCH($O453,$R$10:$R$13,0),COLUMN())</f>
        <v>9.447624693000002E-8</v>
      </c>
      <c r="AM453" s="1046" cm="1">
        <f t="array" aca="1" ref="AM453" ca="1">INDEX(OFFSET($AK$19,MATCH($B453,$B$19:$B$150,0)-1,0,COUNTA($B$19:$B$24),COUNTA($AK$17:$BB$17)),MATCH($F453,$F$19:$F$24,0),MATCH(AM$17,$AK$17:$BB$17,0))*INDEX($10:$13,MATCH($O453,$R$10:$R$13,0),COLUMN())</f>
        <v>1.5645980493E-4</v>
      </c>
      <c r="AN453" s="1046" cm="1">
        <f t="array" aca="1" ref="AN453" ca="1">INDEX(OFFSET($AK$19,MATCH($B453,$B$19:$B$150,0)-1,0,COUNTA($B$19:$B$24),COUNTA($AK$17:$BB$17)),MATCH($F453,$F$19:$F$24,0),MATCH(AN$17,$AK$17:$BB$17,0))*INDEX($10:$13,MATCH($O453,$R$10:$R$13,0),COLUMN())</f>
        <v>7.8546518399999997E-4</v>
      </c>
      <c r="AO453" s="1046" cm="1">
        <f t="array" aca="1" ref="AO453" ca="1">INDEX(OFFSET($AK$19,MATCH($B453,$B$19:$B$150,0)-1,0,COUNTA($B$19:$B$24),COUNTA($AK$17:$BB$17)),MATCH($F453,$F$19:$F$24,0),MATCH(AO$17,$AK$17:$BB$17,0))*INDEX($10:$13,MATCH($O453,$R$10:$R$13,0),COLUMN())</f>
        <v>3.2931225600000003E-2</v>
      </c>
      <c r="AP453" s="1046" cm="1">
        <f t="array" aca="1" ref="AP453" ca="1">INDEX(OFFSET($AK$19,MATCH($B453,$B$19:$B$150,0)-1,0,COUNTA($B$19:$B$24),COUNTA($AK$17:$BB$17)),MATCH($F453,$F$19:$F$24,0),MATCH(AP$17,$AK$17:$BB$17,0))*INDEX($10:$13,MATCH($O453,$R$10:$R$13,0),COLUMN())</f>
        <v>3.9313157418000002E-3</v>
      </c>
      <c r="AQ453" s="1046" cm="1">
        <f t="array" aca="1" ref="AQ453" ca="1">INDEX(OFFSET($AK$19,MATCH($B453,$B$19:$B$150,0)-1,0,COUNTA($B$19:$B$24),COUNTA($AK$17:$BB$17)),MATCH($F453,$F$19:$F$24,0),MATCH(AQ$17,$AK$17:$BB$17,0))*INDEX($10:$13,MATCH($O453,$R$10:$R$13,0),COLUMN())</f>
        <v>6.4935705000000003E-5</v>
      </c>
      <c r="AR453" s="1046" cm="1">
        <f t="array" aca="1" ref="AR453" ca="1">INDEX(OFFSET($AK$19,MATCH($B453,$B$19:$B$150,0)-1,0,COUNTA($B$19:$B$24),COUNTA($AK$17:$BB$17)),MATCH($F453,$F$19:$F$24,0),MATCH(AR$17,$AK$17:$BB$17,0))*INDEX($10:$13,MATCH($O453,$R$10:$R$13,0),COLUMN())</f>
        <v>2.4040986377000001E-2</v>
      </c>
      <c r="AS453" s="1046" cm="1">
        <f t="array" aca="1" ref="AS453" ca="1">INDEX(OFFSET($AK$19,MATCH($B453,$B$19:$B$150,0)-1,0,COUNTA($B$19:$B$24),COUNTA($AK$17:$BB$17)),MATCH($F453,$F$19:$F$24,0),MATCH(AS$17,$AK$17:$BB$17,0))*INDEX($10:$13,MATCH($O453,$R$10:$R$13,0),COLUMN())</f>
        <v>4.2992257229999997E-2</v>
      </c>
      <c r="AT453" s="1046" cm="1">
        <f t="array" aca="1" ref="AT453" ca="1">INDEX(OFFSET($AK$19,MATCH($B453,$B$19:$B$150,0)-1,0,COUNTA($B$19:$B$24),COUNTA($AK$17:$BB$17)),MATCH($F453,$F$19:$F$24,0),MATCH(AT$17,$AK$17:$BB$17,0))*INDEX($10:$13,MATCH($O453,$R$10:$R$13,0),COLUMN())</f>
        <v>4.7725764915E-5</v>
      </c>
      <c r="AU453" s="1046" cm="1">
        <f t="array" aca="1" ref="AU453" ca="1">INDEX(OFFSET($AK$19,MATCH($B453,$B$19:$B$150,0)-1,0,COUNTA($B$19:$B$24),COUNTA($AK$17:$BB$17)),MATCH($F453,$F$19:$F$24,0),MATCH(AU$17,$AK$17:$BB$17,0))*INDEX($10:$13,MATCH($O453,$R$10:$R$13,0),COLUMN())</f>
        <v>2.7872621791999998E-6</v>
      </c>
      <c r="AV453" s="1046" cm="1">
        <f t="array" aca="1" ref="AV453" ca="1">INDEX(OFFSET($AK$19,MATCH($B453,$B$19:$B$150,0)-1,0,COUNTA($B$19:$B$24),COUNTA($AK$17:$BB$17)),MATCH($F453,$F$19:$F$24,0),MATCH(AV$17,$AK$17:$BB$17,0))*INDEX($10:$13,MATCH($O453,$R$10:$R$13,0),COLUMN())</f>
        <v>7.1086402249999998E-3</v>
      </c>
      <c r="AW453" s="1046" cm="1">
        <f t="array" aca="1" ref="AW453" ca="1">INDEX(OFFSET($AK$19,MATCH($B453,$B$19:$B$150,0)-1,0,COUNTA($B$19:$B$24),COUNTA($AK$17:$BB$17)),MATCH($F453,$F$19:$F$24,0),MATCH(AW$17,$AK$17:$BB$17,0))*INDEX($10:$13,MATCH($O453,$R$10:$R$13,0),COLUMN())</f>
        <v>6.6505359149999999E-2</v>
      </c>
      <c r="AX453" s="1046" cm="1">
        <f t="array" aca="1" ref="AX453" ca="1">INDEX(OFFSET($AK$19,MATCH($B453,$B$19:$B$150,0)-1,0,COUNTA($B$19:$B$24),COUNTA($AK$17:$BB$17)),MATCH($F453,$F$19:$F$24,0),MATCH(AX$17,$AK$17:$BB$17,0))*INDEX($10:$13,MATCH($O453,$R$10:$R$13,0),COLUMN())</f>
        <v>6.8317463099999996E-8</v>
      </c>
      <c r="AY453" s="1046" cm="1">
        <f t="array" aca="1" ref="AY453" ca="1">INDEX(OFFSET($AK$19,MATCH($B453,$B$19:$B$150,0)-1,0,COUNTA($B$19:$B$24),COUNTA($AK$17:$BB$17)),MATCH($F453,$F$19:$F$24,0),MATCH(AY$17,$AK$17:$BB$17,0))*INDEX($10:$13,MATCH($O453,$R$10:$R$13,0),COLUMN())</f>
        <v>-1.8034066968749998E-9</v>
      </c>
      <c r="AZ453" s="1046" cm="1">
        <f t="array" aca="1" ref="AZ453" ca="1">INDEX(OFFSET($AK$19,MATCH($B453,$B$19:$B$150,0)-1,0,COUNTA($B$19:$B$24),COUNTA($AK$17:$BB$17)),MATCH($F453,$F$19:$F$24,0),MATCH(AZ$17,$AK$17:$BB$17,0))*INDEX($10:$13,MATCH($O453,$R$10:$R$13,0),COLUMN())</f>
        <v>0</v>
      </c>
      <c r="BA453" s="1046" cm="1">
        <f t="array" aca="1" ref="BA453" ca="1">INDEX(OFFSET($AK$19,MATCH($B453,$B$19:$B$150,0)-1,0,COUNTA($B$19:$B$24),COUNTA($AK$17:$BB$17)),MATCH($F453,$F$19:$F$24,0),MATCH(BA$17,$AK$17:$BB$17,0))*INDEX($10:$13,MATCH($O453,$R$10:$R$13,0),COLUMN())</f>
        <v>0</v>
      </c>
      <c r="BB453" s="1047" cm="1">
        <f t="array" aca="1" ref="BB453" ca="1">INDEX(OFFSET($AK$19,MATCH($B453,$B$19:$B$150,0)-1,0,COUNTA($B$19:$B$24),COUNTA($AK$17:$BB$17)),MATCH($F453,$F$19:$F$24,0),MATCH(BB$17,$AK$17:$BB$17,0))*INDEX($10:$13,MATCH($O453,$R$10:$R$13,0),COLUMN())</f>
        <v>0</v>
      </c>
      <c r="BC453" s="1049">
        <f t="shared" ca="1" si="176"/>
        <v>6.65054256640564E-2</v>
      </c>
      <c r="BE453" s="1"/>
      <c r="BF453" s="1"/>
      <c r="BG453" s="1"/>
      <c r="BH453" s="1"/>
      <c r="BI453" s="1"/>
      <c r="BJ453" s="1"/>
      <c r="BK453" s="1"/>
      <c r="BL453" s="1"/>
      <c r="BM453" s="1"/>
      <c r="BN453" s="1"/>
      <c r="BO453" s="1"/>
      <c r="BP453" s="1"/>
      <c r="BQ453" s="1"/>
      <c r="BR453" s="1"/>
      <c r="BS453" s="1"/>
      <c r="BT453" s="1"/>
      <c r="BU453" s="1"/>
      <c r="BV453" s="1"/>
      <c r="BW453" s="1"/>
      <c r="BX453" s="1"/>
      <c r="BY453" s="1"/>
      <c r="BZ453" s="1"/>
    </row>
    <row r="454" spans="2:78" ht="12" customHeight="1" outlineLevel="1" x14ac:dyDescent="0.25">
      <c r="B454" s="104" t="s">
        <v>102</v>
      </c>
      <c r="C454" s="104" t="s">
        <v>121</v>
      </c>
      <c r="D454" s="2" t="s">
        <v>137</v>
      </c>
      <c r="E454" s="2" t="s">
        <v>138</v>
      </c>
      <c r="F454" s="105" t="s">
        <v>122</v>
      </c>
      <c r="G454" s="27" t="s">
        <v>1579</v>
      </c>
      <c r="H454" s="106" t="s">
        <v>128</v>
      </c>
      <c r="I454" s="107" t="s">
        <v>129</v>
      </c>
      <c r="J454" s="147">
        <v>3.8814574399999997</v>
      </c>
      <c r="K454" s="148">
        <v>3.49</v>
      </c>
      <c r="L454" s="149">
        <f t="shared" ca="1" si="177"/>
        <v>3.5504710108757699E-2</v>
      </c>
      <c r="M454" s="148">
        <f t="shared" ca="1" si="178"/>
        <v>3.6139114382795645</v>
      </c>
      <c r="N454" s="148">
        <f t="shared" ca="1" si="175"/>
        <v>0.12391143827956437</v>
      </c>
      <c r="O454" s="1062" t="s">
        <v>1584</v>
      </c>
      <c r="P454" s="104"/>
      <c r="R454" s="119"/>
      <c r="S454" s="1072"/>
      <c r="T454" s="1072"/>
      <c r="U454" s="1072"/>
      <c r="V454" s="1072"/>
      <c r="W454" s="1072"/>
      <c r="X454" s="1072"/>
      <c r="Y454" s="1072"/>
      <c r="Z454" s="1072"/>
      <c r="AA454" s="1072"/>
      <c r="AB454" s="1072"/>
      <c r="AC454" s="1072"/>
      <c r="AD454" s="1072"/>
      <c r="AE454" s="1072"/>
      <c r="AF454" s="1072"/>
      <c r="AG454" s="1072"/>
      <c r="AH454" s="1072"/>
      <c r="AI454" s="1072"/>
      <c r="AJ454" s="1073"/>
      <c r="AK454" s="1052" cm="1">
        <f t="array" aca="1" ref="AK454" ca="1">INDEX(OFFSET($AK$19,MATCH($B454,$B$19:$B$150,0)-1,0,COUNTA($B$19:$B$24),COUNTA($AK$17:$BB$17)),MATCH($F454,$F$19:$F$24,0),MATCH(AK$17,$AK$17:$BB$17,0))*INDEX($10:$13,MATCH($O454,$R$10:$R$13,0),COLUMN())</f>
        <v>1.7267520625134834E-2</v>
      </c>
      <c r="AL454" s="1050" cm="1">
        <f t="array" aca="1" ref="AL454" ca="1">INDEX(OFFSET($AK$19,MATCH($B454,$B$19:$B$150,0)-1,0,COUNTA($B$19:$B$24),COUNTA($AK$17:$BB$17)),MATCH($F454,$F$19:$F$24,0),MATCH(AL$17,$AK$17:$BB$17,0))*INDEX($10:$13,MATCH($O454,$R$10:$R$13,0),COLUMN())</f>
        <v>3.9825998940000003E-8</v>
      </c>
      <c r="AM454" s="1050" cm="1">
        <f t="array" aca="1" ref="AM454" ca="1">INDEX(OFFSET($AK$19,MATCH($B454,$B$19:$B$150,0)-1,0,COUNTA($B$19:$B$24),COUNTA($AK$17:$BB$17)),MATCH($F454,$F$19:$F$24,0),MATCH(AM$17,$AK$17:$BB$17,0))*INDEX($10:$13,MATCH($O454,$R$10:$R$13,0),COLUMN())</f>
        <v>6.5414327220000005E-5</v>
      </c>
      <c r="AN454" s="1050" cm="1">
        <f t="array" aca="1" ref="AN454" ca="1">INDEX(OFFSET($AK$19,MATCH($B454,$B$19:$B$150,0)-1,0,COUNTA($B$19:$B$24),COUNTA($AK$17:$BB$17)),MATCH($F454,$F$19:$F$24,0),MATCH(AN$17,$AK$17:$BB$17,0))*INDEX($10:$13,MATCH($O454,$R$10:$R$13,0),COLUMN())</f>
        <v>8.1165727439999993E-4</v>
      </c>
      <c r="AO454" s="1050" cm="1">
        <f t="array" aca="1" ref="AO454" ca="1">INDEX(OFFSET($AK$19,MATCH($B454,$B$19:$B$150,0)-1,0,COUNTA($B$19:$B$24),COUNTA($AK$17:$BB$17)),MATCH($F454,$F$19:$F$24,0),MATCH(AO$17,$AK$17:$BB$17,0))*INDEX($10:$13,MATCH($O454,$R$10:$R$13,0),COLUMN())</f>
        <v>1.2920177200000001E-2</v>
      </c>
      <c r="AP454" s="1050" cm="1">
        <f t="array" aca="1" ref="AP454" ca="1">INDEX(OFFSET($AK$19,MATCH($B454,$B$19:$B$150,0)-1,0,COUNTA($B$19:$B$24),COUNTA($AK$17:$BB$17)),MATCH($F454,$F$19:$F$24,0),MATCH(AP$17,$AK$17:$BB$17,0))*INDEX($10:$13,MATCH($O454,$R$10:$R$13,0),COLUMN())</f>
        <v>1.0653442518000001E-3</v>
      </c>
      <c r="AQ454" s="1050" cm="1">
        <f t="array" aca="1" ref="AQ454" ca="1">INDEX(OFFSET($AK$19,MATCH($B454,$B$19:$B$150,0)-1,0,COUNTA($B$19:$B$24),COUNTA($AK$17:$BB$17)),MATCH($F454,$F$19:$F$24,0),MATCH(AQ$17,$AK$17:$BB$17,0))*INDEX($10:$13,MATCH($O454,$R$10:$R$13,0),COLUMN())</f>
        <v>9.3368100000000008E-6</v>
      </c>
      <c r="AR454" s="1050" cm="1">
        <f t="array" aca="1" ref="AR454" ca="1">INDEX(OFFSET($AK$19,MATCH($B454,$B$19:$B$150,0)-1,0,COUNTA($B$19:$B$24),COUNTA($AK$17:$BB$17)),MATCH($F454,$F$19:$F$24,0),MATCH(AR$17,$AK$17:$BB$17,0))*INDEX($10:$13,MATCH($O454,$R$10:$R$13,0),COLUMN())</f>
        <v>1.4887871359E-2</v>
      </c>
      <c r="AS454" s="1050" cm="1">
        <f t="array" aca="1" ref="AS454" ca="1">INDEX(OFFSET($AK$19,MATCH($B454,$B$19:$B$150,0)-1,0,COUNTA($B$19:$B$24),COUNTA($AK$17:$BB$17)),MATCH($F454,$F$19:$F$24,0),MATCH(AS$17,$AK$17:$BB$17,0))*INDEX($10:$13,MATCH($O454,$R$10:$R$13,0),COLUMN())</f>
        <v>1.3209240330000001E-5</v>
      </c>
      <c r="AT454" s="1050" cm="1">
        <f t="array" aca="1" ref="AT454" ca="1">INDEX(OFFSET($AK$19,MATCH($B454,$B$19:$B$150,0)-1,0,COUNTA($B$19:$B$24),COUNTA($AK$17:$BB$17)),MATCH($F454,$F$19:$F$24,0),MATCH(AT$17,$AK$17:$BB$17,0))*INDEX($10:$13,MATCH($O454,$R$10:$R$13,0),COLUMN())</f>
        <v>7.8490974099999997E-7</v>
      </c>
      <c r="AU454" s="1050" cm="1">
        <f t="array" aca="1" ref="AU454" ca="1">INDEX(OFFSET($AK$19,MATCH($B454,$B$19:$B$150,0)-1,0,COUNTA($B$19:$B$24),COUNTA($AK$17:$BB$17)),MATCH($F454,$F$19:$F$24,0),MATCH(AU$17,$AK$17:$BB$17,0))*INDEX($10:$13,MATCH($O454,$R$10:$R$13,0),COLUMN())</f>
        <v>1.6212344287999999E-7</v>
      </c>
      <c r="AV454" s="1050" cm="1">
        <f t="array" aca="1" ref="AV454" ca="1">INDEX(OFFSET($AK$19,MATCH($B454,$B$19:$B$150,0)-1,0,COUNTA($B$19:$B$24),COUNTA($AK$17:$BB$17)),MATCH($F454,$F$19:$F$24,0),MATCH(AV$17,$AK$17:$BB$17,0))*INDEX($10:$13,MATCH($O454,$R$10:$R$13,0),COLUMN())</f>
        <v>9.0780418249999993E-4</v>
      </c>
      <c r="AW454" s="1050" cm="1">
        <f t="array" aca="1" ref="AW454" ca="1">INDEX(OFFSET($AK$19,MATCH($B454,$B$19:$B$150,0)-1,0,COUNTA($B$19:$B$24),COUNTA($AK$17:$BB$17)),MATCH($F454,$F$19:$F$24,0),MATCH(AW$17,$AK$17:$BB$17,0))*INDEX($10:$13,MATCH($O454,$R$10:$R$13,0),COLUMN())</f>
        <v>7.5962097899999997E-2</v>
      </c>
      <c r="AX454" s="1050" cm="1">
        <f t="array" aca="1" ref="AX454" ca="1">INDEX(OFFSET($AK$19,MATCH($B454,$B$19:$B$150,0)-1,0,COUNTA($B$19:$B$24),COUNTA($AK$17:$BB$17)),MATCH($F454,$F$19:$F$24,0),MATCH(AX$17,$AK$17:$BB$17,0))*INDEX($10:$13,MATCH($O454,$R$10:$R$13,0),COLUMN())</f>
        <v>1.8732789089999999E-8</v>
      </c>
      <c r="AY454" s="1050" cm="1">
        <f t="array" aca="1" ref="AY454" ca="1">INDEX(OFFSET($AK$19,MATCH($B454,$B$19:$B$150,0)-1,0,COUNTA($B$19:$B$24),COUNTA($AK$17:$BB$17)),MATCH($F454,$F$19:$F$24,0),MATCH(AY$17,$AK$17:$BB$17,0))*INDEX($10:$13,MATCH($O454,$R$10:$R$13,0),COLUMN())</f>
        <v>-4.827923606249999E-10</v>
      </c>
      <c r="AZ454" s="1050" cm="1">
        <f t="array" aca="1" ref="AZ454" ca="1">INDEX(OFFSET($AK$19,MATCH($B454,$B$19:$B$150,0)-1,0,COUNTA($B$19:$B$24),COUNTA($AK$17:$BB$17)),MATCH($F454,$F$19:$F$24,0),MATCH(AZ$17,$AK$17:$BB$17,0))*INDEX($10:$13,MATCH($O454,$R$10:$R$13,0),COLUMN())</f>
        <v>0</v>
      </c>
      <c r="BA454" s="1050" cm="1">
        <f t="array" aca="1" ref="BA454" ca="1">INDEX(OFFSET($AK$19,MATCH($B454,$B$19:$B$150,0)-1,0,COUNTA($B$19:$B$24),COUNTA($AK$17:$BB$17)),MATCH($F454,$F$19:$F$24,0),MATCH(BA$17,$AK$17:$BB$17,0))*INDEX($10:$13,MATCH($O454,$R$10:$R$13,0),COLUMN())</f>
        <v>0</v>
      </c>
      <c r="BB454" s="1051" cm="1">
        <f t="array" aca="1" ref="BB454" ca="1">INDEX(OFFSET($AK$19,MATCH($B454,$B$19:$B$150,0)-1,0,COUNTA($B$19:$B$24),COUNTA($AK$17:$BB$17)),MATCH($F454,$F$19:$F$24,0),MATCH(BB$17,$AK$17:$BB$17,0))*INDEX($10:$13,MATCH($O454,$R$10:$R$13,0),COLUMN())</f>
        <v>0</v>
      </c>
      <c r="BC454" s="1053">
        <f t="shared" ca="1" si="176"/>
        <v>7.596211614999672E-2</v>
      </c>
      <c r="BE454" s="1"/>
      <c r="BF454" s="1"/>
      <c r="BG454" s="1"/>
      <c r="BH454" s="1"/>
      <c r="BI454" s="1"/>
      <c r="BJ454" s="1"/>
      <c r="BK454" s="1"/>
      <c r="BL454" s="1"/>
      <c r="BM454" s="1"/>
      <c r="BN454" s="1"/>
      <c r="BO454" s="1"/>
      <c r="BP454" s="1"/>
      <c r="BQ454" s="1"/>
      <c r="BR454" s="1"/>
      <c r="BS454" s="1"/>
      <c r="BT454" s="1"/>
      <c r="BU454" s="1"/>
      <c r="BV454" s="1"/>
      <c r="BW454" s="1"/>
      <c r="BX454" s="1"/>
      <c r="BY454" s="1"/>
      <c r="BZ454" s="1"/>
    </row>
    <row r="455" spans="2:78" ht="12" customHeight="1" outlineLevel="1" x14ac:dyDescent="0.25">
      <c r="B455" s="104" t="s">
        <v>102</v>
      </c>
      <c r="C455" s="104" t="s">
        <v>121</v>
      </c>
      <c r="D455" s="2" t="s">
        <v>137</v>
      </c>
      <c r="E455" s="2" t="s">
        <v>138</v>
      </c>
      <c r="F455" s="105" t="s">
        <v>93</v>
      </c>
      <c r="G455" s="27" t="s">
        <v>1578</v>
      </c>
      <c r="H455" s="106" t="s">
        <v>130</v>
      </c>
      <c r="I455" s="107" t="s">
        <v>129</v>
      </c>
      <c r="J455" s="147">
        <v>3.8814574399999997</v>
      </c>
      <c r="K455" s="148">
        <v>3.49</v>
      </c>
      <c r="L455" s="149">
        <f t="shared" ca="1" si="177"/>
        <v>4.7453017615042482E-2</v>
      </c>
      <c r="M455" s="148">
        <f t="shared" ca="1" si="178"/>
        <v>3.6556110314764987</v>
      </c>
      <c r="N455" s="148">
        <f t="shared" ca="1" si="175"/>
        <v>0.16561103147649828</v>
      </c>
      <c r="O455" s="1062" t="s">
        <v>1584</v>
      </c>
      <c r="P455" s="104"/>
      <c r="R455" s="119"/>
      <c r="S455" s="1072"/>
      <c r="T455" s="1072"/>
      <c r="U455" s="1072"/>
      <c r="V455" s="1072"/>
      <c r="W455" s="1072"/>
      <c r="X455" s="1072"/>
      <c r="Y455" s="1072"/>
      <c r="Z455" s="1072"/>
      <c r="AA455" s="1072"/>
      <c r="AB455" s="1072"/>
      <c r="AC455" s="1072"/>
      <c r="AD455" s="1072"/>
      <c r="AE455" s="1072"/>
      <c r="AF455" s="1072"/>
      <c r="AG455" s="1072"/>
      <c r="AH455" s="1072"/>
      <c r="AI455" s="1072"/>
      <c r="AJ455" s="1073"/>
      <c r="AK455" s="1052" cm="1">
        <f t="array" aca="1" ref="AK455" ca="1">INDEX(OFFSET($AK$19,MATCH($B455,$B$19:$B$150,0)-1,0,COUNTA($B$19:$B$24),COUNTA($AK$17:$BB$17)),MATCH($F455,$F$19:$F$24,0),MATCH(AK$17,$AK$17:$BB$17,0))*INDEX($10:$13,MATCH($O455,$R$10:$R$13,0),COLUMN())</f>
        <v>2.3050768003927934E-2</v>
      </c>
      <c r="AL455" s="1050" cm="1">
        <f t="array" aca="1" ref="AL455" ca="1">INDEX(OFFSET($AK$19,MATCH($B455,$B$19:$B$150,0)-1,0,COUNTA($B$19:$B$24),COUNTA($AK$17:$BB$17)),MATCH($F455,$F$19:$F$24,0),MATCH(AL$17,$AK$17:$BB$17,0))*INDEX($10:$13,MATCH($O455,$R$10:$R$13,0),COLUMN())</f>
        <v>5.3164546760000002E-8</v>
      </c>
      <c r="AM455" s="1050" cm="1">
        <f t="array" aca="1" ref="AM455" ca="1">INDEX(OFFSET($AK$19,MATCH($B455,$B$19:$B$150,0)-1,0,COUNTA($B$19:$B$24),COUNTA($AK$17:$BB$17)),MATCH($F455,$F$19:$F$24,0),MATCH(AM$17,$AK$17:$BB$17,0))*INDEX($10:$13,MATCH($O455,$R$10:$R$13,0),COLUMN())</f>
        <v>8.7322930200000009E-5</v>
      </c>
      <c r="AN455" s="1050" cm="1">
        <f t="array" aca="1" ref="AN455" ca="1">INDEX(OFFSET($AK$19,MATCH($B455,$B$19:$B$150,0)-1,0,COUNTA($B$19:$B$24),COUNTA($AK$17:$BB$17)),MATCH($F455,$F$19:$F$24,0),MATCH(AN$17,$AK$17:$BB$17,0))*INDEX($10:$13,MATCH($O455,$R$10:$R$13,0),COLUMN())</f>
        <v>1.0834980239999999E-3</v>
      </c>
      <c r="AO455" s="1050" cm="1">
        <f t="array" aca="1" ref="AO455" ca="1">INDEX(OFFSET($AK$19,MATCH($B455,$B$19:$B$150,0)-1,0,COUNTA($B$19:$B$24),COUNTA($AK$17:$BB$17)),MATCH($F455,$F$19:$F$24,0),MATCH(AO$17,$AK$17:$BB$17,0))*INDEX($10:$13,MATCH($O455,$R$10:$R$13,0),COLUMN())</f>
        <v>1.724741032E-2</v>
      </c>
      <c r="AP455" s="1050" cm="1">
        <f t="array" aca="1" ref="AP455" ca="1">INDEX(OFFSET($AK$19,MATCH($B455,$B$19:$B$150,0)-1,0,COUNTA($B$19:$B$24),COUNTA($AK$17:$BB$17)),MATCH($F455,$F$19:$F$24,0),MATCH(AP$17,$AK$17:$BB$17,0))*INDEX($10:$13,MATCH($O455,$R$10:$R$13,0),COLUMN())</f>
        <v>1.4221499346000002E-3</v>
      </c>
      <c r="AQ455" s="1050" cm="1">
        <f t="array" aca="1" ref="AQ455" ca="1">INDEX(OFFSET($AK$19,MATCH($B455,$B$19:$B$150,0)-1,0,COUNTA($B$19:$B$24),COUNTA($AK$17:$BB$17)),MATCH($F455,$F$19:$F$24,0),MATCH(AQ$17,$AK$17:$BB$17,0))*INDEX($10:$13,MATCH($O455,$R$10:$R$13,0),COLUMN())</f>
        <v>1.246389975E-5</v>
      </c>
      <c r="AR455" s="1050" cm="1">
        <f t="array" aca="1" ref="AR455" ca="1">INDEX(OFFSET($AK$19,MATCH($B455,$B$19:$B$150,0)-1,0,COUNTA($B$19:$B$24),COUNTA($AK$17:$BB$17)),MATCH($F455,$F$19:$F$24,0),MATCH(AR$17,$AK$17:$BB$17,0))*INDEX($10:$13,MATCH($O455,$R$10:$R$13,0),COLUMN())</f>
        <v>1.9874125651E-2</v>
      </c>
      <c r="AS455" s="1050" cm="1">
        <f t="array" aca="1" ref="AS455" ca="1">INDEX(OFFSET($AK$19,MATCH($B455,$B$19:$B$150,0)-1,0,COUNTA($B$19:$B$24),COUNTA($AK$17:$BB$17)),MATCH($F455,$F$19:$F$24,0),MATCH(AS$17,$AK$17:$BB$17,0))*INDEX($10:$13,MATCH($O455,$R$10:$R$13,0),COLUMN())</f>
        <v>4.0026812669999999E-5</v>
      </c>
      <c r="AT455" s="1050" cm="1">
        <f t="array" aca="1" ref="AT455" ca="1">INDEX(OFFSET($AK$19,MATCH($B455,$B$19:$B$150,0)-1,0,COUNTA($B$19:$B$24),COUNTA($AK$17:$BB$17)),MATCH($F455,$F$19:$F$24,0),MATCH(AT$17,$AK$17:$BB$17,0))*INDEX($10:$13,MATCH($O455,$R$10:$R$13,0),COLUMN())</f>
        <v>1.0559965625000001E-6</v>
      </c>
      <c r="AU455" s="1050" cm="1">
        <f t="array" aca="1" ref="AU455" ca="1">INDEX(OFFSET($AK$19,MATCH($B455,$B$19:$B$150,0)-1,0,COUNTA($B$19:$B$24),COUNTA($AK$17:$BB$17)),MATCH($F455,$F$19:$F$24,0),MATCH(AU$17,$AK$17:$BB$17,0))*INDEX($10:$13,MATCH($O455,$R$10:$R$13,0),COLUMN())</f>
        <v>2.1729444544000001E-7</v>
      </c>
      <c r="AV455" s="1050" cm="1">
        <f t="array" aca="1" ref="AV455" ca="1">INDEX(OFFSET($AK$19,MATCH($B455,$B$19:$B$150,0)-1,0,COUNTA($B$19:$B$24),COUNTA($AK$17:$BB$17)),MATCH($F455,$F$19:$F$24,0),MATCH(AV$17,$AK$17:$BB$17,0))*INDEX($10:$13,MATCH($O455,$R$10:$R$13,0),COLUMN())</f>
        <v>1.3885487825E-3</v>
      </c>
      <c r="AW455" s="1050" cm="1">
        <f t="array" aca="1" ref="AW455" ca="1">INDEX(OFFSET($AK$19,MATCH($B455,$B$19:$B$150,0)-1,0,COUNTA($B$19:$B$24),COUNTA($AK$17:$BB$17)),MATCH($F455,$F$19:$F$24,0),MATCH(AW$17,$AK$17:$BB$17,0))*INDEX($10:$13,MATCH($O455,$R$10:$R$13,0),COLUMN())</f>
        <v>0.10140336629999999</v>
      </c>
      <c r="AX455" s="1050" cm="1">
        <f t="array" aca="1" ref="AX455" ca="1">INDEX(OFFSET($AK$19,MATCH($B455,$B$19:$B$150,0)-1,0,COUNTA($B$19:$B$24),COUNTA($AK$17:$BB$17)),MATCH($F455,$F$19:$F$24,0),MATCH(AX$17,$AK$17:$BB$17,0))*INDEX($10:$13,MATCH($O455,$R$10:$R$13,0),COLUMN())</f>
        <v>2.5006785119999996E-8</v>
      </c>
      <c r="AY455" s="1050" cm="1">
        <f t="array" aca="1" ref="AY455" ca="1">INDEX(OFFSET($AK$19,MATCH($B455,$B$19:$B$150,0)-1,0,COUNTA($B$19:$B$24),COUNTA($AK$17:$BB$17)),MATCH($F455,$F$19:$F$24,0),MATCH(AY$17,$AK$17:$BB$17,0))*INDEX($10:$13,MATCH($O455,$R$10:$R$13,0),COLUMN())</f>
        <v>-6.4448945437499998E-10</v>
      </c>
      <c r="AZ455" s="1050" cm="1">
        <f t="array" aca="1" ref="AZ455" ca="1">INDEX(OFFSET($AK$19,MATCH($B455,$B$19:$B$150,0)-1,0,COUNTA($B$19:$B$24),COUNTA($AK$17:$BB$17)),MATCH($F455,$F$19:$F$24,0),MATCH(AZ$17,$AK$17:$BB$17,0))*INDEX($10:$13,MATCH($O455,$R$10:$R$13,0),COLUMN())</f>
        <v>0</v>
      </c>
      <c r="BA455" s="1050" cm="1">
        <f t="array" aca="1" ref="BA455" ca="1">INDEX(OFFSET($AK$19,MATCH($B455,$B$19:$B$150,0)-1,0,COUNTA($B$19:$B$24),COUNTA($AK$17:$BB$17)),MATCH($F455,$F$19:$F$24,0),MATCH(BA$17,$AK$17:$BB$17,0))*INDEX($10:$13,MATCH($O455,$R$10:$R$13,0),COLUMN())</f>
        <v>0</v>
      </c>
      <c r="BB455" s="1051" cm="1">
        <f t="array" aca="1" ref="BB455" ca="1">INDEX(OFFSET($AK$19,MATCH($B455,$B$19:$B$150,0)-1,0,COUNTA($B$19:$B$24),COUNTA($AK$17:$BB$17)),MATCH($F455,$F$19:$F$24,0),MATCH(BB$17,$AK$17:$BB$17,0))*INDEX($10:$13,MATCH($O455,$R$10:$R$13,0),COLUMN())</f>
        <v>0</v>
      </c>
      <c r="BC455" s="1053">
        <f t="shared" ca="1" si="176"/>
        <v>0.10140339066229566</v>
      </c>
      <c r="BE455" s="1"/>
      <c r="BF455" s="1"/>
      <c r="BG455" s="1"/>
      <c r="BH455" s="1"/>
      <c r="BI455" s="1"/>
      <c r="BJ455" s="1"/>
      <c r="BK455" s="1"/>
      <c r="BL455" s="1"/>
      <c r="BM455" s="1"/>
      <c r="BN455" s="1"/>
      <c r="BO455" s="1"/>
      <c r="BP455" s="1"/>
      <c r="BQ455" s="1"/>
      <c r="BR455" s="1"/>
      <c r="BS455" s="1"/>
      <c r="BT455" s="1"/>
      <c r="BU455" s="1"/>
      <c r="BV455" s="1"/>
      <c r="BW455" s="1"/>
      <c r="BX455" s="1"/>
      <c r="BY455" s="1"/>
      <c r="BZ455" s="1"/>
    </row>
    <row r="456" spans="2:78" ht="12" customHeight="1" outlineLevel="1" x14ac:dyDescent="0.25">
      <c r="B456" s="104" t="s">
        <v>102</v>
      </c>
      <c r="C456" s="104" t="s">
        <v>121</v>
      </c>
      <c r="D456" s="2" t="s">
        <v>137</v>
      </c>
      <c r="E456" s="2" t="s">
        <v>138</v>
      </c>
      <c r="F456" s="105" t="s">
        <v>94</v>
      </c>
      <c r="G456" s="27" t="s">
        <v>1580</v>
      </c>
      <c r="H456" s="106" t="s">
        <v>131</v>
      </c>
      <c r="I456" s="107" t="s">
        <v>129</v>
      </c>
      <c r="J456" s="147">
        <v>3.8814574399999997</v>
      </c>
      <c r="K456" s="148">
        <v>3.49</v>
      </c>
      <c r="L456" s="149">
        <f t="shared" ca="1" si="177"/>
        <v>2.8347488659310419E-2</v>
      </c>
      <c r="M456" s="148">
        <f t="shared" ca="1" si="178"/>
        <v>3.5889327354209937</v>
      </c>
      <c r="N456" s="148">
        <f t="shared" ca="1" si="175"/>
        <v>9.8932735420993373E-2</v>
      </c>
      <c r="O456" s="1062" t="s">
        <v>1584</v>
      </c>
      <c r="P456" s="104"/>
      <c r="R456" s="119"/>
      <c r="S456" s="1072"/>
      <c r="T456" s="1072"/>
      <c r="U456" s="1072"/>
      <c r="V456" s="1072"/>
      <c r="W456" s="1072"/>
      <c r="X456" s="1072"/>
      <c r="Y456" s="1072"/>
      <c r="Z456" s="1072"/>
      <c r="AA456" s="1072"/>
      <c r="AB456" s="1072"/>
      <c r="AC456" s="1072"/>
      <c r="AD456" s="1072"/>
      <c r="AE456" s="1072"/>
      <c r="AF456" s="1072"/>
      <c r="AG456" s="1072"/>
      <c r="AH456" s="1072"/>
      <c r="AI456" s="1072"/>
      <c r="AJ456" s="1073"/>
      <c r="AK456" s="1052" cm="1">
        <f t="array" aca="1" ref="AK456" ca="1">INDEX(OFFSET($AK$19,MATCH($B456,$B$19:$B$150,0)-1,0,COUNTA($B$19:$B$24),COUNTA($AK$17:$BB$17)),MATCH($F456,$F$19:$F$24,0),MATCH(AK$17,$AK$17:$BB$17,0))*INDEX($10:$13,MATCH($O456,$R$10:$R$13,0),COLUMN())</f>
        <v>1.3803260314267039E-2</v>
      </c>
      <c r="AL456" s="1050" cm="1">
        <f t="array" aca="1" ref="AL456" ca="1">INDEX(OFFSET($AK$19,MATCH($B456,$B$19:$B$150,0)-1,0,COUNTA($B$19:$B$24),COUNTA($AK$17:$BB$17)),MATCH($F456,$F$19:$F$24,0),MATCH(AL$17,$AK$17:$BB$17,0))*INDEX($10:$13,MATCH($O456,$R$10:$R$13,0),COLUMN())</f>
        <v>3.1835991460000004E-8</v>
      </c>
      <c r="AM456" s="1050" cm="1">
        <f t="array" aca="1" ref="AM456" ca="1">INDEX(OFFSET($AK$19,MATCH($B456,$B$19:$B$150,0)-1,0,COUNTA($B$19:$B$24),COUNTA($AK$17:$BB$17)),MATCH($F456,$F$19:$F$24,0),MATCH(AM$17,$AK$17:$BB$17,0))*INDEX($10:$13,MATCH($O456,$R$10:$R$13,0),COLUMN())</f>
        <v>5.2290713969999999E-5</v>
      </c>
      <c r="AN456" s="1050" cm="1">
        <f t="array" aca="1" ref="AN456" ca="1">INDEX(OFFSET($AK$19,MATCH($B456,$B$19:$B$150,0)-1,0,COUNTA($B$19:$B$24),COUNTA($AK$17:$BB$17)),MATCH($F456,$F$19:$F$24,0),MATCH(AN$17,$AK$17:$BB$17,0))*INDEX($10:$13,MATCH($O456,$R$10:$R$13,0),COLUMN())</f>
        <v>6.4882021679999998E-4</v>
      </c>
      <c r="AO456" s="1050" cm="1">
        <f t="array" aca="1" ref="AO456" ca="1">INDEX(OFFSET($AK$19,MATCH($B456,$B$19:$B$150,0)-1,0,COUNTA($B$19:$B$24),COUNTA($AK$17:$BB$17)),MATCH($F456,$F$19:$F$24,0),MATCH(AO$17,$AK$17:$BB$17,0))*INDEX($10:$13,MATCH($O456,$R$10:$R$13,0),COLUMN())</f>
        <v>1.032809344E-2</v>
      </c>
      <c r="AP456" s="1050" cm="1">
        <f t="array" aca="1" ref="AP456" ca="1">INDEX(OFFSET($AK$19,MATCH($B456,$B$19:$B$150,0)-1,0,COUNTA($B$19:$B$24),COUNTA($AK$17:$BB$17)),MATCH($F456,$F$19:$F$24,0),MATCH(AP$17,$AK$17:$BB$17,0))*INDEX($10:$13,MATCH($O456,$R$10:$R$13,0),COLUMN())</f>
        <v>8.5161177880000002E-4</v>
      </c>
      <c r="AQ456" s="1050" cm="1">
        <f t="array" aca="1" ref="AQ456" ca="1">INDEX(OFFSET($AK$19,MATCH($B456,$B$19:$B$150,0)-1,0,COUNTA($B$19:$B$24),COUNTA($AK$17:$BB$17)),MATCH($F456,$F$19:$F$24,0),MATCH(AQ$17,$AK$17:$BB$17,0))*INDEX($10:$13,MATCH($O456,$R$10:$R$13,0),COLUMN())</f>
        <v>7.463632E-6</v>
      </c>
      <c r="AR456" s="1050" cm="1">
        <f t="array" aca="1" ref="AR456" ca="1">INDEX(OFFSET($AK$19,MATCH($B456,$B$19:$B$150,0)-1,0,COUNTA($B$19:$B$24),COUNTA($AK$17:$BB$17)),MATCH($F456,$F$19:$F$24,0),MATCH(AR$17,$AK$17:$BB$17,0))*INDEX($10:$13,MATCH($O456,$R$10:$R$13,0),COLUMN())</f>
        <v>1.1901023315999999E-2</v>
      </c>
      <c r="AS456" s="1050" cm="1">
        <f t="array" aca="1" ref="AS456" ca="1">INDEX(OFFSET($AK$19,MATCH($B456,$B$19:$B$150,0)-1,0,COUNTA($B$19:$B$24),COUNTA($AK$17:$BB$17)),MATCH($F456,$F$19:$F$24,0),MATCH(AS$17,$AK$17:$BB$17,0))*INDEX($10:$13,MATCH($O456,$R$10:$R$13,0),COLUMN())</f>
        <v>-2.850526107E-6</v>
      </c>
      <c r="AT456" s="1050" cm="1">
        <f t="array" aca="1" ref="AT456" ca="1">INDEX(OFFSET($AK$19,MATCH($B456,$B$19:$B$150,0)-1,0,COUNTA($B$19:$B$24),COUNTA($AK$17:$BB$17)),MATCH($F456,$F$19:$F$24,0),MATCH(AT$17,$AK$17:$BB$17,0))*INDEX($10:$13,MATCH($O456,$R$10:$R$13,0),COLUMN())</f>
        <v>6.2252587249999996E-7</v>
      </c>
      <c r="AU456" s="1050" cm="1">
        <f t="array" aca="1" ref="AU456" ca="1">INDEX(OFFSET($AK$19,MATCH($B456,$B$19:$B$150,0)-1,0,COUNTA($B$19:$B$24),COUNTA($AK$17:$BB$17)),MATCH($F456,$F$19:$F$24,0),MATCH(AU$17,$AK$17:$BB$17,0))*INDEX($10:$13,MATCH($O456,$R$10:$R$13,0),COLUMN())</f>
        <v>1.2907527040000002E-7</v>
      </c>
      <c r="AV456" s="1050" cm="1">
        <f t="array" aca="1" ref="AV456" ca="1">INDEX(OFFSET($AK$19,MATCH($B456,$B$19:$B$150,0)-1,0,COUNTA($B$19:$B$24),COUNTA($AK$17:$BB$17)),MATCH($F456,$F$19:$F$24,0),MATCH(AV$17,$AK$17:$BB$17,0))*INDEX($10:$13,MATCH($O456,$R$10:$R$13,0),COLUMN())</f>
        <v>6.198650094999999E-4</v>
      </c>
      <c r="AW456" s="1050" cm="1">
        <f t="array" aca="1" ref="AW456" ca="1">INDEX(OFFSET($AK$19,MATCH($B456,$B$19:$B$150,0)-1,0,COUNTA($B$19:$B$24),COUNTA($AK$17:$BB$17)),MATCH($F456,$F$19:$F$24,0),MATCH(AW$17,$AK$17:$BB$17,0))*INDEX($10:$13,MATCH($O456,$R$10:$R$13,0),COLUMN())</f>
        <v>6.0722359499999996E-2</v>
      </c>
      <c r="AX456" s="1050" cm="1">
        <f t="array" aca="1" ref="AX456" ca="1">INDEX(OFFSET($AK$19,MATCH($B456,$B$19:$B$150,0)-1,0,COUNTA($B$19:$B$24),COUNTA($AK$17:$BB$17)),MATCH($F456,$F$19:$F$24,0),MATCH(AX$17,$AK$17:$BB$17,0))*INDEX($10:$13,MATCH($O456,$R$10:$R$13,0),COLUMN())</f>
        <v>1.4974562114999998E-8</v>
      </c>
      <c r="AY456" s="1050" cm="1">
        <f t="array" aca="1" ref="AY456" ca="1">INDEX(OFFSET($AK$19,MATCH($B456,$B$19:$B$150,0)-1,0,COUNTA($B$19:$B$24),COUNTA($AK$17:$BB$17)),MATCH($F456,$F$19:$F$24,0),MATCH(AY$17,$AK$17:$BB$17,0))*INDEX($10:$13,MATCH($O456,$R$10:$R$13,0),COLUMN())</f>
        <v>-3.8593314787499994E-10</v>
      </c>
      <c r="AZ456" s="1050" cm="1">
        <f t="array" aca="1" ref="AZ456" ca="1">INDEX(OFFSET($AK$19,MATCH($B456,$B$19:$B$150,0)-1,0,COUNTA($B$19:$B$24),COUNTA($AK$17:$BB$17)),MATCH($F456,$F$19:$F$24,0),MATCH(AZ$17,$AK$17:$BB$17,0))*INDEX($10:$13,MATCH($O456,$R$10:$R$13,0),COLUMN())</f>
        <v>0</v>
      </c>
      <c r="BA456" s="1050" cm="1">
        <f t="array" aca="1" ref="BA456" ca="1">INDEX(OFFSET($AK$19,MATCH($B456,$B$19:$B$150,0)-1,0,COUNTA($B$19:$B$24),COUNTA($AK$17:$BB$17)),MATCH($F456,$F$19:$F$24,0),MATCH(BA$17,$AK$17:$BB$17,0))*INDEX($10:$13,MATCH($O456,$R$10:$R$13,0),COLUMN())</f>
        <v>0</v>
      </c>
      <c r="BB456" s="1051" cm="1">
        <f t="array" aca="1" ref="BB456" ca="1">INDEX(OFFSET($AK$19,MATCH($B456,$B$19:$B$150,0)-1,0,COUNTA($B$19:$B$24),COUNTA($AK$17:$BB$17)),MATCH($F456,$F$19:$F$24,0),MATCH(BB$17,$AK$17:$BB$17,0))*INDEX($10:$13,MATCH($O456,$R$10:$R$13,0),COLUMN())</f>
        <v>0</v>
      </c>
      <c r="BC456" s="1053">
        <f t="shared" ca="1" si="176"/>
        <v>6.0722374088628968E-2</v>
      </c>
      <c r="BE456" s="1"/>
      <c r="BF456" s="1"/>
      <c r="BG456" s="1"/>
      <c r="BH456" s="1"/>
      <c r="BI456" s="1"/>
      <c r="BJ456" s="1"/>
      <c r="BK456" s="1"/>
      <c r="BL456" s="1"/>
      <c r="BM456" s="1"/>
      <c r="BN456" s="1"/>
      <c r="BO456" s="1"/>
      <c r="BP456" s="1"/>
      <c r="BQ456" s="1"/>
      <c r="BR456" s="1"/>
      <c r="BS456" s="1"/>
      <c r="BT456" s="1"/>
      <c r="BU456" s="1"/>
      <c r="BV456" s="1"/>
      <c r="BW456" s="1"/>
      <c r="BX456" s="1"/>
      <c r="BY456" s="1"/>
      <c r="BZ456" s="1"/>
    </row>
    <row r="457" spans="2:78" ht="12" customHeight="1" outlineLevel="1" x14ac:dyDescent="0.25">
      <c r="B457" s="104" t="s">
        <v>102</v>
      </c>
      <c r="C457" s="104" t="s">
        <v>121</v>
      </c>
      <c r="D457" s="2" t="s">
        <v>137</v>
      </c>
      <c r="E457" s="2" t="s">
        <v>138</v>
      </c>
      <c r="F457" s="105" t="s">
        <v>95</v>
      </c>
      <c r="G457" s="27" t="s">
        <v>1581</v>
      </c>
      <c r="H457" s="106" t="s">
        <v>128</v>
      </c>
      <c r="I457" s="107" t="s">
        <v>127</v>
      </c>
      <c r="J457" s="147">
        <v>3.8814574399999997</v>
      </c>
      <c r="K457" s="148">
        <v>3.49</v>
      </c>
      <c r="L457" s="149">
        <f t="shared" ca="1" si="177"/>
        <v>4.5627111320884643E-2</v>
      </c>
      <c r="M457" s="148">
        <f t="shared" ca="1" si="178"/>
        <v>3.6492386185098877</v>
      </c>
      <c r="N457" s="148">
        <f t="shared" ca="1" si="175"/>
        <v>0.15923861850988741</v>
      </c>
      <c r="O457" s="1062" t="s">
        <v>1584</v>
      </c>
      <c r="P457" s="104"/>
      <c r="R457" s="119"/>
      <c r="S457" s="1072"/>
      <c r="T457" s="1072"/>
      <c r="U457" s="1072"/>
      <c r="V457" s="1072"/>
      <c r="W457" s="1072"/>
      <c r="X457" s="1072"/>
      <c r="Y457" s="1072"/>
      <c r="Z457" s="1072"/>
      <c r="AA457" s="1072"/>
      <c r="AB457" s="1072"/>
      <c r="AC457" s="1072"/>
      <c r="AD457" s="1072"/>
      <c r="AE457" s="1072"/>
      <c r="AF457" s="1072"/>
      <c r="AG457" s="1072"/>
      <c r="AH457" s="1072"/>
      <c r="AI457" s="1072"/>
      <c r="AJ457" s="1073"/>
      <c r="AK457" s="1052" cm="1">
        <f t="array" aca="1" ref="AK457" ca="1">INDEX(OFFSET($AK$19,MATCH($B457,$B$19:$B$150,0)-1,0,COUNTA($B$19:$B$24),COUNTA($AK$17:$BB$17)),MATCH($F457,$F$19:$F$24,0),MATCH(AK$17,$AK$17:$BB$17,0))*INDEX($10:$13,MATCH($O457,$R$10:$R$13,0),COLUMN())</f>
        <v>2.0061378503535215E-2</v>
      </c>
      <c r="AL457" s="1050" cm="1">
        <f t="array" aca="1" ref="AL457" ca="1">INDEX(OFFSET($AK$19,MATCH($B457,$B$19:$B$150,0)-1,0,COUNTA($B$19:$B$24),COUNTA($AK$17:$BB$17)),MATCH($F457,$F$19:$F$24,0),MATCH(AL$17,$AK$17:$BB$17,0))*INDEX($10:$13,MATCH($O457,$R$10:$R$13,0),COLUMN())</f>
        <v>4.0170504789999999E-8</v>
      </c>
      <c r="AM457" s="1050" cm="1">
        <f t="array" aca="1" ref="AM457" ca="1">INDEX(OFFSET($AK$19,MATCH($B457,$B$19:$B$150,0)-1,0,COUNTA($B$19:$B$24),COUNTA($AK$17:$BB$17)),MATCH($F457,$F$19:$F$24,0),MATCH(AM$17,$AK$17:$BB$17,0))*INDEX($10:$13,MATCH($O457,$R$10:$R$13,0),COLUMN())</f>
        <v>6.5977739190000004E-5</v>
      </c>
      <c r="AN457" s="1050" cm="1">
        <f t="array" aca="1" ref="AN457" ca="1">INDEX(OFFSET($AK$19,MATCH($B457,$B$19:$B$150,0)-1,0,COUNTA($B$19:$B$24),COUNTA($AK$17:$BB$17)),MATCH($F457,$F$19:$F$24,0),MATCH(AN$17,$AK$17:$BB$17,0))*INDEX($10:$13,MATCH($O457,$R$10:$R$13,0),COLUMN())</f>
        <v>8.7916365599999984E-4</v>
      </c>
      <c r="AO457" s="1050" cm="1">
        <f t="array" aca="1" ref="AO457" ca="1">INDEX(OFFSET($AK$19,MATCH($B457,$B$19:$B$150,0)-1,0,COUNTA($B$19:$B$24),COUNTA($AK$17:$BB$17)),MATCH($F457,$F$19:$F$24,0),MATCH(AO$17,$AK$17:$BB$17,0))*INDEX($10:$13,MATCH($O457,$R$10:$R$13,0),COLUMN())</f>
        <v>3.1923043599999999E-2</v>
      </c>
      <c r="AP457" s="1050" cm="1">
        <f t="array" aca="1" ref="AP457" ca="1">INDEX(OFFSET($AK$19,MATCH($B457,$B$19:$B$150,0)-1,0,COUNTA($B$19:$B$24),COUNTA($AK$17:$BB$17)),MATCH($F457,$F$19:$F$24,0),MATCH(AP$17,$AK$17:$BB$17,0))*INDEX($10:$13,MATCH($O457,$R$10:$R$13,0),COLUMN())</f>
        <v>3.7456860812000001E-3</v>
      </c>
      <c r="AQ457" s="1050" cm="1">
        <f t="array" aca="1" ref="AQ457" ca="1">INDEX(OFFSET($AK$19,MATCH($B457,$B$19:$B$150,0)-1,0,COUNTA($B$19:$B$24),COUNTA($AK$17:$BB$17)),MATCH($F457,$F$19:$F$24,0),MATCH(AQ$17,$AK$17:$BB$17,0))*INDEX($10:$13,MATCH($O457,$R$10:$R$13,0),COLUMN())</f>
        <v>3.6992855E-5</v>
      </c>
      <c r="AR457" s="1050" cm="1">
        <f t="array" aca="1" ref="AR457" ca="1">INDEX(OFFSET($AK$19,MATCH($B457,$B$19:$B$150,0)-1,0,COUNTA($B$19:$B$24),COUNTA($AK$17:$BB$17)),MATCH($F457,$F$19:$F$24,0),MATCH(AR$17,$AK$17:$BB$17,0))*INDEX($10:$13,MATCH($O457,$R$10:$R$13,0),COLUMN())</f>
        <v>2.1632090470999999E-2</v>
      </c>
      <c r="AS457" s="1050" cm="1">
        <f t="array" aca="1" ref="AS457" ca="1">INDEX(OFFSET($AK$19,MATCH($B457,$B$19:$B$150,0)-1,0,COUNTA($B$19:$B$24),COUNTA($AK$17:$BB$17)),MATCH($F457,$F$19:$F$24,0),MATCH(AS$17,$AK$17:$BB$17,0))*INDEX($10:$13,MATCH($O457,$R$10:$R$13,0),COLUMN())</f>
        <v>4.3427493720000002E-4</v>
      </c>
      <c r="AT457" s="1050" cm="1">
        <f t="array" aca="1" ref="AT457" ca="1">INDEX(OFFSET($AK$19,MATCH($B457,$B$19:$B$150,0)-1,0,COUNTA($B$19:$B$24),COUNTA($AK$17:$BB$17)),MATCH($F457,$F$19:$F$24,0),MATCH(AT$17,$AK$17:$BB$17,0))*INDEX($10:$13,MATCH($O457,$R$10:$R$13,0),COLUMN())</f>
        <v>1.0956239725E-6</v>
      </c>
      <c r="AU457" s="1050" cm="1">
        <f t="array" aca="1" ref="AU457" ca="1">INDEX(OFFSET($AK$19,MATCH($B457,$B$19:$B$150,0)-1,0,COUNTA($B$19:$B$24),COUNTA($AK$17:$BB$17)),MATCH($F457,$F$19:$F$24,0),MATCH(AU$17,$AK$17:$BB$17,0))*INDEX($10:$13,MATCH($O457,$R$10:$R$13,0),COLUMN())</f>
        <v>2.0961478816000001E-7</v>
      </c>
      <c r="AV457" s="1050" cm="1">
        <f t="array" aca="1" ref="AV457" ca="1">INDEX(OFFSET($AK$19,MATCH($B457,$B$19:$B$150,0)-1,0,COUNTA($B$19:$B$24),COUNTA($AK$17:$BB$17)),MATCH($F457,$F$19:$F$24,0),MATCH(AV$17,$AK$17:$BB$17,0))*INDEX($10:$13,MATCH($O457,$R$10:$R$13,0),COLUMN())</f>
        <v>4.4965491075000001E-3</v>
      </c>
      <c r="AW457" s="1050" cm="1">
        <f t="array" aca="1" ref="AW457" ca="1">INDEX(OFFSET($AK$19,MATCH($B457,$B$19:$B$150,0)-1,0,COUNTA($B$19:$B$24),COUNTA($AK$17:$BB$17)),MATCH($F457,$F$19:$F$24,0),MATCH(AW$17,$AK$17:$BB$17,0))*INDEX($10:$13,MATCH($O457,$R$10:$R$13,0),COLUMN())</f>
        <v>7.5962097899999997E-2</v>
      </c>
      <c r="AX457" s="1050" cm="1">
        <f t="array" aca="1" ref="AX457" ca="1">INDEX(OFFSET($AK$19,MATCH($B457,$B$19:$B$150,0)-1,0,COUNTA($B$19:$B$24),COUNTA($AK$17:$BB$17)),MATCH($F457,$F$19:$F$24,0),MATCH(AX$17,$AK$17:$BB$17,0))*INDEX($10:$13,MATCH($O457,$R$10:$R$13,0),COLUMN())</f>
        <v>1.8732789089999999E-8</v>
      </c>
      <c r="AY457" s="1050" cm="1">
        <f t="array" aca="1" ref="AY457" ca="1">INDEX(OFFSET($AK$19,MATCH($B457,$B$19:$B$150,0)-1,0,COUNTA($B$19:$B$24),COUNTA($AK$17:$BB$17)),MATCH($F457,$F$19:$F$24,0),MATCH(AY$17,$AK$17:$BB$17,0))*INDEX($10:$13,MATCH($O457,$R$10:$R$13,0),COLUMN())</f>
        <v>-4.827923606249999E-10</v>
      </c>
      <c r="AZ457" s="1050" cm="1">
        <f t="array" aca="1" ref="AZ457" ca="1">INDEX(OFFSET($AK$19,MATCH($B457,$B$19:$B$150,0)-1,0,COUNTA($B$19:$B$24),COUNTA($AK$17:$BB$17)),MATCH($F457,$F$19:$F$24,0),MATCH(AZ$17,$AK$17:$BB$17,0))*INDEX($10:$13,MATCH($O457,$R$10:$R$13,0),COLUMN())</f>
        <v>0</v>
      </c>
      <c r="BA457" s="1050" cm="1">
        <f t="array" aca="1" ref="BA457" ca="1">INDEX(OFFSET($AK$19,MATCH($B457,$B$19:$B$150,0)-1,0,COUNTA($B$19:$B$24),COUNTA($AK$17:$BB$17)),MATCH($F457,$F$19:$F$24,0),MATCH(BA$17,$AK$17:$BB$17,0))*INDEX($10:$13,MATCH($O457,$R$10:$R$13,0),COLUMN())</f>
        <v>0</v>
      </c>
      <c r="BB457" s="1051" cm="1">
        <f t="array" aca="1" ref="BB457" ca="1">INDEX(OFFSET($AK$19,MATCH($B457,$B$19:$B$150,0)-1,0,COUNTA($B$19:$B$24),COUNTA($AK$17:$BB$17)),MATCH($F457,$F$19:$F$24,0),MATCH(BB$17,$AK$17:$BB$17,0))*INDEX($10:$13,MATCH($O457,$R$10:$R$13,0),COLUMN())</f>
        <v>0</v>
      </c>
      <c r="BC457" s="1053">
        <f t="shared" ca="1" si="176"/>
        <v>7.596211614999672E-2</v>
      </c>
      <c r="BE457" s="1"/>
      <c r="BF457" s="1"/>
      <c r="BG457" s="1"/>
      <c r="BH457" s="1"/>
      <c r="BI457" s="1"/>
      <c r="BJ457" s="1"/>
      <c r="BK457" s="1"/>
      <c r="BL457" s="1"/>
      <c r="BM457" s="1"/>
      <c r="BN457" s="1"/>
      <c r="BO457" s="1"/>
      <c r="BP457" s="1"/>
      <c r="BQ457" s="1"/>
      <c r="BR457" s="1"/>
      <c r="BS457" s="1"/>
      <c r="BT457" s="1"/>
      <c r="BU457" s="1"/>
      <c r="BV457" s="1"/>
      <c r="BW457" s="1"/>
      <c r="BX457" s="1"/>
      <c r="BY457" s="1"/>
      <c r="BZ457" s="1"/>
    </row>
    <row r="458" spans="2:78" ht="12" customHeight="1" outlineLevel="1" x14ac:dyDescent="0.25">
      <c r="B458" s="104" t="s">
        <v>102</v>
      </c>
      <c r="C458" s="104" t="s">
        <v>121</v>
      </c>
      <c r="D458" s="2" t="s">
        <v>137</v>
      </c>
      <c r="E458" s="2" t="s">
        <v>138</v>
      </c>
      <c r="F458" s="105" t="s">
        <v>96</v>
      </c>
      <c r="G458" s="27" t="s">
        <v>1582</v>
      </c>
      <c r="H458" s="106" t="s">
        <v>128</v>
      </c>
      <c r="I458" s="107" t="s">
        <v>1577</v>
      </c>
      <c r="J458" s="147">
        <v>3.8814574399999997</v>
      </c>
      <c r="K458" s="148">
        <v>3.49</v>
      </c>
      <c r="L458" s="149">
        <f t="shared" ca="1" si="177"/>
        <v>5.3054649475661832E-2</v>
      </c>
      <c r="M458" s="148">
        <f t="shared" ca="1" si="178"/>
        <v>3.6751607266700601</v>
      </c>
      <c r="N458" s="148">
        <f t="shared" ca="1" si="175"/>
        <v>0.18516072667005981</v>
      </c>
      <c r="O458" s="1062" t="s">
        <v>1584</v>
      </c>
      <c r="P458" s="104"/>
      <c r="R458" s="119"/>
      <c r="S458" s="1072"/>
      <c r="T458" s="1072"/>
      <c r="U458" s="1072"/>
      <c r="V458" s="1072"/>
      <c r="W458" s="1072"/>
      <c r="X458" s="1072"/>
      <c r="Y458" s="1072"/>
      <c r="Z458" s="1072"/>
      <c r="AA458" s="1072"/>
      <c r="AB458" s="1072"/>
      <c r="AC458" s="1072"/>
      <c r="AD458" s="1072"/>
      <c r="AE458" s="1072"/>
      <c r="AF458" s="1072"/>
      <c r="AG458" s="1072"/>
      <c r="AH458" s="1072"/>
      <c r="AI458" s="1072"/>
      <c r="AJ458" s="1073"/>
      <c r="AK458" s="1052" cm="1">
        <f t="array" aca="1" ref="AK458" ca="1">INDEX(OFFSET($AK$19,MATCH($B458,$B$19:$B$150,0)-1,0,COUNTA($B$19:$B$24),COUNTA($AK$17:$BB$17)),MATCH($F458,$F$19:$F$24,0),MATCH(AK$17,$AK$17:$BB$17,0))*INDEX($10:$13,MATCH($O458,$R$10:$R$13,0),COLUMN())</f>
        <v>2.2063691193534837E-2</v>
      </c>
      <c r="AL458" s="1050" cm="1">
        <f t="array" aca="1" ref="AL458" ca="1">INDEX(OFFSET($AK$19,MATCH($B458,$B$19:$B$150,0)-1,0,COUNTA($B$19:$B$24),COUNTA($AK$17:$BB$17)),MATCH($F458,$F$19:$F$24,0),MATCH(AL$17,$AK$17:$BB$17,0))*INDEX($10:$13,MATCH($O458,$R$10:$R$13,0),COLUMN())</f>
        <v>4.0395336930000003E-8</v>
      </c>
      <c r="AM458" s="1050" cm="1">
        <f t="array" aca="1" ref="AM458" ca="1">INDEX(OFFSET($AK$19,MATCH($B458,$B$19:$B$150,0)-1,0,COUNTA($B$19:$B$24),COUNTA($AK$17:$BB$17)),MATCH($F458,$F$19:$F$24,0),MATCH(AM$17,$AK$17:$BB$17,0))*INDEX($10:$13,MATCH($O458,$R$10:$R$13,0),COLUMN())</f>
        <v>6.6345431130000003E-5</v>
      </c>
      <c r="AN458" s="1050" cm="1">
        <f t="array" aca="1" ref="AN458" ca="1">INDEX(OFFSET($AK$19,MATCH($B458,$B$19:$B$150,0)-1,0,COUNTA($B$19:$B$24),COUNTA($AK$17:$BB$17)),MATCH($F458,$F$19:$F$24,0),MATCH(AN$17,$AK$17:$BB$17,0))*INDEX($10:$13,MATCH($O458,$R$10:$R$13,0),COLUMN())</f>
        <v>9.2321947199999993E-4</v>
      </c>
      <c r="AO458" s="1050" cm="1">
        <f t="array" aca="1" ref="AO458" ca="1">INDEX(OFFSET($AK$19,MATCH($B458,$B$19:$B$150,0)-1,0,COUNTA($B$19:$B$24),COUNTA($AK$17:$BB$17)),MATCH($F458,$F$19:$F$24,0),MATCH(AO$17,$AK$17:$BB$17,0))*INDEX($10:$13,MATCH($O458,$R$10:$R$13,0),COLUMN())</f>
        <v>4.5738534800000001E-2</v>
      </c>
      <c r="AP458" s="1050" cm="1">
        <f t="array" aca="1" ref="AP458" ca="1">INDEX(OFFSET($AK$19,MATCH($B458,$B$19:$B$150,0)-1,0,COUNTA($B$19:$B$24),COUNTA($AK$17:$BB$17)),MATCH($F458,$F$19:$F$24,0),MATCH(AP$17,$AK$17:$BB$17,0))*INDEX($10:$13,MATCH($O458,$R$10:$R$13,0),COLUMN())</f>
        <v>5.6982810840000009E-3</v>
      </c>
      <c r="AQ458" s="1050" cm="1">
        <f t="array" aca="1" ref="AQ458" ca="1">INDEX(OFFSET($AK$19,MATCH($B458,$B$19:$B$150,0)-1,0,COUNTA($B$19:$B$24),COUNTA($AK$17:$BB$17)),MATCH($F458,$F$19:$F$24,0),MATCH(AQ$17,$AK$17:$BB$17,0))*INDEX($10:$13,MATCH($O458,$R$10:$R$13,0),COLUMN())</f>
        <v>5.6688917500000003E-5</v>
      </c>
      <c r="AR458" s="1050" cm="1">
        <f t="array" aca="1" ref="AR458" ca="1">INDEX(OFFSET($AK$19,MATCH($B458,$B$19:$B$150,0)-1,0,COUNTA($B$19:$B$24),COUNTA($AK$17:$BB$17)),MATCH($F458,$F$19:$F$24,0),MATCH(AR$17,$AK$17:$BB$17,0))*INDEX($10:$13,MATCH($O458,$R$10:$R$13,0),COLUMN())</f>
        <v>2.6549126425999995E-2</v>
      </c>
      <c r="AS458" s="1050" cm="1">
        <f t="array" aca="1" ref="AS458" ca="1">INDEX(OFFSET($AK$19,MATCH($B458,$B$19:$B$150,0)-1,0,COUNTA($B$19:$B$24),COUNTA($AK$17:$BB$17)),MATCH($F458,$F$19:$F$24,0),MATCH(AS$17,$AK$17:$BB$17,0))*INDEX($10:$13,MATCH($O458,$R$10:$R$13,0),COLUMN())</f>
        <v>7.3158834060000006E-4</v>
      </c>
      <c r="AT458" s="1050" cm="1">
        <f t="array" aca="1" ref="AT458" ca="1">INDEX(OFFSET($AK$19,MATCH($B458,$B$19:$B$150,0)-1,0,COUNTA($B$19:$B$24),COUNTA($AK$17:$BB$17)),MATCH($F458,$F$19:$F$24,0),MATCH(AT$17,$AK$17:$BB$17,0))*INDEX($10:$13,MATCH($O458,$R$10:$R$13,0),COLUMN())</f>
        <v>1.2291856490000002E-6</v>
      </c>
      <c r="AU458" s="1050" cm="1">
        <f t="array" aca="1" ref="AU458" ca="1">INDEX(OFFSET($AK$19,MATCH($B458,$B$19:$B$150,0)-1,0,COUNTA($B$19:$B$24),COUNTA($AK$17:$BB$17)),MATCH($F458,$F$19:$F$24,0),MATCH(AU$17,$AK$17:$BB$17,0))*INDEX($10:$13,MATCH($O458,$R$10:$R$13,0),COLUMN())</f>
        <v>2.2867431232000001E-7</v>
      </c>
      <c r="AV458" s="1050" cm="1">
        <f t="array" aca="1" ref="AV458" ca="1">INDEX(OFFSET($AK$19,MATCH($B458,$B$19:$B$150,0)-1,0,COUNTA($B$19:$B$24),COUNTA($AK$17:$BB$17)),MATCH($F458,$F$19:$F$24,0),MATCH(AV$17,$AK$17:$BB$17,0))*INDEX($10:$13,MATCH($O458,$R$10:$R$13,0),COLUMN())</f>
        <v>7.3696365999999999E-3</v>
      </c>
      <c r="AW458" s="1050" cm="1">
        <f t="array" aca="1" ref="AW458" ca="1">INDEX(OFFSET($AK$19,MATCH($B458,$B$19:$B$150,0)-1,0,COUNTA($B$19:$B$24),COUNTA($AK$17:$BB$17)),MATCH($F458,$F$19:$F$24,0),MATCH(AW$17,$AK$17:$BB$17,0))*INDEX($10:$13,MATCH($O458,$R$10:$R$13,0),COLUMN())</f>
        <v>7.5962097899999997E-2</v>
      </c>
      <c r="AX458" s="1050" cm="1">
        <f t="array" aca="1" ref="AX458" ca="1">INDEX(OFFSET($AK$19,MATCH($B458,$B$19:$B$150,0)-1,0,COUNTA($B$19:$B$24),COUNTA($AK$17:$BB$17)),MATCH($F458,$F$19:$F$24,0),MATCH(AX$17,$AK$17:$BB$17,0))*INDEX($10:$13,MATCH($O458,$R$10:$R$13,0),COLUMN())</f>
        <v>1.8732789089999999E-8</v>
      </c>
      <c r="AY458" s="1050" cm="1">
        <f t="array" aca="1" ref="AY458" ca="1">INDEX(OFFSET($AK$19,MATCH($B458,$B$19:$B$150,0)-1,0,COUNTA($B$19:$B$24),COUNTA($AK$17:$BB$17)),MATCH($F458,$F$19:$F$24,0),MATCH(AY$17,$AK$17:$BB$17,0))*INDEX($10:$13,MATCH($O458,$R$10:$R$13,0),COLUMN())</f>
        <v>-4.827923606249999E-10</v>
      </c>
      <c r="AZ458" s="1050" cm="1">
        <f t="array" aca="1" ref="AZ458" ca="1">INDEX(OFFSET($AK$19,MATCH($B458,$B$19:$B$150,0)-1,0,COUNTA($B$19:$B$24),COUNTA($AK$17:$BB$17)),MATCH($F458,$F$19:$F$24,0),MATCH(AZ$17,$AK$17:$BB$17,0))*INDEX($10:$13,MATCH($O458,$R$10:$R$13,0),COLUMN())</f>
        <v>0</v>
      </c>
      <c r="BA458" s="1050" cm="1">
        <f t="array" aca="1" ref="BA458" ca="1">INDEX(OFFSET($AK$19,MATCH($B458,$B$19:$B$150,0)-1,0,COUNTA($B$19:$B$24),COUNTA($AK$17:$BB$17)),MATCH($F458,$F$19:$F$24,0),MATCH(BA$17,$AK$17:$BB$17,0))*INDEX($10:$13,MATCH($O458,$R$10:$R$13,0),COLUMN())</f>
        <v>0</v>
      </c>
      <c r="BB458" s="1051" cm="1">
        <f t="array" aca="1" ref="BB458" ca="1">INDEX(OFFSET($AK$19,MATCH($B458,$B$19:$B$150,0)-1,0,COUNTA($B$19:$B$24),COUNTA($AK$17:$BB$17)),MATCH($F458,$F$19:$F$24,0),MATCH(BB$17,$AK$17:$BB$17,0))*INDEX($10:$13,MATCH($O458,$R$10:$R$13,0),COLUMN())</f>
        <v>0</v>
      </c>
      <c r="BC458" s="1053">
        <f t="shared" ca="1" si="176"/>
        <v>7.596211614999672E-2</v>
      </c>
      <c r="BE458" s="1"/>
      <c r="BF458" s="1"/>
      <c r="BG458" s="1"/>
      <c r="BH458" s="1"/>
      <c r="BI458" s="1"/>
      <c r="BJ458" s="1"/>
      <c r="BK458" s="1"/>
      <c r="BL458" s="1"/>
      <c r="BM458" s="1"/>
      <c r="BN458" s="1"/>
      <c r="BO458" s="1"/>
      <c r="BP458" s="1"/>
      <c r="BQ458" s="1"/>
      <c r="BR458" s="1"/>
      <c r="BS458" s="1"/>
      <c r="BT458" s="1"/>
      <c r="BU458" s="1"/>
      <c r="BV458" s="1"/>
      <c r="BW458" s="1"/>
      <c r="BX458" s="1"/>
      <c r="BY458" s="1"/>
      <c r="BZ458" s="1"/>
    </row>
    <row r="459" spans="2:78" ht="12" customHeight="1" outlineLevel="1" x14ac:dyDescent="0.25">
      <c r="B459" s="88" t="s">
        <v>103</v>
      </c>
      <c r="C459" s="88" t="s">
        <v>121</v>
      </c>
      <c r="D459" s="89" t="s">
        <v>137</v>
      </c>
      <c r="E459" s="89" t="s">
        <v>139</v>
      </c>
      <c r="F459" s="90" t="s">
        <v>92</v>
      </c>
      <c r="G459" s="18" t="s">
        <v>126</v>
      </c>
      <c r="H459" s="91" t="s">
        <v>127</v>
      </c>
      <c r="I459" s="92" t="s">
        <v>127</v>
      </c>
      <c r="J459" s="142">
        <v>0.31070780000000003</v>
      </c>
      <c r="K459" s="143">
        <v>1.7680061710892687</v>
      </c>
      <c r="L459" s="144">
        <f t="shared" ca="1" si="177"/>
        <v>5.4421346143386361E-2</v>
      </c>
      <c r="M459" s="143">
        <f t="shared" ca="1" si="178"/>
        <v>1.8642234469097609</v>
      </c>
      <c r="N459" s="143">
        <f t="shared" ca="1" si="175"/>
        <v>9.6217275820492262E-2</v>
      </c>
      <c r="O459" s="1063" t="s">
        <v>1584</v>
      </c>
      <c r="P459" s="88"/>
      <c r="Q459" s="89"/>
      <c r="R459" s="150"/>
      <c r="S459" s="1070"/>
      <c r="T459" s="1070"/>
      <c r="U459" s="1070"/>
      <c r="V459" s="1070"/>
      <c r="W459" s="1070"/>
      <c r="X459" s="1070"/>
      <c r="Y459" s="1070"/>
      <c r="Z459" s="1070"/>
      <c r="AA459" s="1070"/>
      <c r="AB459" s="1070"/>
      <c r="AC459" s="1070"/>
      <c r="AD459" s="1070"/>
      <c r="AE459" s="1070"/>
      <c r="AF459" s="1070"/>
      <c r="AG459" s="1070"/>
      <c r="AH459" s="1070"/>
      <c r="AI459" s="1070"/>
      <c r="AJ459" s="1071"/>
      <c r="AK459" s="1048" cm="1">
        <f t="array" aca="1" ref="AK459" ca="1">INDEX(OFFSET($AK$19,MATCH($B459,$B$19:$B$150,0)-1,0,COUNTA($B$19:$B$24),COUNTA($AK$17:$BB$17)),MATCH($F459,$F$19:$F$24,0),MATCH(AK$17,$AK$17:$BB$17,0))*INDEX($10:$13,MATCH($O459,$R$10:$R$13,0),COLUMN())</f>
        <v>1.5492252222761677E-2</v>
      </c>
      <c r="AL459" s="1046" cm="1">
        <f t="array" aca="1" ref="AL459" ca="1">INDEX(OFFSET($AK$19,MATCH($B459,$B$19:$B$150,0)-1,0,COUNTA($B$19:$B$24),COUNTA($AK$17:$BB$17)),MATCH($F459,$F$19:$F$24,0),MATCH(AL$17,$AK$17:$BB$17,0))*INDEX($10:$13,MATCH($O459,$R$10:$R$13,0),COLUMN())</f>
        <v>4.6191444260000008E-8</v>
      </c>
      <c r="AM459" s="1046" cm="1">
        <f t="array" aca="1" ref="AM459" ca="1">INDEX(OFFSET($AK$19,MATCH($B459,$B$19:$B$150,0)-1,0,COUNTA($B$19:$B$24),COUNTA($AK$17:$BB$17)),MATCH($F459,$F$19:$F$24,0),MATCH(AM$17,$AK$17:$BB$17,0))*INDEX($10:$13,MATCH($O459,$R$10:$R$13,0),COLUMN())</f>
        <v>7.6945251239999998E-5</v>
      </c>
      <c r="AN459" s="1046" cm="1">
        <f t="array" aca="1" ref="AN459" ca="1">INDEX(OFFSET($AK$19,MATCH($B459,$B$19:$B$150,0)-1,0,COUNTA($B$19:$B$24),COUNTA($AK$17:$BB$17)),MATCH($F459,$F$19:$F$24,0),MATCH(AN$17,$AK$17:$BB$17,0))*INDEX($10:$13,MATCH($O459,$R$10:$R$13,0),COLUMN())</f>
        <v>3.1042039559999997E-4</v>
      </c>
      <c r="AO459" s="1046" cm="1">
        <f t="array" aca="1" ref="AO459" ca="1">INDEX(OFFSET($AK$19,MATCH($B459,$B$19:$B$150,0)-1,0,COUNTA($B$19:$B$24),COUNTA($AK$17:$BB$17)),MATCH($F459,$F$19:$F$24,0),MATCH(AO$17,$AK$17:$BB$17,0))*INDEX($10:$13,MATCH($O459,$R$10:$R$13,0),COLUMN())</f>
        <v>1.8901456840000001E-2</v>
      </c>
      <c r="AP459" s="1046" cm="1">
        <f t="array" aca="1" ref="AP459" ca="1">INDEX(OFFSET($AK$19,MATCH($B459,$B$19:$B$150,0)-1,0,COUNTA($B$19:$B$24),COUNTA($AK$17:$BB$17)),MATCH($F459,$F$19:$F$24,0),MATCH(AP$17,$AK$17:$BB$17,0))*INDEX($10:$13,MATCH($O459,$R$10:$R$13,0),COLUMN())</f>
        <v>2.4087746570000002E-3</v>
      </c>
      <c r="AQ459" s="1046" cm="1">
        <f t="array" aca="1" ref="AQ459" ca="1">INDEX(OFFSET($AK$19,MATCH($B459,$B$19:$B$150,0)-1,0,COUNTA($B$19:$B$24),COUNTA($AK$17:$BB$17)),MATCH($F459,$F$19:$F$24,0),MATCH(AQ$17,$AK$17:$BB$17,0))*INDEX($10:$13,MATCH($O459,$R$10:$R$13,0),COLUMN())</f>
        <v>1.711520225E-5</v>
      </c>
      <c r="AR459" s="1046" cm="1">
        <f t="array" aca="1" ref="AR459" ca="1">INDEX(OFFSET($AK$19,MATCH($B459,$B$19:$B$150,0)-1,0,COUNTA($B$19:$B$24),COUNTA($AK$17:$BB$17)),MATCH($F459,$F$19:$F$24,0),MATCH(AR$17,$AK$17:$BB$17,0))*INDEX($10:$13,MATCH($O459,$R$10:$R$13,0),COLUMN())</f>
        <v>1.2749954728999998E-2</v>
      </c>
      <c r="AS459" s="1046" cm="1">
        <f t="array" aca="1" ref="AS459" ca="1">INDEX(OFFSET($AK$19,MATCH($B459,$B$19:$B$150,0)-1,0,COUNTA($B$19:$B$24),COUNTA($AK$17:$BB$17)),MATCH($F459,$F$19:$F$24,0),MATCH(AS$17,$AK$17:$BB$17,0))*INDEX($10:$13,MATCH($O459,$R$10:$R$13,0),COLUMN())</f>
        <v>1.9959607980000002E-2</v>
      </c>
      <c r="AT459" s="1046" cm="1">
        <f t="array" aca="1" ref="AT459" ca="1">INDEX(OFFSET($AK$19,MATCH($B459,$B$19:$B$150,0)-1,0,COUNTA($B$19:$B$24),COUNTA($AK$17:$BB$17)),MATCH($F459,$F$19:$F$24,0),MATCH(AT$17,$AK$17:$BB$17,0))*INDEX($10:$13,MATCH($O459,$R$10:$R$13,0),COLUMN())</f>
        <v>2.2205162885000001E-5</v>
      </c>
      <c r="AU459" s="1046" cm="1">
        <f t="array" aca="1" ref="AU459" ca="1">INDEX(OFFSET($AK$19,MATCH($B459,$B$19:$B$150,0)-1,0,COUNTA($B$19:$B$24),COUNTA($AK$17:$BB$17)),MATCH($F459,$F$19:$F$24,0),MATCH(AU$17,$AK$17:$BB$17,0))*INDEX($10:$13,MATCH($O459,$R$10:$R$13,0),COLUMN())</f>
        <v>1.4834048576000002E-6</v>
      </c>
      <c r="AV459" s="1046" cm="1">
        <f t="array" aca="1" ref="AV459" ca="1">INDEX(OFFSET($AK$19,MATCH($B459,$B$19:$B$150,0)-1,0,COUNTA($B$19:$B$24),COUNTA($AK$17:$BB$17)),MATCH($F459,$F$19:$F$24,0),MATCH(AV$17,$AK$17:$BB$17,0))*INDEX($10:$13,MATCH($O459,$R$10:$R$13,0),COLUMN())</f>
        <v>3.1722955724999996E-3</v>
      </c>
      <c r="AW459" s="1046" cm="1">
        <f t="array" aca="1" ref="AW459" ca="1">INDEX(OFFSET($AK$19,MATCH($B459,$B$19:$B$150,0)-1,0,COUNTA($B$19:$B$24),COUNTA($AK$17:$BB$17)),MATCH($F459,$F$19:$F$24,0),MATCH(AW$17,$AK$17:$BB$17,0))*INDEX($10:$13,MATCH($O459,$R$10:$R$13,0),COLUMN())</f>
        <v>2.3104671524999999E-2</v>
      </c>
      <c r="AX459" s="1046" cm="1">
        <f t="array" aca="1" ref="AX459" ca="1">INDEX(OFFSET($AK$19,MATCH($B459,$B$19:$B$150,0)-1,0,COUNTA($B$19:$B$24),COUNTA($AK$17:$BB$17)),MATCH($F459,$F$19:$F$24,0),MATCH(AX$17,$AK$17:$BB$17,0))*INDEX($10:$13,MATCH($O459,$R$10:$R$13,0),COLUMN())</f>
        <v>4.7905615799999999E-8</v>
      </c>
      <c r="AY459" s="1046" cm="1">
        <f t="array" aca="1" ref="AY459" ca="1">INDEX(OFFSET($AK$19,MATCH($B459,$B$19:$B$150,0)-1,0,COUNTA($B$19:$B$24),COUNTA($AK$17:$BB$17)),MATCH($F459,$F$19:$F$24,0),MATCH(AY$17,$AK$17:$BB$17,0))*INDEX($10:$13,MATCH($O459,$R$10:$R$13,0),COLUMN())</f>
        <v>-1.2196620674999999E-9</v>
      </c>
      <c r="AZ459" s="1046" cm="1">
        <f t="array" aca="1" ref="AZ459" ca="1">INDEX(OFFSET($AK$19,MATCH($B459,$B$19:$B$150,0)-1,0,COUNTA($B$19:$B$24),COUNTA($AK$17:$BB$17)),MATCH($F459,$F$19:$F$24,0),MATCH(AZ$17,$AK$17:$BB$17,0))*INDEX($10:$13,MATCH($O459,$R$10:$R$13,0),COLUMN())</f>
        <v>0</v>
      </c>
      <c r="BA459" s="1046" cm="1">
        <f t="array" aca="1" ref="BA459" ca="1">INDEX(OFFSET($AK$19,MATCH($B459,$B$19:$B$150,0)-1,0,COUNTA($B$19:$B$24),COUNTA($AK$17:$BB$17)),MATCH($F459,$F$19:$F$24,0),MATCH(BA$17,$AK$17:$BB$17,0))*INDEX($10:$13,MATCH($O459,$R$10:$R$13,0),COLUMN())</f>
        <v>0</v>
      </c>
      <c r="BB459" s="1047" cm="1">
        <f t="array" aca="1" ref="BB459" ca="1">INDEX(OFFSET($AK$19,MATCH($B459,$B$19:$B$150,0)-1,0,COUNTA($B$19:$B$24),COUNTA($AK$17:$BB$17)),MATCH($F459,$F$19:$F$24,0),MATCH(BB$17,$AK$17:$BB$17,0))*INDEX($10:$13,MATCH($O459,$R$10:$R$13,0),COLUMN())</f>
        <v>0</v>
      </c>
      <c r="BC459" s="1049">
        <f t="shared" ca="1" si="176"/>
        <v>2.3104718210953733E-2</v>
      </c>
      <c r="BE459" s="1"/>
      <c r="BF459" s="1"/>
      <c r="BG459" s="1"/>
      <c r="BH459" s="1"/>
      <c r="BI459" s="1"/>
      <c r="BJ459" s="1"/>
      <c r="BK459" s="1"/>
      <c r="BL459" s="1"/>
      <c r="BM459" s="1"/>
      <c r="BN459" s="1"/>
      <c r="BO459" s="1"/>
      <c r="BP459" s="1"/>
      <c r="BQ459" s="1"/>
      <c r="BR459" s="1"/>
      <c r="BS459" s="1"/>
      <c r="BT459" s="1"/>
      <c r="BU459" s="1"/>
      <c r="BV459" s="1"/>
      <c r="BW459" s="1"/>
      <c r="BX459" s="1"/>
      <c r="BY459" s="1"/>
      <c r="BZ459" s="1"/>
    </row>
    <row r="460" spans="2:78" ht="12" customHeight="1" outlineLevel="1" x14ac:dyDescent="0.25">
      <c r="B460" s="104" t="s">
        <v>103</v>
      </c>
      <c r="C460" s="104" t="s">
        <v>121</v>
      </c>
      <c r="D460" s="2" t="s">
        <v>137</v>
      </c>
      <c r="E460" s="2" t="s">
        <v>139</v>
      </c>
      <c r="F460" s="105" t="s">
        <v>122</v>
      </c>
      <c r="G460" s="27" t="s">
        <v>1579</v>
      </c>
      <c r="H460" s="106" t="s">
        <v>128</v>
      </c>
      <c r="I460" s="107" t="s">
        <v>129</v>
      </c>
      <c r="J460" s="147">
        <v>0.31070780000000003</v>
      </c>
      <c r="K460" s="148">
        <v>4.28</v>
      </c>
      <c r="L460" s="149">
        <f t="shared" ca="1" si="177"/>
        <v>8.9403044637387085E-3</v>
      </c>
      <c r="M460" s="148">
        <f t="shared" ca="1" si="178"/>
        <v>4.3182645031048015</v>
      </c>
      <c r="N460" s="148">
        <f t="shared" ca="1" si="175"/>
        <v>3.8264503104801673E-2</v>
      </c>
      <c r="O460" s="1062" t="s">
        <v>1584</v>
      </c>
      <c r="P460" s="104"/>
      <c r="R460" s="119"/>
      <c r="S460" s="1072"/>
      <c r="T460" s="1072"/>
      <c r="U460" s="1072"/>
      <c r="V460" s="1072"/>
      <c r="W460" s="1072"/>
      <c r="X460" s="1072"/>
      <c r="Y460" s="1072"/>
      <c r="Z460" s="1072"/>
      <c r="AA460" s="1072"/>
      <c r="AB460" s="1072"/>
      <c r="AC460" s="1072"/>
      <c r="AD460" s="1072"/>
      <c r="AE460" s="1072"/>
      <c r="AF460" s="1072"/>
      <c r="AG460" s="1072"/>
      <c r="AH460" s="1072"/>
      <c r="AI460" s="1072"/>
      <c r="AJ460" s="1073"/>
      <c r="AK460" s="1052" cm="1">
        <f t="array" aca="1" ref="AK460" ca="1">INDEX(OFFSET($AK$19,MATCH($B460,$B$19:$B$150,0)-1,0,COUNTA($B$19:$B$24),COUNTA($AK$17:$BB$17)),MATCH($F460,$F$19:$F$24,0),MATCH(AK$17,$AK$17:$BB$17,0))*INDEX($10:$13,MATCH($O460,$R$10:$R$13,0),COLUMN())</f>
        <v>4.3686877105195646E-3</v>
      </c>
      <c r="AL460" s="1050" cm="1">
        <f t="array" aca="1" ref="AL460" ca="1">INDEX(OFFSET($AK$19,MATCH($B460,$B$19:$B$150,0)-1,0,COUNTA($B$19:$B$24),COUNTA($AK$17:$BB$17)),MATCH($F460,$F$19:$F$24,0),MATCH(AL$17,$AK$17:$BB$17,0))*INDEX($10:$13,MATCH($O460,$R$10:$R$13,0),COLUMN())</f>
        <v>1.5080313794E-8</v>
      </c>
      <c r="AM460" s="1050" cm="1">
        <f t="array" aca="1" ref="AM460" ca="1">INDEX(OFFSET($AK$19,MATCH($B460,$B$19:$B$150,0)-1,0,COUNTA($B$19:$B$24),COUNTA($AK$17:$BB$17)),MATCH($F460,$F$19:$F$24,0),MATCH(AM$17,$AK$17:$BB$17,0))*INDEX($10:$13,MATCH($O460,$R$10:$R$13,0),COLUMN())</f>
        <v>2.4768612891E-5</v>
      </c>
      <c r="AN460" s="1050" cm="1">
        <f t="array" aca="1" ref="AN460" ca="1">INDEX(OFFSET($AK$19,MATCH($B460,$B$19:$B$150,0)-1,0,COUNTA($B$19:$B$24),COUNTA($AK$17:$BB$17)),MATCH($F460,$F$19:$F$24,0),MATCH(AN$17,$AK$17:$BB$17,0))*INDEX($10:$13,MATCH($O460,$R$10:$R$13,0),COLUMN())</f>
        <v>3.0381083039999996E-4</v>
      </c>
      <c r="AO460" s="1050" cm="1">
        <f t="array" aca="1" ref="AO460" ca="1">INDEX(OFFSET($AK$19,MATCH($B460,$B$19:$B$150,0)-1,0,COUNTA($B$19:$B$24),COUNTA($AK$17:$BB$17)),MATCH($F460,$F$19:$F$24,0),MATCH(AO$17,$AK$17:$BB$17,0))*INDEX($10:$13,MATCH($O460,$R$10:$R$13,0),COLUMN())</f>
        <v>4.6717392399999993E-3</v>
      </c>
      <c r="AP460" s="1050" cm="1">
        <f t="array" aca="1" ref="AP460" ca="1">INDEX(OFFSET($AK$19,MATCH($B460,$B$19:$B$150,0)-1,0,COUNTA($B$19:$B$24),COUNTA($AK$17:$BB$17)),MATCH($F460,$F$19:$F$24,0),MATCH(AP$17,$AK$17:$BB$17,0))*INDEX($10:$13,MATCH($O460,$R$10:$R$13,0),COLUMN())</f>
        <v>3.7736522388000005E-4</v>
      </c>
      <c r="AQ460" s="1050" cm="1">
        <f t="array" aca="1" ref="AQ460" ca="1">INDEX(OFFSET($AK$19,MATCH($B460,$B$19:$B$150,0)-1,0,COUNTA($B$19:$B$24),COUNTA($AK$17:$BB$17)),MATCH($F460,$F$19:$F$24,0),MATCH(AQ$17,$AK$17:$BB$17,0))*INDEX($10:$13,MATCH($O460,$R$10:$R$13,0),COLUMN())</f>
        <v>3.2367177500000001E-6</v>
      </c>
      <c r="AR460" s="1050" cm="1">
        <f t="array" aca="1" ref="AR460" ca="1">INDEX(OFFSET($AK$19,MATCH($B460,$B$19:$B$150,0)-1,0,COUNTA($B$19:$B$24),COUNTA($AK$17:$BB$17)),MATCH($F460,$F$19:$F$24,0),MATCH(AR$17,$AK$17:$BB$17,0))*INDEX($10:$13,MATCH($O460,$R$10:$R$13,0),COLUMN())</f>
        <v>1.6592791396999997E-3</v>
      </c>
      <c r="AS460" s="1050" cm="1">
        <f t="array" aca="1" ref="AS460" ca="1">INDEX(OFFSET($AK$19,MATCH($B460,$B$19:$B$150,0)-1,0,COUNTA($B$19:$B$24),COUNTA($AK$17:$BB$17)),MATCH($F460,$F$19:$F$24,0),MATCH(AS$17,$AK$17:$BB$17,0))*INDEX($10:$13,MATCH($O460,$R$10:$R$13,0),COLUMN())</f>
        <v>3.0618222569999998E-5</v>
      </c>
      <c r="AT460" s="1050" cm="1">
        <f t="array" aca="1" ref="AT460" ca="1">INDEX(OFFSET($AK$19,MATCH($B460,$B$19:$B$150,0)-1,0,COUNTA($B$19:$B$24),COUNTA($AK$17:$BB$17)),MATCH($F460,$F$19:$F$24,0),MATCH(AT$17,$AK$17:$BB$17,0))*INDEX($10:$13,MATCH($O460,$R$10:$R$13,0),COLUMN())</f>
        <v>2.8103805150000001E-7</v>
      </c>
      <c r="AU460" s="1050" cm="1">
        <f t="array" aca="1" ref="AU460" ca="1">INDEX(OFFSET($AK$19,MATCH($B460,$B$19:$B$150,0)-1,0,COUNTA($B$19:$B$24),COUNTA($AK$17:$BB$17)),MATCH($F460,$F$19:$F$24,0),MATCH(AU$17,$AK$17:$BB$17,0))*INDEX($10:$13,MATCH($O460,$R$10:$R$13,0),COLUMN())</f>
        <v>5.7793781119999999E-8</v>
      </c>
      <c r="AV460" s="1050" cm="1">
        <f t="array" aca="1" ref="AV460" ca="1">INDEX(OFFSET($AK$19,MATCH($B460,$B$19:$B$150,0)-1,0,COUNTA($B$19:$B$24),COUNTA($AK$17:$BB$17)),MATCH($F460,$F$19:$F$24,0),MATCH(AV$17,$AK$17:$BB$17,0))*INDEX($10:$13,MATCH($O460,$R$10:$R$13,0),COLUMN())</f>
        <v>5.1081686049999991E-4</v>
      </c>
      <c r="AW460" s="1050" cm="1">
        <f t="array" aca="1" ref="AW460" ca="1">INDEX(OFFSET($AK$19,MATCH($B460,$B$19:$B$150,0)-1,0,COUNTA($B$19:$B$24),COUNTA($AK$17:$BB$17)),MATCH($F460,$F$19:$F$24,0),MATCH(AW$17,$AK$17:$BB$17,0))*INDEX($10:$13,MATCH($O460,$R$10:$R$13,0),COLUMN())</f>
        <v>2.6313819749999998E-2</v>
      </c>
      <c r="AX460" s="1050" cm="1">
        <f t="array" aca="1" ref="AX460" ca="1">INDEX(OFFSET($AK$19,MATCH($B460,$B$19:$B$150,0)-1,0,COUNTA($B$19:$B$24),COUNTA($AK$17:$BB$17)),MATCH($F460,$F$19:$F$24,0),MATCH(AX$17,$AK$17:$BB$17,0))*INDEX($10:$13,MATCH($O460,$R$10:$R$13,0),COLUMN())</f>
        <v>7.066568415E-9</v>
      </c>
      <c r="AY460" s="1050" cm="1">
        <f t="array" aca="1" ref="AY460" ca="1">INDEX(OFFSET($AK$19,MATCH($B460,$B$19:$B$150,0)-1,0,COUNTA($B$19:$B$24),COUNTA($AK$17:$BB$17)),MATCH($F460,$F$19:$F$24,0),MATCH(AY$17,$AK$17:$BB$17,0))*INDEX($10:$13,MATCH($O460,$R$10:$R$13,0),COLUMN())</f>
        <v>-1.8212372212499997E-10</v>
      </c>
      <c r="AZ460" s="1050" cm="1">
        <f t="array" aca="1" ref="AZ460" ca="1">INDEX(OFFSET($AK$19,MATCH($B460,$B$19:$B$150,0)-1,0,COUNTA($B$19:$B$24),COUNTA($AK$17:$BB$17)),MATCH($F460,$F$19:$F$24,0),MATCH(AZ$17,$AK$17:$BB$17,0))*INDEX($10:$13,MATCH($O460,$R$10:$R$13,0),COLUMN())</f>
        <v>0</v>
      </c>
      <c r="BA460" s="1050" cm="1">
        <f t="array" aca="1" ref="BA460" ca="1">INDEX(OFFSET($AK$19,MATCH($B460,$B$19:$B$150,0)-1,0,COUNTA($B$19:$B$24),COUNTA($AK$17:$BB$17)),MATCH($F460,$F$19:$F$24,0),MATCH(BA$17,$AK$17:$BB$17,0))*INDEX($10:$13,MATCH($O460,$R$10:$R$13,0),COLUMN())</f>
        <v>0</v>
      </c>
      <c r="BB460" s="1051" cm="1">
        <f t="array" aca="1" ref="BB460" ca="1">INDEX(OFFSET($AK$19,MATCH($B460,$B$19:$B$150,0)-1,0,COUNTA($B$19:$B$24),COUNTA($AK$17:$BB$17)),MATCH($F460,$F$19:$F$24,0),MATCH(BB$17,$AK$17:$BB$17,0))*INDEX($10:$13,MATCH($O460,$R$10:$R$13,0),COLUMN())</f>
        <v>0</v>
      </c>
      <c r="BC460" s="1053">
        <f t="shared" ca="1" si="176"/>
        <v>2.631382663444469E-2</v>
      </c>
      <c r="BE460" s="1"/>
      <c r="BF460" s="1"/>
      <c r="BG460" s="1"/>
      <c r="BH460" s="1"/>
      <c r="BI460" s="1"/>
      <c r="BJ460" s="1"/>
      <c r="BK460" s="1"/>
      <c r="BL460" s="1"/>
      <c r="BM460" s="1"/>
      <c r="BN460" s="1"/>
      <c r="BO460" s="1"/>
      <c r="BP460" s="1"/>
      <c r="BQ460" s="1"/>
      <c r="BR460" s="1"/>
      <c r="BS460" s="1"/>
      <c r="BT460" s="1"/>
      <c r="BU460" s="1"/>
      <c r="BV460" s="1"/>
      <c r="BW460" s="1"/>
      <c r="BX460" s="1"/>
      <c r="BY460" s="1"/>
      <c r="BZ460" s="1"/>
    </row>
    <row r="461" spans="2:78" ht="12" customHeight="1" outlineLevel="1" x14ac:dyDescent="0.25">
      <c r="B461" s="104" t="s">
        <v>103</v>
      </c>
      <c r="C461" s="104" t="s">
        <v>121</v>
      </c>
      <c r="D461" s="2" t="s">
        <v>137</v>
      </c>
      <c r="E461" s="2" t="s">
        <v>139</v>
      </c>
      <c r="F461" s="105" t="s">
        <v>93</v>
      </c>
      <c r="G461" s="27" t="s">
        <v>1578</v>
      </c>
      <c r="H461" s="106" t="s">
        <v>130</v>
      </c>
      <c r="I461" s="107" t="s">
        <v>129</v>
      </c>
      <c r="J461" s="147">
        <v>0.31070780000000003</v>
      </c>
      <c r="K461" s="148">
        <v>4.28</v>
      </c>
      <c r="L461" s="149">
        <f t="shared" ca="1" si="177"/>
        <v>1.1855091141002763E-2</v>
      </c>
      <c r="M461" s="148">
        <f t="shared" ca="1" si="178"/>
        <v>4.3307397900834923</v>
      </c>
      <c r="N461" s="148">
        <f t="shared" ca="1" si="175"/>
        <v>5.0739790083491831E-2</v>
      </c>
      <c r="O461" s="1062" t="s">
        <v>1584</v>
      </c>
      <c r="P461" s="104"/>
      <c r="R461" s="119"/>
      <c r="S461" s="1072"/>
      <c r="T461" s="1072"/>
      <c r="U461" s="1072"/>
      <c r="V461" s="1072"/>
      <c r="W461" s="1072"/>
      <c r="X461" s="1072"/>
      <c r="Y461" s="1072"/>
      <c r="Z461" s="1072"/>
      <c r="AA461" s="1072"/>
      <c r="AB461" s="1072"/>
      <c r="AC461" s="1072"/>
      <c r="AD461" s="1072"/>
      <c r="AE461" s="1072"/>
      <c r="AF461" s="1072"/>
      <c r="AG461" s="1072"/>
      <c r="AH461" s="1072"/>
      <c r="AI461" s="1072"/>
      <c r="AJ461" s="1073"/>
      <c r="AK461" s="1052" cm="1">
        <f t="array" aca="1" ref="AK461" ca="1">INDEX(OFFSET($AK$19,MATCH($B461,$B$19:$B$150,0)-1,0,COUNTA($B$19:$B$24),COUNTA($AK$17:$BB$17)),MATCH($F461,$F$19:$F$24,0),MATCH(AK$17,$AK$17:$BB$17,0))*INDEX($10:$13,MATCH($O461,$R$10:$R$13,0),COLUMN())</f>
        <v>5.7924842339175976E-3</v>
      </c>
      <c r="AL461" s="1050" cm="1">
        <f t="array" aca="1" ref="AL461" ca="1">INDEX(OFFSET($AK$19,MATCH($B461,$B$19:$B$150,0)-1,0,COUNTA($B$19:$B$24),COUNTA($AK$17:$BB$17)),MATCH($F461,$F$19:$F$24,0),MATCH(AL$17,$AK$17:$BB$17,0))*INDEX($10:$13,MATCH($O461,$R$10:$R$13,0),COLUMN())</f>
        <v>1.9995130142000001E-8</v>
      </c>
      <c r="AM461" s="1050" cm="1">
        <f t="array" aca="1" ref="AM461" ca="1">INDEX(OFFSET($AK$19,MATCH($B461,$B$19:$B$150,0)-1,0,COUNTA($B$19:$B$24),COUNTA($AK$17:$BB$17)),MATCH($F461,$F$19:$F$24,0),MATCH(AM$17,$AK$17:$BB$17,0))*INDEX($10:$13,MATCH($O461,$R$10:$R$13,0),COLUMN())</f>
        <v>3.2840938350000001E-5</v>
      </c>
      <c r="AN461" s="1050" cm="1">
        <f t="array" aca="1" ref="AN461" ca="1">INDEX(OFFSET($AK$19,MATCH($B461,$B$19:$B$150,0)-1,0,COUNTA($B$19:$B$24),COUNTA($AK$17:$BB$17)),MATCH($F461,$F$19:$F$24,0),MATCH(AN$17,$AK$17:$BB$17,0))*INDEX($10:$13,MATCH($O461,$R$10:$R$13,0),COLUMN())</f>
        <v>4.0282564559999999E-4</v>
      </c>
      <c r="AO461" s="1050" cm="1">
        <f t="array" aca="1" ref="AO461" ca="1">INDEX(OFFSET($AK$19,MATCH($B461,$B$19:$B$150,0)-1,0,COUNTA($B$19:$B$24),COUNTA($AK$17:$BB$17)),MATCH($F461,$F$19:$F$24,0),MATCH(AO$17,$AK$17:$BB$17,0))*INDEX($10:$13,MATCH($O461,$R$10:$R$13,0),COLUMN())</f>
        <v>6.1943030799999996E-3</v>
      </c>
      <c r="AP461" s="1050" cm="1">
        <f t="array" aca="1" ref="AP461" ca="1">INDEX(OFFSET($AK$19,MATCH($B461,$B$19:$B$150,0)-1,0,COUNTA($B$19:$B$24),COUNTA($AK$17:$BB$17)),MATCH($F461,$F$19:$F$24,0),MATCH(AP$17,$AK$17:$BB$17,0))*INDEX($10:$13,MATCH($O461,$R$10:$R$13,0),COLUMN())</f>
        <v>5.0035210850000002E-4</v>
      </c>
      <c r="AQ461" s="1050" cm="1">
        <f t="array" aca="1" ref="AQ461" ca="1">INDEX(OFFSET($AK$19,MATCH($B461,$B$19:$B$150,0)-1,0,COUNTA($B$19:$B$24),COUNTA($AK$17:$BB$17)),MATCH($F461,$F$19:$F$24,0),MATCH(AQ$17,$AK$17:$BB$17,0))*INDEX($10:$13,MATCH($O461,$R$10:$R$13,0),COLUMN())</f>
        <v>4.2915944999999997E-6</v>
      </c>
      <c r="AR461" s="1050" cm="1">
        <f t="array" aca="1" ref="AR461" ca="1">INDEX(OFFSET($AK$19,MATCH($B461,$B$19:$B$150,0)-1,0,COUNTA($B$19:$B$24),COUNTA($AK$17:$BB$17)),MATCH($F461,$F$19:$F$24,0),MATCH(AR$17,$AK$17:$BB$17,0))*INDEX($10:$13,MATCH($O461,$R$10:$R$13,0),COLUMN())</f>
        <v>2.2000538391E-3</v>
      </c>
      <c r="AS461" s="1050" cm="1">
        <f t="array" aca="1" ref="AS461" ca="1">INDEX(OFFSET($AK$19,MATCH($B461,$B$19:$B$150,0)-1,0,COUNTA($B$19:$B$24),COUNTA($AK$17:$BB$17)),MATCH($F461,$F$19:$F$24,0),MATCH(AS$17,$AK$17:$BB$17,0))*INDEX($10:$13,MATCH($O461,$R$10:$R$13,0),COLUMN())</f>
        <v>4.0807366470000001E-5</v>
      </c>
      <c r="AT461" s="1050" cm="1">
        <f t="array" aca="1" ref="AT461" ca="1">INDEX(OFFSET($AK$19,MATCH($B461,$B$19:$B$150,0)-1,0,COUNTA($B$19:$B$24),COUNTA($AK$17:$BB$17)),MATCH($F461,$F$19:$F$24,0),MATCH(AT$17,$AK$17:$BB$17,0))*INDEX($10:$13,MATCH($O461,$R$10:$R$13,0),COLUMN())</f>
        <v>3.7270205724999997E-7</v>
      </c>
      <c r="AU461" s="1050" cm="1">
        <f t="array" aca="1" ref="AU461" ca="1">INDEX(OFFSET($AK$19,MATCH($B461,$B$19:$B$150,0)-1,0,COUNTA($B$19:$B$24),COUNTA($AK$17:$BB$17)),MATCH($F461,$F$19:$F$24,0),MATCH(AU$17,$AK$17:$BB$17,0))*INDEX($10:$13,MATCH($O461,$R$10:$R$13,0),COLUMN())</f>
        <v>7.6637216928000009E-8</v>
      </c>
      <c r="AV461" s="1050" cm="1">
        <f t="array" aca="1" ref="AV461" ca="1">INDEX(OFFSET($AK$19,MATCH($B461,$B$19:$B$150,0)-1,0,COUNTA($B$19:$B$24),COUNTA($AK$17:$BB$17)),MATCH($F461,$F$19:$F$24,0),MATCH(AV$17,$AK$17:$BB$17,0))*INDEX($10:$13,MATCH($O461,$R$10:$R$13,0),COLUMN())</f>
        <v>6.8161021449999993E-4</v>
      </c>
      <c r="AW461" s="1050" cm="1">
        <f t="array" aca="1" ref="AW461" ca="1">INDEX(OFFSET($AK$19,MATCH($B461,$B$19:$B$150,0)-1,0,COUNTA($B$19:$B$24),COUNTA($AK$17:$BB$17)),MATCH($F461,$F$19:$F$24,0),MATCH(AW$17,$AK$17:$BB$17,0))*INDEX($10:$13,MATCH($O461,$R$10:$R$13,0),COLUMN())</f>
        <v>3.4889742599999995E-2</v>
      </c>
      <c r="AX461" s="1050" cm="1">
        <f t="array" aca="1" ref="AX461" ca="1">INDEX(OFFSET($AK$19,MATCH($B461,$B$19:$B$150,0)-1,0,COUNTA($B$19:$B$24),COUNTA($AK$17:$BB$17)),MATCH($F461,$F$19:$F$24,0),MATCH(AX$17,$AK$17:$BB$17,0))*INDEX($10:$13,MATCH($O461,$R$10:$R$13,0),COLUMN())</f>
        <v>9.3696294749999995E-9</v>
      </c>
      <c r="AY461" s="1050" cm="1">
        <f t="array" aca="1" ref="AY461" ca="1">INDEX(OFFSET($AK$19,MATCH($B461,$B$19:$B$150,0)-1,0,COUNTA($B$19:$B$24),COUNTA($AK$17:$BB$17)),MATCH($F461,$F$19:$F$24,0),MATCH(AY$17,$AK$17:$BB$17,0))*INDEX($10:$13,MATCH($O461,$R$10:$R$13,0),COLUMN())</f>
        <v>-2.4147955574999997E-10</v>
      </c>
      <c r="AZ461" s="1050" cm="1">
        <f t="array" aca="1" ref="AZ461" ca="1">INDEX(OFFSET($AK$19,MATCH($B461,$B$19:$B$150,0)-1,0,COUNTA($B$19:$B$24),COUNTA($AK$17:$BB$17)),MATCH($F461,$F$19:$F$24,0),MATCH(AZ$17,$AK$17:$BB$17,0))*INDEX($10:$13,MATCH($O461,$R$10:$R$13,0),COLUMN())</f>
        <v>0</v>
      </c>
      <c r="BA461" s="1050" cm="1">
        <f t="array" aca="1" ref="BA461" ca="1">INDEX(OFFSET($AK$19,MATCH($B461,$B$19:$B$150,0)-1,0,COUNTA($B$19:$B$24),COUNTA($AK$17:$BB$17)),MATCH($F461,$F$19:$F$24,0),MATCH(BA$17,$AK$17:$BB$17,0))*INDEX($10:$13,MATCH($O461,$R$10:$R$13,0),COLUMN())</f>
        <v>0</v>
      </c>
      <c r="BB461" s="1051" cm="1">
        <f t="array" aca="1" ref="BB461" ca="1">INDEX(OFFSET($AK$19,MATCH($B461,$B$19:$B$150,0)-1,0,COUNTA($B$19:$B$24),COUNTA($AK$17:$BB$17)),MATCH($F461,$F$19:$F$24,0),MATCH(BB$17,$AK$17:$BB$17,0))*INDEX($10:$13,MATCH($O461,$R$10:$R$13,0),COLUMN())</f>
        <v>0</v>
      </c>
      <c r="BC461" s="1053">
        <f t="shared" ca="1" si="176"/>
        <v>3.4889751728149912E-2</v>
      </c>
      <c r="BE461" s="1"/>
      <c r="BF461" s="1"/>
      <c r="BG461" s="1"/>
      <c r="BH461" s="1"/>
      <c r="BI461" s="1"/>
      <c r="BJ461" s="1"/>
      <c r="BK461" s="1"/>
      <c r="BL461" s="1"/>
      <c r="BM461" s="1"/>
      <c r="BN461" s="1"/>
      <c r="BO461" s="1"/>
      <c r="BP461" s="1"/>
      <c r="BQ461" s="1"/>
      <c r="BR461" s="1"/>
      <c r="BS461" s="1"/>
      <c r="BT461" s="1"/>
      <c r="BU461" s="1"/>
      <c r="BV461" s="1"/>
      <c r="BW461" s="1"/>
      <c r="BX461" s="1"/>
      <c r="BY461" s="1"/>
      <c r="BZ461" s="1"/>
    </row>
    <row r="462" spans="2:78" ht="12" customHeight="1" outlineLevel="1" x14ac:dyDescent="0.25">
      <c r="B462" s="104" t="s">
        <v>103</v>
      </c>
      <c r="C462" s="104" t="s">
        <v>121</v>
      </c>
      <c r="D462" s="2" t="s">
        <v>137</v>
      </c>
      <c r="E462" s="2" t="s">
        <v>139</v>
      </c>
      <c r="F462" s="105" t="s">
        <v>94</v>
      </c>
      <c r="G462" s="27" t="s">
        <v>1580</v>
      </c>
      <c r="H462" s="106" t="s">
        <v>131</v>
      </c>
      <c r="I462" s="107" t="s">
        <v>129</v>
      </c>
      <c r="J462" s="147">
        <v>0.31070780000000003</v>
      </c>
      <c r="K462" s="148">
        <v>4.28</v>
      </c>
      <c r="L462" s="149">
        <f t="shared" ca="1" si="177"/>
        <v>7.1756978226187838E-3</v>
      </c>
      <c r="M462" s="148">
        <f t="shared" ca="1" si="178"/>
        <v>4.3107119866808086</v>
      </c>
      <c r="N462" s="148">
        <f t="shared" ca="1" si="175"/>
        <v>3.0711986680808396E-2</v>
      </c>
      <c r="O462" s="1062" t="s">
        <v>1584</v>
      </c>
      <c r="P462" s="104"/>
      <c r="R462" s="119"/>
      <c r="S462" s="1072"/>
      <c r="T462" s="1072"/>
      <c r="U462" s="1072"/>
      <c r="V462" s="1072"/>
      <c r="W462" s="1072"/>
      <c r="X462" s="1072"/>
      <c r="Y462" s="1072"/>
      <c r="Z462" s="1072"/>
      <c r="AA462" s="1072"/>
      <c r="AB462" s="1072"/>
      <c r="AC462" s="1072"/>
      <c r="AD462" s="1072"/>
      <c r="AE462" s="1072"/>
      <c r="AF462" s="1072"/>
      <c r="AG462" s="1072"/>
      <c r="AH462" s="1072"/>
      <c r="AI462" s="1072"/>
      <c r="AJ462" s="1073"/>
      <c r="AK462" s="1052" cm="1">
        <f t="array" aca="1" ref="AK462" ca="1">INDEX(OFFSET($AK$19,MATCH($B462,$B$19:$B$150,0)-1,0,COUNTA($B$19:$B$24),COUNTA($AK$17:$BB$17)),MATCH($F462,$F$19:$F$24,0),MATCH(AK$17,$AK$17:$BB$17,0))*INDEX($10:$13,MATCH($O462,$R$10:$R$13,0),COLUMN())</f>
        <v>3.5067237655713782E-3</v>
      </c>
      <c r="AL462" s="1050" cm="1">
        <f t="array" aca="1" ref="AL462" ca="1">INDEX(OFFSET($AK$19,MATCH($B462,$B$19:$B$150,0)-1,0,COUNTA($B$19:$B$24),COUNTA($AK$17:$BB$17)),MATCH($F462,$F$19:$F$24,0),MATCH(AL$17,$AK$17:$BB$17,0))*INDEX($10:$13,MATCH($O462,$R$10:$R$13,0),COLUMN())</f>
        <v>1.2104892449000001E-8</v>
      </c>
      <c r="AM462" s="1050" cm="1">
        <f t="array" aca="1" ref="AM462" ca="1">INDEX(OFFSET($AK$19,MATCH($B462,$B$19:$B$150,0)-1,0,COUNTA($B$19:$B$24),COUNTA($AK$17:$BB$17)),MATCH($F462,$F$19:$F$24,0),MATCH(AM$17,$AK$17:$BB$17,0))*INDEX($10:$13,MATCH($O462,$R$10:$R$13,0),COLUMN())</f>
        <v>1.9881641834999999E-5</v>
      </c>
      <c r="AN462" s="1050" cm="1">
        <f t="array" aca="1" ref="AN462" ca="1">INDEX(OFFSET($AK$19,MATCH($B462,$B$19:$B$150,0)-1,0,COUNTA($B$19:$B$24),COUNTA($AK$17:$BB$17)),MATCH($F462,$F$19:$F$24,0),MATCH(AN$17,$AK$17:$BB$17,0))*INDEX($10:$13,MATCH($O462,$R$10:$R$13,0),COLUMN())</f>
        <v>2.4386743920000001E-4</v>
      </c>
      <c r="AO462" s="1050" cm="1">
        <f t="array" aca="1" ref="AO462" ca="1">INDEX(OFFSET($AK$19,MATCH($B462,$B$19:$B$150,0)-1,0,COUNTA($B$19:$B$24),COUNTA($AK$17:$BB$17)),MATCH($F462,$F$19:$F$24,0),MATCH(AO$17,$AK$17:$BB$17,0))*INDEX($10:$13,MATCH($O462,$R$10:$R$13,0),COLUMN())</f>
        <v>3.7499817599999999E-3</v>
      </c>
      <c r="AP462" s="1050" cm="1">
        <f t="array" aca="1" ref="AP462" ca="1">INDEX(OFFSET($AK$19,MATCH($B462,$B$19:$B$150,0)-1,0,COUNTA($B$19:$B$24),COUNTA($AK$17:$BB$17)),MATCH($F462,$F$19:$F$24,0),MATCH(AP$17,$AK$17:$BB$17,0))*INDEX($10:$13,MATCH($O462,$R$10:$R$13,0),COLUMN())</f>
        <v>3.0290918222000002E-4</v>
      </c>
      <c r="AQ462" s="1050" cm="1">
        <f t="array" aca="1" ref="AQ462" ca="1">INDEX(OFFSET($AK$19,MATCH($B462,$B$19:$B$150,0)-1,0,COUNTA($B$19:$B$24),COUNTA($AK$17:$BB$17)),MATCH($F462,$F$19:$F$24,0),MATCH(AQ$17,$AK$17:$BB$17,0))*INDEX($10:$13,MATCH($O462,$R$10:$R$13,0),COLUMN())</f>
        <v>2.5980972500000001E-6</v>
      </c>
      <c r="AR462" s="1050" cm="1">
        <f t="array" aca="1" ref="AR462" ca="1">INDEX(OFFSET($AK$19,MATCH($B462,$B$19:$B$150,0)-1,0,COUNTA($B$19:$B$24),COUNTA($AK$17:$BB$17)),MATCH($F462,$F$19:$F$24,0),MATCH(AR$17,$AK$17:$BB$17,0))*INDEX($10:$13,MATCH($O462,$R$10:$R$13,0),COLUMN())</f>
        <v>1.3318950688E-3</v>
      </c>
      <c r="AS462" s="1050" cm="1">
        <f t="array" aca="1" ref="AS462" ca="1">INDEX(OFFSET($AK$19,MATCH($B462,$B$19:$B$150,0)-1,0,COUNTA($B$19:$B$24),COUNTA($AK$17:$BB$17)),MATCH($F462,$F$19:$F$24,0),MATCH(AS$17,$AK$17:$BB$17,0))*INDEX($10:$13,MATCH($O462,$R$10:$R$13,0),COLUMN())</f>
        <v>2.4449733359999998E-5</v>
      </c>
      <c r="AT462" s="1050" cm="1">
        <f t="array" aca="1" ref="AT462" ca="1">INDEX(OFFSET($AK$19,MATCH($B462,$B$19:$B$150,0)-1,0,COUNTA($B$19:$B$24),COUNTA($AK$17:$BB$17)),MATCH($F462,$F$19:$F$24,0),MATCH(AT$17,$AK$17:$BB$17,0))*INDEX($10:$13,MATCH($O462,$R$10:$R$13,0),COLUMN())</f>
        <v>2.2554482195E-7</v>
      </c>
      <c r="AU462" s="1050" cm="1">
        <f t="array" aca="1" ref="AU462" ca="1">INDEX(OFFSET($AK$19,MATCH($B462,$B$19:$B$150,0)-1,0,COUNTA($B$19:$B$24),COUNTA($AK$17:$BB$17)),MATCH($F462,$F$19:$F$24,0),MATCH(AU$17,$AK$17:$BB$17,0))*INDEX($10:$13,MATCH($O462,$R$10:$R$13,0),COLUMN())</f>
        <v>4.6385998368000004E-8</v>
      </c>
      <c r="AV462" s="1050" cm="1">
        <f t="array" aca="1" ref="AV462" ca="1">INDEX(OFFSET($AK$19,MATCH($B462,$B$19:$B$150,0)-1,0,COUNTA($B$19:$B$24),COUNTA($AK$17:$BB$17)),MATCH($F462,$F$19:$F$24,0),MATCH(AV$17,$AK$17:$BB$17,0))*INDEX($10:$13,MATCH($O462,$R$10:$R$13,0),COLUMN())</f>
        <v>4.0741887574999996E-4</v>
      </c>
      <c r="AW462" s="1050" cm="1">
        <f t="array" aca="1" ref="AW462" ca="1">INDEX(OFFSET($AK$19,MATCH($B462,$B$19:$B$150,0)-1,0,COUNTA($B$19:$B$24),COUNTA($AK$17:$BB$17)),MATCH($F462,$F$19:$F$24,0),MATCH(AW$17,$AK$17:$BB$17,0))*INDEX($10:$13,MATCH($O462,$R$10:$R$13,0),COLUMN())</f>
        <v>2.1121971554999997E-2</v>
      </c>
      <c r="AX462" s="1050" cm="1">
        <f t="array" aca="1" ref="AX462" ca="1">INDEX(OFFSET($AK$19,MATCH($B462,$B$19:$B$150,0)-1,0,COUNTA($B$19:$B$24),COUNTA($AK$17:$BB$17)),MATCH($F462,$F$19:$F$24,0),MATCH(AX$17,$AK$17:$BB$17,0))*INDEX($10:$13,MATCH($O462,$R$10:$R$13,0),COLUMN())</f>
        <v>5.6722990499999996E-9</v>
      </c>
      <c r="AY462" s="1050" cm="1">
        <f t="array" aca="1" ref="AY462" ca="1">INDEX(OFFSET($AK$19,MATCH($B462,$B$19:$B$150,0)-1,0,COUNTA($B$19:$B$24),COUNTA($AK$17:$BB$17)),MATCH($F462,$F$19:$F$24,0),MATCH(AY$17,$AK$17:$BB$17,0))*INDEX($10:$13,MATCH($O462,$R$10:$R$13,0),COLUMN())</f>
        <v>-1.46189797875E-10</v>
      </c>
      <c r="AZ462" s="1050" cm="1">
        <f t="array" aca="1" ref="AZ462" ca="1">INDEX(OFFSET($AK$19,MATCH($B462,$B$19:$B$150,0)-1,0,COUNTA($B$19:$B$24),COUNTA($AK$17:$BB$17)),MATCH($F462,$F$19:$F$24,0),MATCH(AZ$17,$AK$17:$BB$17,0))*INDEX($10:$13,MATCH($O462,$R$10:$R$13,0),COLUMN())</f>
        <v>0</v>
      </c>
      <c r="BA462" s="1050" cm="1">
        <f t="array" aca="1" ref="BA462" ca="1">INDEX(OFFSET($AK$19,MATCH($B462,$B$19:$B$150,0)-1,0,COUNTA($B$19:$B$24),COUNTA($AK$17:$BB$17)),MATCH($F462,$F$19:$F$24,0),MATCH(BA$17,$AK$17:$BB$17,0))*INDEX($10:$13,MATCH($O462,$R$10:$R$13,0),COLUMN())</f>
        <v>0</v>
      </c>
      <c r="BB462" s="1051" cm="1">
        <f t="array" aca="1" ref="BB462" ca="1">INDEX(OFFSET($AK$19,MATCH($B462,$B$19:$B$150,0)-1,0,COUNTA($B$19:$B$24),COUNTA($AK$17:$BB$17)),MATCH($F462,$F$19:$F$24,0),MATCH(BB$17,$AK$17:$BB$17,0))*INDEX($10:$13,MATCH($O462,$R$10:$R$13,0),COLUMN())</f>
        <v>0</v>
      </c>
      <c r="BC462" s="1053">
        <f t="shared" ca="1" si="176"/>
        <v>2.1121977081109251E-2</v>
      </c>
      <c r="BE462" s="1"/>
      <c r="BF462" s="1"/>
      <c r="BG462" s="1"/>
      <c r="BH462" s="1"/>
      <c r="BI462" s="1"/>
      <c r="BJ462" s="1"/>
      <c r="BK462" s="1"/>
      <c r="BL462" s="1"/>
      <c r="BM462" s="1"/>
      <c r="BN462" s="1"/>
      <c r="BO462" s="1"/>
      <c r="BP462" s="1"/>
      <c r="BQ462" s="1"/>
      <c r="BR462" s="1"/>
      <c r="BS462" s="1"/>
      <c r="BT462" s="1"/>
      <c r="BU462" s="1"/>
      <c r="BV462" s="1"/>
      <c r="BW462" s="1"/>
      <c r="BX462" s="1"/>
      <c r="BY462" s="1"/>
      <c r="BZ462" s="1"/>
    </row>
    <row r="463" spans="2:78" ht="12" customHeight="1" outlineLevel="1" x14ac:dyDescent="0.25">
      <c r="B463" s="104" t="s">
        <v>103</v>
      </c>
      <c r="C463" s="104" t="s">
        <v>121</v>
      </c>
      <c r="D463" s="2" t="s">
        <v>137</v>
      </c>
      <c r="E463" s="2" t="s">
        <v>139</v>
      </c>
      <c r="F463" s="105" t="s">
        <v>95</v>
      </c>
      <c r="G463" s="27" t="s">
        <v>1581</v>
      </c>
      <c r="H463" s="106" t="s">
        <v>128</v>
      </c>
      <c r="I463" s="107" t="s">
        <v>127</v>
      </c>
      <c r="J463" s="147">
        <v>0.31070780000000003</v>
      </c>
      <c r="K463" s="148">
        <v>4.28</v>
      </c>
      <c r="L463" s="149">
        <f t="shared" ca="1" si="177"/>
        <v>1.1828661225875267E-2</v>
      </c>
      <c r="M463" s="148">
        <f t="shared" ca="1" si="178"/>
        <v>4.3306266700467466</v>
      </c>
      <c r="N463" s="148">
        <f t="shared" ca="1" si="175"/>
        <v>5.0626670046746147E-2</v>
      </c>
      <c r="O463" s="1062" t="s">
        <v>1584</v>
      </c>
      <c r="P463" s="104"/>
      <c r="R463" s="119"/>
      <c r="S463" s="1072"/>
      <c r="T463" s="1072"/>
      <c r="U463" s="1072"/>
      <c r="V463" s="1072"/>
      <c r="W463" s="1072"/>
      <c r="X463" s="1072"/>
      <c r="Y463" s="1072"/>
      <c r="Z463" s="1072"/>
      <c r="AA463" s="1072"/>
      <c r="AB463" s="1072"/>
      <c r="AC463" s="1072"/>
      <c r="AD463" s="1072"/>
      <c r="AE463" s="1072"/>
      <c r="AF463" s="1072"/>
      <c r="AG463" s="1072"/>
      <c r="AH463" s="1072"/>
      <c r="AI463" s="1072"/>
      <c r="AJ463" s="1073"/>
      <c r="AK463" s="1052" cm="1">
        <f t="array" aca="1" ref="AK463" ca="1">INDEX(OFFSET($AK$19,MATCH($B463,$B$19:$B$150,0)-1,0,COUNTA($B$19:$B$24),COUNTA($AK$17:$BB$17)),MATCH($F463,$F$19:$F$24,0),MATCH(AK$17,$AK$17:$BB$17,0))*INDEX($10:$13,MATCH($O463,$R$10:$R$13,0),COLUMN())</f>
        <v>5.3365002986872313E-3</v>
      </c>
      <c r="AL463" s="1050" cm="1">
        <f t="array" aca="1" ref="AL463" ca="1">INDEX(OFFSET($AK$19,MATCH($B463,$B$19:$B$150,0)-1,0,COUNTA($B$19:$B$24),COUNTA($AK$17:$BB$17)),MATCH($F463,$F$19:$F$24,0),MATCH(AL$17,$AK$17:$BB$17,0))*INDEX($10:$13,MATCH($O463,$R$10:$R$13,0),COLUMN())</f>
        <v>1.5199653131E-8</v>
      </c>
      <c r="AM463" s="1050" cm="1">
        <f t="array" aca="1" ref="AM463" ca="1">INDEX(OFFSET($AK$19,MATCH($B463,$B$19:$B$150,0)-1,0,COUNTA($B$19:$B$24),COUNTA($AK$17:$BB$17)),MATCH($F463,$F$19:$F$24,0),MATCH(AM$17,$AK$17:$BB$17,0))*INDEX($10:$13,MATCH($O463,$R$10:$R$13,0),COLUMN())</f>
        <v>2.4963782580000001E-5</v>
      </c>
      <c r="AN463" s="1050" cm="1">
        <f t="array" aca="1" ref="AN463" ca="1">INDEX(OFFSET($AK$19,MATCH($B463,$B$19:$B$150,0)-1,0,COUNTA($B$19:$B$24),COUNTA($AK$17:$BB$17)),MATCH($F463,$F$19:$F$24,0),MATCH(AN$17,$AK$17:$BB$17,0))*INDEX($10:$13,MATCH($O463,$R$10:$R$13,0),COLUMN())</f>
        <v>3.2719553999999997E-4</v>
      </c>
      <c r="AO463" s="1050" cm="1">
        <f t="array" aca="1" ref="AO463" ca="1">INDEX(OFFSET($AK$19,MATCH($B463,$B$19:$B$150,0)-1,0,COUNTA($B$19:$B$24),COUNTA($AK$17:$BB$17)),MATCH($F463,$F$19:$F$24,0),MATCH(AO$17,$AK$17:$BB$17,0))*INDEX($10:$13,MATCH($O463,$R$10:$R$13,0),COLUMN())</f>
        <v>1.125446924E-2</v>
      </c>
      <c r="AP463" s="1050" cm="1">
        <f t="array" aca="1" ref="AP463" ca="1">INDEX(OFFSET($AK$19,MATCH($B463,$B$19:$B$150,0)-1,0,COUNTA($B$19:$B$24),COUNTA($AK$17:$BB$17)),MATCH($F463,$F$19:$F$24,0),MATCH(AP$17,$AK$17:$BB$17,0))*INDEX($10:$13,MATCH($O463,$R$10:$R$13,0),COLUMN())</f>
        <v>1.3058549114000001E-3</v>
      </c>
      <c r="AQ463" s="1050" cm="1">
        <f t="array" aca="1" ref="AQ463" ca="1">INDEX(OFFSET($AK$19,MATCH($B463,$B$19:$B$150,0)-1,0,COUNTA($B$19:$B$24),COUNTA($AK$17:$BB$17)),MATCH($F463,$F$19:$F$24,0),MATCH(AQ$17,$AK$17:$BB$17,0))*INDEX($10:$13,MATCH($O463,$R$10:$R$13,0),COLUMN())</f>
        <v>1.2816971E-5</v>
      </c>
      <c r="AR463" s="1050" cm="1">
        <f t="array" aca="1" ref="AR463" ca="1">INDEX(OFFSET($AK$19,MATCH($B463,$B$19:$B$150,0)-1,0,COUNTA($B$19:$B$24),COUNTA($AK$17:$BB$17)),MATCH($F463,$F$19:$F$24,0),MATCH(AR$17,$AK$17:$BB$17,0))*INDEX($10:$13,MATCH($O463,$R$10:$R$13,0),COLUMN())</f>
        <v>3.9955252280000006E-3</v>
      </c>
      <c r="AS463" s="1050" cm="1">
        <f t="array" aca="1" ref="AS463" ca="1">INDEX(OFFSET($AK$19,MATCH($B463,$B$19:$B$150,0)-1,0,COUNTA($B$19:$B$24),COUNTA($AK$17:$BB$17)),MATCH($F463,$F$19:$F$24,0),MATCH(AS$17,$AK$17:$BB$17,0))*INDEX($10:$13,MATCH($O463,$R$10:$R$13,0),COLUMN())</f>
        <v>1.8278644409999999E-4</v>
      </c>
      <c r="AT463" s="1050" cm="1">
        <f t="array" aca="1" ref="AT463" ca="1">INDEX(OFFSET($AK$19,MATCH($B463,$B$19:$B$150,0)-1,0,COUNTA($B$19:$B$24),COUNTA($AK$17:$BB$17)),MATCH($F463,$F$19:$F$24,0),MATCH(AT$17,$AK$17:$BB$17,0))*INDEX($10:$13,MATCH($O463,$R$10:$R$13,0),COLUMN())</f>
        <v>3.9133388515000001E-7</v>
      </c>
      <c r="AU463" s="1050" cm="1">
        <f t="array" aca="1" ref="AU463" ca="1">INDEX(OFFSET($AK$19,MATCH($B463,$B$19:$B$150,0)-1,0,COUNTA($B$19:$B$24),COUNTA($AK$17:$BB$17)),MATCH($F463,$F$19:$F$24,0),MATCH(AU$17,$AK$17:$BB$17,0))*INDEX($10:$13,MATCH($O463,$R$10:$R$13,0),COLUMN())</f>
        <v>7.4602995935999999E-8</v>
      </c>
      <c r="AV463" s="1050" cm="1">
        <f t="array" aca="1" ref="AV463" ca="1">INDEX(OFFSET($AK$19,MATCH($B463,$B$19:$B$150,0)-1,0,COUNTA($B$19:$B$24),COUNTA($AK$17:$BB$17)),MATCH($F463,$F$19:$F$24,0),MATCH(AV$17,$AK$17:$BB$17,0))*INDEX($10:$13,MATCH($O463,$R$10:$R$13,0),COLUMN())</f>
        <v>1.8722498599999999E-3</v>
      </c>
      <c r="AW463" s="1050" cm="1">
        <f t="array" aca="1" ref="AW463" ca="1">INDEX(OFFSET($AK$19,MATCH($B463,$B$19:$B$150,0)-1,0,COUNTA($B$19:$B$24),COUNTA($AK$17:$BB$17)),MATCH($F463,$F$19:$F$24,0),MATCH(AW$17,$AK$17:$BB$17,0))*INDEX($10:$13,MATCH($O463,$R$10:$R$13,0),COLUMN())</f>
        <v>2.6313819749999998E-2</v>
      </c>
      <c r="AX463" s="1050" cm="1">
        <f t="array" aca="1" ref="AX463" ca="1">INDEX(OFFSET($AK$19,MATCH($B463,$B$19:$B$150,0)-1,0,COUNTA($B$19:$B$24),COUNTA($AK$17:$BB$17)),MATCH($F463,$F$19:$F$24,0),MATCH(AX$17,$AK$17:$BB$17,0))*INDEX($10:$13,MATCH($O463,$R$10:$R$13,0),COLUMN())</f>
        <v>7.066568415E-9</v>
      </c>
      <c r="AY463" s="1050" cm="1">
        <f t="array" aca="1" ref="AY463" ca="1">INDEX(OFFSET($AK$19,MATCH($B463,$B$19:$B$150,0)-1,0,COUNTA($B$19:$B$24),COUNTA($AK$17:$BB$17)),MATCH($F463,$F$19:$F$24,0),MATCH(AY$17,$AK$17:$BB$17,0))*INDEX($10:$13,MATCH($O463,$R$10:$R$13,0),COLUMN())</f>
        <v>-1.8212372212499997E-10</v>
      </c>
      <c r="AZ463" s="1050" cm="1">
        <f t="array" aca="1" ref="AZ463" ca="1">INDEX(OFFSET($AK$19,MATCH($B463,$B$19:$B$150,0)-1,0,COUNTA($B$19:$B$24),COUNTA($AK$17:$BB$17)),MATCH($F463,$F$19:$F$24,0),MATCH(AZ$17,$AK$17:$BB$17,0))*INDEX($10:$13,MATCH($O463,$R$10:$R$13,0),COLUMN())</f>
        <v>0</v>
      </c>
      <c r="BA463" s="1050" cm="1">
        <f t="array" aca="1" ref="BA463" ca="1">INDEX(OFFSET($AK$19,MATCH($B463,$B$19:$B$150,0)-1,0,COUNTA($B$19:$B$24),COUNTA($AK$17:$BB$17)),MATCH($F463,$F$19:$F$24,0),MATCH(BA$17,$AK$17:$BB$17,0))*INDEX($10:$13,MATCH($O463,$R$10:$R$13,0),COLUMN())</f>
        <v>0</v>
      </c>
      <c r="BB463" s="1051" cm="1">
        <f t="array" aca="1" ref="BB463" ca="1">INDEX(OFFSET($AK$19,MATCH($B463,$B$19:$B$150,0)-1,0,COUNTA($B$19:$B$24),COUNTA($AK$17:$BB$17)),MATCH($F463,$F$19:$F$24,0),MATCH(BB$17,$AK$17:$BB$17,0))*INDEX($10:$13,MATCH($O463,$R$10:$R$13,0),COLUMN())</f>
        <v>0</v>
      </c>
      <c r="BC463" s="1053">
        <f t="shared" ca="1" si="176"/>
        <v>2.631382663444469E-2</v>
      </c>
      <c r="BE463" s="1"/>
      <c r="BF463" s="1"/>
      <c r="BG463" s="1"/>
      <c r="BH463" s="1"/>
      <c r="BI463" s="1"/>
      <c r="BJ463" s="1"/>
      <c r="BK463" s="1"/>
      <c r="BL463" s="1"/>
      <c r="BM463" s="1"/>
      <c r="BN463" s="1"/>
      <c r="BO463" s="1"/>
      <c r="BP463" s="1"/>
      <c r="BQ463" s="1"/>
      <c r="BR463" s="1"/>
      <c r="BS463" s="1"/>
      <c r="BT463" s="1"/>
      <c r="BU463" s="1"/>
      <c r="BV463" s="1"/>
      <c r="BW463" s="1"/>
      <c r="BX463" s="1"/>
      <c r="BY463" s="1"/>
      <c r="BZ463" s="1"/>
    </row>
    <row r="464" spans="2:78" ht="12" customHeight="1" outlineLevel="1" x14ac:dyDescent="0.25">
      <c r="B464" s="104" t="s">
        <v>103</v>
      </c>
      <c r="C464" s="104" t="s">
        <v>121</v>
      </c>
      <c r="D464" s="2" t="s">
        <v>137</v>
      </c>
      <c r="E464" s="2" t="s">
        <v>139</v>
      </c>
      <c r="F464" s="105" t="s">
        <v>96</v>
      </c>
      <c r="G464" s="27" t="s">
        <v>1582</v>
      </c>
      <c r="H464" s="106" t="s">
        <v>128</v>
      </c>
      <c r="I464" s="107" t="s">
        <v>1577</v>
      </c>
      <c r="J464" s="147">
        <v>0.31070780000000003</v>
      </c>
      <c r="K464" s="148">
        <v>4.28</v>
      </c>
      <c r="L464" s="149">
        <f t="shared" ca="1" si="177"/>
        <v>1.393222472193607E-2</v>
      </c>
      <c r="M464" s="148">
        <f t="shared" ca="1" si="178"/>
        <v>4.3396299218098866</v>
      </c>
      <c r="N464" s="148">
        <f t="shared" ca="1" si="175"/>
        <v>5.9629921809886383E-2</v>
      </c>
      <c r="O464" s="1062" t="s">
        <v>1584</v>
      </c>
      <c r="P464" s="104"/>
      <c r="R464" s="119"/>
      <c r="S464" s="1072"/>
      <c r="T464" s="1072"/>
      <c r="U464" s="1072"/>
      <c r="V464" s="1072"/>
      <c r="W464" s="1072"/>
      <c r="X464" s="1072"/>
      <c r="Y464" s="1072"/>
      <c r="Z464" s="1072"/>
      <c r="AA464" s="1072"/>
      <c r="AB464" s="1072"/>
      <c r="AC464" s="1072"/>
      <c r="AD464" s="1072"/>
      <c r="AE464" s="1072"/>
      <c r="AF464" s="1072"/>
      <c r="AG464" s="1072"/>
      <c r="AH464" s="1072"/>
      <c r="AI464" s="1072"/>
      <c r="AJ464" s="1073"/>
      <c r="AK464" s="1052" cm="1">
        <f t="array" aca="1" ref="AK464" ca="1">INDEX(OFFSET($AK$19,MATCH($B464,$B$19:$B$150,0)-1,0,COUNTA($B$19:$B$24),COUNTA($AK$17:$BB$17)),MATCH($F464,$F$19:$F$24,0),MATCH(AK$17,$AK$17:$BB$17,0))*INDEX($10:$13,MATCH($O464,$R$10:$R$13,0),COLUMN())</f>
        <v>6.0301155601033777E-3</v>
      </c>
      <c r="AL464" s="1050" cm="1">
        <f t="array" aca="1" ref="AL464" ca="1">INDEX(OFFSET($AK$19,MATCH($B464,$B$19:$B$150,0)-1,0,COUNTA($B$19:$B$24),COUNTA($AK$17:$BB$17)),MATCH($F464,$F$19:$F$24,0),MATCH(AL$17,$AK$17:$BB$17,0))*INDEX($10:$13,MATCH($O464,$R$10:$R$13,0),COLUMN())</f>
        <v>1.5277535962000001E-8</v>
      </c>
      <c r="AM464" s="1050" cm="1">
        <f t="array" aca="1" ref="AM464" ca="1">INDEX(OFFSET($AK$19,MATCH($B464,$B$19:$B$150,0)-1,0,COUNTA($B$19:$B$24),COUNTA($AK$17:$BB$17)),MATCH($F464,$F$19:$F$24,0),MATCH(AM$17,$AK$17:$BB$17,0))*INDEX($10:$13,MATCH($O464,$R$10:$R$13,0),COLUMN())</f>
        <v>2.5091153702999998E-5</v>
      </c>
      <c r="AN464" s="1050" cm="1">
        <f t="array" aca="1" ref="AN464" ca="1">INDEX(OFFSET($AK$19,MATCH($B464,$B$19:$B$150,0)-1,0,COUNTA($B$19:$B$24),COUNTA($AK$17:$BB$17)),MATCH($F464,$F$19:$F$24,0),MATCH(AN$17,$AK$17:$BB$17,0))*INDEX($10:$13,MATCH($O464,$R$10:$R$13,0),COLUMN())</f>
        <v>3.4245676920000002E-4</v>
      </c>
      <c r="AO464" s="1050" cm="1">
        <f t="array" aca="1" ref="AO464" ca="1">INDEX(OFFSET($AK$19,MATCH($B464,$B$19:$B$150,0)-1,0,COUNTA($B$19:$B$24),COUNTA($AK$17:$BB$17)),MATCH($F464,$F$19:$F$24,0),MATCH(AO$17,$AK$17:$BB$17,0))*INDEX($10:$13,MATCH($O464,$R$10:$R$13,0),COLUMN())</f>
        <v>1.6040254720000001E-2</v>
      </c>
      <c r="AP464" s="1050" cm="1">
        <f t="array" aca="1" ref="AP464" ca="1">INDEX(OFFSET($AK$19,MATCH($B464,$B$19:$B$150,0)-1,0,COUNTA($B$19:$B$24),COUNTA($AK$17:$BB$17)),MATCH($F464,$F$19:$F$24,0),MATCH(AP$17,$AK$17:$BB$17,0))*INDEX($10:$13,MATCH($O464,$R$10:$R$13,0),COLUMN())</f>
        <v>1.9822478320000001E-3</v>
      </c>
      <c r="AQ464" s="1050" cm="1">
        <f t="array" aca="1" ref="AQ464" ca="1">INDEX(OFFSET($AK$19,MATCH($B464,$B$19:$B$150,0)-1,0,COUNTA($B$19:$B$24),COUNTA($AK$17:$BB$17)),MATCH($F464,$F$19:$F$24,0),MATCH(AQ$17,$AK$17:$BB$17,0))*INDEX($10:$13,MATCH($O464,$R$10:$R$13,0),COLUMN())</f>
        <v>1.9639828499999999E-5</v>
      </c>
      <c r="AR464" s="1050" cm="1">
        <f t="array" aca="1" ref="AR464" ca="1">INDEX(OFFSET($AK$19,MATCH($B464,$B$19:$B$150,0)-1,0,COUNTA($B$19:$B$24),COUNTA($AK$17:$BB$17)),MATCH($F464,$F$19:$F$24,0),MATCH(AR$17,$AK$17:$BB$17,0))*INDEX($10:$13,MATCH($O464,$R$10:$R$13,0),COLUMN())</f>
        <v>5.6988218459999998E-3</v>
      </c>
      <c r="AS464" s="1050" cm="1">
        <f t="array" aca="1" ref="AS464" ca="1">INDEX(OFFSET($AK$19,MATCH($B464,$B$19:$B$150,0)-1,0,COUNTA($B$19:$B$24),COUNTA($AK$17:$BB$17)),MATCH($F464,$F$19:$F$24,0),MATCH(AS$17,$AK$17:$BB$17,0))*INDEX($10:$13,MATCH($O464,$R$10:$R$13,0),COLUMN())</f>
        <v>2.8684527299999998E-4</v>
      </c>
      <c r="AT464" s="1050" cm="1">
        <f t="array" aca="1" ref="AT464" ca="1">INDEX(OFFSET($AK$19,MATCH($B464,$B$19:$B$150,0)-1,0,COUNTA($B$19:$B$24),COUNTA($AK$17:$BB$17)),MATCH($F464,$F$19:$F$24,0),MATCH(AT$17,$AK$17:$BB$17,0))*INDEX($10:$13,MATCH($O464,$R$10:$R$13,0),COLUMN())</f>
        <v>4.3793446995000004E-7</v>
      </c>
      <c r="AU464" s="1050" cm="1">
        <f t="array" aca="1" ref="AU464" ca="1">INDEX(OFFSET($AK$19,MATCH($B464,$B$19:$B$150,0)-1,0,COUNTA($B$19:$B$24),COUNTA($AK$17:$BB$17)),MATCH($F464,$F$19:$F$24,0),MATCH(AU$17,$AK$17:$BB$17,0))*INDEX($10:$13,MATCH($O464,$R$10:$R$13,0),COLUMN())</f>
        <v>8.1253429408000009E-8</v>
      </c>
      <c r="AV464" s="1050" cm="1">
        <f t="array" aca="1" ref="AV464" ca="1">INDEX(OFFSET($AK$19,MATCH($B464,$B$19:$B$150,0)-1,0,COUNTA($B$19:$B$24),COUNTA($AK$17:$BB$17)),MATCH($F464,$F$19:$F$24,0),MATCH(AV$17,$AK$17:$BB$17,0))*INDEX($10:$13,MATCH($O464,$R$10:$R$13,0),COLUMN())</f>
        <v>2.8900877274999999E-3</v>
      </c>
      <c r="AW464" s="1050" cm="1">
        <f t="array" aca="1" ref="AW464" ca="1">INDEX(OFFSET($AK$19,MATCH($B464,$B$19:$B$150,0)-1,0,COUNTA($B$19:$B$24),COUNTA($AK$17:$BB$17)),MATCH($F464,$F$19:$F$24,0),MATCH(AW$17,$AK$17:$BB$17,0))*INDEX($10:$13,MATCH($O464,$R$10:$R$13,0),COLUMN())</f>
        <v>2.6313819749999998E-2</v>
      </c>
      <c r="AX464" s="1050" cm="1">
        <f t="array" aca="1" ref="AX464" ca="1">INDEX(OFFSET($AK$19,MATCH($B464,$B$19:$B$150,0)-1,0,COUNTA($B$19:$B$24),COUNTA($AK$17:$BB$17)),MATCH($F464,$F$19:$F$24,0),MATCH(AX$17,$AK$17:$BB$17,0))*INDEX($10:$13,MATCH($O464,$R$10:$R$13,0),COLUMN())</f>
        <v>7.066568415E-9</v>
      </c>
      <c r="AY464" s="1050" cm="1">
        <f t="array" aca="1" ref="AY464" ca="1">INDEX(OFFSET($AK$19,MATCH($B464,$B$19:$B$150,0)-1,0,COUNTA($B$19:$B$24),COUNTA($AK$17:$BB$17)),MATCH($F464,$F$19:$F$24,0),MATCH(AY$17,$AK$17:$BB$17,0))*INDEX($10:$13,MATCH($O464,$R$10:$R$13,0),COLUMN())</f>
        <v>-1.8212372212499997E-10</v>
      </c>
      <c r="AZ464" s="1050" cm="1">
        <f t="array" aca="1" ref="AZ464" ca="1">INDEX(OFFSET($AK$19,MATCH($B464,$B$19:$B$150,0)-1,0,COUNTA($B$19:$B$24),COUNTA($AK$17:$BB$17)),MATCH($F464,$F$19:$F$24,0),MATCH(AZ$17,$AK$17:$BB$17,0))*INDEX($10:$13,MATCH($O464,$R$10:$R$13,0),COLUMN())</f>
        <v>0</v>
      </c>
      <c r="BA464" s="1050" cm="1">
        <f t="array" aca="1" ref="BA464" ca="1">INDEX(OFFSET($AK$19,MATCH($B464,$B$19:$B$150,0)-1,0,COUNTA($B$19:$B$24),COUNTA($AK$17:$BB$17)),MATCH($F464,$F$19:$F$24,0),MATCH(BA$17,$AK$17:$BB$17,0))*INDEX($10:$13,MATCH($O464,$R$10:$R$13,0),COLUMN())</f>
        <v>0</v>
      </c>
      <c r="BB464" s="1051" cm="1">
        <f t="array" aca="1" ref="BB464" ca="1">INDEX(OFFSET($AK$19,MATCH($B464,$B$19:$B$150,0)-1,0,COUNTA($B$19:$B$24),COUNTA($AK$17:$BB$17)),MATCH($F464,$F$19:$F$24,0),MATCH(BB$17,$AK$17:$BB$17,0))*INDEX($10:$13,MATCH($O464,$R$10:$R$13,0),COLUMN())</f>
        <v>0</v>
      </c>
      <c r="BC464" s="1053">
        <f t="shared" ca="1" si="176"/>
        <v>2.631382663444469E-2</v>
      </c>
      <c r="BE464" s="1"/>
      <c r="BF464" s="1"/>
      <c r="BG464" s="1"/>
      <c r="BH464" s="1"/>
      <c r="BI464" s="1"/>
      <c r="BJ464" s="1"/>
      <c r="BK464" s="1"/>
      <c r="BL464" s="1"/>
      <c r="BM464" s="1"/>
      <c r="BN464" s="1"/>
      <c r="BO464" s="1"/>
      <c r="BP464" s="1"/>
      <c r="BQ464" s="1"/>
      <c r="BR464" s="1"/>
      <c r="BS464" s="1"/>
      <c r="BT464" s="1"/>
      <c r="BU464" s="1"/>
      <c r="BV464" s="1"/>
      <c r="BW464" s="1"/>
      <c r="BX464" s="1"/>
      <c r="BY464" s="1"/>
      <c r="BZ464" s="1"/>
    </row>
    <row r="465" spans="2:78" ht="12" customHeight="1" outlineLevel="1" x14ac:dyDescent="0.25">
      <c r="B465" s="88" t="s">
        <v>104</v>
      </c>
      <c r="C465" s="88" t="s">
        <v>121</v>
      </c>
      <c r="D465" s="89" t="s">
        <v>137</v>
      </c>
      <c r="E465" s="89" t="s">
        <v>140</v>
      </c>
      <c r="F465" s="90" t="s">
        <v>92</v>
      </c>
      <c r="G465" s="18" t="s">
        <v>126</v>
      </c>
      <c r="H465" s="91" t="s">
        <v>127</v>
      </c>
      <c r="I465" s="92" t="s">
        <v>127</v>
      </c>
      <c r="J465" s="142">
        <v>4.4622420200000006</v>
      </c>
      <c r="K465" s="143">
        <v>1.5016681086919641</v>
      </c>
      <c r="L465" s="144">
        <f t="shared" ca="1" si="177"/>
        <v>0.28567057130786827</v>
      </c>
      <c r="M465" s="143">
        <f t="shared" ca="1" si="178"/>
        <v>1.9306504952168035</v>
      </c>
      <c r="N465" s="143">
        <f t="shared" ca="1" si="175"/>
        <v>0.42898238652483944</v>
      </c>
      <c r="O465" s="1063" t="s">
        <v>1584</v>
      </c>
      <c r="P465" s="88"/>
      <c r="Q465" s="89"/>
      <c r="R465" s="150"/>
      <c r="S465" s="1070"/>
      <c r="T465" s="1070"/>
      <c r="U465" s="1070"/>
      <c r="V465" s="1070"/>
      <c r="W465" s="1070"/>
      <c r="X465" s="1070"/>
      <c r="Y465" s="1070"/>
      <c r="Z465" s="1070"/>
      <c r="AA465" s="1070"/>
      <c r="AB465" s="1070"/>
      <c r="AC465" s="1070"/>
      <c r="AD465" s="1070"/>
      <c r="AE465" s="1070"/>
      <c r="AF465" s="1070"/>
      <c r="AG465" s="1070"/>
      <c r="AH465" s="1070"/>
      <c r="AI465" s="1070"/>
      <c r="AJ465" s="1071"/>
      <c r="AK465" s="1048" cm="1">
        <f t="array" aca="1" ref="AK465" ca="1">INDEX(OFFSET($AK$19,MATCH($B465,$B$19:$B$150,0)-1,0,COUNTA($B$19:$B$24),COUNTA($AK$17:$BB$17)),MATCH($F465,$F$19:$F$24,0),MATCH(AK$17,$AK$17:$BB$17,0))*INDEX($10:$13,MATCH($O465,$R$10:$R$13,0),COLUMN())</f>
        <v>5.0304293110233635E-2</v>
      </c>
      <c r="AL465" s="1046" cm="1">
        <f t="array" aca="1" ref="AL465" ca="1">INDEX(OFFSET($AK$19,MATCH($B465,$B$19:$B$150,0)-1,0,COUNTA($B$19:$B$24),COUNTA($AK$17:$BB$17)),MATCH($F465,$F$19:$F$24,0),MATCH(AL$17,$AK$17:$BB$17,0))*INDEX($10:$13,MATCH($O465,$R$10:$R$13,0),COLUMN())</f>
        <v>2.1260975931000002E-7</v>
      </c>
      <c r="AM465" s="1046" cm="1">
        <f t="array" aca="1" ref="AM465" ca="1">INDEX(OFFSET($AK$19,MATCH($B465,$B$19:$B$150,0)-1,0,COUNTA($B$19:$B$24),COUNTA($AK$17:$BB$17)),MATCH($F465,$F$19:$F$24,0),MATCH(AM$17,$AK$17:$BB$17,0))*INDEX($10:$13,MATCH($O465,$R$10:$R$13,0),COLUMN())</f>
        <v>3.5256870000000001E-4</v>
      </c>
      <c r="AN465" s="1046" cm="1">
        <f t="array" aca="1" ref="AN465" ca="1">INDEX(OFFSET($AK$19,MATCH($B465,$B$19:$B$150,0)-1,0,COUNTA($B$19:$B$24),COUNTA($AK$17:$BB$17)),MATCH($F465,$F$19:$F$24,0),MATCH(AN$17,$AK$17:$BB$17,0))*INDEX($10:$13,MATCH($O465,$R$10:$R$13,0),COLUMN())</f>
        <v>1.7915563679999998E-3</v>
      </c>
      <c r="AO465" s="1046" cm="1">
        <f t="array" aca="1" ref="AO465" ca="1">INDEX(OFFSET($AK$19,MATCH($B465,$B$19:$B$150,0)-1,0,COUNTA($B$19:$B$24),COUNTA($AK$17:$BB$17)),MATCH($F465,$F$19:$F$24,0),MATCH(AO$17,$AK$17:$BB$17,0))*INDEX($10:$13,MATCH($O465,$R$10:$R$13,0),COLUMN())</f>
        <v>6.5932770399999993E-2</v>
      </c>
      <c r="AP465" s="1046" cm="1">
        <f t="array" aca="1" ref="AP465" ca="1">INDEX(OFFSET($AK$19,MATCH($B465,$B$19:$B$150,0)-1,0,COUNTA($B$19:$B$24),COUNTA($AK$17:$BB$17)),MATCH($F465,$F$19:$F$24,0),MATCH(AP$17,$AK$17:$BB$17,0))*INDEX($10:$13,MATCH($O465,$R$10:$R$13,0),COLUMN())</f>
        <v>7.6144785700000004E-3</v>
      </c>
      <c r="AQ465" s="1046" cm="1">
        <f t="array" aca="1" ref="AQ465" ca="1">INDEX(OFFSET($AK$19,MATCH($B465,$B$19:$B$150,0)-1,0,COUNTA($B$19:$B$24),COUNTA($AK$17:$BB$17)),MATCH($F465,$F$19:$F$24,0),MATCH(AQ$17,$AK$17:$BB$17,0))*INDEX($10:$13,MATCH($O465,$R$10:$R$13,0),COLUMN())</f>
        <v>2.1507670250000001E-4</v>
      </c>
      <c r="AR465" s="1046" cm="1">
        <f t="array" aca="1" ref="AR465" ca="1">INDEX(OFFSET($AK$19,MATCH($B465,$B$19:$B$150,0)-1,0,COUNTA($B$19:$B$24),COUNTA($AK$17:$BB$17)),MATCH($F465,$F$19:$F$24,0),MATCH(AR$17,$AK$17:$BB$17,0))*INDEX($10:$13,MATCH($O465,$R$10:$R$13,0),COLUMN())</f>
        <v>3.1514768259999999E-2</v>
      </c>
      <c r="AS465" s="1046" cm="1">
        <f t="array" aca="1" ref="AS465" ca="1">INDEX(OFFSET($AK$19,MATCH($B465,$B$19:$B$150,0)-1,0,COUNTA($B$19:$B$24),COUNTA($AK$17:$BB$17)),MATCH($F465,$F$19:$F$24,0),MATCH(AS$17,$AK$17:$BB$17,0))*INDEX($10:$13,MATCH($O465,$R$10:$R$13,0),COLUMN())</f>
        <v>9.8619992639999987E-2</v>
      </c>
      <c r="AT465" s="1046" cm="1">
        <f t="array" aca="1" ref="AT465" ca="1">INDEX(OFFSET($AK$19,MATCH($B465,$B$19:$B$150,0)-1,0,COUNTA($B$19:$B$24),COUNTA($AK$17:$BB$17)),MATCH($F465,$F$19:$F$24,0),MATCH(AT$17,$AK$17:$BB$17,0))*INDEX($10:$13,MATCH($O465,$R$10:$R$13,0),COLUMN())</f>
        <v>1.093735625E-4</v>
      </c>
      <c r="AU465" s="1046" cm="1">
        <f t="array" aca="1" ref="AU465" ca="1">INDEX(OFFSET($AK$19,MATCH($B465,$B$19:$B$150,0)-1,0,COUNTA($B$19:$B$24),COUNTA($AK$17:$BB$17)),MATCH($F465,$F$19:$F$24,0),MATCH(AU$17,$AK$17:$BB$17,0))*INDEX($10:$13,MATCH($O465,$R$10:$R$13,0),COLUMN())</f>
        <v>6.3912149440000007E-6</v>
      </c>
      <c r="AV465" s="1046" cm="1">
        <f t="array" aca="1" ref="AV465" ca="1">INDEX(OFFSET($AK$19,MATCH($B465,$B$19:$B$150,0)-1,0,COUNTA($B$19:$B$24),COUNTA($AK$17:$BB$17)),MATCH($F465,$F$19:$F$24,0),MATCH(AV$17,$AK$17:$BB$17,0))*INDEX($10:$13,MATCH($O465,$R$10:$R$13,0),COLUMN())</f>
        <v>2.0175144849999996E-2</v>
      </c>
      <c r="AW465" s="1046" cm="1">
        <f t="array" aca="1" ref="AW465" ca="1">INDEX(OFFSET($AK$19,MATCH($B465,$B$19:$B$150,0)-1,0,COUNTA($B$19:$B$24),COUNTA($AK$17:$BB$17)),MATCH($F465,$F$19:$F$24,0),MATCH(AW$17,$AK$17:$BB$17,0))*INDEX($10:$13,MATCH($O465,$R$10:$R$13,0),COLUMN())</f>
        <v>0.15234560624999999</v>
      </c>
      <c r="AX465" s="1046" cm="1">
        <f t="array" aca="1" ref="AX465" ca="1">INDEX(OFFSET($AK$19,MATCH($B465,$B$19:$B$150,0)-1,0,COUNTA($B$19:$B$24),COUNTA($AK$17:$BB$17)),MATCH($F465,$F$19:$F$24,0),MATCH(AX$17,$AK$17:$BB$17,0))*INDEX($10:$13,MATCH($O465,$R$10:$R$13,0),COLUMN())</f>
        <v>1.5761403119999999E-7</v>
      </c>
      <c r="AY465" s="1046" cm="1">
        <f t="array" aca="1" ref="AY465" ca="1">INDEX(OFFSET($AK$19,MATCH($B465,$B$19:$B$150,0)-1,0,COUNTA($B$19:$B$24),COUNTA($AK$17:$BB$17)),MATCH($F465,$F$19:$F$24,0),MATCH(AY$17,$AK$17:$BB$17,0))*INDEX($10:$13,MATCH($O465,$R$10:$R$13,0),COLUMN())</f>
        <v>-4.3271286918749995E-9</v>
      </c>
      <c r="AZ465" s="1046" cm="1">
        <f t="array" aca="1" ref="AZ465" ca="1">INDEX(OFFSET($AK$19,MATCH($B465,$B$19:$B$150,0)-1,0,COUNTA($B$19:$B$24),COUNTA($AK$17:$BB$17)),MATCH($F465,$F$19:$F$24,0),MATCH(AZ$17,$AK$17:$BB$17,0))*INDEX($10:$13,MATCH($O465,$R$10:$R$13,0),COLUMN())</f>
        <v>0</v>
      </c>
      <c r="BA465" s="1046" cm="1">
        <f t="array" aca="1" ref="BA465" ca="1">INDEX(OFFSET($AK$19,MATCH($B465,$B$19:$B$150,0)-1,0,COUNTA($B$19:$B$24),COUNTA($AK$17:$BB$17)),MATCH($F465,$F$19:$F$24,0),MATCH(BA$17,$AK$17:$BB$17,0))*INDEX($10:$13,MATCH($O465,$R$10:$R$13,0),COLUMN())</f>
        <v>0</v>
      </c>
      <c r="BB465" s="1047" cm="1">
        <f t="array" aca="1" ref="BB465" ca="1">INDEX(OFFSET($AK$19,MATCH($B465,$B$19:$B$150,0)-1,0,COUNTA($B$19:$B$24),COUNTA($AK$17:$BB$17)),MATCH($F465,$F$19:$F$24,0),MATCH(BB$17,$AK$17:$BB$17,0))*INDEX($10:$13,MATCH($O465,$R$10:$R$13,0),COLUMN())</f>
        <v>0</v>
      </c>
      <c r="BC465" s="1049">
        <f t="shared" ca="1" si="176"/>
        <v>0.15234575953690249</v>
      </c>
      <c r="BE465" s="1"/>
      <c r="BF465" s="1"/>
      <c r="BG465" s="1"/>
      <c r="BH465" s="1"/>
      <c r="BI465" s="1"/>
      <c r="BJ465" s="1"/>
      <c r="BK465" s="1"/>
      <c r="BL465" s="1"/>
      <c r="BM465" s="1"/>
      <c r="BN465" s="1"/>
      <c r="BO465" s="1"/>
      <c r="BP465" s="1"/>
      <c r="BQ465" s="1"/>
      <c r="BR465" s="1"/>
      <c r="BS465" s="1"/>
      <c r="BT465" s="1"/>
      <c r="BU465" s="1"/>
      <c r="BV465" s="1"/>
      <c r="BW465" s="1"/>
      <c r="BX465" s="1"/>
      <c r="BY465" s="1"/>
      <c r="BZ465" s="1"/>
    </row>
    <row r="466" spans="2:78" ht="12" customHeight="1" outlineLevel="1" x14ac:dyDescent="0.25">
      <c r="B466" s="104" t="s">
        <v>104</v>
      </c>
      <c r="C466" s="104" t="s">
        <v>121</v>
      </c>
      <c r="D466" s="2" t="s">
        <v>137</v>
      </c>
      <c r="E466" s="2" t="s">
        <v>140</v>
      </c>
      <c r="F466" s="105" t="s">
        <v>122</v>
      </c>
      <c r="G466" s="27" t="s">
        <v>1579</v>
      </c>
      <c r="H466" s="106" t="s">
        <v>128</v>
      </c>
      <c r="I466" s="107" t="s">
        <v>129</v>
      </c>
      <c r="J466" s="147">
        <v>4.4622420200000006</v>
      </c>
      <c r="K466" s="148">
        <v>3.677795697780804</v>
      </c>
      <c r="L466" s="149">
        <f t="shared" ca="1" si="177"/>
        <v>7.5546056659194241E-2</v>
      </c>
      <c r="M466" s="148">
        <f t="shared" ca="1" si="178"/>
        <v>3.9556386599462936</v>
      </c>
      <c r="N466" s="148">
        <f t="shared" ca="1" si="175"/>
        <v>0.27784296216548943</v>
      </c>
      <c r="O466" s="1062" t="s">
        <v>1584</v>
      </c>
      <c r="P466" s="104"/>
      <c r="R466" s="119"/>
      <c r="S466" s="1072"/>
      <c r="T466" s="1072"/>
      <c r="U466" s="1072"/>
      <c r="V466" s="1072"/>
      <c r="W466" s="1072"/>
      <c r="X466" s="1072"/>
      <c r="Y466" s="1072"/>
      <c r="Z466" s="1072"/>
      <c r="AA466" s="1072"/>
      <c r="AB466" s="1072"/>
      <c r="AC466" s="1072"/>
      <c r="AD466" s="1072"/>
      <c r="AE466" s="1072"/>
      <c r="AF466" s="1072"/>
      <c r="AG466" s="1072"/>
      <c r="AH466" s="1072"/>
      <c r="AI466" s="1072"/>
      <c r="AJ466" s="1073"/>
      <c r="AK466" s="1052" cm="1">
        <f t="array" aca="1" ref="AK466" ca="1">INDEX(OFFSET($AK$19,MATCH($B466,$B$19:$B$150,0)-1,0,COUNTA($B$19:$B$24),COUNTA($AK$17:$BB$17)),MATCH($F466,$F$19:$F$24,0),MATCH(AK$17,$AK$17:$BB$17,0))*INDEX($10:$13,MATCH($O466,$R$10:$R$13,0),COLUMN())</f>
        <v>4.6382398959384542E-2</v>
      </c>
      <c r="AL466" s="1050" cm="1">
        <f t="array" aca="1" ref="AL466" ca="1">INDEX(OFFSET($AK$19,MATCH($B466,$B$19:$B$150,0)-1,0,COUNTA($B$19:$B$24),COUNTA($AK$17:$BB$17)),MATCH($F466,$F$19:$F$24,0),MATCH(AL$17,$AK$17:$BB$17,0))*INDEX($10:$13,MATCH($O466,$R$10:$R$13,0),COLUMN())</f>
        <v>8.9621816180000008E-8</v>
      </c>
      <c r="AM466" s="1050" cm="1">
        <f t="array" aca="1" ref="AM466" ca="1">INDEX(OFFSET($AK$19,MATCH($B466,$B$19:$B$150,0)-1,0,COUNTA($B$19:$B$24),COUNTA($AK$17:$BB$17)),MATCH($F466,$F$19:$F$24,0),MATCH(AM$17,$AK$17:$BB$17,0))*INDEX($10:$13,MATCH($O466,$R$10:$R$13,0),COLUMN())</f>
        <v>1.4719048542000002E-4</v>
      </c>
      <c r="AN466" s="1050" cm="1">
        <f t="array" aca="1" ref="AN466" ca="1">INDEX(OFFSET($AK$19,MATCH($B466,$B$19:$B$150,0)-1,0,COUNTA($B$19:$B$24),COUNTA($AK$17:$BB$17)),MATCH($F466,$F$19:$F$24,0),MATCH(AN$17,$AK$17:$BB$17,0))*INDEX($10:$13,MATCH($O466,$R$10:$R$13,0),COLUMN())</f>
        <v>1.8103622880000002E-3</v>
      </c>
      <c r="AO466" s="1050" cm="1">
        <f t="array" aca="1" ref="AO466" ca="1">INDEX(OFFSET($AK$19,MATCH($B466,$B$19:$B$150,0)-1,0,COUNTA($B$19:$B$24),COUNTA($AK$17:$BB$17)),MATCH($F466,$F$19:$F$24,0),MATCH(AO$17,$AK$17:$BB$17,0))*INDEX($10:$13,MATCH($O466,$R$10:$R$13,0),COLUMN())</f>
        <v>2.9201866399999998E-2</v>
      </c>
      <c r="AP466" s="1050" cm="1">
        <f t="array" aca="1" ref="AP466" ca="1">INDEX(OFFSET($AK$19,MATCH($B466,$B$19:$B$150,0)-1,0,COUNTA($B$19:$B$24),COUNTA($AK$17:$BB$17)),MATCH($F466,$F$19:$F$24,0),MATCH(AP$17,$AK$17:$BB$17,0))*INDEX($10:$13,MATCH($O466,$R$10:$R$13,0),COLUMN())</f>
        <v>2.4258221591999998E-3</v>
      </c>
      <c r="AQ466" s="1050" cm="1">
        <f t="array" aca="1" ref="AQ466" ca="1">INDEX(OFFSET($AK$19,MATCH($B466,$B$19:$B$150,0)-1,0,COUNTA($B$19:$B$24),COUNTA($AK$17:$BB$17)),MATCH($F466,$F$19:$F$24,0),MATCH(AQ$17,$AK$17:$BB$17,0))*INDEX($10:$13,MATCH($O466,$R$10:$R$13,0),COLUMN())</f>
        <v>2.1421905249999998E-5</v>
      </c>
      <c r="AR466" s="1050" cm="1">
        <f t="array" aca="1" ref="AR466" ca="1">INDEX(OFFSET($AK$19,MATCH($B466,$B$19:$B$150,0)-1,0,COUNTA($B$19:$B$24),COUNTA($AK$17:$BB$17)),MATCH($F466,$F$19:$F$24,0),MATCH(AR$17,$AK$17:$BB$17,0))*INDEX($10:$13,MATCH($O466,$R$10:$R$13,0),COLUMN())</f>
        <v>2.0555670021999997E-2</v>
      </c>
      <c r="AS466" s="1050" cm="1">
        <f t="array" aca="1" ref="AS466" ca="1">INDEX(OFFSET($AK$19,MATCH($B466,$B$19:$B$150,0)-1,0,COUNTA($B$19:$B$24),COUNTA($AK$17:$BB$17)),MATCH($F466,$F$19:$F$24,0),MATCH(AS$17,$AK$17:$BB$17,0))*INDEX($10:$13,MATCH($O466,$R$10:$R$13,0),COLUMN())</f>
        <v>1.27288863E-4</v>
      </c>
      <c r="AT466" s="1050" cm="1">
        <f t="array" aca="1" ref="AT466" ca="1">INDEX(OFFSET($AK$19,MATCH($B466,$B$19:$B$150,0)-1,0,COUNTA($B$19:$B$24),COUNTA($AK$17:$BB$17)),MATCH($F466,$F$19:$F$24,0),MATCH(AT$17,$AK$17:$BB$17,0))*INDEX($10:$13,MATCH($O466,$R$10:$R$13,0),COLUMN())</f>
        <v>1.8332936950000002E-6</v>
      </c>
      <c r="AU466" s="1050" cm="1">
        <f t="array" aca="1" ref="AU466" ca="1">INDEX(OFFSET($AK$19,MATCH($B466,$B$19:$B$150,0)-1,0,COUNTA($B$19:$B$24),COUNTA($AK$17:$BB$17)),MATCH($F466,$F$19:$F$24,0),MATCH(AU$17,$AK$17:$BB$17,0))*INDEX($10:$13,MATCH($O466,$R$10:$R$13,0),COLUMN())</f>
        <v>3.7344822080000001E-7</v>
      </c>
      <c r="AV466" s="1050" cm="1">
        <f t="array" aca="1" ref="AV466" ca="1">INDEX(OFFSET($AK$19,MATCH($B466,$B$19:$B$150,0)-1,0,COUNTA($B$19:$B$24),COUNTA($AK$17:$BB$17)),MATCH($F466,$F$19:$F$24,0),MATCH(AV$17,$AK$17:$BB$17,0))*INDEX($10:$13,MATCH($O466,$R$10:$R$13,0),COLUMN())</f>
        <v>2.8407279149999997E-3</v>
      </c>
      <c r="AW466" s="1050" cm="1">
        <f t="array" aca="1" ref="AW466" ca="1">INDEX(OFFSET($AK$19,MATCH($B466,$B$19:$B$150,0)-1,0,COUNTA($B$19:$B$24),COUNTA($AK$17:$BB$17)),MATCH($F466,$F$19:$F$24,0),MATCH(AW$17,$AK$17:$BB$17,0))*INDEX($10:$13,MATCH($O466,$R$10:$R$13,0),COLUMN())</f>
        <v>0.17432787615000001</v>
      </c>
      <c r="AX466" s="1050" cm="1">
        <f t="array" aca="1" ref="AX466" ca="1">INDEX(OFFSET($AK$19,MATCH($B466,$B$19:$B$150,0)-1,0,COUNTA($B$19:$B$24),COUNTA($AK$17:$BB$17)),MATCH($F466,$F$19:$F$24,0),MATCH(AX$17,$AK$17:$BB$17,0))*INDEX($10:$13,MATCH($O466,$R$10:$R$13,0),COLUMN())</f>
        <v>4.1729992649999996E-8</v>
      </c>
      <c r="AY466" s="1050" cm="1">
        <f t="array" aca="1" ref="AY466" ca="1">INDEX(OFFSET($AK$19,MATCH($B466,$B$19:$B$150,0)-1,0,COUNTA($B$19:$B$24),COUNTA($AK$17:$BB$17)),MATCH($F466,$F$19:$F$24,0),MATCH(AY$17,$AK$17:$BB$17,0))*INDEX($10:$13,MATCH($O466,$R$10:$R$13,0),COLUMN())</f>
        <v>-1.0754896893749999E-9</v>
      </c>
      <c r="AZ466" s="1050" cm="1">
        <f t="array" aca="1" ref="AZ466" ca="1">INDEX(OFFSET($AK$19,MATCH($B466,$B$19:$B$150,0)-1,0,COUNTA($B$19:$B$24),COUNTA($AK$17:$BB$17)),MATCH($F466,$F$19:$F$24,0),MATCH(AZ$17,$AK$17:$BB$17,0))*INDEX($10:$13,MATCH($O466,$R$10:$R$13,0),COLUMN())</f>
        <v>0</v>
      </c>
      <c r="BA466" s="1050" cm="1">
        <f t="array" aca="1" ref="BA466" ca="1">INDEX(OFFSET($AK$19,MATCH($B466,$B$19:$B$150,0)-1,0,COUNTA($B$19:$B$24),COUNTA($AK$17:$BB$17)),MATCH($F466,$F$19:$F$24,0),MATCH(BA$17,$AK$17:$BB$17,0))*INDEX($10:$13,MATCH($O466,$R$10:$R$13,0),COLUMN())</f>
        <v>0</v>
      </c>
      <c r="BB466" s="1051" cm="1">
        <f t="array" aca="1" ref="BB466" ca="1">INDEX(OFFSET($AK$19,MATCH($B466,$B$19:$B$150,0)-1,0,COUNTA($B$19:$B$24),COUNTA($AK$17:$BB$17)),MATCH($F466,$F$19:$F$24,0),MATCH(BB$17,$AK$17:$BB$17,0))*INDEX($10:$13,MATCH($O466,$R$10:$R$13,0),COLUMN())</f>
        <v>0</v>
      </c>
      <c r="BC466" s="1053">
        <f t="shared" ca="1" si="176"/>
        <v>0.17432791680450296</v>
      </c>
      <c r="BE466" s="1"/>
      <c r="BF466" s="1"/>
      <c r="BG466" s="1"/>
      <c r="BH466" s="1"/>
      <c r="BI466" s="1"/>
      <c r="BJ466" s="1"/>
      <c r="BK466" s="1"/>
      <c r="BL466" s="1"/>
      <c r="BM466" s="1"/>
      <c r="BN466" s="1"/>
      <c r="BO466" s="1"/>
      <c r="BP466" s="1"/>
      <c r="BQ466" s="1"/>
      <c r="BR466" s="1"/>
      <c r="BS466" s="1"/>
      <c r="BT466" s="1"/>
      <c r="BU466" s="1"/>
      <c r="BV466" s="1"/>
      <c r="BW466" s="1"/>
      <c r="BX466" s="1"/>
      <c r="BY466" s="1"/>
      <c r="BZ466" s="1"/>
    </row>
    <row r="467" spans="2:78" ht="12" customHeight="1" outlineLevel="1" x14ac:dyDescent="0.25">
      <c r="B467" s="104" t="s">
        <v>104</v>
      </c>
      <c r="C467" s="104" t="s">
        <v>121</v>
      </c>
      <c r="D467" s="2" t="s">
        <v>137</v>
      </c>
      <c r="E467" s="2" t="s">
        <v>140</v>
      </c>
      <c r="F467" s="105" t="s">
        <v>93</v>
      </c>
      <c r="G467" s="27" t="s">
        <v>1578</v>
      </c>
      <c r="H467" s="106" t="s">
        <v>130</v>
      </c>
      <c r="I467" s="107" t="s">
        <v>129</v>
      </c>
      <c r="J467" s="147">
        <v>4.4622420200000006</v>
      </c>
      <c r="K467" s="148">
        <v>3.677795697780804</v>
      </c>
      <c r="L467" s="149">
        <f t="shared" ca="1" si="177"/>
        <v>0.10137438264363872</v>
      </c>
      <c r="M467" s="148">
        <f t="shared" ca="1" si="178"/>
        <v>4.0506299661327638</v>
      </c>
      <c r="N467" s="148">
        <f t="shared" ca="1" si="175"/>
        <v>0.37283426835195949</v>
      </c>
      <c r="O467" s="1062" t="s">
        <v>1584</v>
      </c>
      <c r="P467" s="104"/>
      <c r="R467" s="119"/>
      <c r="S467" s="1072"/>
      <c r="T467" s="1072"/>
      <c r="U467" s="1072"/>
      <c r="V467" s="1072"/>
      <c r="W467" s="1072"/>
      <c r="X467" s="1072"/>
      <c r="Y467" s="1072"/>
      <c r="Z467" s="1072"/>
      <c r="AA467" s="1072"/>
      <c r="AB467" s="1072"/>
      <c r="AC467" s="1072"/>
      <c r="AD467" s="1072"/>
      <c r="AE467" s="1072"/>
      <c r="AF467" s="1072"/>
      <c r="AG467" s="1072"/>
      <c r="AH467" s="1072"/>
      <c r="AI467" s="1072"/>
      <c r="AJ467" s="1073"/>
      <c r="AK467" s="1052" cm="1">
        <f t="array" aca="1" ref="AK467" ca="1">INDEX(OFFSET($AK$19,MATCH($B467,$B$19:$B$150,0)-1,0,COUNTA($B$19:$B$24),COUNTA($AK$17:$BB$17)),MATCH($F467,$F$19:$F$24,0),MATCH(AK$17,$AK$17:$BB$17,0))*INDEX($10:$13,MATCH($O467,$R$10:$R$13,0),COLUMN())</f>
        <v>6.2192197051908323E-2</v>
      </c>
      <c r="AL467" s="1050" cm="1">
        <f t="array" aca="1" ref="AL467" ca="1">INDEX(OFFSET($AK$19,MATCH($B467,$B$19:$B$150,0)-1,0,COUNTA($B$19:$B$24),COUNTA($AK$17:$BB$17)),MATCH($F467,$F$19:$F$24,0),MATCH(AL$17,$AK$17:$BB$17,0))*INDEX($10:$13,MATCH($O467,$R$10:$R$13,0),COLUMN())</f>
        <v>1.2011941838E-7</v>
      </c>
      <c r="AM467" s="1050" cm="1">
        <f t="array" aca="1" ref="AM467" ca="1">INDEX(OFFSET($AK$19,MATCH($B467,$B$19:$B$150,0)-1,0,COUNTA($B$19:$B$24),COUNTA($AK$17:$BB$17)),MATCH($F467,$F$19:$F$24,0),MATCH(AM$17,$AK$17:$BB$17,0))*INDEX($10:$13,MATCH($O467,$R$10:$R$13,0),COLUMN())</f>
        <v>1.9727752176000002E-4</v>
      </c>
      <c r="AN467" s="1050" cm="1">
        <f t="array" aca="1" ref="AN467" ca="1">INDEX(OFFSET($AK$19,MATCH($B467,$B$19:$B$150,0)-1,0,COUNTA($B$19:$B$24),COUNTA($AK$17:$BB$17)),MATCH($F467,$F$19:$F$24,0),MATCH(AN$17,$AK$17:$BB$17,0))*INDEX($10:$13,MATCH($O467,$R$10:$R$13,0),COLUMN())</f>
        <v>2.4256407E-3</v>
      </c>
      <c r="AO467" s="1050" cm="1">
        <f t="array" aca="1" ref="AO467" ca="1">INDEX(OFFSET($AK$19,MATCH($B467,$B$19:$B$150,0)-1,0,COUNTA($B$19:$B$24),COUNTA($AK$17:$BB$17)),MATCH($F467,$F$19:$F$24,0),MATCH(AO$17,$AK$17:$BB$17,0))*INDEX($10:$13,MATCH($O467,$R$10:$R$13,0),COLUMN())</f>
        <v>3.91465228E-2</v>
      </c>
      <c r="AP467" s="1050" cm="1">
        <f t="array" aca="1" ref="AP467" ca="1">INDEX(OFFSET($AK$19,MATCH($B467,$B$19:$B$150,0)-1,0,COUNTA($B$19:$B$24),COUNTA($AK$17:$BB$17)),MATCH($F467,$F$19:$F$24,0),MATCH(AP$17,$AK$17:$BB$17,0))*INDEX($10:$13,MATCH($O467,$R$10:$R$13,0),COLUMN())</f>
        <v>3.2528625318000003E-3</v>
      </c>
      <c r="AQ467" s="1050" cm="1">
        <f t="array" aca="1" ref="AQ467" ca="1">INDEX(OFFSET($AK$19,MATCH($B467,$B$19:$B$150,0)-1,0,COUNTA($B$19:$B$24),COUNTA($AK$17:$BB$17)),MATCH($F467,$F$19:$F$24,0),MATCH(AQ$17,$AK$17:$BB$17,0))*INDEX($10:$13,MATCH($O467,$R$10:$R$13,0),COLUMN())</f>
        <v>2.8733587500000001E-5</v>
      </c>
      <c r="AR467" s="1050" cm="1">
        <f t="array" aca="1" ref="AR467" ca="1">INDEX(OFFSET($AK$19,MATCH($B467,$B$19:$B$150,0)-1,0,COUNTA($B$19:$B$24),COUNTA($AK$17:$BB$17)),MATCH($F467,$F$19:$F$24,0),MATCH(AR$17,$AK$17:$BB$17,0))*INDEX($10:$13,MATCH($O467,$R$10:$R$13,0),COLUMN())</f>
        <v>2.7571609833999998E-2</v>
      </c>
      <c r="AS467" s="1050" cm="1">
        <f t="array" aca="1" ref="AS467" ca="1">INDEX(OFFSET($AK$19,MATCH($B467,$B$19:$B$150,0)-1,0,COUNTA($B$19:$B$24),COUNTA($AK$17:$BB$17)),MATCH($F467,$F$19:$F$24,0),MATCH(AS$17,$AK$17:$BB$17,0))*INDEX($10:$13,MATCH($O467,$R$10:$R$13,0),COLUMN())</f>
        <v>1.9371908789999999E-4</v>
      </c>
      <c r="AT467" s="1050" cm="1">
        <f t="array" aca="1" ref="AT467" ca="1">INDEX(OFFSET($AK$19,MATCH($B467,$B$19:$B$150,0)-1,0,COUNTA($B$19:$B$24),COUNTA($AK$17:$BB$17)),MATCH($F467,$F$19:$F$24,0),MATCH(AT$17,$AK$17:$BB$17,0))*INDEX($10:$13,MATCH($O467,$R$10:$R$13,0),COLUMN())</f>
        <v>2.4674078180000001E-6</v>
      </c>
      <c r="AU467" s="1050" cm="1">
        <f t="array" aca="1" ref="AU467" ca="1">INDEX(OFFSET($AK$19,MATCH($B467,$B$19:$B$150,0)-1,0,COUNTA($B$19:$B$24),COUNTA($AK$17:$BB$17)),MATCH($F467,$F$19:$F$24,0),MATCH(AU$17,$AK$17:$BB$17,0))*INDEX($10:$13,MATCH($O467,$R$10:$R$13,0),COLUMN())</f>
        <v>5.0171594368000008E-7</v>
      </c>
      <c r="AV467" s="1050" cm="1">
        <f t="array" aca="1" ref="AV467" ca="1">INDEX(OFFSET($AK$19,MATCH($B467,$B$19:$B$150,0)-1,0,COUNTA($B$19:$B$24),COUNTA($AK$17:$BB$17)),MATCH($F467,$F$19:$F$24,0),MATCH(AV$17,$AK$17:$BB$17,0))*INDEX($10:$13,MATCH($O467,$R$10:$R$13,0),COLUMN())</f>
        <v>3.9911901774999994E-3</v>
      </c>
      <c r="AW467" s="1050" cm="1">
        <f t="array" aca="1" ref="AW467" ca="1">INDEX(OFFSET($AK$19,MATCH($B467,$B$19:$B$150,0)-1,0,COUNTA($B$19:$B$24),COUNTA($AK$17:$BB$17)),MATCH($F467,$F$19:$F$24,0),MATCH(AW$17,$AK$17:$BB$17,0))*INDEX($10:$13,MATCH($O467,$R$10:$R$13,0),COLUMN())</f>
        <v>0.23383137134999998</v>
      </c>
      <c r="AX467" s="1050" cm="1">
        <f t="array" aca="1" ref="AX467" ca="1">INDEX(OFFSET($AK$19,MATCH($B467,$B$19:$B$150,0)-1,0,COUNTA($B$19:$B$24),COUNTA($AK$17:$BB$17)),MATCH($F467,$F$19:$F$24,0),MATCH(AX$17,$AK$17:$BB$17,0))*INDEX($10:$13,MATCH($O467,$R$10:$R$13,0),COLUMN())</f>
        <v>5.5907286299999996E-8</v>
      </c>
      <c r="AY467" s="1050" cm="1">
        <f t="array" aca="1" ref="AY467" ca="1">INDEX(OFFSET($AK$19,MATCH($B467,$B$19:$B$150,0)-1,0,COUNTA($B$19:$B$24),COUNTA($AK$17:$BB$17)),MATCH($F467,$F$19:$F$24,0),MATCH(AY$17,$AK$17:$BB$17,0))*INDEX($10:$13,MATCH($O467,$R$10:$R$13,0),COLUMN())</f>
        <v>-1.4408752049999997E-9</v>
      </c>
      <c r="AZ467" s="1050" cm="1">
        <f t="array" aca="1" ref="AZ467" ca="1">INDEX(OFFSET($AK$19,MATCH($B467,$B$19:$B$150,0)-1,0,COUNTA($B$19:$B$24),COUNTA($AK$17:$BB$17)),MATCH($F467,$F$19:$F$24,0),MATCH(AZ$17,$AK$17:$BB$17,0))*INDEX($10:$13,MATCH($O467,$R$10:$R$13,0),COLUMN())</f>
        <v>0</v>
      </c>
      <c r="BA467" s="1050" cm="1">
        <f t="array" aca="1" ref="BA467" ca="1">INDEX(OFFSET($AK$19,MATCH($B467,$B$19:$B$150,0)-1,0,COUNTA($B$19:$B$24),COUNTA($AK$17:$BB$17)),MATCH($F467,$F$19:$F$24,0),MATCH(BA$17,$AK$17:$BB$17,0))*INDEX($10:$13,MATCH($O467,$R$10:$R$13,0),COLUMN())</f>
        <v>0</v>
      </c>
      <c r="BB467" s="1051" cm="1">
        <f t="array" aca="1" ref="BB467" ca="1">INDEX(OFFSET($AK$19,MATCH($B467,$B$19:$B$150,0)-1,0,COUNTA($B$19:$B$24),COUNTA($AK$17:$BB$17)),MATCH($F467,$F$19:$F$24,0),MATCH(BB$17,$AK$17:$BB$17,0))*INDEX($10:$13,MATCH($O467,$R$10:$R$13,0),COLUMN())</f>
        <v>0</v>
      </c>
      <c r="BC467" s="1053">
        <f t="shared" ca="1" si="176"/>
        <v>0.23383142581641109</v>
      </c>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2:78" ht="12" customHeight="1" outlineLevel="1" x14ac:dyDescent="0.25">
      <c r="B468" s="104" t="s">
        <v>104</v>
      </c>
      <c r="C468" s="104" t="s">
        <v>121</v>
      </c>
      <c r="D468" s="2" t="s">
        <v>137</v>
      </c>
      <c r="E468" s="2" t="s">
        <v>140</v>
      </c>
      <c r="F468" s="105" t="s">
        <v>94</v>
      </c>
      <c r="G468" s="27" t="s">
        <v>1580</v>
      </c>
      <c r="H468" s="106" t="s">
        <v>131</v>
      </c>
      <c r="I468" s="107" t="s">
        <v>129</v>
      </c>
      <c r="J468" s="147">
        <v>4.4622420200000006</v>
      </c>
      <c r="K468" s="148">
        <v>3.677795697780804</v>
      </c>
      <c r="L468" s="149">
        <f t="shared" ca="1" si="177"/>
        <v>6.018342825831715E-2</v>
      </c>
      <c r="M468" s="148">
        <f t="shared" ca="1" si="178"/>
        <v>3.8991380513069425</v>
      </c>
      <c r="N468" s="148">
        <f t="shared" ca="1" si="175"/>
        <v>0.22134235352613849</v>
      </c>
      <c r="O468" s="1062" t="s">
        <v>1584</v>
      </c>
      <c r="P468" s="104"/>
      <c r="R468" s="119"/>
      <c r="S468" s="1072"/>
      <c r="T468" s="1072"/>
      <c r="U468" s="1072"/>
      <c r="V468" s="1072"/>
      <c r="W468" s="1072"/>
      <c r="X468" s="1072"/>
      <c r="Y468" s="1072"/>
      <c r="Z468" s="1072"/>
      <c r="AA468" s="1072"/>
      <c r="AB468" s="1072"/>
      <c r="AC468" s="1072"/>
      <c r="AD468" s="1072"/>
      <c r="AE468" s="1072"/>
      <c r="AF468" s="1072"/>
      <c r="AG468" s="1072"/>
      <c r="AH468" s="1072"/>
      <c r="AI468" s="1072"/>
      <c r="AJ468" s="1073"/>
      <c r="AK468" s="1052" cm="1">
        <f t="array" aca="1" ref="AK468" ca="1">INDEX(OFFSET($AK$19,MATCH($B468,$B$19:$B$150,0)-1,0,COUNTA($B$19:$B$24),COUNTA($AK$17:$BB$17)),MATCH($F468,$F$19:$F$24,0),MATCH(AK$17,$AK$17:$BB$17,0))*INDEX($10:$13,MATCH($O468,$R$10:$R$13,0),COLUMN())</f>
        <v>3.6975632275993632E-2</v>
      </c>
      <c r="AL468" s="1050" cm="1">
        <f t="array" aca="1" ref="AL468" ca="1">INDEX(OFFSET($AK$19,MATCH($B468,$B$19:$B$150,0)-1,0,COUNTA($B$19:$B$24),COUNTA($AK$17:$BB$17)),MATCH($F468,$F$19:$F$24,0),MATCH(AL$17,$AK$17:$BB$17,0))*INDEX($10:$13,MATCH($O468,$R$10:$R$13,0),COLUMN())</f>
        <v>7.1464365570000007E-8</v>
      </c>
      <c r="AM468" s="1050" cm="1">
        <f t="array" aca="1" ref="AM468" ca="1">INDEX(OFFSET($AK$19,MATCH($B468,$B$19:$B$150,0)-1,0,COUNTA($B$19:$B$24),COUNTA($AK$17:$BB$17)),MATCH($F468,$F$19:$F$24,0),MATCH(AM$17,$AK$17:$BB$17,0))*INDEX($10:$13,MATCH($O468,$R$10:$R$13,0),COLUMN())</f>
        <v>1.1736984995999999E-4</v>
      </c>
      <c r="AN468" s="1050" cm="1">
        <f t="array" aca="1" ref="AN468" ca="1">INDEX(OFFSET($AK$19,MATCH($B468,$B$19:$B$150,0)-1,0,COUNTA($B$19:$B$24),COUNTA($AK$17:$BB$17)),MATCH($F468,$F$19:$F$24,0),MATCH(AN$17,$AK$17:$BB$17,0))*INDEX($10:$13,MATCH($O468,$R$10:$R$13,0),COLUMN())</f>
        <v>1.4438664239999999E-3</v>
      </c>
      <c r="AO468" s="1050" cm="1">
        <f t="array" aca="1" ref="AO468" ca="1">INDEX(OFFSET($AK$19,MATCH($B468,$B$19:$B$150,0)-1,0,COUNTA($B$19:$B$24),COUNTA($AK$17:$BB$17)),MATCH($F468,$F$19:$F$24,0),MATCH(AO$17,$AK$17:$BB$17,0))*INDEX($10:$13,MATCH($O468,$R$10:$R$13,0),COLUMN())</f>
        <v>2.3282787359999998E-2</v>
      </c>
      <c r="AP468" s="1050" cm="1">
        <f t="array" aca="1" ref="AP468" ca="1">INDEX(OFFSET($AK$19,MATCH($B468,$B$19:$B$150,0)-1,0,COUNTA($B$19:$B$24),COUNTA($AK$17:$BB$17)),MATCH($F468,$F$19:$F$24,0),MATCH(AP$17,$AK$17:$BB$17,0))*INDEX($10:$13,MATCH($O468,$R$10:$R$13,0),COLUMN())</f>
        <v>1.9337773002000001E-3</v>
      </c>
      <c r="AQ468" s="1050" cm="1">
        <f t="array" aca="1" ref="AQ468" ca="1">INDEX(OFFSET($AK$19,MATCH($B468,$B$19:$B$150,0)-1,0,COUNTA($B$19:$B$24),COUNTA($AK$17:$BB$17)),MATCH($F468,$F$19:$F$24,0),MATCH(AQ$17,$AK$17:$BB$17,0))*INDEX($10:$13,MATCH($O468,$R$10:$R$13,0),COLUMN())</f>
        <v>1.707372E-5</v>
      </c>
      <c r="AR468" s="1050" cm="1">
        <f t="array" aca="1" ref="AR468" ca="1">INDEX(OFFSET($AK$19,MATCH($B468,$B$19:$B$150,0)-1,0,COUNTA($B$19:$B$24),COUNTA($AK$17:$BB$17)),MATCH($F468,$F$19:$F$24,0),MATCH(AR$17,$AK$17:$BB$17,0))*INDEX($10:$13,MATCH($O468,$R$10:$R$13,0),COLUMN())</f>
        <v>1.6383341293999997E-2</v>
      </c>
      <c r="AS468" s="1050" cm="1">
        <f t="array" aca="1" ref="AS468" ca="1">INDEX(OFFSET($AK$19,MATCH($B468,$B$19:$B$150,0)-1,0,COUNTA($B$19:$B$24),COUNTA($AK$17:$BB$17)),MATCH($F468,$F$19:$F$24,0),MATCH(AS$17,$AK$17:$BB$17,0))*INDEX($10:$13,MATCH($O468,$R$10:$R$13,0),COLUMN())</f>
        <v>8.7794640180000001E-5</v>
      </c>
      <c r="AT468" s="1050" cm="1">
        <f t="array" aca="1" ref="AT468" ca="1">INDEX(OFFSET($AK$19,MATCH($B468,$B$19:$B$150,0)-1,0,COUNTA($B$19:$B$24),COUNTA($AK$17:$BB$17)),MATCH($F468,$F$19:$F$24,0),MATCH(AT$17,$AK$17:$BB$17,0))*INDEX($10:$13,MATCH($O468,$R$10:$R$13,0),COLUMN())</f>
        <v>1.4561856794999999E-6</v>
      </c>
      <c r="AU468" s="1050" cm="1">
        <f t="array" aca="1" ref="AU468" ca="1">INDEX(OFFSET($AK$19,MATCH($B468,$B$19:$B$150,0)-1,0,COUNTA($B$19:$B$24),COUNTA($AK$17:$BB$17)),MATCH($F468,$F$19:$F$24,0),MATCH(AU$17,$AK$17:$BB$17,0))*INDEX($10:$13,MATCH($O468,$R$10:$R$13,0),COLUMN())</f>
        <v>2.9714810432000004E-7</v>
      </c>
      <c r="AV468" s="1050" cm="1">
        <f t="array" aca="1" ref="AV468" ca="1">INDEX(OFFSET($AK$19,MATCH($B468,$B$19:$B$150,0)-1,0,COUNTA($B$19:$B$24),COUNTA($AK$17:$BB$17)),MATCH($F468,$F$19:$F$24,0),MATCH(AV$17,$AK$17:$BB$17,0))*INDEX($10:$13,MATCH($O468,$R$10:$R$13,0),COLUMN())</f>
        <v>2.1566107374999996E-3</v>
      </c>
      <c r="AW468" s="1050" cm="1">
        <f t="array" aca="1" ref="AW468" ca="1">INDEX(OFFSET($AK$19,MATCH($B468,$B$19:$B$150,0)-1,0,COUNTA($B$19:$B$24),COUNTA($AK$17:$BB$17)),MATCH($F468,$F$19:$F$24,0),MATCH(AW$17,$AK$17:$BB$17,0))*INDEX($10:$13,MATCH($O468,$R$10:$R$13,0),COLUMN())</f>
        <v>0.1389422427</v>
      </c>
      <c r="AX468" s="1050" cm="1">
        <f t="array" aca="1" ref="AX468" ca="1">INDEX(OFFSET($AK$19,MATCH($B468,$B$19:$B$150,0)-1,0,COUNTA($B$19:$B$24),COUNTA($AK$17:$BB$17)),MATCH($F468,$F$19:$F$24,0),MATCH(AX$17,$AK$17:$BB$17,0))*INDEX($10:$13,MATCH($O468,$R$10:$R$13,0),COLUMN())</f>
        <v>3.3283969349999998E-8</v>
      </c>
      <c r="AY468" s="1050" cm="1">
        <f t="array" aca="1" ref="AY468" ca="1">INDEX(OFFSET($AK$19,MATCH($B468,$B$19:$B$150,0)-1,0,COUNTA($B$19:$B$24),COUNTA($AK$17:$BB$17)),MATCH($F468,$F$19:$F$24,0),MATCH(AY$17,$AK$17:$BB$17,0))*INDEX($10:$13,MATCH($O468,$R$10:$R$13,0),COLUMN())</f>
        <v>-8.5781385449999989E-10</v>
      </c>
      <c r="AZ468" s="1050" cm="1">
        <f t="array" aca="1" ref="AZ468" ca="1">INDEX(OFFSET($AK$19,MATCH($B468,$B$19:$B$150,0)-1,0,COUNTA($B$19:$B$24),COUNTA($AK$17:$BB$17)),MATCH($F468,$F$19:$F$24,0),MATCH(AZ$17,$AK$17:$BB$17,0))*INDEX($10:$13,MATCH($O468,$R$10:$R$13,0),COLUMN())</f>
        <v>0</v>
      </c>
      <c r="BA468" s="1050" cm="1">
        <f t="array" aca="1" ref="BA468" ca="1">INDEX(OFFSET($AK$19,MATCH($B468,$B$19:$B$150,0)-1,0,COUNTA($B$19:$B$24),COUNTA($AK$17:$BB$17)),MATCH($F468,$F$19:$F$24,0),MATCH(BA$17,$AK$17:$BB$17,0))*INDEX($10:$13,MATCH($O468,$R$10:$R$13,0),COLUMN())</f>
        <v>0</v>
      </c>
      <c r="BB468" s="1051" cm="1">
        <f t="array" aca="1" ref="BB468" ca="1">INDEX(OFFSET($AK$19,MATCH($B468,$B$19:$B$150,0)-1,0,COUNTA($B$19:$B$24),COUNTA($AK$17:$BB$17)),MATCH($F468,$F$19:$F$24,0),MATCH(BB$17,$AK$17:$BB$17,0))*INDEX($10:$13,MATCH($O468,$R$10:$R$13,0),COLUMN())</f>
        <v>0</v>
      </c>
      <c r="BC468" s="1053">
        <f t="shared" ca="1" si="176"/>
        <v>0.13894227512615551</v>
      </c>
      <c r="BE468" s="1"/>
      <c r="BF468" s="1"/>
      <c r="BG468" s="1"/>
      <c r="BH468" s="1"/>
      <c r="BI468" s="1"/>
      <c r="BJ468" s="1"/>
      <c r="BK468" s="1"/>
      <c r="BL468" s="1"/>
      <c r="BM468" s="1"/>
      <c r="BN468" s="1"/>
      <c r="BO468" s="1"/>
      <c r="BP468" s="1"/>
      <c r="BQ468" s="1"/>
      <c r="BR468" s="1"/>
      <c r="BS468" s="1"/>
      <c r="BT468" s="1"/>
      <c r="BU468" s="1"/>
      <c r="BV468" s="1"/>
      <c r="BW468" s="1"/>
      <c r="BX468" s="1"/>
      <c r="BY468" s="1"/>
      <c r="BZ468" s="1"/>
    </row>
    <row r="469" spans="2:78" ht="12" customHeight="1" outlineLevel="1" x14ac:dyDescent="0.25">
      <c r="B469" s="104" t="s">
        <v>104</v>
      </c>
      <c r="C469" s="104" t="s">
        <v>121</v>
      </c>
      <c r="D469" s="2" t="s">
        <v>137</v>
      </c>
      <c r="E469" s="2" t="s">
        <v>140</v>
      </c>
      <c r="F469" s="105" t="s">
        <v>95</v>
      </c>
      <c r="G469" s="27" t="s">
        <v>1581</v>
      </c>
      <c r="H469" s="106" t="s">
        <v>128</v>
      </c>
      <c r="I469" s="107" t="s">
        <v>127</v>
      </c>
      <c r="J469" s="147">
        <v>4.4622420200000006</v>
      </c>
      <c r="K469" s="148">
        <v>3.677795697780804</v>
      </c>
      <c r="L469" s="149">
        <f t="shared" ca="1" si="177"/>
        <v>9.7719169532371211E-2</v>
      </c>
      <c r="M469" s="148">
        <f t="shared" ca="1" si="178"/>
        <v>4.0371868390776715</v>
      </c>
      <c r="N469" s="148">
        <f t="shared" ca="1" si="175"/>
        <v>0.35939114129686783</v>
      </c>
      <c r="O469" s="1062" t="s">
        <v>1584</v>
      </c>
      <c r="P469" s="104"/>
      <c r="R469" s="119"/>
      <c r="S469" s="1072"/>
      <c r="T469" s="1072"/>
      <c r="U469" s="1072"/>
      <c r="V469" s="1072"/>
      <c r="W469" s="1072"/>
      <c r="X469" s="1072"/>
      <c r="Y469" s="1072"/>
      <c r="Z469" s="1072"/>
      <c r="AA469" s="1072"/>
      <c r="AB469" s="1072"/>
      <c r="AC469" s="1072"/>
      <c r="AD469" s="1072"/>
      <c r="AE469" s="1072"/>
      <c r="AF469" s="1072"/>
      <c r="AG469" s="1072"/>
      <c r="AH469" s="1072"/>
      <c r="AI469" s="1072"/>
      <c r="AJ469" s="1073"/>
      <c r="AK469" s="1052" cm="1">
        <f t="array" aca="1" ref="AK469" ca="1">INDEX(OFFSET($AK$19,MATCH($B469,$B$19:$B$150,0)-1,0,COUNTA($B$19:$B$24),COUNTA($AK$17:$BB$17)),MATCH($F469,$F$19:$F$24,0),MATCH(AK$17,$AK$17:$BB$17,0))*INDEX($10:$13,MATCH($O469,$R$10:$R$13,0),COLUMN())</f>
        <v>5.279411473974506E-2</v>
      </c>
      <c r="AL469" s="1050" cm="1">
        <f t="array" aca="1" ref="AL469" ca="1">INDEX(OFFSET($AK$19,MATCH($B469,$B$19:$B$150,0)-1,0,COUNTA($B$19:$B$24),COUNTA($AK$17:$BB$17)),MATCH($F469,$F$19:$F$24,0),MATCH(AL$17,$AK$17:$BB$17,0))*INDEX($10:$13,MATCH($O469,$R$10:$R$13,0),COLUMN())</f>
        <v>9.0412432630000006E-8</v>
      </c>
      <c r="AM469" s="1050" cm="1">
        <f t="array" aca="1" ref="AM469" ca="1">INDEX(OFFSET($AK$19,MATCH($B469,$B$19:$B$150,0)-1,0,COUNTA($B$19:$B$24),COUNTA($AK$17:$BB$17)),MATCH($F469,$F$19:$F$24,0),MATCH(AM$17,$AK$17:$BB$17,0))*INDEX($10:$13,MATCH($O469,$R$10:$R$13,0),COLUMN())</f>
        <v>1.4848347492000001E-4</v>
      </c>
      <c r="AN469" s="1050" cm="1">
        <f t="array" aca="1" ref="AN469" ca="1">INDEX(OFFSET($AK$19,MATCH($B469,$B$19:$B$150,0)-1,0,COUNTA($B$19:$B$24),COUNTA($AK$17:$BB$17)),MATCH($F469,$F$19:$F$24,0),MATCH(AN$17,$AK$17:$BB$17,0))*INDEX($10:$13,MATCH($O469,$R$10:$R$13,0),COLUMN())</f>
        <v>1.9652849160000001E-3</v>
      </c>
      <c r="AO469" s="1050" cm="1">
        <f t="array" aca="1" ref="AO469" ca="1">INDEX(OFFSET($AK$19,MATCH($B469,$B$19:$B$150,0)-1,0,COUNTA($B$19:$B$24),COUNTA($AK$17:$BB$17)),MATCH($F469,$F$19:$F$24,0),MATCH(AO$17,$AK$17:$BB$17,0))*INDEX($10:$13,MATCH($O469,$R$10:$R$13,0),COLUMN())</f>
        <v>7.2812163200000002E-2</v>
      </c>
      <c r="AP469" s="1050" cm="1">
        <f t="array" aca="1" ref="AP469" ca="1">INDEX(OFFSET($AK$19,MATCH($B469,$B$19:$B$150,0)-1,0,COUNTA($B$19:$B$24),COUNTA($AK$17:$BB$17)),MATCH($F469,$F$19:$F$24,0),MATCH(AP$17,$AK$17:$BB$17,0))*INDEX($10:$13,MATCH($O469,$R$10:$R$13,0),COLUMN())</f>
        <v>8.5770254320000003E-3</v>
      </c>
      <c r="AQ469" s="1050" cm="1">
        <f t="array" aca="1" ref="AQ469" ca="1">INDEX(OFFSET($AK$19,MATCH($B469,$B$19:$B$150,0)-1,0,COUNTA($B$19:$B$24),COUNTA($AK$17:$BB$17)),MATCH($F469,$F$19:$F$24,0),MATCH(AQ$17,$AK$17:$BB$17,0))*INDEX($10:$13,MATCH($O469,$R$10:$R$13,0),COLUMN())</f>
        <v>8.4890660000000001E-5</v>
      </c>
      <c r="AR469" s="1050" cm="1">
        <f t="array" aca="1" ref="AR469" ca="1">INDEX(OFFSET($AK$19,MATCH($B469,$B$19:$B$150,0)-1,0,COUNTA($B$19:$B$24),COUNTA($AK$17:$BB$17)),MATCH($F469,$F$19:$F$24,0),MATCH(AR$17,$AK$17:$BB$17,0))*INDEX($10:$13,MATCH($O469,$R$10:$R$13,0),COLUMN())</f>
        <v>3.6033197069999995E-2</v>
      </c>
      <c r="AS469" s="1050" cm="1">
        <f t="array" aca="1" ref="AS469" ca="1">INDEX(OFFSET($AK$19,MATCH($B469,$B$19:$B$150,0)-1,0,COUNTA($B$19:$B$24),COUNTA($AK$17:$BB$17)),MATCH($F469,$F$19:$F$24,0),MATCH(AS$17,$AK$17:$BB$17,0))*INDEX($10:$13,MATCH($O469,$R$10:$R$13,0),COLUMN())</f>
        <v>1.1169025569E-3</v>
      </c>
      <c r="AT469" s="1050" cm="1">
        <f t="array" aca="1" ref="AT469" ca="1">INDEX(OFFSET($AK$19,MATCH($B469,$B$19:$B$150,0)-1,0,COUNTA($B$19:$B$24),COUNTA($AK$17:$BB$17)),MATCH($F469,$F$19:$F$24,0),MATCH(AT$17,$AK$17:$BB$17,0))*INDEX($10:$13,MATCH($O469,$R$10:$R$13,0),COLUMN())</f>
        <v>2.5542664680000002E-6</v>
      </c>
      <c r="AU469" s="1050" cm="1">
        <f t="array" aca="1" ref="AU469" ca="1">INDEX(OFFSET($AK$19,MATCH($B469,$B$19:$B$150,0)-1,0,COUNTA($B$19:$B$24),COUNTA($AK$17:$BB$17)),MATCH($F469,$F$19:$F$24,0),MATCH(AU$17,$AK$17:$BB$17,0))*INDEX($10:$13,MATCH($O469,$R$10:$R$13,0),COLUMN())</f>
        <v>4.8343889920000001E-7</v>
      </c>
      <c r="AV469" s="1050" cm="1">
        <f t="array" aca="1" ref="AV469" ca="1">INDEX(OFFSET($AK$19,MATCH($B469,$B$19:$B$150,0)-1,0,COUNTA($B$19:$B$24),COUNTA($AK$17:$BB$17)),MATCH($F469,$F$19:$F$24,0),MATCH(AV$17,$AK$17:$BB$17,0))*INDEX($10:$13,MATCH($O469,$R$10:$R$13,0),COLUMN())</f>
        <v>1.1528034325E-2</v>
      </c>
      <c r="AW469" s="1050" cm="1">
        <f t="array" aca="1" ref="AW469" ca="1">INDEX(OFFSET($AK$19,MATCH($B469,$B$19:$B$150,0)-1,0,COUNTA($B$19:$B$24),COUNTA($AK$17:$BB$17)),MATCH($F469,$F$19:$F$24,0),MATCH(AW$17,$AK$17:$BB$17,0))*INDEX($10:$13,MATCH($O469,$R$10:$R$13,0),COLUMN())</f>
        <v>0.17432787615000001</v>
      </c>
      <c r="AX469" s="1050" cm="1">
        <f t="array" aca="1" ref="AX469" ca="1">INDEX(OFFSET($AK$19,MATCH($B469,$B$19:$B$150,0)-1,0,COUNTA($B$19:$B$24),COUNTA($AK$17:$BB$17)),MATCH($F469,$F$19:$F$24,0),MATCH(AX$17,$AK$17:$BB$17,0))*INDEX($10:$13,MATCH($O469,$R$10:$R$13,0),COLUMN())</f>
        <v>4.1729992649999996E-8</v>
      </c>
      <c r="AY469" s="1050" cm="1">
        <f t="array" aca="1" ref="AY469" ca="1">INDEX(OFFSET($AK$19,MATCH($B469,$B$19:$B$150,0)-1,0,COUNTA($B$19:$B$24),COUNTA($AK$17:$BB$17)),MATCH($F469,$F$19:$F$24,0),MATCH(AY$17,$AK$17:$BB$17,0))*INDEX($10:$13,MATCH($O469,$R$10:$R$13,0),COLUMN())</f>
        <v>-1.0754896893749999E-9</v>
      </c>
      <c r="AZ469" s="1050" cm="1">
        <f t="array" aca="1" ref="AZ469" ca="1">INDEX(OFFSET($AK$19,MATCH($B469,$B$19:$B$150,0)-1,0,COUNTA($B$19:$B$24),COUNTA($AK$17:$BB$17)),MATCH($F469,$F$19:$F$24,0),MATCH(AZ$17,$AK$17:$BB$17,0))*INDEX($10:$13,MATCH($O469,$R$10:$R$13,0),COLUMN())</f>
        <v>0</v>
      </c>
      <c r="BA469" s="1050" cm="1">
        <f t="array" aca="1" ref="BA469" ca="1">INDEX(OFFSET($AK$19,MATCH($B469,$B$19:$B$150,0)-1,0,COUNTA($B$19:$B$24),COUNTA($AK$17:$BB$17)),MATCH($F469,$F$19:$F$24,0),MATCH(BA$17,$AK$17:$BB$17,0))*INDEX($10:$13,MATCH($O469,$R$10:$R$13,0),COLUMN())</f>
        <v>0</v>
      </c>
      <c r="BB469" s="1051" cm="1">
        <f t="array" aca="1" ref="BB469" ca="1">INDEX(OFFSET($AK$19,MATCH($B469,$B$19:$B$150,0)-1,0,COUNTA($B$19:$B$24),COUNTA($AK$17:$BB$17)),MATCH($F469,$F$19:$F$24,0),MATCH(BB$17,$AK$17:$BB$17,0))*INDEX($10:$13,MATCH($O469,$R$10:$R$13,0),COLUMN())</f>
        <v>0</v>
      </c>
      <c r="BC469" s="1053">
        <f t="shared" ca="1" si="176"/>
        <v>0.17432791680450296</v>
      </c>
      <c r="BE469" s="1"/>
      <c r="BF469" s="1"/>
      <c r="BG469" s="1"/>
      <c r="BH469" s="1"/>
      <c r="BI469" s="1"/>
      <c r="BJ469" s="1"/>
      <c r="BK469" s="1"/>
      <c r="BL469" s="1"/>
      <c r="BM469" s="1"/>
      <c r="BN469" s="1"/>
      <c r="BO469" s="1"/>
      <c r="BP469" s="1"/>
      <c r="BQ469" s="1"/>
      <c r="BR469" s="1"/>
      <c r="BS469" s="1"/>
      <c r="BT469" s="1"/>
      <c r="BU469" s="1"/>
      <c r="BV469" s="1"/>
      <c r="BW469" s="1"/>
      <c r="BX469" s="1"/>
      <c r="BY469" s="1"/>
      <c r="BZ469" s="1"/>
    </row>
    <row r="470" spans="2:78" ht="12" customHeight="1" outlineLevel="1" x14ac:dyDescent="0.25">
      <c r="B470" s="104" t="s">
        <v>104</v>
      </c>
      <c r="C470" s="104" t="s">
        <v>121</v>
      </c>
      <c r="D470" s="2" t="s">
        <v>137</v>
      </c>
      <c r="E470" s="2" t="s">
        <v>140</v>
      </c>
      <c r="F470" s="105" t="s">
        <v>96</v>
      </c>
      <c r="G470" s="27" t="s">
        <v>1582</v>
      </c>
      <c r="H470" s="106" t="s">
        <v>128</v>
      </c>
      <c r="I470" s="107" t="s">
        <v>1577</v>
      </c>
      <c r="J470" s="147">
        <v>4.4622420200000006</v>
      </c>
      <c r="K470" s="148">
        <v>3.677795697780804</v>
      </c>
      <c r="L470" s="149">
        <f t="shared" ca="1" si="177"/>
        <v>0.11392032015128897</v>
      </c>
      <c r="M470" s="148">
        <f t="shared" ca="1" si="178"/>
        <v>4.0967713611230261</v>
      </c>
      <c r="N470" s="148">
        <f t="shared" ca="1" si="175"/>
        <v>0.41897566334222242</v>
      </c>
      <c r="O470" s="1062" t="s">
        <v>1584</v>
      </c>
      <c r="P470" s="104"/>
      <c r="R470" s="119"/>
      <c r="S470" s="1072"/>
      <c r="T470" s="1072"/>
      <c r="U470" s="1072"/>
      <c r="V470" s="1072"/>
      <c r="W470" s="1072"/>
      <c r="X470" s="1072"/>
      <c r="Y470" s="1072"/>
      <c r="Z470" s="1072"/>
      <c r="AA470" s="1072"/>
      <c r="AB470" s="1072"/>
      <c r="AC470" s="1072"/>
      <c r="AD470" s="1072"/>
      <c r="AE470" s="1072"/>
      <c r="AF470" s="1072"/>
      <c r="AG470" s="1072"/>
      <c r="AH470" s="1072"/>
      <c r="AI470" s="1072"/>
      <c r="AJ470" s="1073"/>
      <c r="AK470" s="1052" cm="1">
        <f t="array" aca="1" ref="AK470" ca="1">INDEX(OFFSET($AK$19,MATCH($B470,$B$19:$B$150,0)-1,0,COUNTA($B$19:$B$24),COUNTA($AK$17:$BB$17)),MATCH($F470,$F$19:$F$24,0),MATCH(AK$17,$AK$17:$BB$17,0))*INDEX($10:$13,MATCH($O470,$R$10:$R$13,0),COLUMN())</f>
        <v>5.7389286347676552E-2</v>
      </c>
      <c r="AL470" s="1050" cm="1">
        <f t="array" aca="1" ref="AL470" ca="1">INDEX(OFFSET($AK$19,MATCH($B470,$B$19:$B$150,0)-1,0,COUNTA($B$19:$B$24),COUNTA($AK$17:$BB$17)),MATCH($F470,$F$19:$F$24,0),MATCH(AL$17,$AK$17:$BB$17,0))*INDEX($10:$13,MATCH($O470,$R$10:$R$13,0),COLUMN())</f>
        <v>9.0928403539999993E-8</v>
      </c>
      <c r="AM470" s="1050" cm="1">
        <f t="array" aca="1" ref="AM470" ca="1">INDEX(OFFSET($AK$19,MATCH($B470,$B$19:$B$150,0)-1,0,COUNTA($B$19:$B$24),COUNTA($AK$17:$BB$17)),MATCH($F470,$F$19:$F$24,0),MATCH(AM$17,$AK$17:$BB$17,0))*INDEX($10:$13,MATCH($O470,$R$10:$R$13,0),COLUMN())</f>
        <v>1.4932730241E-4</v>
      </c>
      <c r="AN470" s="1050" cm="1">
        <f t="array" aca="1" ref="AN470" ca="1">INDEX(OFFSET($AK$19,MATCH($B470,$B$19:$B$150,0)-1,0,COUNTA($B$19:$B$24),COUNTA($AK$17:$BB$17)),MATCH($F470,$F$19:$F$24,0),MATCH(AN$17,$AK$17:$BB$17,0))*INDEX($10:$13,MATCH($O470,$R$10:$R$13,0),COLUMN())</f>
        <v>2.0663899200000003E-3</v>
      </c>
      <c r="AO470" s="1050" cm="1">
        <f t="array" aca="1" ref="AO470" ca="1">INDEX(OFFSET($AK$19,MATCH($B470,$B$19:$B$150,0)-1,0,COUNTA($B$19:$B$24),COUNTA($AK$17:$BB$17)),MATCH($F470,$F$19:$F$24,0),MATCH(AO$17,$AK$17:$BB$17,0))*INDEX($10:$13,MATCH($O470,$R$10:$R$13,0),COLUMN())</f>
        <v>0.10451778119999999</v>
      </c>
      <c r="AP470" s="1050" cm="1">
        <f t="array" aca="1" ref="AP470" ca="1">INDEX(OFFSET($AK$19,MATCH($B470,$B$19:$B$150,0)-1,0,COUNTA($B$19:$B$24),COUNTA($AK$17:$BB$17)),MATCH($F470,$F$19:$F$24,0),MATCH(AP$17,$AK$17:$BB$17,0))*INDEX($10:$13,MATCH($O470,$R$10:$R$13,0),COLUMN())</f>
        <v>1.3058098858E-2</v>
      </c>
      <c r="AQ470" s="1050" cm="1">
        <f t="array" aca="1" ref="AQ470" ca="1">INDEX(OFFSET($AK$19,MATCH($B470,$B$19:$B$150,0)-1,0,COUNTA($B$19:$B$24),COUNTA($AK$17:$BB$17)),MATCH($F470,$F$19:$F$24,0),MATCH(AQ$17,$AK$17:$BB$17,0))*INDEX($10:$13,MATCH($O470,$R$10:$R$13,0),COLUMN())</f>
        <v>1.3009179249999999E-4</v>
      </c>
      <c r="AR470" s="1050" cm="1">
        <f t="array" aca="1" ref="AR470" ca="1">INDEX(OFFSET($AK$19,MATCH($B470,$B$19:$B$150,0)-1,0,COUNTA($B$19:$B$24),COUNTA($AK$17:$BB$17)),MATCH($F470,$F$19:$F$24,0),MATCH(AR$17,$AK$17:$BB$17,0))*INDEX($10:$13,MATCH($O470,$R$10:$R$13,0),COLUMN())</f>
        <v>4.7317461979999996E-2</v>
      </c>
      <c r="AS470" s="1050" cm="1">
        <f t="array" aca="1" ref="AS470" ca="1">INDEX(OFFSET($AK$19,MATCH($B470,$B$19:$B$150,0)-1,0,COUNTA($B$19:$B$24),COUNTA($AK$17:$BB$17)),MATCH($F470,$F$19:$F$24,0),MATCH(AS$17,$AK$17:$BB$17,0))*INDEX($10:$13,MATCH($O470,$R$10:$R$13,0),COLUMN())</f>
        <v>1.8031779089999998E-3</v>
      </c>
      <c r="AT470" s="1050" cm="1">
        <f t="array" aca="1" ref="AT470" ca="1">INDEX(OFFSET($AK$19,MATCH($B470,$B$19:$B$150,0)-1,0,COUNTA($B$19:$B$24),COUNTA($AK$17:$BB$17)),MATCH($F470,$F$19:$F$24,0),MATCH(AT$17,$AK$17:$BB$17,0))*INDEX($10:$13,MATCH($O470,$R$10:$R$13,0),COLUMN())</f>
        <v>2.8619100189999997E-6</v>
      </c>
      <c r="AU470" s="1050" cm="1">
        <f t="array" aca="1" ref="AU470" ca="1">INDEX(OFFSET($AK$19,MATCH($B470,$B$19:$B$150,0)-1,0,COUNTA($B$19:$B$24),COUNTA($AK$17:$BB$17)),MATCH($F470,$F$19:$F$24,0),MATCH(AU$17,$AK$17:$BB$17,0))*INDEX($10:$13,MATCH($O470,$R$10:$R$13,0),COLUMN())</f>
        <v>5.2733971040000005E-7</v>
      </c>
      <c r="AV470" s="1050" cm="1">
        <f t="array" aca="1" ref="AV470" ca="1">INDEX(OFFSET($AK$19,MATCH($B470,$B$19:$B$150,0)-1,0,COUNTA($B$19:$B$24),COUNTA($AK$17:$BB$17)),MATCH($F470,$F$19:$F$24,0),MATCH(AV$17,$AK$17:$BB$17,0))*INDEX($10:$13,MATCH($O470,$R$10:$R$13,0),COLUMN())</f>
        <v>1.8212651050000001E-2</v>
      </c>
      <c r="AW470" s="1050" cm="1">
        <f t="array" aca="1" ref="AW470" ca="1">INDEX(OFFSET($AK$19,MATCH($B470,$B$19:$B$150,0)-1,0,COUNTA($B$19:$B$24),COUNTA($AK$17:$BB$17)),MATCH($F470,$F$19:$F$24,0),MATCH(AW$17,$AK$17:$BB$17,0))*INDEX($10:$13,MATCH($O470,$R$10:$R$13,0),COLUMN())</f>
        <v>0.17432787615000001</v>
      </c>
      <c r="AX470" s="1050" cm="1">
        <f t="array" aca="1" ref="AX470" ca="1">INDEX(OFFSET($AK$19,MATCH($B470,$B$19:$B$150,0)-1,0,COUNTA($B$19:$B$24),COUNTA($AK$17:$BB$17)),MATCH($F470,$F$19:$F$24,0),MATCH(AX$17,$AK$17:$BB$17,0))*INDEX($10:$13,MATCH($O470,$R$10:$R$13,0),COLUMN())</f>
        <v>4.1729992649999996E-8</v>
      </c>
      <c r="AY470" s="1050" cm="1">
        <f t="array" aca="1" ref="AY470" ca="1">INDEX(OFFSET($AK$19,MATCH($B470,$B$19:$B$150,0)-1,0,COUNTA($B$19:$B$24),COUNTA($AK$17:$BB$17)),MATCH($F470,$F$19:$F$24,0),MATCH(AY$17,$AK$17:$BB$17,0))*INDEX($10:$13,MATCH($O470,$R$10:$R$13,0),COLUMN())</f>
        <v>-1.0754896893749999E-9</v>
      </c>
      <c r="AZ470" s="1050" cm="1">
        <f t="array" aca="1" ref="AZ470" ca="1">INDEX(OFFSET($AK$19,MATCH($B470,$B$19:$B$150,0)-1,0,COUNTA($B$19:$B$24),COUNTA($AK$17:$BB$17)),MATCH($F470,$F$19:$F$24,0),MATCH(AZ$17,$AK$17:$BB$17,0))*INDEX($10:$13,MATCH($O470,$R$10:$R$13,0),COLUMN())</f>
        <v>0</v>
      </c>
      <c r="BA470" s="1050" cm="1">
        <f t="array" aca="1" ref="BA470" ca="1">INDEX(OFFSET($AK$19,MATCH($B470,$B$19:$B$150,0)-1,0,COUNTA($B$19:$B$24),COUNTA($AK$17:$BB$17)),MATCH($F470,$F$19:$F$24,0),MATCH(BA$17,$AK$17:$BB$17,0))*INDEX($10:$13,MATCH($O470,$R$10:$R$13,0),COLUMN())</f>
        <v>0</v>
      </c>
      <c r="BB470" s="1051" cm="1">
        <f t="array" aca="1" ref="BB470" ca="1">INDEX(OFFSET($AK$19,MATCH($B470,$B$19:$B$150,0)-1,0,COUNTA($B$19:$B$24),COUNTA($AK$17:$BB$17)),MATCH($F470,$F$19:$F$24,0),MATCH(BB$17,$AK$17:$BB$17,0))*INDEX($10:$13,MATCH($O470,$R$10:$R$13,0),COLUMN())</f>
        <v>0</v>
      </c>
      <c r="BC470" s="1053">
        <f t="shared" ca="1" si="176"/>
        <v>0.17432791680450296</v>
      </c>
      <c r="BE470" s="1"/>
      <c r="BF470" s="1"/>
      <c r="BG470" s="1"/>
      <c r="BH470" s="1"/>
      <c r="BI470" s="1"/>
      <c r="BJ470" s="1"/>
      <c r="BK470" s="1"/>
      <c r="BL470" s="1"/>
      <c r="BM470" s="1"/>
      <c r="BN470" s="1"/>
      <c r="BO470" s="1"/>
      <c r="BP470" s="1"/>
      <c r="BQ470" s="1"/>
      <c r="BR470" s="1"/>
      <c r="BS470" s="1"/>
      <c r="BT470" s="1"/>
      <c r="BU470" s="1"/>
      <c r="BV470" s="1"/>
      <c r="BW470" s="1"/>
      <c r="BX470" s="1"/>
      <c r="BY470" s="1"/>
      <c r="BZ470" s="1"/>
    </row>
    <row r="471" spans="2:78" ht="12" customHeight="1" outlineLevel="1" x14ac:dyDescent="0.25">
      <c r="B471" s="88" t="s">
        <v>105</v>
      </c>
      <c r="C471" s="88" t="s">
        <v>121</v>
      </c>
      <c r="D471" s="89" t="s">
        <v>137</v>
      </c>
      <c r="E471" s="89" t="s">
        <v>141</v>
      </c>
      <c r="F471" s="90" t="s">
        <v>92</v>
      </c>
      <c r="G471" s="18" t="s">
        <v>126</v>
      </c>
      <c r="H471" s="91" t="s">
        <v>127</v>
      </c>
      <c r="I471" s="92" t="s">
        <v>127</v>
      </c>
      <c r="J471" s="142">
        <v>0.81023034000000005</v>
      </c>
      <c r="K471" s="143">
        <v>1.2070093457943925</v>
      </c>
      <c r="L471" s="144">
        <f t="shared" ca="1" si="177"/>
        <v>0.10064978306536827</v>
      </c>
      <c r="M471" s="143">
        <f t="shared" ca="1" si="178"/>
        <v>1.32849457460647</v>
      </c>
      <c r="N471" s="162">
        <f t="shared" ca="1" si="175"/>
        <v>0.12148522881207768</v>
      </c>
      <c r="O471" s="1060" t="s">
        <v>1584</v>
      </c>
      <c r="P471" s="88"/>
      <c r="Q471" s="89"/>
      <c r="R471" s="150"/>
      <c r="S471" s="1070"/>
      <c r="T471" s="1070"/>
      <c r="U471" s="1070"/>
      <c r="V471" s="1070"/>
      <c r="W471" s="1070"/>
      <c r="X471" s="1070"/>
      <c r="Y471" s="1070"/>
      <c r="Z471" s="1070"/>
      <c r="AA471" s="1070"/>
      <c r="AB471" s="1070"/>
      <c r="AC471" s="1070"/>
      <c r="AD471" s="1070"/>
      <c r="AE471" s="1070"/>
      <c r="AF471" s="1070"/>
      <c r="AG471" s="1070"/>
      <c r="AH471" s="1070"/>
      <c r="AI471" s="1070"/>
      <c r="AJ471" s="1071"/>
      <c r="AK471" s="1048" cm="1">
        <f t="array" aca="1" ref="AK471" ca="1">INDEX(OFFSET($AK$19,MATCH($B471,$B$19:$B$150,0)-1,0,COUNTA($B$19:$B$24),COUNTA($AK$17:$BB$17)),MATCH($F471,$F$19:$F$24,0),MATCH(AK$17,$AK$17:$BB$17,0))*INDEX($10:$13,MATCH($O471,$R$10:$R$13,0),COLUMN())</f>
        <v>1.5283975856236476E-2</v>
      </c>
      <c r="AL471" s="1046" cm="1">
        <f t="array" aca="1" ref="AL471" ca="1">INDEX(OFFSET($AK$19,MATCH($B471,$B$19:$B$150,0)-1,0,COUNTA($B$19:$B$24),COUNTA($AK$17:$BB$17)),MATCH($F471,$F$19:$F$24,0),MATCH(AL$17,$AK$17:$BB$17,0))*INDEX($10:$13,MATCH($O471,$R$10:$R$13,0),COLUMN())</f>
        <v>5.45280151E-8</v>
      </c>
      <c r="AM471" s="1046" cm="1">
        <f t="array" aca="1" ref="AM471" ca="1">INDEX(OFFSET($AK$19,MATCH($B471,$B$19:$B$150,0)-1,0,COUNTA($B$19:$B$24),COUNTA($AK$17:$BB$17)),MATCH($F471,$F$19:$F$24,0),MATCH(AM$17,$AK$17:$BB$17,0))*INDEX($10:$13,MATCH($O471,$R$10:$R$13,0),COLUMN())</f>
        <v>9.0434144789999999E-5</v>
      </c>
      <c r="AN471" s="1046" cm="1">
        <f t="array" aca="1" ref="AN471" ca="1">INDEX(OFFSET($AK$19,MATCH($B471,$B$19:$B$150,0)-1,0,COUNTA($B$19:$B$24),COUNTA($AK$17:$BB$17)),MATCH($F471,$F$19:$F$24,0),MATCH(AN$17,$AK$17:$BB$17,0))*INDEX($10:$13,MATCH($O471,$R$10:$R$13,0),COLUMN())</f>
        <v>5.3541594120000001E-4</v>
      </c>
      <c r="AO471" s="1046" cm="1">
        <f t="array" aca="1" ref="AO471" ca="1">INDEX(OFFSET($AK$19,MATCH($B471,$B$19:$B$150,0)-1,0,COUNTA($B$19:$B$24),COUNTA($AK$17:$BB$17)),MATCH($F471,$F$19:$F$24,0),MATCH(AO$17,$AK$17:$BB$17,0))*INDEX($10:$13,MATCH($O471,$R$10:$R$13,0),COLUMN())</f>
        <v>2.2191752799999999E-2</v>
      </c>
      <c r="AP471" s="1046" cm="1">
        <f t="array" aca="1" ref="AP471" ca="1">INDEX(OFFSET($AK$19,MATCH($B471,$B$19:$B$150,0)-1,0,COUNTA($B$19:$B$24),COUNTA($AK$17:$BB$17)),MATCH($F471,$F$19:$F$24,0),MATCH(AP$17,$AK$17:$BB$17,0))*INDEX($10:$13,MATCH($O471,$R$10:$R$13,0),COLUMN())</f>
        <v>2.6476440387999999E-3</v>
      </c>
      <c r="AQ471" s="1046" cm="1">
        <f t="array" aca="1" ref="AQ471" ca="1">INDEX(OFFSET($AK$19,MATCH($B471,$B$19:$B$150,0)-1,0,COUNTA($B$19:$B$24),COUNTA($AK$17:$BB$17)),MATCH($F471,$F$19:$F$24,0),MATCH(AQ$17,$AK$17:$BB$17,0))*INDEX($10:$13,MATCH($O471,$R$10:$R$13,0),COLUMN())</f>
        <v>4.3779007499999999E-5</v>
      </c>
      <c r="AR471" s="1046" cm="1">
        <f t="array" aca="1" ref="AR471" ca="1">INDEX(OFFSET($AK$19,MATCH($B471,$B$19:$B$150,0)-1,0,COUNTA($B$19:$B$24),COUNTA($AK$17:$BB$17)),MATCH($F471,$F$19:$F$24,0),MATCH(AR$17,$AK$17:$BB$17,0))*INDEX($10:$13,MATCH($O471,$R$10:$R$13,0),COLUMN())</f>
        <v>1.0485519255999999E-2</v>
      </c>
      <c r="AS471" s="1046" cm="1">
        <f t="array" aca="1" ref="AS471" ca="1">INDEX(OFFSET($AK$19,MATCH($B471,$B$19:$B$150,0)-1,0,COUNTA($B$19:$B$24),COUNTA($AK$17:$BB$17)),MATCH($F471,$F$19:$F$24,0),MATCH(AS$17,$AK$17:$BB$17,0))*INDEX($10:$13,MATCH($O471,$R$10:$R$13,0),COLUMN())</f>
        <v>2.019864834E-2</v>
      </c>
      <c r="AT471" s="1046" cm="1">
        <f t="array" aca="1" ref="AT471" ca="1">INDEX(OFFSET($AK$19,MATCH($B471,$B$19:$B$150,0)-1,0,COUNTA($B$19:$B$24),COUNTA($AK$17:$BB$17)),MATCH($F471,$F$19:$F$24,0),MATCH(AT$17,$AK$17:$BB$17,0))*INDEX($10:$13,MATCH($O471,$R$10:$R$13,0),COLUMN())</f>
        <v>2.2527676730000003E-5</v>
      </c>
      <c r="AU471" s="1046" cm="1">
        <f t="array" aca="1" ref="AU471" ca="1">INDEX(OFFSET($AK$19,MATCH($B471,$B$19:$B$150,0)-1,0,COUNTA($B$19:$B$24),COUNTA($AK$17:$BB$17)),MATCH($F471,$F$19:$F$24,0),MATCH(AU$17,$AK$17:$BB$17,0))*INDEX($10:$13,MATCH($O471,$R$10:$R$13,0),COLUMN())</f>
        <v>1.4028700320000001E-6</v>
      </c>
      <c r="AV471" s="1046" cm="1">
        <f t="array" aca="1" ref="AV471" ca="1">INDEX(OFFSET($AK$19,MATCH($B471,$B$19:$B$150,0)-1,0,COUNTA($B$19:$B$24),COUNTA($AK$17:$BB$17)),MATCH($F471,$F$19:$F$24,0),MATCH(AV$17,$AK$17:$BB$17,0))*INDEX($10:$13,MATCH($O471,$R$10:$R$13,0),COLUMN())</f>
        <v>5.1383096099999999E-3</v>
      </c>
      <c r="AW471" s="1046" cm="1">
        <f t="array" aca="1" ref="AW471" ca="1">INDEX(OFFSET($AK$19,MATCH($B471,$B$19:$B$150,0)-1,0,COUNTA($B$19:$B$24),COUNTA($AK$17:$BB$17)),MATCH($F471,$F$19:$F$24,0),MATCH(AW$17,$AK$17:$BB$17,0))*INDEX($10:$13,MATCH($O471,$R$10:$R$13,0),COLUMN())</f>
        <v>4.4845722900000003E-2</v>
      </c>
      <c r="AX471" s="1046" cm="1">
        <f t="array" aca="1" ref="AX471" ca="1">INDEX(OFFSET($AK$19,MATCH($B471,$B$19:$B$150,0)-1,0,COUNTA($B$19:$B$24),COUNTA($AK$17:$BB$17)),MATCH($F471,$F$19:$F$24,0),MATCH(AX$17,$AK$17:$BB$17,0))*INDEX($10:$13,MATCH($O471,$R$10:$R$13,0),COLUMN())</f>
        <v>4.2994017449999994E-8</v>
      </c>
      <c r="AY471" s="1046" cm="1">
        <f t="array" aca="1" ref="AY471" ca="1">INDEX(OFFSET($AK$19,MATCH($B471,$B$19:$B$150,0)-1,0,COUNTA($B$19:$B$24),COUNTA($AK$17:$BB$17)),MATCH($F471,$F$19:$F$24,0),MATCH(AY$17,$AK$17:$BB$17,0))*INDEX($10:$13,MATCH($O471,$R$10:$R$13,0),COLUMN())</f>
        <v>-1.1512433362499999E-9</v>
      </c>
      <c r="AZ471" s="1046" cm="1">
        <f t="array" aca="1" ref="AZ471" ca="1">INDEX(OFFSET($AK$19,MATCH($B471,$B$19:$B$150,0)-1,0,COUNTA($B$19:$B$24),COUNTA($AK$17:$BB$17)),MATCH($F471,$F$19:$F$24,0),MATCH(AZ$17,$AK$17:$BB$17,0))*INDEX($10:$13,MATCH($O471,$R$10:$R$13,0),COLUMN())</f>
        <v>0</v>
      </c>
      <c r="BA471" s="1046" cm="1">
        <f t="array" aca="1" ref="BA471" ca="1">INDEX(OFFSET($AK$19,MATCH($B471,$B$19:$B$150,0)-1,0,COUNTA($B$19:$B$24),COUNTA($AK$17:$BB$17)),MATCH($F471,$F$19:$F$24,0),MATCH(BA$17,$AK$17:$BB$17,0))*INDEX($10:$13,MATCH($O471,$R$10:$R$13,0),COLUMN())</f>
        <v>0</v>
      </c>
      <c r="BB471" s="1047" cm="1">
        <f t="array" aca="1" ref="BB471" ca="1">INDEX(OFFSET($AK$19,MATCH($B471,$B$19:$B$150,0)-1,0,COUNTA($B$19:$B$24),COUNTA($AK$17:$BB$17)),MATCH($F471,$F$19:$F$24,0),MATCH(BB$17,$AK$17:$BB$17,0))*INDEX($10:$13,MATCH($O471,$R$10:$R$13,0),COLUMN())</f>
        <v>0</v>
      </c>
      <c r="BC471" s="1049">
        <f t="shared" ref="BC471:BC521" ca="1" si="179">SUM(AW471:AY471)</f>
        <v>4.4845764742774116E-2</v>
      </c>
      <c r="BE471" s="1"/>
      <c r="BF471" s="1"/>
      <c r="BG471" s="1"/>
      <c r="BH471" s="1"/>
      <c r="BI471" s="1"/>
      <c r="BJ471" s="1"/>
      <c r="BK471" s="1"/>
      <c r="BL471" s="1"/>
      <c r="BM471" s="1"/>
      <c r="BN471" s="1"/>
      <c r="BO471" s="1"/>
      <c r="BP471" s="1"/>
      <c r="BQ471" s="1"/>
      <c r="BR471" s="1"/>
      <c r="BS471" s="1"/>
      <c r="BT471" s="1"/>
      <c r="BU471" s="1"/>
      <c r="BV471" s="1"/>
      <c r="BW471" s="1"/>
      <c r="BX471" s="1"/>
      <c r="BY471" s="1"/>
      <c r="BZ471" s="1"/>
    </row>
    <row r="472" spans="2:78" ht="12" customHeight="1" outlineLevel="1" x14ac:dyDescent="0.25">
      <c r="B472" s="104" t="s">
        <v>105</v>
      </c>
      <c r="C472" s="104" t="s">
        <v>121</v>
      </c>
      <c r="D472" s="2" t="s">
        <v>137</v>
      </c>
      <c r="E472" s="2" t="s">
        <v>141</v>
      </c>
      <c r="F472" s="105" t="s">
        <v>122</v>
      </c>
      <c r="G472" s="27" t="s">
        <v>1579</v>
      </c>
      <c r="H472" s="106" t="s">
        <v>128</v>
      </c>
      <c r="I472" s="107" t="s">
        <v>129</v>
      </c>
      <c r="J472" s="147">
        <v>0.81023034000000005</v>
      </c>
      <c r="K472" s="148">
        <v>3.15</v>
      </c>
      <c r="L472" s="149">
        <f t="shared" ca="1" si="177"/>
        <v>2.4299803422239804E-2</v>
      </c>
      <c r="M472" s="148">
        <f t="shared" ca="1" si="178"/>
        <v>3.2265443807800551</v>
      </c>
      <c r="N472" s="163">
        <f t="shared" ca="1" si="175"/>
        <v>7.6544380780055377E-2</v>
      </c>
      <c r="O472" s="1061" t="s">
        <v>1584</v>
      </c>
      <c r="P472" s="104"/>
      <c r="R472" s="119"/>
      <c r="S472" s="1072"/>
      <c r="T472" s="1072"/>
      <c r="U472" s="1072"/>
      <c r="V472" s="1072"/>
      <c r="W472" s="1072"/>
      <c r="X472" s="1072"/>
      <c r="Y472" s="1072"/>
      <c r="Z472" s="1072"/>
      <c r="AA472" s="1072"/>
      <c r="AB472" s="1072"/>
      <c r="AC472" s="1072"/>
      <c r="AD472" s="1072"/>
      <c r="AE472" s="1072"/>
      <c r="AF472" s="1072"/>
      <c r="AG472" s="1072"/>
      <c r="AH472" s="1072"/>
      <c r="AI472" s="1072"/>
      <c r="AJ472" s="1073"/>
      <c r="AK472" s="1052" cm="1">
        <f t="array" aca="1" ref="AK472" ca="1">INDEX(OFFSET($AK$19,MATCH($B472,$B$19:$B$150,0)-1,0,COUNTA($B$19:$B$24),COUNTA($AK$17:$BB$17)),MATCH($F472,$F$19:$F$24,0),MATCH(AK$17,$AK$17:$BB$17,0))*INDEX($10:$13,MATCH($O472,$R$10:$R$13,0),COLUMN())</f>
        <v>1.0578028351962523E-2</v>
      </c>
      <c r="AL472" s="1050" cm="1">
        <f t="array" aca="1" ref="AL472" ca="1">INDEX(OFFSET($AK$19,MATCH($B472,$B$19:$B$150,0)-1,0,COUNTA($B$19:$B$24),COUNTA($AK$17:$BB$17)),MATCH($F472,$F$19:$F$24,0),MATCH(AL$17,$AK$17:$BB$17,0))*INDEX($10:$13,MATCH($O472,$R$10:$R$13,0),COLUMN())</f>
        <v>2.8176799430000005E-8</v>
      </c>
      <c r="AM472" s="1050" cm="1">
        <f t="array" aca="1" ref="AM472" ca="1">INDEX(OFFSET($AK$19,MATCH($B472,$B$19:$B$150,0)-1,0,COUNTA($B$19:$B$24),COUNTA($AK$17:$BB$17)),MATCH($F472,$F$19:$F$24,0),MATCH(AM$17,$AK$17:$BB$17,0))*INDEX($10:$13,MATCH($O472,$R$10:$R$13,0),COLUMN())</f>
        <v>4.6271296170000001E-5</v>
      </c>
      <c r="AN472" s="1050" cm="1">
        <f t="array" aca="1" ref="AN472" ca="1">INDEX(OFFSET($AK$19,MATCH($B472,$B$19:$B$150,0)-1,0,COUNTA($B$19:$B$24),COUNTA($AK$17:$BB$17)),MATCH($F472,$F$19:$F$24,0),MATCH(AN$17,$AK$17:$BB$17,0))*INDEX($10:$13,MATCH($O472,$R$10:$R$13,0),COLUMN())</f>
        <v>5.6189298480000005E-4</v>
      </c>
      <c r="AO472" s="1050" cm="1">
        <f t="array" aca="1" ref="AO472" ca="1">INDEX(OFFSET($AK$19,MATCH($B472,$B$19:$B$150,0)-1,0,COUNTA($B$19:$B$24),COUNTA($AK$17:$BB$17)),MATCH($F472,$F$19:$F$24,0),MATCH(AO$17,$AK$17:$BB$17,0))*INDEX($10:$13,MATCH($O472,$R$10:$R$13,0),COLUMN())</f>
        <v>8.8396442399999997E-3</v>
      </c>
      <c r="AP472" s="1050" cm="1">
        <f t="array" aca="1" ref="AP472" ca="1">INDEX(OFFSET($AK$19,MATCH($B472,$B$19:$B$150,0)-1,0,COUNTA($B$19:$B$24),COUNTA($AK$17:$BB$17)),MATCH($F472,$F$19:$F$24,0),MATCH(AP$17,$AK$17:$BB$17,0))*INDEX($10:$13,MATCH($O472,$R$10:$R$13,0),COLUMN())</f>
        <v>7.2395031640000006E-4</v>
      </c>
      <c r="AQ472" s="1050" cm="1">
        <f t="array" aca="1" ref="AQ472" ca="1">INDEX(OFFSET($AK$19,MATCH($B472,$B$19:$B$150,0)-1,0,COUNTA($B$19:$B$24),COUNTA($AK$17:$BB$17)),MATCH($F472,$F$19:$F$24,0),MATCH(AQ$17,$AK$17:$BB$17,0))*INDEX($10:$13,MATCH($O472,$R$10:$R$13,0),COLUMN())</f>
        <v>6.2993112499999999E-6</v>
      </c>
      <c r="AR472" s="1050" cm="1">
        <f t="array" aca="1" ref="AR472" ca="1">INDEX(OFFSET($AK$19,MATCH($B472,$B$19:$B$150,0)-1,0,COUNTA($B$19:$B$24),COUNTA($AK$17:$BB$17)),MATCH($F472,$F$19:$F$24,0),MATCH(AR$17,$AK$17:$BB$17,0))*INDEX($10:$13,MATCH($O472,$R$10:$R$13,0),COLUMN())</f>
        <v>3.4986890439999995E-3</v>
      </c>
      <c r="AS472" s="1050" cm="1">
        <f t="array" aca="1" ref="AS472" ca="1">INDEX(OFFSET($AK$19,MATCH($B472,$B$19:$B$150,0)-1,0,COUNTA($B$19:$B$24),COUNTA($AK$17:$BB$17)),MATCH($F472,$F$19:$F$24,0),MATCH(AS$17,$AK$17:$BB$17,0))*INDEX($10:$13,MATCH($O472,$R$10:$R$13,0),COLUMN())</f>
        <v>5.9537897639999999E-5</v>
      </c>
      <c r="AT472" s="1050" cm="1">
        <f t="array" aca="1" ref="AT472" ca="1">INDEX(OFFSET($AK$19,MATCH($B472,$B$19:$B$150,0)-1,0,COUNTA($B$19:$B$24),COUNTA($AK$17:$BB$17)),MATCH($F472,$F$19:$F$24,0),MATCH(AT$17,$AK$17:$BB$17,0))*INDEX($10:$13,MATCH($O472,$R$10:$R$13,0),COLUMN())</f>
        <v>5.4652157099999998E-7</v>
      </c>
      <c r="AU472" s="1050" cm="1">
        <f t="array" aca="1" ref="AU472" ca="1">INDEX(OFFSET($AK$19,MATCH($B472,$B$19:$B$150,0)-1,0,COUNTA($B$19:$B$24),COUNTA($AK$17:$BB$17)),MATCH($F472,$F$19:$F$24,0),MATCH(AU$17,$AK$17:$BB$17,0))*INDEX($10:$13,MATCH($O472,$R$10:$R$13,0),COLUMN())</f>
        <v>1.1157865216E-7</v>
      </c>
      <c r="AV472" s="1050" cm="1">
        <f t="array" aca="1" ref="AV472" ca="1">INDEX(OFFSET($AK$19,MATCH($B472,$B$19:$B$150,0)-1,0,COUNTA($B$19:$B$24),COUNTA($AK$17:$BB$17)),MATCH($F472,$F$19:$F$24,0),MATCH(AV$17,$AK$17:$BB$17,0))*INDEX($10:$13,MATCH($O472,$R$10:$R$13,0),COLUMN())</f>
        <v>9.9185633249999992E-4</v>
      </c>
      <c r="AW472" s="1050" cm="1">
        <f t="array" aca="1" ref="AW472" ca="1">INDEX(OFFSET($AK$19,MATCH($B472,$B$19:$B$150,0)-1,0,COUNTA($B$19:$B$24),COUNTA($AK$17:$BB$17)),MATCH($F472,$F$19:$F$24,0),MATCH(AW$17,$AK$17:$BB$17,0))*INDEX($10:$13,MATCH($O472,$R$10:$R$13,0),COLUMN())</f>
        <v>5.1237512099999993E-2</v>
      </c>
      <c r="AX472" s="1050" cm="1">
        <f t="array" aca="1" ref="AX472" ca="1">INDEX(OFFSET($AK$19,MATCH($B472,$B$19:$B$150,0)-1,0,COUNTA($B$19:$B$24),COUNTA($AK$17:$BB$17)),MATCH($F472,$F$19:$F$24,0),MATCH(AX$17,$AK$17:$BB$17,0))*INDEX($10:$13,MATCH($O472,$R$10:$R$13,0),COLUMN())</f>
        <v>1.2962384400000001E-8</v>
      </c>
      <c r="AY472" s="1050" cm="1">
        <f t="array" aca="1" ref="AY472" ca="1">INDEX(OFFSET($AK$19,MATCH($B472,$B$19:$B$150,0)-1,0,COUNTA($B$19:$B$24),COUNTA($AK$17:$BB$17)),MATCH($F472,$F$19:$F$24,0),MATCH(AY$17,$AK$17:$BB$17,0))*INDEX($10:$13,MATCH($O472,$R$10:$R$13,0),COLUMN())</f>
        <v>-3.3407413256249998E-10</v>
      </c>
      <c r="AZ472" s="1050" cm="1">
        <f t="array" aca="1" ref="AZ472" ca="1">INDEX(OFFSET($AK$19,MATCH($B472,$B$19:$B$150,0)-1,0,COUNTA($B$19:$B$24),COUNTA($AK$17:$BB$17)),MATCH($F472,$F$19:$F$24,0),MATCH(AZ$17,$AK$17:$BB$17,0))*INDEX($10:$13,MATCH($O472,$R$10:$R$13,0),COLUMN())</f>
        <v>0</v>
      </c>
      <c r="BA472" s="1050" cm="1">
        <f t="array" aca="1" ref="BA472" ca="1">INDEX(OFFSET($AK$19,MATCH($B472,$B$19:$B$150,0)-1,0,COUNTA($B$19:$B$24),COUNTA($AK$17:$BB$17)),MATCH($F472,$F$19:$F$24,0),MATCH(BA$17,$AK$17:$BB$17,0))*INDEX($10:$13,MATCH($O472,$R$10:$R$13,0),COLUMN())</f>
        <v>0</v>
      </c>
      <c r="BB472" s="1051" cm="1">
        <f t="array" aca="1" ref="BB472" ca="1">INDEX(OFFSET($AK$19,MATCH($B472,$B$19:$B$150,0)-1,0,COUNTA($B$19:$B$24),COUNTA($AK$17:$BB$17)),MATCH($F472,$F$19:$F$24,0),MATCH(BB$17,$AK$17:$BB$17,0))*INDEX($10:$13,MATCH($O472,$R$10:$R$13,0),COLUMN())</f>
        <v>0</v>
      </c>
      <c r="BC472" s="1053">
        <f t="shared" ca="1" si="179"/>
        <v>5.1237524728310266E-2</v>
      </c>
      <c r="BE472" s="1"/>
      <c r="BF472" s="1"/>
      <c r="BG472" s="1"/>
      <c r="BH472" s="1"/>
      <c r="BI472" s="1"/>
      <c r="BJ472" s="1"/>
      <c r="BK472" s="1"/>
      <c r="BL472" s="1"/>
      <c r="BM472" s="1"/>
      <c r="BN472" s="1"/>
      <c r="BO472" s="1"/>
      <c r="BP472" s="1"/>
      <c r="BQ472" s="1"/>
      <c r="BR472" s="1"/>
      <c r="BS472" s="1"/>
      <c r="BT472" s="1"/>
      <c r="BU472" s="1"/>
      <c r="BV472" s="1"/>
      <c r="BW472" s="1"/>
      <c r="BX472" s="1"/>
      <c r="BY472" s="1"/>
      <c r="BZ472" s="1"/>
    </row>
    <row r="473" spans="2:78" ht="12" customHeight="1" outlineLevel="1" x14ac:dyDescent="0.25">
      <c r="B473" s="104" t="s">
        <v>105</v>
      </c>
      <c r="C473" s="104" t="s">
        <v>121</v>
      </c>
      <c r="D473" s="2" t="s">
        <v>137</v>
      </c>
      <c r="E473" s="2" t="s">
        <v>141</v>
      </c>
      <c r="F473" s="105" t="s">
        <v>93</v>
      </c>
      <c r="G473" s="27" t="s">
        <v>1578</v>
      </c>
      <c r="H473" s="106" t="s">
        <v>130</v>
      </c>
      <c r="I473" s="107" t="s">
        <v>129</v>
      </c>
      <c r="J473" s="147">
        <v>0.81023034000000005</v>
      </c>
      <c r="K473" s="148">
        <v>3.15</v>
      </c>
      <c r="L473" s="149">
        <f t="shared" ca="1" si="177"/>
        <v>3.2453263934580541E-2</v>
      </c>
      <c r="M473" s="148">
        <f t="shared" ca="1" si="178"/>
        <v>3.2522277813939287</v>
      </c>
      <c r="N473" s="163">
        <f t="shared" ca="1" si="175"/>
        <v>0.1022277813939287</v>
      </c>
      <c r="O473" s="1061" t="s">
        <v>1584</v>
      </c>
      <c r="P473" s="104"/>
      <c r="R473" s="119"/>
      <c r="S473" s="1072"/>
      <c r="T473" s="1072"/>
      <c r="U473" s="1072"/>
      <c r="V473" s="1072"/>
      <c r="W473" s="1072"/>
      <c r="X473" s="1072"/>
      <c r="Y473" s="1072"/>
      <c r="Z473" s="1072"/>
      <c r="AA473" s="1072"/>
      <c r="AB473" s="1072"/>
      <c r="AC473" s="1072"/>
      <c r="AD473" s="1072"/>
      <c r="AE473" s="1072"/>
      <c r="AF473" s="1072"/>
      <c r="AG473" s="1072"/>
      <c r="AH473" s="1072"/>
      <c r="AI473" s="1072"/>
      <c r="AJ473" s="1073"/>
      <c r="AK473" s="1052" cm="1">
        <f t="array" aca="1" ref="AK473" ca="1">INDEX(OFFSET($AK$19,MATCH($B473,$B$19:$B$150,0)-1,0,COUNTA($B$19:$B$24),COUNTA($AK$17:$BB$17)),MATCH($F473,$F$19:$F$24,0),MATCH(AK$17,$AK$17:$BB$17,0))*INDEX($10:$13,MATCH($O473,$R$10:$R$13,0),COLUMN())</f>
        <v>1.4125984822116886E-2</v>
      </c>
      <c r="AL473" s="1050" cm="1">
        <f t="array" aca="1" ref="AL473" ca="1">INDEX(OFFSET($AK$19,MATCH($B473,$B$19:$B$150,0)-1,0,COUNTA($B$19:$B$24),COUNTA($AK$17:$BB$17)),MATCH($F473,$F$19:$F$24,0),MATCH(AL$17,$AK$17:$BB$17,0))*INDEX($10:$13,MATCH($O473,$R$10:$R$13,0),COLUMN())</f>
        <v>3.7627526300000004E-8</v>
      </c>
      <c r="AM473" s="1050" cm="1">
        <f t="array" aca="1" ref="AM473" ca="1">INDEX(OFFSET($AK$19,MATCH($B473,$B$19:$B$150,0)-1,0,COUNTA($B$19:$B$24),COUNTA($AK$17:$BB$17)),MATCH($F473,$F$19:$F$24,0),MATCH(AM$17,$AK$17:$BB$17,0))*INDEX($10:$13,MATCH($O473,$R$10:$R$13,0),COLUMN())</f>
        <v>6.1791060870000004E-5</v>
      </c>
      <c r="AN473" s="1050" cm="1">
        <f t="array" aca="1" ref="AN473" ca="1">INDEX(OFFSET($AK$19,MATCH($B473,$B$19:$B$150,0)-1,0,COUNTA($B$19:$B$24),COUNTA($AK$17:$BB$17)),MATCH($F473,$F$19:$F$24,0),MATCH(AN$17,$AK$17:$BB$17,0))*INDEX($10:$13,MATCH($O473,$R$10:$R$13,0),COLUMN())</f>
        <v>7.5035643479999992E-4</v>
      </c>
      <c r="AO473" s="1050" cm="1">
        <f t="array" aca="1" ref="AO473" ca="1">INDEX(OFFSET($AK$19,MATCH($B473,$B$19:$B$150,0)-1,0,COUNTA($B$19:$B$24),COUNTA($AK$17:$BB$17)),MATCH($F473,$F$19:$F$24,0),MATCH(AO$17,$AK$17:$BB$17,0))*INDEX($10:$13,MATCH($O473,$R$10:$R$13,0),COLUMN())</f>
        <v>1.180453232E-2</v>
      </c>
      <c r="AP473" s="1050" cm="1">
        <f t="array" aca="1" ref="AP473" ca="1">INDEX(OFFSET($AK$19,MATCH($B473,$B$19:$B$150,0)-1,0,COUNTA($B$19:$B$24),COUNTA($AK$17:$BB$17)),MATCH($F473,$F$19:$F$24,0),MATCH(AP$17,$AK$17:$BB$17,0))*INDEX($10:$13,MATCH($O473,$R$10:$R$13,0),COLUMN())</f>
        <v>9.667690640000001E-4</v>
      </c>
      <c r="AQ473" s="1050" cm="1">
        <f t="array" aca="1" ref="AQ473" ca="1">INDEX(OFFSET($AK$19,MATCH($B473,$B$19:$B$150,0)-1,0,COUNTA($B$19:$B$24),COUNTA($AK$17:$BB$17)),MATCH($F473,$F$19:$F$24,0),MATCH(AQ$17,$AK$17:$BB$17,0))*INDEX($10:$13,MATCH($O473,$R$10:$R$13,0),COLUMN())</f>
        <v>8.4121512500000005E-6</v>
      </c>
      <c r="AR473" s="1050" cm="1">
        <f t="array" aca="1" ref="AR473" ca="1">INDEX(OFFSET($AK$19,MATCH($B473,$B$19:$B$150,0)-1,0,COUNTA($B$19:$B$24),COUNTA($AK$17:$BB$17)),MATCH($F473,$F$19:$F$24,0),MATCH(AR$17,$AK$17:$BB$17,0))*INDEX($10:$13,MATCH($O473,$R$10:$R$13,0),COLUMN())</f>
        <v>4.6721778799999995E-3</v>
      </c>
      <c r="AS473" s="1050" cm="1">
        <f t="array" aca="1" ref="AS473" ca="1">INDEX(OFFSET($AK$19,MATCH($B473,$B$19:$B$150,0)-1,0,COUNTA($B$19:$B$24),COUNTA($AK$17:$BB$17)),MATCH($F473,$F$19:$F$24,0),MATCH(AS$17,$AK$17:$BB$17,0))*INDEX($10:$13,MATCH($O473,$R$10:$R$13,0),COLUMN())</f>
        <v>7.9962608699999995E-5</v>
      </c>
      <c r="AT473" s="1050" cm="1">
        <f t="array" aca="1" ref="AT473" ca="1">INDEX(OFFSET($AK$19,MATCH($B473,$B$19:$B$150,0)-1,0,COUNTA($B$19:$B$24),COUNTA($AK$17:$BB$17)),MATCH($F473,$F$19:$F$24,0),MATCH(AT$17,$AK$17:$BB$17,0))*INDEX($10:$13,MATCH($O473,$R$10:$R$13,0),COLUMN())</f>
        <v>7.2998310300000001E-7</v>
      </c>
      <c r="AU473" s="1050" cm="1">
        <f t="array" aca="1" ref="AU473" ca="1">INDEX(OFFSET($AK$19,MATCH($B473,$B$19:$B$150,0)-1,0,COUNTA($B$19:$B$24),COUNTA($AK$17:$BB$17)),MATCH($F473,$F$19:$F$24,0),MATCH(AU$17,$AK$17:$BB$17,0))*INDEX($10:$13,MATCH($O473,$R$10:$R$13,0),COLUMN())</f>
        <v>1.4902011488000001E-7</v>
      </c>
      <c r="AV473" s="1050" cm="1">
        <f t="array" aca="1" ref="AV473" ca="1">INDEX(OFFSET($AK$19,MATCH($B473,$B$19:$B$150,0)-1,0,COUNTA($B$19:$B$24),COUNTA($AK$17:$BB$17)),MATCH($F473,$F$19:$F$24,0),MATCH(AV$17,$AK$17:$BB$17,0))*INDEX($10:$13,MATCH($O473,$R$10:$R$13,0),COLUMN())</f>
        <v>1.3338743575E-3</v>
      </c>
      <c r="AW473" s="1050" cm="1">
        <f t="array" aca="1" ref="AW473" ca="1">INDEX(OFFSET($AK$19,MATCH($B473,$B$19:$B$150,0)-1,0,COUNTA($B$19:$B$24),COUNTA($AK$17:$BB$17)),MATCH($F473,$F$19:$F$24,0),MATCH(AW$17,$AK$17:$BB$17,0))*INDEX($10:$13,MATCH($O473,$R$10:$R$13,0),COLUMN())</f>
        <v>6.8422987199999993E-2</v>
      </c>
      <c r="AX473" s="1050" cm="1">
        <f t="array" aca="1" ref="AX473" ca="1">INDEX(OFFSET($AK$19,MATCH($B473,$B$19:$B$150,0)-1,0,COUNTA($B$19:$B$24),COUNTA($AK$17:$BB$17)),MATCH($F473,$F$19:$F$24,0),MATCH(AX$17,$AK$17:$BB$17,0))*INDEX($10:$13,MATCH($O473,$R$10:$R$13,0),COLUMN())</f>
        <v>1.7310072944999998E-8</v>
      </c>
      <c r="AY473" s="1050" cm="1">
        <f t="array" aca="1" ref="AY473" ca="1">INDEX(OFFSET($AK$19,MATCH($B473,$B$19:$B$150,0)-1,0,COUNTA($B$19:$B$24),COUNTA($AK$17:$BB$17)),MATCH($F473,$F$19:$F$24,0),MATCH(AY$17,$AK$17:$BB$17,0))*INDEX($10:$13,MATCH($O473,$R$10:$R$13,0),COLUMN())</f>
        <v>-4.4612529862499994E-10</v>
      </c>
      <c r="AZ473" s="1050" cm="1">
        <f t="array" aca="1" ref="AZ473" ca="1">INDEX(OFFSET($AK$19,MATCH($B473,$B$19:$B$150,0)-1,0,COUNTA($B$19:$B$24),COUNTA($AK$17:$BB$17)),MATCH($F473,$F$19:$F$24,0),MATCH(AZ$17,$AK$17:$BB$17,0))*INDEX($10:$13,MATCH($O473,$R$10:$R$13,0),COLUMN())</f>
        <v>0</v>
      </c>
      <c r="BA473" s="1050" cm="1">
        <f t="array" aca="1" ref="BA473" ca="1">INDEX(OFFSET($AK$19,MATCH($B473,$B$19:$B$150,0)-1,0,COUNTA($B$19:$B$24),COUNTA($AK$17:$BB$17)),MATCH($F473,$F$19:$F$24,0),MATCH(BA$17,$AK$17:$BB$17,0))*INDEX($10:$13,MATCH($O473,$R$10:$R$13,0),COLUMN())</f>
        <v>0</v>
      </c>
      <c r="BB473" s="1051" cm="1">
        <f t="array" aca="1" ref="BB473" ca="1">INDEX(OFFSET($AK$19,MATCH($B473,$B$19:$B$150,0)-1,0,COUNTA($B$19:$B$24),COUNTA($AK$17:$BB$17)),MATCH($F473,$F$19:$F$24,0),MATCH(BB$17,$AK$17:$BB$17,0))*INDEX($10:$13,MATCH($O473,$R$10:$R$13,0),COLUMN())</f>
        <v>0</v>
      </c>
      <c r="BC473" s="1053">
        <f t="shared" ca="1" si="179"/>
        <v>6.8423004063947634E-2</v>
      </c>
      <c r="BE473" s="1"/>
      <c r="BF473" s="1"/>
      <c r="BG473" s="1"/>
      <c r="BH473" s="1"/>
      <c r="BI473" s="1"/>
      <c r="BJ473" s="1"/>
      <c r="BK473" s="1"/>
      <c r="BL473" s="1"/>
      <c r="BM473" s="1"/>
      <c r="BN473" s="1"/>
      <c r="BO473" s="1"/>
      <c r="BP473" s="1"/>
      <c r="BQ473" s="1"/>
      <c r="BR473" s="1"/>
      <c r="BS473" s="1"/>
      <c r="BT473" s="1"/>
      <c r="BU473" s="1"/>
      <c r="BV473" s="1"/>
      <c r="BW473" s="1"/>
      <c r="BX473" s="1"/>
      <c r="BY473" s="1"/>
      <c r="BZ473" s="1"/>
    </row>
    <row r="474" spans="2:78" ht="12" customHeight="1" outlineLevel="1" x14ac:dyDescent="0.25">
      <c r="B474" s="104" t="s">
        <v>105</v>
      </c>
      <c r="C474" s="104" t="s">
        <v>121</v>
      </c>
      <c r="D474" s="2" t="s">
        <v>137</v>
      </c>
      <c r="E474" s="2" t="s">
        <v>141</v>
      </c>
      <c r="F474" s="105" t="s">
        <v>94</v>
      </c>
      <c r="G474" s="27" t="s">
        <v>1580</v>
      </c>
      <c r="H474" s="106" t="s">
        <v>131</v>
      </c>
      <c r="I474" s="107" t="s">
        <v>129</v>
      </c>
      <c r="J474" s="147">
        <v>0.81023034000000005</v>
      </c>
      <c r="K474" s="148">
        <v>3.15</v>
      </c>
      <c r="L474" s="149">
        <f t="shared" ca="1" si="177"/>
        <v>1.9418482288724847E-2</v>
      </c>
      <c r="M474" s="148">
        <f t="shared" ca="1" si="178"/>
        <v>3.2111682192094833</v>
      </c>
      <c r="N474" s="148">
        <f t="shared" ca="1" si="175"/>
        <v>6.1168219209483267E-2</v>
      </c>
      <c r="O474" s="1062" t="s">
        <v>1584</v>
      </c>
      <c r="P474" s="104"/>
      <c r="R474" s="119"/>
      <c r="S474" s="1072"/>
      <c r="T474" s="1072"/>
      <c r="U474" s="1072"/>
      <c r="V474" s="1072"/>
      <c r="W474" s="1072"/>
      <c r="X474" s="1072"/>
      <c r="Y474" s="1072"/>
      <c r="Z474" s="1072"/>
      <c r="AA474" s="1072"/>
      <c r="AB474" s="1072"/>
      <c r="AC474" s="1072"/>
      <c r="AD474" s="1072"/>
      <c r="AE474" s="1072"/>
      <c r="AF474" s="1072"/>
      <c r="AG474" s="1072"/>
      <c r="AH474" s="1072"/>
      <c r="AI474" s="1072"/>
      <c r="AJ474" s="1073"/>
      <c r="AK474" s="1052" cm="1">
        <f t="array" aca="1" ref="AK474" ca="1">INDEX(OFFSET($AK$19,MATCH($B474,$B$19:$B$150,0)-1,0,COUNTA($B$19:$B$24),COUNTA($AK$17:$BB$17)),MATCH($F474,$F$19:$F$24,0),MATCH(AK$17,$AK$17:$BB$17,0))*INDEX($10:$13,MATCH($O474,$R$10:$R$13,0),COLUMN())</f>
        <v>8.4539344109796476E-3</v>
      </c>
      <c r="AL474" s="1050" cm="1">
        <f t="array" aca="1" ref="AL474" ca="1">INDEX(OFFSET($AK$19,MATCH($B474,$B$19:$B$150,0)-1,0,COUNTA($B$19:$B$24),COUNTA($AK$17:$BB$17)),MATCH($F474,$F$19:$F$24,0),MATCH(AL$17,$AK$17:$BB$17,0))*INDEX($10:$13,MATCH($O474,$R$10:$R$13,0),COLUMN())</f>
        <v>2.2518830360000001E-8</v>
      </c>
      <c r="AM474" s="1050" cm="1">
        <f t="array" aca="1" ref="AM474" ca="1">INDEX(OFFSET($AK$19,MATCH($B474,$B$19:$B$150,0)-1,0,COUNTA($B$19:$B$24),COUNTA($AK$17:$BB$17)),MATCH($F474,$F$19:$F$24,0),MATCH(AM$17,$AK$17:$BB$17,0))*INDEX($10:$13,MATCH($O474,$R$10:$R$13,0),COLUMN())</f>
        <v>3.6979906590000004E-5</v>
      </c>
      <c r="AN474" s="1050" cm="1">
        <f t="array" aca="1" ref="AN474" ca="1">INDEX(OFFSET($AK$19,MATCH($B474,$B$19:$B$150,0)-1,0,COUNTA($B$19:$B$24),COUNTA($AK$17:$BB$17)),MATCH($F474,$F$19:$F$24,0),MATCH(AN$17,$AK$17:$BB$17,0))*INDEX($10:$13,MATCH($O474,$R$10:$R$13,0),COLUMN())</f>
        <v>4.4906350439999994E-4</v>
      </c>
      <c r="AO474" s="1050" cm="1">
        <f t="array" aca="1" ref="AO474" ca="1">INDEX(OFFSET($AK$19,MATCH($B474,$B$19:$B$150,0)-1,0,COUNTA($B$19:$B$24),COUNTA($AK$17:$BB$17)),MATCH($F474,$F$19:$F$24,0),MATCH(AO$17,$AK$17:$BB$17,0))*INDEX($10:$13,MATCH($O474,$R$10:$R$13,0),COLUMN())</f>
        <v>7.0646220399999994E-3</v>
      </c>
      <c r="AP474" s="1050" cm="1">
        <f t="array" aca="1" ref="AP474" ca="1">INDEX(OFFSET($AK$19,MATCH($B474,$B$19:$B$150,0)-1,0,COUNTA($B$19:$B$24),COUNTA($AK$17:$BB$17)),MATCH($F474,$F$19:$F$24,0),MATCH(AP$17,$AK$17:$BB$17,0))*INDEX($10:$13,MATCH($O474,$R$10:$R$13,0),COLUMN())</f>
        <v>5.7857932820000002E-4</v>
      </c>
      <c r="AQ474" s="1050" cm="1">
        <f t="array" aca="1" ref="AQ474" ca="1">INDEX(OFFSET($AK$19,MATCH($B474,$B$19:$B$150,0)-1,0,COUNTA($B$19:$B$24),COUNTA($AK$17:$BB$17)),MATCH($F474,$F$19:$F$24,0),MATCH(AQ$17,$AK$17:$BB$17,0))*INDEX($10:$13,MATCH($O474,$R$10:$R$13,0),COLUMN())</f>
        <v>5.0343942499999997E-6</v>
      </c>
      <c r="AR474" s="1050" cm="1">
        <f t="array" aca="1" ref="AR474" ca="1">INDEX(OFFSET($AK$19,MATCH($B474,$B$19:$B$150,0)-1,0,COUNTA($B$19:$B$24),COUNTA($AK$17:$BB$17)),MATCH($F474,$F$19:$F$24,0),MATCH(AR$17,$AK$17:$BB$17,0))*INDEX($10:$13,MATCH($O474,$R$10:$R$13,0),COLUMN())</f>
        <v>2.7961438381999999E-3</v>
      </c>
      <c r="AS474" s="1050" cm="1">
        <f t="array" aca="1" ref="AS474" ca="1">INDEX(OFFSET($AK$19,MATCH($B474,$B$19:$B$150,0)-1,0,COUNTA($B$19:$B$24),COUNTA($AK$17:$BB$17)),MATCH($F474,$F$19:$F$24,0),MATCH(AS$17,$AK$17:$BB$17,0))*INDEX($10:$13,MATCH($O474,$R$10:$R$13,0),COLUMN())</f>
        <v>4.7310110640000003E-5</v>
      </c>
      <c r="AT474" s="1050" cm="1">
        <f t="array" aca="1" ref="AT474" ca="1">INDEX(OFFSET($AK$19,MATCH($B474,$B$19:$B$150,0)-1,0,COUNTA($B$19:$B$24),COUNTA($AK$17:$BB$17)),MATCH($F474,$F$19:$F$24,0),MATCH(AT$17,$AK$17:$BB$17,0))*INDEX($10:$13,MATCH($O474,$R$10:$R$13,0),COLUMN())</f>
        <v>4.3668672015000005E-7</v>
      </c>
      <c r="AU474" s="1050" cm="1">
        <f t="array" aca="1" ref="AU474" ca="1">INDEX(OFFSET($AK$19,MATCH($B474,$B$19:$B$150,0)-1,0,COUNTA($B$19:$B$24),COUNTA($AK$17:$BB$17)),MATCH($F474,$F$19:$F$24,0),MATCH(AU$17,$AK$17:$BB$17,0))*INDEX($10:$13,MATCH($O474,$R$10:$R$13,0),COLUMN())</f>
        <v>8.9163158271999994E-8</v>
      </c>
      <c r="AV474" s="1050" cm="1">
        <f t="array" aca="1" ref="AV474" ca="1">INDEX(OFFSET($AK$19,MATCH($B474,$B$19:$B$150,0)-1,0,COUNTA($B$19:$B$24),COUNTA($AK$17:$BB$17)),MATCH($F474,$F$19:$F$24,0),MATCH(AV$17,$AK$17:$BB$17,0))*INDEX($10:$13,MATCH($O474,$R$10:$R$13,0),COLUMN())</f>
        <v>7.8709871499999993E-4</v>
      </c>
      <c r="AW474" s="1050" cm="1">
        <f t="array" aca="1" ref="AW474" ca="1">INDEX(OFFSET($AK$19,MATCH($B474,$B$19:$B$150,0)-1,0,COUNTA($B$19:$B$24),COUNTA($AK$17:$BB$17)),MATCH($F474,$F$19:$F$24,0),MATCH(AW$17,$AK$17:$BB$17,0))*INDEX($10:$13,MATCH($O474,$R$10:$R$13,0),COLUMN())</f>
        <v>4.0948894499999999E-2</v>
      </c>
      <c r="AX474" s="1050" cm="1">
        <f t="array" aca="1" ref="AX474" ca="1">INDEX(OFFSET($AK$19,MATCH($B474,$B$19:$B$150,0)-1,0,COUNTA($B$19:$B$24),COUNTA($AK$17:$BB$17)),MATCH($F474,$F$19:$F$24,0),MATCH(AX$17,$AK$17:$BB$17,0))*INDEX($10:$13,MATCH($O474,$R$10:$R$13,0),COLUMN())</f>
        <v>1.0359506069999998E-8</v>
      </c>
      <c r="AY474" s="1050" cm="1">
        <f t="array" aca="1" ref="AY474" ca="1">INDEX(OFFSET($AK$19,MATCH($B474,$B$19:$B$150,0)-1,0,COUNTA($B$19:$B$24),COUNTA($AK$17:$BB$17)),MATCH($F474,$F$19:$F$24,0),MATCH(AY$17,$AK$17:$BB$17,0))*INDEX($10:$13,MATCH($O474,$R$10:$R$13,0),COLUMN())</f>
        <v>-2.6699123474999996E-10</v>
      </c>
      <c r="AZ474" s="1050" cm="1">
        <f t="array" aca="1" ref="AZ474" ca="1">INDEX(OFFSET($AK$19,MATCH($B474,$B$19:$B$150,0)-1,0,COUNTA($B$19:$B$24),COUNTA($AK$17:$BB$17)),MATCH($F474,$F$19:$F$24,0),MATCH(AZ$17,$AK$17:$BB$17,0))*INDEX($10:$13,MATCH($O474,$R$10:$R$13,0),COLUMN())</f>
        <v>0</v>
      </c>
      <c r="BA474" s="1050" cm="1">
        <f t="array" aca="1" ref="BA474" ca="1">INDEX(OFFSET($AK$19,MATCH($B474,$B$19:$B$150,0)-1,0,COUNTA($B$19:$B$24),COUNTA($AK$17:$BB$17)),MATCH($F474,$F$19:$F$24,0),MATCH(BA$17,$AK$17:$BB$17,0))*INDEX($10:$13,MATCH($O474,$R$10:$R$13,0),COLUMN())</f>
        <v>0</v>
      </c>
      <c r="BB474" s="1051" cm="1">
        <f t="array" aca="1" ref="BB474" ca="1">INDEX(OFFSET($AK$19,MATCH($B474,$B$19:$B$150,0)-1,0,COUNTA($B$19:$B$24),COUNTA($AK$17:$BB$17)),MATCH($F474,$F$19:$F$24,0),MATCH(BB$17,$AK$17:$BB$17,0))*INDEX($10:$13,MATCH($O474,$R$10:$R$13,0),COLUMN())</f>
        <v>0</v>
      </c>
      <c r="BC474" s="1053">
        <f t="shared" ca="1" si="179"/>
        <v>4.0948904592514837E-2</v>
      </c>
      <c r="BE474" s="1"/>
      <c r="BF474" s="1"/>
      <c r="BG474" s="1"/>
      <c r="BH474" s="1"/>
      <c r="BI474" s="1"/>
      <c r="BJ474" s="1"/>
      <c r="BK474" s="1"/>
      <c r="BL474" s="1"/>
      <c r="BM474" s="1"/>
      <c r="BN474" s="1"/>
      <c r="BO474" s="1"/>
      <c r="BP474" s="1"/>
      <c r="BQ474" s="1"/>
      <c r="BR474" s="1"/>
      <c r="BS474" s="1"/>
      <c r="BT474" s="1"/>
      <c r="BU474" s="1"/>
      <c r="BV474" s="1"/>
      <c r="BW474" s="1"/>
      <c r="BX474" s="1"/>
      <c r="BY474" s="1"/>
      <c r="BZ474" s="1"/>
    </row>
    <row r="475" spans="2:78" ht="12" customHeight="1" outlineLevel="1" x14ac:dyDescent="0.25">
      <c r="B475" s="104" t="s">
        <v>105</v>
      </c>
      <c r="C475" s="104" t="s">
        <v>121</v>
      </c>
      <c r="D475" s="2" t="s">
        <v>137</v>
      </c>
      <c r="E475" s="2" t="s">
        <v>141</v>
      </c>
      <c r="F475" s="105" t="s">
        <v>95</v>
      </c>
      <c r="G475" s="27" t="s">
        <v>1581</v>
      </c>
      <c r="H475" s="106" t="s">
        <v>128</v>
      </c>
      <c r="I475" s="107" t="s">
        <v>127</v>
      </c>
      <c r="J475" s="147">
        <v>0.81023034000000005</v>
      </c>
      <c r="K475" s="148">
        <v>3.15</v>
      </c>
      <c r="L475" s="149">
        <f t="shared" ca="1" si="177"/>
        <v>3.1940972310277545E-2</v>
      </c>
      <c r="M475" s="148">
        <f t="shared" ca="1" si="178"/>
        <v>3.2506140627773741</v>
      </c>
      <c r="N475" s="148">
        <f t="shared" ca="1" si="175"/>
        <v>0.10061406277737427</v>
      </c>
      <c r="O475" s="1062" t="s">
        <v>1584</v>
      </c>
      <c r="P475" s="104"/>
      <c r="R475" s="119"/>
      <c r="S475" s="1072"/>
      <c r="T475" s="1072"/>
      <c r="U475" s="1072"/>
      <c r="V475" s="1072"/>
      <c r="W475" s="1072"/>
      <c r="X475" s="1072"/>
      <c r="Y475" s="1072"/>
      <c r="Z475" s="1072"/>
      <c r="AA475" s="1072"/>
      <c r="AB475" s="1072"/>
      <c r="AC475" s="1072"/>
      <c r="AD475" s="1072"/>
      <c r="AE475" s="1072"/>
      <c r="AF475" s="1072"/>
      <c r="AG475" s="1072"/>
      <c r="AH475" s="1072"/>
      <c r="AI475" s="1072"/>
      <c r="AJ475" s="1073"/>
      <c r="AK475" s="1052" cm="1">
        <f t="array" aca="1" ref="AK475" ca="1">INDEX(OFFSET($AK$19,MATCH($B475,$B$19:$B$150,0)-1,0,COUNTA($B$19:$B$24),COUNTA($AK$17:$BB$17)),MATCH($F475,$F$19:$F$24,0),MATCH(AK$17,$AK$17:$BB$17,0))*INDEX($10:$13,MATCH($O475,$R$10:$R$13,0),COLUMN())</f>
        <v>1.2462525528057197E-2</v>
      </c>
      <c r="AL475" s="1050" cm="1">
        <f t="array" aca="1" ref="AL475" ca="1">INDEX(OFFSET($AK$19,MATCH($B475,$B$19:$B$150,0)-1,0,COUNTA($B$19:$B$24),COUNTA($AK$17:$BB$17)),MATCH($F475,$F$19:$F$24,0),MATCH(AL$17,$AK$17:$BB$17,0))*INDEX($10:$13,MATCH($O475,$R$10:$R$13,0),COLUMN())</f>
        <v>2.8409174300000001E-8</v>
      </c>
      <c r="AM475" s="1050" cm="1">
        <f t="array" aca="1" ref="AM475" ca="1">INDEX(OFFSET($AK$19,MATCH($B475,$B$19:$B$150,0)-1,0,COUNTA($B$19:$B$24),COUNTA($AK$17:$BB$17)),MATCH($F475,$F$19:$F$24,0),MATCH(AM$17,$AK$17:$BB$17,0))*INDEX($10:$13,MATCH($O475,$R$10:$R$13,0),COLUMN())</f>
        <v>4.6651325490000002E-5</v>
      </c>
      <c r="AN475" s="1050" cm="1">
        <f t="array" aca="1" ref="AN475" ca="1">INDEX(OFFSET($AK$19,MATCH($B475,$B$19:$B$150,0)-1,0,COUNTA($B$19:$B$24),COUNTA($AK$17:$BB$17)),MATCH($F475,$F$19:$F$24,0),MATCH(AN$17,$AK$17:$BB$17,0))*INDEX($10:$13,MATCH($O475,$R$10:$R$13,0),COLUMN())</f>
        <v>6.0742700759999996E-4</v>
      </c>
      <c r="AO475" s="1050" cm="1">
        <f t="array" aca="1" ref="AO475" ca="1">INDEX(OFFSET($AK$19,MATCH($B475,$B$19:$B$150,0)-1,0,COUNTA($B$19:$B$24),COUNTA($AK$17:$BB$17)),MATCH($F475,$F$19:$F$24,0),MATCH(AO$17,$AK$17:$BB$17,0))*INDEX($10:$13,MATCH($O475,$R$10:$R$13,0),COLUMN())</f>
        <v>2.1657347319999999E-2</v>
      </c>
      <c r="AP475" s="1050" cm="1">
        <f t="array" aca="1" ref="AP475" ca="1">INDEX(OFFSET($AK$19,MATCH($B475,$B$19:$B$150,0)-1,0,COUNTA($B$19:$B$24),COUNTA($AK$17:$BB$17)),MATCH($F475,$F$19:$F$24,0),MATCH(AP$17,$AK$17:$BB$17,0))*INDEX($10:$13,MATCH($O475,$R$10:$R$13,0),COLUMN())</f>
        <v>2.5318788028000005E-3</v>
      </c>
      <c r="AQ475" s="1050" cm="1">
        <f t="array" aca="1" ref="AQ475" ca="1">INDEX(OFFSET($AK$19,MATCH($B475,$B$19:$B$150,0)-1,0,COUNTA($B$19:$B$24),COUNTA($AK$17:$BB$17)),MATCH($F475,$F$19:$F$24,0),MATCH(AQ$17,$AK$17:$BB$17,0))*INDEX($10:$13,MATCH($O475,$R$10:$R$13,0),COLUMN())</f>
        <v>2.4953705250000001E-5</v>
      </c>
      <c r="AR475" s="1050" cm="1">
        <f t="array" aca="1" ref="AR475" ca="1">INDEX(OFFSET($AK$19,MATCH($B475,$B$19:$B$150,0)-1,0,COUNTA($B$19:$B$24),COUNTA($AK$17:$BB$17)),MATCH($F475,$F$19:$F$24,0),MATCH(AR$17,$AK$17:$BB$17,0))*INDEX($10:$13,MATCH($O475,$R$10:$R$13,0),COLUMN())</f>
        <v>8.0477603729999982E-3</v>
      </c>
      <c r="AS475" s="1050" cm="1">
        <f t="array" aca="1" ref="AS475" ca="1">INDEX(OFFSET($AK$19,MATCH($B475,$B$19:$B$150,0)-1,0,COUNTA($B$19:$B$24),COUNTA($AK$17:$BB$17)),MATCH($F475,$F$19:$F$24,0),MATCH(AS$17,$AK$17:$BB$17,0))*INDEX($10:$13,MATCH($O475,$R$10:$R$13,0),COLUMN())</f>
        <v>3.557953503E-4</v>
      </c>
      <c r="AT475" s="1050" cm="1">
        <f t="array" aca="1" ref="AT475" ca="1">INDEX(OFFSET($AK$19,MATCH($B475,$B$19:$B$150,0)-1,0,COUNTA($B$19:$B$24),COUNTA($AK$17:$BB$17)),MATCH($F475,$F$19:$F$24,0),MATCH(AT$17,$AK$17:$BB$17,0))*INDEX($10:$13,MATCH($O475,$R$10:$R$13,0),COLUMN())</f>
        <v>7.6120832449999998E-7</v>
      </c>
      <c r="AU475" s="1050" cm="1">
        <f t="array" aca="1" ref="AU475" ca="1">INDEX(OFFSET($AK$19,MATCH($B475,$B$19:$B$150,0)-1,0,COUNTA($B$19:$B$24),COUNTA($AK$17:$BB$17)),MATCH($F475,$F$19:$F$24,0),MATCH(AU$17,$AK$17:$BB$17,0))*INDEX($10:$13,MATCH($O475,$R$10:$R$13,0),COLUMN())</f>
        <v>1.4429656800000001E-7</v>
      </c>
      <c r="AV475" s="1050" cm="1">
        <f t="array" aca="1" ref="AV475" ca="1">INDEX(OFFSET($AK$19,MATCH($B475,$B$19:$B$150,0)-1,0,COUNTA($B$19:$B$24),COUNTA($AK$17:$BB$17)),MATCH($F475,$F$19:$F$24,0),MATCH(AV$17,$AK$17:$BB$17,0))*INDEX($10:$13,MATCH($O475,$R$10:$R$13,0),COLUMN())</f>
        <v>3.6412647224999995E-3</v>
      </c>
      <c r="AW475" s="1050" cm="1">
        <f t="array" aca="1" ref="AW475" ca="1">INDEX(OFFSET($AK$19,MATCH($B475,$B$19:$B$150,0)-1,0,COUNTA($B$19:$B$24),COUNTA($AK$17:$BB$17)),MATCH($F475,$F$19:$F$24,0),MATCH(AW$17,$AK$17:$BB$17,0))*INDEX($10:$13,MATCH($O475,$R$10:$R$13,0),COLUMN())</f>
        <v>5.1237512099999993E-2</v>
      </c>
      <c r="AX475" s="1050" cm="1">
        <f t="array" aca="1" ref="AX475" ca="1">INDEX(OFFSET($AK$19,MATCH($B475,$B$19:$B$150,0)-1,0,COUNTA($B$19:$B$24),COUNTA($AK$17:$BB$17)),MATCH($F475,$F$19:$F$24,0),MATCH(AX$17,$AK$17:$BB$17,0))*INDEX($10:$13,MATCH($O475,$R$10:$R$13,0),COLUMN())</f>
        <v>1.2962384400000001E-8</v>
      </c>
      <c r="AY475" s="1050" cm="1">
        <f t="array" aca="1" ref="AY475" ca="1">INDEX(OFFSET($AK$19,MATCH($B475,$B$19:$B$150,0)-1,0,COUNTA($B$19:$B$24),COUNTA($AK$17:$BB$17)),MATCH($F475,$F$19:$F$24,0),MATCH(AY$17,$AK$17:$BB$17,0))*INDEX($10:$13,MATCH($O475,$R$10:$R$13,0),COLUMN())</f>
        <v>-3.3407413256249998E-10</v>
      </c>
      <c r="AZ475" s="1050" cm="1">
        <f t="array" aca="1" ref="AZ475" ca="1">INDEX(OFFSET($AK$19,MATCH($B475,$B$19:$B$150,0)-1,0,COUNTA($B$19:$B$24),COUNTA($AK$17:$BB$17)),MATCH($F475,$F$19:$F$24,0),MATCH(AZ$17,$AK$17:$BB$17,0))*INDEX($10:$13,MATCH($O475,$R$10:$R$13,0),COLUMN())</f>
        <v>0</v>
      </c>
      <c r="BA475" s="1050" cm="1">
        <f t="array" aca="1" ref="BA475" ca="1">INDEX(OFFSET($AK$19,MATCH($B475,$B$19:$B$150,0)-1,0,COUNTA($B$19:$B$24),COUNTA($AK$17:$BB$17)),MATCH($F475,$F$19:$F$24,0),MATCH(BA$17,$AK$17:$BB$17,0))*INDEX($10:$13,MATCH($O475,$R$10:$R$13,0),COLUMN())</f>
        <v>0</v>
      </c>
      <c r="BB475" s="1051" cm="1">
        <f t="array" aca="1" ref="BB475" ca="1">INDEX(OFFSET($AK$19,MATCH($B475,$B$19:$B$150,0)-1,0,COUNTA($B$19:$B$24),COUNTA($AK$17:$BB$17)),MATCH($F475,$F$19:$F$24,0),MATCH(BB$17,$AK$17:$BB$17,0))*INDEX($10:$13,MATCH($O475,$R$10:$R$13,0),COLUMN())</f>
        <v>0</v>
      </c>
      <c r="BC475" s="1053">
        <f t="shared" ca="1" si="179"/>
        <v>5.1237524728310266E-2</v>
      </c>
      <c r="BE475" s="1"/>
      <c r="BF475" s="1"/>
      <c r="BG475" s="1"/>
      <c r="BH475" s="1"/>
      <c r="BI475" s="1"/>
      <c r="BJ475" s="1"/>
      <c r="BK475" s="1"/>
      <c r="BL475" s="1"/>
      <c r="BM475" s="1"/>
      <c r="BN475" s="1"/>
      <c r="BO475" s="1"/>
      <c r="BP475" s="1"/>
      <c r="BQ475" s="1"/>
      <c r="BR475" s="1"/>
      <c r="BS475" s="1"/>
      <c r="BT475" s="1"/>
      <c r="BU475" s="1"/>
      <c r="BV475" s="1"/>
      <c r="BW475" s="1"/>
      <c r="BX475" s="1"/>
      <c r="BY475" s="1"/>
      <c r="BZ475" s="1"/>
    </row>
    <row r="476" spans="2:78" ht="12" customHeight="1" outlineLevel="1" x14ac:dyDescent="0.25">
      <c r="B476" s="104" t="s">
        <v>105</v>
      </c>
      <c r="C476" s="104" t="s">
        <v>121</v>
      </c>
      <c r="D476" s="2" t="s">
        <v>137</v>
      </c>
      <c r="E476" s="2" t="s">
        <v>141</v>
      </c>
      <c r="F476" s="105" t="s">
        <v>96</v>
      </c>
      <c r="G476" s="27" t="s">
        <v>1582</v>
      </c>
      <c r="H476" s="106" t="s">
        <v>128</v>
      </c>
      <c r="I476" s="107" t="s">
        <v>1577</v>
      </c>
      <c r="J476" s="147">
        <v>0.81023034000000005</v>
      </c>
      <c r="K476" s="148">
        <v>3.15</v>
      </c>
      <c r="L476" s="149">
        <f t="shared" ca="1" si="177"/>
        <v>3.7506148523435048E-2</v>
      </c>
      <c r="M476" s="148">
        <f t="shared" ca="1" si="178"/>
        <v>3.2681443678488202</v>
      </c>
      <c r="N476" s="148">
        <f t="shared" ca="1" si="175"/>
        <v>0.1181443678488204</v>
      </c>
      <c r="O476" s="1062" t="s">
        <v>1584</v>
      </c>
      <c r="P476" s="104"/>
      <c r="R476" s="119"/>
      <c r="S476" s="1072"/>
      <c r="T476" s="1072"/>
      <c r="U476" s="1072"/>
      <c r="V476" s="1072"/>
      <c r="W476" s="1072"/>
      <c r="X476" s="1072"/>
      <c r="Y476" s="1072"/>
      <c r="Z476" s="1072"/>
      <c r="AA476" s="1072"/>
      <c r="AB476" s="1072"/>
      <c r="AC476" s="1072"/>
      <c r="AD476" s="1072"/>
      <c r="AE476" s="1072"/>
      <c r="AF476" s="1072"/>
      <c r="AG476" s="1072"/>
      <c r="AH476" s="1072"/>
      <c r="AI476" s="1072"/>
      <c r="AJ476" s="1073"/>
      <c r="AK476" s="1052" cm="1">
        <f t="array" aca="1" ref="AK476" ca="1">INDEX(OFFSET($AK$19,MATCH($B476,$B$19:$B$150,0)-1,0,COUNTA($B$19:$B$24),COUNTA($AK$17:$BB$17)),MATCH($F476,$F$19:$F$24,0),MATCH(AK$17,$AK$17:$BB$17,0))*INDEX($10:$13,MATCH($O476,$R$10:$R$13,0),COLUMN())</f>
        <v>1.3813113263207992E-2</v>
      </c>
      <c r="AL476" s="1050" cm="1">
        <f t="array" aca="1" ref="AL476" ca="1">INDEX(OFFSET($AK$19,MATCH($B476,$B$19:$B$150,0)-1,0,COUNTA($B$19:$B$24),COUNTA($AK$17:$BB$17)),MATCH($F476,$F$19:$F$24,0),MATCH(AL$17,$AK$17:$BB$17,0))*INDEX($10:$13,MATCH($O476,$R$10:$R$13,0),COLUMN())</f>
        <v>2.8560824500000002E-8</v>
      </c>
      <c r="AM476" s="1050" cm="1">
        <f t="array" aca="1" ref="AM476" ca="1">INDEX(OFFSET($AK$19,MATCH($B476,$B$19:$B$150,0)-1,0,COUNTA($B$19:$B$24),COUNTA($AK$17:$BB$17)),MATCH($F476,$F$19:$F$24,0),MATCH(AM$17,$AK$17:$BB$17,0))*INDEX($10:$13,MATCH($O476,$R$10:$R$13,0),COLUMN())</f>
        <v>4.6899338310000002E-5</v>
      </c>
      <c r="AN476" s="1050" cm="1">
        <f t="array" aca="1" ref="AN476" ca="1">INDEX(OFFSET($AK$19,MATCH($B476,$B$19:$B$150,0)-1,0,COUNTA($B$19:$B$24),COUNTA($AK$17:$BB$17)),MATCH($F476,$F$19:$F$24,0),MATCH(AN$17,$AK$17:$BB$17,0))*INDEX($10:$13,MATCH($O476,$R$10:$R$13,0),COLUMN())</f>
        <v>6.3714324239999998E-4</v>
      </c>
      <c r="AO476" s="1050" cm="1">
        <f t="array" aca="1" ref="AO476" ca="1">INDEX(OFFSET($AK$19,MATCH($B476,$B$19:$B$150,0)-1,0,COUNTA($B$19:$B$24),COUNTA($AK$17:$BB$17)),MATCH($F476,$F$19:$F$24,0),MATCH(AO$17,$AK$17:$BB$17,0))*INDEX($10:$13,MATCH($O476,$R$10:$R$13,0),COLUMN())</f>
        <v>3.0976092000000004E-2</v>
      </c>
      <c r="AP476" s="1050" cm="1">
        <f t="array" aca="1" ref="AP476" ca="1">INDEX(OFFSET($AK$19,MATCH($B476,$B$19:$B$150,0)-1,0,COUNTA($B$19:$B$24),COUNTA($AK$17:$BB$17)),MATCH($F476,$F$19:$F$24,0),MATCH(AP$17,$AK$17:$BB$17,0))*INDEX($10:$13,MATCH($O476,$R$10:$R$13,0),COLUMN())</f>
        <v>3.848931623E-3</v>
      </c>
      <c r="AQ476" s="1050" cm="1">
        <f t="array" aca="1" ref="AQ476" ca="1">INDEX(OFFSET($AK$19,MATCH($B476,$B$19:$B$150,0)-1,0,COUNTA($B$19:$B$24),COUNTA($AK$17:$BB$17)),MATCH($F476,$F$19:$F$24,0),MATCH(AQ$17,$AK$17:$BB$17,0))*INDEX($10:$13,MATCH($O476,$R$10:$R$13,0),COLUMN())</f>
        <v>3.8238977499999999E-5</v>
      </c>
      <c r="AR476" s="1050" cm="1">
        <f t="array" aca="1" ref="AR476" ca="1">INDEX(OFFSET($AK$19,MATCH($B476,$B$19:$B$150,0)-1,0,COUNTA($B$19:$B$24),COUNTA($AK$17:$BB$17)),MATCH($F476,$F$19:$F$24,0),MATCH(AR$17,$AK$17:$BB$17,0))*INDEX($10:$13,MATCH($O476,$R$10:$R$13,0),COLUMN())</f>
        <v>1.1364370735E-2</v>
      </c>
      <c r="AS476" s="1050" cm="1">
        <f t="array" aca="1" ref="AS476" ca="1">INDEX(OFFSET($AK$19,MATCH($B476,$B$19:$B$150,0)-1,0,COUNTA($B$19:$B$24),COUNTA($AK$17:$BB$17)),MATCH($F476,$F$19:$F$24,0),MATCH(AS$17,$AK$17:$BB$17,0))*INDEX($10:$13,MATCH($O476,$R$10:$R$13,0),COLUMN())</f>
        <v>5.5840788899999994E-4</v>
      </c>
      <c r="AT476" s="1050" cm="1">
        <f t="array" aca="1" ref="AT476" ca="1">INDEX(OFFSET($AK$19,MATCH($B476,$B$19:$B$150,0)-1,0,COUNTA($B$19:$B$24),COUNTA($AK$17:$BB$17)),MATCH($F476,$F$19:$F$24,0),MATCH(AT$17,$AK$17:$BB$17,0))*INDEX($10:$13,MATCH($O476,$R$10:$R$13,0),COLUMN())</f>
        <v>8.5194120300000001E-7</v>
      </c>
      <c r="AU476" s="1050" cm="1">
        <f t="array" aca="1" ref="AU476" ca="1">INDEX(OFFSET($AK$19,MATCH($B476,$B$19:$B$150,0)-1,0,COUNTA($B$19:$B$24),COUNTA($AK$17:$BB$17)),MATCH($F476,$F$19:$F$24,0),MATCH(AU$17,$AK$17:$BB$17,0))*INDEX($10:$13,MATCH($O476,$R$10:$R$13,0),COLUMN())</f>
        <v>1.5724506463999999E-7</v>
      </c>
      <c r="AV476" s="1050" cm="1">
        <f t="array" aca="1" ref="AV476" ca="1">INDEX(OFFSET($AK$19,MATCH($B476,$B$19:$B$150,0)-1,0,COUNTA($B$19:$B$24),COUNTA($AK$17:$BB$17)),MATCH($F476,$F$19:$F$24,0),MATCH(AV$17,$AK$17:$BB$17,0))*INDEX($10:$13,MATCH($O476,$R$10:$R$13,0),COLUMN())</f>
        <v>5.6226083049999995E-3</v>
      </c>
      <c r="AW476" s="1050" cm="1">
        <f t="array" aca="1" ref="AW476" ca="1">INDEX(OFFSET($AK$19,MATCH($B476,$B$19:$B$150,0)-1,0,COUNTA($B$19:$B$24),COUNTA($AK$17:$BB$17)),MATCH($F476,$F$19:$F$24,0),MATCH(AW$17,$AK$17:$BB$17,0))*INDEX($10:$13,MATCH($O476,$R$10:$R$13,0),COLUMN())</f>
        <v>5.1237512099999993E-2</v>
      </c>
      <c r="AX476" s="1050" cm="1">
        <f t="array" aca="1" ref="AX476" ca="1">INDEX(OFFSET($AK$19,MATCH($B476,$B$19:$B$150,0)-1,0,COUNTA($B$19:$B$24),COUNTA($AK$17:$BB$17)),MATCH($F476,$F$19:$F$24,0),MATCH(AX$17,$AK$17:$BB$17,0))*INDEX($10:$13,MATCH($O476,$R$10:$R$13,0),COLUMN())</f>
        <v>1.2962384400000001E-8</v>
      </c>
      <c r="AY476" s="1050" cm="1">
        <f t="array" aca="1" ref="AY476" ca="1">INDEX(OFFSET($AK$19,MATCH($B476,$B$19:$B$150,0)-1,0,COUNTA($B$19:$B$24),COUNTA($AK$17:$BB$17)),MATCH($F476,$F$19:$F$24,0),MATCH(AY$17,$AK$17:$BB$17,0))*INDEX($10:$13,MATCH($O476,$R$10:$R$13,0),COLUMN())</f>
        <v>-3.3407413256249998E-10</v>
      </c>
      <c r="AZ476" s="1050" cm="1">
        <f t="array" aca="1" ref="AZ476" ca="1">INDEX(OFFSET($AK$19,MATCH($B476,$B$19:$B$150,0)-1,0,COUNTA($B$19:$B$24),COUNTA($AK$17:$BB$17)),MATCH($F476,$F$19:$F$24,0),MATCH(AZ$17,$AK$17:$BB$17,0))*INDEX($10:$13,MATCH($O476,$R$10:$R$13,0),COLUMN())</f>
        <v>0</v>
      </c>
      <c r="BA476" s="1050" cm="1">
        <f t="array" aca="1" ref="BA476" ca="1">INDEX(OFFSET($AK$19,MATCH($B476,$B$19:$B$150,0)-1,0,COUNTA($B$19:$B$24),COUNTA($AK$17:$BB$17)),MATCH($F476,$F$19:$F$24,0),MATCH(BA$17,$AK$17:$BB$17,0))*INDEX($10:$13,MATCH($O476,$R$10:$R$13,0),COLUMN())</f>
        <v>0</v>
      </c>
      <c r="BB476" s="1051" cm="1">
        <f t="array" aca="1" ref="BB476" ca="1">INDEX(OFFSET($AK$19,MATCH($B476,$B$19:$B$150,0)-1,0,COUNTA($B$19:$B$24),COUNTA($AK$17:$BB$17)),MATCH($F476,$F$19:$F$24,0),MATCH(BB$17,$AK$17:$BB$17,0))*INDEX($10:$13,MATCH($O476,$R$10:$R$13,0),COLUMN())</f>
        <v>0</v>
      </c>
      <c r="BC476" s="1053">
        <f t="shared" ca="1" si="179"/>
        <v>5.1237524728310266E-2</v>
      </c>
      <c r="BE476" s="1"/>
      <c r="BF476" s="1"/>
      <c r="BG476" s="1"/>
      <c r="BH476" s="1"/>
      <c r="BI476" s="1"/>
      <c r="BJ476" s="1"/>
      <c r="BK476" s="1"/>
      <c r="BL476" s="1"/>
      <c r="BM476" s="1"/>
      <c r="BN476" s="1"/>
      <c r="BO476" s="1"/>
      <c r="BP476" s="1"/>
      <c r="BQ476" s="1"/>
      <c r="BR476" s="1"/>
      <c r="BS476" s="1"/>
      <c r="BT476" s="1"/>
      <c r="BU476" s="1"/>
      <c r="BV476" s="1"/>
      <c r="BW476" s="1"/>
      <c r="BX476" s="1"/>
      <c r="BY476" s="1"/>
      <c r="BZ476" s="1"/>
    </row>
    <row r="477" spans="2:78" ht="12" customHeight="1" outlineLevel="1" x14ac:dyDescent="0.25">
      <c r="B477" s="88" t="s">
        <v>106</v>
      </c>
      <c r="C477" s="88" t="s">
        <v>121</v>
      </c>
      <c r="D477" s="89" t="s">
        <v>137</v>
      </c>
      <c r="E477" s="89" t="s">
        <v>142</v>
      </c>
      <c r="F477" s="90" t="s">
        <v>92</v>
      </c>
      <c r="G477" s="18" t="s">
        <v>126</v>
      </c>
      <c r="H477" s="91" t="s">
        <v>127</v>
      </c>
      <c r="I477" s="92" t="s">
        <v>127</v>
      </c>
      <c r="J477" s="142">
        <v>4.9808850400000004</v>
      </c>
      <c r="K477" s="143">
        <v>0.32371000000000005</v>
      </c>
      <c r="L477" s="144">
        <f t="shared" ca="1" si="177"/>
        <v>0.99222773035809053</v>
      </c>
      <c r="M477" s="143">
        <f t="shared" ca="1" si="178"/>
        <v>0.64490403859421752</v>
      </c>
      <c r="N477" s="143">
        <f t="shared" ref="N477:N540" ca="1" si="180">SUMIFS($S477:$BB477,$S$14:$BB$14,$D$13)</f>
        <v>0.32119403859421752</v>
      </c>
      <c r="O477" s="1063" t="s">
        <v>1584</v>
      </c>
      <c r="P477" s="88"/>
      <c r="Q477" s="89"/>
      <c r="R477" s="150"/>
      <c r="S477" s="1070"/>
      <c r="T477" s="1070"/>
      <c r="U477" s="1070"/>
      <c r="V477" s="1070"/>
      <c r="W477" s="1070"/>
      <c r="X477" s="1070"/>
      <c r="Y477" s="1070"/>
      <c r="Z477" s="1070"/>
      <c r="AA477" s="1070"/>
      <c r="AB477" s="1070"/>
      <c r="AC477" s="1070"/>
      <c r="AD477" s="1070"/>
      <c r="AE477" s="1070"/>
      <c r="AF477" s="1070"/>
      <c r="AG477" s="1070"/>
      <c r="AH477" s="1070"/>
      <c r="AI477" s="1070"/>
      <c r="AJ477" s="1071"/>
      <c r="AK477" s="1048" cm="1">
        <f t="array" aca="1" ref="AK477" ca="1">INDEX(OFFSET($AK$19,MATCH($B477,$B$19:$B$150,0)-1,0,COUNTA($B$19:$B$24),COUNTA($AK$17:$BB$17)),MATCH($F477,$F$19:$F$24,0),MATCH(AK$17,$AK$17:$BB$17,0))*INDEX($10:$13,MATCH($O477,$R$10:$R$13,0),COLUMN())</f>
        <v>5.5473170489415073E-2</v>
      </c>
      <c r="AL477" s="1046" cm="1">
        <f t="array" aca="1" ref="AL477" ca="1">INDEX(OFFSET($AK$19,MATCH($B477,$B$19:$B$150,0)-1,0,COUNTA($B$19:$B$24),COUNTA($AK$17:$BB$17)),MATCH($F477,$F$19:$F$24,0),MATCH(AL$17,$AK$17:$BB$17,0))*INDEX($10:$13,MATCH($O477,$R$10:$R$13,0),COLUMN())</f>
        <v>1.4813817408000001E-7</v>
      </c>
      <c r="AM477" s="1046" cm="1">
        <f t="array" aca="1" ref="AM477" ca="1">INDEX(OFFSET($AK$19,MATCH($B477,$B$19:$B$150,0)-1,0,COUNTA($B$19:$B$24),COUNTA($AK$17:$BB$17)),MATCH($F477,$F$19:$F$24,0),MATCH(AM$17,$AK$17:$BB$17,0))*INDEX($10:$13,MATCH($O477,$R$10:$R$13,0),COLUMN())</f>
        <v>2.4609596417999999E-4</v>
      </c>
      <c r="AN477" s="1046" cm="1">
        <f t="array" aca="1" ref="AN477" ca="1">INDEX(OFFSET($AK$19,MATCH($B477,$B$19:$B$150,0)-1,0,COUNTA($B$19:$B$24),COUNTA($AK$17:$BB$17)),MATCH($F477,$F$19:$F$24,0),MATCH(AN$17,$AK$17:$BB$17,0))*INDEX($10:$13,MATCH($O477,$R$10:$R$13,0),COLUMN())</f>
        <v>1.41688008E-3</v>
      </c>
      <c r="AO477" s="1046" cm="1">
        <f t="array" aca="1" ref="AO477" ca="1">INDEX(OFFSET($AK$19,MATCH($B477,$B$19:$B$150,0)-1,0,COUNTA($B$19:$B$24),COUNTA($AK$17:$BB$17)),MATCH($F477,$F$19:$F$24,0),MATCH(AO$17,$AK$17:$BB$17,0))*INDEX($10:$13,MATCH($O477,$R$10:$R$13,0),COLUMN())</f>
        <v>6.3873521599999997E-2</v>
      </c>
      <c r="AP477" s="1046" cm="1">
        <f t="array" aca="1" ref="AP477" ca="1">INDEX(OFFSET($AK$19,MATCH($B477,$B$19:$B$150,0)-1,0,COUNTA($B$19:$B$24),COUNTA($AK$17:$BB$17)),MATCH($F477,$F$19:$F$24,0),MATCH(AP$17,$AK$17:$BB$17,0))*INDEX($10:$13,MATCH($O477,$R$10:$R$13,0),COLUMN())</f>
        <v>7.7518040200000001E-3</v>
      </c>
      <c r="AQ477" s="1046" cm="1">
        <f t="array" aca="1" ref="AQ477" ca="1">INDEX(OFFSET($AK$19,MATCH($B477,$B$19:$B$150,0)-1,0,COUNTA($B$19:$B$24),COUNTA($AK$17:$BB$17)),MATCH($F477,$F$19:$F$24,0),MATCH(AQ$17,$AK$17:$BB$17,0))*INDEX($10:$13,MATCH($O477,$R$10:$R$13,0),COLUMN())</f>
        <v>1.120494475E-4</v>
      </c>
      <c r="AR477" s="1046" cm="1">
        <f t="array" aca="1" ref="AR477" ca="1">INDEX(OFFSET($AK$19,MATCH($B477,$B$19:$B$150,0)-1,0,COUNTA($B$19:$B$24),COUNTA($AK$17:$BB$17)),MATCH($F477,$F$19:$F$24,0),MATCH(AR$17,$AK$17:$BB$17,0))*INDEX($10:$13,MATCH($O477,$R$10:$R$13,0),COLUMN())</f>
        <v>3.9988644349999998E-2</v>
      </c>
      <c r="AS477" s="1046" cm="1">
        <f t="array" aca="1" ref="AS477" ca="1">INDEX(OFFSET($AK$19,MATCH($B477,$B$19:$B$150,0)-1,0,COUNTA($B$19:$B$24),COUNTA($AK$17:$BB$17)),MATCH($F477,$F$19:$F$24,0),MATCH(AS$17,$AK$17:$BB$17,0))*INDEX($10:$13,MATCH($O477,$R$10:$R$13,0),COLUMN())</f>
        <v>2.6757176939999999E-2</v>
      </c>
      <c r="AT477" s="1046" cm="1">
        <f t="array" aca="1" ref="AT477" ca="1">INDEX(OFFSET($AK$19,MATCH($B477,$B$19:$B$150,0)-1,0,COUNTA($B$19:$B$24),COUNTA($AK$17:$BB$17)),MATCH($F477,$F$19:$F$24,0),MATCH(AT$17,$AK$17:$BB$17,0))*INDEX($10:$13,MATCH($O477,$R$10:$R$13,0),COLUMN())</f>
        <v>3.0535897305000002E-5</v>
      </c>
      <c r="AU477" s="1046" cm="1">
        <f t="array" aca="1" ref="AU477" ca="1">INDEX(OFFSET($AK$19,MATCH($B477,$B$19:$B$150,0)-1,0,COUNTA($B$19:$B$24),COUNTA($AK$17:$BB$17)),MATCH($F477,$F$19:$F$24,0),MATCH(AU$17,$AK$17:$BB$17,0))*INDEX($10:$13,MATCH($O477,$R$10:$R$13,0),COLUMN())</f>
        <v>2.1668137952000001E-6</v>
      </c>
      <c r="AV477" s="1046" cm="1">
        <f t="array" aca="1" ref="AV477" ca="1">INDEX(OFFSET($AK$19,MATCH($B477,$B$19:$B$150,0)-1,0,COUNTA($B$19:$B$24),COUNTA($AK$17:$BB$17)),MATCH($F477,$F$19:$F$24,0),MATCH(AV$17,$AK$17:$BB$17,0))*INDEX($10:$13,MATCH($O477,$R$10:$R$13,0),COLUMN())</f>
        <v>1.0789102E-2</v>
      </c>
      <c r="AW477" s="1046" cm="1">
        <f t="array" aca="1" ref="AW477" ca="1">INDEX(OFFSET($AK$19,MATCH($B477,$B$19:$B$150,0)-1,0,COUNTA($B$19:$B$24),COUNTA($AK$17:$BB$17)),MATCH($F477,$F$19:$F$24,0),MATCH(AW$17,$AK$17:$BB$17,0))*INDEX($10:$13,MATCH($O477,$R$10:$R$13,0),COLUMN())</f>
        <v>0.11475261629999998</v>
      </c>
      <c r="AX477" s="1046" cm="1">
        <f t="array" aca="1" ref="AX477" ca="1">INDEX(OFFSET($AK$19,MATCH($B477,$B$19:$B$150,0)-1,0,COUNTA($B$19:$B$24),COUNTA($AK$17:$BB$17)),MATCH($F477,$F$19:$F$24,0),MATCH(AX$17,$AK$17:$BB$17,0))*INDEX($10:$13,MATCH($O477,$R$10:$R$13,0),COLUMN())</f>
        <v>1.3000147349999997E-7</v>
      </c>
      <c r="AY477" s="1046" cm="1">
        <f t="array" aca="1" ref="AY477" ca="1">INDEX(OFFSET($AK$19,MATCH($B477,$B$19:$B$150,0)-1,0,COUNTA($B$19:$B$24),COUNTA($AK$17:$BB$17)),MATCH($F477,$F$19:$F$24,0),MATCH(AY$17,$AK$17:$BB$17,0))*INDEX($10:$13,MATCH($O477,$R$10:$R$13,0),COLUMN())</f>
        <v>-3.4476253087499994E-9</v>
      </c>
      <c r="AZ477" s="1046" cm="1">
        <f t="array" aca="1" ref="AZ477" ca="1">INDEX(OFFSET($AK$19,MATCH($B477,$B$19:$B$150,0)-1,0,COUNTA($B$19:$B$24),COUNTA($AK$17:$BB$17)),MATCH($F477,$F$19:$F$24,0),MATCH(AZ$17,$AK$17:$BB$17,0))*INDEX($10:$13,MATCH($O477,$R$10:$R$13,0),COLUMN())</f>
        <v>0</v>
      </c>
      <c r="BA477" s="1046" cm="1">
        <f t="array" aca="1" ref="BA477" ca="1">INDEX(OFFSET($AK$19,MATCH($B477,$B$19:$B$150,0)-1,0,COUNTA($B$19:$B$24),COUNTA($AK$17:$BB$17)),MATCH($F477,$F$19:$F$24,0),MATCH(BA$17,$AK$17:$BB$17,0))*INDEX($10:$13,MATCH($O477,$R$10:$R$13,0),COLUMN())</f>
        <v>0</v>
      </c>
      <c r="BB477" s="1047" cm="1">
        <f t="array" aca="1" ref="BB477" ca="1">INDEX(OFFSET($AK$19,MATCH($B477,$B$19:$B$150,0)-1,0,COUNTA($B$19:$B$24),COUNTA($AK$17:$BB$17)),MATCH($F477,$F$19:$F$24,0),MATCH(BB$17,$AK$17:$BB$17,0))*INDEX($10:$13,MATCH($O477,$R$10:$R$13,0),COLUMN())</f>
        <v>0</v>
      </c>
      <c r="BC477" s="1049">
        <f t="shared" ca="1" si="179"/>
        <v>0.11475274285384818</v>
      </c>
      <c r="BE477" s="1"/>
      <c r="BF477" s="1"/>
      <c r="BG477" s="1"/>
      <c r="BH477" s="1"/>
      <c r="BI477" s="1"/>
      <c r="BJ477" s="1"/>
      <c r="BK477" s="1"/>
      <c r="BL477" s="1"/>
      <c r="BM477" s="1"/>
      <c r="BN477" s="1"/>
      <c r="BO477" s="1"/>
      <c r="BP477" s="1"/>
      <c r="BQ477" s="1"/>
      <c r="BR477" s="1"/>
      <c r="BS477" s="1"/>
      <c r="BT477" s="1"/>
      <c r="BU477" s="1"/>
      <c r="BV477" s="1"/>
      <c r="BW477" s="1"/>
      <c r="BX477" s="1"/>
      <c r="BY477" s="1"/>
      <c r="BZ477" s="1"/>
    </row>
    <row r="478" spans="2:78" ht="12" customHeight="1" outlineLevel="1" x14ac:dyDescent="0.25">
      <c r="B478" s="104" t="s">
        <v>106</v>
      </c>
      <c r="C478" s="104" t="s">
        <v>121</v>
      </c>
      <c r="D478" s="2" t="s">
        <v>137</v>
      </c>
      <c r="E478" s="2" t="s">
        <v>142</v>
      </c>
      <c r="F478" s="105" t="s">
        <v>122</v>
      </c>
      <c r="G478" s="27" t="s">
        <v>1579</v>
      </c>
      <c r="H478" s="106" t="s">
        <v>128</v>
      </c>
      <c r="I478" s="107" t="s">
        <v>129</v>
      </c>
      <c r="J478" s="147">
        <v>4.9808850400000004</v>
      </c>
      <c r="K478" s="148">
        <v>0.70413000000000003</v>
      </c>
      <c r="L478" s="149">
        <f t="shared" ca="1" si="177"/>
        <v>0.30137215898133052</v>
      </c>
      <c r="M478" s="148">
        <f t="shared" ca="1" si="178"/>
        <v>0.91633517830352429</v>
      </c>
      <c r="N478" s="148">
        <f t="shared" ca="1" si="180"/>
        <v>0.21220517830352426</v>
      </c>
      <c r="O478" s="1062" t="s">
        <v>1584</v>
      </c>
      <c r="P478" s="104"/>
      <c r="R478" s="119"/>
      <c r="S478" s="1072"/>
      <c r="T478" s="1072"/>
      <c r="U478" s="1072"/>
      <c r="V478" s="1072"/>
      <c r="W478" s="1072"/>
      <c r="X478" s="1072"/>
      <c r="Y478" s="1072"/>
      <c r="Z478" s="1072"/>
      <c r="AA478" s="1072"/>
      <c r="AB478" s="1072"/>
      <c r="AC478" s="1072"/>
      <c r="AD478" s="1072"/>
      <c r="AE478" s="1072"/>
      <c r="AF478" s="1072"/>
      <c r="AG478" s="1072"/>
      <c r="AH478" s="1072"/>
      <c r="AI478" s="1072"/>
      <c r="AJ478" s="1073"/>
      <c r="AK478" s="1052" cm="1">
        <f t="array" aca="1" ref="AK478" ca="1">INDEX(OFFSET($AK$19,MATCH($B478,$B$19:$B$150,0)-1,0,COUNTA($B$19:$B$24),COUNTA($AK$17:$BB$17)),MATCH($F478,$F$19:$F$24,0),MATCH(AK$17,$AK$17:$BB$17,0))*INDEX($10:$13,MATCH($O478,$R$10:$R$13,0),COLUMN())</f>
        <v>3.690044499164051E-2</v>
      </c>
      <c r="AL478" s="1050" cm="1">
        <f t="array" aca="1" ref="AL478" ca="1">INDEX(OFFSET($AK$19,MATCH($B478,$B$19:$B$150,0)-1,0,COUNTA($B$19:$B$24),COUNTA($AK$17:$BB$17)),MATCH($F478,$F$19:$F$24,0),MATCH(AL$17,$AK$17:$BB$17,0))*INDEX($10:$13,MATCH($O478,$R$10:$R$13,0),COLUMN())</f>
        <v>7.1552800930000004E-8</v>
      </c>
      <c r="AM478" s="1050" cm="1">
        <f t="array" aca="1" ref="AM478" ca="1">INDEX(OFFSET($AK$19,MATCH($B478,$B$19:$B$150,0)-1,0,COUNTA($B$19:$B$24),COUNTA($AK$17:$BB$17)),MATCH($F478,$F$19:$F$24,0),MATCH(AM$17,$AK$17:$BB$17,0))*INDEX($10:$13,MATCH($O478,$R$10:$R$13,0),COLUMN())</f>
        <v>1.1754563535E-4</v>
      </c>
      <c r="AN478" s="1050" cm="1">
        <f t="array" aca="1" ref="AN478" ca="1">INDEX(OFFSET($AK$19,MATCH($B478,$B$19:$B$150,0)-1,0,COUNTA($B$19:$B$24),COUNTA($AK$17:$BB$17)),MATCH($F478,$F$19:$F$24,0),MATCH(AN$17,$AK$17:$BB$17,0))*INDEX($10:$13,MATCH($O478,$R$10:$R$13,0),COLUMN())</f>
        <v>1.4779034759999999E-3</v>
      </c>
      <c r="AO478" s="1050" cm="1">
        <f t="array" aca="1" ref="AO478" ca="1">INDEX(OFFSET($AK$19,MATCH($B478,$B$19:$B$150,0)-1,0,COUNTA($B$19:$B$24),COUNTA($AK$17:$BB$17)),MATCH($F478,$F$19:$F$24,0),MATCH(AO$17,$AK$17:$BB$17,0))*INDEX($10:$13,MATCH($O478,$R$10:$R$13,0),COLUMN())</f>
        <v>2.3001592039999998E-2</v>
      </c>
      <c r="AP478" s="1050" cm="1">
        <f t="array" aca="1" ref="AP478" ca="1">INDEX(OFFSET($AK$19,MATCH($B478,$B$19:$B$150,0)-1,0,COUNTA($B$19:$B$24),COUNTA($AK$17:$BB$17)),MATCH($F478,$F$19:$F$24,0),MATCH(AP$17,$AK$17:$BB$17,0))*INDEX($10:$13,MATCH($O478,$R$10:$R$13,0),COLUMN())</f>
        <v>1.8717804680000001E-3</v>
      </c>
      <c r="AQ478" s="1050" cm="1">
        <f t="array" aca="1" ref="AQ478" ca="1">INDEX(OFFSET($AK$19,MATCH($B478,$B$19:$B$150,0)-1,0,COUNTA($B$19:$B$24),COUNTA($AK$17:$BB$17)),MATCH($F478,$F$19:$F$24,0),MATCH(AQ$17,$AK$17:$BB$17,0))*INDEX($10:$13,MATCH($O478,$R$10:$R$13,0),COLUMN())</f>
        <v>1.618255575E-5</v>
      </c>
      <c r="AR478" s="1050" cm="1">
        <f t="array" aca="1" ref="AR478" ca="1">INDEX(OFFSET($AK$19,MATCH($B478,$B$19:$B$150,0)-1,0,COUNTA($B$19:$B$24),COUNTA($AK$17:$BB$17)),MATCH($F478,$F$19:$F$24,0),MATCH(AR$17,$AK$17:$BB$17,0))*INDEX($10:$13,MATCH($O478,$R$10:$R$13,0),COLUMN())</f>
        <v>1.5974496650999998E-2</v>
      </c>
      <c r="AS478" s="1050" cm="1">
        <f t="array" aca="1" ref="AS478" ca="1">INDEX(OFFSET($AK$19,MATCH($B478,$B$19:$B$150,0)-1,0,COUNTA($B$19:$B$24),COUNTA($AK$17:$BB$17)),MATCH($F478,$F$19:$F$24,0),MATCH(AS$17,$AK$17:$BB$17,0))*INDEX($10:$13,MATCH($O478,$R$10:$R$13,0),COLUMN())</f>
        <v>-4.3309686420000003E-7</v>
      </c>
      <c r="AT478" s="1050" cm="1">
        <f t="array" aca="1" ref="AT478" ca="1">INDEX(OFFSET($AK$19,MATCH($B478,$B$19:$B$150,0)-1,0,COUNTA($B$19:$B$24),COUNTA($AK$17:$BB$17)),MATCH($F478,$F$19:$F$24,0),MATCH(AT$17,$AK$17:$BB$17,0))*INDEX($10:$13,MATCH($O478,$R$10:$R$13,0),COLUMN())</f>
        <v>1.3536492105E-6</v>
      </c>
      <c r="AU478" s="1050" cm="1">
        <f t="array" aca="1" ref="AU478" ca="1">INDEX(OFFSET($AK$19,MATCH($B478,$B$19:$B$150,0)-1,0,COUNTA($B$19:$B$24),COUNTA($AK$17:$BB$17)),MATCH($F478,$F$19:$F$24,0),MATCH(AU$17,$AK$17:$BB$17,0))*INDEX($10:$13,MATCH($O478,$R$10:$R$13,0),COLUMN())</f>
        <v>2.8278314080000002E-7</v>
      </c>
      <c r="AV478" s="1050" cm="1">
        <f t="array" aca="1" ref="AV478" ca="1">INDEX(OFFSET($AK$19,MATCH($B478,$B$19:$B$150,0)-1,0,COUNTA($B$19:$B$24),COUNTA($AK$17:$BB$17)),MATCH($F478,$F$19:$F$24,0),MATCH(AV$17,$AK$17:$BB$17,0))*INDEX($10:$13,MATCH($O478,$R$10:$R$13,0),COLUMN())</f>
        <v>1.2476373474999999E-3</v>
      </c>
      <c r="AW478" s="1050" cm="1">
        <f t="array" aca="1" ref="AW478" ca="1">INDEX(OFFSET($AK$19,MATCH($B478,$B$19:$B$150,0)-1,0,COUNTA($B$19:$B$24),COUNTA($AK$17:$BB$17)),MATCH($F478,$F$19:$F$24,0),MATCH(AW$17,$AK$17:$BB$17,0))*INDEX($10:$13,MATCH($O478,$R$10:$R$13,0),COLUMN())</f>
        <v>0.13159628684999999</v>
      </c>
      <c r="AX478" s="1050" cm="1">
        <f t="array" aca="1" ref="AX478" ca="1">INDEX(OFFSET($AK$19,MATCH($B478,$B$19:$B$150,0)-1,0,COUNTA($B$19:$B$24),COUNTA($AK$17:$BB$17)),MATCH($F478,$F$19:$F$24,0),MATCH(AX$17,$AK$17:$BB$17,0))*INDEX($10:$13,MATCH($O478,$R$10:$R$13,0),COLUMN())</f>
        <v>3.4283571899999999E-8</v>
      </c>
      <c r="AY478" s="1050" cm="1">
        <f t="array" aca="1" ref="AY478" ca="1">INDEX(OFFSET($AK$19,MATCH($B478,$B$19:$B$150,0)-1,0,COUNTA($B$19:$B$24),COUNTA($AK$17:$BB$17)),MATCH($F478,$F$19:$F$24,0),MATCH(AY$17,$AK$17:$BB$17,0))*INDEX($10:$13,MATCH($O478,$R$10:$R$13,0),COLUMN())</f>
        <v>-8.8357619531249981E-10</v>
      </c>
      <c r="AZ478" s="1050" cm="1">
        <f t="array" aca="1" ref="AZ478" ca="1">INDEX(OFFSET($AK$19,MATCH($B478,$B$19:$B$150,0)-1,0,COUNTA($B$19:$B$24),COUNTA($AK$17:$BB$17)),MATCH($F478,$F$19:$F$24,0),MATCH(AZ$17,$AK$17:$BB$17,0))*INDEX($10:$13,MATCH($O478,$R$10:$R$13,0),COLUMN())</f>
        <v>0</v>
      </c>
      <c r="BA478" s="1050" cm="1">
        <f t="array" aca="1" ref="BA478" ca="1">INDEX(OFFSET($AK$19,MATCH($B478,$B$19:$B$150,0)-1,0,COUNTA($B$19:$B$24),COUNTA($AK$17:$BB$17)),MATCH($F478,$F$19:$F$24,0),MATCH(BA$17,$AK$17:$BB$17,0))*INDEX($10:$13,MATCH($O478,$R$10:$R$13,0),COLUMN())</f>
        <v>0</v>
      </c>
      <c r="BB478" s="1051" cm="1">
        <f t="array" aca="1" ref="BB478" ca="1">INDEX(OFFSET($AK$19,MATCH($B478,$B$19:$B$150,0)-1,0,COUNTA($B$19:$B$24),COUNTA($AK$17:$BB$17)),MATCH($F478,$F$19:$F$24,0),MATCH(BB$17,$AK$17:$BB$17,0))*INDEX($10:$13,MATCH($O478,$R$10:$R$13,0),COLUMN())</f>
        <v>0</v>
      </c>
      <c r="BC478" s="1053">
        <f t="shared" ca="1" si="179"/>
        <v>0.13159632024999571</v>
      </c>
      <c r="BE478" s="1"/>
      <c r="BF478" s="1"/>
      <c r="BG478" s="1"/>
      <c r="BH478" s="1"/>
      <c r="BI478" s="1"/>
      <c r="BJ478" s="1"/>
      <c r="BK478" s="1"/>
      <c r="BL478" s="1"/>
      <c r="BM478" s="1"/>
      <c r="BN478" s="1"/>
      <c r="BO478" s="1"/>
      <c r="BP478" s="1"/>
      <c r="BQ478" s="1"/>
      <c r="BR478" s="1"/>
      <c r="BS478" s="1"/>
      <c r="BT478" s="1"/>
      <c r="BU478" s="1"/>
      <c r="BV478" s="1"/>
      <c r="BW478" s="1"/>
      <c r="BX478" s="1"/>
      <c r="BY478" s="1"/>
      <c r="BZ478" s="1"/>
    </row>
    <row r="479" spans="2:78" ht="12" customHeight="1" outlineLevel="1" x14ac:dyDescent="0.25">
      <c r="B479" s="104" t="s">
        <v>106</v>
      </c>
      <c r="C479" s="104" t="s">
        <v>121</v>
      </c>
      <c r="D479" s="2" t="s">
        <v>137</v>
      </c>
      <c r="E479" s="2" t="s">
        <v>142</v>
      </c>
      <c r="F479" s="105" t="s">
        <v>93</v>
      </c>
      <c r="G479" s="27" t="s">
        <v>1578</v>
      </c>
      <c r="H479" s="106" t="s">
        <v>130</v>
      </c>
      <c r="I479" s="107" t="s">
        <v>129</v>
      </c>
      <c r="J479" s="147">
        <v>4.9808850400000004</v>
      </c>
      <c r="K479" s="148">
        <v>0.70413000000000003</v>
      </c>
      <c r="L479" s="149">
        <f t="shared" ca="1" si="177"/>
        <v>0.4068642737766392</v>
      </c>
      <c r="M479" s="148">
        <f t="shared" ca="1" si="178"/>
        <v>0.99061534109434501</v>
      </c>
      <c r="N479" s="148">
        <f t="shared" ca="1" si="180"/>
        <v>0.28648534109434498</v>
      </c>
      <c r="O479" s="1062" t="s">
        <v>1584</v>
      </c>
      <c r="P479" s="104"/>
      <c r="R479" s="119"/>
      <c r="S479" s="1072"/>
      <c r="T479" s="1072"/>
      <c r="U479" s="1072"/>
      <c r="V479" s="1072"/>
      <c r="W479" s="1072"/>
      <c r="X479" s="1072"/>
      <c r="Y479" s="1072"/>
      <c r="Z479" s="1072"/>
      <c r="AA479" s="1072"/>
      <c r="AB479" s="1072"/>
      <c r="AC479" s="1072"/>
      <c r="AD479" s="1072"/>
      <c r="AE479" s="1072"/>
      <c r="AF479" s="1072"/>
      <c r="AG479" s="1072"/>
      <c r="AH479" s="1072"/>
      <c r="AI479" s="1072"/>
      <c r="AJ479" s="1073"/>
      <c r="AK479" s="1052" cm="1">
        <f t="array" aca="1" ref="AK479" ca="1">INDEX(OFFSET($AK$19,MATCH($B479,$B$19:$B$150,0)-1,0,COUNTA($B$19:$B$24),COUNTA($AK$17:$BB$17)),MATCH($F479,$F$19:$F$24,0),MATCH(AK$17,$AK$17:$BB$17,0))*INDEX($10:$13,MATCH($O479,$R$10:$R$13,0),COLUMN())</f>
        <v>4.9758325336883714E-2</v>
      </c>
      <c r="AL479" s="1050" cm="1">
        <f t="array" aca="1" ref="AL479" ca="1">INDEX(OFFSET($AK$19,MATCH($B479,$B$19:$B$150,0)-1,0,COUNTA($B$19:$B$24),COUNTA($AK$17:$BB$17)),MATCH($F479,$F$19:$F$24,0),MATCH(AL$17,$AK$17:$BB$17,0))*INDEX($10:$13,MATCH($O479,$R$10:$R$13,0),COLUMN())</f>
        <v>9.6485218700000009E-8</v>
      </c>
      <c r="AM479" s="1050" cm="1">
        <f t="array" aca="1" ref="AM479" ca="1">INDEX(OFFSET($AK$19,MATCH($B479,$B$19:$B$150,0)-1,0,COUNTA($B$19:$B$24),COUNTA($AK$17:$BB$17)),MATCH($F479,$F$19:$F$24,0),MATCH(AM$17,$AK$17:$BB$17,0))*INDEX($10:$13,MATCH($O479,$R$10:$R$13,0),COLUMN())</f>
        <v>1.5850415691000001E-4</v>
      </c>
      <c r="AN479" s="1050" cm="1">
        <f t="array" aca="1" ref="AN479" ca="1">INDEX(OFFSET($AK$19,MATCH($B479,$B$19:$B$150,0)-1,0,COUNTA($B$19:$B$24),COUNTA($AK$17:$BB$17)),MATCH($F479,$F$19:$F$24,0),MATCH(AN$17,$AK$17:$BB$17,0))*INDEX($10:$13,MATCH($O479,$R$10:$R$13,0),COLUMN())</f>
        <v>1.992875724E-3</v>
      </c>
      <c r="AO479" s="1050" cm="1">
        <f t="array" aca="1" ref="AO479" ca="1">INDEX(OFFSET($AK$19,MATCH($B479,$B$19:$B$150,0)-1,0,COUNTA($B$19:$B$24),COUNTA($AK$17:$BB$17)),MATCH($F479,$F$19:$F$24,0),MATCH(AO$17,$AK$17:$BB$17,0))*INDEX($10:$13,MATCH($O479,$R$10:$R$13,0),COLUMN())</f>
        <v>3.10164484E-2</v>
      </c>
      <c r="AP479" s="1050" cm="1">
        <f t="array" aca="1" ref="AP479" ca="1">INDEX(OFFSET($AK$19,MATCH($B479,$B$19:$B$150,0)-1,0,COUNTA($B$19:$B$24),COUNTA($AK$17:$BB$17)),MATCH($F479,$F$19:$F$24,0),MATCH(AP$17,$AK$17:$BB$17,0))*INDEX($10:$13,MATCH($O479,$R$10:$R$13,0),COLUMN())</f>
        <v>2.5239983233999999E-3</v>
      </c>
      <c r="AQ479" s="1050" cm="1">
        <f t="array" aca="1" ref="AQ479" ca="1">INDEX(OFFSET($AK$19,MATCH($B479,$B$19:$B$150,0)-1,0,COUNTA($B$19:$B$24),COUNTA($AK$17:$BB$17)),MATCH($F479,$F$19:$F$24,0),MATCH(AQ$17,$AK$17:$BB$17,0))*INDEX($10:$13,MATCH($O479,$R$10:$R$13,0),COLUMN())</f>
        <v>2.182133225E-5</v>
      </c>
      <c r="AR479" s="1050" cm="1">
        <f t="array" aca="1" ref="AR479" ca="1">INDEX(OFFSET($AK$19,MATCH($B479,$B$19:$B$150,0)-1,0,COUNTA($B$19:$B$24),COUNTA($AK$17:$BB$17)),MATCH($F479,$F$19:$F$24,0),MATCH(AR$17,$AK$17:$BB$17,0))*INDEX($10:$13,MATCH($O479,$R$10:$R$13,0),COLUMN())</f>
        <v>2.1540775272999999E-2</v>
      </c>
      <c r="AS479" s="1050" cm="1">
        <f t="array" aca="1" ref="AS479" ca="1">INDEX(OFFSET($AK$19,MATCH($B479,$B$19:$B$150,0)-1,0,COUNTA($B$19:$B$24),COUNTA($AK$17:$BB$17)),MATCH($F479,$F$19:$F$24,0),MATCH(AS$17,$AK$17:$BB$17,0))*INDEX($10:$13,MATCH($O479,$R$10:$R$13,0),COLUMN())</f>
        <v>3.3559647029999994E-5</v>
      </c>
      <c r="AT479" s="1050" cm="1">
        <f t="array" aca="1" ref="AT479" ca="1">INDEX(OFFSET($AK$19,MATCH($B479,$B$19:$B$150,0)-1,0,COUNTA($B$19:$B$24),COUNTA($AK$17:$BB$17)),MATCH($F479,$F$19:$F$24,0),MATCH(AT$17,$AK$17:$BB$17,0))*INDEX($10:$13,MATCH($O479,$R$10:$R$13,0),COLUMN())</f>
        <v>1.837880631E-6</v>
      </c>
      <c r="AU479" s="1050" cm="1">
        <f t="array" aca="1" ref="AU479" ca="1">INDEX(OFFSET($AK$19,MATCH($B479,$B$19:$B$150,0)-1,0,COUNTA($B$19:$B$24),COUNTA($AK$17:$BB$17)),MATCH($F479,$F$19:$F$24,0),MATCH(AU$17,$AK$17:$BB$17,0))*INDEX($10:$13,MATCH($O479,$R$10:$R$13,0),COLUMN())</f>
        <v>3.8261687008000003E-7</v>
      </c>
      <c r="AV479" s="1050" cm="1">
        <f t="array" aca="1" ref="AV479" ca="1">INDEX(OFFSET($AK$19,MATCH($B479,$B$19:$B$150,0)-1,0,COUNTA($B$19:$B$24),COUNTA($AK$17:$BB$17)),MATCH($F479,$F$19:$F$24,0),MATCH(AV$17,$AK$17:$BB$17,0))*INDEX($10:$13,MATCH($O479,$R$10:$R$13,0),COLUMN())</f>
        <v>1.9859423300000001E-3</v>
      </c>
      <c r="AW479" s="1050" cm="1">
        <f t="array" aca="1" ref="AW479" ca="1">INDEX(OFFSET($AK$19,MATCH($B479,$B$19:$B$150,0)-1,0,COUNTA($B$19:$B$24),COUNTA($AK$17:$BB$17)),MATCH($F479,$F$19:$F$24,0),MATCH(AW$17,$AK$17:$BB$17,0))*INDEX($10:$13,MATCH($O479,$R$10:$R$13,0),COLUMN())</f>
        <v>0.17745072854999999</v>
      </c>
      <c r="AX479" s="1050" cm="1">
        <f t="array" aca="1" ref="AX479" ca="1">INDEX(OFFSET($AK$19,MATCH($B479,$B$19:$B$150,0)-1,0,COUNTA($B$19:$B$24),COUNTA($AK$17:$BB$17)),MATCH($F479,$F$19:$F$24,0),MATCH(AX$17,$AK$17:$BB$17,0))*INDEX($10:$13,MATCH($O479,$R$10:$R$13,0),COLUMN())</f>
        <v>4.6229607899999997E-8</v>
      </c>
      <c r="AY479" s="1050" cm="1">
        <f t="array" aca="1" ref="AY479" ca="1">INDEX(OFFSET($AK$19,MATCH($B479,$B$19:$B$150,0)-1,0,COUNTA($B$19:$B$24),COUNTA($AK$17:$BB$17)),MATCH($F479,$F$19:$F$24,0),MATCH(AY$17,$AK$17:$BB$17,0))*INDEX($10:$13,MATCH($O479,$R$10:$R$13,0),COLUMN())</f>
        <v>-1.1914564218749998E-9</v>
      </c>
      <c r="AZ479" s="1050" cm="1">
        <f t="array" aca="1" ref="AZ479" ca="1">INDEX(OFFSET($AK$19,MATCH($B479,$B$19:$B$150,0)-1,0,COUNTA($B$19:$B$24),COUNTA($AK$17:$BB$17)),MATCH($F479,$F$19:$F$24,0),MATCH(AZ$17,$AK$17:$BB$17,0))*INDEX($10:$13,MATCH($O479,$R$10:$R$13,0),COLUMN())</f>
        <v>0</v>
      </c>
      <c r="BA479" s="1050" cm="1">
        <f t="array" aca="1" ref="BA479" ca="1">INDEX(OFFSET($AK$19,MATCH($B479,$B$19:$B$150,0)-1,0,COUNTA($B$19:$B$24),COUNTA($AK$17:$BB$17)),MATCH($F479,$F$19:$F$24,0),MATCH(BA$17,$AK$17:$BB$17,0))*INDEX($10:$13,MATCH($O479,$R$10:$R$13,0),COLUMN())</f>
        <v>0</v>
      </c>
      <c r="BB479" s="1051" cm="1">
        <f t="array" aca="1" ref="BB479" ca="1">INDEX(OFFSET($AK$19,MATCH($B479,$B$19:$B$150,0)-1,0,COUNTA($B$19:$B$24),COUNTA($AK$17:$BB$17)),MATCH($F479,$F$19:$F$24,0),MATCH(BB$17,$AK$17:$BB$17,0))*INDEX($10:$13,MATCH($O479,$R$10:$R$13,0),COLUMN())</f>
        <v>0</v>
      </c>
      <c r="BC479" s="1053">
        <f t="shared" ca="1" si="179"/>
        <v>0.17745077358815145</v>
      </c>
      <c r="BE479" s="1"/>
      <c r="BF479" s="1"/>
      <c r="BG479" s="1"/>
      <c r="BH479" s="1"/>
      <c r="BI479" s="1"/>
      <c r="BJ479" s="1"/>
      <c r="BK479" s="1"/>
      <c r="BL479" s="1"/>
      <c r="BM479" s="1"/>
      <c r="BN479" s="1"/>
      <c r="BO479" s="1"/>
      <c r="BP479" s="1"/>
      <c r="BQ479" s="1"/>
      <c r="BR479" s="1"/>
      <c r="BS479" s="1"/>
      <c r="BT479" s="1"/>
      <c r="BU479" s="1"/>
      <c r="BV479" s="1"/>
      <c r="BW479" s="1"/>
      <c r="BX479" s="1"/>
      <c r="BY479" s="1"/>
      <c r="BZ479" s="1"/>
    </row>
    <row r="480" spans="2:78" ht="12" customHeight="1" outlineLevel="1" x14ac:dyDescent="0.25">
      <c r="B480" s="104" t="s">
        <v>106</v>
      </c>
      <c r="C480" s="104" t="s">
        <v>121</v>
      </c>
      <c r="D480" s="2" t="s">
        <v>137</v>
      </c>
      <c r="E480" s="2" t="s">
        <v>142</v>
      </c>
      <c r="F480" s="105" t="s">
        <v>94</v>
      </c>
      <c r="G480" s="27" t="s">
        <v>1580</v>
      </c>
      <c r="H480" s="106" t="s">
        <v>131</v>
      </c>
      <c r="I480" s="107" t="s">
        <v>129</v>
      </c>
      <c r="J480" s="147">
        <v>4.9808850400000004</v>
      </c>
      <c r="K480" s="148">
        <v>0.70413000000000003</v>
      </c>
      <c r="L480" s="149">
        <f t="shared" ca="1" si="177"/>
        <v>0.23912636626625614</v>
      </c>
      <c r="M480" s="148">
        <f t="shared" ca="1" si="178"/>
        <v>0.87250604827905898</v>
      </c>
      <c r="N480" s="148">
        <f t="shared" ca="1" si="180"/>
        <v>0.16837604827905894</v>
      </c>
      <c r="O480" s="1062" t="s">
        <v>1584</v>
      </c>
      <c r="P480" s="104"/>
      <c r="R480" s="119"/>
      <c r="S480" s="1072"/>
      <c r="T480" s="1072"/>
      <c r="U480" s="1072"/>
      <c r="V480" s="1072"/>
      <c r="W480" s="1072"/>
      <c r="X480" s="1072"/>
      <c r="Y480" s="1072"/>
      <c r="Z480" s="1072"/>
      <c r="AA480" s="1072"/>
      <c r="AB480" s="1072"/>
      <c r="AC480" s="1072"/>
      <c r="AD480" s="1072"/>
      <c r="AE480" s="1072"/>
      <c r="AF480" s="1072"/>
      <c r="AG480" s="1072"/>
      <c r="AH480" s="1072"/>
      <c r="AI480" s="1072"/>
      <c r="AJ480" s="1073"/>
      <c r="AK480" s="1052" cm="1">
        <f t="array" aca="1" ref="AK480" ca="1">INDEX(OFFSET($AK$19,MATCH($B480,$B$19:$B$150,0)-1,0,COUNTA($B$19:$B$24),COUNTA($AK$17:$BB$17)),MATCH($F480,$F$19:$F$24,0),MATCH(AK$17,$AK$17:$BB$17,0))*INDEX($10:$13,MATCH($O480,$R$10:$R$13,0),COLUMN())</f>
        <v>2.9313577275026231E-2</v>
      </c>
      <c r="AL480" s="1050" cm="1">
        <f t="array" aca="1" ref="AL480" ca="1">INDEX(OFFSET($AK$19,MATCH($B480,$B$19:$B$150,0)-1,0,COUNTA($B$19:$B$24),COUNTA($AK$17:$BB$17)),MATCH($F480,$F$19:$F$24,0),MATCH(AL$17,$AK$17:$BB$17,0))*INDEX($10:$13,MATCH($O480,$R$10:$R$13,0),COLUMN())</f>
        <v>5.684127956000001E-8</v>
      </c>
      <c r="AM480" s="1050" cm="1">
        <f t="array" aca="1" ref="AM480" ca="1">INDEX(OFFSET($AK$19,MATCH($B480,$B$19:$B$150,0)-1,0,COUNTA($B$19:$B$24),COUNTA($AK$17:$BB$17)),MATCH($F480,$F$19:$F$24,0),MATCH(AM$17,$AK$17:$BB$17,0))*INDEX($10:$13,MATCH($O480,$R$10:$R$13,0),COLUMN())</f>
        <v>9.3377818710000006E-5</v>
      </c>
      <c r="AN480" s="1050" cm="1">
        <f t="array" aca="1" ref="AN480" ca="1">INDEX(OFFSET($AK$19,MATCH($B480,$B$19:$B$150,0)-1,0,COUNTA($B$19:$B$24),COUNTA($AK$17:$BB$17)),MATCH($F480,$F$19:$F$24,0),MATCH(AN$17,$AK$17:$BB$17,0))*INDEX($10:$13,MATCH($O480,$R$10:$R$13,0),COLUMN())</f>
        <v>1.1740410360000001E-3</v>
      </c>
      <c r="AO480" s="1050" cm="1">
        <f t="array" aca="1" ref="AO480" ca="1">INDEX(OFFSET($AK$19,MATCH($B480,$B$19:$B$150,0)-1,0,COUNTA($B$19:$B$24),COUNTA($AK$17:$BB$17)),MATCH($F480,$F$19:$F$24,0),MATCH(AO$17,$AK$17:$BB$17,0))*INDEX($10:$13,MATCH($O480,$R$10:$R$13,0),COLUMN())</f>
        <v>1.8272379720000002E-2</v>
      </c>
      <c r="AP480" s="1050" cm="1">
        <f t="array" aca="1" ref="AP480" ca="1">INDEX(OFFSET($AK$19,MATCH($B480,$B$19:$B$150,0)-1,0,COUNTA($B$19:$B$24),COUNTA($AK$17:$BB$17)),MATCH($F480,$F$19:$F$24,0),MATCH(AP$17,$AK$17:$BB$17,0))*INDEX($10:$13,MATCH($O480,$R$10:$R$13,0),COLUMN())</f>
        <v>1.4869355136E-3</v>
      </c>
      <c r="AQ480" s="1050" cm="1">
        <f t="array" aca="1" ref="AQ480" ca="1">INDEX(OFFSET($AK$19,MATCH($B480,$B$19:$B$150,0)-1,0,COUNTA($B$19:$B$24),COUNTA($AK$17:$BB$17)),MATCH($F480,$F$19:$F$24,0),MATCH(AQ$17,$AK$17:$BB$17,0))*INDEX($10:$13,MATCH($O480,$R$10:$R$13,0),COLUMN())</f>
        <v>1.28553625E-5</v>
      </c>
      <c r="AR480" s="1050" cm="1">
        <f t="array" aca="1" ref="AR480" ca="1">INDEX(OFFSET($AK$19,MATCH($B480,$B$19:$B$150,0)-1,0,COUNTA($B$19:$B$24),COUNTA($AK$17:$BB$17)),MATCH($F480,$F$19:$F$24,0),MATCH(AR$17,$AK$17:$BB$17,0))*INDEX($10:$13,MATCH($O480,$R$10:$R$13,0),COLUMN())</f>
        <v>1.2690081008999999E-2</v>
      </c>
      <c r="AS480" s="1050" cm="1">
        <f t="array" aca="1" ref="AS480" ca="1">INDEX(OFFSET($AK$19,MATCH($B480,$B$19:$B$150,0)-1,0,COUNTA($B$19:$B$24),COUNTA($AK$17:$BB$17)),MATCH($F480,$F$19:$F$24,0),MATCH(AS$17,$AK$17:$BB$17,0))*INDEX($10:$13,MATCH($O480,$R$10:$R$13,0),COLUMN())</f>
        <v>-2.0458724129999998E-5</v>
      </c>
      <c r="AT480" s="1050" cm="1">
        <f t="array" aca="1" ref="AT480" ca="1">INDEX(OFFSET($AK$19,MATCH($B480,$B$19:$B$150,0)-1,0,COUNTA($B$19:$B$24),COUNTA($AK$17:$BB$17)),MATCH($F480,$F$19:$F$24,0),MATCH(AT$17,$AK$17:$BB$17,0))*INDEX($10:$13,MATCH($O480,$R$10:$R$13,0),COLUMN())</f>
        <v>1.0679373595E-6</v>
      </c>
      <c r="AU480" s="1050" cm="1">
        <f t="array" aca="1" ref="AU480" ca="1">INDEX(OFFSET($AK$19,MATCH($B480,$B$19:$B$150,0)-1,0,COUNTA($B$19:$B$24),COUNTA($AK$17:$BB$17)),MATCH($F480,$F$19:$F$24,0),MATCH(AU$17,$AK$17:$BB$17,0))*INDEX($10:$13,MATCH($O480,$R$10:$R$13,0),COLUMN())</f>
        <v>2.2387688128000001E-7</v>
      </c>
      <c r="AV480" s="1050" cm="1">
        <f t="array" aca="1" ref="AV480" ca="1">INDEX(OFFSET($AK$19,MATCH($B480,$B$19:$B$150,0)-1,0,COUNTA($B$19:$B$24),COUNTA($AK$17:$BB$17)),MATCH($F480,$F$19:$F$24,0),MATCH(AV$17,$AK$17:$BB$17,0))*INDEX($10:$13,MATCH($O480,$R$10:$R$13,0),COLUMN())</f>
        <v>8.1228042999999998E-4</v>
      </c>
      <c r="AW480" s="1050" cm="1">
        <f t="array" aca="1" ref="AW480" ca="1">INDEX(OFFSET($AK$19,MATCH($B480,$B$19:$B$150,0)-1,0,COUNTA($B$19:$B$24),COUNTA($AK$17:$BB$17)),MATCH($F480,$F$19:$F$24,0),MATCH(AW$17,$AK$17:$BB$17,0))*INDEX($10:$13,MATCH($O480,$R$10:$R$13,0),COLUMN())</f>
        <v>0.10453960365000001</v>
      </c>
      <c r="AX480" s="1050" cm="1">
        <f t="array" aca="1" ref="AX480" ca="1">INDEX(OFFSET($AK$19,MATCH($B480,$B$19:$B$150,0)-1,0,COUNTA($B$19:$B$24),COUNTA($AK$17:$BB$17)),MATCH($F480,$F$19:$F$24,0),MATCH(AX$17,$AK$17:$BB$17,0))*INDEX($10:$13,MATCH($O480,$R$10:$R$13,0),COLUMN())</f>
        <v>2.723474205E-8</v>
      </c>
      <c r="AY480" s="1050" cm="1">
        <f t="array" aca="1" ref="AY480" ca="1">INDEX(OFFSET($AK$19,MATCH($B480,$B$19:$B$150,0)-1,0,COUNTA($B$19:$B$24),COUNTA($AK$17:$BB$17)),MATCH($F480,$F$19:$F$24,0),MATCH(AY$17,$AK$17:$BB$17,0))*INDEX($10:$13,MATCH($O480,$R$10:$R$13,0),COLUMN())</f>
        <v>-7.0190965631249991E-10</v>
      </c>
      <c r="AZ480" s="1050" cm="1">
        <f t="array" aca="1" ref="AZ480" ca="1">INDEX(OFFSET($AK$19,MATCH($B480,$B$19:$B$150,0)-1,0,COUNTA($B$19:$B$24),COUNTA($AK$17:$BB$17)),MATCH($F480,$F$19:$F$24,0),MATCH(AZ$17,$AK$17:$BB$17,0))*INDEX($10:$13,MATCH($O480,$R$10:$R$13,0),COLUMN())</f>
        <v>0</v>
      </c>
      <c r="BA480" s="1050" cm="1">
        <f t="array" aca="1" ref="BA480" ca="1">INDEX(OFFSET($AK$19,MATCH($B480,$B$19:$B$150,0)-1,0,COUNTA($B$19:$B$24),COUNTA($AK$17:$BB$17)),MATCH($F480,$F$19:$F$24,0),MATCH(BA$17,$AK$17:$BB$17,0))*INDEX($10:$13,MATCH($O480,$R$10:$R$13,0),COLUMN())</f>
        <v>0</v>
      </c>
      <c r="BB480" s="1051" cm="1">
        <f t="array" aca="1" ref="BB480" ca="1">INDEX(OFFSET($AK$19,MATCH($B480,$B$19:$B$150,0)-1,0,COUNTA($B$19:$B$24),COUNTA($AK$17:$BB$17)),MATCH($F480,$F$19:$F$24,0),MATCH(BB$17,$AK$17:$BB$17,0))*INDEX($10:$13,MATCH($O480,$R$10:$R$13,0),COLUMN())</f>
        <v>0</v>
      </c>
      <c r="BC480" s="1053">
        <f t="shared" ca="1" si="179"/>
        <v>0.1045396301828324</v>
      </c>
      <c r="BE480" s="1"/>
      <c r="BF480" s="1"/>
      <c r="BG480" s="1"/>
      <c r="BH480" s="1"/>
      <c r="BI480" s="1"/>
      <c r="BJ480" s="1"/>
      <c r="BK480" s="1"/>
      <c r="BL480" s="1"/>
      <c r="BM480" s="1"/>
      <c r="BN480" s="1"/>
      <c r="BO480" s="1"/>
      <c r="BP480" s="1"/>
      <c r="BQ480" s="1"/>
      <c r="BR480" s="1"/>
      <c r="BS480" s="1"/>
      <c r="BT480" s="1"/>
      <c r="BU480" s="1"/>
      <c r="BV480" s="1"/>
      <c r="BW480" s="1"/>
      <c r="BX480" s="1"/>
      <c r="BY480" s="1"/>
      <c r="BZ480" s="1"/>
    </row>
    <row r="481" spans="2:78" ht="12" customHeight="1" outlineLevel="1" x14ac:dyDescent="0.25">
      <c r="B481" s="104" t="s">
        <v>106</v>
      </c>
      <c r="C481" s="104" t="s">
        <v>121</v>
      </c>
      <c r="D481" s="2" t="s">
        <v>137</v>
      </c>
      <c r="E481" s="2" t="s">
        <v>142</v>
      </c>
      <c r="F481" s="105" t="s">
        <v>95</v>
      </c>
      <c r="G481" s="27" t="s">
        <v>1581</v>
      </c>
      <c r="H481" s="106" t="s">
        <v>128</v>
      </c>
      <c r="I481" s="107" t="s">
        <v>127</v>
      </c>
      <c r="J481" s="147">
        <v>4.9808850400000004</v>
      </c>
      <c r="K481" s="148">
        <v>0.70413000000000003</v>
      </c>
      <c r="L481" s="149">
        <f t="shared" ca="1" si="177"/>
        <v>0.38799902243437978</v>
      </c>
      <c r="M481" s="148">
        <f t="shared" ca="1" si="178"/>
        <v>0.97733175166671993</v>
      </c>
      <c r="N481" s="148">
        <f t="shared" ca="1" si="180"/>
        <v>0.27320175166671984</v>
      </c>
      <c r="O481" s="1062" t="s">
        <v>1584</v>
      </c>
      <c r="P481" s="104"/>
      <c r="R481" s="119"/>
      <c r="S481" s="1072"/>
      <c r="T481" s="1072"/>
      <c r="U481" s="1072"/>
      <c r="V481" s="1072"/>
      <c r="W481" s="1072"/>
      <c r="X481" s="1072"/>
      <c r="Y481" s="1072"/>
      <c r="Z481" s="1072"/>
      <c r="AA481" s="1072"/>
      <c r="AB481" s="1072"/>
      <c r="AC481" s="1072"/>
      <c r="AD481" s="1072"/>
      <c r="AE481" s="1072"/>
      <c r="AF481" s="1072"/>
      <c r="AG481" s="1072"/>
      <c r="AH481" s="1072"/>
      <c r="AI481" s="1072"/>
      <c r="AJ481" s="1073"/>
      <c r="AK481" s="1052" cm="1">
        <f t="array" aca="1" ref="AK481" ca="1">INDEX(OFFSET($AK$19,MATCH($B481,$B$19:$B$150,0)-1,0,COUNTA($B$19:$B$24),COUNTA($AK$17:$BB$17)),MATCH($F481,$F$19:$F$24,0),MATCH(AK$17,$AK$17:$BB$17,0))*INDEX($10:$13,MATCH($O481,$R$10:$R$13,0),COLUMN())</f>
        <v>4.1740508201459477E-2</v>
      </c>
      <c r="AL481" s="1050" cm="1">
        <f t="array" aca="1" ref="AL481" ca="1">INDEX(OFFSET($AK$19,MATCH($B481,$B$19:$B$150,0)-1,0,COUNTA($B$19:$B$24),COUNTA($AK$17:$BB$17)),MATCH($F481,$F$19:$F$24,0),MATCH(AL$17,$AK$17:$BB$17,0))*INDEX($10:$13,MATCH($O481,$R$10:$R$13,0),COLUMN())</f>
        <v>7.2149620270000003E-8</v>
      </c>
      <c r="AM481" s="1050" cm="1">
        <f t="array" aca="1" ref="AM481" ca="1">INDEX(OFFSET($AK$19,MATCH($B481,$B$19:$B$150,0)-1,0,COUNTA($B$19:$B$24),COUNTA($AK$17:$BB$17)),MATCH($F481,$F$19:$F$24,0),MATCH(AM$17,$AK$17:$BB$17,0))*INDEX($10:$13,MATCH($O481,$R$10:$R$13,0),COLUMN())</f>
        <v>1.1852168724E-4</v>
      </c>
      <c r="AN481" s="1050" cm="1">
        <f t="array" aca="1" ref="AN481" ca="1">INDEX(OFFSET($AK$19,MATCH($B481,$B$19:$B$150,0)-1,0,COUNTA($B$19:$B$24),COUNTA($AK$17:$BB$17)),MATCH($F481,$F$19:$F$24,0),MATCH(AN$17,$AK$17:$BB$17,0))*INDEX($10:$13,MATCH($O481,$R$10:$R$13,0),COLUMN())</f>
        <v>1.5948511319999999E-3</v>
      </c>
      <c r="AO481" s="1050" cm="1">
        <f t="array" aca="1" ref="AO481" ca="1">INDEX(OFFSET($AK$19,MATCH($B481,$B$19:$B$150,0)-1,0,COUNTA($B$19:$B$24),COUNTA($AK$17:$BB$17)),MATCH($F481,$F$19:$F$24,0),MATCH(AO$17,$AK$17:$BB$17,0))*INDEX($10:$13,MATCH($O481,$R$10:$R$13,0),COLUMN())</f>
        <v>5.5922045199999999E-2</v>
      </c>
      <c r="AP481" s="1050" cm="1">
        <f t="array" aca="1" ref="AP481" ca="1">INDEX(OFFSET($AK$19,MATCH($B481,$B$19:$B$150,0)-1,0,COUNTA($B$19:$B$24),COUNTA($AK$17:$BB$17)),MATCH($F481,$F$19:$F$24,0),MATCH(AP$17,$AK$17:$BB$17,0))*INDEX($10:$13,MATCH($O481,$R$10:$R$13,0),COLUMN())</f>
        <v>6.5151885400000003E-3</v>
      </c>
      <c r="AQ481" s="1050" cm="1">
        <f t="array" aca="1" ref="AQ481" ca="1">INDEX(OFFSET($AK$19,MATCH($B481,$B$19:$B$150,0)-1,0,COUNTA($B$19:$B$24),COUNTA($AK$17:$BB$17)),MATCH($F481,$F$19:$F$24,0),MATCH(AQ$17,$AK$17:$BB$17,0))*INDEX($10:$13,MATCH($O481,$R$10:$R$13,0),COLUMN())</f>
        <v>6.4093722499999997E-5</v>
      </c>
      <c r="AR481" s="1050" cm="1">
        <f t="array" aca="1" ref="AR481" ca="1">INDEX(OFFSET($AK$19,MATCH($B481,$B$19:$B$150,0)-1,0,COUNTA($B$19:$B$24),COUNTA($AK$17:$BB$17)),MATCH($F481,$F$19:$F$24,0),MATCH(AR$17,$AK$17:$BB$17,0))*INDEX($10:$13,MATCH($O481,$R$10:$R$13,0),COLUMN())</f>
        <v>2.7658141540999999E-2</v>
      </c>
      <c r="AS481" s="1050" cm="1">
        <f t="array" aca="1" ref="AS481" ca="1">INDEX(OFFSET($AK$19,MATCH($B481,$B$19:$B$150,0)-1,0,COUNTA($B$19:$B$24),COUNTA($AK$17:$BB$17)),MATCH($F481,$F$19:$F$24,0),MATCH(AS$17,$AK$17:$BB$17,0))*INDEX($10:$13,MATCH($O481,$R$10:$R$13,0),COLUMN())</f>
        <v>7.2511985519999988E-4</v>
      </c>
      <c r="AT481" s="1050" cm="1">
        <f t="array" aca="1" ref="AT481" ca="1">INDEX(OFFSET($AK$19,MATCH($B481,$B$19:$B$150,0)-1,0,COUNTA($B$19:$B$24),COUNTA($AK$17:$BB$17)),MATCH($F481,$F$19:$F$24,0),MATCH(AT$17,$AK$17:$BB$17,0))*INDEX($10:$13,MATCH($O481,$R$10:$R$13,0),COLUMN())</f>
        <v>1.8903486099999999E-6</v>
      </c>
      <c r="AU481" s="1050" cm="1">
        <f t="array" aca="1" ref="AU481" ca="1">INDEX(OFFSET($AK$19,MATCH($B481,$B$19:$B$150,0)-1,0,COUNTA($B$19:$B$24),COUNTA($AK$17:$BB$17)),MATCH($F481,$F$19:$F$24,0),MATCH(AU$17,$AK$17:$BB$17,0))*INDEX($10:$13,MATCH($O481,$R$10:$R$13,0),COLUMN())</f>
        <v>3.6491409440000001E-7</v>
      </c>
      <c r="AV481" s="1050" cm="1">
        <f t="array" aca="1" ref="AV481" ca="1">INDEX(OFFSET($AK$19,MATCH($B481,$B$19:$B$150,0)-1,0,COUNTA($B$19:$B$24),COUNTA($AK$17:$BB$17)),MATCH($F481,$F$19:$F$24,0),MATCH(AV$17,$AK$17:$BB$17,0))*INDEX($10:$13,MATCH($O481,$R$10:$R$13,0),COLUMN())</f>
        <v>7.2646341249999989E-3</v>
      </c>
      <c r="AW481" s="1050" cm="1">
        <f t="array" aca="1" ref="AW481" ca="1">INDEX(OFFSET($AK$19,MATCH($B481,$B$19:$B$150,0)-1,0,COUNTA($B$19:$B$24),COUNTA($AK$17:$BB$17)),MATCH($F481,$F$19:$F$24,0),MATCH(AW$17,$AK$17:$BB$17,0))*INDEX($10:$13,MATCH($O481,$R$10:$R$13,0),COLUMN())</f>
        <v>0.13159628684999999</v>
      </c>
      <c r="AX481" s="1050" cm="1">
        <f t="array" aca="1" ref="AX481" ca="1">INDEX(OFFSET($AK$19,MATCH($B481,$B$19:$B$150,0)-1,0,COUNTA($B$19:$B$24),COUNTA($AK$17:$BB$17)),MATCH($F481,$F$19:$F$24,0),MATCH(AX$17,$AK$17:$BB$17,0))*INDEX($10:$13,MATCH($O481,$R$10:$R$13,0),COLUMN())</f>
        <v>3.4283571899999999E-8</v>
      </c>
      <c r="AY481" s="1050" cm="1">
        <f t="array" aca="1" ref="AY481" ca="1">INDEX(OFFSET($AK$19,MATCH($B481,$B$19:$B$150,0)-1,0,COUNTA($B$19:$B$24),COUNTA($AK$17:$BB$17)),MATCH($F481,$F$19:$F$24,0),MATCH(AY$17,$AK$17:$BB$17,0))*INDEX($10:$13,MATCH($O481,$R$10:$R$13,0),COLUMN())</f>
        <v>-8.8357619531249981E-10</v>
      </c>
      <c r="AZ481" s="1050" cm="1">
        <f t="array" aca="1" ref="AZ481" ca="1">INDEX(OFFSET($AK$19,MATCH($B481,$B$19:$B$150,0)-1,0,COUNTA($B$19:$B$24),COUNTA($AK$17:$BB$17)),MATCH($F481,$F$19:$F$24,0),MATCH(AZ$17,$AK$17:$BB$17,0))*INDEX($10:$13,MATCH($O481,$R$10:$R$13,0),COLUMN())</f>
        <v>0</v>
      </c>
      <c r="BA481" s="1050" cm="1">
        <f t="array" aca="1" ref="BA481" ca="1">INDEX(OFFSET($AK$19,MATCH($B481,$B$19:$B$150,0)-1,0,COUNTA($B$19:$B$24),COUNTA($AK$17:$BB$17)),MATCH($F481,$F$19:$F$24,0),MATCH(BA$17,$AK$17:$BB$17,0))*INDEX($10:$13,MATCH($O481,$R$10:$R$13,0),COLUMN())</f>
        <v>0</v>
      </c>
      <c r="BB481" s="1051" cm="1">
        <f t="array" aca="1" ref="BB481" ca="1">INDEX(OFFSET($AK$19,MATCH($B481,$B$19:$B$150,0)-1,0,COUNTA($B$19:$B$24),COUNTA($AK$17:$BB$17)),MATCH($F481,$F$19:$F$24,0),MATCH(BB$17,$AK$17:$BB$17,0))*INDEX($10:$13,MATCH($O481,$R$10:$R$13,0),COLUMN())</f>
        <v>0</v>
      </c>
      <c r="BC481" s="1053">
        <f t="shared" ca="1" si="179"/>
        <v>0.13159632024999571</v>
      </c>
      <c r="BE481" s="1"/>
      <c r="BF481" s="1"/>
      <c r="BG481" s="1"/>
      <c r="BH481" s="1"/>
      <c r="BI481" s="1"/>
      <c r="BJ481" s="1"/>
      <c r="BK481" s="1"/>
      <c r="BL481" s="1"/>
      <c r="BM481" s="1"/>
      <c r="BN481" s="1"/>
      <c r="BO481" s="1"/>
      <c r="BP481" s="1"/>
      <c r="BQ481" s="1"/>
      <c r="BR481" s="1"/>
      <c r="BS481" s="1"/>
      <c r="BT481" s="1"/>
      <c r="BU481" s="1"/>
      <c r="BV481" s="1"/>
      <c r="BW481" s="1"/>
      <c r="BX481" s="1"/>
      <c r="BY481" s="1"/>
      <c r="BZ481" s="1"/>
    </row>
    <row r="482" spans="2:78" ht="12" customHeight="1" outlineLevel="1" x14ac:dyDescent="0.25">
      <c r="B482" s="104" t="s">
        <v>106</v>
      </c>
      <c r="C482" s="104" t="s">
        <v>121</v>
      </c>
      <c r="D482" s="2" t="s">
        <v>137</v>
      </c>
      <c r="E482" s="2" t="s">
        <v>142</v>
      </c>
      <c r="F482" s="105" t="s">
        <v>96</v>
      </c>
      <c r="G482" s="27" t="s">
        <v>1582</v>
      </c>
      <c r="H482" s="106" t="s">
        <v>128</v>
      </c>
      <c r="I482" s="107" t="s">
        <v>1577</v>
      </c>
      <c r="J482" s="147">
        <v>4.9808850400000004</v>
      </c>
      <c r="K482" s="148">
        <v>0.70413000000000003</v>
      </c>
      <c r="L482" s="149">
        <f t="shared" ca="1" si="177"/>
        <v>0.45166126051513306</v>
      </c>
      <c r="M482" s="148">
        <f t="shared" ca="1" si="178"/>
        <v>1.0221582433665206</v>
      </c>
      <c r="N482" s="148">
        <f t="shared" ca="1" si="180"/>
        <v>0.31802824336652064</v>
      </c>
      <c r="O482" s="1062" t="s">
        <v>1584</v>
      </c>
      <c r="P482" s="104"/>
      <c r="R482" s="119"/>
      <c r="S482" s="1072"/>
      <c r="T482" s="1072"/>
      <c r="U482" s="1072"/>
      <c r="V482" s="1072"/>
      <c r="W482" s="1072"/>
      <c r="X482" s="1072"/>
      <c r="Y482" s="1072"/>
      <c r="Z482" s="1072"/>
      <c r="AA482" s="1072"/>
      <c r="AB482" s="1072"/>
      <c r="AC482" s="1072"/>
      <c r="AD482" s="1072"/>
      <c r="AE482" s="1072"/>
      <c r="AF482" s="1072"/>
      <c r="AG482" s="1072"/>
      <c r="AH482" s="1072"/>
      <c r="AI482" s="1072"/>
      <c r="AJ482" s="1073"/>
      <c r="AK482" s="1052" cm="1">
        <f t="array" aca="1" ref="AK482" ca="1">INDEX(OFFSET($AK$19,MATCH($B482,$B$19:$B$150,0)-1,0,COUNTA($B$19:$B$24),COUNTA($AK$17:$BB$17)),MATCH($F482,$F$19:$F$24,0),MATCH(AK$17,$AK$17:$BB$17,0))*INDEX($10:$13,MATCH($O482,$R$10:$R$13,0),COLUMN())</f>
        <v>4.5209302066767029E-2</v>
      </c>
      <c r="AL482" s="1050" cm="1">
        <f t="array" aca="1" ref="AL482" ca="1">INDEX(OFFSET($AK$19,MATCH($B482,$B$19:$B$150,0)-1,0,COUNTA($B$19:$B$24),COUNTA($AK$17:$BB$17)),MATCH($F482,$F$19:$F$24,0),MATCH(AL$17,$AK$17:$BB$17,0))*INDEX($10:$13,MATCH($O482,$R$10:$R$13,0),COLUMN())</f>
        <v>7.2539115090000009E-8</v>
      </c>
      <c r="AM482" s="1050" cm="1">
        <f t="array" aca="1" ref="AM482" ca="1">INDEX(OFFSET($AK$19,MATCH($B482,$B$19:$B$150,0)-1,0,COUNTA($B$19:$B$24),COUNTA($AK$17:$BB$17)),MATCH($F482,$F$19:$F$24,0),MATCH(AM$17,$AK$17:$BB$17,0))*INDEX($10:$13,MATCH($O482,$R$10:$R$13,0),COLUMN())</f>
        <v>1.1915867204999999E-4</v>
      </c>
      <c r="AN482" s="1050" cm="1">
        <f t="array" aca="1" ref="AN482" ca="1">INDEX(OFFSET($AK$19,MATCH($B482,$B$19:$B$150,0)-1,0,COUNTA($B$19:$B$24),COUNTA($AK$17:$BB$17)),MATCH($F482,$F$19:$F$24,0),MATCH(AN$17,$AK$17:$BB$17,0))*INDEX($10:$13,MATCH($O482,$R$10:$R$13,0),COLUMN())</f>
        <v>1.6711731120000002E-3</v>
      </c>
      <c r="AO482" s="1050" cm="1">
        <f t="array" aca="1" ref="AO482" ca="1">INDEX(OFFSET($AK$19,MATCH($B482,$B$19:$B$150,0)-1,0,COUNTA($B$19:$B$24),COUNTA($AK$17:$BB$17)),MATCH($F482,$F$19:$F$24,0),MATCH(AO$17,$AK$17:$BB$17,0))*INDEX($10:$13,MATCH($O482,$R$10:$R$13,0),COLUMN())</f>
        <v>7.9855918799999995E-2</v>
      </c>
      <c r="AP482" s="1050" cm="1">
        <f t="array" aca="1" ref="AP482" ca="1">INDEX(OFFSET($AK$19,MATCH($B482,$B$19:$B$150,0)-1,0,COUNTA($B$19:$B$24),COUNTA($AK$17:$BB$17)),MATCH($F482,$F$19:$F$24,0),MATCH(AP$17,$AK$17:$BB$17,0))*INDEX($10:$13,MATCH($O482,$R$10:$R$13,0),COLUMN())</f>
        <v>9.8978519340000015E-3</v>
      </c>
      <c r="AQ482" s="1050" cm="1">
        <f t="array" aca="1" ref="AQ482" ca="1">INDEX(OFFSET($AK$19,MATCH($B482,$B$19:$B$150,0)-1,0,COUNTA($B$19:$B$24),COUNTA($AK$17:$BB$17)),MATCH($F482,$F$19:$F$24,0),MATCH(AQ$17,$AK$17:$BB$17,0))*INDEX($10:$13,MATCH($O482,$R$10:$R$13,0),COLUMN())</f>
        <v>9.8215059999999998E-5</v>
      </c>
      <c r="AR482" s="1050" cm="1">
        <f t="array" aca="1" ref="AR482" ca="1">INDEX(OFFSET($AK$19,MATCH($B482,$B$19:$B$150,0)-1,0,COUNTA($B$19:$B$24),COUNTA($AK$17:$BB$17)),MATCH($F482,$F$19:$F$24,0),MATCH(AR$17,$AK$17:$BB$17,0))*INDEX($10:$13,MATCH($O482,$R$10:$R$13,0),COLUMN())</f>
        <v>3.6176384579999998E-2</v>
      </c>
      <c r="AS482" s="1050" cm="1">
        <f t="array" aca="1" ref="AS482" ca="1">INDEX(OFFSET($AK$19,MATCH($B482,$B$19:$B$150,0)-1,0,COUNTA($B$19:$B$24),COUNTA($AK$17:$BB$17)),MATCH($F482,$F$19:$F$24,0),MATCH(AS$17,$AK$17:$BB$17,0))*INDEX($10:$13,MATCH($O482,$R$10:$R$13,0),COLUMN())</f>
        <v>1.2398069969999999E-3</v>
      </c>
      <c r="AT482" s="1050" cm="1">
        <f t="array" aca="1" ref="AT482" ca="1">INDEX(OFFSET($AK$19,MATCH($B482,$B$19:$B$150,0)-1,0,COUNTA($B$19:$B$24),COUNTA($AK$17:$BB$17)),MATCH($F482,$F$19:$F$24,0),MATCH(AT$17,$AK$17:$BB$17,0))*INDEX($10:$13,MATCH($O482,$R$10:$R$13,0),COLUMN())</f>
        <v>2.1216546645E-6</v>
      </c>
      <c r="AU482" s="1050" cm="1">
        <f t="array" aca="1" ref="AU482" ca="1">INDEX(OFFSET($AK$19,MATCH($B482,$B$19:$B$150,0)-1,0,COUNTA($B$19:$B$24),COUNTA($AK$17:$BB$17)),MATCH($F482,$F$19:$F$24,0),MATCH(AU$17,$AK$17:$BB$17,0))*INDEX($10:$13,MATCH($O482,$R$10:$R$13,0),COLUMN())</f>
        <v>3.9795092832000001E-7</v>
      </c>
      <c r="AV482" s="1050" cm="1">
        <f t="array" aca="1" ref="AV482" ca="1">INDEX(OFFSET($AK$19,MATCH($B482,$B$19:$B$150,0)-1,0,COUNTA($B$19:$B$24),COUNTA($AK$17:$BB$17)),MATCH($F482,$F$19:$F$24,0),MATCH(AV$17,$AK$17:$BB$17,0))*INDEX($10:$13,MATCH($O482,$R$10:$R$13,0),COLUMN())</f>
        <v>1.216151975E-2</v>
      </c>
      <c r="AW482" s="1050" cm="1">
        <f t="array" aca="1" ref="AW482" ca="1">INDEX(OFFSET($AK$19,MATCH($B482,$B$19:$B$150,0)-1,0,COUNTA($B$19:$B$24),COUNTA($AK$17:$BB$17)),MATCH($F482,$F$19:$F$24,0),MATCH(AW$17,$AK$17:$BB$17,0))*INDEX($10:$13,MATCH($O482,$R$10:$R$13,0),COLUMN())</f>
        <v>0.13159628684999999</v>
      </c>
      <c r="AX482" s="1050" cm="1">
        <f t="array" aca="1" ref="AX482" ca="1">INDEX(OFFSET($AK$19,MATCH($B482,$B$19:$B$150,0)-1,0,COUNTA($B$19:$B$24),COUNTA($AK$17:$BB$17)),MATCH($F482,$F$19:$F$24,0),MATCH(AX$17,$AK$17:$BB$17,0))*INDEX($10:$13,MATCH($O482,$R$10:$R$13,0),COLUMN())</f>
        <v>3.4283571899999999E-8</v>
      </c>
      <c r="AY482" s="1050" cm="1">
        <f t="array" aca="1" ref="AY482" ca="1">INDEX(OFFSET($AK$19,MATCH($B482,$B$19:$B$150,0)-1,0,COUNTA($B$19:$B$24),COUNTA($AK$17:$BB$17)),MATCH($F482,$F$19:$F$24,0),MATCH(AY$17,$AK$17:$BB$17,0))*INDEX($10:$13,MATCH($O482,$R$10:$R$13,0),COLUMN())</f>
        <v>-8.8357619531249981E-10</v>
      </c>
      <c r="AZ482" s="1050" cm="1">
        <f t="array" aca="1" ref="AZ482" ca="1">INDEX(OFFSET($AK$19,MATCH($B482,$B$19:$B$150,0)-1,0,COUNTA($B$19:$B$24),COUNTA($AK$17:$BB$17)),MATCH($F482,$F$19:$F$24,0),MATCH(AZ$17,$AK$17:$BB$17,0))*INDEX($10:$13,MATCH($O482,$R$10:$R$13,0),COLUMN())</f>
        <v>0</v>
      </c>
      <c r="BA482" s="1050" cm="1">
        <f t="array" aca="1" ref="BA482" ca="1">INDEX(OFFSET($AK$19,MATCH($B482,$B$19:$B$150,0)-1,0,COUNTA($B$19:$B$24),COUNTA($AK$17:$BB$17)),MATCH($F482,$F$19:$F$24,0),MATCH(BA$17,$AK$17:$BB$17,0))*INDEX($10:$13,MATCH($O482,$R$10:$R$13,0),COLUMN())</f>
        <v>0</v>
      </c>
      <c r="BB482" s="1051" cm="1">
        <f t="array" aca="1" ref="BB482" ca="1">INDEX(OFFSET($AK$19,MATCH($B482,$B$19:$B$150,0)-1,0,COUNTA($B$19:$B$24),COUNTA($AK$17:$BB$17)),MATCH($F482,$F$19:$F$24,0),MATCH(BB$17,$AK$17:$BB$17,0))*INDEX($10:$13,MATCH($O482,$R$10:$R$13,0),COLUMN())</f>
        <v>0</v>
      </c>
      <c r="BC482" s="1053">
        <f t="shared" ca="1" si="179"/>
        <v>0.13159632024999571</v>
      </c>
      <c r="BE482" s="1"/>
      <c r="BF482" s="1"/>
      <c r="BG482" s="1"/>
      <c r="BH482" s="1"/>
      <c r="BI482" s="1"/>
      <c r="BJ482" s="1"/>
      <c r="BK482" s="1"/>
      <c r="BL482" s="1"/>
      <c r="BM482" s="1"/>
      <c r="BN482" s="1"/>
      <c r="BO482" s="1"/>
      <c r="BP482" s="1"/>
      <c r="BQ482" s="1"/>
      <c r="BR482" s="1"/>
      <c r="BS482" s="1"/>
      <c r="BT482" s="1"/>
      <c r="BU482" s="1"/>
      <c r="BV482" s="1"/>
      <c r="BW482" s="1"/>
      <c r="BX482" s="1"/>
      <c r="BY482" s="1"/>
      <c r="BZ482" s="1"/>
    </row>
    <row r="483" spans="2:78" ht="12" customHeight="1" outlineLevel="1" x14ac:dyDescent="0.25">
      <c r="B483" s="88" t="s">
        <v>107</v>
      </c>
      <c r="C483" s="88" t="s">
        <v>121</v>
      </c>
      <c r="D483" s="89" t="s">
        <v>143</v>
      </c>
      <c r="E483" s="89" t="s">
        <v>144</v>
      </c>
      <c r="F483" s="90" t="s">
        <v>92</v>
      </c>
      <c r="G483" s="18" t="s">
        <v>126</v>
      </c>
      <c r="H483" s="91" t="s">
        <v>127</v>
      </c>
      <c r="I483" s="92" t="s">
        <v>127</v>
      </c>
      <c r="J483" s="142">
        <v>5.9321289200000002</v>
      </c>
      <c r="K483" s="143">
        <v>0.33</v>
      </c>
      <c r="L483" s="144">
        <f t="shared" ca="1" si="177"/>
        <v>1.6009748804371209</v>
      </c>
      <c r="M483" s="143">
        <f t="shared" ca="1" si="178"/>
        <v>0.85832171054424999</v>
      </c>
      <c r="N483" s="143">
        <f t="shared" ca="1" si="180"/>
        <v>0.52832171054424992</v>
      </c>
      <c r="O483" s="1063" t="s">
        <v>1584</v>
      </c>
      <c r="P483" s="88"/>
      <c r="Q483" s="89"/>
      <c r="R483" s="150"/>
      <c r="S483" s="1070"/>
      <c r="T483" s="1070"/>
      <c r="U483" s="1070"/>
      <c r="V483" s="1070"/>
      <c r="W483" s="1070"/>
      <c r="X483" s="1070"/>
      <c r="Y483" s="1070"/>
      <c r="Z483" s="1070"/>
      <c r="AA483" s="1070"/>
      <c r="AB483" s="1070"/>
      <c r="AC483" s="1070"/>
      <c r="AD483" s="1070"/>
      <c r="AE483" s="1070"/>
      <c r="AF483" s="1070"/>
      <c r="AG483" s="1070"/>
      <c r="AH483" s="1070"/>
      <c r="AI483" s="1070"/>
      <c r="AJ483" s="1071"/>
      <c r="AK483" s="1048" cm="1">
        <f t="array" aca="1" ref="AK483" ca="1">INDEX(OFFSET($AK$19,MATCH($B483,$B$19:$B$150,0)-1,0,COUNTA($B$19:$B$24),COUNTA($AK$17:$BB$17)),MATCH($F483,$F$19:$F$24,0),MATCH(AK$17,$AK$17:$BB$17,0))*INDEX($10:$13,MATCH($O483,$R$10:$R$13,0),COLUMN())</f>
        <v>6.7693562642324803E-2</v>
      </c>
      <c r="AL483" s="1046" cm="1">
        <f t="array" aca="1" ref="AL483" ca="1">INDEX(OFFSET($AK$19,MATCH($B483,$B$19:$B$150,0)-1,0,COUNTA($B$19:$B$24),COUNTA($AK$17:$BB$17)),MATCH($F483,$F$19:$F$24,0),MATCH(AL$17,$AK$17:$BB$17,0))*INDEX($10:$13,MATCH($O483,$R$10:$R$13,0),COLUMN())</f>
        <v>2.865021016E-7</v>
      </c>
      <c r="AM483" s="1046" cm="1">
        <f t="array" aca="1" ref="AM483" ca="1">INDEX(OFFSET($AK$19,MATCH($B483,$B$19:$B$150,0)-1,0,COUNTA($B$19:$B$24),COUNTA($AK$17:$BB$17)),MATCH($F483,$F$19:$F$24,0),MATCH(AM$17,$AK$17:$BB$17,0))*INDEX($10:$13,MATCH($O483,$R$10:$R$13,0),COLUMN())</f>
        <v>4.7464080839999996E-4</v>
      </c>
      <c r="AN483" s="1046" cm="1">
        <f t="array" aca="1" ref="AN483" ca="1">INDEX(OFFSET($AK$19,MATCH($B483,$B$19:$B$150,0)-1,0,COUNTA($B$19:$B$24),COUNTA($AK$17:$BB$17)),MATCH($F483,$F$19:$F$24,0),MATCH(AN$17,$AK$17:$BB$17,0))*INDEX($10:$13,MATCH($O483,$R$10:$R$13,0),COLUMN())</f>
        <v>2.295036072E-3</v>
      </c>
      <c r="AO483" s="1046" cm="1">
        <f t="array" aca="1" ref="AO483" ca="1">INDEX(OFFSET($AK$19,MATCH($B483,$B$19:$B$150,0)-1,0,COUNTA($B$19:$B$24),COUNTA($AK$17:$BB$17)),MATCH($F483,$F$19:$F$24,0),MATCH(AO$17,$AK$17:$BB$17,0))*INDEX($10:$13,MATCH($O483,$R$10:$R$13,0),COLUMN())</f>
        <v>9.6648190800000006E-2</v>
      </c>
      <c r="AP483" s="1046" cm="1">
        <f t="array" aca="1" ref="AP483" ca="1">INDEX(OFFSET($AK$19,MATCH($B483,$B$19:$B$150,0)-1,0,COUNTA($B$19:$B$24),COUNTA($AK$17:$BB$17)),MATCH($F483,$F$19:$F$24,0),MATCH(AP$17,$AK$17:$BB$17,0))*INDEX($10:$13,MATCH($O483,$R$10:$R$13,0),COLUMN())</f>
        <v>1.1581353332E-2</v>
      </c>
      <c r="AQ483" s="1046" cm="1">
        <f t="array" aca="1" ref="AQ483" ca="1">INDEX(OFFSET($AK$19,MATCH($B483,$B$19:$B$150,0)-1,0,COUNTA($B$19:$B$24),COUNTA($AK$17:$BB$17)),MATCH($F483,$F$19:$F$24,0),MATCH(AQ$17,$AK$17:$BB$17,0))*INDEX($10:$13,MATCH($O483,$R$10:$R$13,0),COLUMN())</f>
        <v>1.6598799000000001E-4</v>
      </c>
      <c r="AR483" s="1046" cm="1">
        <f t="array" aca="1" ref="AR483" ca="1">INDEX(OFFSET($AK$19,MATCH($B483,$B$19:$B$150,0)-1,0,COUNTA($B$19:$B$24),COUNTA($AK$17:$BB$17)),MATCH($F483,$F$19:$F$24,0),MATCH(AR$17,$AK$17:$BB$17,0))*INDEX($10:$13,MATCH($O483,$R$10:$R$13,0),COLUMN())</f>
        <v>5.7485096940000001E-2</v>
      </c>
      <c r="AS483" s="1046" cm="1">
        <f t="array" aca="1" ref="AS483" ca="1">INDEX(OFFSET($AK$19,MATCH($B483,$B$19:$B$150,0)-1,0,COUNTA($B$19:$B$24),COUNTA($AK$17:$BB$17)),MATCH($F483,$F$19:$F$24,0),MATCH(AS$17,$AK$17:$BB$17,0))*INDEX($10:$13,MATCH($O483,$R$10:$R$13,0),COLUMN())</f>
        <v>0.10294352054999999</v>
      </c>
      <c r="AT483" s="1046" cm="1">
        <f t="array" aca="1" ref="AT483" ca="1">INDEX(OFFSET($AK$19,MATCH($B483,$B$19:$B$150,0)-1,0,COUNTA($B$19:$B$24),COUNTA($AK$17:$BB$17)),MATCH($F483,$F$19:$F$24,0),MATCH(AT$17,$AK$17:$BB$17,0))*INDEX($10:$13,MATCH($O483,$R$10:$R$13,0),COLUMN())</f>
        <v>1.1504953205000001E-4</v>
      </c>
      <c r="AU483" s="1046" cm="1">
        <f t="array" aca="1" ref="AU483" ca="1">INDEX(OFFSET($AK$19,MATCH($B483,$B$19:$B$150,0)-1,0,COUNTA($B$19:$B$24),COUNTA($AK$17:$BB$17)),MATCH($F483,$F$19:$F$24,0),MATCH(AU$17,$AK$17:$BB$17,0))*INDEX($10:$13,MATCH($O483,$R$10:$R$13,0),COLUMN())</f>
        <v>7.7899758144E-6</v>
      </c>
      <c r="AV483" s="1046" cm="1">
        <f t="array" aca="1" ref="AV483" ca="1">INDEX(OFFSET($AK$19,MATCH($B483,$B$19:$B$150,0)-1,0,COUNTA($B$19:$B$24),COUNTA($AK$17:$BB$17)),MATCH($F483,$F$19:$F$24,0),MATCH(AV$17,$AK$17:$BB$17,0))*INDEX($10:$13,MATCH($O483,$R$10:$R$13,0),COLUMN())</f>
        <v>1.8998652550000002E-2</v>
      </c>
      <c r="AW483" s="1046" cm="1">
        <f t="array" aca="1" ref="AW483" ca="1">INDEX(OFFSET($AK$19,MATCH($B483,$B$19:$B$150,0)-1,0,COUNTA($B$19:$B$24),COUNTA($AK$17:$BB$17)),MATCH($F483,$F$19:$F$24,0),MATCH(AW$17,$AK$17:$BB$17,0))*INDEX($10:$13,MATCH($O483,$R$10:$R$13,0),COLUMN())</f>
        <v>0.16991233439999998</v>
      </c>
      <c r="AX483" s="1046" cm="1">
        <f t="array" aca="1" ref="AX483" ca="1">INDEX(OFFSET($AK$19,MATCH($B483,$B$19:$B$150,0)-1,0,COUNTA($B$19:$B$24),COUNTA($AK$17:$BB$17)),MATCH($F483,$F$19:$F$24,0),MATCH(AX$17,$AK$17:$BB$17,0))*INDEX($10:$13,MATCH($O483,$R$10:$R$13,0),COLUMN())</f>
        <v>2.140391562E-7</v>
      </c>
      <c r="AY483" s="1046" cm="1">
        <f t="array" aca="1" ref="AY483" ca="1">INDEX(OFFSET($AK$19,MATCH($B483,$B$19:$B$150,0)-1,0,COUNTA($B$19:$B$24),COUNTA($AK$17:$BB$17)),MATCH($F483,$F$19:$F$24,0),MATCH(AY$17,$AK$17:$BB$17,0))*INDEX($10:$13,MATCH($O483,$R$10:$R$13,0),COLUMN())</f>
        <v>-5.589597003749999E-9</v>
      </c>
      <c r="AZ483" s="1046" cm="1">
        <f t="array" aca="1" ref="AZ483" ca="1">INDEX(OFFSET($AK$19,MATCH($B483,$B$19:$B$150,0)-1,0,COUNTA($B$19:$B$24),COUNTA($AK$17:$BB$17)),MATCH($F483,$F$19:$F$24,0),MATCH(AZ$17,$AK$17:$BB$17,0))*INDEX($10:$13,MATCH($O483,$R$10:$R$13,0),COLUMN())</f>
        <v>0</v>
      </c>
      <c r="BA483" s="1046" cm="1">
        <f t="array" aca="1" ref="BA483" ca="1">INDEX(OFFSET($AK$19,MATCH($B483,$B$19:$B$150,0)-1,0,COUNTA($B$19:$B$24),COUNTA($AK$17:$BB$17)),MATCH($F483,$F$19:$F$24,0),MATCH(BA$17,$AK$17:$BB$17,0))*INDEX($10:$13,MATCH($O483,$R$10:$R$13,0),COLUMN())</f>
        <v>0</v>
      </c>
      <c r="BB483" s="1047" cm="1">
        <f t="array" aca="1" ref="BB483" ca="1">INDEX(OFFSET($AK$19,MATCH($B483,$B$19:$B$150,0)-1,0,COUNTA($B$19:$B$24),COUNTA($AK$17:$BB$17)),MATCH($F483,$F$19:$F$24,0),MATCH(BB$17,$AK$17:$BB$17,0))*INDEX($10:$13,MATCH($O483,$R$10:$R$13,0),COLUMN())</f>
        <v>0</v>
      </c>
      <c r="BC483" s="1049">
        <f t="shared" ca="1" si="179"/>
        <v>0.16991254284955917</v>
      </c>
      <c r="BE483" s="1"/>
      <c r="BF483" s="1"/>
      <c r="BG483" s="1"/>
      <c r="BH483" s="1"/>
      <c r="BI483" s="1"/>
      <c r="BJ483" s="1"/>
      <c r="BK483" s="1"/>
      <c r="BL483" s="1"/>
      <c r="BM483" s="1"/>
      <c r="BN483" s="1"/>
      <c r="BO483" s="1"/>
      <c r="BP483" s="1"/>
      <c r="BQ483" s="1"/>
      <c r="BR483" s="1"/>
      <c r="BS483" s="1"/>
      <c r="BT483" s="1"/>
      <c r="BU483" s="1"/>
      <c r="BV483" s="1"/>
      <c r="BW483" s="1"/>
      <c r="BX483" s="1"/>
      <c r="BY483" s="1"/>
      <c r="BZ483" s="1"/>
    </row>
    <row r="484" spans="2:78" ht="12" customHeight="1" outlineLevel="1" x14ac:dyDescent="0.25">
      <c r="B484" s="104" t="s">
        <v>107</v>
      </c>
      <c r="C484" s="104" t="s">
        <v>121</v>
      </c>
      <c r="D484" s="2" t="s">
        <v>143</v>
      </c>
      <c r="E484" s="2" t="s">
        <v>144</v>
      </c>
      <c r="F484" s="105" t="s">
        <v>122</v>
      </c>
      <c r="G484" s="27" t="s">
        <v>1579</v>
      </c>
      <c r="H484" s="106" t="s">
        <v>128</v>
      </c>
      <c r="I484" s="107" t="s">
        <v>129</v>
      </c>
      <c r="J484" s="147">
        <v>5.9321289200000002</v>
      </c>
      <c r="K484" s="148">
        <v>3</v>
      </c>
      <c r="L484" s="149">
        <f t="shared" ca="1" si="177"/>
        <v>0.12651500354874737</v>
      </c>
      <c r="M484" s="148">
        <f t="shared" ca="1" si="178"/>
        <v>3.3795450106462424</v>
      </c>
      <c r="N484" s="148">
        <f t="shared" ca="1" si="180"/>
        <v>0.37954501064624213</v>
      </c>
      <c r="O484" s="1062" t="s">
        <v>1584</v>
      </c>
      <c r="P484" s="104"/>
      <c r="R484" s="119"/>
      <c r="S484" s="1072"/>
      <c r="T484" s="1072"/>
      <c r="U484" s="1072"/>
      <c r="V484" s="1072"/>
      <c r="W484" s="1072"/>
      <c r="X484" s="1072"/>
      <c r="Y484" s="1072"/>
      <c r="Z484" s="1072"/>
      <c r="AA484" s="1072"/>
      <c r="AB484" s="1072"/>
      <c r="AC484" s="1072"/>
      <c r="AD484" s="1072"/>
      <c r="AE484" s="1072"/>
      <c r="AF484" s="1072"/>
      <c r="AG484" s="1072"/>
      <c r="AH484" s="1072"/>
      <c r="AI484" s="1072"/>
      <c r="AJ484" s="1073"/>
      <c r="AK484" s="1052" cm="1">
        <f t="array" aca="1" ref="AK484" ca="1">INDEX(OFFSET($AK$19,MATCH($B484,$B$19:$B$150,0)-1,0,COUNTA($B$19:$B$24),COUNTA($AK$17:$BB$17)),MATCH($F484,$F$19:$F$24,0),MATCH(AK$17,$AK$17:$BB$17,0))*INDEX($10:$13,MATCH($O484,$R$10:$R$13,0),COLUMN())</f>
        <v>4.7078937761456059E-2</v>
      </c>
      <c r="AL484" s="1050" cm="1">
        <f t="array" aca="1" ref="AL484" ca="1">INDEX(OFFSET($AK$19,MATCH($B484,$B$19:$B$150,0)-1,0,COUNTA($B$19:$B$24),COUNTA($AK$17:$BB$17)),MATCH($F484,$F$19:$F$24,0),MATCH(AL$17,$AK$17:$BB$17,0))*INDEX($10:$13,MATCH($O484,$R$10:$R$13,0),COLUMN())</f>
        <v>1.46806985E-7</v>
      </c>
      <c r="AM484" s="1050" cm="1">
        <f t="array" aca="1" ref="AM484" ca="1">INDEX(OFFSET($AK$19,MATCH($B484,$B$19:$B$150,0)-1,0,COUNTA($B$19:$B$24),COUNTA($AK$17:$BB$17)),MATCH($F484,$F$19:$F$24,0),MATCH(AM$17,$AK$17:$BB$17,0))*INDEX($10:$13,MATCH($O484,$R$10:$R$13,0),COLUMN())</f>
        <v>2.4120835695000002E-4</v>
      </c>
      <c r="AN484" s="1050" cm="1">
        <f t="array" aca="1" ref="AN484" ca="1">INDEX(OFFSET($AK$19,MATCH($B484,$B$19:$B$150,0)-1,0,COUNTA($B$19:$B$24),COUNTA($AK$17:$BB$17)),MATCH($F484,$F$19:$F$24,0),MATCH(AN$17,$AK$17:$BB$17,0))*INDEX($10:$13,MATCH($O484,$R$10:$R$13,0),COLUMN())</f>
        <v>3.0530870999999999E-3</v>
      </c>
      <c r="AO484" s="1050" cm="1">
        <f t="array" aca="1" ref="AO484" ca="1">INDEX(OFFSET($AK$19,MATCH($B484,$B$19:$B$150,0)-1,0,COUNTA($B$19:$B$24),COUNTA($AK$17:$BB$17)),MATCH($F484,$F$19:$F$24,0),MATCH(AO$17,$AK$17:$BB$17,0))*INDEX($10:$13,MATCH($O484,$R$10:$R$13,0),COLUMN())</f>
        <v>4.5704853599999998E-2</v>
      </c>
      <c r="AP484" s="1050" cm="1">
        <f t="array" aca="1" ref="AP484" ca="1">INDEX(OFFSET($AK$19,MATCH($B484,$B$19:$B$150,0)-1,0,COUNTA($B$19:$B$24),COUNTA($AK$17:$BB$17)),MATCH($F484,$F$19:$F$24,0),MATCH(AP$17,$AK$17:$BB$17,0))*INDEX($10:$13,MATCH($O484,$R$10:$R$13,0),COLUMN())</f>
        <v>3.6309579594000002E-3</v>
      </c>
      <c r="AQ484" s="1050" cm="1">
        <f t="array" aca="1" ref="AQ484" ca="1">INDEX(OFFSET($AK$19,MATCH($B484,$B$19:$B$150,0)-1,0,COUNTA($B$19:$B$24),COUNTA($AK$17:$BB$17)),MATCH($F484,$F$19:$F$24,0),MATCH(AQ$17,$AK$17:$BB$17,0))*INDEX($10:$13,MATCH($O484,$R$10:$R$13,0),COLUMN())</f>
        <v>3.0590787500000001E-5</v>
      </c>
      <c r="AR484" s="1050" cm="1">
        <f t="array" aca="1" ref="AR484" ca="1">INDEX(OFFSET($AK$19,MATCH($B484,$B$19:$B$150,0)-1,0,COUNTA($B$19:$B$24),COUNTA($AK$17:$BB$17)),MATCH($F484,$F$19:$F$24,0),MATCH(AR$17,$AK$17:$BB$17,0))*INDEX($10:$13,MATCH($O484,$R$10:$R$13,0),COLUMN())</f>
        <v>2.7638808225999997E-2</v>
      </c>
      <c r="AS484" s="1050" cm="1">
        <f t="array" aca="1" ref="AS484" ca="1">INDEX(OFFSET($AK$19,MATCH($B484,$B$19:$B$150,0)-1,0,COUNTA($B$19:$B$24),COUNTA($AK$17:$BB$17)),MATCH($F484,$F$19:$F$24,0),MATCH(AS$17,$AK$17:$BB$17,0))*INDEX($10:$13,MATCH($O484,$R$10:$R$13,0),COLUMN())</f>
        <v>1.2695136479999998E-4</v>
      </c>
      <c r="AT484" s="1050" cm="1">
        <f t="array" aca="1" ref="AT484" ca="1">INDEX(OFFSET($AK$19,MATCH($B484,$B$19:$B$150,0)-1,0,COUNTA($B$19:$B$24),COUNTA($AK$17:$BB$17)),MATCH($F484,$F$19:$F$24,0),MATCH(AT$17,$AK$17:$BB$17,0))*INDEX($10:$13,MATCH($O484,$R$10:$R$13,0),COLUMN())</f>
        <v>2.6058232774999999E-6</v>
      </c>
      <c r="AU484" s="1050" cm="1">
        <f t="array" aca="1" ref="AU484" ca="1">INDEX(OFFSET($AK$19,MATCH($B484,$B$19:$B$150,0)-1,0,COUNTA($B$19:$B$24),COUNTA($AK$17:$BB$17)),MATCH($F484,$F$19:$F$24,0),MATCH(AU$17,$AK$17:$BB$17,0))*INDEX($10:$13,MATCH($O484,$R$10:$R$13,0),COLUMN())</f>
        <v>5.4727662880000002E-7</v>
      </c>
      <c r="AV484" s="1050" cm="1">
        <f t="array" aca="1" ref="AV484" ca="1">INDEX(OFFSET($AK$19,MATCH($B484,$B$19:$B$150,0)-1,0,COUNTA($B$19:$B$24),COUNTA($AK$17:$BB$17)),MATCH($F484,$F$19:$F$24,0),MATCH(AV$17,$AK$17:$BB$17,0))*INDEX($10:$13,MATCH($O484,$R$10:$R$13,0),COLUMN())</f>
        <v>3.4960512824999995E-3</v>
      </c>
      <c r="AW484" s="1050" cm="1">
        <f t="array" aca="1" ref="AW484" ca="1">INDEX(OFFSET($AK$19,MATCH($B484,$B$19:$B$150,0)-1,0,COUNTA($B$19:$B$24),COUNTA($AK$17:$BB$17)),MATCH($F484,$F$19:$F$24,0),MATCH(AW$17,$AK$17:$BB$17,0))*INDEX($10:$13,MATCH($O484,$R$10:$R$13,0),COLUMN())</f>
        <v>0.24854019464999999</v>
      </c>
      <c r="AX484" s="1050" cm="1">
        <f t="array" aca="1" ref="AX484" ca="1">INDEX(OFFSET($AK$19,MATCH($B484,$B$19:$B$150,0)-1,0,COUNTA($B$19:$B$24),COUNTA($AK$17:$BB$17)),MATCH($F484,$F$19:$F$24,0),MATCH(AX$17,$AK$17:$BB$17,0))*INDEX($10:$13,MATCH($O484,$R$10:$R$13,0),COLUMN())</f>
        <v>7.1493312150000003E-8</v>
      </c>
      <c r="AY484" s="1050" cm="1">
        <f t="array" aca="1" ref="AY484" ca="1">INDEX(OFFSET($AK$19,MATCH($B484,$B$19:$B$150,0)-1,0,COUNTA($B$19:$B$24),COUNTA($AK$17:$BB$17)),MATCH($F484,$F$19:$F$24,0),MATCH(AY$17,$AK$17:$BB$17,0))*INDEX($10:$13,MATCH($O484,$R$10:$R$13,0),COLUMN())</f>
        <v>-1.8425673337499996E-9</v>
      </c>
      <c r="AZ484" s="1050" cm="1">
        <f t="array" aca="1" ref="AZ484" ca="1">INDEX(OFFSET($AK$19,MATCH($B484,$B$19:$B$150,0)-1,0,COUNTA($B$19:$B$24),COUNTA($AK$17:$BB$17)),MATCH($F484,$F$19:$F$24,0),MATCH(AZ$17,$AK$17:$BB$17,0))*INDEX($10:$13,MATCH($O484,$R$10:$R$13,0),COLUMN())</f>
        <v>0</v>
      </c>
      <c r="BA484" s="1050" cm="1">
        <f t="array" aca="1" ref="BA484" ca="1">INDEX(OFFSET($AK$19,MATCH($B484,$B$19:$B$150,0)-1,0,COUNTA($B$19:$B$24),COUNTA($AK$17:$BB$17)),MATCH($F484,$F$19:$F$24,0),MATCH(BA$17,$AK$17:$BB$17,0))*INDEX($10:$13,MATCH($O484,$R$10:$R$13,0),COLUMN())</f>
        <v>0</v>
      </c>
      <c r="BB484" s="1051" cm="1">
        <f t="array" aca="1" ref="BB484" ca="1">INDEX(OFFSET($AK$19,MATCH($B484,$B$19:$B$150,0)-1,0,COUNTA($B$19:$B$24),COUNTA($AK$17:$BB$17)),MATCH($F484,$F$19:$F$24,0),MATCH(BB$17,$AK$17:$BB$17,0))*INDEX($10:$13,MATCH($O484,$R$10:$R$13,0),COLUMN())</f>
        <v>0</v>
      </c>
      <c r="BC484" s="1053">
        <f t="shared" ca="1" si="179"/>
        <v>0.24854026430074483</v>
      </c>
      <c r="BE484" s="1"/>
      <c r="BF484" s="1"/>
      <c r="BG484" s="1"/>
      <c r="BH484" s="1"/>
      <c r="BI484" s="1"/>
      <c r="BJ484" s="1"/>
      <c r="BK484" s="1"/>
      <c r="BL484" s="1"/>
      <c r="BM484" s="1"/>
      <c r="BN484" s="1"/>
      <c r="BO484" s="1"/>
      <c r="BP484" s="1"/>
      <c r="BQ484" s="1"/>
      <c r="BR484" s="1"/>
      <c r="BS484" s="1"/>
      <c r="BT484" s="1"/>
      <c r="BU484" s="1"/>
      <c r="BV484" s="1"/>
      <c r="BW484" s="1"/>
      <c r="BX484" s="1"/>
      <c r="BY484" s="1"/>
      <c r="BZ484" s="1"/>
    </row>
    <row r="485" spans="2:78" ht="12" customHeight="1" outlineLevel="1" x14ac:dyDescent="0.25">
      <c r="B485" s="104" t="s">
        <v>107</v>
      </c>
      <c r="C485" s="104" t="s">
        <v>121</v>
      </c>
      <c r="D485" s="2" t="s">
        <v>143</v>
      </c>
      <c r="E485" s="2" t="s">
        <v>144</v>
      </c>
      <c r="F485" s="105" t="s">
        <v>93</v>
      </c>
      <c r="G485" s="27" t="s">
        <v>1578</v>
      </c>
      <c r="H485" s="106" t="s">
        <v>130</v>
      </c>
      <c r="I485" s="107" t="s">
        <v>129</v>
      </c>
      <c r="J485" s="147">
        <v>5.9321289200000002</v>
      </c>
      <c r="K485" s="148">
        <v>3</v>
      </c>
      <c r="L485" s="149">
        <f t="shared" ca="1" si="177"/>
        <v>0.15868185877922467</v>
      </c>
      <c r="M485" s="148">
        <f t="shared" ca="1" si="178"/>
        <v>3.4760455763376741</v>
      </c>
      <c r="N485" s="148">
        <f t="shared" ca="1" si="180"/>
        <v>0.47604557633767397</v>
      </c>
      <c r="O485" s="1062" t="s">
        <v>1584</v>
      </c>
      <c r="P485" s="104"/>
      <c r="R485" s="119"/>
      <c r="S485" s="1072"/>
      <c r="T485" s="1072"/>
      <c r="U485" s="1072"/>
      <c r="V485" s="1072"/>
      <c r="W485" s="1072"/>
      <c r="X485" s="1072"/>
      <c r="Y485" s="1072"/>
      <c r="Z485" s="1072"/>
      <c r="AA485" s="1072"/>
      <c r="AB485" s="1072"/>
      <c r="AC485" s="1072"/>
      <c r="AD485" s="1072"/>
      <c r="AE485" s="1072"/>
      <c r="AF485" s="1072"/>
      <c r="AG485" s="1072"/>
      <c r="AH485" s="1072"/>
      <c r="AI485" s="1072"/>
      <c r="AJ485" s="1073"/>
      <c r="AK485" s="1052" cm="1">
        <f t="array" aca="1" ref="AK485" ca="1">INDEX(OFFSET($AK$19,MATCH($B485,$B$19:$B$150,0)-1,0,COUNTA($B$19:$B$24),COUNTA($AK$17:$BB$17)),MATCH($F485,$F$19:$F$24,0),MATCH(AK$17,$AK$17:$BB$17,0))*INDEX($10:$13,MATCH($O485,$R$10:$R$13,0),COLUMN())</f>
        <v>5.9010942783834293E-2</v>
      </c>
      <c r="AL485" s="1050" cm="1">
        <f t="array" aca="1" ref="AL485" ca="1">INDEX(OFFSET($AK$19,MATCH($B485,$B$19:$B$150,0)-1,0,COUNTA($B$19:$B$24),COUNTA($AK$17:$BB$17)),MATCH($F485,$F$19:$F$24,0),MATCH(AL$17,$AK$17:$BB$17,0))*INDEX($10:$13,MATCH($O485,$R$10:$R$13,0),COLUMN())</f>
        <v>1.8403623836E-7</v>
      </c>
      <c r="AM485" s="1050" cm="1">
        <f t="array" aca="1" ref="AM485" ca="1">INDEX(OFFSET($AK$19,MATCH($B485,$B$19:$B$150,0)-1,0,COUNTA($B$19:$B$24),COUNTA($AK$17:$BB$17)),MATCH($F485,$F$19:$F$24,0),MATCH(AM$17,$AK$17:$BB$17,0))*INDEX($10:$13,MATCH($O485,$R$10:$R$13,0),COLUMN())</f>
        <v>3.0237721470000002E-4</v>
      </c>
      <c r="AN485" s="1050" cm="1">
        <f t="array" aca="1" ref="AN485" ca="1">INDEX(OFFSET($AK$19,MATCH($B485,$B$19:$B$150,0)-1,0,COUNTA($B$19:$B$24),COUNTA($AK$17:$BB$17)),MATCH($F485,$F$19:$F$24,0),MATCH(AN$17,$AK$17:$BB$17,0))*INDEX($10:$13,MATCH($O485,$R$10:$R$13,0),COLUMN())</f>
        <v>3.8261253239999997E-3</v>
      </c>
      <c r="AO485" s="1050" cm="1">
        <f t="array" aca="1" ref="AO485" ca="1">INDEX(OFFSET($AK$19,MATCH($B485,$B$19:$B$150,0)-1,0,COUNTA($B$19:$B$24),COUNTA($AK$17:$BB$17)),MATCH($F485,$F$19:$F$24,0),MATCH(AO$17,$AK$17:$BB$17,0))*INDEX($10:$13,MATCH($O485,$R$10:$R$13,0),COLUMN())</f>
        <v>5.7286748400000004E-2</v>
      </c>
      <c r="AP485" s="1050" cm="1">
        <f t="array" aca="1" ref="AP485" ca="1">INDEX(OFFSET($AK$19,MATCH($B485,$B$19:$B$150,0)-1,0,COUNTA($B$19:$B$24),COUNTA($AK$17:$BB$17)),MATCH($F485,$F$19:$F$24,0),MATCH(AP$17,$AK$17:$BB$17,0))*INDEX($10:$13,MATCH($O485,$R$10:$R$13,0),COLUMN())</f>
        <v>4.5514309229999998E-3</v>
      </c>
      <c r="AQ485" s="1050" cm="1">
        <f t="array" aca="1" ref="AQ485" ca="1">INDEX(OFFSET($AK$19,MATCH($B485,$B$19:$B$150,0)-1,0,COUNTA($B$19:$B$24),COUNTA($AK$17:$BB$17)),MATCH($F485,$F$19:$F$24,0),MATCH(AQ$17,$AK$17:$BB$17,0))*INDEX($10:$13,MATCH($O485,$R$10:$R$13,0),COLUMN())</f>
        <v>3.8349712500000001E-5</v>
      </c>
      <c r="AR485" s="1050" cm="1">
        <f t="array" aca="1" ref="AR485" ca="1">INDEX(OFFSET($AK$19,MATCH($B485,$B$19:$B$150,0)-1,0,COUNTA($B$19:$B$24),COUNTA($AK$17:$BB$17)),MATCH($F485,$F$19:$F$24,0),MATCH(AR$17,$AK$17:$BB$17,0))*INDEX($10:$13,MATCH($O485,$R$10:$R$13,0),COLUMN())</f>
        <v>3.4648932959999997E-2</v>
      </c>
      <c r="AS485" s="1050" cm="1">
        <f t="array" aca="1" ref="AS485" ca="1">INDEX(OFFSET($AK$19,MATCH($B485,$B$19:$B$150,0)-1,0,COUNTA($B$19:$B$24),COUNTA($AK$17:$BB$17)),MATCH($F485,$F$19:$F$24,0),MATCH(AS$17,$AK$17:$BB$17,0))*INDEX($10:$13,MATCH($O485,$R$10:$R$13,0),COLUMN())</f>
        <v>1.8499129739999999E-4</v>
      </c>
      <c r="AT485" s="1050" cm="1">
        <f t="array" aca="1" ref="AT485" ca="1">INDEX(OFFSET($AK$19,MATCH($B485,$B$19:$B$150,0)-1,0,COUNTA($B$19:$B$24),COUNTA($AK$17:$BB$17)),MATCH($F485,$F$19:$F$24,0),MATCH(AT$17,$AK$17:$BB$17,0))*INDEX($10:$13,MATCH($O485,$R$10:$R$13,0),COLUMN())</f>
        <v>3.2762067674999999E-6</v>
      </c>
      <c r="AU485" s="1050" cm="1">
        <f t="array" aca="1" ref="AU485" ca="1">INDEX(OFFSET($AK$19,MATCH($B485,$B$19:$B$150,0)-1,0,COUNTA($B$19:$B$24),COUNTA($AK$17:$BB$17)),MATCH($F485,$F$19:$F$24,0),MATCH(AU$17,$AK$17:$BB$17,0))*INDEX($10:$13,MATCH($O485,$R$10:$R$13,0),COLUMN())</f>
        <v>6.869447728000001E-7</v>
      </c>
      <c r="AV485" s="1050" cm="1">
        <f t="array" aca="1" ref="AV485" ca="1">INDEX(OFFSET($AK$19,MATCH($B485,$B$19:$B$150,0)-1,0,COUNTA($B$19:$B$24),COUNTA($AK$17:$BB$17)),MATCH($F485,$F$19:$F$24,0),MATCH(AV$17,$AK$17:$BB$17,0))*INDEX($10:$13,MATCH($O485,$R$10:$R$13,0),COLUMN())</f>
        <v>4.6115077174999995E-3</v>
      </c>
      <c r="AW485" s="1050" cm="1">
        <f t="array" aca="1" ref="AW485" ca="1">INDEX(OFFSET($AK$19,MATCH($B485,$B$19:$B$150,0)-1,0,COUNTA($B$19:$B$24),COUNTA($AK$17:$BB$17)),MATCH($F485,$F$19:$F$24,0),MATCH(AW$17,$AK$17:$BB$17,0))*INDEX($10:$13,MATCH($O485,$R$10:$R$13,0),COLUMN())</f>
        <v>0.31157993549999996</v>
      </c>
      <c r="AX485" s="1050" cm="1">
        <f t="array" aca="1" ref="AX485" ca="1">INDEX(OFFSET($AK$19,MATCH($B485,$B$19:$B$150,0)-1,0,COUNTA($B$19:$B$24),COUNTA($AK$17:$BB$17)),MATCH($F485,$F$19:$F$24,0),MATCH(AX$17,$AK$17:$BB$17,0))*INDEX($10:$13,MATCH($O485,$R$10:$R$13,0),COLUMN())</f>
        <v>8.9626877249999991E-8</v>
      </c>
      <c r="AY485" s="1050" cm="1">
        <f t="array" aca="1" ref="AY485" ca="1">INDEX(OFFSET($AK$19,MATCH($B485,$B$19:$B$150,0)-1,0,COUNTA($B$19:$B$24),COUNTA($AK$17:$BB$17)),MATCH($F485,$F$19:$F$24,0),MATCH(AY$17,$AK$17:$BB$17,0))*INDEX($10:$13,MATCH($O485,$R$10:$R$13,0),COLUMN())</f>
        <v>-2.3099161612499999E-9</v>
      </c>
      <c r="AZ485" s="1050" cm="1">
        <f t="array" aca="1" ref="AZ485" ca="1">INDEX(OFFSET($AK$19,MATCH($B485,$B$19:$B$150,0)-1,0,COUNTA($B$19:$B$24),COUNTA($AK$17:$BB$17)),MATCH($F485,$F$19:$F$24,0),MATCH(AZ$17,$AK$17:$BB$17,0))*INDEX($10:$13,MATCH($O485,$R$10:$R$13,0),COLUMN())</f>
        <v>0</v>
      </c>
      <c r="BA485" s="1050" cm="1">
        <f t="array" aca="1" ref="BA485" ca="1">INDEX(OFFSET($AK$19,MATCH($B485,$B$19:$B$150,0)-1,0,COUNTA($B$19:$B$24),COUNTA($AK$17:$BB$17)),MATCH($F485,$F$19:$F$24,0),MATCH(BA$17,$AK$17:$BB$17,0))*INDEX($10:$13,MATCH($O485,$R$10:$R$13,0),COLUMN())</f>
        <v>0</v>
      </c>
      <c r="BB485" s="1051" cm="1">
        <f t="array" aca="1" ref="BB485" ca="1">INDEX(OFFSET($AK$19,MATCH($B485,$B$19:$B$150,0)-1,0,COUNTA($B$19:$B$24),COUNTA($AK$17:$BB$17)),MATCH($F485,$F$19:$F$24,0),MATCH(BB$17,$AK$17:$BB$17,0))*INDEX($10:$13,MATCH($O485,$R$10:$R$13,0),COLUMN())</f>
        <v>0</v>
      </c>
      <c r="BC485" s="1053">
        <f t="shared" ca="1" si="179"/>
        <v>0.31158002281696107</v>
      </c>
      <c r="BE485" s="1"/>
      <c r="BF485" s="1"/>
      <c r="BG485" s="1"/>
      <c r="BH485" s="1"/>
      <c r="BI485" s="1"/>
      <c r="BJ485" s="1"/>
      <c r="BK485" s="1"/>
      <c r="BL485" s="1"/>
      <c r="BM485" s="1"/>
      <c r="BN485" s="1"/>
      <c r="BO485" s="1"/>
      <c r="BP485" s="1"/>
      <c r="BQ485" s="1"/>
      <c r="BR485" s="1"/>
      <c r="BS485" s="1"/>
      <c r="BT485" s="1"/>
      <c r="BU485" s="1"/>
      <c r="BV485" s="1"/>
      <c r="BW485" s="1"/>
      <c r="BX485" s="1"/>
      <c r="BY485" s="1"/>
      <c r="BZ485" s="1"/>
    </row>
    <row r="486" spans="2:78" ht="12" customHeight="1" outlineLevel="1" x14ac:dyDescent="0.25">
      <c r="B486" s="104" t="s">
        <v>107</v>
      </c>
      <c r="C486" s="104" t="s">
        <v>121</v>
      </c>
      <c r="D486" s="2" t="s">
        <v>143</v>
      </c>
      <c r="E486" s="2" t="s">
        <v>144</v>
      </c>
      <c r="F486" s="105" t="s">
        <v>94</v>
      </c>
      <c r="G486" s="27" t="s">
        <v>1580</v>
      </c>
      <c r="H486" s="106" t="s">
        <v>131</v>
      </c>
      <c r="I486" s="107" t="s">
        <v>129</v>
      </c>
      <c r="J486" s="147">
        <v>5.9321289200000002</v>
      </c>
      <c r="K486" s="148">
        <v>3</v>
      </c>
      <c r="L486" s="149">
        <f t="shared" ca="1" si="177"/>
        <v>0.105148838146971</v>
      </c>
      <c r="M486" s="148">
        <f t="shared" ca="1" si="178"/>
        <v>3.3154465144409131</v>
      </c>
      <c r="N486" s="148">
        <f t="shared" ca="1" si="180"/>
        <v>0.31544651444091298</v>
      </c>
      <c r="O486" s="1062" t="s">
        <v>1584</v>
      </c>
      <c r="P486" s="104"/>
      <c r="R486" s="119"/>
      <c r="S486" s="1072"/>
      <c r="T486" s="1072"/>
      <c r="U486" s="1072"/>
      <c r="V486" s="1072"/>
      <c r="W486" s="1072"/>
      <c r="X486" s="1072"/>
      <c r="Y486" s="1072"/>
      <c r="Z486" s="1072"/>
      <c r="AA486" s="1072"/>
      <c r="AB486" s="1072"/>
      <c r="AC486" s="1072"/>
      <c r="AD486" s="1072"/>
      <c r="AE486" s="1072"/>
      <c r="AF486" s="1072"/>
      <c r="AG486" s="1072"/>
      <c r="AH486" s="1072"/>
      <c r="AI486" s="1072"/>
      <c r="AJ486" s="1073"/>
      <c r="AK486" s="1052" cm="1">
        <f t="array" aca="1" ref="AK486" ca="1">INDEX(OFFSET($AK$19,MATCH($B486,$B$19:$B$150,0)-1,0,COUNTA($B$19:$B$24),COUNTA($AK$17:$BB$17)),MATCH($F486,$F$19:$F$24,0),MATCH(AK$17,$AK$17:$BB$17,0))*INDEX($10:$13,MATCH($O486,$R$10:$R$13,0),COLUMN())</f>
        <v>3.9152034893992389E-2</v>
      </c>
      <c r="AL486" s="1050" cm="1">
        <f t="array" aca="1" ref="AL486" ca="1">INDEX(OFFSET($AK$19,MATCH($B486,$B$19:$B$150,0)-1,0,COUNTA($B$19:$B$24),COUNTA($AK$17:$BB$17)),MATCH($F486,$F$19:$F$24,0),MATCH(AL$17,$AK$17:$BB$17,0))*INDEX($10:$13,MATCH($O486,$R$10:$R$13,0),COLUMN())</f>
        <v>1.2207848393E-7</v>
      </c>
      <c r="AM486" s="1050" cm="1">
        <f t="array" aca="1" ref="AM486" ca="1">INDEX(OFFSET($AK$19,MATCH($B486,$B$19:$B$150,0)-1,0,COUNTA($B$19:$B$24),COUNTA($AK$17:$BB$17)),MATCH($F486,$F$19:$F$24,0),MATCH(AM$17,$AK$17:$BB$17,0))*INDEX($10:$13,MATCH($O486,$R$10:$R$13,0),COLUMN())</f>
        <v>2.0057865003000002E-4</v>
      </c>
      <c r="AN486" s="1050" cm="1">
        <f t="array" aca="1" ref="AN486" ca="1">INDEX(OFFSET($AK$19,MATCH($B486,$B$19:$B$150,0)-1,0,COUNTA($B$19:$B$24),COUNTA($AK$17:$BB$17)),MATCH($F486,$F$19:$F$24,0),MATCH(AN$17,$AK$17:$BB$17,0))*INDEX($10:$13,MATCH($O486,$R$10:$R$13,0),COLUMN())</f>
        <v>2.5393736760000001E-3</v>
      </c>
      <c r="AO486" s="1050" cm="1">
        <f t="array" aca="1" ref="AO486" ca="1">INDEX(OFFSET($AK$19,MATCH($B486,$B$19:$B$150,0)-1,0,COUNTA($B$19:$B$24),COUNTA($AK$17:$BB$17)),MATCH($F486,$F$19:$F$24,0),MATCH(AO$17,$AK$17:$BB$17,0))*INDEX($10:$13,MATCH($O486,$R$10:$R$13,0),COLUMN())</f>
        <v>3.8010168000000004E-2</v>
      </c>
      <c r="AP486" s="1050" cm="1">
        <f t="array" aca="1" ref="AP486" ca="1">INDEX(OFFSET($AK$19,MATCH($B486,$B$19:$B$150,0)-1,0,COUNTA($B$19:$B$24),COUNTA($AK$17:$BB$17)),MATCH($F486,$F$19:$F$24,0),MATCH(AP$17,$AK$17:$BB$17,0))*INDEX($10:$13,MATCH($O486,$R$10:$R$13,0),COLUMN())</f>
        <v>3.0194956886E-3</v>
      </c>
      <c r="AQ486" s="1050" cm="1">
        <f t="array" aca="1" ref="AQ486" ca="1">INDEX(OFFSET($AK$19,MATCH($B486,$B$19:$B$150,0)-1,0,COUNTA($B$19:$B$24),COUNTA($AK$17:$BB$17)),MATCH($F486,$F$19:$F$24,0),MATCH(AQ$17,$AK$17:$BB$17,0))*INDEX($10:$13,MATCH($O486,$R$10:$R$13,0),COLUMN())</f>
        <v>2.5437402500000002E-5</v>
      </c>
      <c r="AR486" s="1050" cm="1">
        <f t="array" aca="1" ref="AR486" ca="1">INDEX(OFFSET($AK$19,MATCH($B486,$B$19:$B$150,0)-1,0,COUNTA($B$19:$B$24),COUNTA($AK$17:$BB$17)),MATCH($F486,$F$19:$F$24,0),MATCH(AR$17,$AK$17:$BB$17,0))*INDEX($10:$13,MATCH($O486,$R$10:$R$13,0),COLUMN())</f>
        <v>2.2982752896999997E-2</v>
      </c>
      <c r="AS486" s="1050" cm="1">
        <f t="array" aca="1" ref="AS486" ca="1">INDEX(OFFSET($AK$19,MATCH($B486,$B$19:$B$150,0)-1,0,COUNTA($B$19:$B$24),COUNTA($AK$17:$BB$17)),MATCH($F486,$F$19:$F$24,0),MATCH(AS$17,$AK$17:$BB$17,0))*INDEX($10:$13,MATCH($O486,$R$10:$R$13,0),COLUMN())</f>
        <v>8.8421560110000006E-5</v>
      </c>
      <c r="AT486" s="1050" cm="1">
        <f t="array" aca="1" ref="AT486" ca="1">INDEX(OFFSET($AK$19,MATCH($B486,$B$19:$B$150,0)-1,0,COUNTA($B$19:$B$24),COUNTA($AK$17:$BB$17)),MATCH($F486,$F$19:$F$24,0),MATCH(AT$17,$AK$17:$BB$17,0))*INDEX($10:$13,MATCH($O486,$R$10:$R$13,0),COLUMN())</f>
        <v>2.1605583575000003E-6</v>
      </c>
      <c r="AU486" s="1050" cm="1">
        <f t="array" aca="1" ref="AU486" ca="1">INDEX(OFFSET($AK$19,MATCH($B486,$B$19:$B$150,0)-1,0,COUNTA($B$19:$B$24),COUNTA($AK$17:$BB$17)),MATCH($F486,$F$19:$F$24,0),MATCH(AU$17,$AK$17:$BB$17,0))*INDEX($10:$13,MATCH($O486,$R$10:$R$13,0),COLUMN())</f>
        <v>4.5448622847999998E-7</v>
      </c>
      <c r="AV486" s="1050" cm="1">
        <f t="array" aca="1" ref="AV486" ca="1">INDEX(OFFSET($AK$19,MATCH($B486,$B$19:$B$150,0)-1,0,COUNTA($B$19:$B$24),COUNTA($AK$17:$BB$17)),MATCH($F486,$F$19:$F$24,0),MATCH(AV$17,$AK$17:$BB$17,0))*INDEX($10:$13,MATCH($O486,$R$10:$R$13,0),COLUMN())</f>
        <v>2.7553057324999999E-3</v>
      </c>
      <c r="AW486" s="1050" cm="1">
        <f t="array" aca="1" ref="AW486" ca="1">INDEX(OFFSET($AK$19,MATCH($B486,$B$19:$B$150,0)-1,0,COUNTA($B$19:$B$24),COUNTA($AK$17:$BB$17)),MATCH($F486,$F$19:$F$24,0),MATCH(AW$17,$AK$17:$BB$17,0))*INDEX($10:$13,MATCH($O486,$R$10:$R$13,0),COLUMN())</f>
        <v>0.20667015089999999</v>
      </c>
      <c r="AX486" s="1050" cm="1">
        <f t="array" aca="1" ref="AX486" ca="1">INDEX(OFFSET($AK$19,MATCH($B486,$B$19:$B$150,0)-1,0,COUNTA($B$19:$B$24),COUNTA($AK$17:$BB$17)),MATCH($F486,$F$19:$F$24,0),MATCH(AX$17,$AK$17:$BB$17,0))*INDEX($10:$13,MATCH($O486,$R$10:$R$13,0),COLUMN())</f>
        <v>5.9449271999999993E-8</v>
      </c>
      <c r="AY486" s="1050" cm="1">
        <f t="array" aca="1" ref="AY486" ca="1">INDEX(OFFSET($AK$19,MATCH($B486,$B$19:$B$150,0)-1,0,COUNTA($B$19:$B$24),COUNTA($AK$17:$BB$17)),MATCH($F486,$F$19:$F$24,0),MATCH(AY$17,$AK$17:$BB$17,0))*INDEX($10:$13,MATCH($O486,$R$10:$R$13,0),COLUMN())</f>
        <v>-1.5321613162499997E-9</v>
      </c>
      <c r="AZ486" s="1050" cm="1">
        <f t="array" aca="1" ref="AZ486" ca="1">INDEX(OFFSET($AK$19,MATCH($B486,$B$19:$B$150,0)-1,0,COUNTA($B$19:$B$24),COUNTA($AK$17:$BB$17)),MATCH($F486,$F$19:$F$24,0),MATCH(AZ$17,$AK$17:$BB$17,0))*INDEX($10:$13,MATCH($O486,$R$10:$R$13,0),COLUMN())</f>
        <v>0</v>
      </c>
      <c r="BA486" s="1050" cm="1">
        <f t="array" aca="1" ref="BA486" ca="1">INDEX(OFFSET($AK$19,MATCH($B486,$B$19:$B$150,0)-1,0,COUNTA($B$19:$B$24),COUNTA($AK$17:$BB$17)),MATCH($F486,$F$19:$F$24,0),MATCH(BA$17,$AK$17:$BB$17,0))*INDEX($10:$13,MATCH($O486,$R$10:$R$13,0),COLUMN())</f>
        <v>0</v>
      </c>
      <c r="BB486" s="1051" cm="1">
        <f t="array" aca="1" ref="BB486" ca="1">INDEX(OFFSET($AK$19,MATCH($B486,$B$19:$B$150,0)-1,0,COUNTA($B$19:$B$24),COUNTA($AK$17:$BB$17)),MATCH($F486,$F$19:$F$24,0),MATCH(BB$17,$AK$17:$BB$17,0))*INDEX($10:$13,MATCH($O486,$R$10:$R$13,0),COLUMN())</f>
        <v>0</v>
      </c>
      <c r="BC486" s="1053">
        <f t="shared" ca="1" si="179"/>
        <v>0.20667020881711068</v>
      </c>
      <c r="BE486" s="1"/>
      <c r="BF486" s="1"/>
      <c r="BG486" s="1"/>
      <c r="BH486" s="1"/>
      <c r="BI486" s="1"/>
      <c r="BJ486" s="1"/>
      <c r="BK486" s="1"/>
      <c r="BL486" s="1"/>
      <c r="BM486" s="1"/>
      <c r="BN486" s="1"/>
      <c r="BO486" s="1"/>
      <c r="BP486" s="1"/>
      <c r="BQ486" s="1"/>
      <c r="BR486" s="1"/>
      <c r="BS486" s="1"/>
      <c r="BT486" s="1"/>
      <c r="BU486" s="1"/>
      <c r="BV486" s="1"/>
      <c r="BW486" s="1"/>
      <c r="BX486" s="1"/>
      <c r="BY486" s="1"/>
      <c r="BZ486" s="1"/>
    </row>
    <row r="487" spans="2:78" ht="12" customHeight="1" outlineLevel="1" x14ac:dyDescent="0.25">
      <c r="B487" s="104" t="s">
        <v>107</v>
      </c>
      <c r="C487" s="104" t="s">
        <v>121</v>
      </c>
      <c r="D487" s="2" t="s">
        <v>143</v>
      </c>
      <c r="E487" s="2" t="s">
        <v>144</v>
      </c>
      <c r="F487" s="105" t="s">
        <v>95</v>
      </c>
      <c r="G487" s="27" t="s">
        <v>1581</v>
      </c>
      <c r="H487" s="106" t="s">
        <v>128</v>
      </c>
      <c r="I487" s="107" t="s">
        <v>127</v>
      </c>
      <c r="J487" s="147">
        <v>5.9321289200000002</v>
      </c>
      <c r="K487" s="148">
        <v>3</v>
      </c>
      <c r="L487" s="149">
        <f t="shared" ca="1" si="177"/>
        <v>0.16507508469445373</v>
      </c>
      <c r="M487" s="148">
        <f t="shared" ca="1" si="178"/>
        <v>3.495225254083361</v>
      </c>
      <c r="N487" s="148">
        <f t="shared" ca="1" si="180"/>
        <v>0.49522525408336115</v>
      </c>
      <c r="O487" s="1062" t="s">
        <v>1584</v>
      </c>
      <c r="P487" s="104"/>
      <c r="R487" s="119"/>
      <c r="S487" s="1072"/>
      <c r="T487" s="1072"/>
      <c r="U487" s="1072"/>
      <c r="V487" s="1072"/>
      <c r="W487" s="1072"/>
      <c r="X487" s="1072"/>
      <c r="Y487" s="1072"/>
      <c r="Z487" s="1072"/>
      <c r="AA487" s="1072"/>
      <c r="AB487" s="1072"/>
      <c r="AC487" s="1072"/>
      <c r="AD487" s="1072"/>
      <c r="AE487" s="1072"/>
      <c r="AF487" s="1072"/>
      <c r="AG487" s="1072"/>
      <c r="AH487" s="1072"/>
      <c r="AI487" s="1072"/>
      <c r="AJ487" s="1073"/>
      <c r="AK487" s="1052" cm="1">
        <f t="array" aca="1" ref="AK487" ca="1">INDEX(OFFSET($AK$19,MATCH($B487,$B$19:$B$150,0)-1,0,COUNTA($B$19:$B$24),COUNTA($AK$17:$BB$17)),MATCH($F487,$F$19:$F$24,0),MATCH(AK$17,$AK$17:$BB$17,0))*INDEX($10:$13,MATCH($O487,$R$10:$R$13,0),COLUMN())</f>
        <v>5.6130771275820786E-2</v>
      </c>
      <c r="AL487" s="1050" cm="1">
        <f t="array" aca="1" ref="AL487" ca="1">INDEX(OFFSET($AK$19,MATCH($B487,$B$19:$B$150,0)-1,0,COUNTA($B$19:$B$24),COUNTA($AK$17:$BB$17)),MATCH($F487,$F$19:$F$24,0),MATCH(AL$17,$AK$17:$BB$17,0))*INDEX($10:$13,MATCH($O487,$R$10:$R$13,0),COLUMN())</f>
        <v>1.4786664022000003E-7</v>
      </c>
      <c r="AM487" s="1050" cm="1">
        <f t="array" aca="1" ref="AM487" ca="1">INDEX(OFFSET($AK$19,MATCH($B487,$B$19:$B$150,0)-1,0,COUNTA($B$19:$B$24),COUNTA($AK$17:$BB$17)),MATCH($F487,$F$19:$F$24,0),MATCH(AM$17,$AK$17:$BB$17,0))*INDEX($10:$13,MATCH($O487,$R$10:$R$13,0),COLUMN())</f>
        <v>2.4294133709999998E-4</v>
      </c>
      <c r="AN487" s="1050" cm="1">
        <f t="array" aca="1" ref="AN487" ca="1">INDEX(OFFSET($AK$19,MATCH($B487,$B$19:$B$150,0)-1,0,COUNTA($B$19:$B$24),COUNTA($AK$17:$BB$17)),MATCH($F487,$F$19:$F$24,0),MATCH(AN$17,$AK$17:$BB$17,0))*INDEX($10:$13,MATCH($O487,$R$10:$R$13,0),COLUMN())</f>
        <v>3.2607282120000001E-3</v>
      </c>
      <c r="AO487" s="1050" cm="1">
        <f t="array" aca="1" ref="AO487" ca="1">INDEX(OFFSET($AK$19,MATCH($B487,$B$19:$B$150,0)-1,0,COUNTA($B$19:$B$24),COUNTA($AK$17:$BB$17)),MATCH($F487,$F$19:$F$24,0),MATCH(AO$17,$AK$17:$BB$17,0))*INDEX($10:$13,MATCH($O487,$R$10:$R$13,0),COLUMN())</f>
        <v>0.10777529559999999</v>
      </c>
      <c r="AP487" s="1050" cm="1">
        <f t="array" aca="1" ref="AP487" ca="1">INDEX(OFFSET($AK$19,MATCH($B487,$B$19:$B$150,0)-1,0,COUNTA($B$19:$B$24),COUNTA($AK$17:$BB$17)),MATCH($F487,$F$19:$F$24,0),MATCH(AP$17,$AK$17:$BB$17,0))*INDEX($10:$13,MATCH($O487,$R$10:$R$13,0),COLUMN())</f>
        <v>1.2396012138E-2</v>
      </c>
      <c r="AQ487" s="1050" cm="1">
        <f t="array" aca="1" ref="AQ487" ca="1">INDEX(OFFSET($AK$19,MATCH($B487,$B$19:$B$150,0)-1,0,COUNTA($B$19:$B$24),COUNTA($AK$17:$BB$17)),MATCH($F487,$F$19:$F$24,0),MATCH(AQ$17,$AK$17:$BB$17,0))*INDEX($10:$13,MATCH($O487,$R$10:$R$13,0),COLUMN())</f>
        <v>1.2107731499999999E-4</v>
      </c>
      <c r="AR487" s="1050" cm="1">
        <f t="array" aca="1" ref="AR487" ca="1">INDEX(OFFSET($AK$19,MATCH($B487,$B$19:$B$150,0)-1,0,COUNTA($B$19:$B$24),COUNTA($AK$17:$BB$17)),MATCH($F487,$F$19:$F$24,0),MATCH(AR$17,$AK$17:$BB$17,0))*INDEX($10:$13,MATCH($O487,$R$10:$R$13,0),COLUMN())</f>
        <v>4.9703385559999994E-2</v>
      </c>
      <c r="AS487" s="1050" cm="1">
        <f t="array" aca="1" ref="AS487" ca="1">INDEX(OFFSET($AK$19,MATCH($B487,$B$19:$B$150,0)-1,0,COUNTA($B$19:$B$24),COUNTA($AK$17:$BB$17)),MATCH($F487,$F$19:$F$24,0),MATCH(AS$17,$AK$17:$BB$17,0))*INDEX($10:$13,MATCH($O487,$R$10:$R$13,0),COLUMN())</f>
        <v>1.526358483E-3</v>
      </c>
      <c r="AT487" s="1050" cm="1">
        <f t="array" aca="1" ref="AT487" ca="1">INDEX(OFFSET($AK$19,MATCH($B487,$B$19:$B$150,0)-1,0,COUNTA($B$19:$B$24),COUNTA($AK$17:$BB$17)),MATCH($F487,$F$19:$F$24,0),MATCH(AT$17,$AK$17:$BB$17,0))*INDEX($10:$13,MATCH($O487,$R$10:$R$13,0),COLUMN())</f>
        <v>3.6307723225000004E-6</v>
      </c>
      <c r="AU487" s="1050" cm="1">
        <f t="array" aca="1" ref="AU487" ca="1">INDEX(OFFSET($AK$19,MATCH($B487,$B$19:$B$150,0)-1,0,COUNTA($B$19:$B$24),COUNTA($AK$17:$BB$17)),MATCH($F487,$F$19:$F$24,0),MATCH(AU$17,$AK$17:$BB$17,0))*INDEX($10:$13,MATCH($O487,$R$10:$R$13,0),COLUMN())</f>
        <v>7.0269773279999995E-7</v>
      </c>
      <c r="AV487" s="1050" cm="1">
        <f t="array" aca="1" ref="AV487" ca="1">INDEX(OFFSET($AK$19,MATCH($B487,$B$19:$B$150,0)-1,0,COUNTA($B$19:$B$24),COUNTA($AK$17:$BB$17)),MATCH($F487,$F$19:$F$24,0),MATCH(AV$17,$AK$17:$BB$17,0))*INDEX($10:$13,MATCH($O487,$R$10:$R$13,0),COLUMN())</f>
        <v>1.5523938524999999E-2</v>
      </c>
      <c r="AW487" s="1050" cm="1">
        <f t="array" aca="1" ref="AW487" ca="1">INDEX(OFFSET($AK$19,MATCH($B487,$B$19:$B$150,0)-1,0,COUNTA($B$19:$B$24),COUNTA($AK$17:$BB$17)),MATCH($F487,$F$19:$F$24,0),MATCH(AW$17,$AK$17:$BB$17,0))*INDEX($10:$13,MATCH($O487,$R$10:$R$13,0),COLUMN())</f>
        <v>0.24854019464999999</v>
      </c>
      <c r="AX487" s="1050" cm="1">
        <f t="array" aca="1" ref="AX487" ca="1">INDEX(OFFSET($AK$19,MATCH($B487,$B$19:$B$150,0)-1,0,COUNTA($B$19:$B$24),COUNTA($AK$17:$BB$17)),MATCH($F487,$F$19:$F$24,0),MATCH(AX$17,$AK$17:$BB$17,0))*INDEX($10:$13,MATCH($O487,$R$10:$R$13,0),COLUMN())</f>
        <v>7.1493312150000003E-8</v>
      </c>
      <c r="AY487" s="1050" cm="1">
        <f t="array" aca="1" ref="AY487" ca="1">INDEX(OFFSET($AK$19,MATCH($B487,$B$19:$B$150,0)-1,0,COUNTA($B$19:$B$24),COUNTA($AK$17:$BB$17)),MATCH($F487,$F$19:$F$24,0),MATCH(AY$17,$AK$17:$BB$17,0))*INDEX($10:$13,MATCH($O487,$R$10:$R$13,0),COLUMN())</f>
        <v>-1.8425673337499996E-9</v>
      </c>
      <c r="AZ487" s="1050" cm="1">
        <f t="array" aca="1" ref="AZ487" ca="1">INDEX(OFFSET($AK$19,MATCH($B487,$B$19:$B$150,0)-1,0,COUNTA($B$19:$B$24),COUNTA($AK$17:$BB$17)),MATCH($F487,$F$19:$F$24,0),MATCH(AZ$17,$AK$17:$BB$17,0))*INDEX($10:$13,MATCH($O487,$R$10:$R$13,0),COLUMN())</f>
        <v>0</v>
      </c>
      <c r="BA487" s="1050" cm="1">
        <f t="array" aca="1" ref="BA487" ca="1">INDEX(OFFSET($AK$19,MATCH($B487,$B$19:$B$150,0)-1,0,COUNTA($B$19:$B$24),COUNTA($AK$17:$BB$17)),MATCH($F487,$F$19:$F$24,0),MATCH(BA$17,$AK$17:$BB$17,0))*INDEX($10:$13,MATCH($O487,$R$10:$R$13,0),COLUMN())</f>
        <v>0</v>
      </c>
      <c r="BB487" s="1051" cm="1">
        <f t="array" aca="1" ref="BB487" ca="1">INDEX(OFFSET($AK$19,MATCH($B487,$B$19:$B$150,0)-1,0,COUNTA($B$19:$B$24),COUNTA($AK$17:$BB$17)),MATCH($F487,$F$19:$F$24,0),MATCH(BB$17,$AK$17:$BB$17,0))*INDEX($10:$13,MATCH($O487,$R$10:$R$13,0),COLUMN())</f>
        <v>0</v>
      </c>
      <c r="BC487" s="1053">
        <f t="shared" ca="1" si="179"/>
        <v>0.24854026430074483</v>
      </c>
      <c r="BE487" s="1"/>
      <c r="BF487" s="1"/>
      <c r="BG487" s="1"/>
      <c r="BH487" s="1"/>
      <c r="BI487" s="1"/>
      <c r="BJ487" s="1"/>
      <c r="BK487" s="1"/>
      <c r="BL487" s="1"/>
      <c r="BM487" s="1"/>
      <c r="BN487" s="1"/>
      <c r="BO487" s="1"/>
      <c r="BP487" s="1"/>
      <c r="BQ487" s="1"/>
      <c r="BR487" s="1"/>
      <c r="BS487" s="1"/>
      <c r="BT487" s="1"/>
      <c r="BU487" s="1"/>
      <c r="BV487" s="1"/>
      <c r="BW487" s="1"/>
      <c r="BX487" s="1"/>
      <c r="BY487" s="1"/>
      <c r="BZ487" s="1"/>
    </row>
    <row r="488" spans="2:78" ht="12" customHeight="1" outlineLevel="1" x14ac:dyDescent="0.25">
      <c r="B488" s="104" t="s">
        <v>107</v>
      </c>
      <c r="C488" s="104" t="s">
        <v>121</v>
      </c>
      <c r="D488" s="2" t="s">
        <v>143</v>
      </c>
      <c r="E488" s="2" t="s">
        <v>144</v>
      </c>
      <c r="F488" s="105" t="s">
        <v>96</v>
      </c>
      <c r="G488" s="27" t="s">
        <v>1582</v>
      </c>
      <c r="H488" s="106" t="s">
        <v>128</v>
      </c>
      <c r="I488" s="107" t="s">
        <v>1577</v>
      </c>
      <c r="J488" s="147">
        <v>5.9321289200000002</v>
      </c>
      <c r="K488" s="148">
        <v>3</v>
      </c>
      <c r="L488" s="149">
        <f t="shared" ca="1" si="177"/>
        <v>0.19330569349381785</v>
      </c>
      <c r="M488" s="148">
        <f t="shared" ca="1" si="178"/>
        <v>3.5799170804814535</v>
      </c>
      <c r="N488" s="148">
        <f t="shared" ca="1" si="180"/>
        <v>0.57991708048145352</v>
      </c>
      <c r="O488" s="1062" t="s">
        <v>1584</v>
      </c>
      <c r="P488" s="104"/>
      <c r="R488" s="119"/>
      <c r="S488" s="1072"/>
      <c r="T488" s="1072"/>
      <c r="U488" s="1072"/>
      <c r="V488" s="1072"/>
      <c r="W488" s="1072"/>
      <c r="X488" s="1072"/>
      <c r="Y488" s="1072"/>
      <c r="Z488" s="1072"/>
      <c r="AA488" s="1072"/>
      <c r="AB488" s="1072"/>
      <c r="AC488" s="1072"/>
      <c r="AD488" s="1072"/>
      <c r="AE488" s="1072"/>
      <c r="AF488" s="1072"/>
      <c r="AG488" s="1072"/>
      <c r="AH488" s="1072"/>
      <c r="AI488" s="1072"/>
      <c r="AJ488" s="1073"/>
      <c r="AK488" s="1052" cm="1">
        <f t="array" aca="1" ref="AK488" ca="1">INDEX(OFFSET($AK$19,MATCH($B488,$B$19:$B$150,0)-1,0,COUNTA($B$19:$B$24),COUNTA($AK$17:$BB$17)),MATCH($F488,$F$19:$F$24,0),MATCH(AK$17,$AK$17:$BB$17,0))*INDEX($10:$13,MATCH($O488,$R$10:$R$13,0),COLUMN())</f>
        <v>6.2623798142964343E-2</v>
      </c>
      <c r="AL488" s="1050" cm="1">
        <f t="array" aca="1" ref="AL488" ca="1">INDEX(OFFSET($AK$19,MATCH($B488,$B$19:$B$150,0)-1,0,COUNTA($B$19:$B$24),COUNTA($AK$17:$BB$17)),MATCH($F488,$F$19:$F$24,0),MATCH(AL$17,$AK$17:$BB$17,0))*INDEX($10:$13,MATCH($O488,$R$10:$R$13,0),COLUMN())</f>
        <v>1.4855818900000002E-7</v>
      </c>
      <c r="AM488" s="1050" cm="1">
        <f t="array" aca="1" ref="AM488" ca="1">INDEX(OFFSET($AK$19,MATCH($B488,$B$19:$B$150,0)-1,0,COUNTA($B$19:$B$24),COUNTA($AK$17:$BB$17)),MATCH($F488,$F$19:$F$24,0),MATCH(AM$17,$AK$17:$BB$17,0))*INDEX($10:$13,MATCH($O488,$R$10:$R$13,0),COLUMN())</f>
        <v>2.4407230715999998E-4</v>
      </c>
      <c r="AN488" s="1050" cm="1">
        <f t="array" aca="1" ref="AN488" ca="1">INDEX(OFFSET($AK$19,MATCH($B488,$B$19:$B$150,0)-1,0,COUNTA($B$19:$B$24),COUNTA($AK$17:$BB$17)),MATCH($F488,$F$19:$F$24,0),MATCH(AN$17,$AK$17:$BB$17,0))*INDEX($10:$13,MATCH($O488,$R$10:$R$13,0),COLUMN())</f>
        <v>3.3962380200000001E-3</v>
      </c>
      <c r="AO488" s="1050" cm="1">
        <f t="array" aca="1" ref="AO488" ca="1">INDEX(OFFSET($AK$19,MATCH($B488,$B$19:$B$150,0)-1,0,COUNTA($B$19:$B$24),COUNTA($AK$17:$BB$17)),MATCH($F488,$F$19:$F$24,0),MATCH(AO$17,$AK$17:$BB$17,0))*INDEX($10:$13,MATCH($O488,$R$10:$R$13,0),COLUMN())</f>
        <v>0.15290964360000001</v>
      </c>
      <c r="AP488" s="1050" cm="1">
        <f t="array" aca="1" ref="AP488" ca="1">INDEX(OFFSET($AK$19,MATCH($B488,$B$19:$B$150,0)-1,0,COUNTA($B$19:$B$24),COUNTA($AK$17:$BB$17)),MATCH($F488,$F$19:$F$24,0),MATCH(AP$17,$AK$17:$BB$17,0))*INDEX($10:$13,MATCH($O488,$R$10:$R$13,0),COLUMN())</f>
        <v>1.8781602168000001E-2</v>
      </c>
      <c r="AQ488" s="1050" cm="1">
        <f t="array" aca="1" ref="AQ488" ca="1">INDEX(OFFSET($AK$19,MATCH($B488,$B$19:$B$150,0)-1,0,COUNTA($B$19:$B$24),COUNTA($AK$17:$BB$17)),MATCH($F488,$F$19:$F$24,0),MATCH(AQ$17,$AK$17:$BB$17,0))*INDEX($10:$13,MATCH($O488,$R$10:$R$13,0),COLUMN())</f>
        <v>1.855200125E-4</v>
      </c>
      <c r="AR488" s="1050" cm="1">
        <f t="array" aca="1" ref="AR488" ca="1">INDEX(OFFSET($AK$19,MATCH($B488,$B$19:$B$150,0)-1,0,COUNTA($B$19:$B$24),COUNTA($AK$17:$BB$17)),MATCH($F488,$F$19:$F$24,0),MATCH(AR$17,$AK$17:$BB$17,0))*INDEX($10:$13,MATCH($O488,$R$10:$R$13,0),COLUMN())</f>
        <v>6.5790236869999991E-2</v>
      </c>
      <c r="AS488" s="1050" cm="1">
        <f t="array" aca="1" ref="AS488" ca="1">INDEX(OFFSET($AK$19,MATCH($B488,$B$19:$B$150,0)-1,0,COUNTA($B$19:$B$24),COUNTA($AK$17:$BB$17)),MATCH($F488,$F$19:$F$24,0),MATCH(AS$17,$AK$17:$BB$17,0))*INDEX($10:$13,MATCH($O488,$R$10:$R$13,0),COLUMN())</f>
        <v>2.503089108E-3</v>
      </c>
      <c r="AT488" s="1050" cm="1">
        <f t="array" aca="1" ref="AT488" ca="1">INDEX(OFFSET($AK$19,MATCH($B488,$B$19:$B$150,0)-1,0,COUNTA($B$19:$B$24),COUNTA($AK$17:$BB$17)),MATCH($F488,$F$19:$F$24,0),MATCH(AT$17,$AK$17:$BB$17,0))*INDEX($10:$13,MATCH($O488,$R$10:$R$13,0),COLUMN())</f>
        <v>4.0686071395000002E-6</v>
      </c>
      <c r="AU488" s="1050" cm="1">
        <f t="array" aca="1" ref="AU488" ca="1">INDEX(OFFSET($AK$19,MATCH($B488,$B$19:$B$150,0)-1,0,COUNTA($B$19:$B$24),COUNTA($AK$17:$BB$17)),MATCH($F488,$F$19:$F$24,0),MATCH(AU$17,$AK$17:$BB$17,0))*INDEX($10:$13,MATCH($O488,$R$10:$R$13,0),COLUMN())</f>
        <v>7.6446175584000005E-7</v>
      </c>
      <c r="AV488" s="1050" cm="1">
        <f t="array" aca="1" ref="AV488" ca="1">INDEX(OFFSET($AK$19,MATCH($B488,$B$19:$B$150,0)-1,0,COUNTA($B$19:$B$24),COUNTA($AK$17:$BB$17)),MATCH($F488,$F$19:$F$24,0),MATCH(AV$17,$AK$17:$BB$17,0))*INDEX($10:$13,MATCH($O488,$R$10:$R$13,0),COLUMN())</f>
        <v>2.4937634324999999E-2</v>
      </c>
      <c r="AW488" s="1050" cm="1">
        <f t="array" aca="1" ref="AW488" ca="1">INDEX(OFFSET($AK$19,MATCH($B488,$B$19:$B$150,0)-1,0,COUNTA($B$19:$B$24),COUNTA($AK$17:$BB$17)),MATCH($F488,$F$19:$F$24,0),MATCH(AW$17,$AK$17:$BB$17,0))*INDEX($10:$13,MATCH($O488,$R$10:$R$13,0),COLUMN())</f>
        <v>0.24854019464999999</v>
      </c>
      <c r="AX488" s="1050" cm="1">
        <f t="array" aca="1" ref="AX488" ca="1">INDEX(OFFSET($AK$19,MATCH($B488,$B$19:$B$150,0)-1,0,COUNTA($B$19:$B$24),COUNTA($AK$17:$BB$17)),MATCH($F488,$F$19:$F$24,0),MATCH(AX$17,$AK$17:$BB$17,0))*INDEX($10:$13,MATCH($O488,$R$10:$R$13,0),COLUMN())</f>
        <v>7.1493312150000003E-8</v>
      </c>
      <c r="AY488" s="1050" cm="1">
        <f t="array" aca="1" ref="AY488" ca="1">INDEX(OFFSET($AK$19,MATCH($B488,$B$19:$B$150,0)-1,0,COUNTA($B$19:$B$24),COUNTA($AK$17:$BB$17)),MATCH($F488,$F$19:$F$24,0),MATCH(AY$17,$AK$17:$BB$17,0))*INDEX($10:$13,MATCH($O488,$R$10:$R$13,0),COLUMN())</f>
        <v>-1.8425673337499996E-9</v>
      </c>
      <c r="AZ488" s="1050" cm="1">
        <f t="array" aca="1" ref="AZ488" ca="1">INDEX(OFFSET($AK$19,MATCH($B488,$B$19:$B$150,0)-1,0,COUNTA($B$19:$B$24),COUNTA($AK$17:$BB$17)),MATCH($F488,$F$19:$F$24,0),MATCH(AZ$17,$AK$17:$BB$17,0))*INDEX($10:$13,MATCH($O488,$R$10:$R$13,0),COLUMN())</f>
        <v>0</v>
      </c>
      <c r="BA488" s="1050" cm="1">
        <f t="array" aca="1" ref="BA488" ca="1">INDEX(OFFSET($AK$19,MATCH($B488,$B$19:$B$150,0)-1,0,COUNTA($B$19:$B$24),COUNTA($AK$17:$BB$17)),MATCH($F488,$F$19:$F$24,0),MATCH(BA$17,$AK$17:$BB$17,0))*INDEX($10:$13,MATCH($O488,$R$10:$R$13,0),COLUMN())</f>
        <v>0</v>
      </c>
      <c r="BB488" s="1051" cm="1">
        <f t="array" aca="1" ref="BB488" ca="1">INDEX(OFFSET($AK$19,MATCH($B488,$B$19:$B$150,0)-1,0,COUNTA($B$19:$B$24),COUNTA($AK$17:$BB$17)),MATCH($F488,$F$19:$F$24,0),MATCH(BB$17,$AK$17:$BB$17,0))*INDEX($10:$13,MATCH($O488,$R$10:$R$13,0),COLUMN())</f>
        <v>0</v>
      </c>
      <c r="BC488" s="1053">
        <f t="shared" ca="1" si="179"/>
        <v>0.24854026430074483</v>
      </c>
      <c r="BE488" s="1"/>
      <c r="BF488" s="1"/>
      <c r="BG488" s="1"/>
      <c r="BH488" s="1"/>
      <c r="BI488" s="1"/>
      <c r="BJ488" s="1"/>
      <c r="BK488" s="1"/>
      <c r="BL488" s="1"/>
      <c r="BM488" s="1"/>
      <c r="BN488" s="1"/>
      <c r="BO488" s="1"/>
      <c r="BP488" s="1"/>
      <c r="BQ488" s="1"/>
      <c r="BR488" s="1"/>
      <c r="BS488" s="1"/>
      <c r="BT488" s="1"/>
      <c r="BU488" s="1"/>
      <c r="BV488" s="1"/>
      <c r="BW488" s="1"/>
      <c r="BX488" s="1"/>
      <c r="BY488" s="1"/>
      <c r="BZ488" s="1"/>
    </row>
    <row r="489" spans="2:78" ht="12" customHeight="1" outlineLevel="1" x14ac:dyDescent="0.25">
      <c r="B489" s="88" t="s">
        <v>108</v>
      </c>
      <c r="C489" s="88" t="s">
        <v>121</v>
      </c>
      <c r="D489" s="89" t="s">
        <v>143</v>
      </c>
      <c r="E489" s="89" t="s">
        <v>145</v>
      </c>
      <c r="F489" s="90" t="s">
        <v>92</v>
      </c>
      <c r="G489" s="18" t="s">
        <v>126</v>
      </c>
      <c r="H489" s="91" t="s">
        <v>127</v>
      </c>
      <c r="I489" s="92" t="s">
        <v>127</v>
      </c>
      <c r="J489" s="142">
        <v>5.0812675600000006</v>
      </c>
      <c r="K489" s="143">
        <v>0.7434325684016676</v>
      </c>
      <c r="L489" s="144">
        <f t="shared" ca="1" si="177"/>
        <v>0.97877399020274181</v>
      </c>
      <c r="M489" s="143">
        <f t="shared" ca="1" si="178"/>
        <v>1.4710850298228406</v>
      </c>
      <c r="N489" s="143">
        <f t="shared" ca="1" si="180"/>
        <v>0.72765246142117301</v>
      </c>
      <c r="O489" s="1063" t="s">
        <v>1584</v>
      </c>
      <c r="P489" s="88"/>
      <c r="Q489" s="89"/>
      <c r="R489" s="150"/>
      <c r="S489" s="1070"/>
      <c r="T489" s="1070"/>
      <c r="U489" s="1070"/>
      <c r="V489" s="1070"/>
      <c r="W489" s="1070"/>
      <c r="X489" s="1070"/>
      <c r="Y489" s="1070"/>
      <c r="Z489" s="1070"/>
      <c r="AA489" s="1070"/>
      <c r="AB489" s="1070"/>
      <c r="AC489" s="1070"/>
      <c r="AD489" s="1070"/>
      <c r="AE489" s="1070"/>
      <c r="AF489" s="1070"/>
      <c r="AG489" s="1070"/>
      <c r="AH489" s="1070"/>
      <c r="AI489" s="1070"/>
      <c r="AJ489" s="1071"/>
      <c r="AK489" s="1048" cm="1">
        <f t="array" aca="1" ref="AK489" ca="1">INDEX(OFFSET($AK$19,MATCH($B489,$B$19:$B$150,0)-1,0,COUNTA($B$19:$B$24),COUNTA($AK$17:$BB$17)),MATCH($F489,$F$19:$F$24,0),MATCH(AK$17,$AK$17:$BB$17,0))*INDEX($10:$13,MATCH($O489,$R$10:$R$13,0),COLUMN())</f>
        <v>0.11633679291130804</v>
      </c>
      <c r="AL489" s="1046" cm="1">
        <f t="array" aca="1" ref="AL489" ca="1">INDEX(OFFSET($AK$19,MATCH($B489,$B$19:$B$150,0)-1,0,COUNTA($B$19:$B$24),COUNTA($AK$17:$BB$17)),MATCH($F489,$F$19:$F$24,0),MATCH(AL$17,$AK$17:$BB$17,0))*INDEX($10:$13,MATCH($O489,$R$10:$R$13,0),COLUMN())</f>
        <v>3.7080312620000001E-7</v>
      </c>
      <c r="AM489" s="1046" cm="1">
        <f t="array" aca="1" ref="AM489" ca="1">INDEX(OFFSET($AK$19,MATCH($B489,$B$19:$B$150,0)-1,0,COUNTA($B$19:$B$24),COUNTA($AK$17:$BB$17)),MATCH($F489,$F$19:$F$24,0),MATCH(AM$17,$AK$17:$BB$17,0))*INDEX($10:$13,MATCH($O489,$R$10:$R$13,0),COLUMN())</f>
        <v>6.2584157790000002E-4</v>
      </c>
      <c r="AN489" s="1046" cm="1">
        <f t="array" aca="1" ref="AN489" ca="1">INDEX(OFFSET($AK$19,MATCH($B489,$B$19:$B$150,0)-1,0,COUNTA($B$19:$B$24),COUNTA($AK$17:$BB$17)),MATCH($F489,$F$19:$F$24,0),MATCH(AN$17,$AK$17:$BB$17,0))*INDEX($10:$13,MATCH($O489,$R$10:$R$13,0),COLUMN())</f>
        <v>3.0560163479999999E-3</v>
      </c>
      <c r="AO489" s="1046" cm="1">
        <f t="array" aca="1" ref="AO489" ca="1">INDEX(OFFSET($AK$19,MATCH($B489,$B$19:$B$150,0)-1,0,COUNTA($B$19:$B$24),COUNTA($AK$17:$BB$17)),MATCH($F489,$F$19:$F$24,0),MATCH(AO$17,$AK$17:$BB$17,0))*INDEX($10:$13,MATCH($O489,$R$10:$R$13,0),COLUMN())</f>
        <v>0.14007348319999999</v>
      </c>
      <c r="AP489" s="1046" cm="1">
        <f t="array" aca="1" ref="AP489" ca="1">INDEX(OFFSET($AK$19,MATCH($B489,$B$19:$B$150,0)-1,0,COUNTA($B$19:$B$24),COUNTA($AK$17:$BB$17)),MATCH($F489,$F$19:$F$24,0),MATCH(AP$17,$AK$17:$BB$17,0))*INDEX($10:$13,MATCH($O489,$R$10:$R$13,0),COLUMN())</f>
        <v>1.6820939272000002E-2</v>
      </c>
      <c r="AQ489" s="1046" cm="1">
        <f t="array" aca="1" ref="AQ489" ca="1">INDEX(OFFSET($AK$19,MATCH($B489,$B$19:$B$150,0)-1,0,COUNTA($B$19:$B$24),COUNTA($AK$17:$BB$17)),MATCH($F489,$F$19:$F$24,0),MATCH(AQ$17,$AK$17:$BB$17,0))*INDEX($10:$13,MATCH($O489,$R$10:$R$13,0),COLUMN())</f>
        <v>5.0525182500000003E-4</v>
      </c>
      <c r="AR489" s="1046" cm="1">
        <f t="array" aca="1" ref="AR489" ca="1">INDEX(OFFSET($AK$19,MATCH($B489,$B$19:$B$150,0)-1,0,COUNTA($B$19:$B$24),COUNTA($AK$17:$BB$17)),MATCH($F489,$F$19:$F$24,0),MATCH(AR$17,$AK$17:$BB$17,0))*INDEX($10:$13,MATCH($O489,$R$10:$R$13,0),COLUMN())</f>
        <v>9.4670931540000003E-2</v>
      </c>
      <c r="AS489" s="1046" cm="1">
        <f t="array" aca="1" ref="AS489" ca="1">INDEX(OFFSET($AK$19,MATCH($B489,$B$19:$B$150,0)-1,0,COUNTA($B$19:$B$24),COUNTA($AK$17:$BB$17)),MATCH($F489,$F$19:$F$24,0),MATCH(AS$17,$AK$17:$BB$17,0))*INDEX($10:$13,MATCH($O489,$R$10:$R$13,0),COLUMN())</f>
        <v>0.11879697959999999</v>
      </c>
      <c r="AT489" s="1046" cm="1">
        <f t="array" aca="1" ref="AT489" ca="1">INDEX(OFFSET($AK$19,MATCH($B489,$B$19:$B$150,0)-1,0,COUNTA($B$19:$B$24),COUNTA($AK$17:$BB$17)),MATCH($F489,$F$19:$F$24,0),MATCH(AT$17,$AK$17:$BB$17,0))*INDEX($10:$13,MATCH($O489,$R$10:$R$13,0),COLUMN())</f>
        <v>1.3269550530000001E-4</v>
      </c>
      <c r="AU489" s="1046" cm="1">
        <f t="array" aca="1" ref="AU489" ca="1">INDEX(OFFSET($AK$19,MATCH($B489,$B$19:$B$150,0)-1,0,COUNTA($B$19:$B$24),COUNTA($AK$17:$BB$17)),MATCH($F489,$F$19:$F$24,0),MATCH(AU$17,$AK$17:$BB$17,0))*INDEX($10:$13,MATCH($O489,$R$10:$R$13,0),COLUMN())</f>
        <v>9.0376805792000013E-6</v>
      </c>
      <c r="AV489" s="1046" cm="1">
        <f t="array" aca="1" ref="AV489" ca="1">INDEX(OFFSET($AK$19,MATCH($B489,$B$19:$B$150,0)-1,0,COUNTA($B$19:$B$24),COUNTA($AK$17:$BB$17)),MATCH($F489,$F$19:$F$24,0),MATCH(AV$17,$AK$17:$BB$17,0))*INDEX($10:$13,MATCH($O489,$R$10:$R$13,0),COLUMN())</f>
        <v>4.0916808324999998E-2</v>
      </c>
      <c r="AW489" s="1046" cm="1">
        <f t="array" aca="1" ref="AW489" ca="1">INDEX(OFFSET($AK$19,MATCH($B489,$B$19:$B$150,0)-1,0,COUNTA($B$19:$B$24),COUNTA($AK$17:$BB$17)),MATCH($F489,$F$19:$F$24,0),MATCH(AW$17,$AK$17:$BB$17,0))*INDEX($10:$13,MATCH($O489,$R$10:$R$13,0),COLUMN())</f>
        <v>0.19570677779999998</v>
      </c>
      <c r="AX489" s="1046" cm="1">
        <f t="array" aca="1" ref="AX489" ca="1">INDEX(OFFSET($AK$19,MATCH($B489,$B$19:$B$150,0)-1,0,COUNTA($B$19:$B$24),COUNTA($AK$17:$BB$17)),MATCH($F489,$F$19:$F$24,0),MATCH(AX$17,$AK$17:$BB$17,0))*INDEX($10:$13,MATCH($O489,$R$10:$R$13,0),COLUMN())</f>
        <v>5.50452639E-7</v>
      </c>
      <c r="AY489" s="1046" cm="1">
        <f t="array" aca="1" ref="AY489" ca="1">INDEX(OFFSET($AK$19,MATCH($B489,$B$19:$B$150,0)-1,0,COUNTA($B$19:$B$24),COUNTA($AK$17:$BB$17)),MATCH($F489,$F$19:$F$24,0),MATCH(AY$17,$AK$17:$BB$17,0))*INDEX($10:$13,MATCH($O489,$R$10:$R$13,0),COLUMN())</f>
        <v>-1.5419679468749997E-8</v>
      </c>
      <c r="AZ489" s="1046" cm="1">
        <f t="array" aca="1" ref="AZ489" ca="1">INDEX(OFFSET($AK$19,MATCH($B489,$B$19:$B$150,0)-1,0,COUNTA($B$19:$B$24),COUNTA($AK$17:$BB$17)),MATCH($F489,$F$19:$F$24,0),MATCH(AZ$17,$AK$17:$BB$17,0))*INDEX($10:$13,MATCH($O489,$R$10:$R$13,0),COLUMN())</f>
        <v>0</v>
      </c>
      <c r="BA489" s="1046" cm="1">
        <f t="array" aca="1" ref="BA489" ca="1">INDEX(OFFSET($AK$19,MATCH($B489,$B$19:$B$150,0)-1,0,COUNTA($B$19:$B$24),COUNTA($AK$17:$BB$17)),MATCH($F489,$F$19:$F$24,0),MATCH(BA$17,$AK$17:$BB$17,0))*INDEX($10:$13,MATCH($O489,$R$10:$R$13,0),COLUMN())</f>
        <v>0</v>
      </c>
      <c r="BB489" s="1047" cm="1">
        <f t="array" aca="1" ref="BB489" ca="1">INDEX(OFFSET($AK$19,MATCH($B489,$B$19:$B$150,0)-1,0,COUNTA($B$19:$B$24),COUNTA($AK$17:$BB$17)),MATCH($F489,$F$19:$F$24,0),MATCH(BB$17,$AK$17:$BB$17,0))*INDEX($10:$13,MATCH($O489,$R$10:$R$13,0),COLUMN())</f>
        <v>0</v>
      </c>
      <c r="BC489" s="1049">
        <f t="shared" ca="1" si="179"/>
        <v>0.1957073128329595</v>
      </c>
      <c r="BE489" s="1"/>
      <c r="BF489" s="1"/>
      <c r="BG489" s="1"/>
      <c r="BH489" s="1"/>
      <c r="BI489" s="1"/>
      <c r="BJ489" s="1"/>
      <c r="BK489" s="1"/>
      <c r="BL489" s="1"/>
      <c r="BM489" s="1"/>
      <c r="BN489" s="1"/>
      <c r="BO489" s="1"/>
      <c r="BP489" s="1"/>
      <c r="BQ489" s="1"/>
      <c r="BR489" s="1"/>
      <c r="BS489" s="1"/>
      <c r="BT489" s="1"/>
      <c r="BU489" s="1"/>
      <c r="BV489" s="1"/>
      <c r="BW489" s="1"/>
      <c r="BX489" s="1"/>
      <c r="BY489" s="1"/>
      <c r="BZ489" s="1"/>
    </row>
    <row r="490" spans="2:78" ht="12" customHeight="1" outlineLevel="1" x14ac:dyDescent="0.25">
      <c r="B490" s="104" t="s">
        <v>108</v>
      </c>
      <c r="C490" s="104" t="s">
        <v>121</v>
      </c>
      <c r="D490" s="2" t="s">
        <v>143</v>
      </c>
      <c r="E490" s="2" t="s">
        <v>145</v>
      </c>
      <c r="F490" s="105" t="s">
        <v>122</v>
      </c>
      <c r="G490" s="27" t="s">
        <v>1579</v>
      </c>
      <c r="H490" s="106" t="s">
        <v>128</v>
      </c>
      <c r="I490" s="107" t="s">
        <v>129</v>
      </c>
      <c r="J490" s="147">
        <v>5.0812675600000006</v>
      </c>
      <c r="K490" s="148">
        <v>3.5</v>
      </c>
      <c r="L490" s="149">
        <f t="shared" ca="1" si="177"/>
        <v>0.12318258957134831</v>
      </c>
      <c r="M490" s="148">
        <f t="shared" ca="1" si="178"/>
        <v>3.9311390634997192</v>
      </c>
      <c r="N490" s="148">
        <f t="shared" ca="1" si="180"/>
        <v>0.43113906349971909</v>
      </c>
      <c r="O490" s="1062" t="s">
        <v>1584</v>
      </c>
      <c r="P490" s="104"/>
      <c r="R490" s="119"/>
      <c r="S490" s="1072"/>
      <c r="T490" s="1072"/>
      <c r="U490" s="1072"/>
      <c r="V490" s="1072"/>
      <c r="W490" s="1072"/>
      <c r="X490" s="1072"/>
      <c r="Y490" s="1072"/>
      <c r="Z490" s="1072"/>
      <c r="AA490" s="1072"/>
      <c r="AB490" s="1072"/>
      <c r="AC490" s="1072"/>
      <c r="AD490" s="1072"/>
      <c r="AE490" s="1072"/>
      <c r="AF490" s="1072"/>
      <c r="AG490" s="1072"/>
      <c r="AH490" s="1072"/>
      <c r="AI490" s="1072"/>
      <c r="AJ490" s="1073"/>
      <c r="AK490" s="1052" cm="1">
        <f t="array" aca="1" ref="AK490" ca="1">INDEX(OFFSET($AK$19,MATCH($B490,$B$19:$B$150,0)-1,0,COUNTA($B$19:$B$24),COUNTA($AK$17:$BB$17)),MATCH($F490,$F$19:$F$24,0),MATCH(AK$17,$AK$17:$BB$17,0))*INDEX($10:$13,MATCH($O490,$R$10:$R$13,0),COLUMN())</f>
        <v>5.296472409106967E-2</v>
      </c>
      <c r="AL490" s="1050" cm="1">
        <f t="array" aca="1" ref="AL490" ca="1">INDEX(OFFSET($AK$19,MATCH($B490,$B$19:$B$150,0)-1,0,COUNTA($B$19:$B$24),COUNTA($AK$17:$BB$17)),MATCH($F490,$F$19:$F$24,0),MATCH(AL$17,$AK$17:$BB$17,0))*INDEX($10:$13,MATCH($O490,$R$10:$R$13,0),COLUMN())</f>
        <v>1.6516181071000002E-7</v>
      </c>
      <c r="AM490" s="1050" cm="1">
        <f t="array" aca="1" ref="AM490" ca="1">INDEX(OFFSET($AK$19,MATCH($B490,$B$19:$B$150,0)-1,0,COUNTA($B$19:$B$24),COUNTA($AK$17:$BB$17)),MATCH($F490,$F$19:$F$24,0),MATCH(AM$17,$AK$17:$BB$17,0))*INDEX($10:$13,MATCH($O490,$R$10:$R$13,0),COLUMN())</f>
        <v>2.7140666058000001E-4</v>
      </c>
      <c r="AN490" s="1050" cm="1">
        <f t="array" aca="1" ref="AN490" ca="1">INDEX(OFFSET($AK$19,MATCH($B490,$B$19:$B$150,0)-1,0,COUNTA($B$19:$B$24),COUNTA($AK$17:$BB$17)),MATCH($F490,$F$19:$F$24,0),MATCH(AN$17,$AK$17:$BB$17,0))*INDEX($10:$13,MATCH($O490,$R$10:$R$13,0),COLUMN())</f>
        <v>3.4916889E-3</v>
      </c>
      <c r="AO490" s="1050" cm="1">
        <f t="array" aca="1" ref="AO490" ca="1">INDEX(OFFSET($AK$19,MATCH($B490,$B$19:$B$150,0)-1,0,COUNTA($B$19:$B$24),COUNTA($AK$17:$BB$17)),MATCH($F490,$F$19:$F$24,0),MATCH(AO$17,$AK$17:$BB$17,0))*INDEX($10:$13,MATCH($O490,$R$10:$R$13,0),COLUMN())</f>
        <v>5.2224166399999994E-2</v>
      </c>
      <c r="AP490" s="1050" cm="1">
        <f t="array" aca="1" ref="AP490" ca="1">INDEX(OFFSET($AK$19,MATCH($B490,$B$19:$B$150,0)-1,0,COUNTA($B$19:$B$24),COUNTA($AK$17:$BB$17)),MATCH($F490,$F$19:$F$24,0),MATCH(AP$17,$AK$17:$BB$17,0))*INDEX($10:$13,MATCH($O490,$R$10:$R$13,0),COLUMN())</f>
        <v>4.147048435E-3</v>
      </c>
      <c r="AQ490" s="1050" cm="1">
        <f t="array" aca="1" ref="AQ490" ca="1">INDEX(OFFSET($AK$19,MATCH($B490,$B$19:$B$150,0)-1,0,COUNTA($B$19:$B$24),COUNTA($AK$17:$BB$17)),MATCH($F490,$F$19:$F$24,0),MATCH(AQ$17,$AK$17:$BB$17,0))*INDEX($10:$13,MATCH($O490,$R$10:$R$13,0),COLUMN())</f>
        <v>3.4923122500000003E-5</v>
      </c>
      <c r="AR490" s="1050" cm="1">
        <f t="array" aca="1" ref="AR490" ca="1">INDEX(OFFSET($AK$19,MATCH($B490,$B$19:$B$150,0)-1,0,COUNTA($B$19:$B$24),COUNTA($AK$17:$BB$17)),MATCH($F490,$F$19:$F$24,0),MATCH(AR$17,$AK$17:$BB$17,0))*INDEX($10:$13,MATCH($O490,$R$10:$R$13,0),COLUMN())</f>
        <v>2.9364631196E-2</v>
      </c>
      <c r="AS490" s="1050" cm="1">
        <f t="array" aca="1" ref="AS490" ca="1">INDEX(OFFSET($AK$19,MATCH($B490,$B$19:$B$150,0)-1,0,COUNTA($B$19:$B$24),COUNTA($AK$17:$BB$17)),MATCH($F490,$F$19:$F$24,0),MATCH(AS$17,$AK$17:$BB$17,0))*INDEX($10:$13,MATCH($O490,$R$10:$R$13,0),COLUMN())</f>
        <v>2.240488692E-4</v>
      </c>
      <c r="AT490" s="1050" cm="1">
        <f t="array" aca="1" ref="AT490" ca="1">INDEX(OFFSET($AK$19,MATCH($B490,$B$19:$B$150,0)-1,0,COUNTA($B$19:$B$24),COUNTA($AK$17:$BB$17)),MATCH($F490,$F$19:$F$24,0),MATCH(AT$17,$AK$17:$BB$17,0))*INDEX($10:$13,MATCH($O490,$R$10:$R$13,0),COLUMN())</f>
        <v>2.9991517300000005E-6</v>
      </c>
      <c r="AU490" s="1050" cm="1">
        <f t="array" aca="1" ref="AU490" ca="1">INDEX(OFFSET($AK$19,MATCH($B490,$B$19:$B$150,0)-1,0,COUNTA($B$19:$B$24),COUNTA($AK$17:$BB$17)),MATCH($F490,$F$19:$F$24,0),MATCH(AU$17,$AK$17:$BB$17,0))*INDEX($10:$13,MATCH($O490,$R$10:$R$13,0),COLUMN())</f>
        <v>6.2741876128000008E-7</v>
      </c>
      <c r="AV490" s="1050" cm="1">
        <f t="array" aca="1" ref="AV490" ca="1">INDEX(OFFSET($AK$19,MATCH($B490,$B$19:$B$150,0)-1,0,COUNTA($B$19:$B$24),COUNTA($AK$17:$BB$17)),MATCH($F490,$F$19:$F$24,0),MATCH(AV$17,$AK$17:$BB$17,0))*INDEX($10:$13,MATCH($O490,$R$10:$R$13,0),COLUMN())</f>
        <v>4.6783129874999997E-3</v>
      </c>
      <c r="AW490" s="1050" cm="1">
        <f t="array" aca="1" ref="AW490" ca="1">INDEX(OFFSET($AK$19,MATCH($B490,$B$19:$B$150,0)-1,0,COUNTA($B$19:$B$24),COUNTA($AK$17:$BB$17)),MATCH($F490,$F$19:$F$24,0),MATCH(AW$17,$AK$17:$BB$17,0))*INDEX($10:$13,MATCH($O490,$R$10:$R$13,0),COLUMN())</f>
        <v>0.28373424149999998</v>
      </c>
      <c r="AX490" s="1050" cm="1">
        <f t="array" aca="1" ref="AX490" ca="1">INDEX(OFFSET($AK$19,MATCH($B490,$B$19:$B$150,0)-1,0,COUNTA($B$19:$B$24),COUNTA($AK$17:$BB$17)),MATCH($F490,$F$19:$F$24,0),MATCH(AX$17,$AK$17:$BB$17,0))*INDEX($10:$13,MATCH($O490,$R$10:$R$13,0),COLUMN())</f>
        <v>8.1711483449999992E-8</v>
      </c>
      <c r="AY490" s="1050" cm="1">
        <f t="array" aca="1" ref="AY490" ca="1">INDEX(OFFSET($AK$19,MATCH($B490,$B$19:$B$150,0)-1,0,COUNTA($B$19:$B$24),COUNTA($AK$17:$BB$17)),MATCH($F490,$F$19:$F$24,0),MATCH(AY$17,$AK$17:$BB$17,0))*INDEX($10:$13,MATCH($O490,$R$10:$R$13,0),COLUMN())</f>
        <v>-2.1059160018749997E-9</v>
      </c>
      <c r="AZ490" s="1050" cm="1">
        <f t="array" aca="1" ref="AZ490" ca="1">INDEX(OFFSET($AK$19,MATCH($B490,$B$19:$B$150,0)-1,0,COUNTA($B$19:$B$24),COUNTA($AK$17:$BB$17)),MATCH($F490,$F$19:$F$24,0),MATCH(AZ$17,$AK$17:$BB$17,0))*INDEX($10:$13,MATCH($O490,$R$10:$R$13,0),COLUMN())</f>
        <v>0</v>
      </c>
      <c r="BA490" s="1050" cm="1">
        <f t="array" aca="1" ref="BA490" ca="1">INDEX(OFFSET($AK$19,MATCH($B490,$B$19:$B$150,0)-1,0,COUNTA($B$19:$B$24),COUNTA($AK$17:$BB$17)),MATCH($F490,$F$19:$F$24,0),MATCH(BA$17,$AK$17:$BB$17,0))*INDEX($10:$13,MATCH($O490,$R$10:$R$13,0),COLUMN())</f>
        <v>0</v>
      </c>
      <c r="BB490" s="1051" cm="1">
        <f t="array" aca="1" ref="BB490" ca="1">INDEX(OFFSET($AK$19,MATCH($B490,$B$19:$B$150,0)-1,0,COUNTA($B$19:$B$24),COUNTA($AK$17:$BB$17)),MATCH($F490,$F$19:$F$24,0),MATCH(BB$17,$AK$17:$BB$17,0))*INDEX($10:$13,MATCH($O490,$R$10:$R$13,0),COLUMN())</f>
        <v>0</v>
      </c>
      <c r="BC490" s="1053">
        <f t="shared" ca="1" si="179"/>
        <v>0.28373432110556746</v>
      </c>
      <c r="BE490" s="1"/>
      <c r="BF490" s="1"/>
      <c r="BG490" s="1"/>
      <c r="BH490" s="1"/>
      <c r="BI490" s="1"/>
      <c r="BJ490" s="1"/>
      <c r="BK490" s="1"/>
      <c r="BL490" s="1"/>
      <c r="BM490" s="1"/>
      <c r="BN490" s="1"/>
      <c r="BO490" s="1"/>
      <c r="BP490" s="1"/>
      <c r="BQ490" s="1"/>
      <c r="BR490" s="1"/>
      <c r="BS490" s="1"/>
      <c r="BT490" s="1"/>
      <c r="BU490" s="1"/>
      <c r="BV490" s="1"/>
      <c r="BW490" s="1"/>
      <c r="BX490" s="1"/>
      <c r="BY490" s="1"/>
      <c r="BZ490" s="1"/>
    </row>
    <row r="491" spans="2:78" ht="12" customHeight="1" outlineLevel="1" x14ac:dyDescent="0.25">
      <c r="B491" s="104" t="s">
        <v>108</v>
      </c>
      <c r="C491" s="104" t="s">
        <v>121</v>
      </c>
      <c r="D491" s="2" t="s">
        <v>143</v>
      </c>
      <c r="E491" s="2" t="s">
        <v>145</v>
      </c>
      <c r="F491" s="105" t="s">
        <v>93</v>
      </c>
      <c r="G491" s="27" t="s">
        <v>1578</v>
      </c>
      <c r="H491" s="106" t="s">
        <v>130</v>
      </c>
      <c r="I491" s="107" t="s">
        <v>129</v>
      </c>
      <c r="J491" s="147">
        <v>5.0812675600000006</v>
      </c>
      <c r="K491" s="148">
        <v>3.5</v>
      </c>
      <c r="L491" s="149">
        <f t="shared" ca="1" si="177"/>
        <v>0.15346714829626854</v>
      </c>
      <c r="M491" s="148">
        <f t="shared" ca="1" si="178"/>
        <v>4.0371350190369402</v>
      </c>
      <c r="N491" s="148">
        <f t="shared" ca="1" si="180"/>
        <v>0.53713501903693983</v>
      </c>
      <c r="O491" s="1062" t="s">
        <v>1584</v>
      </c>
      <c r="P491" s="104"/>
      <c r="R491" s="119"/>
      <c r="S491" s="1072"/>
      <c r="T491" s="1072"/>
      <c r="U491" s="1072"/>
      <c r="V491" s="1072"/>
      <c r="W491" s="1072"/>
      <c r="X491" s="1072"/>
      <c r="Y491" s="1072"/>
      <c r="Z491" s="1072"/>
      <c r="AA491" s="1072"/>
      <c r="AB491" s="1072"/>
      <c r="AC491" s="1072"/>
      <c r="AD491" s="1072"/>
      <c r="AE491" s="1072"/>
      <c r="AF491" s="1072"/>
      <c r="AG491" s="1072"/>
      <c r="AH491" s="1072"/>
      <c r="AI491" s="1072"/>
      <c r="AJ491" s="1073"/>
      <c r="AK491" s="1052" cm="1">
        <f t="array" aca="1" ref="AK491" ca="1">INDEX(OFFSET($AK$19,MATCH($B491,$B$19:$B$150,0)-1,0,COUNTA($B$19:$B$24),COUNTA($AK$17:$BB$17)),MATCH($F491,$F$19:$F$24,0),MATCH(AK$17,$AK$17:$BB$17,0))*INDEX($10:$13,MATCH($O491,$R$10:$R$13,0),COLUMN())</f>
        <v>6.5952825082468053E-2</v>
      </c>
      <c r="AL491" s="1050" cm="1">
        <f t="array" aca="1" ref="AL491" ca="1">INDEX(OFFSET($AK$19,MATCH($B491,$B$19:$B$150,0)-1,0,COUNTA($B$19:$B$24),COUNTA($AK$17:$BB$17)),MATCH($F491,$F$19:$F$24,0),MATCH(AL$17,$AK$17:$BB$17,0))*INDEX($10:$13,MATCH($O491,$R$10:$R$13,0),COLUMN())</f>
        <v>2.0566307294E-7</v>
      </c>
      <c r="AM491" s="1050" cm="1">
        <f t="array" aca="1" ref="AM491" ca="1">INDEX(OFFSET($AK$19,MATCH($B491,$B$19:$B$150,0)-1,0,COUNTA($B$19:$B$24),COUNTA($AK$17:$BB$17)),MATCH($F491,$F$19:$F$24,0),MATCH(AM$17,$AK$17:$BB$17,0))*INDEX($10:$13,MATCH($O491,$R$10:$R$13,0),COLUMN())</f>
        <v>3.3796146780000003E-4</v>
      </c>
      <c r="AN491" s="1050" cm="1">
        <f t="array" aca="1" ref="AN491" ca="1">INDEX(OFFSET($AK$19,MATCH($B491,$B$19:$B$150,0)-1,0,COUNTA($B$19:$B$24),COUNTA($AK$17:$BB$17)),MATCH($F491,$F$19:$F$24,0),MATCH(AN$17,$AK$17:$BB$17,0))*INDEX($10:$13,MATCH($O491,$R$10:$R$13,0),COLUMN())</f>
        <v>4.3479267719999997E-3</v>
      </c>
      <c r="AO491" s="1050" cm="1">
        <f t="array" aca="1" ref="AO491" ca="1">INDEX(OFFSET($AK$19,MATCH($B491,$B$19:$B$150,0)-1,0,COUNTA($B$19:$B$24),COUNTA($AK$17:$BB$17)),MATCH($F491,$F$19:$F$24,0),MATCH(AO$17,$AK$17:$BB$17,0))*INDEX($10:$13,MATCH($O491,$R$10:$R$13,0),COLUMN())</f>
        <v>6.503066360000001E-2</v>
      </c>
      <c r="AP491" s="1050" cm="1">
        <f t="array" aca="1" ref="AP491" ca="1">INDEX(OFFSET($AK$19,MATCH($B491,$B$19:$B$150,0)-1,0,COUNTA($B$19:$B$24),COUNTA($AK$17:$BB$17)),MATCH($F491,$F$19:$F$24,0),MATCH(AP$17,$AK$17:$BB$17,0))*INDEX($10:$13,MATCH($O491,$R$10:$R$13,0),COLUMN())</f>
        <v>5.1639946904000001E-3</v>
      </c>
      <c r="AQ491" s="1050" cm="1">
        <f t="array" aca="1" ref="AQ491" ca="1">INDEX(OFFSET($AK$19,MATCH($B491,$B$19:$B$150,0)-1,0,COUNTA($B$19:$B$24),COUNTA($AK$17:$BB$17)),MATCH($F491,$F$19:$F$24,0),MATCH(AQ$17,$AK$17:$BB$17,0))*INDEX($10:$13,MATCH($O491,$R$10:$R$13,0),COLUMN())</f>
        <v>4.3487030000000001E-5</v>
      </c>
      <c r="AR491" s="1050" cm="1">
        <f t="array" aca="1" ref="AR491" ca="1">INDEX(OFFSET($AK$19,MATCH($B491,$B$19:$B$150,0)-1,0,COUNTA($B$19:$B$24),COUNTA($AK$17:$BB$17)),MATCH($F491,$F$19:$F$24,0),MATCH(AR$17,$AK$17:$BB$17,0))*INDEX($10:$13,MATCH($O491,$R$10:$R$13,0),COLUMN())</f>
        <v>3.656547668E-2</v>
      </c>
      <c r="AS491" s="1050" cm="1">
        <f t="array" aca="1" ref="AS491" ca="1">INDEX(OFFSET($AK$19,MATCH($B491,$B$19:$B$150,0)-1,0,COUNTA($B$19:$B$24),COUNTA($AK$17:$BB$17)),MATCH($F491,$F$19:$F$24,0),MATCH(AS$17,$AK$17:$BB$17,0))*INDEX($10:$13,MATCH($O491,$R$10:$R$13,0),COLUMN())</f>
        <v>3.0656614949999998E-4</v>
      </c>
      <c r="AT491" s="1050" cm="1">
        <f t="array" aca="1" ref="AT491" ca="1">INDEX(OFFSET($AK$19,MATCH($B491,$B$19:$B$150,0)-1,0,COUNTA($B$19:$B$24),COUNTA($AK$17:$BB$17)),MATCH($F491,$F$19:$F$24,0),MATCH(AT$17,$AK$17:$BB$17,0))*INDEX($10:$13,MATCH($O491,$R$10:$R$13,0),COLUMN())</f>
        <v>3.7447620665000001E-6</v>
      </c>
      <c r="AU491" s="1050" cm="1">
        <f t="array" aca="1" ref="AU491" ca="1">INDEX(OFFSET($AK$19,MATCH($B491,$B$19:$B$150,0)-1,0,COUNTA($B$19:$B$24),COUNTA($AK$17:$BB$17)),MATCH($F491,$F$19:$F$24,0),MATCH(AU$17,$AK$17:$BB$17,0))*INDEX($10:$13,MATCH($O491,$R$10:$R$13,0),COLUMN())</f>
        <v>7.8232555295999999E-7</v>
      </c>
      <c r="AV491" s="1050" cm="1">
        <f t="array" aca="1" ref="AV491" ca="1">INDEX(OFFSET($AK$19,MATCH($B491,$B$19:$B$150,0)-1,0,COUNTA($B$19:$B$24),COUNTA($AK$17:$BB$17)),MATCH($F491,$F$19:$F$24,0),MATCH(AV$17,$AK$17:$BB$17,0))*INDEX($10:$13,MATCH($O491,$R$10:$R$13,0),COLUMN())</f>
        <v>6.0692486874999998E-3</v>
      </c>
      <c r="AW491" s="1050" cm="1">
        <f t="array" aca="1" ref="AW491" ca="1">INDEX(OFFSET($AK$19,MATCH($B491,$B$19:$B$150,0)-1,0,COUNTA($B$19:$B$24),COUNTA($AK$17:$BB$17)),MATCH($F491,$F$19:$F$24,0),MATCH(AW$17,$AK$17:$BB$17,0))*INDEX($10:$13,MATCH($O491,$R$10:$R$13,0),COLUMN())</f>
        <v>0.35331203699999997</v>
      </c>
      <c r="AX491" s="1050" cm="1">
        <f t="array" aca="1" ref="AX491" ca="1">INDEX(OFFSET($AK$19,MATCH($B491,$B$19:$B$150,0)-1,0,COUNTA($B$19:$B$24),COUNTA($AK$17:$BB$17)),MATCH($F491,$F$19:$F$24,0),MATCH(AX$17,$AK$17:$BB$17,0))*INDEX($10:$13,MATCH($O491,$R$10:$R$13,0),COLUMN())</f>
        <v>1.0174891169999999E-7</v>
      </c>
      <c r="AY491" s="1050" cm="1">
        <f t="array" aca="1" ref="AY491" ca="1">INDEX(OFFSET($AK$19,MATCH($B491,$B$19:$B$150,0)-1,0,COUNTA($B$19:$B$24),COUNTA($AK$17:$BB$17)),MATCH($F491,$F$19:$F$24,0),MATCH(AY$17,$AK$17:$BB$17,0))*INDEX($10:$13,MATCH($O491,$R$10:$R$13,0),COLUMN())</f>
        <v>-2.6223323118749998E-9</v>
      </c>
      <c r="AZ491" s="1050" cm="1">
        <f t="array" aca="1" ref="AZ491" ca="1">INDEX(OFFSET($AK$19,MATCH($B491,$B$19:$B$150,0)-1,0,COUNTA($B$19:$B$24),COUNTA($AK$17:$BB$17)),MATCH($F491,$F$19:$F$24,0),MATCH(AZ$17,$AK$17:$BB$17,0))*INDEX($10:$13,MATCH($O491,$R$10:$R$13,0),COLUMN())</f>
        <v>0</v>
      </c>
      <c r="BA491" s="1050" cm="1">
        <f t="array" aca="1" ref="BA491" ca="1">INDEX(OFFSET($AK$19,MATCH($B491,$B$19:$B$150,0)-1,0,COUNTA($B$19:$B$24),COUNTA($AK$17:$BB$17)),MATCH($F491,$F$19:$F$24,0),MATCH(BA$17,$AK$17:$BB$17,0))*INDEX($10:$13,MATCH($O491,$R$10:$R$13,0),COLUMN())</f>
        <v>0</v>
      </c>
      <c r="BB491" s="1051" cm="1">
        <f t="array" aca="1" ref="BB491" ca="1">INDEX(OFFSET($AK$19,MATCH($B491,$B$19:$B$150,0)-1,0,COUNTA($B$19:$B$24),COUNTA($AK$17:$BB$17)),MATCH($F491,$F$19:$F$24,0),MATCH(BB$17,$AK$17:$BB$17,0))*INDEX($10:$13,MATCH($O491,$R$10:$R$13,0),COLUMN())</f>
        <v>0</v>
      </c>
      <c r="BC491" s="1053">
        <f t="shared" ca="1" si="179"/>
        <v>0.35331213612657936</v>
      </c>
      <c r="BE491" s="1"/>
      <c r="BF491" s="1"/>
      <c r="BG491" s="1"/>
      <c r="BH491" s="1"/>
      <c r="BI491" s="1"/>
      <c r="BJ491" s="1"/>
      <c r="BK491" s="1"/>
      <c r="BL491" s="1"/>
      <c r="BM491" s="1"/>
      <c r="BN491" s="1"/>
      <c r="BO491" s="1"/>
      <c r="BP491" s="1"/>
      <c r="BQ491" s="1"/>
      <c r="BR491" s="1"/>
      <c r="BS491" s="1"/>
      <c r="BT491" s="1"/>
      <c r="BU491" s="1"/>
      <c r="BV491" s="1"/>
      <c r="BW491" s="1"/>
      <c r="BX491" s="1"/>
      <c r="BY491" s="1"/>
      <c r="BZ491" s="1"/>
    </row>
    <row r="492" spans="2:78" ht="12" customHeight="1" outlineLevel="1" x14ac:dyDescent="0.25">
      <c r="B492" s="104" t="s">
        <v>108</v>
      </c>
      <c r="C492" s="104" t="s">
        <v>121</v>
      </c>
      <c r="D492" s="2" t="s">
        <v>143</v>
      </c>
      <c r="E492" s="2" t="s">
        <v>145</v>
      </c>
      <c r="F492" s="105" t="s">
        <v>94</v>
      </c>
      <c r="G492" s="27" t="s">
        <v>1580</v>
      </c>
      <c r="H492" s="106" t="s">
        <v>131</v>
      </c>
      <c r="I492" s="107" t="s">
        <v>129</v>
      </c>
      <c r="J492" s="147">
        <v>5.0812675600000006</v>
      </c>
      <c r="K492" s="148">
        <v>3.5</v>
      </c>
      <c r="L492" s="149">
        <f t="shared" ca="1" si="177"/>
        <v>0.10285715942098282</v>
      </c>
      <c r="M492" s="148">
        <f t="shared" ca="1" si="178"/>
        <v>3.8600000579734397</v>
      </c>
      <c r="N492" s="148">
        <f t="shared" ca="1" si="180"/>
        <v>0.36000005797343987</v>
      </c>
      <c r="O492" s="1062" t="s">
        <v>1584</v>
      </c>
      <c r="P492" s="104"/>
      <c r="R492" s="119"/>
      <c r="S492" s="1072"/>
      <c r="T492" s="1072"/>
      <c r="U492" s="1072"/>
      <c r="V492" s="1072"/>
      <c r="W492" s="1072"/>
      <c r="X492" s="1072"/>
      <c r="Y492" s="1072"/>
      <c r="Z492" s="1072"/>
      <c r="AA492" s="1072"/>
      <c r="AB492" s="1072"/>
      <c r="AC492" s="1072"/>
      <c r="AD492" s="1072"/>
      <c r="AE492" s="1072"/>
      <c r="AF492" s="1072"/>
      <c r="AG492" s="1072"/>
      <c r="AH492" s="1072"/>
      <c r="AI492" s="1072"/>
      <c r="AJ492" s="1073"/>
      <c r="AK492" s="1052" cm="1">
        <f t="array" aca="1" ref="AK492" ca="1">INDEX(OFFSET($AK$19,MATCH($B492,$B$19:$B$150,0)-1,0,COUNTA($B$19:$B$24),COUNTA($AK$17:$BB$17)),MATCH($F492,$F$19:$F$24,0),MATCH(AK$17,$AK$17:$BB$17,0))*INDEX($10:$13,MATCH($O492,$R$10:$R$13,0),COLUMN())</f>
        <v>4.4247774641785809E-2</v>
      </c>
      <c r="AL492" s="1050" cm="1">
        <f t="array" aca="1" ref="AL492" ca="1">INDEX(OFFSET($AK$19,MATCH($B492,$B$19:$B$150,0)-1,0,COUNTA($B$19:$B$24),COUNTA($AK$17:$BB$17)),MATCH($F492,$F$19:$F$24,0),MATCH(AL$17,$AK$17:$BB$17,0))*INDEX($10:$13,MATCH($O492,$R$10:$R$13,0),COLUMN())</f>
        <v>1.3797943172000002E-7</v>
      </c>
      <c r="AM492" s="1050" cm="1">
        <f t="array" aca="1" ref="AM492" ca="1">INDEX(OFFSET($AK$19,MATCH($B492,$B$19:$B$150,0)-1,0,COUNTA($B$19:$B$24),COUNTA($AK$17:$BB$17)),MATCH($F492,$F$19:$F$24,0),MATCH(AM$17,$AK$17:$BB$17,0))*INDEX($10:$13,MATCH($O492,$R$10:$R$13,0),COLUMN())</f>
        <v>2.2673847240000001E-4</v>
      </c>
      <c r="AN492" s="1050" cm="1">
        <f t="array" aca="1" ref="AN492" ca="1">INDEX(OFFSET($AK$19,MATCH($B492,$B$19:$B$150,0)-1,0,COUNTA($B$19:$B$24),COUNTA($AK$17:$BB$17)),MATCH($F492,$F$19:$F$24,0),MATCH(AN$17,$AK$17:$BB$17,0))*INDEX($10:$13,MATCH($O492,$R$10:$R$13,0),COLUMN())</f>
        <v>2.9170257480000002E-3</v>
      </c>
      <c r="AO492" s="1050" cm="1">
        <f t="array" aca="1" ref="AO492" ca="1">INDEX(OFFSET($AK$19,MATCH($B492,$B$19:$B$150,0)-1,0,COUNTA($B$19:$B$24),COUNTA($AK$17:$BB$17)),MATCH($F492,$F$19:$F$24,0),MATCH(AO$17,$AK$17:$BB$17,0))*INDEX($10:$13,MATCH($O492,$R$10:$R$13,0),COLUMN())</f>
        <v>4.3629095999999999E-2</v>
      </c>
      <c r="AP492" s="1050" cm="1">
        <f t="array" aca="1" ref="AP492" ca="1">INDEX(OFFSET($AK$19,MATCH($B492,$B$19:$B$150,0)-1,0,COUNTA($B$19:$B$24),COUNTA($AK$17:$BB$17)),MATCH($F492,$F$19:$F$24,0),MATCH(AP$17,$AK$17:$BB$17,0))*INDEX($10:$13,MATCH($O492,$R$10:$R$13,0),COLUMN())</f>
        <v>3.4645259838000002E-3</v>
      </c>
      <c r="AQ492" s="1050" cm="1">
        <f t="array" aca="1" ref="AQ492" ca="1">INDEX(OFFSET($AK$19,MATCH($B492,$B$19:$B$150,0)-1,0,COUNTA($B$19:$B$24),COUNTA($AK$17:$BB$17)),MATCH($F492,$F$19:$F$24,0),MATCH(AQ$17,$AK$17:$BB$17,0))*INDEX($10:$13,MATCH($O492,$R$10:$R$13,0),COLUMN())</f>
        <v>2.9175465E-5</v>
      </c>
      <c r="AR492" s="1050" cm="1">
        <f t="array" aca="1" ref="AR492" ca="1">INDEX(OFFSET($AK$19,MATCH($B492,$B$19:$B$150,0)-1,0,COUNTA($B$19:$B$24),COUNTA($AK$17:$BB$17)),MATCH($F492,$F$19:$F$24,0),MATCH(AR$17,$AK$17:$BB$17,0))*INDEX($10:$13,MATCH($O492,$R$10:$R$13,0),COLUMN())</f>
        <v>2.4531791648999997E-2</v>
      </c>
      <c r="AS492" s="1050" cm="1">
        <f t="array" aca="1" ref="AS492" ca="1">INDEX(OFFSET($AK$19,MATCH($B492,$B$19:$B$150,0)-1,0,COUNTA($B$19:$B$24),COUNTA($AK$17:$BB$17)),MATCH($F492,$F$19:$F$24,0),MATCH(AS$17,$AK$17:$BB$17,0))*INDEX($10:$13,MATCH($O492,$R$10:$R$13,0),COLUMN())</f>
        <v>1.686743253E-4</v>
      </c>
      <c r="AT492" s="1050" cm="1">
        <f t="array" aca="1" ref="AT492" ca="1">INDEX(OFFSET($AK$19,MATCH($B492,$B$19:$B$150,0)-1,0,COUNTA($B$19:$B$24),COUNTA($AK$17:$BB$17)),MATCH($F492,$F$19:$F$24,0),MATCH(AT$17,$AK$17:$BB$17,0))*INDEX($10:$13,MATCH($O492,$R$10:$R$13,0),COLUMN())</f>
        <v>2.4987386724999997E-6</v>
      </c>
      <c r="AU492" s="1050" cm="1">
        <f t="array" aca="1" ref="AU492" ca="1">INDEX(OFFSET($AK$19,MATCH($B492,$B$19:$B$150,0)-1,0,COUNTA($B$19:$B$24),COUNTA($AK$17:$BB$17)),MATCH($F492,$F$19:$F$24,0),MATCH(AU$17,$AK$17:$BB$17,0))*INDEX($10:$13,MATCH($O492,$R$10:$R$13,0),COLUMN())</f>
        <v>5.2345349088E-7</v>
      </c>
      <c r="AV492" s="1050" cm="1">
        <f t="array" aca="1" ref="AV492" ca="1">INDEX(OFFSET($AK$19,MATCH($B492,$B$19:$B$150,0)-1,0,COUNTA($B$19:$B$24),COUNTA($AK$17:$BB$17)),MATCH($F492,$F$19:$F$24,0),MATCH(AV$17,$AK$17:$BB$17,0))*INDEX($10:$13,MATCH($O492,$R$10:$R$13,0),COLUMN())</f>
        <v>3.7448486625E-3</v>
      </c>
      <c r="AW492" s="1050" cm="1">
        <f t="array" aca="1" ref="AW492" ca="1">INDEX(OFFSET($AK$19,MATCH($B492,$B$19:$B$150,0)-1,0,COUNTA($B$19:$B$24),COUNTA($AK$17:$BB$17)),MATCH($F492,$F$19:$F$24,0),MATCH(AW$17,$AK$17:$BB$17,0))*INDEX($10:$13,MATCH($O492,$R$10:$R$13,0),COLUMN())</f>
        <v>0.23703718034999999</v>
      </c>
      <c r="AX492" s="1050" cm="1">
        <f t="array" aca="1" ref="AX492" ca="1">INDEX(OFFSET($AK$19,MATCH($B492,$B$19:$B$150,0)-1,0,COUNTA($B$19:$B$24),COUNTA($AK$17:$BB$17)),MATCH($F492,$F$19:$F$24,0),MATCH(AX$17,$AK$17:$BB$17,0))*INDEX($10:$13,MATCH($O492,$R$10:$R$13,0),COLUMN())</f>
        <v>6.8263382699999995E-8</v>
      </c>
      <c r="AY492" s="1050" cm="1">
        <f t="array" aca="1" ref="AY492" ca="1">INDEX(OFFSET($AK$19,MATCH($B492,$B$19:$B$150,0)-1,0,COUNTA($B$19:$B$24),COUNTA($AK$17:$BB$17)),MATCH($F492,$F$19:$F$24,0),MATCH(AY$17,$AK$17:$BB$17,0))*INDEX($10:$13,MATCH($O492,$R$10:$R$13,0),COLUMN())</f>
        <v>-1.7593237631249999E-9</v>
      </c>
      <c r="AZ492" s="1050" cm="1">
        <f t="array" aca="1" ref="AZ492" ca="1">INDEX(OFFSET($AK$19,MATCH($B492,$B$19:$B$150,0)-1,0,COUNTA($B$19:$B$24),COUNTA($AK$17:$BB$17)),MATCH($F492,$F$19:$F$24,0),MATCH(AZ$17,$AK$17:$BB$17,0))*INDEX($10:$13,MATCH($O492,$R$10:$R$13,0),COLUMN())</f>
        <v>0</v>
      </c>
      <c r="BA492" s="1050" cm="1">
        <f t="array" aca="1" ref="BA492" ca="1">INDEX(OFFSET($AK$19,MATCH($B492,$B$19:$B$150,0)-1,0,COUNTA($B$19:$B$24),COUNTA($AK$17:$BB$17)),MATCH($F492,$F$19:$F$24,0),MATCH(BA$17,$AK$17:$BB$17,0))*INDEX($10:$13,MATCH($O492,$R$10:$R$13,0),COLUMN())</f>
        <v>0</v>
      </c>
      <c r="BB492" s="1051" cm="1">
        <f t="array" aca="1" ref="BB492" ca="1">INDEX(OFFSET($AK$19,MATCH($B492,$B$19:$B$150,0)-1,0,COUNTA($B$19:$B$24),COUNTA($AK$17:$BB$17)),MATCH($F492,$F$19:$F$24,0),MATCH(BB$17,$AK$17:$BB$17,0))*INDEX($10:$13,MATCH($O492,$R$10:$R$13,0),COLUMN())</f>
        <v>0</v>
      </c>
      <c r="BC492" s="1053">
        <f t="shared" ca="1" si="179"/>
        <v>0.23703724685405891</v>
      </c>
      <c r="BE492" s="1"/>
      <c r="BF492" s="1"/>
      <c r="BG492" s="1"/>
      <c r="BH492" s="1"/>
      <c r="BI492" s="1"/>
      <c r="BJ492" s="1"/>
      <c r="BK492" s="1"/>
      <c r="BL492" s="1"/>
      <c r="BM492" s="1"/>
      <c r="BN492" s="1"/>
      <c r="BO492" s="1"/>
      <c r="BP492" s="1"/>
      <c r="BQ492" s="1"/>
      <c r="BR492" s="1"/>
      <c r="BS492" s="1"/>
      <c r="BT492" s="1"/>
      <c r="BU492" s="1"/>
      <c r="BV492" s="1"/>
      <c r="BW492" s="1"/>
      <c r="BX492" s="1"/>
      <c r="BY492" s="1"/>
      <c r="BZ492" s="1"/>
    </row>
    <row r="493" spans="2:78" ht="12" customHeight="1" outlineLevel="1" x14ac:dyDescent="0.25">
      <c r="B493" s="104" t="s">
        <v>108</v>
      </c>
      <c r="C493" s="104" t="s">
        <v>121</v>
      </c>
      <c r="D493" s="2" t="s">
        <v>143</v>
      </c>
      <c r="E493" s="2" t="s">
        <v>145</v>
      </c>
      <c r="F493" s="105" t="s">
        <v>95</v>
      </c>
      <c r="G493" s="27" t="s">
        <v>1581</v>
      </c>
      <c r="H493" s="106" t="s">
        <v>128</v>
      </c>
      <c r="I493" s="107" t="s">
        <v>127</v>
      </c>
      <c r="J493" s="147">
        <v>5.0812675600000006</v>
      </c>
      <c r="K493" s="148">
        <v>3.5</v>
      </c>
      <c r="L493" s="149">
        <f t="shared" ca="1" si="177"/>
        <v>0.16111153127121339</v>
      </c>
      <c r="M493" s="148">
        <f t="shared" ca="1" si="178"/>
        <v>4.063890359449247</v>
      </c>
      <c r="N493" s="148">
        <f t="shared" ca="1" si="180"/>
        <v>0.56389035944924681</v>
      </c>
      <c r="O493" s="1062" t="s">
        <v>1584</v>
      </c>
      <c r="P493" s="104"/>
      <c r="R493" s="119"/>
      <c r="S493" s="1072"/>
      <c r="T493" s="1072"/>
      <c r="U493" s="1072"/>
      <c r="V493" s="1072"/>
      <c r="W493" s="1072"/>
      <c r="X493" s="1072"/>
      <c r="Y493" s="1072"/>
      <c r="Z493" s="1072"/>
      <c r="AA493" s="1072"/>
      <c r="AB493" s="1072"/>
      <c r="AC493" s="1072"/>
      <c r="AD493" s="1072"/>
      <c r="AE493" s="1072"/>
      <c r="AF493" s="1072"/>
      <c r="AG493" s="1072"/>
      <c r="AH493" s="1072"/>
      <c r="AI493" s="1072"/>
      <c r="AJ493" s="1073"/>
      <c r="AK493" s="1052" cm="1">
        <f t="array" aca="1" ref="AK493" ca="1">INDEX(OFFSET($AK$19,MATCH($B493,$B$19:$B$150,0)-1,0,COUNTA($B$19:$B$24),COUNTA($AK$17:$BB$17)),MATCH($F493,$F$19:$F$24,0),MATCH(AK$17,$AK$17:$BB$17,0))*INDEX($10:$13,MATCH($O493,$R$10:$R$13,0),COLUMN())</f>
        <v>6.3400366250011386E-2</v>
      </c>
      <c r="AL493" s="1050" cm="1">
        <f t="array" aca="1" ref="AL493" ca="1">INDEX(OFFSET($AK$19,MATCH($B493,$B$19:$B$150,0)-1,0,COUNTA($B$19:$B$24),COUNTA($AK$17:$BB$17)),MATCH($F493,$F$19:$F$24,0),MATCH(AL$17,$AK$17:$BB$17,0))*INDEX($10:$13,MATCH($O493,$R$10:$R$13,0),COLUMN())</f>
        <v>1.6644861194E-7</v>
      </c>
      <c r="AM493" s="1050" cm="1">
        <f t="array" aca="1" ref="AM493" ca="1">INDEX(OFFSET($AK$19,MATCH($B493,$B$19:$B$150,0)-1,0,COUNTA($B$19:$B$24),COUNTA($AK$17:$BB$17)),MATCH($F493,$F$19:$F$24,0),MATCH(AM$17,$AK$17:$BB$17,0))*INDEX($10:$13,MATCH($O493,$R$10:$R$13,0),COLUMN())</f>
        <v>2.7351111941999998E-4</v>
      </c>
      <c r="AN493" s="1050" cm="1">
        <f t="array" aca="1" ref="AN493" ca="1">INDEX(OFFSET($AK$19,MATCH($B493,$B$19:$B$150,0)-1,0,COUNTA($B$19:$B$24),COUNTA($AK$17:$BB$17)),MATCH($F493,$F$19:$F$24,0),MATCH(AN$17,$AK$17:$BB$17,0))*INDEX($10:$13,MATCH($O493,$R$10:$R$13,0),COLUMN())</f>
        <v>3.743839344E-3</v>
      </c>
      <c r="AO493" s="1050" cm="1">
        <f t="array" aca="1" ref="AO493" ca="1">INDEX(OFFSET($AK$19,MATCH($B493,$B$19:$B$150,0)-1,0,COUNTA($B$19:$B$24),COUNTA($AK$17:$BB$17)),MATCH($F493,$F$19:$F$24,0),MATCH(AO$17,$AK$17:$BB$17,0))*INDEX($10:$13,MATCH($O493,$R$10:$R$13,0),COLUMN())</f>
        <v>0.12320381919999999</v>
      </c>
      <c r="AP493" s="1050" cm="1">
        <f t="array" aca="1" ref="AP493" ca="1">INDEX(OFFSET($AK$19,MATCH($B493,$B$19:$B$150,0)-1,0,COUNTA($B$19:$B$24),COUNTA($AK$17:$BB$17)),MATCH($F493,$F$19:$F$24,0),MATCH(AP$17,$AK$17:$BB$17,0))*INDEX($10:$13,MATCH($O493,$R$10:$R$13,0),COLUMN())</f>
        <v>1.4158681270000001E-2</v>
      </c>
      <c r="AQ493" s="1050" cm="1">
        <f t="array" aca="1" ref="AQ493" ca="1">INDEX(OFFSET($AK$19,MATCH($B493,$B$19:$B$150,0)-1,0,COUNTA($B$19:$B$24),COUNTA($AK$17:$BB$17)),MATCH($F493,$F$19:$F$24,0),MATCH(AQ$17,$AK$17:$BB$17,0))*INDEX($10:$13,MATCH($O493,$R$10:$R$13,0),COLUMN())</f>
        <v>1.3822419E-4</v>
      </c>
      <c r="AR493" s="1050" cm="1">
        <f t="array" aca="1" ref="AR493" ca="1">INDEX(OFFSET($AK$19,MATCH($B493,$B$19:$B$150,0)-1,0,COUNTA($B$19:$B$24),COUNTA($AK$17:$BB$17)),MATCH($F493,$F$19:$F$24,0),MATCH(AR$17,$AK$17:$BB$17,0))*INDEX($10:$13,MATCH($O493,$R$10:$R$13,0),COLUMN())</f>
        <v>5.4555688419999998E-2</v>
      </c>
      <c r="AS493" s="1050" cm="1">
        <f t="array" aca="1" ref="AS493" ca="1">INDEX(OFFSET($AK$19,MATCH($B493,$B$19:$B$150,0)-1,0,COUNTA($B$19:$B$24),COUNTA($AK$17:$BB$17)),MATCH($F493,$F$19:$F$24,0),MATCH(AS$17,$AK$17:$BB$17,0))*INDEX($10:$13,MATCH($O493,$R$10:$R$13,0),COLUMN())</f>
        <v>1.8403577009999997E-3</v>
      </c>
      <c r="AT493" s="1050" cm="1">
        <f t="array" aca="1" ref="AT493" ca="1">INDEX(OFFSET($AK$19,MATCH($B493,$B$19:$B$150,0)-1,0,COUNTA($B$19:$B$24),COUNTA($AK$17:$BB$17)),MATCH($F493,$F$19:$F$24,0),MATCH(AT$17,$AK$17:$BB$17,0))*INDEX($10:$13,MATCH($O493,$R$10:$R$13,0),COLUMN())</f>
        <v>4.1786953010000001E-6</v>
      </c>
      <c r="AU493" s="1050" cm="1">
        <f t="array" aca="1" ref="AU493" ca="1">INDEX(OFFSET($AK$19,MATCH($B493,$B$19:$B$150,0)-1,0,COUNTA($B$19:$B$24),COUNTA($AK$17:$BB$17)),MATCH($F493,$F$19:$F$24,0),MATCH(AU$17,$AK$17:$BB$17,0))*INDEX($10:$13,MATCH($O493,$R$10:$R$13,0),COLUMN())</f>
        <v>8.0743033503999999E-7</v>
      </c>
      <c r="AV493" s="1050" cm="1">
        <f t="array" aca="1" ref="AV493" ca="1">INDEX(OFFSET($AK$19,MATCH($B493,$B$19:$B$150,0)-1,0,COUNTA($B$19:$B$24),COUNTA($AK$17:$BB$17)),MATCH($F493,$F$19:$F$24,0),MATCH(AV$17,$AK$17:$BB$17,0))*INDEX($10:$13,MATCH($O493,$R$10:$R$13,0),COLUMN())</f>
        <v>1.8836398274999999E-2</v>
      </c>
      <c r="AW493" s="1050" cm="1">
        <f t="array" aca="1" ref="AW493" ca="1">INDEX(OFFSET($AK$19,MATCH($B493,$B$19:$B$150,0)-1,0,COUNTA($B$19:$B$24),COUNTA($AK$17:$BB$17)),MATCH($F493,$F$19:$F$24,0),MATCH(AW$17,$AK$17:$BB$17,0))*INDEX($10:$13,MATCH($O493,$R$10:$R$13,0),COLUMN())</f>
        <v>0.28373424149999998</v>
      </c>
      <c r="AX493" s="1050" cm="1">
        <f t="array" aca="1" ref="AX493" ca="1">INDEX(OFFSET($AK$19,MATCH($B493,$B$19:$B$150,0)-1,0,COUNTA($B$19:$B$24),COUNTA($AK$17:$BB$17)),MATCH($F493,$F$19:$F$24,0),MATCH(AX$17,$AK$17:$BB$17,0))*INDEX($10:$13,MATCH($O493,$R$10:$R$13,0),COLUMN())</f>
        <v>8.1711483449999992E-8</v>
      </c>
      <c r="AY493" s="1050" cm="1">
        <f t="array" aca="1" ref="AY493" ca="1">INDEX(OFFSET($AK$19,MATCH($B493,$B$19:$B$150,0)-1,0,COUNTA($B$19:$B$24),COUNTA($AK$17:$BB$17)),MATCH($F493,$F$19:$F$24,0),MATCH(AY$17,$AK$17:$BB$17,0))*INDEX($10:$13,MATCH($O493,$R$10:$R$13,0),COLUMN())</f>
        <v>-2.1059160018749997E-9</v>
      </c>
      <c r="AZ493" s="1050" cm="1">
        <f t="array" aca="1" ref="AZ493" ca="1">INDEX(OFFSET($AK$19,MATCH($B493,$B$19:$B$150,0)-1,0,COUNTA($B$19:$B$24),COUNTA($AK$17:$BB$17)),MATCH($F493,$F$19:$F$24,0),MATCH(AZ$17,$AK$17:$BB$17,0))*INDEX($10:$13,MATCH($O493,$R$10:$R$13,0),COLUMN())</f>
        <v>0</v>
      </c>
      <c r="BA493" s="1050" cm="1">
        <f t="array" aca="1" ref="BA493" ca="1">INDEX(OFFSET($AK$19,MATCH($B493,$B$19:$B$150,0)-1,0,COUNTA($B$19:$B$24),COUNTA($AK$17:$BB$17)),MATCH($F493,$F$19:$F$24,0),MATCH(BA$17,$AK$17:$BB$17,0))*INDEX($10:$13,MATCH($O493,$R$10:$R$13,0),COLUMN())</f>
        <v>0</v>
      </c>
      <c r="BB493" s="1051" cm="1">
        <f t="array" aca="1" ref="BB493" ca="1">INDEX(OFFSET($AK$19,MATCH($B493,$B$19:$B$150,0)-1,0,COUNTA($B$19:$B$24),COUNTA($AK$17:$BB$17)),MATCH($F493,$F$19:$F$24,0),MATCH(BB$17,$AK$17:$BB$17,0))*INDEX($10:$13,MATCH($O493,$R$10:$R$13,0),COLUMN())</f>
        <v>0</v>
      </c>
      <c r="BC493" s="1053">
        <f t="shared" ca="1" si="179"/>
        <v>0.28373432110556746</v>
      </c>
      <c r="BE493" s="1"/>
      <c r="BF493" s="1"/>
      <c r="BG493" s="1"/>
      <c r="BH493" s="1"/>
      <c r="BI493" s="1"/>
      <c r="BJ493" s="1"/>
      <c r="BK493" s="1"/>
      <c r="BL493" s="1"/>
      <c r="BM493" s="1"/>
      <c r="BN493" s="1"/>
      <c r="BO493" s="1"/>
      <c r="BP493" s="1"/>
      <c r="BQ493" s="1"/>
      <c r="BR493" s="1"/>
      <c r="BS493" s="1"/>
      <c r="BT493" s="1"/>
      <c r="BU493" s="1"/>
      <c r="BV493" s="1"/>
      <c r="BW493" s="1"/>
      <c r="BX493" s="1"/>
      <c r="BY493" s="1"/>
      <c r="BZ493" s="1"/>
    </row>
    <row r="494" spans="2:78" ht="12" customHeight="1" outlineLevel="1" x14ac:dyDescent="0.25">
      <c r="B494" s="104" t="s">
        <v>108</v>
      </c>
      <c r="C494" s="104" t="s">
        <v>121</v>
      </c>
      <c r="D494" s="2" t="s">
        <v>143</v>
      </c>
      <c r="E494" s="2" t="s">
        <v>145</v>
      </c>
      <c r="F494" s="105" t="s">
        <v>96</v>
      </c>
      <c r="G494" s="27" t="s">
        <v>1582</v>
      </c>
      <c r="H494" s="106" t="s">
        <v>128</v>
      </c>
      <c r="I494" s="107" t="s">
        <v>1577</v>
      </c>
      <c r="J494" s="147">
        <v>5.0812675600000006</v>
      </c>
      <c r="K494" s="148">
        <v>3.5</v>
      </c>
      <c r="L494" s="149">
        <f t="shared" ca="1" si="177"/>
        <v>0.18881317417196519</v>
      </c>
      <c r="M494" s="148">
        <f t="shared" ca="1" si="178"/>
        <v>4.1608461096018781</v>
      </c>
      <c r="N494" s="148">
        <f t="shared" ca="1" si="180"/>
        <v>0.66084610960187817</v>
      </c>
      <c r="O494" s="1062" t="s">
        <v>1584</v>
      </c>
      <c r="P494" s="104"/>
      <c r="R494" s="119"/>
      <c r="S494" s="1072"/>
      <c r="T494" s="1072"/>
      <c r="U494" s="1072"/>
      <c r="V494" s="1072"/>
      <c r="W494" s="1072"/>
      <c r="X494" s="1072"/>
      <c r="Y494" s="1072"/>
      <c r="Z494" s="1072"/>
      <c r="AA494" s="1072"/>
      <c r="AB494" s="1072"/>
      <c r="AC494" s="1072"/>
      <c r="AD494" s="1072"/>
      <c r="AE494" s="1072"/>
      <c r="AF494" s="1072"/>
      <c r="AG494" s="1072"/>
      <c r="AH494" s="1072"/>
      <c r="AI494" s="1072"/>
      <c r="AJ494" s="1073"/>
      <c r="AK494" s="1052" cm="1">
        <f t="array" aca="1" ref="AK494" ca="1">INDEX(OFFSET($AK$19,MATCH($B494,$B$19:$B$150,0)-1,0,COUNTA($B$19:$B$24),COUNTA($AK$17:$BB$17)),MATCH($F494,$F$19:$F$24,0),MATCH(AK$17,$AK$17:$BB$17,0))*INDEX($10:$13,MATCH($O494,$R$10:$R$13,0),COLUMN())</f>
        <v>7.0879419345636657E-2</v>
      </c>
      <c r="AL494" s="1050" cm="1">
        <f t="array" aca="1" ref="AL494" ca="1">INDEX(OFFSET($AK$19,MATCH($B494,$B$19:$B$150,0)-1,0,COUNTA($B$19:$B$24),COUNTA($AK$17:$BB$17)),MATCH($F494,$F$19:$F$24,0),MATCH(AL$17,$AK$17:$BB$17,0))*INDEX($10:$13,MATCH($O494,$R$10:$R$13,0),COLUMN())</f>
        <v>1.6728839868000001E-7</v>
      </c>
      <c r="AM494" s="1050" cm="1">
        <f t="array" aca="1" ref="AM494" ca="1">INDEX(OFFSET($AK$19,MATCH($B494,$B$19:$B$150,0)-1,0,COUNTA($B$19:$B$24),COUNTA($AK$17:$BB$17)),MATCH($F494,$F$19:$F$24,0),MATCH(AM$17,$AK$17:$BB$17,0))*INDEX($10:$13,MATCH($O494,$R$10:$R$13,0),COLUMN())</f>
        <v>2.7488452166999998E-4</v>
      </c>
      <c r="AN494" s="1050" cm="1">
        <f t="array" aca="1" ref="AN494" ca="1">INDEX(OFFSET($AK$19,MATCH($B494,$B$19:$B$150,0)-1,0,COUNTA($B$19:$B$24),COUNTA($AK$17:$BB$17)),MATCH($F494,$F$19:$F$24,0),MATCH(AN$17,$AK$17:$BB$17,0))*INDEX($10:$13,MATCH($O494,$R$10:$R$13,0),COLUMN())</f>
        <v>3.9083966880000005E-3</v>
      </c>
      <c r="AO494" s="1050" cm="1">
        <f t="array" aca="1" ref="AO494" ca="1">INDEX(OFFSET($AK$19,MATCH($B494,$B$19:$B$150,0)-1,0,COUNTA($B$19:$B$24),COUNTA($AK$17:$BB$17)),MATCH($F494,$F$19:$F$24,0),MATCH(AO$17,$AK$17:$BB$17,0))*INDEX($10:$13,MATCH($O494,$R$10:$R$13,0),COLUMN())</f>
        <v>0.17480754199999998</v>
      </c>
      <c r="AP494" s="1050" cm="1">
        <f t="array" aca="1" ref="AP494" ca="1">INDEX(OFFSET($AK$19,MATCH($B494,$B$19:$B$150,0)-1,0,COUNTA($B$19:$B$24),COUNTA($AK$17:$BB$17)),MATCH($F494,$F$19:$F$24,0),MATCH(AP$17,$AK$17:$BB$17,0))*INDEX($10:$13,MATCH($O494,$R$10:$R$13,0),COLUMN())</f>
        <v>2.1452028424000003E-2</v>
      </c>
      <c r="AQ494" s="1050" cm="1">
        <f t="array" aca="1" ref="AQ494" ca="1">INDEX(OFFSET($AK$19,MATCH($B494,$B$19:$B$150,0)-1,0,COUNTA($B$19:$B$24),COUNTA($AK$17:$BB$17)),MATCH($F494,$F$19:$F$24,0),MATCH(AQ$17,$AK$17:$BB$17,0))*INDEX($10:$13,MATCH($O494,$R$10:$R$13,0),COLUMN())</f>
        <v>2.117930675E-4</v>
      </c>
      <c r="AR494" s="1050" cm="1">
        <f t="array" aca="1" ref="AR494" ca="1">INDEX(OFFSET($AK$19,MATCH($B494,$B$19:$B$150,0)-1,0,COUNTA($B$19:$B$24),COUNTA($AK$17:$BB$17)),MATCH($F494,$F$19:$F$24,0),MATCH(AR$17,$AK$17:$BB$17,0))*INDEX($10:$13,MATCH($O494,$R$10:$R$13,0),COLUMN())</f>
        <v>7.2921840069999994E-2</v>
      </c>
      <c r="AS494" s="1050" cm="1">
        <f t="array" aca="1" ref="AS494" ca="1">INDEX(OFFSET($AK$19,MATCH($B494,$B$19:$B$150,0)-1,0,COUNTA($B$19:$B$24),COUNTA($AK$17:$BB$17)),MATCH($F494,$F$19:$F$24,0),MATCH(AS$17,$AK$17:$BB$17,0))*INDEX($10:$13,MATCH($O494,$R$10:$R$13,0),COLUMN())</f>
        <v>2.9585312639999997E-3</v>
      </c>
      <c r="AT494" s="1050" cm="1">
        <f t="array" aca="1" ref="AT494" ca="1">INDEX(OFFSET($AK$19,MATCH($B494,$B$19:$B$150,0)-1,0,COUNTA($B$19:$B$24),COUNTA($AK$17:$BB$17)),MATCH($F494,$F$19:$F$24,0),MATCH(AT$17,$AK$17:$BB$17,0))*INDEX($10:$13,MATCH($O494,$R$10:$R$13,0),COLUMN())</f>
        <v>4.6800296645000003E-6</v>
      </c>
      <c r="AU494" s="1050" cm="1">
        <f t="array" aca="1" ref="AU494" ca="1">INDEX(OFFSET($AK$19,MATCH($B494,$B$19:$B$150,0)-1,0,COUNTA($B$19:$B$24),COUNTA($AK$17:$BB$17)),MATCH($F494,$F$19:$F$24,0),MATCH(AU$17,$AK$17:$BB$17,0))*INDEX($10:$13,MATCH($O494,$R$10:$R$13,0),COLUMN())</f>
        <v>8.7899744096000004E-7</v>
      </c>
      <c r="AV494" s="1050" cm="1">
        <f t="array" aca="1" ref="AV494" ca="1">INDEX(OFFSET($AK$19,MATCH($B494,$B$19:$B$150,0)-1,0,COUNTA($B$19:$B$24),COUNTA($AK$17:$BB$17)),MATCH($F494,$F$19:$F$24,0),MATCH(AV$17,$AK$17:$BB$17,0))*INDEX($10:$13,MATCH($O494,$R$10:$R$13,0),COLUMN())</f>
        <v>2.9691626799999999E-2</v>
      </c>
      <c r="AW494" s="1050" cm="1">
        <f t="array" aca="1" ref="AW494" ca="1">INDEX(OFFSET($AK$19,MATCH($B494,$B$19:$B$150,0)-1,0,COUNTA($B$19:$B$24),COUNTA($AK$17:$BB$17)),MATCH($F494,$F$19:$F$24,0),MATCH(AW$17,$AK$17:$BB$17,0))*INDEX($10:$13,MATCH($O494,$R$10:$R$13,0),COLUMN())</f>
        <v>0.28373424149999998</v>
      </c>
      <c r="AX494" s="1050" cm="1">
        <f t="array" aca="1" ref="AX494" ca="1">INDEX(OFFSET($AK$19,MATCH($B494,$B$19:$B$150,0)-1,0,COUNTA($B$19:$B$24),COUNTA($AK$17:$BB$17)),MATCH($F494,$F$19:$F$24,0),MATCH(AX$17,$AK$17:$BB$17,0))*INDEX($10:$13,MATCH($O494,$R$10:$R$13,0),COLUMN())</f>
        <v>8.1711483449999992E-8</v>
      </c>
      <c r="AY494" s="1050" cm="1">
        <f t="array" aca="1" ref="AY494" ca="1">INDEX(OFFSET($AK$19,MATCH($B494,$B$19:$B$150,0)-1,0,COUNTA($B$19:$B$24),COUNTA($AK$17:$BB$17)),MATCH($F494,$F$19:$F$24,0),MATCH(AY$17,$AK$17:$BB$17,0))*INDEX($10:$13,MATCH($O494,$R$10:$R$13,0),COLUMN())</f>
        <v>-2.1059160018749997E-9</v>
      </c>
      <c r="AZ494" s="1050" cm="1">
        <f t="array" aca="1" ref="AZ494" ca="1">INDEX(OFFSET($AK$19,MATCH($B494,$B$19:$B$150,0)-1,0,COUNTA($B$19:$B$24),COUNTA($AK$17:$BB$17)),MATCH($F494,$F$19:$F$24,0),MATCH(AZ$17,$AK$17:$BB$17,0))*INDEX($10:$13,MATCH($O494,$R$10:$R$13,0),COLUMN())</f>
        <v>0</v>
      </c>
      <c r="BA494" s="1050" cm="1">
        <f t="array" aca="1" ref="BA494" ca="1">INDEX(OFFSET($AK$19,MATCH($B494,$B$19:$B$150,0)-1,0,COUNTA($B$19:$B$24),COUNTA($AK$17:$BB$17)),MATCH($F494,$F$19:$F$24,0),MATCH(BA$17,$AK$17:$BB$17,0))*INDEX($10:$13,MATCH($O494,$R$10:$R$13,0),COLUMN())</f>
        <v>0</v>
      </c>
      <c r="BB494" s="1051" cm="1">
        <f t="array" aca="1" ref="BB494" ca="1">INDEX(OFFSET($AK$19,MATCH($B494,$B$19:$B$150,0)-1,0,COUNTA($B$19:$B$24),COUNTA($AK$17:$BB$17)),MATCH($F494,$F$19:$F$24,0),MATCH(BB$17,$AK$17:$BB$17,0))*INDEX($10:$13,MATCH($O494,$R$10:$R$13,0),COLUMN())</f>
        <v>0</v>
      </c>
      <c r="BC494" s="1053">
        <f t="shared" ca="1" si="179"/>
        <v>0.28373432110556746</v>
      </c>
      <c r="BE494" s="1"/>
      <c r="BF494" s="1"/>
      <c r="BG494" s="1"/>
      <c r="BH494" s="1"/>
      <c r="BI494" s="1"/>
      <c r="BJ494" s="1"/>
      <c r="BK494" s="1"/>
      <c r="BL494" s="1"/>
      <c r="BM494" s="1"/>
      <c r="BN494" s="1"/>
      <c r="BO494" s="1"/>
      <c r="BP494" s="1"/>
      <c r="BQ494" s="1"/>
      <c r="BR494" s="1"/>
      <c r="BS494" s="1"/>
      <c r="BT494" s="1"/>
      <c r="BU494" s="1"/>
      <c r="BV494" s="1"/>
      <c r="BW494" s="1"/>
      <c r="BX494" s="1"/>
      <c r="BY494" s="1"/>
      <c r="BZ494" s="1"/>
    </row>
    <row r="495" spans="2:78" ht="12" customHeight="1" outlineLevel="1" x14ac:dyDescent="0.25">
      <c r="B495" s="88" t="s">
        <v>109</v>
      </c>
      <c r="C495" s="88" t="s">
        <v>121</v>
      </c>
      <c r="D495" s="89" t="s">
        <v>143</v>
      </c>
      <c r="E495" s="89" t="s">
        <v>146</v>
      </c>
      <c r="F495" s="90" t="s">
        <v>92</v>
      </c>
      <c r="G495" s="18" t="s">
        <v>126</v>
      </c>
      <c r="H495" s="91" t="s">
        <v>127</v>
      </c>
      <c r="I495" s="92" t="s">
        <v>127</v>
      </c>
      <c r="J495" s="142">
        <v>6.4197011599999998</v>
      </c>
      <c r="K495" s="143">
        <v>0.35311999999999999</v>
      </c>
      <c r="L495" s="144">
        <f t="shared" ca="1" si="177"/>
        <v>0.79125296330590555</v>
      </c>
      <c r="M495" s="143">
        <f t="shared" ca="1" si="178"/>
        <v>0.63252724640258129</v>
      </c>
      <c r="N495" s="162">
        <f t="shared" ca="1" si="180"/>
        <v>0.27940724640258136</v>
      </c>
      <c r="O495" s="1060" t="s">
        <v>1584</v>
      </c>
      <c r="P495" s="88"/>
      <c r="Q495" s="89"/>
      <c r="R495" s="150"/>
      <c r="S495" s="1070"/>
      <c r="T495" s="1070"/>
      <c r="U495" s="1070"/>
      <c r="V495" s="1070"/>
      <c r="W495" s="1070"/>
      <c r="X495" s="1070"/>
      <c r="Y495" s="1070"/>
      <c r="Z495" s="1070"/>
      <c r="AA495" s="1070"/>
      <c r="AB495" s="1070"/>
      <c r="AC495" s="1070"/>
      <c r="AD495" s="1070"/>
      <c r="AE495" s="1070"/>
      <c r="AF495" s="1070"/>
      <c r="AG495" s="1070"/>
      <c r="AH495" s="1070"/>
      <c r="AI495" s="1070"/>
      <c r="AJ495" s="1071"/>
      <c r="AK495" s="1048" cm="1">
        <f t="array" aca="1" ref="AK495" ca="1">INDEX(OFFSET($AK$19,MATCH($B495,$B$19:$B$150,0)-1,0,COUNTA($B$19:$B$24),COUNTA($AK$17:$BB$17)),MATCH($F495,$F$19:$F$24,0),MATCH(AK$17,$AK$17:$BB$17,0))*INDEX($10:$13,MATCH($O495,$R$10:$R$13,0),COLUMN())</f>
        <v>5.5232532726030861E-2</v>
      </c>
      <c r="AL495" s="1046" cm="1">
        <f t="array" aca="1" ref="AL495" ca="1">INDEX(OFFSET($AK$19,MATCH($B495,$B$19:$B$150,0)-1,0,COUNTA($B$19:$B$24),COUNTA($AK$17:$BB$17)),MATCH($F495,$F$19:$F$24,0),MATCH(AL$17,$AK$17:$BB$17,0))*INDEX($10:$13,MATCH($O495,$R$10:$R$13,0),COLUMN())</f>
        <v>1.0916729928E-7</v>
      </c>
      <c r="AM495" s="1046" cm="1">
        <f t="array" aca="1" ref="AM495" ca="1">INDEX(OFFSET($AK$19,MATCH($B495,$B$19:$B$150,0)-1,0,COUNTA($B$19:$B$24),COUNTA($AK$17:$BB$17)),MATCH($F495,$F$19:$F$24,0),MATCH(AM$17,$AK$17:$BB$17,0))*INDEX($10:$13,MATCH($O495,$R$10:$R$13,0),COLUMN())</f>
        <v>1.8382706892000001E-4</v>
      </c>
      <c r="AN495" s="1046" cm="1">
        <f t="array" aca="1" ref="AN495" ca="1">INDEX(OFFSET($AK$19,MATCH($B495,$B$19:$B$150,0)-1,0,COUNTA($B$19:$B$24),COUNTA($AK$17:$BB$17)),MATCH($F495,$F$19:$F$24,0),MATCH(AN$17,$AK$17:$BB$17,0))*INDEX($10:$13,MATCH($O495,$R$10:$R$13,0),COLUMN())</f>
        <v>9.2495835600000002E-4</v>
      </c>
      <c r="AO495" s="1046" cm="1">
        <f t="array" aca="1" ref="AO495" ca="1">INDEX(OFFSET($AK$19,MATCH($B495,$B$19:$B$150,0)-1,0,COUNTA($B$19:$B$24),COUNTA($AK$17:$BB$17)),MATCH($F495,$F$19:$F$24,0),MATCH(AO$17,$AK$17:$BB$17,0))*INDEX($10:$13,MATCH($O495,$R$10:$R$13,0),COLUMN())</f>
        <v>5.6999546799999995E-2</v>
      </c>
      <c r="AP495" s="1046" cm="1">
        <f t="array" aca="1" ref="AP495" ca="1">INDEX(OFFSET($AK$19,MATCH($B495,$B$19:$B$150,0)-1,0,COUNTA($B$19:$B$24),COUNTA($AK$17:$BB$17)),MATCH($F495,$F$19:$F$24,0),MATCH(AP$17,$AK$17:$BB$17,0))*INDEX($10:$13,MATCH($O495,$R$10:$R$13,0),COLUMN())</f>
        <v>7.2672044280000002E-3</v>
      </c>
      <c r="AQ495" s="1046" cm="1">
        <f t="array" aca="1" ref="AQ495" ca="1">INDEX(OFFSET($AK$19,MATCH($B495,$B$19:$B$150,0)-1,0,COUNTA($B$19:$B$24),COUNTA($AK$17:$BB$17)),MATCH($F495,$F$19:$F$24,0),MATCH(AQ$17,$AK$17:$BB$17,0))*INDEX($10:$13,MATCH($O495,$R$10:$R$13,0),COLUMN())</f>
        <v>7.5915259999999999E-5</v>
      </c>
      <c r="AR495" s="1046" cm="1">
        <f t="array" aca="1" ref="AR495" ca="1">INDEX(OFFSET($AK$19,MATCH($B495,$B$19:$B$150,0)-1,0,COUNTA($B$19:$B$24),COUNTA($AK$17:$BB$17)),MATCH($F495,$F$19:$F$24,0),MATCH(AR$17,$AK$17:$BB$17,0))*INDEX($10:$13,MATCH($O495,$R$10:$R$13,0),COLUMN())</f>
        <v>5.222220566E-2</v>
      </c>
      <c r="AS495" s="1046" cm="1">
        <f t="array" aca="1" ref="AS495" ca="1">INDEX(OFFSET($AK$19,MATCH($B495,$B$19:$B$150,0)-1,0,COUNTA($B$19:$B$24),COUNTA($AK$17:$BB$17)),MATCH($F495,$F$19:$F$24,0),MATCH(AS$17,$AK$17:$BB$17,0))*INDEX($10:$13,MATCH($O495,$R$10:$R$13,0),COLUMN())</f>
        <v>3.6579803129999998E-2</v>
      </c>
      <c r="AT495" s="1046" cm="1">
        <f t="array" aca="1" ref="AT495" ca="1">INDEX(OFFSET($AK$19,MATCH($B495,$B$19:$B$150,0)-1,0,COUNTA($B$19:$B$24),COUNTA($AK$17:$BB$17)),MATCH($F495,$F$19:$F$24,0),MATCH(AT$17,$AK$17:$BB$17,0))*INDEX($10:$13,MATCH($O495,$R$10:$R$13,0),COLUMN())</f>
        <v>4.0840106425E-5</v>
      </c>
      <c r="AU495" s="1046" cm="1">
        <f t="array" aca="1" ref="AU495" ca="1">INDEX(OFFSET($AK$19,MATCH($B495,$B$19:$B$150,0)-1,0,COUNTA($B$19:$B$24),COUNTA($AK$17:$BB$17)),MATCH($F495,$F$19:$F$24,0),MATCH(AU$17,$AK$17:$BB$17,0))*INDEX($10:$13,MATCH($O495,$R$10:$R$13,0),COLUMN())</f>
        <v>2.6366062463999998E-6</v>
      </c>
      <c r="AV495" s="1046" cm="1">
        <f t="array" aca="1" ref="AV495" ca="1">INDEX(OFFSET($AK$19,MATCH($B495,$B$19:$B$150,0)-1,0,COUNTA($B$19:$B$24),COUNTA($AK$17:$BB$17)),MATCH($F495,$F$19:$F$24,0),MATCH(AV$17,$AK$17:$BB$17,0))*INDEX($10:$13,MATCH($O495,$R$10:$R$13,0),COLUMN())</f>
        <v>8.3370657249999987E-3</v>
      </c>
      <c r="AW495" s="1046" cm="1">
        <f t="array" aca="1" ref="AW495" ca="1">INDEX(OFFSET($AK$19,MATCH($B495,$B$19:$B$150,0)-1,0,COUNTA($B$19:$B$24),COUNTA($AK$17:$BB$17)),MATCH($F495,$F$19:$F$24,0),MATCH(AW$17,$AK$17:$BB$17,0))*INDEX($10:$13,MATCH($O495,$R$10:$R$13,0),COLUMN())</f>
        <v>6.1540440299999992E-2</v>
      </c>
      <c r="AX495" s="1046" cm="1">
        <f t="array" aca="1" ref="AX495" ca="1">INDEX(OFFSET($AK$19,MATCH($B495,$B$19:$B$150,0)-1,0,COUNTA($B$19:$B$24),COUNTA($AK$17:$BB$17)),MATCH($F495,$F$19:$F$24,0),MATCH(AX$17,$AK$17:$BB$17,0))*INDEX($10:$13,MATCH($O495,$R$10:$R$13,0),COLUMN())</f>
        <v>1.6542898559999999E-7</v>
      </c>
      <c r="AY495" s="1046" cm="1">
        <f t="array" aca="1" ref="AY495" ca="1">INDEX(OFFSET($AK$19,MATCH($B495,$B$19:$B$150,0)-1,0,COUNTA($B$19:$B$24),COUNTA($AK$17:$BB$17)),MATCH($F495,$F$19:$F$24,0),MATCH(AY$17,$AK$17:$BB$17,0))*INDEX($10:$13,MATCH($O495,$R$10:$R$13,0),COLUMN())</f>
        <v>-4.3603257712499997E-9</v>
      </c>
      <c r="AZ495" s="1046" cm="1">
        <f t="array" aca="1" ref="AZ495" ca="1">INDEX(OFFSET($AK$19,MATCH($B495,$B$19:$B$150,0)-1,0,COUNTA($B$19:$B$24),COUNTA($AK$17:$BB$17)),MATCH($F495,$F$19:$F$24,0),MATCH(AZ$17,$AK$17:$BB$17,0))*INDEX($10:$13,MATCH($O495,$R$10:$R$13,0),COLUMN())</f>
        <v>0</v>
      </c>
      <c r="BA495" s="1046" cm="1">
        <f t="array" aca="1" ref="BA495" ca="1">INDEX(OFFSET($AK$19,MATCH($B495,$B$19:$B$150,0)-1,0,COUNTA($B$19:$B$24),COUNTA($AK$17:$BB$17)),MATCH($F495,$F$19:$F$24,0),MATCH(BA$17,$AK$17:$BB$17,0))*INDEX($10:$13,MATCH($O495,$R$10:$R$13,0),COLUMN())</f>
        <v>0</v>
      </c>
      <c r="BB495" s="1047" cm="1">
        <f t="array" aca="1" ref="BB495" ca="1">INDEX(OFFSET($AK$19,MATCH($B495,$B$19:$B$150,0)-1,0,COUNTA($B$19:$B$24),COUNTA($AK$17:$BB$17)),MATCH($F495,$F$19:$F$24,0),MATCH(BB$17,$AK$17:$BB$17,0))*INDEX($10:$13,MATCH($O495,$R$10:$R$13,0),COLUMN())</f>
        <v>0</v>
      </c>
      <c r="BC495" s="1049">
        <f t="shared" ca="1" si="179"/>
        <v>6.1540601368659818E-2</v>
      </c>
      <c r="BE495" s="1"/>
      <c r="BF495" s="1"/>
      <c r="BG495" s="1"/>
      <c r="BH495" s="1"/>
      <c r="BI495" s="1"/>
      <c r="BJ495" s="1"/>
      <c r="BK495" s="1"/>
      <c r="BL495" s="1"/>
      <c r="BM495" s="1"/>
      <c r="BN495" s="1"/>
      <c r="BO495" s="1"/>
      <c r="BP495" s="1"/>
      <c r="BQ495" s="1"/>
      <c r="BR495" s="1"/>
      <c r="BS495" s="1"/>
      <c r="BT495" s="1"/>
      <c r="BU495" s="1"/>
      <c r="BV495" s="1"/>
      <c r="BW495" s="1"/>
      <c r="BX495" s="1"/>
      <c r="BY495" s="1"/>
      <c r="BZ495" s="1"/>
    </row>
    <row r="496" spans="2:78" ht="12" customHeight="1" outlineLevel="1" x14ac:dyDescent="0.25">
      <c r="B496" s="104" t="s">
        <v>109</v>
      </c>
      <c r="C496" s="104" t="s">
        <v>121</v>
      </c>
      <c r="D496" s="2" t="s">
        <v>143</v>
      </c>
      <c r="E496" s="2" t="s">
        <v>146</v>
      </c>
      <c r="F496" s="105" t="s">
        <v>122</v>
      </c>
      <c r="G496" s="27" t="s">
        <v>1579</v>
      </c>
      <c r="H496" s="106" t="s">
        <v>128</v>
      </c>
      <c r="I496" s="107" t="s">
        <v>129</v>
      </c>
      <c r="J496" s="147">
        <v>6.4197011599999998</v>
      </c>
      <c r="K496" s="148">
        <v>0.91249000000000002</v>
      </c>
      <c r="L496" s="149">
        <f t="shared" ca="1" si="177"/>
        <v>0.16975634343998675</v>
      </c>
      <c r="M496" s="148">
        <f t="shared" ca="1" si="178"/>
        <v>1.0673909658255536</v>
      </c>
      <c r="N496" s="163">
        <f t="shared" ca="1" si="180"/>
        <v>0.15490096582555352</v>
      </c>
      <c r="O496" s="1061" t="s">
        <v>1584</v>
      </c>
      <c r="P496" s="104"/>
      <c r="R496" s="119"/>
      <c r="S496" s="1072"/>
      <c r="T496" s="1072"/>
      <c r="U496" s="1072"/>
      <c r="V496" s="1072"/>
      <c r="W496" s="1072"/>
      <c r="X496" s="1072"/>
      <c r="Y496" s="1072"/>
      <c r="Z496" s="1072"/>
      <c r="AA496" s="1072"/>
      <c r="AB496" s="1072"/>
      <c r="AC496" s="1072"/>
      <c r="AD496" s="1072"/>
      <c r="AE496" s="1072"/>
      <c r="AF496" s="1072"/>
      <c r="AG496" s="1072"/>
      <c r="AH496" s="1072"/>
      <c r="AI496" s="1072"/>
      <c r="AJ496" s="1073"/>
      <c r="AK496" s="1052" cm="1">
        <f t="array" aca="1" ref="AK496" ca="1">INDEX(OFFSET($AK$19,MATCH($B496,$B$19:$B$150,0)-1,0,COUNTA($B$19:$B$24),COUNTA($AK$17:$BB$17)),MATCH($F496,$F$19:$F$24,0),MATCH(AK$17,$AK$17:$BB$17,0))*INDEX($10:$13,MATCH($O496,$R$10:$R$13,0),COLUMN())</f>
        <v>2.4047830134186963E-2</v>
      </c>
      <c r="AL496" s="1050" cm="1">
        <f t="array" aca="1" ref="AL496" ca="1">INDEX(OFFSET($AK$19,MATCH($B496,$B$19:$B$150,0)-1,0,COUNTA($B$19:$B$24),COUNTA($AK$17:$BB$17)),MATCH($F496,$F$19:$F$24,0),MATCH(AL$17,$AK$17:$BB$17,0))*INDEX($10:$13,MATCH($O496,$R$10:$R$13,0),COLUMN())</f>
        <v>5.2581283560000005E-8</v>
      </c>
      <c r="AM496" s="1050" cm="1">
        <f t="array" aca="1" ref="AM496" ca="1">INDEX(OFFSET($AK$19,MATCH($B496,$B$19:$B$150,0)-1,0,COUNTA($B$19:$B$24),COUNTA($AK$17:$BB$17)),MATCH($F496,$F$19:$F$24,0),MATCH(AM$17,$AK$17:$BB$17,0))*INDEX($10:$13,MATCH($O496,$R$10:$R$13,0),COLUMN())</f>
        <v>8.6412167820000001E-5</v>
      </c>
      <c r="AN496" s="1050" cm="1">
        <f t="array" aca="1" ref="AN496" ca="1">INDEX(OFFSET($AK$19,MATCH($B496,$B$19:$B$150,0)-1,0,COUNTA($B$19:$B$24),COUNTA($AK$17:$BB$17)),MATCH($F496,$F$19:$F$24,0),MATCH(AN$17,$AK$17:$BB$17,0))*INDEX($10:$13,MATCH($O496,$R$10:$R$13,0),COLUMN())</f>
        <v>1.118615736E-3</v>
      </c>
      <c r="AO496" s="1050" cm="1">
        <f t="array" aca="1" ref="AO496" ca="1">INDEX(OFFSET($AK$19,MATCH($B496,$B$19:$B$150,0)-1,0,COUNTA($B$19:$B$24),COUNTA($AK$17:$BB$17)),MATCH($F496,$F$19:$F$24,0),MATCH(AO$17,$AK$17:$BB$17,0))*INDEX($10:$13,MATCH($O496,$R$10:$R$13,0),COLUMN())</f>
        <v>1.6560474839999999E-2</v>
      </c>
      <c r="AP496" s="1050" cm="1">
        <f t="array" aca="1" ref="AP496" ca="1">INDEX(OFFSET($AK$19,MATCH($B496,$B$19:$B$150,0)-1,0,COUNTA($B$19:$B$24),COUNTA($AK$17:$BB$17)),MATCH($F496,$F$19:$F$24,0),MATCH(AP$17,$AK$17:$BB$17,0))*INDEX($10:$13,MATCH($O496,$R$10:$R$13,0),COLUMN())</f>
        <v>1.3065027330000001E-3</v>
      </c>
      <c r="AQ496" s="1050" cm="1">
        <f t="array" aca="1" ref="AQ496" ca="1">INDEX(OFFSET($AK$19,MATCH($B496,$B$19:$B$150,0)-1,0,COUNTA($B$19:$B$24),COUNTA($AK$17:$BB$17)),MATCH($F496,$F$19:$F$24,0),MATCH(AQ$17,$AK$17:$BB$17,0))*INDEX($10:$13,MATCH($O496,$R$10:$R$13,0),COLUMN())</f>
        <v>1.0922807000000001E-5</v>
      </c>
      <c r="AR496" s="1050" cm="1">
        <f t="array" aca="1" ref="AR496" ca="1">INDEX(OFFSET($AK$19,MATCH($B496,$B$19:$B$150,0)-1,0,COUNTA($B$19:$B$24),COUNTA($AK$17:$BB$17)),MATCH($F496,$F$19:$F$24,0),MATCH(AR$17,$AK$17:$BB$17,0))*INDEX($10:$13,MATCH($O496,$R$10:$R$13,0),COLUMN())</f>
        <v>2.2395347914999999E-2</v>
      </c>
      <c r="AS496" s="1050" cm="1">
        <f t="array" aca="1" ref="AS496" ca="1">INDEX(OFFSET($AK$19,MATCH($B496,$B$19:$B$150,0)-1,0,COUNTA($B$19:$B$24),COUNTA($AK$17:$BB$17)),MATCH($F496,$F$19:$F$24,0),MATCH(AS$17,$AK$17:$BB$17,0))*INDEX($10:$13,MATCH($O496,$R$10:$R$13,0),COLUMN())</f>
        <v>1.7664051599999998E-5</v>
      </c>
      <c r="AT496" s="1050" cm="1">
        <f t="array" aca="1" ref="AT496" ca="1">INDEX(OFFSET($AK$19,MATCH($B496,$B$19:$B$150,0)-1,0,COUNTA($B$19:$B$24),COUNTA($AK$17:$BB$17)),MATCH($F496,$F$19:$F$24,0),MATCH(AT$17,$AK$17:$BB$17,0))*INDEX($10:$13,MATCH($O496,$R$10:$R$13,0),COLUMN())</f>
        <v>9.2348879100000003E-7</v>
      </c>
      <c r="AU496" s="1050" cm="1">
        <f t="array" aca="1" ref="AU496" ca="1">INDEX(OFFSET($AK$19,MATCH($B496,$B$19:$B$150,0)-1,0,COUNTA($B$19:$B$24),COUNTA($AK$17:$BB$17)),MATCH($F496,$F$19:$F$24,0),MATCH(AU$17,$AK$17:$BB$17,0))*INDEX($10:$13,MATCH($O496,$R$10:$R$13,0),COLUMN())</f>
        <v>1.9549357887999999E-7</v>
      </c>
      <c r="AV496" s="1050" cm="1">
        <f t="array" aca="1" ref="AV496" ca="1">INDEX(OFFSET($AK$19,MATCH($B496,$B$19:$B$150,0)-1,0,COUNTA($B$19:$B$24),COUNTA($AK$17:$BB$17)),MATCH($F496,$F$19:$F$24,0),MATCH(AV$17,$AK$17:$BB$17,0))*INDEX($10:$13,MATCH($O496,$R$10:$R$13,0),COLUMN())</f>
        <v>6.3598778424999998E-4</v>
      </c>
      <c r="AW496" s="1050" cm="1">
        <f t="array" aca="1" ref="AW496" ca="1">INDEX(OFFSET($AK$19,MATCH($B496,$B$19:$B$150,0)-1,0,COUNTA($B$19:$B$24),COUNTA($AK$17:$BB$17)),MATCH($F496,$F$19:$F$24,0),MATCH(AW$17,$AK$17:$BB$17,0))*INDEX($10:$13,MATCH($O496,$R$10:$R$13,0),COLUMN())</f>
        <v>8.8720010549999992E-2</v>
      </c>
      <c r="AX496" s="1050" cm="1">
        <f t="array" aca="1" ref="AX496" ca="1">INDEX(OFFSET($AK$19,MATCH($B496,$B$19:$B$150,0)-1,0,COUNTA($B$19:$B$24),COUNTA($AK$17:$BB$17)),MATCH($F496,$F$19:$F$24,0),MATCH(AX$17,$AK$17:$BB$17,0))*INDEX($10:$13,MATCH($O496,$R$10:$R$13,0),COLUMN())</f>
        <v>2.6218768499999999E-8</v>
      </c>
      <c r="AY496" s="1050" cm="1">
        <f t="array" aca="1" ref="AY496" ca="1">INDEX(OFFSET($AK$19,MATCH($B496,$B$19:$B$150,0)-1,0,COUNTA($B$19:$B$24),COUNTA($AK$17:$BB$17)),MATCH($F496,$F$19:$F$24,0),MATCH(AY$17,$AK$17:$BB$17,0))*INDEX($10:$13,MATCH($O496,$R$10:$R$13,0),COLUMN())</f>
        <v>-6.757253606249999E-10</v>
      </c>
      <c r="AZ496" s="1050" cm="1">
        <f t="array" aca="1" ref="AZ496" ca="1">INDEX(OFFSET($AK$19,MATCH($B496,$B$19:$B$150,0)-1,0,COUNTA($B$19:$B$24),COUNTA($AK$17:$BB$17)),MATCH($F496,$F$19:$F$24,0),MATCH(AZ$17,$AK$17:$BB$17,0))*INDEX($10:$13,MATCH($O496,$R$10:$R$13,0),COLUMN())</f>
        <v>0</v>
      </c>
      <c r="BA496" s="1050" cm="1">
        <f t="array" aca="1" ref="BA496" ca="1">INDEX(OFFSET($AK$19,MATCH($B496,$B$19:$B$150,0)-1,0,COUNTA($B$19:$B$24),COUNTA($AK$17:$BB$17)),MATCH($F496,$F$19:$F$24,0),MATCH(BA$17,$AK$17:$BB$17,0))*INDEX($10:$13,MATCH($O496,$R$10:$R$13,0),COLUMN())</f>
        <v>0</v>
      </c>
      <c r="BB496" s="1051" cm="1">
        <f t="array" aca="1" ref="BB496" ca="1">INDEX(OFFSET($AK$19,MATCH($B496,$B$19:$B$150,0)-1,0,COUNTA($B$19:$B$24),COUNTA($AK$17:$BB$17)),MATCH($F496,$F$19:$F$24,0),MATCH(BB$17,$AK$17:$BB$17,0))*INDEX($10:$13,MATCH($O496,$R$10:$R$13,0),COLUMN())</f>
        <v>0</v>
      </c>
      <c r="BC496" s="1053">
        <f t="shared" ca="1" si="179"/>
        <v>8.8720036093043131E-2</v>
      </c>
      <c r="BE496" s="1"/>
      <c r="BF496" s="1"/>
      <c r="BG496" s="1"/>
      <c r="BH496" s="1"/>
      <c r="BI496" s="1"/>
      <c r="BJ496" s="1"/>
      <c r="BK496" s="1"/>
      <c r="BL496" s="1"/>
      <c r="BM496" s="1"/>
      <c r="BN496" s="1"/>
      <c r="BO496" s="1"/>
      <c r="BP496" s="1"/>
      <c r="BQ496" s="1"/>
      <c r="BR496" s="1"/>
      <c r="BS496" s="1"/>
      <c r="BT496" s="1"/>
      <c r="BU496" s="1"/>
      <c r="BV496" s="1"/>
      <c r="BW496" s="1"/>
      <c r="BX496" s="1"/>
      <c r="BY496" s="1"/>
      <c r="BZ496" s="1"/>
    </row>
    <row r="497" spans="2:78" ht="12" customHeight="1" outlineLevel="1" x14ac:dyDescent="0.25">
      <c r="B497" s="104" t="s">
        <v>109</v>
      </c>
      <c r="C497" s="104" t="s">
        <v>121</v>
      </c>
      <c r="D497" s="2" t="s">
        <v>143</v>
      </c>
      <c r="E497" s="2" t="s">
        <v>146</v>
      </c>
      <c r="F497" s="105" t="s">
        <v>93</v>
      </c>
      <c r="G497" s="27" t="s">
        <v>1578</v>
      </c>
      <c r="H497" s="106" t="s">
        <v>130</v>
      </c>
      <c r="I497" s="107" t="s">
        <v>129</v>
      </c>
      <c r="J497" s="147">
        <v>6.4197011599999998</v>
      </c>
      <c r="K497" s="148">
        <v>0.91249000000000002</v>
      </c>
      <c r="L497" s="149">
        <f t="shared" ca="1" si="177"/>
        <v>0.21066196611503543</v>
      </c>
      <c r="M497" s="148">
        <f t="shared" ca="1" si="178"/>
        <v>1.1047169374603087</v>
      </c>
      <c r="N497" s="163">
        <f t="shared" ca="1" si="180"/>
        <v>0.19222693746030869</v>
      </c>
      <c r="O497" s="1061" t="s">
        <v>1584</v>
      </c>
      <c r="P497" s="104"/>
      <c r="R497" s="119"/>
      <c r="S497" s="1072"/>
      <c r="T497" s="1072"/>
      <c r="U497" s="1072"/>
      <c r="V497" s="1072"/>
      <c r="W497" s="1072"/>
      <c r="X497" s="1072"/>
      <c r="Y497" s="1072"/>
      <c r="Z497" s="1072"/>
      <c r="AA497" s="1072"/>
      <c r="AB497" s="1072"/>
      <c r="AC497" s="1072"/>
      <c r="AD497" s="1072"/>
      <c r="AE497" s="1072"/>
      <c r="AF497" s="1072"/>
      <c r="AG497" s="1072"/>
      <c r="AH497" s="1072"/>
      <c r="AI497" s="1072"/>
      <c r="AJ497" s="1073"/>
      <c r="AK497" s="1052" cm="1">
        <f t="array" aca="1" ref="AK497" ca="1">INDEX(OFFSET($AK$19,MATCH($B497,$B$19:$B$150,0)-1,0,COUNTA($B$19:$B$24),COUNTA($AK$17:$BB$17)),MATCH($F497,$F$19:$F$24,0),MATCH(AK$17,$AK$17:$BB$17,0))*INDEX($10:$13,MATCH($O497,$R$10:$R$13,0),COLUMN())</f>
        <v>2.9814341275940057E-2</v>
      </c>
      <c r="AL497" s="1050" cm="1">
        <f t="array" aca="1" ref="AL497" ca="1">INDEX(OFFSET($AK$19,MATCH($B497,$B$19:$B$150,0)-1,0,COUNTA($B$19:$B$24),COUNTA($AK$17:$BB$17)),MATCH($F497,$F$19:$F$24,0),MATCH(AL$17,$AK$17:$BB$17,0))*INDEX($10:$13,MATCH($O497,$R$10:$R$13,0),COLUMN())</f>
        <v>6.5189930260000007E-8</v>
      </c>
      <c r="AM497" s="1050" cm="1">
        <f t="array" aca="1" ref="AM497" ca="1">INDEX(OFFSET($AK$19,MATCH($B497,$B$19:$B$150,0)-1,0,COUNTA($B$19:$B$24),COUNTA($AK$17:$BB$17)),MATCH($F497,$F$19:$F$24,0),MATCH(AM$17,$AK$17:$BB$17,0))*INDEX($10:$13,MATCH($O497,$R$10:$R$13,0),COLUMN())</f>
        <v>1.0713323709000001E-4</v>
      </c>
      <c r="AN497" s="1050" cm="1">
        <f t="array" aca="1" ref="AN497" ca="1">INDEX(OFFSET($AK$19,MATCH($B497,$B$19:$B$150,0)-1,0,COUNTA($B$19:$B$24),COUNTA($AK$17:$BB$17)),MATCH($F497,$F$19:$F$24,0),MATCH(AN$17,$AK$17:$BB$17,0))*INDEX($10:$13,MATCH($O497,$R$10:$R$13,0),COLUMN())</f>
        <v>1.386852348E-3</v>
      </c>
      <c r="AO497" s="1050" cm="1">
        <f t="array" aca="1" ref="AO497" ca="1">INDEX(OFFSET($AK$19,MATCH($B497,$B$19:$B$150,0)-1,0,COUNTA($B$19:$B$24),COUNTA($AK$17:$BB$17)),MATCH($F497,$F$19:$F$24,0),MATCH(AO$17,$AK$17:$BB$17,0))*INDEX($10:$13,MATCH($O497,$R$10:$R$13,0),COLUMN())</f>
        <v>2.0531567840000001E-2</v>
      </c>
      <c r="AP497" s="1050" cm="1">
        <f t="array" aca="1" ref="AP497" ca="1">INDEX(OFFSET($AK$19,MATCH($B497,$B$19:$B$150,0)-1,0,COUNTA($B$19:$B$24),COUNTA($AK$17:$BB$17)),MATCH($F497,$F$19:$F$24,0),MATCH(AP$17,$AK$17:$BB$17,0))*INDEX($10:$13,MATCH($O497,$R$10:$R$13,0),COLUMN())</f>
        <v>1.6197935404000002E-3</v>
      </c>
      <c r="AQ497" s="1050" cm="1">
        <f t="array" aca="1" ref="AQ497" ca="1">INDEX(OFFSET($AK$19,MATCH($B497,$B$19:$B$150,0)-1,0,COUNTA($B$19:$B$24),COUNTA($AK$17:$BB$17)),MATCH($F497,$F$19:$F$24,0),MATCH(AQ$17,$AK$17:$BB$17,0))*INDEX($10:$13,MATCH($O497,$R$10:$R$13,0),COLUMN())</f>
        <v>1.354202425E-5</v>
      </c>
      <c r="AR497" s="1050" cm="1">
        <f t="array" aca="1" ref="AR497" ca="1">INDEX(OFFSET($AK$19,MATCH($B497,$B$19:$B$150,0)-1,0,COUNTA($B$19:$B$24),COUNTA($AK$17:$BB$17)),MATCH($F497,$F$19:$F$24,0),MATCH(AR$17,$AK$17:$BB$17,0))*INDEX($10:$13,MATCH($O497,$R$10:$R$13,0),COLUMN())</f>
        <v>2.7765605103E-2</v>
      </c>
      <c r="AS497" s="1050" cm="1">
        <f t="array" aca="1" ref="AS497" ca="1">INDEX(OFFSET($AK$19,MATCH($B497,$B$19:$B$150,0)-1,0,COUNTA($B$19:$B$24),COUNTA($AK$17:$BB$17)),MATCH($F497,$F$19:$F$24,0),MATCH(AS$17,$AK$17:$BB$17,0))*INDEX($10:$13,MATCH($O497,$R$10:$R$13,0),COLUMN())</f>
        <v>3.4906469129999998E-5</v>
      </c>
      <c r="AT497" s="1050" cm="1">
        <f t="array" aca="1" ref="AT497" ca="1">INDEX(OFFSET($AK$19,MATCH($B497,$B$19:$B$150,0)-1,0,COUNTA($B$19:$B$24),COUNTA($AK$17:$BB$17)),MATCH($F497,$F$19:$F$24,0),MATCH(AT$17,$AK$17:$BB$17,0))*INDEX($10:$13,MATCH($O497,$R$10:$R$13,0),COLUMN())</f>
        <v>1.1490637945E-6</v>
      </c>
      <c r="AU497" s="1050" cm="1">
        <f t="array" aca="1" ref="AU497" ca="1">INDEX(OFFSET($AK$19,MATCH($B497,$B$19:$B$150,0)-1,0,COUNTA($B$19:$B$24),COUNTA($AK$17:$BB$17)),MATCH($F497,$F$19:$F$24,0),MATCH(AU$17,$AK$17:$BB$17,0))*INDEX($10:$13,MATCH($O497,$R$10:$R$13,0),COLUMN())</f>
        <v>2.4281567904000001E-7</v>
      </c>
      <c r="AV497" s="1050" cm="1">
        <f t="array" aca="1" ref="AV497" ca="1">INDEX(OFFSET($AK$19,MATCH($B497,$B$19:$B$150,0)-1,0,COUNTA($B$19:$B$24),COUNTA($AK$17:$BB$17)),MATCH($F497,$F$19:$F$24,0),MATCH(AV$17,$AK$17:$BB$17,0))*INDEX($10:$13,MATCH($O497,$R$10:$R$13,0),COLUMN())</f>
        <v>9.5722228499999992E-4</v>
      </c>
      <c r="AW497" s="1050" cm="1">
        <f t="array" aca="1" ref="AW497" ca="1">INDEX(OFFSET($AK$19,MATCH($B497,$B$19:$B$150,0)-1,0,COUNTA($B$19:$B$24),COUNTA($AK$17:$BB$17)),MATCH($F497,$F$19:$F$24,0),MATCH(AW$17,$AK$17:$BB$17,0))*INDEX($10:$13,MATCH($O497,$R$10:$R$13,0),COLUMN())</f>
        <v>0.1099944846</v>
      </c>
      <c r="AX497" s="1050" cm="1">
        <f t="array" aca="1" ref="AX497" ca="1">INDEX(OFFSET($AK$19,MATCH($B497,$B$19:$B$150,0)-1,0,COUNTA($B$19:$B$24),COUNTA($AK$17:$BB$17)),MATCH($F497,$F$19:$F$24,0),MATCH(AX$17,$AK$17:$BB$17,0))*INDEX($10:$13,MATCH($O497,$R$10:$R$13,0),COLUMN())</f>
        <v>3.2505854699999998E-8</v>
      </c>
      <c r="AY497" s="1050" cm="1">
        <f t="array" aca="1" ref="AY497" ca="1">INDEX(OFFSET($AK$19,MATCH($B497,$B$19:$B$150,0)-1,0,COUNTA($B$19:$B$24),COUNTA($AK$17:$BB$17)),MATCH($F497,$F$19:$F$24,0),MATCH(AY$17,$AK$17:$BB$17,0))*INDEX($10:$13,MATCH($O497,$R$10:$R$13,0),COLUMN())</f>
        <v>-8.3775985762499996E-10</v>
      </c>
      <c r="AZ497" s="1050" cm="1">
        <f t="array" aca="1" ref="AZ497" ca="1">INDEX(OFFSET($AK$19,MATCH($B497,$B$19:$B$150,0)-1,0,COUNTA($B$19:$B$24),COUNTA($AK$17:$BB$17)),MATCH($F497,$F$19:$F$24,0),MATCH(AZ$17,$AK$17:$BB$17,0))*INDEX($10:$13,MATCH($O497,$R$10:$R$13,0),COLUMN())</f>
        <v>0</v>
      </c>
      <c r="BA497" s="1050" cm="1">
        <f t="array" aca="1" ref="BA497" ca="1">INDEX(OFFSET($AK$19,MATCH($B497,$B$19:$B$150,0)-1,0,COUNTA($B$19:$B$24),COUNTA($AK$17:$BB$17)),MATCH($F497,$F$19:$F$24,0),MATCH(BA$17,$AK$17:$BB$17,0))*INDEX($10:$13,MATCH($O497,$R$10:$R$13,0),COLUMN())</f>
        <v>0</v>
      </c>
      <c r="BB497" s="1051" cm="1">
        <f t="array" aca="1" ref="BB497" ca="1">INDEX(OFFSET($AK$19,MATCH($B497,$B$19:$B$150,0)-1,0,COUNTA($B$19:$B$24),COUNTA($AK$17:$BB$17)),MATCH($F497,$F$19:$F$24,0),MATCH(BB$17,$AK$17:$BB$17,0))*INDEX($10:$13,MATCH($O497,$R$10:$R$13,0),COLUMN())</f>
        <v>0</v>
      </c>
      <c r="BC497" s="1053">
        <f t="shared" ca="1" si="179"/>
        <v>0.10999451626809484</v>
      </c>
      <c r="BE497" s="1"/>
      <c r="BF497" s="1"/>
      <c r="BG497" s="1"/>
      <c r="BH497" s="1"/>
      <c r="BI497" s="1"/>
      <c r="BJ497" s="1"/>
      <c r="BK497" s="1"/>
      <c r="BL497" s="1"/>
      <c r="BM497" s="1"/>
      <c r="BN497" s="1"/>
      <c r="BO497" s="1"/>
      <c r="BP497" s="1"/>
      <c r="BQ497" s="1"/>
      <c r="BR497" s="1"/>
      <c r="BS497" s="1"/>
      <c r="BT497" s="1"/>
      <c r="BU497" s="1"/>
      <c r="BV497" s="1"/>
      <c r="BW497" s="1"/>
      <c r="BX497" s="1"/>
      <c r="BY497" s="1"/>
      <c r="BZ497" s="1"/>
    </row>
    <row r="498" spans="2:78" ht="12" customHeight="1" outlineLevel="1" x14ac:dyDescent="0.25">
      <c r="B498" s="104" t="s">
        <v>109</v>
      </c>
      <c r="C498" s="104" t="s">
        <v>121</v>
      </c>
      <c r="D498" s="2" t="s">
        <v>143</v>
      </c>
      <c r="E498" s="2" t="s">
        <v>146</v>
      </c>
      <c r="F498" s="105" t="s">
        <v>94</v>
      </c>
      <c r="G498" s="27" t="s">
        <v>1580</v>
      </c>
      <c r="H498" s="106" t="s">
        <v>131</v>
      </c>
      <c r="I498" s="107" t="s">
        <v>129</v>
      </c>
      <c r="J498" s="147">
        <v>6.4197011599999998</v>
      </c>
      <c r="K498" s="148">
        <v>0.91249000000000002</v>
      </c>
      <c r="L498" s="149">
        <f t="shared" ca="1" si="177"/>
        <v>0.14210828960070881</v>
      </c>
      <c r="M498" s="148">
        <f t="shared" ca="1" si="178"/>
        <v>1.0421623931777508</v>
      </c>
      <c r="N498" s="148">
        <f t="shared" ca="1" si="180"/>
        <v>0.12967239317775078</v>
      </c>
      <c r="O498" s="1062" t="s">
        <v>1584</v>
      </c>
      <c r="P498" s="104"/>
      <c r="R498" s="119"/>
      <c r="S498" s="1072"/>
      <c r="T498" s="1072"/>
      <c r="U498" s="1072"/>
      <c r="V498" s="1072"/>
      <c r="W498" s="1072"/>
      <c r="X498" s="1072"/>
      <c r="Y498" s="1072"/>
      <c r="Z498" s="1072"/>
      <c r="AA498" s="1072"/>
      <c r="AB498" s="1072"/>
      <c r="AC498" s="1072"/>
      <c r="AD498" s="1072"/>
      <c r="AE498" s="1072"/>
      <c r="AF498" s="1072"/>
      <c r="AG498" s="1072"/>
      <c r="AH498" s="1072"/>
      <c r="AI498" s="1072"/>
      <c r="AJ498" s="1073"/>
      <c r="AK498" s="1052" cm="1">
        <f t="array" aca="1" ref="AK498" ca="1">INDEX(OFFSET($AK$19,MATCH($B498,$B$19:$B$150,0)-1,0,COUNTA($B$19:$B$24),COUNTA($AK$17:$BB$17)),MATCH($F498,$F$19:$F$24,0),MATCH(AK$17,$AK$17:$BB$17,0))*INDEX($10:$13,MATCH($O498,$R$10:$R$13,0),COLUMN())</f>
        <v>2.0150251504019147E-2</v>
      </c>
      <c r="AL498" s="1050" cm="1">
        <f t="array" aca="1" ref="AL498" ca="1">INDEX(OFFSET($AK$19,MATCH($B498,$B$19:$B$150,0)-1,0,COUNTA($B$19:$B$24),COUNTA($AK$17:$BB$17)),MATCH($F498,$F$19:$F$24,0),MATCH(AL$17,$AK$17:$BB$17,0))*INDEX($10:$13,MATCH($O498,$R$10:$R$13,0),COLUMN())</f>
        <v>4.4059114710000004E-8</v>
      </c>
      <c r="AM498" s="1050" cm="1">
        <f t="array" aca="1" ref="AM498" ca="1">INDEX(OFFSET($AK$19,MATCH($B498,$B$19:$B$150,0)-1,0,COUNTA($B$19:$B$24),COUNTA($AK$17:$BB$17)),MATCH($F498,$F$19:$F$24,0),MATCH(AM$17,$AK$17:$BB$17,0))*INDEX($10:$13,MATCH($O498,$R$10:$R$13,0),COLUMN())</f>
        <v>7.2406820970000001E-5</v>
      </c>
      <c r="AN498" s="1050" cm="1">
        <f t="array" aca="1" ref="AN498" ca="1">INDEX(OFFSET($AK$19,MATCH($B498,$B$19:$B$150,0)-1,0,COUNTA($B$19:$B$24),COUNTA($AK$17:$BB$17)),MATCH($F498,$F$19:$F$24,0),MATCH(AN$17,$AK$17:$BB$17,0))*INDEX($10:$13,MATCH($O498,$R$10:$R$13,0),COLUMN())</f>
        <v>9.3731483999999997E-4</v>
      </c>
      <c r="AO498" s="1050" cm="1">
        <f t="array" aca="1" ref="AO498" ca="1">INDEX(OFFSET($AK$19,MATCH($B498,$B$19:$B$150,0)-1,0,COUNTA($B$19:$B$24),COUNTA($AK$17:$BB$17)),MATCH($F498,$F$19:$F$24,0),MATCH(AO$17,$AK$17:$BB$17,0))*INDEX($10:$13,MATCH($O498,$R$10:$R$13,0),COLUMN())</f>
        <v>1.3876417800000001E-2</v>
      </c>
      <c r="AP498" s="1050" cm="1">
        <f t="array" aca="1" ref="AP498" ca="1">INDEX(OFFSET($AK$19,MATCH($B498,$B$19:$B$150,0)-1,0,COUNTA($B$19:$B$24),COUNTA($AK$17:$BB$17)),MATCH($F498,$F$19:$F$24,0),MATCH(AP$17,$AK$17:$BB$17,0))*INDEX($10:$13,MATCH($O498,$R$10:$R$13,0),COLUMN())</f>
        <v>1.0947499136E-3</v>
      </c>
      <c r="AQ498" s="1050" cm="1">
        <f t="array" aca="1" ref="AQ498" ca="1">INDEX(OFFSET($AK$19,MATCH($B498,$B$19:$B$150,0)-1,0,COUNTA($B$19:$B$24),COUNTA($AK$17:$BB$17)),MATCH($F498,$F$19:$F$24,0),MATCH(AQ$17,$AK$17:$BB$17,0))*INDEX($10:$13,MATCH($O498,$R$10:$R$13,0),COLUMN())</f>
        <v>9.1524810000000006E-6</v>
      </c>
      <c r="AR498" s="1050" cm="1">
        <f t="array" aca="1" ref="AR498" ca="1">INDEX(OFFSET($AK$19,MATCH($B498,$B$19:$B$150,0)-1,0,COUNTA($B$19:$B$24),COUNTA($AK$17:$BB$17)),MATCH($F498,$F$19:$F$24,0),MATCH(AR$17,$AK$17:$BB$17,0))*INDEX($10:$13,MATCH($O498,$R$10:$R$13,0),COLUMN())</f>
        <v>1.8765597562000001E-2</v>
      </c>
      <c r="AS498" s="1050" cm="1">
        <f t="array" aca="1" ref="AS498" ca="1">INDEX(OFFSET($AK$19,MATCH($B498,$B$19:$B$150,0)-1,0,COUNTA($B$19:$B$24),COUNTA($AK$17:$BB$17)),MATCH($F498,$F$19:$F$24,0),MATCH(AS$17,$AK$17:$BB$17,0))*INDEX($10:$13,MATCH($O498,$R$10:$R$13,0),COLUMN())</f>
        <v>6.0104552039999992E-6</v>
      </c>
      <c r="AT498" s="1050" cm="1">
        <f t="array" aca="1" ref="AT498" ca="1">INDEX(OFFSET($AK$19,MATCH($B498,$B$19:$B$150,0)-1,0,COUNTA($B$19:$B$24),COUNTA($AK$17:$BB$17)),MATCH($F498,$F$19:$F$24,0),MATCH(AT$17,$AK$17:$BB$17,0))*INDEX($10:$13,MATCH($O498,$R$10:$R$13,0),COLUMN())</f>
        <v>7.7102307549999991E-7</v>
      </c>
      <c r="AU498" s="1050" cm="1">
        <f t="array" aca="1" ref="AU498" ca="1">INDEX(OFFSET($AK$19,MATCH($B498,$B$19:$B$150,0)-1,0,COUNTA($B$19:$B$24),COUNTA($AK$17:$BB$17)),MATCH($F498,$F$19:$F$24,0),MATCH(AU$17,$AK$17:$BB$17,0))*INDEX($10:$13,MATCH($O498,$R$10:$R$13,0),COLUMN())</f>
        <v>1.6350864192E-7</v>
      </c>
      <c r="AV498" s="1050" cm="1">
        <f t="array" aca="1" ref="AV498" ca="1">INDEX(OFFSET($AK$19,MATCH($B498,$B$19:$B$150,0)-1,0,COUNTA($B$19:$B$24),COUNTA($AK$17:$BB$17)),MATCH($F498,$F$19:$F$24,0),MATCH(AV$17,$AK$17:$BB$17,0))*INDEX($10:$13,MATCH($O498,$R$10:$R$13,0),COLUMN())</f>
        <v>4.1887260699999994E-4</v>
      </c>
      <c r="AW498" s="1050" cm="1">
        <f t="array" aca="1" ref="AW498" ca="1">INDEX(OFFSET($AK$19,MATCH($B498,$B$19:$B$150,0)-1,0,COUNTA($B$19:$B$24),COUNTA($AK$17:$BB$17)),MATCH($F498,$F$19:$F$24,0),MATCH(AW$17,$AK$17:$BB$17,0))*INDEX($10:$13,MATCH($O498,$R$10:$R$13,0),COLUMN())</f>
        <v>7.4340619199999985E-2</v>
      </c>
      <c r="AX498" s="1050" cm="1">
        <f t="array" aca="1" ref="AX498" ca="1">INDEX(OFFSET($AK$19,MATCH($B498,$B$19:$B$150,0)-1,0,COUNTA($B$19:$B$24),COUNTA($AK$17:$BB$17)),MATCH($F498,$F$19:$F$24,0),MATCH(AX$17,$AK$17:$BB$17,0))*INDEX($10:$13,MATCH($O498,$R$10:$R$13,0),COLUMN())</f>
        <v>2.1969331964999999E-8</v>
      </c>
      <c r="AY498" s="1050" cm="1">
        <f t="array" aca="1" ref="AY498" ca="1">INDEX(OFFSET($AK$19,MATCH($B498,$B$19:$B$150,0)-1,0,COUNTA($B$19:$B$24),COUNTA($AK$17:$BB$17)),MATCH($F498,$F$19:$F$24,0),MATCH(AY$17,$AK$17:$BB$17,0))*INDEX($10:$13,MATCH($O498,$R$10:$R$13,0),COLUMN())</f>
        <v>-5.6620643062499996E-10</v>
      </c>
      <c r="AZ498" s="1050" cm="1">
        <f t="array" aca="1" ref="AZ498" ca="1">INDEX(OFFSET($AK$19,MATCH($B498,$B$19:$B$150,0)-1,0,COUNTA($B$19:$B$24),COUNTA($AK$17:$BB$17)),MATCH($F498,$F$19:$F$24,0),MATCH(AZ$17,$AK$17:$BB$17,0))*INDEX($10:$13,MATCH($O498,$R$10:$R$13,0),COLUMN())</f>
        <v>0</v>
      </c>
      <c r="BA498" s="1050" cm="1">
        <f t="array" aca="1" ref="BA498" ca="1">INDEX(OFFSET($AK$19,MATCH($B498,$B$19:$B$150,0)-1,0,COUNTA($B$19:$B$24),COUNTA($AK$17:$BB$17)),MATCH($F498,$F$19:$F$24,0),MATCH(BA$17,$AK$17:$BB$17,0))*INDEX($10:$13,MATCH($O498,$R$10:$R$13,0),COLUMN())</f>
        <v>0</v>
      </c>
      <c r="BB498" s="1051" cm="1">
        <f t="array" aca="1" ref="BB498" ca="1">INDEX(OFFSET($AK$19,MATCH($B498,$B$19:$B$150,0)-1,0,COUNTA($B$19:$B$24),COUNTA($AK$17:$BB$17)),MATCH($F498,$F$19:$F$24,0),MATCH(BB$17,$AK$17:$BB$17,0))*INDEX($10:$13,MATCH($O498,$R$10:$R$13,0),COLUMN())</f>
        <v>0</v>
      </c>
      <c r="BC498" s="1053">
        <f t="shared" ca="1" si="179"/>
        <v>7.4340640603125521E-2</v>
      </c>
      <c r="BE498" s="1"/>
      <c r="BF498" s="1"/>
      <c r="BG498" s="1"/>
      <c r="BH498" s="1"/>
      <c r="BI498" s="1"/>
      <c r="BJ498" s="1"/>
      <c r="BK498" s="1"/>
      <c r="BL498" s="1"/>
      <c r="BM498" s="1"/>
      <c r="BN498" s="1"/>
      <c r="BO498" s="1"/>
      <c r="BP498" s="1"/>
      <c r="BQ498" s="1"/>
      <c r="BR498" s="1"/>
      <c r="BS498" s="1"/>
      <c r="BT498" s="1"/>
      <c r="BU498" s="1"/>
      <c r="BV498" s="1"/>
      <c r="BW498" s="1"/>
      <c r="BX498" s="1"/>
      <c r="BY498" s="1"/>
      <c r="BZ498" s="1"/>
    </row>
    <row r="499" spans="2:78" ht="12" customHeight="1" outlineLevel="1" x14ac:dyDescent="0.25">
      <c r="B499" s="104" t="s">
        <v>109</v>
      </c>
      <c r="C499" s="104" t="s">
        <v>121</v>
      </c>
      <c r="D499" s="2" t="s">
        <v>143</v>
      </c>
      <c r="E499" s="2" t="s">
        <v>146</v>
      </c>
      <c r="F499" s="105" t="s">
        <v>95</v>
      </c>
      <c r="G499" s="27" t="s">
        <v>1581</v>
      </c>
      <c r="H499" s="106" t="s">
        <v>128</v>
      </c>
      <c r="I499" s="107" t="s">
        <v>127</v>
      </c>
      <c r="J499" s="147">
        <v>6.4197011599999998</v>
      </c>
      <c r="K499" s="148">
        <v>0.91249000000000002</v>
      </c>
      <c r="L499" s="149">
        <f t="shared" ca="1" si="177"/>
        <v>0.21467695159447228</v>
      </c>
      <c r="M499" s="148">
        <f t="shared" ca="1" si="178"/>
        <v>1.10838057156044</v>
      </c>
      <c r="N499" s="148">
        <f t="shared" ca="1" si="180"/>
        <v>0.19589057156044001</v>
      </c>
      <c r="O499" s="1062" t="s">
        <v>1584</v>
      </c>
      <c r="P499" s="104"/>
      <c r="R499" s="119"/>
      <c r="S499" s="1072"/>
      <c r="T499" s="1072"/>
      <c r="U499" s="1072"/>
      <c r="V499" s="1072"/>
      <c r="W499" s="1072"/>
      <c r="X499" s="1072"/>
      <c r="Y499" s="1072"/>
      <c r="Z499" s="1072"/>
      <c r="AA499" s="1072"/>
      <c r="AB499" s="1072"/>
      <c r="AC499" s="1072"/>
      <c r="AD499" s="1072"/>
      <c r="AE499" s="1072"/>
      <c r="AF499" s="1072"/>
      <c r="AG499" s="1072"/>
      <c r="AH499" s="1072"/>
      <c r="AI499" s="1072"/>
      <c r="AJ499" s="1073"/>
      <c r="AK499" s="1052" cm="1">
        <f t="array" aca="1" ref="AK499" ca="1">INDEX(OFFSET($AK$19,MATCH($B499,$B$19:$B$150,0)-1,0,COUNTA($B$19:$B$24),COUNTA($AK$17:$BB$17)),MATCH($F499,$F$19:$F$24,0),MATCH(AK$17,$AK$17:$BB$17,0))*INDEX($10:$13,MATCH($O499,$R$10:$R$13,0),COLUMN())</f>
        <v>2.7310918983109344E-2</v>
      </c>
      <c r="AL499" s="1050" cm="1">
        <f t="array" aca="1" ref="AL499" ca="1">INDEX(OFFSET($AK$19,MATCH($B499,$B$19:$B$150,0)-1,0,COUNTA($B$19:$B$24),COUNTA($AK$17:$BB$17)),MATCH($F499,$F$19:$F$24,0),MATCH(AL$17,$AK$17:$BB$17,0))*INDEX($10:$13,MATCH($O499,$R$10:$R$13,0),COLUMN())</f>
        <v>5.298364942E-8</v>
      </c>
      <c r="AM499" s="1050" cm="1">
        <f t="array" aca="1" ref="AM499" ca="1">INDEX(OFFSET($AK$19,MATCH($B499,$B$19:$B$150,0)-1,0,COUNTA($B$19:$B$24),COUNTA($AK$17:$BB$17)),MATCH($F499,$F$19:$F$24,0),MATCH(AM$17,$AK$17:$BB$17,0))*INDEX($10:$13,MATCH($O499,$R$10:$R$13,0),COLUMN())</f>
        <v>8.7070203990000013E-5</v>
      </c>
      <c r="AN499" s="1050" cm="1">
        <f t="array" aca="1" ref="AN499" ca="1">INDEX(OFFSET($AK$19,MATCH($B499,$B$19:$B$150,0)-1,0,COUNTA($B$19:$B$24),COUNTA($AK$17:$BB$17)),MATCH($F499,$F$19:$F$24,0),MATCH(AN$17,$AK$17:$BB$17,0))*INDEX($10:$13,MATCH($O499,$R$10:$R$13,0),COLUMN())</f>
        <v>1.1974599E-3</v>
      </c>
      <c r="AO499" s="1050" cm="1">
        <f t="array" aca="1" ref="AO499" ca="1">INDEX(OFFSET($AK$19,MATCH($B499,$B$19:$B$150,0)-1,0,COUNTA($B$19:$B$24),COUNTA($AK$17:$BB$17)),MATCH($F499,$F$19:$F$24,0),MATCH(AO$17,$AK$17:$BB$17,0))*INDEX($10:$13,MATCH($O499,$R$10:$R$13,0),COLUMN())</f>
        <v>3.8754889600000002E-2</v>
      </c>
      <c r="AP499" s="1050" cm="1">
        <f t="array" aca="1" ref="AP499" ca="1">INDEX(OFFSET($AK$19,MATCH($B499,$B$19:$B$150,0)-1,0,COUNTA($B$19:$B$24),COUNTA($AK$17:$BB$17)),MATCH($F499,$F$19:$F$24,0),MATCH(AP$17,$AK$17:$BB$17,0))*INDEX($10:$13,MATCH($O499,$R$10:$R$13,0),COLUMN())</f>
        <v>4.4370101430000006E-3</v>
      </c>
      <c r="AQ499" s="1050" cm="1">
        <f t="array" aca="1" ref="AQ499" ca="1">INDEX(OFFSET($AK$19,MATCH($B499,$B$19:$B$150,0)-1,0,COUNTA($B$19:$B$24),COUNTA($AK$17:$BB$17)),MATCH($F499,$F$19:$F$24,0),MATCH(AQ$17,$AK$17:$BB$17,0))*INDEX($10:$13,MATCH($O499,$R$10:$R$13,0),COLUMN())</f>
        <v>4.3223707500000001E-5</v>
      </c>
      <c r="AR499" s="1050" cm="1">
        <f t="array" aca="1" ref="AR499" ca="1">INDEX(OFFSET($AK$19,MATCH($B499,$B$19:$B$150,0)-1,0,COUNTA($B$19:$B$24),COUNTA($AK$17:$BB$17)),MATCH($F499,$F$19:$F$24,0),MATCH(AR$17,$AK$17:$BB$17,0))*INDEX($10:$13,MATCH($O499,$R$10:$R$13,0),COLUMN())</f>
        <v>3.027226417E-2</v>
      </c>
      <c r="AS499" s="1050" cm="1">
        <f t="array" aca="1" ref="AS499" ca="1">INDEX(OFFSET($AK$19,MATCH($B499,$B$19:$B$150,0)-1,0,COUNTA($B$19:$B$24),COUNTA($AK$17:$BB$17)),MATCH($F499,$F$19:$F$24,0),MATCH(AS$17,$AK$17:$BB$17,0))*INDEX($10:$13,MATCH($O499,$R$10:$R$13,0),COLUMN())</f>
        <v>4.9988575259999994E-4</v>
      </c>
      <c r="AT499" s="1050" cm="1">
        <f t="array" aca="1" ref="AT499" ca="1">INDEX(OFFSET($AK$19,MATCH($B499,$B$19:$B$150,0)-1,0,COUNTA($B$19:$B$24),COUNTA($AK$17:$BB$17)),MATCH($F499,$F$19:$F$24,0),MATCH(AT$17,$AK$17:$BB$17,0))*INDEX($10:$13,MATCH($O499,$R$10:$R$13,0),COLUMN())</f>
        <v>1.2874017510000001E-6</v>
      </c>
      <c r="AU499" s="1050" cm="1">
        <f t="array" aca="1" ref="AU499" ca="1">INDEX(OFFSET($AK$19,MATCH($B499,$B$19:$B$150,0)-1,0,COUNTA($B$19:$B$24),COUNTA($AK$17:$BB$17)),MATCH($F499,$F$19:$F$24,0),MATCH(AU$17,$AK$17:$BB$17,0))*INDEX($10:$13,MATCH($O499,$R$10:$R$13,0),COLUMN())</f>
        <v>2.5123179712000002E-7</v>
      </c>
      <c r="AV499" s="1050" cm="1">
        <f t="array" aca="1" ref="AV499" ca="1">INDEX(OFFSET($AK$19,MATCH($B499,$B$19:$B$150,0)-1,0,COUNTA($B$19:$B$24),COUNTA($AK$17:$BB$17)),MATCH($F499,$F$19:$F$24,0),MATCH(AV$17,$AK$17:$BB$17,0))*INDEX($10:$13,MATCH($O499,$R$10:$R$13,0),COLUMN())</f>
        <v>4.5662213899999998E-3</v>
      </c>
      <c r="AW499" s="1050" cm="1">
        <f t="array" aca="1" ref="AW499" ca="1">INDEX(OFFSET($AK$19,MATCH($B499,$B$19:$B$150,0)-1,0,COUNTA($B$19:$B$24),COUNTA($AK$17:$BB$17)),MATCH($F499,$F$19:$F$24,0),MATCH(AW$17,$AK$17:$BB$17,0))*INDEX($10:$13,MATCH($O499,$R$10:$R$13,0),COLUMN())</f>
        <v>8.8720010549999992E-2</v>
      </c>
      <c r="AX499" s="1050" cm="1">
        <f t="array" aca="1" ref="AX499" ca="1">INDEX(OFFSET($AK$19,MATCH($B499,$B$19:$B$150,0)-1,0,COUNTA($B$19:$B$24),COUNTA($AK$17:$BB$17)),MATCH($F499,$F$19:$F$24,0),MATCH(AX$17,$AK$17:$BB$17,0))*INDEX($10:$13,MATCH($O499,$R$10:$R$13,0),COLUMN())</f>
        <v>2.6218768499999999E-8</v>
      </c>
      <c r="AY499" s="1050" cm="1">
        <f t="array" aca="1" ref="AY499" ca="1">INDEX(OFFSET($AK$19,MATCH($B499,$B$19:$B$150,0)-1,0,COUNTA($B$19:$B$24),COUNTA($AK$17:$BB$17)),MATCH($F499,$F$19:$F$24,0),MATCH(AY$17,$AK$17:$BB$17,0))*INDEX($10:$13,MATCH($O499,$R$10:$R$13,0),COLUMN())</f>
        <v>-6.757253606249999E-10</v>
      </c>
      <c r="AZ499" s="1050" cm="1">
        <f t="array" aca="1" ref="AZ499" ca="1">INDEX(OFFSET($AK$19,MATCH($B499,$B$19:$B$150,0)-1,0,COUNTA($B$19:$B$24),COUNTA($AK$17:$BB$17)),MATCH($F499,$F$19:$F$24,0),MATCH(AZ$17,$AK$17:$BB$17,0))*INDEX($10:$13,MATCH($O499,$R$10:$R$13,0),COLUMN())</f>
        <v>0</v>
      </c>
      <c r="BA499" s="1050" cm="1">
        <f t="array" aca="1" ref="BA499" ca="1">INDEX(OFFSET($AK$19,MATCH($B499,$B$19:$B$150,0)-1,0,COUNTA($B$19:$B$24),COUNTA($AK$17:$BB$17)),MATCH($F499,$F$19:$F$24,0),MATCH(BA$17,$AK$17:$BB$17,0))*INDEX($10:$13,MATCH($O499,$R$10:$R$13,0),COLUMN())</f>
        <v>0</v>
      </c>
      <c r="BB499" s="1051" cm="1">
        <f t="array" aca="1" ref="BB499" ca="1">INDEX(OFFSET($AK$19,MATCH($B499,$B$19:$B$150,0)-1,0,COUNTA($B$19:$B$24),COUNTA($AK$17:$BB$17)),MATCH($F499,$F$19:$F$24,0),MATCH(BB$17,$AK$17:$BB$17,0))*INDEX($10:$13,MATCH($O499,$R$10:$R$13,0),COLUMN())</f>
        <v>0</v>
      </c>
      <c r="BC499" s="1053">
        <f t="shared" ca="1" si="179"/>
        <v>8.8720036093043131E-2</v>
      </c>
      <c r="BE499" s="1"/>
      <c r="BF499" s="1"/>
      <c r="BG499" s="1"/>
      <c r="BH499" s="1"/>
      <c r="BI499" s="1"/>
      <c r="BJ499" s="1"/>
      <c r="BK499" s="1"/>
      <c r="BL499" s="1"/>
      <c r="BM499" s="1"/>
      <c r="BN499" s="1"/>
      <c r="BO499" s="1"/>
      <c r="BP499" s="1"/>
      <c r="BQ499" s="1"/>
      <c r="BR499" s="1"/>
      <c r="BS499" s="1"/>
      <c r="BT499" s="1"/>
      <c r="BU499" s="1"/>
      <c r="BV499" s="1"/>
      <c r="BW499" s="1"/>
      <c r="BX499" s="1"/>
      <c r="BY499" s="1"/>
      <c r="BZ499" s="1"/>
    </row>
    <row r="500" spans="2:78" ht="12" customHeight="1" outlineLevel="1" x14ac:dyDescent="0.25">
      <c r="B500" s="104" t="s">
        <v>109</v>
      </c>
      <c r="C500" s="104" t="s">
        <v>121</v>
      </c>
      <c r="D500" s="2" t="s">
        <v>143</v>
      </c>
      <c r="E500" s="2" t="s">
        <v>146</v>
      </c>
      <c r="F500" s="105" t="s">
        <v>96</v>
      </c>
      <c r="G500" s="27" t="s">
        <v>1582</v>
      </c>
      <c r="H500" s="106" t="s">
        <v>128</v>
      </c>
      <c r="I500" s="107" t="s">
        <v>1577</v>
      </c>
      <c r="J500" s="147">
        <v>6.4197011599999998</v>
      </c>
      <c r="K500" s="148">
        <v>0.91249000000000002</v>
      </c>
      <c r="L500" s="149">
        <f t="shared" ca="1" si="177"/>
        <v>0.24780354881043368</v>
      </c>
      <c r="M500" s="148">
        <f t="shared" ca="1" si="178"/>
        <v>1.1386082602540326</v>
      </c>
      <c r="N500" s="148">
        <f t="shared" ca="1" si="180"/>
        <v>0.22611826025403264</v>
      </c>
      <c r="O500" s="1062" t="s">
        <v>1584</v>
      </c>
      <c r="P500" s="104"/>
      <c r="R500" s="119"/>
      <c r="S500" s="1072"/>
      <c r="T500" s="1072"/>
      <c r="U500" s="1072"/>
      <c r="V500" s="1072"/>
      <c r="W500" s="1072"/>
      <c r="X500" s="1072"/>
      <c r="Y500" s="1072"/>
      <c r="Z500" s="1072"/>
      <c r="AA500" s="1072"/>
      <c r="AB500" s="1072"/>
      <c r="AC500" s="1072"/>
      <c r="AD500" s="1072"/>
      <c r="AE500" s="1072"/>
      <c r="AF500" s="1072"/>
      <c r="AG500" s="1072"/>
      <c r="AH500" s="1072"/>
      <c r="AI500" s="1072"/>
      <c r="AJ500" s="1073"/>
      <c r="AK500" s="1052" cm="1">
        <f t="array" aca="1" ref="AK500" ca="1">INDEX(OFFSET($AK$19,MATCH($B500,$B$19:$B$150,0)-1,0,COUNTA($B$19:$B$24),COUNTA($AK$17:$BB$17)),MATCH($F500,$F$19:$F$24,0),MATCH(AK$17,$AK$17:$BB$17,0))*INDEX($10:$13,MATCH($O500,$R$10:$R$13,0),COLUMN())</f>
        <v>2.9649520906470411E-2</v>
      </c>
      <c r="AL500" s="1050" cm="1">
        <f t="array" aca="1" ref="AL500" ca="1">INDEX(OFFSET($AK$19,MATCH($B500,$B$19:$B$150,0)-1,0,COUNTA($B$19:$B$24),COUNTA($AK$17:$BB$17)),MATCH($F500,$F$19:$F$24,0),MATCH(AL$17,$AK$17:$BB$17,0))*INDEX($10:$13,MATCH($O500,$R$10:$R$13,0),COLUMN())</f>
        <v>5.324624162E-8</v>
      </c>
      <c r="AM500" s="1050" cm="1">
        <f t="array" aca="1" ref="AM500" ca="1">INDEX(OFFSET($AK$19,MATCH($B500,$B$19:$B$150,0)-1,0,COUNTA($B$19:$B$24),COUNTA($AK$17:$BB$17)),MATCH($F500,$F$19:$F$24,0),MATCH(AM$17,$AK$17:$BB$17,0))*INDEX($10:$13,MATCH($O500,$R$10:$R$13,0),COLUMN())</f>
        <v>8.7499651140000002E-5</v>
      </c>
      <c r="AN500" s="1050" cm="1">
        <f t="array" aca="1" ref="AN500" ca="1">INDEX(OFFSET($AK$19,MATCH($B500,$B$19:$B$150,0)-1,0,COUNTA($B$19:$B$24),COUNTA($AK$17:$BB$17)),MATCH($F500,$F$19:$F$24,0),MATCH(AN$17,$AK$17:$BB$17,0))*INDEX($10:$13,MATCH($O500,$R$10:$R$13,0),COLUMN())</f>
        <v>1.2489148559999999E-3</v>
      </c>
      <c r="AO500" s="1050" cm="1">
        <f t="array" aca="1" ref="AO500" ca="1">INDEX(OFFSET($AK$19,MATCH($B500,$B$19:$B$150,0)-1,0,COUNTA($B$19:$B$24),COUNTA($AK$17:$BB$17)),MATCH($F500,$F$19:$F$24,0),MATCH(AO$17,$AK$17:$BB$17,0))*INDEX($10:$13,MATCH($O500,$R$10:$R$13,0),COLUMN())</f>
        <v>5.4890701600000008E-2</v>
      </c>
      <c r="AP500" s="1050" cm="1">
        <f t="array" aca="1" ref="AP500" ca="1">INDEX(OFFSET($AK$19,MATCH($B500,$B$19:$B$150,0)-1,0,COUNTA($B$19:$B$24),COUNTA($AK$17:$BB$17)),MATCH($F500,$F$19:$F$24,0),MATCH(AP$17,$AK$17:$BB$17,0))*INDEX($10:$13,MATCH($O500,$R$10:$R$13,0),COLUMN())</f>
        <v>6.7175449480000003E-3</v>
      </c>
      <c r="AQ500" s="1050" cm="1">
        <f t="array" aca="1" ref="AQ500" ca="1">INDEX(OFFSET($AK$19,MATCH($B500,$B$19:$B$150,0)-1,0,COUNTA($B$19:$B$24),COUNTA($AK$17:$BB$17)),MATCH($F500,$F$19:$F$24,0),MATCH(AQ$17,$AK$17:$BB$17,0))*INDEX($10:$13,MATCH($O500,$R$10:$R$13,0),COLUMN())</f>
        <v>6.6227737499999995E-5</v>
      </c>
      <c r="AR500" s="1050" cm="1">
        <f t="array" aca="1" ref="AR500" ca="1">INDEX(OFFSET($AK$19,MATCH($B500,$B$19:$B$150,0)-1,0,COUNTA($B$19:$B$24),COUNTA($AK$17:$BB$17)),MATCH($F500,$F$19:$F$24,0),MATCH(AR$17,$AK$17:$BB$17,0))*INDEX($10:$13,MATCH($O500,$R$10:$R$13,0),COLUMN())</f>
        <v>3.6015121749999997E-2</v>
      </c>
      <c r="AS500" s="1050" cm="1">
        <f t="array" aca="1" ref="AS500" ca="1">INDEX(OFFSET($AK$19,MATCH($B500,$B$19:$B$150,0)-1,0,COUNTA($B$19:$B$24),COUNTA($AK$17:$BB$17)),MATCH($F500,$F$19:$F$24,0),MATCH(AS$17,$AK$17:$BB$17,0))*INDEX($10:$13,MATCH($O500,$R$10:$R$13,0),COLUMN())</f>
        <v>8.4531163859999999E-4</v>
      </c>
      <c r="AT500" s="1050" cm="1">
        <f t="array" aca="1" ref="AT500" ca="1">INDEX(OFFSET($AK$19,MATCH($B500,$B$19:$B$150,0)-1,0,COUNTA($B$19:$B$24),COUNTA($AK$17:$BB$17)),MATCH($F500,$F$19:$F$24,0),MATCH(AT$17,$AK$17:$BB$17,0))*INDEX($10:$13,MATCH($O500,$R$10:$R$13,0),COLUMN())</f>
        <v>1.443156009E-6</v>
      </c>
      <c r="AU500" s="1050" cm="1">
        <f t="array" aca="1" ref="AU500" ca="1">INDEX(OFFSET($AK$19,MATCH($B500,$B$19:$B$150,0)-1,0,COUNTA($B$19:$B$24),COUNTA($AK$17:$BB$17)),MATCH($F500,$F$19:$F$24,0),MATCH(AU$17,$AK$17:$BB$17,0))*INDEX($10:$13,MATCH($O500,$R$10:$R$13,0),COLUMN())</f>
        <v>2.7347102848000002E-7</v>
      </c>
      <c r="AV500" s="1050" cm="1">
        <f t="array" aca="1" ref="AV500" ca="1">INDEX(OFFSET($AK$19,MATCH($B500,$B$19:$B$150,0)-1,0,COUNTA($B$19:$B$24),COUNTA($AK$17:$BB$17)),MATCH($F500,$F$19:$F$24,0),MATCH(AV$17,$AK$17:$BB$17,0))*INDEX($10:$13,MATCH($O500,$R$10:$R$13,0),COLUMN())</f>
        <v>7.8756111999999986E-3</v>
      </c>
      <c r="AW500" s="1050" cm="1">
        <f t="array" aca="1" ref="AW500" ca="1">INDEX(OFFSET($AK$19,MATCH($B500,$B$19:$B$150,0)-1,0,COUNTA($B$19:$B$24),COUNTA($AK$17:$BB$17)),MATCH($F500,$F$19:$F$24,0),MATCH(AW$17,$AK$17:$BB$17,0))*INDEX($10:$13,MATCH($O500,$R$10:$R$13,0),COLUMN())</f>
        <v>8.8720010549999992E-2</v>
      </c>
      <c r="AX500" s="1050" cm="1">
        <f t="array" aca="1" ref="AX500" ca="1">INDEX(OFFSET($AK$19,MATCH($B500,$B$19:$B$150,0)-1,0,COUNTA($B$19:$B$24),COUNTA($AK$17:$BB$17)),MATCH($F500,$F$19:$F$24,0),MATCH(AX$17,$AK$17:$BB$17,0))*INDEX($10:$13,MATCH($O500,$R$10:$R$13,0),COLUMN())</f>
        <v>2.6218768499999999E-8</v>
      </c>
      <c r="AY500" s="1050" cm="1">
        <f t="array" aca="1" ref="AY500" ca="1">INDEX(OFFSET($AK$19,MATCH($B500,$B$19:$B$150,0)-1,0,COUNTA($B$19:$B$24),COUNTA($AK$17:$BB$17)),MATCH($F500,$F$19:$F$24,0),MATCH(AY$17,$AK$17:$BB$17,0))*INDEX($10:$13,MATCH($O500,$R$10:$R$13,0),COLUMN())</f>
        <v>-6.757253606249999E-10</v>
      </c>
      <c r="AZ500" s="1050" cm="1">
        <f t="array" aca="1" ref="AZ500" ca="1">INDEX(OFFSET($AK$19,MATCH($B500,$B$19:$B$150,0)-1,0,COUNTA($B$19:$B$24),COUNTA($AK$17:$BB$17)),MATCH($F500,$F$19:$F$24,0),MATCH(AZ$17,$AK$17:$BB$17,0))*INDEX($10:$13,MATCH($O500,$R$10:$R$13,0),COLUMN())</f>
        <v>0</v>
      </c>
      <c r="BA500" s="1050" cm="1">
        <f t="array" aca="1" ref="BA500" ca="1">INDEX(OFFSET($AK$19,MATCH($B500,$B$19:$B$150,0)-1,0,COUNTA($B$19:$B$24),COUNTA($AK$17:$BB$17)),MATCH($F500,$F$19:$F$24,0),MATCH(BA$17,$AK$17:$BB$17,0))*INDEX($10:$13,MATCH($O500,$R$10:$R$13,0),COLUMN())</f>
        <v>0</v>
      </c>
      <c r="BB500" s="1051" cm="1">
        <f t="array" aca="1" ref="BB500" ca="1">INDEX(OFFSET($AK$19,MATCH($B500,$B$19:$B$150,0)-1,0,COUNTA($B$19:$B$24),COUNTA($AK$17:$BB$17)),MATCH($F500,$F$19:$F$24,0),MATCH(BB$17,$AK$17:$BB$17,0))*INDEX($10:$13,MATCH($O500,$R$10:$R$13,0),COLUMN())</f>
        <v>0</v>
      </c>
      <c r="BC500" s="1053">
        <f t="shared" ca="1" si="179"/>
        <v>8.8720036093043131E-2</v>
      </c>
      <c r="BE500" s="1"/>
      <c r="BF500" s="1"/>
      <c r="BG500" s="1"/>
      <c r="BH500" s="1"/>
      <c r="BI500" s="1"/>
      <c r="BJ500" s="1"/>
      <c r="BK500" s="1"/>
      <c r="BL500" s="1"/>
      <c r="BM500" s="1"/>
      <c r="BN500" s="1"/>
      <c r="BO500" s="1"/>
      <c r="BP500" s="1"/>
      <c r="BQ500" s="1"/>
      <c r="BR500" s="1"/>
      <c r="BS500" s="1"/>
      <c r="BT500" s="1"/>
      <c r="BU500" s="1"/>
      <c r="BV500" s="1"/>
      <c r="BW500" s="1"/>
      <c r="BX500" s="1"/>
      <c r="BY500" s="1"/>
      <c r="BZ500" s="1"/>
    </row>
    <row r="501" spans="2:78" ht="12" customHeight="1" outlineLevel="1" x14ac:dyDescent="0.25">
      <c r="B501" s="88" t="s">
        <v>110</v>
      </c>
      <c r="C501" s="88" t="s">
        <v>121</v>
      </c>
      <c r="D501" s="89" t="s">
        <v>143</v>
      </c>
      <c r="E501" s="89" t="s">
        <v>147</v>
      </c>
      <c r="F501" s="90" t="s">
        <v>92</v>
      </c>
      <c r="G501" s="18" t="s">
        <v>126</v>
      </c>
      <c r="H501" s="91" t="s">
        <v>127</v>
      </c>
      <c r="I501" s="92" t="s">
        <v>127</v>
      </c>
      <c r="J501" s="142">
        <v>6.3623397199999996</v>
      </c>
      <c r="K501" s="143">
        <v>0.29699999999999999</v>
      </c>
      <c r="L501" s="144">
        <f t="shared" ca="1" si="177"/>
        <v>1.2963062305391899</v>
      </c>
      <c r="M501" s="143">
        <f t="shared" ca="1" si="178"/>
        <v>0.68200295047013937</v>
      </c>
      <c r="N501" s="143">
        <f t="shared" ca="1" si="180"/>
        <v>0.38500295047013938</v>
      </c>
      <c r="O501" s="1063" t="s">
        <v>1584</v>
      </c>
      <c r="P501" s="88"/>
      <c r="Q501" s="89"/>
      <c r="R501" s="150"/>
      <c r="S501" s="1070"/>
      <c r="T501" s="1070"/>
      <c r="U501" s="1070"/>
      <c r="V501" s="1070"/>
      <c r="W501" s="1070"/>
      <c r="X501" s="1070"/>
      <c r="Y501" s="1070"/>
      <c r="Z501" s="1070"/>
      <c r="AA501" s="1070"/>
      <c r="AB501" s="1070"/>
      <c r="AC501" s="1070"/>
      <c r="AD501" s="1070"/>
      <c r="AE501" s="1070"/>
      <c r="AF501" s="1070"/>
      <c r="AG501" s="1070"/>
      <c r="AH501" s="1070"/>
      <c r="AI501" s="1070"/>
      <c r="AJ501" s="1071"/>
      <c r="AK501" s="1048" cm="1">
        <f t="array" aca="1" ref="AK501" ca="1">INDEX(OFFSET($AK$19,MATCH($B501,$B$19:$B$150,0)-1,0,COUNTA($B$19:$B$24),COUNTA($AK$17:$BB$17)),MATCH($F501,$F$19:$F$24,0),MATCH(AK$17,$AK$17:$BB$17,0))*INDEX($10:$13,MATCH($O501,$R$10:$R$13,0),COLUMN())</f>
        <v>5.0182732876767659E-2</v>
      </c>
      <c r="AL501" s="1046" cm="1">
        <f t="array" aca="1" ref="AL501" ca="1">INDEX(OFFSET($AK$19,MATCH($B501,$B$19:$B$150,0)-1,0,COUNTA($B$19:$B$24),COUNTA($AK$17:$BB$17)),MATCH($F501,$F$19:$F$24,0),MATCH(AL$17,$AK$17:$BB$17,0))*INDEX($10:$13,MATCH($O501,$R$10:$R$13,0),COLUMN())</f>
        <v>2.0782294793000002E-7</v>
      </c>
      <c r="AM501" s="1046" cm="1">
        <f t="array" aca="1" ref="AM501" ca="1">INDEX(OFFSET($AK$19,MATCH($B501,$B$19:$B$150,0)-1,0,COUNTA($B$19:$B$24),COUNTA($AK$17:$BB$17)),MATCH($F501,$F$19:$F$24,0),MATCH(AM$17,$AK$17:$BB$17,0))*INDEX($10:$13,MATCH($O501,$R$10:$R$13,0),COLUMN())</f>
        <v>3.4419710160000003E-4</v>
      </c>
      <c r="AN501" s="1046" cm="1">
        <f t="array" aca="1" ref="AN501" ca="1">INDEX(OFFSET($AK$19,MATCH($B501,$B$19:$B$150,0)-1,0,COUNTA($B$19:$B$24),COUNTA($AK$17:$BB$17)),MATCH($F501,$F$19:$F$24,0),MATCH(AN$17,$AK$17:$BB$17,0))*INDEX($10:$13,MATCH($O501,$R$10:$R$13,0),COLUMN())</f>
        <v>1.511448456E-3</v>
      </c>
      <c r="AO501" s="1046" cm="1">
        <f t="array" aca="1" ref="AO501" ca="1">INDEX(OFFSET($AK$19,MATCH($B501,$B$19:$B$150,0)-1,0,COUNTA($B$19:$B$24),COUNTA($AK$17:$BB$17)),MATCH($F501,$F$19:$F$24,0),MATCH(AO$17,$AK$17:$BB$17,0))*INDEX($10:$13,MATCH($O501,$R$10:$R$13,0),COLUMN())</f>
        <v>6.7509268399999989E-2</v>
      </c>
      <c r="AP501" s="1046" cm="1">
        <f t="array" aca="1" ref="AP501" ca="1">INDEX(OFFSET($AK$19,MATCH($B501,$B$19:$B$150,0)-1,0,COUNTA($B$19:$B$24),COUNTA($AK$17:$BB$17)),MATCH($F501,$F$19:$F$24,0),MATCH(AP$17,$AK$17:$BB$17,0))*INDEX($10:$13,MATCH($O501,$R$10:$R$13,0),COLUMN())</f>
        <v>8.1629745380000004E-3</v>
      </c>
      <c r="AQ501" s="1046" cm="1">
        <f t="array" aca="1" ref="AQ501" ca="1">INDEX(OFFSET($AK$19,MATCH($B501,$B$19:$B$150,0)-1,0,COUNTA($B$19:$B$24),COUNTA($AK$17:$BB$17)),MATCH($F501,$F$19:$F$24,0),MATCH(AQ$17,$AK$17:$BB$17,0))*INDEX($10:$13,MATCH($O501,$R$10:$R$13,0),COLUMN())</f>
        <v>1.17509405E-4</v>
      </c>
      <c r="AR501" s="1046" cm="1">
        <f t="array" aca="1" ref="AR501" ca="1">INDEX(OFFSET($AK$19,MATCH($B501,$B$19:$B$150,0)-1,0,COUNTA($B$19:$B$24),COUNTA($AK$17:$BB$17)),MATCH($F501,$F$19:$F$24,0),MATCH(AR$17,$AK$17:$BB$17,0))*INDEX($10:$13,MATCH($O501,$R$10:$R$13,0),COLUMN())</f>
        <v>4.914842472E-2</v>
      </c>
      <c r="AS501" s="1046" cm="1">
        <f t="array" aca="1" ref="AS501" ca="1">INDEX(OFFSET($AK$19,MATCH($B501,$B$19:$B$150,0)-1,0,COUNTA($B$19:$B$24),COUNTA($AK$17:$BB$17)),MATCH($F501,$F$19:$F$24,0),MATCH(AS$17,$AK$17:$BB$17,0))*INDEX($10:$13,MATCH($O501,$R$10:$R$13,0),COLUMN())</f>
        <v>7.4240255699999994E-2</v>
      </c>
      <c r="AT501" s="1046" cm="1">
        <f t="array" aca="1" ref="AT501" ca="1">INDEX(OFFSET($AK$19,MATCH($B501,$B$19:$B$150,0)-1,0,COUNTA($B$19:$B$24),COUNTA($AK$17:$BB$17)),MATCH($F501,$F$19:$F$24,0),MATCH(AT$17,$AK$17:$BB$17,0))*INDEX($10:$13,MATCH($O501,$R$10:$R$13,0),COLUMN())</f>
        <v>8.314207075E-5</v>
      </c>
      <c r="AU501" s="1046" cm="1">
        <f t="array" aca="1" ref="AU501" ca="1">INDEX(OFFSET($AK$19,MATCH($B501,$B$19:$B$150,0)-1,0,COUNTA($B$19:$B$24),COUNTA($AK$17:$BB$17)),MATCH($F501,$F$19:$F$24,0),MATCH(AU$17,$AK$17:$BB$17,0))*INDEX($10:$13,MATCH($O501,$R$10:$R$13,0),COLUMN())</f>
        <v>5.8934769600000007E-6</v>
      </c>
      <c r="AV501" s="1046" cm="1">
        <f t="array" aca="1" ref="AV501" ca="1">INDEX(OFFSET($AK$19,MATCH($B501,$B$19:$B$150,0)-1,0,COUNTA($B$19:$B$24),COUNTA($AK$17:$BB$17)),MATCH($F501,$F$19:$F$24,0),MATCH(AV$17,$AK$17:$BB$17,0))*INDEX($10:$13,MATCH($O501,$R$10:$R$13,0),COLUMN())</f>
        <v>1.3407041474999999E-2</v>
      </c>
      <c r="AW501" s="1046" cm="1">
        <f t="array" aca="1" ref="AW501" ca="1">INDEX(OFFSET($AK$19,MATCH($B501,$B$19:$B$150,0)-1,0,COUNTA($B$19:$B$24),COUNTA($AK$17:$BB$17)),MATCH($F501,$F$19:$F$24,0),MATCH(AW$17,$AK$17:$BB$17,0))*INDEX($10:$13,MATCH($O501,$R$10:$R$13,0),COLUMN())</f>
        <v>0.1202897067</v>
      </c>
      <c r="AX501" s="1046" cm="1">
        <f t="array" aca="1" ref="AX501" ca="1">INDEX(OFFSET($AK$19,MATCH($B501,$B$19:$B$150,0)-1,0,COUNTA($B$19:$B$24),COUNTA($AK$17:$BB$17)),MATCH($F501,$F$19:$F$24,0),MATCH(AX$17,$AK$17:$BB$17,0))*INDEX($10:$13,MATCH($O501,$R$10:$R$13,0),COLUMN())</f>
        <v>1.5167530559999998E-7</v>
      </c>
      <c r="AY501" s="1046" cm="1">
        <f t="array" aca="1" ref="AY501" ca="1">INDEX(OFFSET($AK$19,MATCH($B501,$B$19:$B$150,0)-1,0,COUNTA($B$19:$B$24),COUNTA($AK$17:$BB$17)),MATCH($F501,$F$19:$F$24,0),MATCH(AY$17,$AK$17:$BB$17,0))*INDEX($10:$13,MATCH($O501,$R$10:$R$13,0),COLUMN())</f>
        <v>-3.9481917749999995E-9</v>
      </c>
      <c r="AZ501" s="1046" cm="1">
        <f t="array" aca="1" ref="AZ501" ca="1">INDEX(OFFSET($AK$19,MATCH($B501,$B$19:$B$150,0)-1,0,COUNTA($B$19:$B$24),COUNTA($AK$17:$BB$17)),MATCH($F501,$F$19:$F$24,0),MATCH(AZ$17,$AK$17:$BB$17,0))*INDEX($10:$13,MATCH($O501,$R$10:$R$13,0),COLUMN())</f>
        <v>0</v>
      </c>
      <c r="BA501" s="1046" cm="1">
        <f t="array" aca="1" ref="BA501" ca="1">INDEX(OFFSET($AK$19,MATCH($B501,$B$19:$B$150,0)-1,0,COUNTA($B$19:$B$24),COUNTA($AK$17:$BB$17)),MATCH($F501,$F$19:$F$24,0),MATCH(BA$17,$AK$17:$BB$17,0))*INDEX($10:$13,MATCH($O501,$R$10:$R$13,0),COLUMN())</f>
        <v>0</v>
      </c>
      <c r="BB501" s="1047" cm="1">
        <f t="array" aca="1" ref="BB501" ca="1">INDEX(OFFSET($AK$19,MATCH($B501,$B$19:$B$150,0)-1,0,COUNTA($B$19:$B$24),COUNTA($AK$17:$BB$17)),MATCH($F501,$F$19:$F$24,0),MATCH(BB$17,$AK$17:$BB$17,0))*INDEX($10:$13,MATCH($O501,$R$10:$R$13,0),COLUMN())</f>
        <v>0</v>
      </c>
      <c r="BC501" s="1049">
        <f t="shared" ca="1" si="179"/>
        <v>0.12028985442711383</v>
      </c>
      <c r="BE501" s="1"/>
      <c r="BF501" s="1"/>
      <c r="BG501" s="1"/>
      <c r="BH501" s="1"/>
      <c r="BI501" s="1"/>
      <c r="BJ501" s="1"/>
      <c r="BK501" s="1"/>
      <c r="BL501" s="1"/>
      <c r="BM501" s="1"/>
      <c r="BN501" s="1"/>
      <c r="BO501" s="1"/>
      <c r="BP501" s="1"/>
      <c r="BQ501" s="1"/>
      <c r="BR501" s="1"/>
      <c r="BS501" s="1"/>
      <c r="BT501" s="1"/>
      <c r="BU501" s="1"/>
      <c r="BV501" s="1"/>
      <c r="BW501" s="1"/>
      <c r="BX501" s="1"/>
      <c r="BY501" s="1"/>
      <c r="BZ501" s="1"/>
    </row>
    <row r="502" spans="2:78" ht="12" customHeight="1" outlineLevel="1" x14ac:dyDescent="0.25">
      <c r="B502" s="104" t="s">
        <v>110</v>
      </c>
      <c r="C502" s="104" t="s">
        <v>121</v>
      </c>
      <c r="D502" s="2" t="s">
        <v>143</v>
      </c>
      <c r="E502" s="2" t="s">
        <v>147</v>
      </c>
      <c r="F502" s="105" t="s">
        <v>122</v>
      </c>
      <c r="G502" s="27" t="s">
        <v>1579</v>
      </c>
      <c r="H502" s="106" t="s">
        <v>128</v>
      </c>
      <c r="I502" s="107" t="s">
        <v>129</v>
      </c>
      <c r="J502" s="147">
        <v>6.3623397199999996</v>
      </c>
      <c r="K502" s="148">
        <v>0.72726000000000002</v>
      </c>
      <c r="L502" s="149">
        <f t="shared" ca="1" si="177"/>
        <v>0.38438813376002423</v>
      </c>
      <c r="M502" s="148">
        <f t="shared" ca="1" si="178"/>
        <v>1.0068101141583152</v>
      </c>
      <c r="N502" s="148">
        <f t="shared" ca="1" si="180"/>
        <v>0.27955011415831521</v>
      </c>
      <c r="O502" s="1062" t="s">
        <v>1584</v>
      </c>
      <c r="P502" s="104"/>
      <c r="R502" s="119"/>
      <c r="S502" s="1072"/>
      <c r="T502" s="1072"/>
      <c r="U502" s="1072"/>
      <c r="V502" s="1072"/>
      <c r="W502" s="1072"/>
      <c r="X502" s="1072"/>
      <c r="Y502" s="1072"/>
      <c r="Z502" s="1072"/>
      <c r="AA502" s="1072"/>
      <c r="AB502" s="1072"/>
      <c r="AC502" s="1072"/>
      <c r="AD502" s="1072"/>
      <c r="AE502" s="1072"/>
      <c r="AF502" s="1072"/>
      <c r="AG502" s="1072"/>
      <c r="AH502" s="1072"/>
      <c r="AI502" s="1072"/>
      <c r="AJ502" s="1073"/>
      <c r="AK502" s="1052" cm="1">
        <f t="array" aca="1" ref="AK502" ca="1">INDEX(OFFSET($AK$19,MATCH($B502,$B$19:$B$150,0)-1,0,COUNTA($B$19:$B$24),COUNTA($AK$17:$BB$17)),MATCH($F502,$F$19:$F$24,0),MATCH(AK$17,$AK$17:$BB$17,0))*INDEX($10:$13,MATCH($O502,$R$10:$R$13,0),COLUMN())</f>
        <v>3.5892757848538716E-2</v>
      </c>
      <c r="AL502" s="1050" cm="1">
        <f t="array" aca="1" ref="AL502" ca="1">INDEX(OFFSET($AK$19,MATCH($B502,$B$19:$B$150,0)-1,0,COUNTA($B$19:$B$24),COUNTA($AK$17:$BB$17)),MATCH($F502,$F$19:$F$24,0),MATCH(AL$17,$AK$17:$BB$17,0))*INDEX($10:$13,MATCH($O502,$R$10:$R$13,0),COLUMN())</f>
        <v>9.4769628850000006E-8</v>
      </c>
      <c r="AM502" s="1050" cm="1">
        <f t="array" aca="1" ref="AM502" ca="1">INDEX(OFFSET($AK$19,MATCH($B502,$B$19:$B$150,0)-1,0,COUNTA($B$19:$B$24),COUNTA($AK$17:$BB$17)),MATCH($F502,$F$19:$F$24,0),MATCH(AM$17,$AK$17:$BB$17,0))*INDEX($10:$13,MATCH($O502,$R$10:$R$13,0),COLUMN())</f>
        <v>1.556857962E-4</v>
      </c>
      <c r="AN502" s="1050" cm="1">
        <f t="array" aca="1" ref="AN502" ca="1">INDEX(OFFSET($AK$19,MATCH($B502,$B$19:$B$150,0)-1,0,COUNTA($B$19:$B$24),COUNTA($AK$17:$BB$17)),MATCH($F502,$F$19:$F$24,0),MATCH(AN$17,$AK$17:$BB$17,0))*INDEX($10:$13,MATCH($O502,$R$10:$R$13,0),COLUMN())</f>
        <v>1.9546443839999999E-3</v>
      </c>
      <c r="AO502" s="1050" cm="1">
        <f t="array" aca="1" ref="AO502" ca="1">INDEX(OFFSET($AK$19,MATCH($B502,$B$19:$B$150,0)-1,0,COUNTA($B$19:$B$24),COUNTA($AK$17:$BB$17)),MATCH($F502,$F$19:$F$24,0),MATCH(AO$17,$AK$17:$BB$17,0))*INDEX($10:$13,MATCH($O502,$R$10:$R$13,0),COLUMN())</f>
        <v>3.0447603199999999E-2</v>
      </c>
      <c r="AP502" s="1050" cm="1">
        <f t="array" aca="1" ref="AP502" ca="1">INDEX(OFFSET($AK$19,MATCH($B502,$B$19:$B$150,0)-1,0,COUNTA($B$19:$B$24),COUNTA($AK$17:$BB$17)),MATCH($F502,$F$19:$F$24,0),MATCH(AP$17,$AK$17:$BB$17,0))*INDEX($10:$13,MATCH($O502,$R$10:$R$13,0),COLUMN())</f>
        <v>2.4787292380000002E-3</v>
      </c>
      <c r="AQ502" s="1050" cm="1">
        <f t="array" aca="1" ref="AQ502" ca="1">INDEX(OFFSET($AK$19,MATCH($B502,$B$19:$B$150,0)-1,0,COUNTA($B$19:$B$24),COUNTA($AK$17:$BB$17)),MATCH($F502,$F$19:$F$24,0),MATCH(AQ$17,$AK$17:$BB$17,0))*INDEX($10:$13,MATCH($O502,$R$10:$R$13,0),COLUMN())</f>
        <v>2.1440438999999999E-5</v>
      </c>
      <c r="AR502" s="1050" cm="1">
        <f t="array" aca="1" ref="AR502" ca="1">INDEX(OFFSET($AK$19,MATCH($B502,$B$19:$B$150,0)-1,0,COUNTA($B$19:$B$24),COUNTA($AK$17:$BB$17)),MATCH($F502,$F$19:$F$24,0),MATCH(AR$17,$AK$17:$BB$17,0))*INDEX($10:$13,MATCH($O502,$R$10:$R$13,0),COLUMN())</f>
        <v>3.1645717919999997E-2</v>
      </c>
      <c r="AS502" s="1050" cm="1">
        <f t="array" aca="1" ref="AS502" ca="1">INDEX(OFFSET($AK$19,MATCH($B502,$B$19:$B$150,0)-1,0,COUNTA($B$19:$B$24),COUNTA($AK$17:$BB$17)),MATCH($F502,$F$19:$F$24,0),MATCH(AS$17,$AK$17:$BB$17,0))*INDEX($10:$13,MATCH($O502,$R$10:$R$13,0),COLUMN())</f>
        <v>9.6203039399999987E-5</v>
      </c>
      <c r="AT502" s="1050" cm="1">
        <f t="array" aca="1" ref="AT502" ca="1">INDEX(OFFSET($AK$19,MATCH($B502,$B$19:$B$150,0)-1,0,COUNTA($B$19:$B$24),COUNTA($AK$17:$BB$17)),MATCH($F502,$F$19:$F$24,0),MATCH(AT$17,$AK$17:$BB$17,0))*INDEX($10:$13,MATCH($O502,$R$10:$R$13,0),COLUMN())</f>
        <v>1.8240462485E-6</v>
      </c>
      <c r="AU502" s="1050" cm="1">
        <f t="array" aca="1" ref="AU502" ca="1">INDEX(OFFSET($AK$19,MATCH($B502,$B$19:$B$150,0)-1,0,COUNTA($B$19:$B$24),COUNTA($AK$17:$BB$17)),MATCH($F502,$F$19:$F$24,0),MATCH(AU$17,$AK$17:$BB$17,0))*INDEX($10:$13,MATCH($O502,$R$10:$R$13,0),COLUMN())</f>
        <v>3.7723193696000002E-7</v>
      </c>
      <c r="AV502" s="1050" cm="1">
        <f t="array" aca="1" ref="AV502" ca="1">INDEX(OFFSET($AK$19,MATCH($B502,$B$19:$B$150,0)-1,0,COUNTA($B$19:$B$24),COUNTA($AK$17:$BB$17)),MATCH($F502,$F$19:$F$24,0),MATCH(AV$17,$AK$17:$BB$17,0))*INDEX($10:$13,MATCH($O502,$R$10:$R$13,0),COLUMN())</f>
        <v>2.4990531049999998E-3</v>
      </c>
      <c r="AW502" s="1050" cm="1">
        <f t="array" aca="1" ref="AW502" ca="1">INDEX(OFFSET($AK$19,MATCH($B502,$B$19:$B$150,0)-1,0,COUNTA($B$19:$B$24),COUNTA($AK$17:$BB$17)),MATCH($F502,$F$19:$F$24,0),MATCH(AW$17,$AK$17:$BB$17,0))*INDEX($10:$13,MATCH($O502,$R$10:$R$13,0),COLUMN())</f>
        <v>0.17435593889999998</v>
      </c>
      <c r="AX502" s="1050" cm="1">
        <f t="array" aca="1" ref="AX502" ca="1">INDEX(OFFSET($AK$19,MATCH($B502,$B$19:$B$150,0)-1,0,COUNTA($B$19:$B$24),COUNTA($AK$17:$BB$17)),MATCH($F502,$F$19:$F$24,0),MATCH(AX$17,$AK$17:$BB$17,0))*INDEX($10:$13,MATCH($O502,$R$10:$R$13,0),COLUMN())</f>
        <v>4.5410713649999994E-8</v>
      </c>
      <c r="AY502" s="1050" cm="1">
        <f t="array" aca="1" ref="AY502" ca="1">INDEX(OFFSET($AK$19,MATCH($B502,$B$19:$B$150,0)-1,0,COUNTA($B$19:$B$24),COUNTA($AK$17:$BB$17)),MATCH($F502,$F$19:$F$24,0),MATCH(AY$17,$AK$17:$BB$17,0))*INDEX($10:$13,MATCH($O502,$R$10:$R$13,0),COLUMN())</f>
        <v>-1.1703514106249998E-9</v>
      </c>
      <c r="AZ502" s="1050" cm="1">
        <f t="array" aca="1" ref="AZ502" ca="1">INDEX(OFFSET($AK$19,MATCH($B502,$B$19:$B$150,0)-1,0,COUNTA($B$19:$B$24),COUNTA($AK$17:$BB$17)),MATCH($F502,$F$19:$F$24,0),MATCH(AZ$17,$AK$17:$BB$17,0))*INDEX($10:$13,MATCH($O502,$R$10:$R$13,0),COLUMN())</f>
        <v>0</v>
      </c>
      <c r="BA502" s="1050" cm="1">
        <f t="array" aca="1" ref="BA502" ca="1">INDEX(OFFSET($AK$19,MATCH($B502,$B$19:$B$150,0)-1,0,COUNTA($B$19:$B$24),COUNTA($AK$17:$BB$17)),MATCH($F502,$F$19:$F$24,0),MATCH(BA$17,$AK$17:$BB$17,0))*INDEX($10:$13,MATCH($O502,$R$10:$R$13,0),COLUMN())</f>
        <v>0</v>
      </c>
      <c r="BB502" s="1051" cm="1">
        <f t="array" aca="1" ref="BB502" ca="1">INDEX(OFFSET($AK$19,MATCH($B502,$B$19:$B$150,0)-1,0,COUNTA($B$19:$B$24),COUNTA($AK$17:$BB$17)),MATCH($F502,$F$19:$F$24,0),MATCH(BB$17,$AK$17:$BB$17,0))*INDEX($10:$13,MATCH($O502,$R$10:$R$13,0),COLUMN())</f>
        <v>0</v>
      </c>
      <c r="BC502" s="1053">
        <f t="shared" ca="1" si="179"/>
        <v>0.17435598314036224</v>
      </c>
      <c r="BE502" s="1"/>
      <c r="BF502" s="1"/>
      <c r="BG502" s="1"/>
      <c r="BH502" s="1"/>
      <c r="BI502" s="1"/>
      <c r="BJ502" s="1"/>
      <c r="BK502" s="1"/>
      <c r="BL502" s="1"/>
      <c r="BM502" s="1"/>
      <c r="BN502" s="1"/>
      <c r="BO502" s="1"/>
      <c r="BP502" s="1"/>
      <c r="BQ502" s="1"/>
      <c r="BR502" s="1"/>
      <c r="BS502" s="1"/>
      <c r="BT502" s="1"/>
      <c r="BU502" s="1"/>
      <c r="BV502" s="1"/>
      <c r="BW502" s="1"/>
      <c r="BX502" s="1"/>
      <c r="BY502" s="1"/>
      <c r="BZ502" s="1"/>
    </row>
    <row r="503" spans="2:78" ht="12" customHeight="1" outlineLevel="1" x14ac:dyDescent="0.25">
      <c r="B503" s="104" t="s">
        <v>110</v>
      </c>
      <c r="C503" s="104" t="s">
        <v>121</v>
      </c>
      <c r="D503" s="2" t="s">
        <v>143</v>
      </c>
      <c r="E503" s="2" t="s">
        <v>147</v>
      </c>
      <c r="F503" s="105" t="s">
        <v>93</v>
      </c>
      <c r="G503" s="27" t="s">
        <v>1578</v>
      </c>
      <c r="H503" s="106" t="s">
        <v>130</v>
      </c>
      <c r="I503" s="107" t="s">
        <v>129</v>
      </c>
      <c r="J503" s="147">
        <v>6.3623397199999996</v>
      </c>
      <c r="K503" s="148">
        <v>0.72726000000000002</v>
      </c>
      <c r="L503" s="149">
        <f t="shared" ca="1" si="177"/>
        <v>0.47895257421137749</v>
      </c>
      <c r="M503" s="148">
        <f t="shared" ca="1" si="178"/>
        <v>1.0755830491209664</v>
      </c>
      <c r="N503" s="148">
        <f t="shared" ca="1" si="180"/>
        <v>0.3483230491209664</v>
      </c>
      <c r="O503" s="1062" t="s">
        <v>1584</v>
      </c>
      <c r="P503" s="104"/>
      <c r="R503" s="119"/>
      <c r="S503" s="1072"/>
      <c r="T503" s="1072"/>
      <c r="U503" s="1072"/>
      <c r="V503" s="1072"/>
      <c r="W503" s="1072"/>
      <c r="X503" s="1072"/>
      <c r="Y503" s="1072"/>
      <c r="Z503" s="1072"/>
      <c r="AA503" s="1072"/>
      <c r="AB503" s="1072"/>
      <c r="AC503" s="1072"/>
      <c r="AD503" s="1072"/>
      <c r="AE503" s="1072"/>
      <c r="AF503" s="1072"/>
      <c r="AG503" s="1072"/>
      <c r="AH503" s="1072"/>
      <c r="AI503" s="1072"/>
      <c r="AJ503" s="1073"/>
      <c r="AK503" s="1052" cm="1">
        <f t="array" aca="1" ref="AK503" ca="1">INDEX(OFFSET($AK$19,MATCH($B503,$B$19:$B$150,0)-1,0,COUNTA($B$19:$B$24),COUNTA($AK$17:$BB$17)),MATCH($F503,$F$19:$F$24,0),MATCH(AK$17,$AK$17:$BB$17,0))*INDEX($10:$13,MATCH($O503,$R$10:$R$13,0),COLUMN())</f>
        <v>4.4688692609484784E-2</v>
      </c>
      <c r="AL503" s="1050" cm="1">
        <f t="array" aca="1" ref="AL503" ca="1">INDEX(OFFSET($AK$19,MATCH($B503,$B$19:$B$150,0)-1,0,COUNTA($B$19:$B$24),COUNTA($AK$17:$BB$17)),MATCH($F503,$F$19:$F$24,0),MATCH(AL$17,$AK$17:$BB$17,0))*INDEX($10:$13,MATCH($O503,$R$10:$R$13,0),COLUMN())</f>
        <v>1.1799401939000001E-7</v>
      </c>
      <c r="AM503" s="1050" cm="1">
        <f t="array" aca="1" ref="AM503" ca="1">INDEX(OFFSET($AK$19,MATCH($B503,$B$19:$B$150,0)-1,0,COUNTA($B$19:$B$24),COUNTA($AK$17:$BB$17)),MATCH($F503,$F$19:$F$24,0),MATCH(AM$17,$AK$17:$BB$17,0))*INDEX($10:$13,MATCH($O503,$R$10:$R$13,0),COLUMN())</f>
        <v>1.9383839838000002E-4</v>
      </c>
      <c r="AN503" s="1050" cm="1">
        <f t="array" aca="1" ref="AN503" ca="1">INDEX(OFFSET($AK$19,MATCH($B503,$B$19:$B$150,0)-1,0,COUNTA($B$19:$B$24),COUNTA($AK$17:$BB$17)),MATCH($F503,$F$19:$F$24,0),MATCH(AN$17,$AK$17:$BB$17,0))*INDEX($10:$13,MATCH($O503,$R$10:$R$13,0),COLUMN())</f>
        <v>2.4336525360000002E-3</v>
      </c>
      <c r="AO503" s="1050" cm="1">
        <f t="array" aca="1" ref="AO503" ca="1">INDEX(OFFSET($AK$19,MATCH($B503,$B$19:$B$150,0)-1,0,COUNTA($B$19:$B$24),COUNTA($AK$17:$BB$17)),MATCH($F503,$F$19:$F$24,0),MATCH(AO$17,$AK$17:$BB$17,0))*INDEX($10:$13,MATCH($O503,$R$10:$R$13,0),COLUMN())</f>
        <v>3.7909141200000003E-2</v>
      </c>
      <c r="AP503" s="1050" cm="1">
        <f t="array" aca="1" ref="AP503" ca="1">INDEX(OFFSET($AK$19,MATCH($B503,$B$19:$B$150,0)-1,0,COUNTA($B$19:$B$24),COUNTA($AK$17:$BB$17)),MATCH($F503,$F$19:$F$24,0),MATCH(AP$17,$AK$17:$BB$17,0))*INDEX($10:$13,MATCH($O503,$R$10:$R$13,0),COLUMN())</f>
        <v>3.0861705018000005E-3</v>
      </c>
      <c r="AQ503" s="1050" cm="1">
        <f t="array" aca="1" ref="AQ503" ca="1">INDEX(OFFSET($AK$19,MATCH($B503,$B$19:$B$150,0)-1,0,COUNTA($B$19:$B$24),COUNTA($AK$17:$BB$17)),MATCH($F503,$F$19:$F$24,0),MATCH(AQ$17,$AK$17:$BB$17,0))*INDEX($10:$13,MATCH($O503,$R$10:$R$13,0),COLUMN())</f>
        <v>2.6694667500000002E-5</v>
      </c>
      <c r="AR503" s="1050" cm="1">
        <f t="array" aca="1" ref="AR503" ca="1">INDEX(OFFSET($AK$19,MATCH($B503,$B$19:$B$150,0)-1,0,COUNTA($B$19:$B$24),COUNTA($AK$17:$BB$17)),MATCH($F503,$F$19:$F$24,0),MATCH(AR$17,$AK$17:$BB$17,0))*INDEX($10:$13,MATCH($O503,$R$10:$R$13,0),COLUMN())</f>
        <v>3.9400866789999996E-2</v>
      </c>
      <c r="AS503" s="1050" cm="1">
        <f t="array" aca="1" ref="AS503" ca="1">INDEX(OFFSET($AK$19,MATCH($B503,$B$19:$B$150,0)-1,0,COUNTA($B$19:$B$24),COUNTA($AK$17:$BB$17)),MATCH($F503,$F$19:$F$24,0),MATCH(AS$17,$AK$17:$BB$17,0))*INDEX($10:$13,MATCH($O503,$R$10:$R$13,0),COLUMN())</f>
        <v>1.4677915589999998E-4</v>
      </c>
      <c r="AT503" s="1050" cm="1">
        <f t="array" aca="1" ref="AT503" ca="1">INDEX(OFFSET($AK$19,MATCH($B503,$B$19:$B$150,0)-1,0,COUNTA($B$19:$B$24),COUNTA($AK$17:$BB$17)),MATCH($F503,$F$19:$F$24,0),MATCH(AT$17,$AK$17:$BB$17,0))*INDEX($10:$13,MATCH($O503,$R$10:$R$13,0),COLUMN())</f>
        <v>2.2809885135000002E-6</v>
      </c>
      <c r="AU503" s="1050" cm="1">
        <f t="array" aca="1" ref="AU503" ca="1">INDEX(OFFSET($AK$19,MATCH($B503,$B$19:$B$150,0)-1,0,COUNTA($B$19:$B$24),COUNTA($AK$17:$BB$17)),MATCH($F503,$F$19:$F$24,0),MATCH(AU$17,$AK$17:$BB$17,0))*INDEX($10:$13,MATCH($O503,$R$10:$R$13,0),COLUMN())</f>
        <v>4.7070489280000002E-7</v>
      </c>
      <c r="AV503" s="1050" cm="1">
        <f t="array" aca="1" ref="AV503" ca="1">INDEX(OFFSET($AK$19,MATCH($B503,$B$19:$B$150,0)-1,0,COUNTA($B$19:$B$24),COUNTA($AK$17:$BB$17)),MATCH($F503,$F$19:$F$24,0),MATCH(AV$17,$AK$17:$BB$17,0))*INDEX($10:$13,MATCH($O503,$R$10:$R$13,0),COLUMN())</f>
        <v>3.3504144424999997E-3</v>
      </c>
      <c r="AW503" s="1050" cm="1">
        <f t="array" aca="1" ref="AW503" ca="1">INDEX(OFFSET($AK$19,MATCH($B503,$B$19:$B$150,0)-1,0,COUNTA($B$19:$B$24),COUNTA($AK$17:$BB$17)),MATCH($F503,$F$19:$F$24,0),MATCH(AW$17,$AK$17:$BB$17,0))*INDEX($10:$13,MATCH($O503,$R$10:$R$13,0),COLUMN())</f>
        <v>0.21708387405000001</v>
      </c>
      <c r="AX503" s="1050" cm="1">
        <f t="array" aca="1" ref="AX503" ca="1">INDEX(OFFSET($AK$19,MATCH($B503,$B$19:$B$150,0)-1,0,COUNTA($B$19:$B$24),COUNTA($AK$17:$BB$17)),MATCH($F503,$F$19:$F$24,0),MATCH(AX$17,$AK$17:$BB$17,0))*INDEX($10:$13,MATCH($O503,$R$10:$R$13,0),COLUMN())</f>
        <v>5.6539135499999996E-8</v>
      </c>
      <c r="AY503" s="1050" cm="1">
        <f t="array" aca="1" ref="AY503" ca="1">INDEX(OFFSET($AK$19,MATCH($B503,$B$19:$B$150,0)-1,0,COUNTA($B$19:$B$24),COUNTA($AK$17:$BB$17)),MATCH($F503,$F$19:$F$24,0),MATCH(AY$17,$AK$17:$BB$17,0))*INDEX($10:$13,MATCH($O503,$R$10:$R$13,0),COLUMN())</f>
        <v>-1.4571595687499999E-9</v>
      </c>
      <c r="AZ503" s="1050" cm="1">
        <f t="array" aca="1" ref="AZ503" ca="1">INDEX(OFFSET($AK$19,MATCH($B503,$B$19:$B$150,0)-1,0,COUNTA($B$19:$B$24),COUNTA($AK$17:$BB$17)),MATCH($F503,$F$19:$F$24,0),MATCH(AZ$17,$AK$17:$BB$17,0))*INDEX($10:$13,MATCH($O503,$R$10:$R$13,0),COLUMN())</f>
        <v>0</v>
      </c>
      <c r="BA503" s="1050" cm="1">
        <f t="array" aca="1" ref="BA503" ca="1">INDEX(OFFSET($AK$19,MATCH($B503,$B$19:$B$150,0)-1,0,COUNTA($B$19:$B$24),COUNTA($AK$17:$BB$17)),MATCH($F503,$F$19:$F$24,0),MATCH(BA$17,$AK$17:$BB$17,0))*INDEX($10:$13,MATCH($O503,$R$10:$R$13,0),COLUMN())</f>
        <v>0</v>
      </c>
      <c r="BB503" s="1051" cm="1">
        <f t="array" aca="1" ref="BB503" ca="1">INDEX(OFFSET($AK$19,MATCH($B503,$B$19:$B$150,0)-1,0,COUNTA($B$19:$B$24),COUNTA($AK$17:$BB$17)),MATCH($F503,$F$19:$F$24,0),MATCH(BB$17,$AK$17:$BB$17,0))*INDEX($10:$13,MATCH($O503,$R$10:$R$13,0),COLUMN())</f>
        <v>0</v>
      </c>
      <c r="BC503" s="1053">
        <f t="shared" ca="1" si="179"/>
        <v>0.21708392913197597</v>
      </c>
      <c r="BE503" s="1"/>
      <c r="BF503" s="1"/>
      <c r="BG503" s="1"/>
      <c r="BH503" s="1"/>
      <c r="BI503" s="1"/>
      <c r="BJ503" s="1"/>
      <c r="BK503" s="1"/>
      <c r="BL503" s="1"/>
      <c r="BM503" s="1"/>
      <c r="BN503" s="1"/>
      <c r="BO503" s="1"/>
      <c r="BP503" s="1"/>
      <c r="BQ503" s="1"/>
      <c r="BR503" s="1"/>
      <c r="BS503" s="1"/>
      <c r="BT503" s="1"/>
      <c r="BU503" s="1"/>
      <c r="BV503" s="1"/>
      <c r="BW503" s="1"/>
      <c r="BX503" s="1"/>
      <c r="BY503" s="1"/>
      <c r="BZ503" s="1"/>
    </row>
    <row r="504" spans="2:78" ht="12" customHeight="1" outlineLevel="1" x14ac:dyDescent="0.25">
      <c r="B504" s="104" t="s">
        <v>110</v>
      </c>
      <c r="C504" s="104" t="s">
        <v>121</v>
      </c>
      <c r="D504" s="2" t="s">
        <v>143</v>
      </c>
      <c r="E504" s="2" t="s">
        <v>147</v>
      </c>
      <c r="F504" s="105" t="s">
        <v>94</v>
      </c>
      <c r="G504" s="27" t="s">
        <v>1580</v>
      </c>
      <c r="H504" s="106" t="s">
        <v>131</v>
      </c>
      <c r="I504" s="107" t="s">
        <v>129</v>
      </c>
      <c r="J504" s="147">
        <v>6.3623397199999996</v>
      </c>
      <c r="K504" s="148">
        <v>0.72726000000000002</v>
      </c>
      <c r="L504" s="149">
        <f t="shared" ca="1" si="177"/>
        <v>0.32090842552562543</v>
      </c>
      <c r="M504" s="148">
        <f t="shared" ca="1" si="178"/>
        <v>0.96064386154776638</v>
      </c>
      <c r="N504" s="148">
        <f t="shared" ca="1" si="180"/>
        <v>0.23338386154776636</v>
      </c>
      <c r="O504" s="1062" t="s">
        <v>1584</v>
      </c>
      <c r="P504" s="104"/>
      <c r="R504" s="119"/>
      <c r="S504" s="1072"/>
      <c r="T504" s="1072"/>
      <c r="U504" s="1072"/>
      <c r="V504" s="1072"/>
      <c r="W504" s="1072"/>
      <c r="X504" s="1072"/>
      <c r="Y504" s="1072"/>
      <c r="Z504" s="1072"/>
      <c r="AA504" s="1072"/>
      <c r="AB504" s="1072"/>
      <c r="AC504" s="1072"/>
      <c r="AD504" s="1072"/>
      <c r="AE504" s="1072"/>
      <c r="AF504" s="1072"/>
      <c r="AG504" s="1072"/>
      <c r="AH504" s="1072"/>
      <c r="AI504" s="1072"/>
      <c r="AJ504" s="1073"/>
      <c r="AK504" s="1052" cm="1">
        <f t="array" aca="1" ref="AK504" ca="1">INDEX(OFFSET($AK$19,MATCH($B504,$B$19:$B$150,0)-1,0,COUNTA($B$19:$B$24),COUNTA($AK$17:$BB$17)),MATCH($F504,$F$19:$F$24,0),MATCH(AK$17,$AK$17:$BB$17,0))*INDEX($10:$13,MATCH($O504,$R$10:$R$13,0),COLUMN())</f>
        <v>2.998816885794307E-2</v>
      </c>
      <c r="AL504" s="1050" cm="1">
        <f t="array" aca="1" ref="AL504" ca="1">INDEX(OFFSET($AK$19,MATCH($B504,$B$19:$B$150,0)-1,0,COUNTA($B$19:$B$24),COUNTA($AK$17:$BB$17)),MATCH($F504,$F$19:$F$24,0),MATCH(AL$17,$AK$17:$BB$17,0))*INDEX($10:$13,MATCH($O504,$R$10:$R$13,0),COLUMN())</f>
        <v>7.9179415900000002E-8</v>
      </c>
      <c r="AM504" s="1050" cm="1">
        <f t="array" aca="1" ref="AM504" ca="1">INDEX(OFFSET($AK$19,MATCH($B504,$B$19:$B$150,0)-1,0,COUNTA($B$19:$B$24),COUNTA($AK$17:$BB$17)),MATCH($F504,$F$19:$F$24,0),MATCH(AM$17,$AK$17:$BB$17,0))*INDEX($10:$13,MATCH($O504,$R$10:$R$13,0),COLUMN())</f>
        <v>1.3007448531000002E-4</v>
      </c>
      <c r="AN504" s="1050" cm="1">
        <f t="array" aca="1" ref="AN504" ca="1">INDEX(OFFSET($AK$19,MATCH($B504,$B$19:$B$150,0)-1,0,COUNTA($B$19:$B$24),COUNTA($AK$17:$BB$17)),MATCH($F504,$F$19:$F$24,0),MATCH(AN$17,$AK$17:$BB$17,0))*INDEX($10:$13,MATCH($O504,$R$10:$R$13,0),COLUMN())</f>
        <v>1.633092888E-3</v>
      </c>
      <c r="AO504" s="1050" cm="1">
        <f t="array" aca="1" ref="AO504" ca="1">INDEX(OFFSET($AK$19,MATCH($B504,$B$19:$B$150,0)-1,0,COUNTA($B$19:$B$24),COUNTA($AK$17:$BB$17)),MATCH($F504,$F$19:$F$24,0),MATCH(AO$17,$AK$17:$BB$17,0))*INDEX($10:$13,MATCH($O504,$R$10:$R$13,0),COLUMN())</f>
        <v>2.543877756E-2</v>
      </c>
      <c r="AP504" s="1050" cm="1">
        <f t="array" aca="1" ref="AP504" ca="1">INDEX(OFFSET($AK$19,MATCH($B504,$B$19:$B$150,0)-1,0,COUNTA($B$19:$B$24),COUNTA($AK$17:$BB$17)),MATCH($F504,$F$19:$F$24,0),MATCH(AP$17,$AK$17:$BB$17,0))*INDEX($10:$13,MATCH($O504,$R$10:$R$13,0),COLUMN())</f>
        <v>2.0709624134E-3</v>
      </c>
      <c r="AQ504" s="1050" cm="1">
        <f t="array" aca="1" ref="AQ504" ca="1">INDEX(OFFSET($AK$19,MATCH($B504,$B$19:$B$150,0)-1,0,COUNTA($B$19:$B$24),COUNTA($AK$17:$BB$17)),MATCH($F504,$F$19:$F$24,0),MATCH(AQ$17,$AK$17:$BB$17,0))*INDEX($10:$13,MATCH($O504,$R$10:$R$13,0),COLUMN())</f>
        <v>1.7913349499999999E-5</v>
      </c>
      <c r="AR504" s="1050" cm="1">
        <f t="array" aca="1" ref="AR504" ca="1">INDEX(OFFSET($AK$19,MATCH($B504,$B$19:$B$150,0)-1,0,COUNTA($B$19:$B$24),COUNTA($AK$17:$BB$17)),MATCH($F504,$F$19:$F$24,0),MATCH(AR$17,$AK$17:$BB$17,0))*INDEX($10:$13,MATCH($O504,$R$10:$R$13,0),COLUMN())</f>
        <v>2.6439793443000001E-2</v>
      </c>
      <c r="AS504" s="1050" cm="1">
        <f t="array" aca="1" ref="AS504" ca="1">INDEX(OFFSET($AK$19,MATCH($B504,$B$19:$B$150,0)-1,0,COUNTA($B$19:$B$24),COUNTA($AK$17:$BB$17)),MATCH($F504,$F$19:$F$24,0),MATCH(AS$17,$AK$17:$BB$17,0))*INDEX($10:$13,MATCH($O504,$R$10:$R$13,0),COLUMN())</f>
        <v>6.2258476409999991E-5</v>
      </c>
      <c r="AT504" s="1050" cm="1">
        <f t="array" aca="1" ref="AT504" ca="1">INDEX(OFFSET($AK$19,MATCH($B504,$B$19:$B$150,0)-1,0,COUNTA($B$19:$B$24),COUNTA($AK$17:$BB$17)),MATCH($F504,$F$19:$F$24,0),MATCH(AT$17,$AK$17:$BB$17,0))*INDEX($10:$13,MATCH($O504,$R$10:$R$13,0),COLUMN())</f>
        <v>1.5173096475000002E-6</v>
      </c>
      <c r="AU504" s="1050" cm="1">
        <f t="array" aca="1" ref="AU504" ca="1">INDEX(OFFSET($AK$19,MATCH($B504,$B$19:$B$150,0)-1,0,COUNTA($B$19:$B$24),COUNTA($AK$17:$BB$17)),MATCH($F504,$F$19:$F$24,0),MATCH(AU$17,$AK$17:$BB$17,0))*INDEX($10:$13,MATCH($O504,$R$10:$R$13,0),COLUMN())</f>
        <v>3.1448509984000005E-7</v>
      </c>
      <c r="AV504" s="1050" cm="1">
        <f t="array" aca="1" ref="AV504" ca="1">INDEX(OFFSET($AK$19,MATCH($B504,$B$19:$B$150,0)-1,0,COUNTA($B$19:$B$24),COUNTA($AK$17:$BB$17)),MATCH($F504,$F$19:$F$24,0),MATCH(AV$17,$AK$17:$BB$17,0))*INDEX($10:$13,MATCH($O504,$R$10:$R$13,0),COLUMN())</f>
        <v>1.9276035374999998E-3</v>
      </c>
      <c r="AW504" s="1050" cm="1">
        <f t="array" aca="1" ref="AW504" ca="1">INDEX(OFFSET($AK$19,MATCH($B504,$B$19:$B$150,0)-1,0,COUNTA($B$19:$B$24),COUNTA($AK$17:$BB$17)),MATCH($F504,$F$19:$F$24,0),MATCH(AW$17,$AK$17:$BB$17,0))*INDEX($10:$13,MATCH($O504,$R$10:$R$13,0),COLUMN())</f>
        <v>0.14567326859999999</v>
      </c>
      <c r="AX504" s="1050" cm="1">
        <f t="array" aca="1" ref="AX504" ca="1">INDEX(OFFSET($AK$19,MATCH($B504,$B$19:$B$150,0)-1,0,COUNTA($B$19:$B$24),COUNTA($AK$17:$BB$17)),MATCH($F504,$F$19:$F$24,0),MATCH(AX$17,$AK$17:$BB$17,0))*INDEX($10:$13,MATCH($O504,$R$10:$R$13,0),COLUMN())</f>
        <v>3.7940361149999999E-8</v>
      </c>
      <c r="AY504" s="1050" cm="1">
        <f t="array" aca="1" ref="AY504" ca="1">INDEX(OFFSET($AK$19,MATCH($B504,$B$19:$B$150,0)-1,0,COUNTA($B$19:$B$24),COUNTA($AK$17:$BB$17)),MATCH($F504,$F$19:$F$24,0),MATCH(AY$17,$AK$17:$BB$17,0))*INDEX($10:$13,MATCH($O504,$R$10:$R$13,0),COLUMN())</f>
        <v>-9.7782108749999997E-10</v>
      </c>
      <c r="AZ504" s="1050" cm="1">
        <f t="array" aca="1" ref="AZ504" ca="1">INDEX(OFFSET($AK$19,MATCH($B504,$B$19:$B$150,0)-1,0,COUNTA($B$19:$B$24),COUNTA($AK$17:$BB$17)),MATCH($F504,$F$19:$F$24,0),MATCH(AZ$17,$AK$17:$BB$17,0))*INDEX($10:$13,MATCH($O504,$R$10:$R$13,0),COLUMN())</f>
        <v>0</v>
      </c>
      <c r="BA504" s="1050" cm="1">
        <f t="array" aca="1" ref="BA504" ca="1">INDEX(OFFSET($AK$19,MATCH($B504,$B$19:$B$150,0)-1,0,COUNTA($B$19:$B$24),COUNTA($AK$17:$BB$17)),MATCH($F504,$F$19:$F$24,0),MATCH(BA$17,$AK$17:$BB$17,0))*INDEX($10:$13,MATCH($O504,$R$10:$R$13,0),COLUMN())</f>
        <v>0</v>
      </c>
      <c r="BB504" s="1051" cm="1">
        <f t="array" aca="1" ref="BB504" ca="1">INDEX(OFFSET($AK$19,MATCH($B504,$B$19:$B$150,0)-1,0,COUNTA($B$19:$B$24),COUNTA($AK$17:$BB$17)),MATCH($F504,$F$19:$F$24,0),MATCH(BB$17,$AK$17:$BB$17,0))*INDEX($10:$13,MATCH($O504,$R$10:$R$13,0),COLUMN())</f>
        <v>0</v>
      </c>
      <c r="BC504" s="1053">
        <f t="shared" ca="1" si="179"/>
        <v>0.14567330556254007</v>
      </c>
      <c r="BE504" s="1"/>
      <c r="BF504" s="1"/>
      <c r="BG504" s="1"/>
      <c r="BH504" s="1"/>
      <c r="BI504" s="1"/>
      <c r="BJ504" s="1"/>
      <c r="BK504" s="1"/>
      <c r="BL504" s="1"/>
      <c r="BM504" s="1"/>
      <c r="BN504" s="1"/>
      <c r="BO504" s="1"/>
      <c r="BP504" s="1"/>
      <c r="BQ504" s="1"/>
      <c r="BR504" s="1"/>
      <c r="BS504" s="1"/>
      <c r="BT504" s="1"/>
      <c r="BU504" s="1"/>
      <c r="BV504" s="1"/>
      <c r="BW504" s="1"/>
      <c r="BX504" s="1"/>
      <c r="BY504" s="1"/>
      <c r="BZ504" s="1"/>
    </row>
    <row r="505" spans="2:78" ht="12" customHeight="1" outlineLevel="1" x14ac:dyDescent="0.25">
      <c r="B505" s="104" t="s">
        <v>110</v>
      </c>
      <c r="C505" s="104" t="s">
        <v>121</v>
      </c>
      <c r="D505" s="2" t="s">
        <v>143</v>
      </c>
      <c r="E505" s="2" t="s">
        <v>147</v>
      </c>
      <c r="F505" s="105" t="s">
        <v>95</v>
      </c>
      <c r="G505" s="27" t="s">
        <v>1581</v>
      </c>
      <c r="H505" s="106" t="s">
        <v>128</v>
      </c>
      <c r="I505" s="107" t="s">
        <v>127</v>
      </c>
      <c r="J505" s="147">
        <v>6.3623397199999996</v>
      </c>
      <c r="K505" s="148">
        <v>0.72726000000000002</v>
      </c>
      <c r="L505" s="149">
        <f t="shared" ref="L505:L559" ca="1" si="181">IFERROR(N505/K505,"?")</f>
        <v>0.49624203126028626</v>
      </c>
      <c r="M505" s="148">
        <f t="shared" ref="M505:M559" ca="1" si="182">IFERROR(K505+N505,"?")</f>
        <v>1.0881569796543558</v>
      </c>
      <c r="N505" s="148">
        <f t="shared" ca="1" si="180"/>
        <v>0.3608969796543558</v>
      </c>
      <c r="O505" s="1062" t="s">
        <v>1584</v>
      </c>
      <c r="P505" s="104"/>
      <c r="R505" s="119"/>
      <c r="S505" s="1072"/>
      <c r="T505" s="1072"/>
      <c r="U505" s="1072"/>
      <c r="V505" s="1072"/>
      <c r="W505" s="1072"/>
      <c r="X505" s="1072"/>
      <c r="Y505" s="1072"/>
      <c r="Z505" s="1072"/>
      <c r="AA505" s="1072"/>
      <c r="AB505" s="1072"/>
      <c r="AC505" s="1072"/>
      <c r="AD505" s="1072"/>
      <c r="AE505" s="1072"/>
      <c r="AF505" s="1072"/>
      <c r="AG505" s="1072"/>
      <c r="AH505" s="1072"/>
      <c r="AI505" s="1072"/>
      <c r="AJ505" s="1073"/>
      <c r="AK505" s="1052" cm="1">
        <f t="array" aca="1" ref="AK505" ca="1">INDEX(OFFSET($AK$19,MATCH($B505,$B$19:$B$150,0)-1,0,COUNTA($B$19:$B$24),COUNTA($AK$17:$BB$17)),MATCH($F505,$F$19:$F$24,0),MATCH(AK$17,$AK$17:$BB$17,0))*INDEX($10:$13,MATCH($O505,$R$10:$R$13,0),COLUMN())</f>
        <v>4.2305505043979855E-2</v>
      </c>
      <c r="AL505" s="1050" cm="1">
        <f t="array" aca="1" ref="AL505" ca="1">INDEX(OFFSET($AK$19,MATCH($B505,$B$19:$B$150,0)-1,0,COUNTA($B$19:$B$24),COUNTA($AK$17:$BB$17)),MATCH($F505,$F$19:$F$24,0),MATCH(AL$17,$AK$17:$BB$17,0))*INDEX($10:$13,MATCH($O505,$R$10:$R$13,0),COLUMN())</f>
        <v>9.5560373480000012E-8</v>
      </c>
      <c r="AM505" s="1050" cm="1">
        <f t="array" aca="1" ref="AM505" ca="1">INDEX(OFFSET($AK$19,MATCH($B505,$B$19:$B$150,0)-1,0,COUNTA($B$19:$B$24),COUNTA($AK$17:$BB$17)),MATCH($F505,$F$19:$F$24,0),MATCH(AM$17,$AK$17:$BB$17,0))*INDEX($10:$13,MATCH($O505,$R$10:$R$13,0),COLUMN())</f>
        <v>1.5697899657E-4</v>
      </c>
      <c r="AN505" s="1050" cm="1">
        <f t="array" aca="1" ref="AN505" ca="1">INDEX(OFFSET($AK$19,MATCH($B505,$B$19:$B$150,0)-1,0,COUNTA($B$19:$B$24),COUNTA($AK$17:$BB$17)),MATCH($F505,$F$19:$F$24,0),MATCH(AN$17,$AK$17:$BB$17,0))*INDEX($10:$13,MATCH($O505,$R$10:$R$13,0),COLUMN())</f>
        <v>2.1095919599999997E-3</v>
      </c>
      <c r="AO505" s="1050" cm="1">
        <f t="array" aca="1" ref="AO505" ca="1">INDEX(OFFSET($AK$19,MATCH($B505,$B$19:$B$150,0)-1,0,COUNTA($B$19:$B$24),COUNTA($AK$17:$BB$17)),MATCH($F505,$F$19:$F$24,0),MATCH(AO$17,$AK$17:$BB$17,0))*INDEX($10:$13,MATCH($O505,$R$10:$R$13,0),COLUMN())</f>
        <v>7.4064916799999991E-2</v>
      </c>
      <c r="AP505" s="1050" cm="1">
        <f t="array" aca="1" ref="AP505" ca="1">INDEX(OFFSET($AK$19,MATCH($B505,$B$19:$B$150,0)-1,0,COUNTA($B$19:$B$24),COUNTA($AK$17:$BB$17)),MATCH($F505,$F$19:$F$24,0),MATCH(AP$17,$AK$17:$BB$17,0))*INDEX($10:$13,MATCH($O505,$R$10:$R$13,0),COLUMN())</f>
        <v>8.6309225480000005E-3</v>
      </c>
      <c r="AQ505" s="1050" cm="1">
        <f t="array" aca="1" ref="AQ505" ca="1">INDEX(OFFSET($AK$19,MATCH($B505,$B$19:$B$150,0)-1,0,COUNTA($B$19:$B$24),COUNTA($AK$17:$BB$17)),MATCH($F505,$F$19:$F$24,0),MATCH(AQ$17,$AK$17:$BB$17,0))*INDEX($10:$13,MATCH($O505,$R$10:$R$13,0),COLUMN())</f>
        <v>8.4919404999999999E-5</v>
      </c>
      <c r="AR505" s="1050" cm="1">
        <f t="array" aca="1" ref="AR505" ca="1">INDEX(OFFSET($AK$19,MATCH($B505,$B$19:$B$150,0)-1,0,COUNTA($B$19:$B$24),COUNTA($AK$17:$BB$17)),MATCH($F505,$F$19:$F$24,0),MATCH(AR$17,$AK$17:$BB$17,0))*INDEX($10:$13,MATCH($O505,$R$10:$R$13,0),COLUMN())</f>
        <v>4.7125733589999996E-2</v>
      </c>
      <c r="AS505" s="1050" cm="1">
        <f t="array" aca="1" ref="AS505" ca="1">INDEX(OFFSET($AK$19,MATCH($B505,$B$19:$B$150,0)-1,0,COUNTA($B$19:$B$24),COUNTA($AK$17:$BB$17)),MATCH($F505,$F$19:$F$24,0),MATCH(AS$17,$AK$17:$BB$17,0))*INDEX($10:$13,MATCH($O505,$R$10:$R$13,0),COLUMN())</f>
        <v>1.0797753212999999E-3</v>
      </c>
      <c r="AT505" s="1050" cm="1">
        <f t="array" aca="1" ref="AT505" ca="1">INDEX(OFFSET($AK$19,MATCH($B505,$B$19:$B$150,0)-1,0,COUNTA($B$19:$B$24),COUNTA($AK$17:$BB$17)),MATCH($F505,$F$19:$F$24,0),MATCH(AT$17,$AK$17:$BB$17,0))*INDEX($10:$13,MATCH($O505,$R$10:$R$13,0),COLUMN())</f>
        <v>2.5452030304999997E-6</v>
      </c>
      <c r="AU505" s="1050" cm="1">
        <f t="array" aca="1" ref="AU505" ca="1">INDEX(OFFSET($AK$19,MATCH($B505,$B$19:$B$150,0)-1,0,COUNTA($B$19:$B$24),COUNTA($AK$17:$BB$17)),MATCH($F505,$F$19:$F$24,0),MATCH(AU$17,$AK$17:$BB$17,0))*INDEX($10:$13,MATCH($O505,$R$10:$R$13,0),COLUMN())</f>
        <v>4.8738573984000006E-7</v>
      </c>
      <c r="AV505" s="1050" cm="1">
        <f t="array" aca="1" ref="AV505" ca="1">INDEX(OFFSET($AK$19,MATCH($B505,$B$19:$B$150,0)-1,0,COUNTA($B$19:$B$24),COUNTA($AK$17:$BB$17)),MATCH($F505,$F$19:$F$24,0),MATCH(AV$17,$AK$17:$BB$17,0))*INDEX($10:$13,MATCH($O505,$R$10:$R$13,0),COLUMN())</f>
        <v>1.09795247E-2</v>
      </c>
      <c r="AW505" s="1050" cm="1">
        <f t="array" aca="1" ref="AW505" ca="1">INDEX(OFFSET($AK$19,MATCH($B505,$B$19:$B$150,0)-1,0,COUNTA($B$19:$B$24),COUNTA($AK$17:$BB$17)),MATCH($F505,$F$19:$F$24,0),MATCH(AW$17,$AK$17:$BB$17,0))*INDEX($10:$13,MATCH($O505,$R$10:$R$13,0),COLUMN())</f>
        <v>0.17435593889999998</v>
      </c>
      <c r="AX505" s="1050" cm="1">
        <f t="array" aca="1" ref="AX505" ca="1">INDEX(OFFSET($AK$19,MATCH($B505,$B$19:$B$150,0)-1,0,COUNTA($B$19:$B$24),COUNTA($AK$17:$BB$17)),MATCH($F505,$F$19:$F$24,0),MATCH(AX$17,$AK$17:$BB$17,0))*INDEX($10:$13,MATCH($O505,$R$10:$R$13,0),COLUMN())</f>
        <v>4.5410713649999994E-8</v>
      </c>
      <c r="AY505" s="1050" cm="1">
        <f t="array" aca="1" ref="AY505" ca="1">INDEX(OFFSET($AK$19,MATCH($B505,$B$19:$B$150,0)-1,0,COUNTA($B$19:$B$24),COUNTA($AK$17:$BB$17)),MATCH($F505,$F$19:$F$24,0),MATCH(AY$17,$AK$17:$BB$17,0))*INDEX($10:$13,MATCH($O505,$R$10:$R$13,0),COLUMN())</f>
        <v>-1.1703514106249998E-9</v>
      </c>
      <c r="AZ505" s="1050" cm="1">
        <f t="array" aca="1" ref="AZ505" ca="1">INDEX(OFFSET($AK$19,MATCH($B505,$B$19:$B$150,0)-1,0,COUNTA($B$19:$B$24),COUNTA($AK$17:$BB$17)),MATCH($F505,$F$19:$F$24,0),MATCH(AZ$17,$AK$17:$BB$17,0))*INDEX($10:$13,MATCH($O505,$R$10:$R$13,0),COLUMN())</f>
        <v>0</v>
      </c>
      <c r="BA505" s="1050" cm="1">
        <f t="array" aca="1" ref="BA505" ca="1">INDEX(OFFSET($AK$19,MATCH($B505,$B$19:$B$150,0)-1,0,COUNTA($B$19:$B$24),COUNTA($AK$17:$BB$17)),MATCH($F505,$F$19:$F$24,0),MATCH(BA$17,$AK$17:$BB$17,0))*INDEX($10:$13,MATCH($O505,$R$10:$R$13,0),COLUMN())</f>
        <v>0</v>
      </c>
      <c r="BB505" s="1051" cm="1">
        <f t="array" aca="1" ref="BB505" ca="1">INDEX(OFFSET($AK$19,MATCH($B505,$B$19:$B$150,0)-1,0,COUNTA($B$19:$B$24),COUNTA($AK$17:$BB$17)),MATCH($F505,$F$19:$F$24,0),MATCH(BB$17,$AK$17:$BB$17,0))*INDEX($10:$13,MATCH($O505,$R$10:$R$13,0),COLUMN())</f>
        <v>0</v>
      </c>
      <c r="BC505" s="1053">
        <f t="shared" ca="1" si="179"/>
        <v>0.17435598314036224</v>
      </c>
      <c r="BE505" s="1"/>
      <c r="BF505" s="1"/>
      <c r="BG505" s="1"/>
      <c r="BH505" s="1"/>
      <c r="BI505" s="1"/>
      <c r="BJ505" s="1"/>
      <c r="BK505" s="1"/>
      <c r="BL505" s="1"/>
      <c r="BM505" s="1"/>
      <c r="BN505" s="1"/>
      <c r="BO505" s="1"/>
      <c r="BP505" s="1"/>
      <c r="BQ505" s="1"/>
      <c r="BR505" s="1"/>
      <c r="BS505" s="1"/>
      <c r="BT505" s="1"/>
      <c r="BU505" s="1"/>
      <c r="BV505" s="1"/>
      <c r="BW505" s="1"/>
      <c r="BX505" s="1"/>
      <c r="BY505" s="1"/>
      <c r="BZ505" s="1"/>
    </row>
    <row r="506" spans="2:78" ht="12" customHeight="1" outlineLevel="1" x14ac:dyDescent="0.25">
      <c r="B506" s="104" t="s">
        <v>110</v>
      </c>
      <c r="C506" s="104" t="s">
        <v>121</v>
      </c>
      <c r="D506" s="2" t="s">
        <v>143</v>
      </c>
      <c r="E506" s="2" t="s">
        <v>147</v>
      </c>
      <c r="F506" s="105" t="s">
        <v>96</v>
      </c>
      <c r="G506" s="27" t="s">
        <v>1582</v>
      </c>
      <c r="H506" s="106" t="s">
        <v>128</v>
      </c>
      <c r="I506" s="107" t="s">
        <v>1577</v>
      </c>
      <c r="J506" s="147">
        <v>6.3623397199999996</v>
      </c>
      <c r="K506" s="148">
        <v>0.72726000000000002</v>
      </c>
      <c r="L506" s="149">
        <f t="shared" ca="1" si="181"/>
        <v>0.57808826897435173</v>
      </c>
      <c r="M506" s="148">
        <f t="shared" ca="1" si="182"/>
        <v>1.147680474494287</v>
      </c>
      <c r="N506" s="148">
        <f t="shared" ca="1" si="180"/>
        <v>0.42042047449428704</v>
      </c>
      <c r="O506" s="1062" t="s">
        <v>1584</v>
      </c>
      <c r="P506" s="104"/>
      <c r="R506" s="119"/>
      <c r="S506" s="1072"/>
      <c r="T506" s="1072"/>
      <c r="U506" s="1072"/>
      <c r="V506" s="1072"/>
      <c r="W506" s="1072"/>
      <c r="X506" s="1072"/>
      <c r="Y506" s="1072"/>
      <c r="Z506" s="1072"/>
      <c r="AA506" s="1072"/>
      <c r="AB506" s="1072"/>
      <c r="AC506" s="1072"/>
      <c r="AD506" s="1072"/>
      <c r="AE506" s="1072"/>
      <c r="AF506" s="1072"/>
      <c r="AG506" s="1072"/>
      <c r="AH506" s="1072"/>
      <c r="AI506" s="1072"/>
      <c r="AJ506" s="1073"/>
      <c r="AK506" s="1052" cm="1">
        <f t="array" aca="1" ref="AK506" ca="1">INDEX(OFFSET($AK$19,MATCH($B506,$B$19:$B$150,0)-1,0,COUNTA($B$19:$B$24),COUNTA($AK$17:$BB$17)),MATCH($F506,$F$19:$F$24,0),MATCH(AK$17,$AK$17:$BB$17,0))*INDEX($10:$13,MATCH($O506,$R$10:$R$13,0),COLUMN())</f>
        <v>4.6901415772822787E-2</v>
      </c>
      <c r="AL506" s="1050" cm="1">
        <f t="array" aca="1" ref="AL506" ca="1">INDEX(OFFSET($AK$19,MATCH($B506,$B$19:$B$150,0)-1,0,COUNTA($B$19:$B$24),COUNTA($AK$17:$BB$17)),MATCH($F506,$F$19:$F$24,0),MATCH(AL$17,$AK$17:$BB$17,0))*INDEX($10:$13,MATCH($O506,$R$10:$R$13,0),COLUMN())</f>
        <v>9.607642616E-8</v>
      </c>
      <c r="AM506" s="1050" cm="1">
        <f t="array" aca="1" ref="AM506" ca="1">INDEX(OFFSET($AK$19,MATCH($B506,$B$19:$B$150,0)-1,0,COUNTA($B$19:$B$24),COUNTA($AK$17:$BB$17)),MATCH($F506,$F$19:$F$24,0),MATCH(AM$17,$AK$17:$BB$17,0))*INDEX($10:$13,MATCH($O506,$R$10:$R$13,0),COLUMN())</f>
        <v>1.5782295771000002E-4</v>
      </c>
      <c r="AN506" s="1050" cm="1">
        <f t="array" aca="1" ref="AN506" ca="1">INDEX(OFFSET($AK$19,MATCH($B506,$B$19:$B$150,0)-1,0,COUNTA($B$19:$B$24),COUNTA($AK$17:$BB$17)),MATCH($F506,$F$19:$F$24,0),MATCH(AN$17,$AK$17:$BB$17,0))*INDEX($10:$13,MATCH($O506,$R$10:$R$13,0),COLUMN())</f>
        <v>2.2107131760000002E-3</v>
      </c>
      <c r="AO506" s="1050" cm="1">
        <f t="array" aca="1" ref="AO506" ca="1">INDEX(OFFSET($AK$19,MATCH($B506,$B$19:$B$150,0)-1,0,COUNTA($B$19:$B$24),COUNTA($AK$17:$BB$17)),MATCH($F506,$F$19:$F$24,0),MATCH(AO$17,$AK$17:$BB$17,0))*INDEX($10:$13,MATCH($O506,$R$10:$R$13,0),COLUMN())</f>
        <v>0.1057756336</v>
      </c>
      <c r="AP506" s="1050" cm="1">
        <f t="array" aca="1" ref="AP506" ca="1">INDEX(OFFSET($AK$19,MATCH($B506,$B$19:$B$150,0)-1,0,COUNTA($B$19:$B$24),COUNTA($AK$17:$BB$17)),MATCH($F506,$F$19:$F$24,0),MATCH(AP$17,$AK$17:$BB$17,0))*INDEX($10:$13,MATCH($O506,$R$10:$R$13,0),COLUMN())</f>
        <v>1.3112716594E-2</v>
      </c>
      <c r="AQ506" s="1050" cm="1">
        <f t="array" aca="1" ref="AQ506" ca="1">INDEX(OFFSET($AK$19,MATCH($B506,$B$19:$B$150,0)-1,0,COUNTA($B$19:$B$24),COUNTA($AK$17:$BB$17)),MATCH($F506,$F$19:$F$24,0),MATCH(AQ$17,$AK$17:$BB$17,0))*INDEX($10:$13,MATCH($O506,$R$10:$R$13,0),COLUMN())</f>
        <v>1.3012780750000001E-4</v>
      </c>
      <c r="AR506" s="1050" cm="1">
        <f t="array" aca="1" ref="AR506" ca="1">INDEX(OFFSET($AK$19,MATCH($B506,$B$19:$B$150,0)-1,0,COUNTA($B$19:$B$24),COUNTA($AK$17:$BB$17)),MATCH($F506,$F$19:$F$24,0),MATCH(AR$17,$AK$17:$BB$17,0))*INDEX($10:$13,MATCH($O506,$R$10:$R$13,0),COLUMN())</f>
        <v>5.8411814739999998E-2</v>
      </c>
      <c r="AS506" s="1050" cm="1">
        <f t="array" aca="1" ref="AS506" ca="1">INDEX(OFFSET($AK$19,MATCH($B506,$B$19:$B$150,0)-1,0,COUNTA($B$19:$B$24),COUNTA($AK$17:$BB$17)),MATCH($F506,$F$19:$F$24,0),MATCH(AS$17,$AK$17:$BB$17,0))*INDEX($10:$13,MATCH($O506,$R$10:$R$13,0),COLUMN())</f>
        <v>1.7653405769999999E-3</v>
      </c>
      <c r="AT506" s="1050" cm="1">
        <f t="array" aca="1" ref="AT506" ca="1">INDEX(OFFSET($AK$19,MATCH($B506,$B$19:$B$150,0)-1,0,COUNTA($B$19:$B$24),COUNTA($AK$17:$BB$17)),MATCH($F506,$F$19:$F$24,0),MATCH(AT$17,$AK$17:$BB$17,0))*INDEX($10:$13,MATCH($O506,$R$10:$R$13,0),COLUMN())</f>
        <v>2.8528208765000001E-6</v>
      </c>
      <c r="AU506" s="1050" cm="1">
        <f t="array" aca="1" ref="AU506" ca="1">INDEX(OFFSET($AK$19,MATCH($B506,$B$19:$B$150,0)-1,0,COUNTA($B$19:$B$24),COUNTA($AK$17:$BB$17)),MATCH($F506,$F$19:$F$24,0),MATCH(AU$17,$AK$17:$BB$17,0))*INDEX($10:$13,MATCH($O506,$R$10:$R$13,0),COLUMN())</f>
        <v>5.3130658944000002E-7</v>
      </c>
      <c r="AV506" s="1050" cm="1">
        <f t="array" aca="1" ref="AV506" ca="1">INDEX(OFFSET($AK$19,MATCH($B506,$B$19:$B$150,0)-1,0,COUNTA($B$19:$B$24),COUNTA($AK$17:$BB$17)),MATCH($F506,$F$19:$F$24,0),MATCH(AV$17,$AK$17:$BB$17,0))*INDEX($10:$13,MATCH($O506,$R$10:$R$13,0),COLUMN())</f>
        <v>1.7595425924999998E-2</v>
      </c>
      <c r="AW506" s="1050" cm="1">
        <f t="array" aca="1" ref="AW506" ca="1">INDEX(OFFSET($AK$19,MATCH($B506,$B$19:$B$150,0)-1,0,COUNTA($B$19:$B$24),COUNTA($AK$17:$BB$17)),MATCH($F506,$F$19:$F$24,0),MATCH(AW$17,$AK$17:$BB$17,0))*INDEX($10:$13,MATCH($O506,$R$10:$R$13,0),COLUMN())</f>
        <v>0.17435593889999998</v>
      </c>
      <c r="AX506" s="1050" cm="1">
        <f t="array" aca="1" ref="AX506" ca="1">INDEX(OFFSET($AK$19,MATCH($B506,$B$19:$B$150,0)-1,0,COUNTA($B$19:$B$24),COUNTA($AK$17:$BB$17)),MATCH($F506,$F$19:$F$24,0),MATCH(AX$17,$AK$17:$BB$17,0))*INDEX($10:$13,MATCH($O506,$R$10:$R$13,0),COLUMN())</f>
        <v>4.5410713649999994E-8</v>
      </c>
      <c r="AY506" s="1050" cm="1">
        <f t="array" aca="1" ref="AY506" ca="1">INDEX(OFFSET($AK$19,MATCH($B506,$B$19:$B$150,0)-1,0,COUNTA($B$19:$B$24),COUNTA($AK$17:$BB$17)),MATCH($F506,$F$19:$F$24,0),MATCH(AY$17,$AK$17:$BB$17,0))*INDEX($10:$13,MATCH($O506,$R$10:$R$13,0),COLUMN())</f>
        <v>-1.1703514106249998E-9</v>
      </c>
      <c r="AZ506" s="1050" cm="1">
        <f t="array" aca="1" ref="AZ506" ca="1">INDEX(OFFSET($AK$19,MATCH($B506,$B$19:$B$150,0)-1,0,COUNTA($B$19:$B$24),COUNTA($AK$17:$BB$17)),MATCH($F506,$F$19:$F$24,0),MATCH(AZ$17,$AK$17:$BB$17,0))*INDEX($10:$13,MATCH($O506,$R$10:$R$13,0),COLUMN())</f>
        <v>0</v>
      </c>
      <c r="BA506" s="1050" cm="1">
        <f t="array" aca="1" ref="BA506" ca="1">INDEX(OFFSET($AK$19,MATCH($B506,$B$19:$B$150,0)-1,0,COUNTA($B$19:$B$24),COUNTA($AK$17:$BB$17)),MATCH($F506,$F$19:$F$24,0),MATCH(BA$17,$AK$17:$BB$17,0))*INDEX($10:$13,MATCH($O506,$R$10:$R$13,0),COLUMN())</f>
        <v>0</v>
      </c>
      <c r="BB506" s="1051" cm="1">
        <f t="array" aca="1" ref="BB506" ca="1">INDEX(OFFSET($AK$19,MATCH($B506,$B$19:$B$150,0)-1,0,COUNTA($B$19:$B$24),COUNTA($AK$17:$BB$17)),MATCH($F506,$F$19:$F$24,0),MATCH(BB$17,$AK$17:$BB$17,0))*INDEX($10:$13,MATCH($O506,$R$10:$R$13,0),COLUMN())</f>
        <v>0</v>
      </c>
      <c r="BC506" s="1053">
        <f t="shared" ca="1" si="179"/>
        <v>0.17435598314036224</v>
      </c>
      <c r="BE506" s="1"/>
      <c r="BF506" s="1"/>
      <c r="BG506" s="1"/>
      <c r="BH506" s="1"/>
      <c r="BI506" s="1"/>
      <c r="BJ506" s="1"/>
      <c r="BK506" s="1"/>
      <c r="BL506" s="1"/>
      <c r="BM506" s="1"/>
      <c r="BN506" s="1"/>
      <c r="BO506" s="1"/>
      <c r="BP506" s="1"/>
      <c r="BQ506" s="1"/>
      <c r="BR506" s="1"/>
      <c r="BS506" s="1"/>
      <c r="BT506" s="1"/>
      <c r="BU506" s="1"/>
      <c r="BV506" s="1"/>
      <c r="BW506" s="1"/>
      <c r="BX506" s="1"/>
      <c r="BY506" s="1"/>
      <c r="BZ506" s="1"/>
    </row>
    <row r="507" spans="2:78" ht="12" customHeight="1" outlineLevel="1" x14ac:dyDescent="0.25">
      <c r="B507" s="88" t="s">
        <v>111</v>
      </c>
      <c r="C507" s="88" t="s">
        <v>121</v>
      </c>
      <c r="D507" s="89" t="s">
        <v>148</v>
      </c>
      <c r="E507" s="89" t="s">
        <v>149</v>
      </c>
      <c r="F507" s="90" t="s">
        <v>92</v>
      </c>
      <c r="G507" s="18" t="s">
        <v>126</v>
      </c>
      <c r="H507" s="91" t="s">
        <v>127</v>
      </c>
      <c r="I507" s="92" t="s">
        <v>127</v>
      </c>
      <c r="J507" s="142">
        <v>0.76959932000000009</v>
      </c>
      <c r="K507" s="143">
        <v>0.23780000000000001</v>
      </c>
      <c r="L507" s="144">
        <f t="shared" ca="1" si="181"/>
        <v>0.21536885200981096</v>
      </c>
      <c r="M507" s="143">
        <f t="shared" ca="1" si="182"/>
        <v>0.28901471300793308</v>
      </c>
      <c r="N507" s="162">
        <f t="shared" ca="1" si="180"/>
        <v>5.1214713007933045E-2</v>
      </c>
      <c r="O507" s="1060" t="s">
        <v>1584</v>
      </c>
      <c r="P507" s="88"/>
      <c r="Q507" s="89"/>
      <c r="R507" s="150"/>
      <c r="S507" s="1070"/>
      <c r="T507" s="1070"/>
      <c r="U507" s="1070"/>
      <c r="V507" s="1070"/>
      <c r="W507" s="1070"/>
      <c r="X507" s="1070"/>
      <c r="Y507" s="1070"/>
      <c r="Z507" s="1070"/>
      <c r="AA507" s="1070"/>
      <c r="AB507" s="1070"/>
      <c r="AC507" s="1070"/>
      <c r="AD507" s="1070"/>
      <c r="AE507" s="1070"/>
      <c r="AF507" s="1070"/>
      <c r="AG507" s="1070"/>
      <c r="AH507" s="1070"/>
      <c r="AI507" s="1070"/>
      <c r="AJ507" s="1071"/>
      <c r="AK507" s="1048" cm="1">
        <f t="array" aca="1" ref="AK507" ca="1">INDEX(OFFSET($AK$19,MATCH($B507,$B$19:$B$150,0)-1,0,COUNTA($B$19:$B$24),COUNTA($AK$17:$BB$17)),MATCH($F507,$F$19:$F$24,0),MATCH(AK$17,$AK$17:$BB$17,0))*INDEX($10:$13,MATCH($O507,$R$10:$R$13,0),COLUMN())</f>
        <v>5.6361273379510243E-3</v>
      </c>
      <c r="AL507" s="1046" cm="1">
        <f t="array" aca="1" ref="AL507" ca="1">INDEX(OFFSET($AK$19,MATCH($B507,$B$19:$B$150,0)-1,0,COUNTA($B$19:$B$24),COUNTA($AK$17:$BB$17)),MATCH($F507,$F$19:$F$24,0),MATCH(AL$17,$AK$17:$BB$17,0))*INDEX($10:$13,MATCH($O507,$R$10:$R$13,0),COLUMN())</f>
        <v>2.688830755E-8</v>
      </c>
      <c r="AM507" s="1046" cm="1">
        <f t="array" aca="1" ref="AM507" ca="1">INDEX(OFFSET($AK$19,MATCH($B507,$B$19:$B$150,0)-1,0,COUNTA($B$19:$B$24),COUNTA($AK$17:$BB$17)),MATCH($F507,$F$19:$F$24,0),MATCH(AM$17,$AK$17:$BB$17,0))*INDEX($10:$13,MATCH($O507,$R$10:$R$13,0),COLUMN())</f>
        <v>4.4636483430000001E-5</v>
      </c>
      <c r="AN507" s="1046" cm="1">
        <f t="array" aca="1" ref="AN507" ca="1">INDEX(OFFSET($AK$19,MATCH($B507,$B$19:$B$150,0)-1,0,COUNTA($B$19:$B$24),COUNTA($AK$17:$BB$17)),MATCH($F507,$F$19:$F$24,0),MATCH(AN$17,$AK$17:$BB$17,0))*INDEX($10:$13,MATCH($O507,$R$10:$R$13,0),COLUMN())</f>
        <v>1.8205261200000001E-4</v>
      </c>
      <c r="AO507" s="1046" cm="1">
        <f t="array" aca="1" ref="AO507" ca="1">INDEX(OFFSET($AK$19,MATCH($B507,$B$19:$B$150,0)-1,0,COUNTA($B$19:$B$24),COUNTA($AK$17:$BB$17)),MATCH($F507,$F$19:$F$24,0),MATCH(AO$17,$AK$17:$BB$17,0))*INDEX($10:$13,MATCH($O507,$R$10:$R$13,0),COLUMN())</f>
        <v>5.8540383999999999E-3</v>
      </c>
      <c r="AP507" s="1046" cm="1">
        <f t="array" aca="1" ref="AP507" ca="1">INDEX(OFFSET($AK$19,MATCH($B507,$B$19:$B$150,0)-1,0,COUNTA($B$19:$B$24),COUNTA($AK$17:$BB$17)),MATCH($F507,$F$19:$F$24,0),MATCH(AP$17,$AK$17:$BB$17,0))*INDEX($10:$13,MATCH($O507,$R$10:$R$13,0),COLUMN())</f>
        <v>6.6245907539999995E-4</v>
      </c>
      <c r="AQ507" s="1046" cm="1">
        <f t="array" aca="1" ref="AQ507" ca="1">INDEX(OFFSET($AK$19,MATCH($B507,$B$19:$B$150,0)-1,0,COUNTA($B$19:$B$24),COUNTA($AK$17:$BB$17)),MATCH($F507,$F$19:$F$24,0),MATCH(AQ$17,$AK$17:$BB$17,0))*INDEX($10:$13,MATCH($O507,$R$10:$R$13,0),COLUMN())</f>
        <v>1.229348525E-5</v>
      </c>
      <c r="AR507" s="1046" cm="1">
        <f t="array" aca="1" ref="AR507" ca="1">INDEX(OFFSET($AK$19,MATCH($B507,$B$19:$B$150,0)-1,0,COUNTA($B$19:$B$24),COUNTA($AK$17:$BB$17)),MATCH($F507,$F$19:$F$24,0),MATCH(AR$17,$AK$17:$BB$17,0))*INDEX($10:$13,MATCH($O507,$R$10:$R$13,0),COLUMN())</f>
        <v>4.7427639949999996E-3</v>
      </c>
      <c r="AS507" s="1046" cm="1">
        <f t="array" aca="1" ref="AS507" ca="1">INDEX(OFFSET($AK$19,MATCH($B507,$B$19:$B$150,0)-1,0,COUNTA($B$19:$B$24),COUNTA($AK$17:$BB$17)),MATCH($F507,$F$19:$F$24,0),MATCH(AS$17,$AK$17:$BB$17,0))*INDEX($10:$13,MATCH($O507,$R$10:$R$13,0),COLUMN())</f>
        <v>2.6125357049999999E-2</v>
      </c>
      <c r="AT507" s="1046" cm="1">
        <f t="array" aca="1" ref="AT507" ca="1">INDEX(OFFSET($AK$19,MATCH($B507,$B$19:$B$150,0)-1,0,COUNTA($B$19:$B$24),COUNTA($AK$17:$BB$17)),MATCH($F507,$F$19:$F$24,0),MATCH(AT$17,$AK$17:$BB$17,0))*INDEX($10:$13,MATCH($O507,$R$10:$R$13,0),COLUMN())</f>
        <v>2.8601755620000001E-5</v>
      </c>
      <c r="AU507" s="1046" cm="1">
        <f t="array" aca="1" ref="AU507" ca="1">INDEX(OFFSET($AK$19,MATCH($B507,$B$19:$B$150,0)-1,0,COUNTA($B$19:$B$24),COUNTA($AK$17:$BB$17)),MATCH($F507,$F$19:$F$24,0),MATCH(AU$17,$AK$17:$BB$17,0))*INDEX($10:$13,MATCH($O507,$R$10:$R$13,0),COLUMN())</f>
        <v>1.465655696E-6</v>
      </c>
      <c r="AV507" s="1046" cm="1">
        <f t="array" aca="1" ref="AV507" ca="1">INDEX(OFFSET($AK$19,MATCH($B507,$B$19:$B$150,0)-1,0,COUNTA($B$19:$B$24),COUNTA($AK$17:$BB$17)),MATCH($F507,$F$19:$F$24,0),MATCH(AV$17,$AK$17:$BB$17,0))*INDEX($10:$13,MATCH($O507,$R$10:$R$13,0),COLUMN())</f>
        <v>1.7838061675E-3</v>
      </c>
      <c r="AW507" s="1046" cm="1">
        <f t="array" aca="1" ref="AW507" ca="1">INDEX(OFFSET($AK$19,MATCH($B507,$B$19:$B$150,0)-1,0,COUNTA($B$19:$B$24),COUNTA($AK$17:$BB$17)),MATCH($F507,$F$19:$F$24,0),MATCH(AW$17,$AK$17:$BB$17,0))*INDEX($10:$13,MATCH($O507,$R$10:$R$13,0),COLUMN())</f>
        <v>6.1410624899999999E-3</v>
      </c>
      <c r="AX507" s="1046" cm="1">
        <f t="array" aca="1" ref="AX507" ca="1">INDEX(OFFSET($AK$19,MATCH($B507,$B$19:$B$150,0)-1,0,COUNTA($B$19:$B$24),COUNTA($AK$17:$BB$17)),MATCH($F507,$F$19:$F$24,0),MATCH(AX$17,$AK$17:$BB$17,0))*INDEX($10:$13,MATCH($O507,$R$10:$R$13,0),COLUMN())</f>
        <v>2.2198722314999999E-8</v>
      </c>
      <c r="AY507" s="1046" cm="1">
        <f t="array" aca="1" ref="AY507" ca="1">INDEX(OFFSET($AK$19,MATCH($B507,$B$19:$B$150,0)-1,0,COUNTA($B$19:$B$24),COUNTA($AK$17:$BB$17)),MATCH($F507,$F$19:$F$24,0),MATCH(AY$17,$AK$17:$BB$17,0))*INDEX($10:$13,MATCH($O507,$R$10:$R$13,0),COLUMN())</f>
        <v>-5.8694383068749994E-10</v>
      </c>
      <c r="AZ507" s="1046" cm="1">
        <f t="array" aca="1" ref="AZ507" ca="1">INDEX(OFFSET($AK$19,MATCH($B507,$B$19:$B$150,0)-1,0,COUNTA($B$19:$B$24),COUNTA($AK$17:$BB$17)),MATCH($F507,$F$19:$F$24,0),MATCH(AZ$17,$AK$17:$BB$17,0))*INDEX($10:$13,MATCH($O507,$R$10:$R$13,0),COLUMN())</f>
        <v>0</v>
      </c>
      <c r="BA507" s="1046" cm="1">
        <f t="array" aca="1" ref="BA507" ca="1">INDEX(OFFSET($AK$19,MATCH($B507,$B$19:$B$150,0)-1,0,COUNTA($B$19:$B$24),COUNTA($AK$17:$BB$17)),MATCH($F507,$F$19:$F$24,0),MATCH(BA$17,$AK$17:$BB$17,0))*INDEX($10:$13,MATCH($O507,$R$10:$R$13,0),COLUMN())</f>
        <v>0</v>
      </c>
      <c r="BB507" s="1047" cm="1">
        <f t="array" aca="1" ref="BB507" ca="1">INDEX(OFFSET($AK$19,MATCH($B507,$B$19:$B$150,0)-1,0,COUNTA($B$19:$B$24),COUNTA($AK$17:$BB$17)),MATCH($F507,$F$19:$F$24,0),MATCH(BB$17,$AK$17:$BB$17,0))*INDEX($10:$13,MATCH($O507,$R$10:$R$13,0),COLUMN())</f>
        <v>0</v>
      </c>
      <c r="BC507" s="1049">
        <f t="shared" ca="1" si="179"/>
        <v>6.1410841017784847E-3</v>
      </c>
      <c r="BE507" s="1"/>
      <c r="BF507" s="1"/>
      <c r="BG507" s="1"/>
      <c r="BH507" s="1"/>
      <c r="BI507" s="1"/>
      <c r="BJ507" s="1"/>
      <c r="BK507" s="1"/>
      <c r="BL507" s="1"/>
      <c r="BM507" s="1"/>
      <c r="BN507" s="1"/>
      <c r="BO507" s="1"/>
      <c r="BP507" s="1"/>
      <c r="BQ507" s="1"/>
      <c r="BR507" s="1"/>
      <c r="BS507" s="1"/>
      <c r="BT507" s="1"/>
      <c r="BU507" s="1"/>
      <c r="BV507" s="1"/>
      <c r="BW507" s="1"/>
      <c r="BX507" s="1"/>
      <c r="BY507" s="1"/>
      <c r="BZ507" s="1"/>
    </row>
    <row r="508" spans="2:78" ht="12" customHeight="1" outlineLevel="1" x14ac:dyDescent="0.25">
      <c r="B508" s="104" t="s">
        <v>111</v>
      </c>
      <c r="C508" s="104" t="s">
        <v>121</v>
      </c>
      <c r="D508" s="2" t="s">
        <v>148</v>
      </c>
      <c r="E508" s="2" t="s">
        <v>149</v>
      </c>
      <c r="F508" s="105" t="s">
        <v>122</v>
      </c>
      <c r="G508" s="27" t="s">
        <v>1579</v>
      </c>
      <c r="H508" s="106" t="s">
        <v>128</v>
      </c>
      <c r="I508" s="107" t="s">
        <v>129</v>
      </c>
      <c r="J508" s="147">
        <v>0.76959932000000009</v>
      </c>
      <c r="K508" s="148">
        <v>1.79</v>
      </c>
      <c r="L508" s="149">
        <f t="shared" ca="1" si="181"/>
        <v>9.0844470961257244E-3</v>
      </c>
      <c r="M508" s="148">
        <f t="shared" ca="1" si="182"/>
        <v>1.8062611603020651</v>
      </c>
      <c r="N508" s="163">
        <f t="shared" ca="1" si="180"/>
        <v>1.6261160302065047E-2</v>
      </c>
      <c r="O508" s="1061" t="s">
        <v>1584</v>
      </c>
      <c r="P508" s="104"/>
      <c r="R508" s="119"/>
      <c r="S508" s="1072"/>
      <c r="T508" s="1072"/>
      <c r="U508" s="1072"/>
      <c r="V508" s="1072"/>
      <c r="W508" s="1072"/>
      <c r="X508" s="1072"/>
      <c r="Y508" s="1072"/>
      <c r="Z508" s="1072"/>
      <c r="AA508" s="1072"/>
      <c r="AB508" s="1072"/>
      <c r="AC508" s="1072"/>
      <c r="AD508" s="1072"/>
      <c r="AE508" s="1072"/>
      <c r="AF508" s="1072"/>
      <c r="AG508" s="1072"/>
      <c r="AH508" s="1072"/>
      <c r="AI508" s="1072"/>
      <c r="AJ508" s="1073"/>
      <c r="AK508" s="1052" cm="1">
        <f t="array" aca="1" ref="AK508" ca="1">INDEX(OFFSET($AK$19,MATCH($B508,$B$19:$B$150,0)-1,0,COUNTA($B$19:$B$24),COUNTA($AK$17:$BB$17)),MATCH($F508,$F$19:$F$24,0),MATCH(AK$17,$AK$17:$BB$17,0))*INDEX($10:$13,MATCH($O508,$R$10:$R$13,0),COLUMN())</f>
        <v>3.0177582667140095E-3</v>
      </c>
      <c r="AL508" s="1050" cm="1">
        <f t="array" aca="1" ref="AL508" ca="1">INDEX(OFFSET($AK$19,MATCH($B508,$B$19:$B$150,0)-1,0,COUNTA($B$19:$B$24),COUNTA($AK$17:$BB$17)),MATCH($F508,$F$19:$F$24,0),MATCH(AL$17,$AK$17:$BB$17,0))*INDEX($10:$13,MATCH($O508,$R$10:$R$13,0),COLUMN())</f>
        <v>1.2450030801000001E-8</v>
      </c>
      <c r="AM508" s="1050" cm="1">
        <f t="array" aca="1" ref="AM508" ca="1">INDEX(OFFSET($AK$19,MATCH($B508,$B$19:$B$150,0)-1,0,COUNTA($B$19:$B$24),COUNTA($AK$17:$BB$17)),MATCH($F508,$F$19:$F$24,0),MATCH(AM$17,$AK$17:$BB$17,0))*INDEX($10:$13,MATCH($O508,$R$10:$R$13,0),COLUMN())</f>
        <v>2.0424583377E-5</v>
      </c>
      <c r="AN508" s="1050" cm="1">
        <f t="array" aca="1" ref="AN508" ca="1">INDEX(OFFSET($AK$19,MATCH($B508,$B$19:$B$150,0)-1,0,COUNTA($B$19:$B$24),COUNTA($AK$17:$BB$17)),MATCH($F508,$F$19:$F$24,0),MATCH(AN$17,$AK$17:$BB$17,0))*INDEX($10:$13,MATCH($O508,$R$10:$R$13,0),COLUMN())</f>
        <v>2.1576597839999997E-4</v>
      </c>
      <c r="AO508" s="1050" cm="1">
        <f t="array" aca="1" ref="AO508" ca="1">INDEX(OFFSET($AK$19,MATCH($B508,$B$19:$B$150,0)-1,0,COUNTA($B$19:$B$24),COUNTA($AK$17:$BB$17)),MATCH($F508,$F$19:$F$24,0),MATCH(AO$17,$AK$17:$BB$17,0))*INDEX($10:$13,MATCH($O508,$R$10:$R$13,0),COLUMN())</f>
        <v>2.4808323679999999E-3</v>
      </c>
      <c r="AP508" s="1050" cm="1">
        <f t="array" aca="1" ref="AP508" ca="1">INDEX(OFFSET($AK$19,MATCH($B508,$B$19:$B$150,0)-1,0,COUNTA($B$19:$B$24),COUNTA($AK$17:$BB$17)),MATCH($F508,$F$19:$F$24,0),MATCH(AP$17,$AK$17:$BB$17,0))*INDEX($10:$13,MATCH($O508,$R$10:$R$13,0),COLUMN())</f>
        <v>1.5963734955999999E-4</v>
      </c>
      <c r="AQ508" s="1050" cm="1">
        <f t="array" aca="1" ref="AQ508" ca="1">INDEX(OFFSET($AK$19,MATCH($B508,$B$19:$B$150,0)-1,0,COUNTA($B$19:$B$24),COUNTA($AK$17:$BB$17)),MATCH($F508,$F$19:$F$24,0),MATCH(AQ$17,$AK$17:$BB$17,0))*INDEX($10:$13,MATCH($O508,$R$10:$R$13,0),COLUMN())</f>
        <v>9.9045707499999991E-7</v>
      </c>
      <c r="AR508" s="1050" cm="1">
        <f t="array" aca="1" ref="AR508" ca="1">INDEX(OFFSET($AK$19,MATCH($B508,$B$19:$B$150,0)-1,0,COUNTA($B$19:$B$24),COUNTA($AK$17:$BB$17)),MATCH($F508,$F$19:$F$24,0),MATCH(AR$17,$AK$17:$BB$17,0))*INDEX($10:$13,MATCH($O508,$R$10:$R$13,0),COLUMN())</f>
        <v>2.2628653272999998E-3</v>
      </c>
      <c r="AS508" s="1050" cm="1">
        <f t="array" aca="1" ref="AS508" ca="1">INDEX(OFFSET($AK$19,MATCH($B508,$B$19:$B$150,0)-1,0,COUNTA($B$19:$B$24),COUNTA($AK$17:$BB$17)),MATCH($F508,$F$19:$F$24,0),MATCH(AS$17,$AK$17:$BB$17,0))*INDEX($10:$13,MATCH($O508,$R$10:$R$13,0),COLUMN())</f>
        <v>7.5485405969999996E-6</v>
      </c>
      <c r="AT508" s="1050" cm="1">
        <f t="array" aca="1" ref="AT508" ca="1">INDEX(OFFSET($AK$19,MATCH($B508,$B$19:$B$150,0)-1,0,COUNTA($B$19:$B$24),COUNTA($AK$17:$BB$17)),MATCH($F508,$F$19:$F$24,0),MATCH(AT$17,$AK$17:$BB$17,0))*INDEX($10:$13,MATCH($O508,$R$10:$R$13,0),COLUMN())</f>
        <v>8.8764666050000005E-8</v>
      </c>
      <c r="AU508" s="1050" cm="1">
        <f t="array" aca="1" ref="AU508" ca="1">INDEX(OFFSET($AK$19,MATCH($B508,$B$19:$B$150,0)-1,0,COUNTA($B$19:$B$24),COUNTA($AK$17:$BB$17)),MATCH($F508,$F$19:$F$24,0),MATCH(AU$17,$AK$17:$BB$17,0))*INDEX($10:$13,MATCH($O508,$R$10:$R$13,0),COLUMN())</f>
        <v>2.2360103584000001E-8</v>
      </c>
      <c r="AV508" s="1050" cm="1">
        <f t="array" aca="1" ref="AV508" ca="1">INDEX(OFFSET($AK$19,MATCH($B508,$B$19:$B$150,0)-1,0,COUNTA($B$19:$B$24),COUNTA($AK$17:$BB$17)),MATCH($F508,$F$19:$F$24,0),MATCH(AV$17,$AK$17:$BB$17,0))*INDEX($10:$13,MATCH($O508,$R$10:$R$13,0),COLUMN())</f>
        <v>1.4805639699999997E-4</v>
      </c>
      <c r="AW508" s="1050" cm="1">
        <f t="array" aca="1" ref="AW508" ca="1">INDEX(OFFSET($AK$19,MATCH($B508,$B$19:$B$150,0)-1,0,COUNTA($B$19:$B$24),COUNTA($AK$17:$BB$17)),MATCH($F508,$F$19:$F$24,0),MATCH(AW$17,$AK$17:$BB$17,0))*INDEX($10:$13,MATCH($O508,$R$10:$R$13,0),COLUMN())</f>
        <v>7.9471525199999987E-3</v>
      </c>
      <c r="AX508" s="1050" cm="1">
        <f t="array" aca="1" ref="AX508" ca="1">INDEX(OFFSET($AK$19,MATCH($B508,$B$19:$B$150,0)-1,0,COUNTA($B$19:$B$24),COUNTA($AK$17:$BB$17)),MATCH($F508,$F$19:$F$24,0),MATCH(AX$17,$AK$17:$BB$17,0))*INDEX($10:$13,MATCH($O508,$R$10:$R$13,0),COLUMN())</f>
        <v>5.0699061749999995E-9</v>
      </c>
      <c r="AY508" s="1050" cm="1">
        <f t="array" aca="1" ref="AY508" ca="1">INDEX(OFFSET($AK$19,MATCH($B508,$B$19:$B$150,0)-1,0,COUNTA($B$19:$B$24),COUNTA($AK$17:$BB$17)),MATCH($F508,$F$19:$F$24,0),MATCH(AY$17,$AK$17:$BB$17,0))*INDEX($10:$13,MATCH($O508,$R$10:$R$13,0),COLUMN())</f>
        <v>-1.3066457231249999E-10</v>
      </c>
      <c r="AZ508" s="1050" cm="1">
        <f t="array" aca="1" ref="AZ508" ca="1">INDEX(OFFSET($AK$19,MATCH($B508,$B$19:$B$150,0)-1,0,COUNTA($B$19:$B$24),COUNTA($AK$17:$BB$17)),MATCH($F508,$F$19:$F$24,0),MATCH(AZ$17,$AK$17:$BB$17,0))*INDEX($10:$13,MATCH($O508,$R$10:$R$13,0),COLUMN())</f>
        <v>0</v>
      </c>
      <c r="BA508" s="1050" cm="1">
        <f t="array" aca="1" ref="BA508" ca="1">INDEX(OFFSET($AK$19,MATCH($B508,$B$19:$B$150,0)-1,0,COUNTA($B$19:$B$24),COUNTA($AK$17:$BB$17)),MATCH($F508,$F$19:$F$24,0),MATCH(BA$17,$AK$17:$BB$17,0))*INDEX($10:$13,MATCH($O508,$R$10:$R$13,0),COLUMN())</f>
        <v>0</v>
      </c>
      <c r="BB508" s="1051" cm="1">
        <f t="array" aca="1" ref="BB508" ca="1">INDEX(OFFSET($AK$19,MATCH($B508,$B$19:$B$150,0)-1,0,COUNTA($B$19:$B$24),COUNTA($AK$17:$BB$17)),MATCH($F508,$F$19:$F$24,0),MATCH(BB$17,$AK$17:$BB$17,0))*INDEX($10:$13,MATCH($O508,$R$10:$R$13,0),COLUMN())</f>
        <v>0</v>
      </c>
      <c r="BC508" s="1053">
        <f t="shared" ca="1" si="179"/>
        <v>7.9471574592416012E-3</v>
      </c>
      <c r="BE508" s="1"/>
      <c r="BF508" s="1"/>
      <c r="BG508" s="1"/>
      <c r="BH508" s="1"/>
      <c r="BI508" s="1"/>
      <c r="BJ508" s="1"/>
      <c r="BK508" s="1"/>
      <c r="BL508" s="1"/>
      <c r="BM508" s="1"/>
      <c r="BN508" s="1"/>
      <c r="BO508" s="1"/>
      <c r="BP508" s="1"/>
      <c r="BQ508" s="1"/>
      <c r="BR508" s="1"/>
      <c r="BS508" s="1"/>
      <c r="BT508" s="1"/>
      <c r="BU508" s="1"/>
      <c r="BV508" s="1"/>
      <c r="BW508" s="1"/>
      <c r="BX508" s="1"/>
      <c r="BY508" s="1"/>
      <c r="BZ508" s="1"/>
    </row>
    <row r="509" spans="2:78" ht="12" customHeight="1" outlineLevel="1" x14ac:dyDescent="0.25">
      <c r="B509" s="104" t="s">
        <v>111</v>
      </c>
      <c r="C509" s="104" t="s">
        <v>121</v>
      </c>
      <c r="D509" s="2" t="s">
        <v>148</v>
      </c>
      <c r="E509" s="2" t="s">
        <v>149</v>
      </c>
      <c r="F509" s="105" t="s">
        <v>93</v>
      </c>
      <c r="G509" s="27" t="s">
        <v>1578</v>
      </c>
      <c r="H509" s="106" t="s">
        <v>130</v>
      </c>
      <c r="I509" s="107" t="s">
        <v>129</v>
      </c>
      <c r="J509" s="147">
        <v>0.76959932000000009</v>
      </c>
      <c r="K509" s="148">
        <v>1.79</v>
      </c>
      <c r="L509" s="149">
        <f t="shared" ca="1" si="181"/>
        <v>1.3807926957149776E-2</v>
      </c>
      <c r="M509" s="148">
        <f t="shared" ca="1" si="182"/>
        <v>1.8147161892532981</v>
      </c>
      <c r="N509" s="163">
        <f t="shared" ca="1" si="180"/>
        <v>2.4716189253298101E-2</v>
      </c>
      <c r="O509" s="1061" t="s">
        <v>1584</v>
      </c>
      <c r="P509" s="104"/>
      <c r="R509" s="119"/>
      <c r="S509" s="1072"/>
      <c r="T509" s="1072"/>
      <c r="U509" s="1072"/>
      <c r="V509" s="1072"/>
      <c r="W509" s="1072"/>
      <c r="X509" s="1072"/>
      <c r="Y509" s="1072"/>
      <c r="Z509" s="1072"/>
      <c r="AA509" s="1072"/>
      <c r="AB509" s="1072"/>
      <c r="AC509" s="1072"/>
      <c r="AD509" s="1072"/>
      <c r="AE509" s="1072"/>
      <c r="AF509" s="1072"/>
      <c r="AG509" s="1072"/>
      <c r="AH509" s="1072"/>
      <c r="AI509" s="1072"/>
      <c r="AJ509" s="1073"/>
      <c r="AK509" s="1052" cm="1">
        <f t="array" aca="1" ref="AK509" ca="1">INDEX(OFFSET($AK$19,MATCH($B509,$B$19:$B$150,0)-1,0,COUNTA($B$19:$B$24),COUNTA($AK$17:$BB$17)),MATCH($F509,$F$19:$F$24,0),MATCH(AK$17,$AK$17:$BB$17,0))*INDEX($10:$13,MATCH($O509,$R$10:$R$13,0),COLUMN())</f>
        <v>4.5843536090614421E-3</v>
      </c>
      <c r="AL509" s="1050" cm="1">
        <f t="array" aca="1" ref="AL509" ca="1">INDEX(OFFSET($AK$19,MATCH($B509,$B$19:$B$150,0)-1,0,COUNTA($B$19:$B$24),COUNTA($AK$17:$BB$17)),MATCH($F509,$F$19:$F$24,0),MATCH(AL$17,$AK$17:$BB$17,0))*INDEX($10:$13,MATCH($O509,$R$10:$R$13,0),COLUMN())</f>
        <v>1.8913159668E-8</v>
      </c>
      <c r="AM509" s="1050" cm="1">
        <f t="array" aca="1" ref="AM509" ca="1">INDEX(OFFSET($AK$19,MATCH($B509,$B$19:$B$150,0)-1,0,COUNTA($B$19:$B$24),COUNTA($AK$17:$BB$17)),MATCH($F509,$F$19:$F$24,0),MATCH(AM$17,$AK$17:$BB$17,0))*INDEX($10:$13,MATCH($O509,$R$10:$R$13,0),COLUMN())</f>
        <v>3.1027506840000003E-5</v>
      </c>
      <c r="AN509" s="1050" cm="1">
        <f t="array" aca="1" ref="AN509" ca="1">INDEX(OFFSET($AK$19,MATCH($B509,$B$19:$B$150,0)-1,0,COUNTA($B$19:$B$24),COUNTA($AK$17:$BB$17)),MATCH($F509,$F$19:$F$24,0),MATCH(AN$17,$AK$17:$BB$17,0))*INDEX($10:$13,MATCH($O509,$R$10:$R$13,0),COLUMN())</f>
        <v>3.2777560199999996E-4</v>
      </c>
      <c r="AO509" s="1050" cm="1">
        <f t="array" aca="1" ref="AO509" ca="1">INDEX(OFFSET($AK$19,MATCH($B509,$B$19:$B$150,0)-1,0,COUNTA($B$19:$B$24),COUNTA($AK$17:$BB$17)),MATCH($F509,$F$19:$F$24,0),MATCH(AO$17,$AK$17:$BB$17,0))*INDEX($10:$13,MATCH($O509,$R$10:$R$13,0),COLUMN())</f>
        <v>3.76869584E-3</v>
      </c>
      <c r="AP509" s="1050" cm="1">
        <f t="array" aca="1" ref="AP509" ca="1">INDEX(OFFSET($AK$19,MATCH($B509,$B$19:$B$150,0)-1,0,COUNTA($B$19:$B$24),COUNTA($AK$17:$BB$17)),MATCH($F509,$F$19:$F$24,0),MATCH(AP$17,$AK$17:$BB$17,0))*INDEX($10:$13,MATCH($O509,$R$10:$R$13,0),COLUMN())</f>
        <v>2.4250917030000001E-4</v>
      </c>
      <c r="AQ509" s="1050" cm="1">
        <f t="array" aca="1" ref="AQ509" ca="1">INDEX(OFFSET($AK$19,MATCH($B509,$B$19:$B$150,0)-1,0,COUNTA($B$19:$B$24),COUNTA($AK$17:$BB$17)),MATCH($F509,$F$19:$F$24,0),MATCH(AQ$17,$AK$17:$BB$17,0))*INDEX($10:$13,MATCH($O509,$R$10:$R$13,0),COLUMN())</f>
        <v>1.5046286499999999E-6</v>
      </c>
      <c r="AR509" s="1050" cm="1">
        <f t="array" aca="1" ref="AR509" ca="1">INDEX(OFFSET($AK$19,MATCH($B509,$B$19:$B$150,0)-1,0,COUNTA($B$19:$B$24),COUNTA($AK$17:$BB$17)),MATCH($F509,$F$19:$F$24,0),MATCH(AR$17,$AK$17:$BB$17,0))*INDEX($10:$13,MATCH($O509,$R$10:$R$13,0),COLUMN())</f>
        <v>3.4375766110000001E-3</v>
      </c>
      <c r="AS509" s="1050" cm="1">
        <f t="array" aca="1" ref="AS509" ca="1">INDEX(OFFSET($AK$19,MATCH($B509,$B$19:$B$150,0)-1,0,COUNTA($B$19:$B$24),COUNTA($AK$17:$BB$17)),MATCH($F509,$F$19:$F$24,0),MATCH(AS$17,$AK$17:$BB$17,0))*INDEX($10:$13,MATCH($O509,$R$10:$R$13,0),COLUMN())</f>
        <v>1.2547452059999999E-5</v>
      </c>
      <c r="AT509" s="1050" cm="1">
        <f t="array" aca="1" ref="AT509" ca="1">INDEX(OFFSET($AK$19,MATCH($B509,$B$19:$B$150,0)-1,0,COUNTA($B$19:$B$24),COUNTA($AK$17:$BB$17)),MATCH($F509,$F$19:$F$24,0),MATCH(AT$17,$AK$17:$BB$17,0))*INDEX($10:$13,MATCH($O509,$R$10:$R$13,0),COLUMN())</f>
        <v>1.352784504E-7</v>
      </c>
      <c r="AU509" s="1050" cm="1">
        <f t="array" aca="1" ref="AU509" ca="1">INDEX(OFFSET($AK$19,MATCH($B509,$B$19:$B$150,0)-1,0,COUNTA($B$19:$B$24),COUNTA($AK$17:$BB$17)),MATCH($F509,$F$19:$F$24,0),MATCH(AU$17,$AK$17:$BB$17,0))*INDEX($10:$13,MATCH($O509,$R$10:$R$13,0),COLUMN())</f>
        <v>3.4015948832E-8</v>
      </c>
      <c r="AV509" s="1050" cm="1">
        <f t="array" aca="1" ref="AV509" ca="1">INDEX(OFFSET($AK$19,MATCH($B509,$B$19:$B$150,0)-1,0,COUNTA($B$19:$B$24),COUNTA($AK$17:$BB$17)),MATCH($F509,$F$19:$F$24,0),MATCH(AV$17,$AK$17:$BB$17,0))*INDEX($10:$13,MATCH($O509,$R$10:$R$13,0),COLUMN())</f>
        <v>2.3728082749999998E-4</v>
      </c>
      <c r="AW509" s="1050" cm="1">
        <f t="array" aca="1" ref="AW509" ca="1">INDEX(OFFSET($AK$19,MATCH($B509,$B$19:$B$150,0)-1,0,COUNTA($B$19:$B$24),COUNTA($AK$17:$BB$17)),MATCH($F509,$F$19:$F$24,0),MATCH(AW$17,$AK$17:$BB$17,0))*INDEX($10:$13,MATCH($O509,$R$10:$R$13,0),COLUMN())</f>
        <v>1.2072722294999999E-2</v>
      </c>
      <c r="AX509" s="1050" cm="1">
        <f t="array" aca="1" ref="AX509" ca="1">INDEX(OFFSET($AK$19,MATCH($B509,$B$19:$B$150,0)-1,0,COUNTA($B$19:$B$24),COUNTA($AK$17:$BB$17)),MATCH($F509,$F$19:$F$24,0),MATCH(AX$17,$AK$17:$BB$17,0))*INDEX($10:$13,MATCH($O509,$R$10:$R$13,0),COLUMN())</f>
        <v>7.7018236499999993E-9</v>
      </c>
      <c r="AY509" s="1050" cm="1">
        <f t="array" aca="1" ref="AY509" ca="1">INDEX(OFFSET($AK$19,MATCH($B509,$B$19:$B$150,0)-1,0,COUNTA($B$19:$B$24),COUNTA($AK$17:$BB$17)),MATCH($F509,$F$19:$F$24,0),MATCH(AY$17,$AK$17:$BB$17,0))*INDEX($10:$13,MATCH($O509,$R$10:$R$13,0),COLUMN())</f>
        <v>-1.9849588875E-10</v>
      </c>
      <c r="AZ509" s="1050" cm="1">
        <f t="array" aca="1" ref="AZ509" ca="1">INDEX(OFFSET($AK$19,MATCH($B509,$B$19:$B$150,0)-1,0,COUNTA($B$19:$B$24),COUNTA($AK$17:$BB$17)),MATCH($F509,$F$19:$F$24,0),MATCH(AZ$17,$AK$17:$BB$17,0))*INDEX($10:$13,MATCH($O509,$R$10:$R$13,0),COLUMN())</f>
        <v>0</v>
      </c>
      <c r="BA509" s="1050" cm="1">
        <f t="array" aca="1" ref="BA509" ca="1">INDEX(OFFSET($AK$19,MATCH($B509,$B$19:$B$150,0)-1,0,COUNTA($B$19:$B$24),COUNTA($AK$17:$BB$17)),MATCH($F509,$F$19:$F$24,0),MATCH(BA$17,$AK$17:$BB$17,0))*INDEX($10:$13,MATCH($O509,$R$10:$R$13,0),COLUMN())</f>
        <v>0</v>
      </c>
      <c r="BB509" s="1051" cm="1">
        <f t="array" aca="1" ref="BB509" ca="1">INDEX(OFFSET($AK$19,MATCH($B509,$B$19:$B$150,0)-1,0,COUNTA($B$19:$B$24),COUNTA($AK$17:$BB$17)),MATCH($F509,$F$19:$F$24,0),MATCH(BB$17,$AK$17:$BB$17,0))*INDEX($10:$13,MATCH($O509,$R$10:$R$13,0),COLUMN())</f>
        <v>0</v>
      </c>
      <c r="BC509" s="1053">
        <f t="shared" ca="1" si="179"/>
        <v>1.2072729798327761E-2</v>
      </c>
      <c r="BE509" s="1"/>
      <c r="BF509" s="1"/>
      <c r="BG509" s="1"/>
      <c r="BH509" s="1"/>
      <c r="BI509" s="1"/>
      <c r="BJ509" s="1"/>
      <c r="BK509" s="1"/>
      <c r="BL509" s="1"/>
      <c r="BM509" s="1"/>
      <c r="BN509" s="1"/>
      <c r="BO509" s="1"/>
      <c r="BP509" s="1"/>
      <c r="BQ509" s="1"/>
      <c r="BR509" s="1"/>
      <c r="BS509" s="1"/>
      <c r="BT509" s="1"/>
      <c r="BU509" s="1"/>
      <c r="BV509" s="1"/>
      <c r="BW509" s="1"/>
      <c r="BX509" s="1"/>
      <c r="BY509" s="1"/>
      <c r="BZ509" s="1"/>
    </row>
    <row r="510" spans="2:78" ht="12" customHeight="1" outlineLevel="1" x14ac:dyDescent="0.25">
      <c r="B510" s="104" t="s">
        <v>111</v>
      </c>
      <c r="C510" s="104" t="s">
        <v>121</v>
      </c>
      <c r="D510" s="2" t="s">
        <v>148</v>
      </c>
      <c r="E510" s="2" t="s">
        <v>149</v>
      </c>
      <c r="F510" s="105" t="s">
        <v>94</v>
      </c>
      <c r="G510" s="27" t="s">
        <v>1580</v>
      </c>
      <c r="H510" s="106" t="s">
        <v>131</v>
      </c>
      <c r="I510" s="107" t="s">
        <v>129</v>
      </c>
      <c r="J510" s="147">
        <v>0.76959932000000009</v>
      </c>
      <c r="K510" s="148">
        <v>1.79</v>
      </c>
      <c r="L510" s="149">
        <f t="shared" ca="1" si="181"/>
        <v>6.7614936143125725E-3</v>
      </c>
      <c r="M510" s="148">
        <f t="shared" ca="1" si="182"/>
        <v>1.8021030735696195</v>
      </c>
      <c r="N510" s="148">
        <f t="shared" ca="1" si="180"/>
        <v>1.2103073569619505E-2</v>
      </c>
      <c r="O510" s="1062" t="s">
        <v>1584</v>
      </c>
      <c r="P510" s="104"/>
      <c r="R510" s="119"/>
      <c r="S510" s="1072"/>
      <c r="T510" s="1072"/>
      <c r="U510" s="1072"/>
      <c r="V510" s="1072"/>
      <c r="W510" s="1072"/>
      <c r="X510" s="1072"/>
      <c r="Y510" s="1072"/>
      <c r="Z510" s="1072"/>
      <c r="AA510" s="1072"/>
      <c r="AB510" s="1072"/>
      <c r="AC510" s="1072"/>
      <c r="AD510" s="1072"/>
      <c r="AE510" s="1072"/>
      <c r="AF510" s="1072"/>
      <c r="AG510" s="1072"/>
      <c r="AH510" s="1072"/>
      <c r="AI510" s="1072"/>
      <c r="AJ510" s="1073"/>
      <c r="AK510" s="1052" cm="1">
        <f t="array" aca="1" ref="AK510" ca="1">INDEX(OFFSET($AK$19,MATCH($B510,$B$19:$B$150,0)-1,0,COUNTA($B$19:$B$24),COUNTA($AK$17:$BB$17)),MATCH($F510,$F$19:$F$24,0),MATCH(AK$17,$AK$17:$BB$17,0))*INDEX($10:$13,MATCH($O510,$R$10:$R$13,0),COLUMN())</f>
        <v>2.2473206105913133E-3</v>
      </c>
      <c r="AL510" s="1050" cm="1">
        <f t="array" aca="1" ref="AL510" ca="1">INDEX(OFFSET($AK$19,MATCH($B510,$B$19:$B$150,0)-1,0,COUNTA($B$19:$B$24),COUNTA($AK$17:$BB$17)),MATCH($F510,$F$19:$F$24,0),MATCH(AL$17,$AK$17:$BB$17,0))*INDEX($10:$13,MATCH($O510,$R$10:$R$13,0),COLUMN())</f>
        <v>9.2715215060000008E-9</v>
      </c>
      <c r="AM510" s="1050" cm="1">
        <f t="array" aca="1" ref="AM510" ca="1">INDEX(OFFSET($AK$19,MATCH($B510,$B$19:$B$150,0)-1,0,COUNTA($B$19:$B$24),COUNTA($AK$17:$BB$17)),MATCH($F510,$F$19:$F$24,0),MATCH(AM$17,$AK$17:$BB$17,0))*INDEX($10:$13,MATCH($O510,$R$10:$R$13,0),COLUMN())</f>
        <v>1.5210160317E-5</v>
      </c>
      <c r="AN510" s="1050" cm="1">
        <f t="array" aca="1" ref="AN510" ca="1">INDEX(OFFSET($AK$19,MATCH($B510,$B$19:$B$150,0)-1,0,COUNTA($B$19:$B$24),COUNTA($AK$17:$BB$17)),MATCH($F510,$F$19:$F$24,0),MATCH(AN$17,$AK$17:$BB$17,0))*INDEX($10:$13,MATCH($O510,$R$10:$R$13,0),COLUMN())</f>
        <v>1.6068064319999997E-4</v>
      </c>
      <c r="AO510" s="1050" cm="1">
        <f t="array" aca="1" ref="AO510" ca="1">INDEX(OFFSET($AK$19,MATCH($B510,$B$19:$B$150,0)-1,0,COUNTA($B$19:$B$24),COUNTA($AK$17:$BB$17)),MATCH($F510,$F$19:$F$24,0),MATCH(AO$17,$AK$17:$BB$17,0))*INDEX($10:$13,MATCH($O510,$R$10:$R$13,0),COLUMN())</f>
        <v>1.847472592E-3</v>
      </c>
      <c r="AP510" s="1050" cm="1">
        <f t="array" aca="1" ref="AP510" ca="1">INDEX(OFFSET($AK$19,MATCH($B510,$B$19:$B$150,0)-1,0,COUNTA($B$19:$B$24),COUNTA($AK$17:$BB$17)),MATCH($F510,$F$19:$F$24,0),MATCH(AP$17,$AK$17:$BB$17,0))*INDEX($10:$13,MATCH($O510,$R$10:$R$13,0),COLUMN())</f>
        <v>1.1888172288E-4</v>
      </c>
      <c r="AQ510" s="1050" cm="1">
        <f t="array" aca="1" ref="AQ510" ca="1">INDEX(OFFSET($AK$19,MATCH($B510,$B$19:$B$150,0)-1,0,COUNTA($B$19:$B$24),COUNTA($AK$17:$BB$17)),MATCH($F510,$F$19:$F$24,0),MATCH(AQ$17,$AK$17:$BB$17,0))*INDEX($10:$13,MATCH($O510,$R$10:$R$13,0),COLUMN())</f>
        <v>7.3759207499999999E-7</v>
      </c>
      <c r="AR510" s="1050" cm="1">
        <f t="array" aca="1" ref="AR510" ca="1">INDEX(OFFSET($AK$19,MATCH($B510,$B$19:$B$150,0)-1,0,COUNTA($B$19:$B$24),COUNTA($AK$17:$BB$17)),MATCH($F510,$F$19:$F$24,0),MATCH(AR$17,$AK$17:$BB$17,0))*INDEX($10:$13,MATCH($O510,$R$10:$R$13,0),COLUMN())</f>
        <v>1.6851528157999999E-3</v>
      </c>
      <c r="AS510" s="1050" cm="1">
        <f t="array" aca="1" ref="AS510" ca="1">INDEX(OFFSET($AK$19,MATCH($B510,$B$19:$B$150,0)-1,0,COUNTA($B$19:$B$24),COUNTA($AK$17:$BB$17)),MATCH($F510,$F$19:$F$24,0),MATCH(AS$17,$AK$17:$BB$17,0))*INDEX($10:$13,MATCH($O510,$R$10:$R$13,0),COLUMN())</f>
        <v>5.0918232689999997E-6</v>
      </c>
      <c r="AT510" s="1050" cm="1">
        <f t="array" aca="1" ref="AT510" ca="1">INDEX(OFFSET($AK$19,MATCH($B510,$B$19:$B$150,0)-1,0,COUNTA($B$19:$B$24),COUNTA($AK$17:$BB$17)),MATCH($F510,$F$19:$F$24,0),MATCH(AT$17,$AK$17:$BB$17,0))*INDEX($10:$13,MATCH($O510,$R$10:$R$13,0),COLUMN())</f>
        <v>6.5890281250000004E-8</v>
      </c>
      <c r="AU510" s="1050" cm="1">
        <f t="array" aca="1" ref="AU510" ca="1">INDEX(OFFSET($AK$19,MATCH($B510,$B$19:$B$150,0)-1,0,COUNTA($B$19:$B$24),COUNTA($AK$17:$BB$17)),MATCH($F510,$F$19:$F$24,0),MATCH(AU$17,$AK$17:$BB$17,0))*INDEX($10:$13,MATCH($O510,$R$10:$R$13,0),COLUMN())</f>
        <v>1.6627937728000001E-8</v>
      </c>
      <c r="AV510" s="1050" cm="1">
        <f t="array" aca="1" ref="AV510" ca="1">INDEX(OFFSET($AK$19,MATCH($B510,$B$19:$B$150,0)-1,0,COUNTA($B$19:$B$24),COUNTA($AK$17:$BB$17)),MATCH($F510,$F$19:$F$24,0),MATCH(AV$17,$AK$17:$BB$17,0))*INDEX($10:$13,MATCH($O510,$R$10:$R$13,0),COLUMN())</f>
        <v>1.041960865E-4</v>
      </c>
      <c r="AW510" s="1050" cm="1">
        <f t="array" aca="1" ref="AW510" ca="1">INDEX(OFFSET($AK$19,MATCH($B510,$B$19:$B$150,0)-1,0,COUNTA($B$19:$B$24),COUNTA($AK$17:$BB$17)),MATCH($F510,$F$19:$F$24,0),MATCH(AW$17,$AK$17:$BB$17,0))*INDEX($10:$13,MATCH($O510,$R$10:$R$13,0),COLUMN())</f>
        <v>5.9182340549999999E-3</v>
      </c>
      <c r="AX510" s="1050" cm="1">
        <f t="array" aca="1" ref="AX510" ca="1">INDEX(OFFSET($AK$19,MATCH($B510,$B$19:$B$150,0)-1,0,COUNTA($B$19:$B$24),COUNTA($AK$17:$BB$17)),MATCH($F510,$F$19:$F$24,0),MATCH(AX$17,$AK$17:$BB$17,0))*INDEX($10:$13,MATCH($O510,$R$10:$R$13,0),COLUMN())</f>
        <v>3.77555244E-9</v>
      </c>
      <c r="AY510" s="1050" cm="1">
        <f t="array" aca="1" ref="AY510" ca="1">INDEX(OFFSET($AK$19,MATCH($B510,$B$19:$B$150,0)-1,0,COUNTA($B$19:$B$24),COUNTA($AK$17:$BB$17)),MATCH($F510,$F$19:$F$24,0),MATCH(AY$17,$AK$17:$BB$17,0))*INDEX($10:$13,MATCH($O510,$R$10:$R$13,0),COLUMN())</f>
        <v>-9.7305733687499983E-11</v>
      </c>
      <c r="AZ510" s="1050" cm="1">
        <f t="array" aca="1" ref="AZ510" ca="1">INDEX(OFFSET($AK$19,MATCH($B510,$B$19:$B$150,0)-1,0,COUNTA($B$19:$B$24),COUNTA($AK$17:$BB$17)),MATCH($F510,$F$19:$F$24,0),MATCH(AZ$17,$AK$17:$BB$17,0))*INDEX($10:$13,MATCH($O510,$R$10:$R$13,0),COLUMN())</f>
        <v>0</v>
      </c>
      <c r="BA510" s="1050" cm="1">
        <f t="array" aca="1" ref="BA510" ca="1">INDEX(OFFSET($AK$19,MATCH($B510,$B$19:$B$150,0)-1,0,COUNTA($B$19:$B$24),COUNTA($AK$17:$BB$17)),MATCH($F510,$F$19:$F$24,0),MATCH(BA$17,$AK$17:$BB$17,0))*INDEX($10:$13,MATCH($O510,$R$10:$R$13,0),COLUMN())</f>
        <v>0</v>
      </c>
      <c r="BB510" s="1051" cm="1">
        <f t="array" aca="1" ref="BB510" ca="1">INDEX(OFFSET($AK$19,MATCH($B510,$B$19:$B$150,0)-1,0,COUNTA($B$19:$B$24),COUNTA($AK$17:$BB$17)),MATCH($F510,$F$19:$F$24,0),MATCH(BB$17,$AK$17:$BB$17,0))*INDEX($10:$13,MATCH($O510,$R$10:$R$13,0),COLUMN())</f>
        <v>0</v>
      </c>
      <c r="BC510" s="1053">
        <f t="shared" ca="1" si="179"/>
        <v>5.9182377332467062E-3</v>
      </c>
      <c r="BE510" s="1"/>
      <c r="BF510" s="1"/>
      <c r="BG510" s="1"/>
      <c r="BH510" s="1"/>
      <c r="BI510" s="1"/>
      <c r="BJ510" s="1"/>
      <c r="BK510" s="1"/>
      <c r="BL510" s="1"/>
      <c r="BM510" s="1"/>
      <c r="BN510" s="1"/>
      <c r="BO510" s="1"/>
      <c r="BP510" s="1"/>
      <c r="BQ510" s="1"/>
      <c r="BR510" s="1"/>
      <c r="BS510" s="1"/>
      <c r="BT510" s="1"/>
      <c r="BU510" s="1"/>
      <c r="BV510" s="1"/>
      <c r="BW510" s="1"/>
      <c r="BX510" s="1"/>
      <c r="BY510" s="1"/>
      <c r="BZ510" s="1"/>
    </row>
    <row r="511" spans="2:78" ht="12" customHeight="1" outlineLevel="1" x14ac:dyDescent="0.25">
      <c r="B511" s="104" t="s">
        <v>111</v>
      </c>
      <c r="C511" s="104" t="s">
        <v>121</v>
      </c>
      <c r="D511" s="2" t="s">
        <v>148</v>
      </c>
      <c r="E511" s="2" t="s">
        <v>149</v>
      </c>
      <c r="F511" s="105" t="s">
        <v>95</v>
      </c>
      <c r="G511" s="27" t="s">
        <v>1581</v>
      </c>
      <c r="H511" s="106" t="s">
        <v>128</v>
      </c>
      <c r="I511" s="107" t="s">
        <v>127</v>
      </c>
      <c r="J511" s="147">
        <v>0.76959932000000009</v>
      </c>
      <c r="K511" s="148">
        <v>1.79</v>
      </c>
      <c r="L511" s="149">
        <f t="shared" ca="1" si="181"/>
        <v>1.1163241892842127E-2</v>
      </c>
      <c r="M511" s="148">
        <f t="shared" ca="1" si="182"/>
        <v>1.8099822029881873</v>
      </c>
      <c r="N511" s="148">
        <f t="shared" ca="1" si="180"/>
        <v>1.9982202988187408E-2</v>
      </c>
      <c r="O511" s="1062" t="s">
        <v>1584</v>
      </c>
      <c r="P511" s="104"/>
      <c r="R511" s="119"/>
      <c r="S511" s="1072"/>
      <c r="T511" s="1072"/>
      <c r="U511" s="1072"/>
      <c r="V511" s="1072"/>
      <c r="W511" s="1072"/>
      <c r="X511" s="1072"/>
      <c r="Y511" s="1072"/>
      <c r="Z511" s="1072"/>
      <c r="AA511" s="1072"/>
      <c r="AB511" s="1072"/>
      <c r="AC511" s="1072"/>
      <c r="AD511" s="1072"/>
      <c r="AE511" s="1072"/>
      <c r="AF511" s="1072"/>
      <c r="AG511" s="1072"/>
      <c r="AH511" s="1072"/>
      <c r="AI511" s="1072"/>
      <c r="AJ511" s="1073"/>
      <c r="AK511" s="1052" cm="1">
        <f t="array" aca="1" ref="AK511" ca="1">INDEX(OFFSET($AK$19,MATCH($B511,$B$19:$B$150,0)-1,0,COUNTA($B$19:$B$24),COUNTA($AK$17:$BB$17)),MATCH($F511,$F$19:$F$24,0),MATCH(AK$17,$AK$17:$BB$17,0))*INDEX($10:$13,MATCH($O511,$R$10:$R$13,0),COLUMN())</f>
        <v>3.310051178081311E-3</v>
      </c>
      <c r="AL511" s="1050" cm="1">
        <f t="array" aca="1" ref="AL511" ca="1">INDEX(OFFSET($AK$19,MATCH($B511,$B$19:$B$150,0)-1,0,COUNTA($B$19:$B$24),COUNTA($AK$17:$BB$17)),MATCH($F511,$F$19:$F$24,0),MATCH(AL$17,$AK$17:$BB$17,0))*INDEX($10:$13,MATCH($O511,$R$10:$R$13,0),COLUMN())</f>
        <v>1.2486073028000001E-8</v>
      </c>
      <c r="AM511" s="1050" cm="1">
        <f t="array" aca="1" ref="AM511" ca="1">INDEX(OFFSET($AK$19,MATCH($B511,$B$19:$B$150,0)-1,0,COUNTA($B$19:$B$24),COUNTA($AK$17:$BB$17)),MATCH($F511,$F$19:$F$24,0),MATCH(AM$17,$AK$17:$BB$17,0))*INDEX($10:$13,MATCH($O511,$R$10:$R$13,0),COLUMN())</f>
        <v>2.0483527185E-5</v>
      </c>
      <c r="AN511" s="1050" cm="1">
        <f t="array" aca="1" ref="AN511" ca="1">INDEX(OFFSET($AK$19,MATCH($B511,$B$19:$B$150,0)-1,0,COUNTA($B$19:$B$24),COUNTA($AK$17:$BB$17)),MATCH($F511,$F$19:$F$24,0),MATCH(AN$17,$AK$17:$BB$17,0))*INDEX($10:$13,MATCH($O511,$R$10:$R$13,0),COLUMN())</f>
        <v>2.228284884E-4</v>
      </c>
      <c r="AO511" s="1050" cm="1">
        <f t="array" aca="1" ref="AO511" ca="1">INDEX(OFFSET($AK$19,MATCH($B511,$B$19:$B$150,0)-1,0,COUNTA($B$19:$B$24),COUNTA($AK$17:$BB$17)),MATCH($F511,$F$19:$F$24,0),MATCH(AO$17,$AK$17:$BB$17,0))*INDEX($10:$13,MATCH($O511,$R$10:$R$13,0),COLUMN())</f>
        <v>4.4689086399999998E-3</v>
      </c>
      <c r="AP511" s="1050" cm="1">
        <f t="array" aca="1" ref="AP511" ca="1">INDEX(OFFSET($AK$19,MATCH($B511,$B$19:$B$150,0)-1,0,COUNTA($B$19:$B$24),COUNTA($AK$17:$BB$17)),MATCH($F511,$F$19:$F$24,0),MATCH(AP$17,$AK$17:$BB$17,0))*INDEX($10:$13,MATCH($O511,$R$10:$R$13,0),COLUMN())</f>
        <v>4.4005419317999999E-4</v>
      </c>
      <c r="AQ511" s="1050" cm="1">
        <f t="array" aca="1" ref="AQ511" ca="1">INDEX(OFFSET($AK$19,MATCH($B511,$B$19:$B$150,0)-1,0,COUNTA($B$19:$B$24),COUNTA($AK$17:$BB$17)),MATCH($F511,$F$19:$F$24,0),MATCH(AQ$17,$AK$17:$BB$17,0))*INDEX($10:$13,MATCH($O511,$R$10:$R$13,0),COLUMN())</f>
        <v>3.8838272500000004E-6</v>
      </c>
      <c r="AR511" s="1050" cm="1">
        <f t="array" aca="1" ref="AR511" ca="1">INDEX(OFFSET($AK$19,MATCH($B511,$B$19:$B$150,0)-1,0,COUNTA($B$19:$B$24),COUNTA($AK$17:$BB$17)),MATCH($F511,$F$19:$F$24,0),MATCH(AR$17,$AK$17:$BB$17,0))*INDEX($10:$13,MATCH($O511,$R$10:$R$13,0),COLUMN())</f>
        <v>2.9684442137000002E-3</v>
      </c>
      <c r="AS511" s="1050" cm="1">
        <f t="array" aca="1" ref="AS511" ca="1">INDEX(OFFSET($AK$19,MATCH($B511,$B$19:$B$150,0)-1,0,COUNTA($B$19:$B$24),COUNTA($AK$17:$BB$17)),MATCH($F511,$F$19:$F$24,0),MATCH(AS$17,$AK$17:$BB$17,0))*INDEX($10:$13,MATCH($O511,$R$10:$R$13,0),COLUMN())</f>
        <v>5.3116565579999993E-5</v>
      </c>
      <c r="AT511" s="1050" cm="1">
        <f t="array" aca="1" ref="AT511" ca="1">INDEX(OFFSET($AK$19,MATCH($B511,$B$19:$B$150,0)-1,0,COUNTA($B$19:$B$24),COUNTA($AK$17:$BB$17)),MATCH($F511,$F$19:$F$24,0),MATCH(AT$17,$AK$17:$BB$17,0))*INDEX($10:$13,MATCH($O511,$R$10:$R$13,0),COLUMN())</f>
        <v>1.2179755045000002E-7</v>
      </c>
      <c r="AU511" s="1050" cm="1">
        <f t="array" aca="1" ref="AU511" ca="1">INDEX(OFFSET($AK$19,MATCH($B511,$B$19:$B$150,0)-1,0,COUNTA($B$19:$B$24),COUNTA($AK$17:$BB$17)),MATCH($F511,$F$19:$F$24,0),MATCH(AU$17,$AK$17:$BB$17,0))*INDEX($10:$13,MATCH($O511,$R$10:$R$13,0),COLUMN())</f>
        <v>2.7394946016000003E-8</v>
      </c>
      <c r="AV511" s="1050" cm="1">
        <f t="array" aca="1" ref="AV511" ca="1">INDEX(OFFSET($AK$19,MATCH($B511,$B$19:$B$150,0)-1,0,COUNTA($B$19:$B$24),COUNTA($AK$17:$BB$17)),MATCH($F511,$F$19:$F$24,0),MATCH(AV$17,$AK$17:$BB$17,0))*INDEX($10:$13,MATCH($O511,$R$10:$R$13,0),COLUMN())</f>
        <v>5.471132169999999E-4</v>
      </c>
      <c r="AW511" s="1050" cm="1">
        <f t="array" aca="1" ref="AW511" ca="1">INDEX(OFFSET($AK$19,MATCH($B511,$B$19:$B$150,0)-1,0,COUNTA($B$19:$B$24),COUNTA($AK$17:$BB$17)),MATCH($F511,$F$19:$F$24,0),MATCH(AW$17,$AK$17:$BB$17,0))*INDEX($10:$13,MATCH($O511,$R$10:$R$13,0),COLUMN())</f>
        <v>7.9471525199999987E-3</v>
      </c>
      <c r="AX511" s="1050" cm="1">
        <f t="array" aca="1" ref="AX511" ca="1">INDEX(OFFSET($AK$19,MATCH($B511,$B$19:$B$150,0)-1,0,COUNTA($B$19:$B$24),COUNTA($AK$17:$BB$17)),MATCH($F511,$F$19:$F$24,0),MATCH(AX$17,$AK$17:$BB$17,0))*INDEX($10:$13,MATCH($O511,$R$10:$R$13,0),COLUMN())</f>
        <v>5.0699061749999995E-9</v>
      </c>
      <c r="AY511" s="1050" cm="1">
        <f t="array" aca="1" ref="AY511" ca="1">INDEX(OFFSET($AK$19,MATCH($B511,$B$19:$B$150,0)-1,0,COUNTA($B$19:$B$24),COUNTA($AK$17:$BB$17)),MATCH($F511,$F$19:$F$24,0),MATCH(AY$17,$AK$17:$BB$17,0))*INDEX($10:$13,MATCH($O511,$R$10:$R$13,0),COLUMN())</f>
        <v>-1.3066457231249999E-10</v>
      </c>
      <c r="AZ511" s="1050" cm="1">
        <f t="array" aca="1" ref="AZ511" ca="1">INDEX(OFFSET($AK$19,MATCH($B511,$B$19:$B$150,0)-1,0,COUNTA($B$19:$B$24),COUNTA($AK$17:$BB$17)),MATCH($F511,$F$19:$F$24,0),MATCH(AZ$17,$AK$17:$BB$17,0))*INDEX($10:$13,MATCH($O511,$R$10:$R$13,0),COLUMN())</f>
        <v>0</v>
      </c>
      <c r="BA511" s="1050" cm="1">
        <f t="array" aca="1" ref="BA511" ca="1">INDEX(OFFSET($AK$19,MATCH($B511,$B$19:$B$150,0)-1,0,COUNTA($B$19:$B$24),COUNTA($AK$17:$BB$17)),MATCH($F511,$F$19:$F$24,0),MATCH(BA$17,$AK$17:$BB$17,0))*INDEX($10:$13,MATCH($O511,$R$10:$R$13,0),COLUMN())</f>
        <v>0</v>
      </c>
      <c r="BB511" s="1051" cm="1">
        <f t="array" aca="1" ref="BB511" ca="1">INDEX(OFFSET($AK$19,MATCH($B511,$B$19:$B$150,0)-1,0,COUNTA($B$19:$B$24),COUNTA($AK$17:$BB$17)),MATCH($F511,$F$19:$F$24,0),MATCH(BB$17,$AK$17:$BB$17,0))*INDEX($10:$13,MATCH($O511,$R$10:$R$13,0),COLUMN())</f>
        <v>0</v>
      </c>
      <c r="BC511" s="1053">
        <f t="shared" ca="1" si="179"/>
        <v>7.9471574592416012E-3</v>
      </c>
      <c r="BE511" s="1"/>
      <c r="BF511" s="1"/>
      <c r="BG511" s="1"/>
      <c r="BH511" s="1"/>
      <c r="BI511" s="1"/>
      <c r="BJ511" s="1"/>
      <c r="BK511" s="1"/>
      <c r="BL511" s="1"/>
      <c r="BM511" s="1"/>
      <c r="BN511" s="1"/>
      <c r="BO511" s="1"/>
      <c r="BP511" s="1"/>
      <c r="BQ511" s="1"/>
      <c r="BR511" s="1"/>
      <c r="BS511" s="1"/>
      <c r="BT511" s="1"/>
      <c r="BU511" s="1"/>
      <c r="BV511" s="1"/>
      <c r="BW511" s="1"/>
      <c r="BX511" s="1"/>
      <c r="BY511" s="1"/>
      <c r="BZ511" s="1"/>
    </row>
    <row r="512" spans="2:78" ht="12" customHeight="1" outlineLevel="1" x14ac:dyDescent="0.25">
      <c r="B512" s="104" t="s">
        <v>111</v>
      </c>
      <c r="C512" s="104" t="s">
        <v>121</v>
      </c>
      <c r="D512" s="2" t="s">
        <v>148</v>
      </c>
      <c r="E512" s="2" t="s">
        <v>149</v>
      </c>
      <c r="F512" s="105" t="s">
        <v>96</v>
      </c>
      <c r="G512" s="27" t="s">
        <v>1582</v>
      </c>
      <c r="H512" s="106" t="s">
        <v>128</v>
      </c>
      <c r="I512" s="107" t="s">
        <v>1577</v>
      </c>
      <c r="J512" s="147">
        <v>0.76959932000000009</v>
      </c>
      <c r="K512" s="148">
        <v>1.79</v>
      </c>
      <c r="L512" s="149">
        <f t="shared" ca="1" si="181"/>
        <v>1.2679646920493866E-2</v>
      </c>
      <c r="M512" s="148">
        <f t="shared" ca="1" si="182"/>
        <v>1.8126965679876841</v>
      </c>
      <c r="N512" s="148">
        <f t="shared" ca="1" si="180"/>
        <v>2.2696567987684022E-2</v>
      </c>
      <c r="O512" s="1062" t="s">
        <v>1584</v>
      </c>
      <c r="P512" s="104"/>
      <c r="R512" s="119"/>
      <c r="S512" s="1072"/>
      <c r="T512" s="1072"/>
      <c r="U512" s="1072"/>
      <c r="V512" s="1072"/>
      <c r="W512" s="1072"/>
      <c r="X512" s="1072"/>
      <c r="Y512" s="1072"/>
      <c r="Z512" s="1072"/>
      <c r="AA512" s="1072"/>
      <c r="AB512" s="1072"/>
      <c r="AC512" s="1072"/>
      <c r="AD512" s="1072"/>
      <c r="AE512" s="1072"/>
      <c r="AF512" s="1072"/>
      <c r="AG512" s="1072"/>
      <c r="AH512" s="1072"/>
      <c r="AI512" s="1072"/>
      <c r="AJ512" s="1073"/>
      <c r="AK512" s="1052" cm="1">
        <f t="array" aca="1" ref="AK512" ca="1">INDEX(OFFSET($AK$19,MATCH($B512,$B$19:$B$150,0)-1,0,COUNTA($B$19:$B$24),COUNTA($AK$17:$BB$17)),MATCH($F512,$F$19:$F$24,0),MATCH(AK$17,$AK$17:$BB$17,0))*INDEX($10:$13,MATCH($O512,$R$10:$R$13,0),COLUMN())</f>
        <v>3.5195327189873091E-3</v>
      </c>
      <c r="AL512" s="1050" cm="1">
        <f t="array" aca="1" ref="AL512" ca="1">INDEX(OFFSET($AK$19,MATCH($B512,$B$19:$B$150,0)-1,0,COUNTA($B$19:$B$24),COUNTA($AK$17:$BB$17)),MATCH($F512,$F$19:$F$24,0),MATCH(AL$17,$AK$17:$BB$17,0))*INDEX($10:$13,MATCH($O512,$R$10:$R$13,0),COLUMN())</f>
        <v>1.2509594721000002E-8</v>
      </c>
      <c r="AM512" s="1050" cm="1">
        <f t="array" aca="1" ref="AM512" ca="1">INDEX(OFFSET($AK$19,MATCH($B512,$B$19:$B$150,0)-1,0,COUNTA($B$19:$B$24),COUNTA($AK$17:$BB$17)),MATCH($F512,$F$19:$F$24,0),MATCH(AM$17,$AK$17:$BB$17,0))*INDEX($10:$13,MATCH($O512,$R$10:$R$13,0),COLUMN())</f>
        <v>2.0521995219000003E-5</v>
      </c>
      <c r="AN512" s="1050" cm="1">
        <f t="array" aca="1" ref="AN512" ca="1">INDEX(OFFSET($AK$19,MATCH($B512,$B$19:$B$150,0)-1,0,COUNTA($B$19:$B$24),COUNTA($AK$17:$BB$17)),MATCH($F512,$F$19:$F$24,0),MATCH(AN$17,$AK$17:$BB$17,0))*INDEX($10:$13,MATCH($O512,$R$10:$R$13,0),COLUMN())</f>
        <v>2.2743759359999998E-4</v>
      </c>
      <c r="AO512" s="1050" cm="1">
        <f t="array" aca="1" ref="AO512" ca="1">INDEX(OFFSET($AK$19,MATCH($B512,$B$19:$B$150,0)-1,0,COUNTA($B$19:$B$24),COUNTA($AK$17:$BB$17)),MATCH($F512,$F$19:$F$24,0),MATCH(AO$17,$AK$17:$BB$17,0))*INDEX($10:$13,MATCH($O512,$R$10:$R$13,0),COLUMN())</f>
        <v>5.9142826399999999E-3</v>
      </c>
      <c r="AP512" s="1050" cm="1">
        <f t="array" aca="1" ref="AP512" ca="1">INDEX(OFFSET($AK$19,MATCH($B512,$B$19:$B$150,0)-1,0,COUNTA($B$19:$B$24),COUNTA($AK$17:$BB$17)),MATCH($F512,$F$19:$F$24,0),MATCH(AP$17,$AK$17:$BB$17,0))*INDEX($10:$13,MATCH($O512,$R$10:$R$13,0),COLUMN())</f>
        <v>6.4433427259999996E-4</v>
      </c>
      <c r="AQ512" s="1050" cm="1">
        <f t="array" aca="1" ref="AQ512" ca="1">INDEX(OFFSET($AK$19,MATCH($B512,$B$19:$B$150,0)-1,0,COUNTA($B$19:$B$24),COUNTA($AK$17:$BB$17)),MATCH($F512,$F$19:$F$24,0),MATCH(AQ$17,$AK$17:$BB$17,0))*INDEX($10:$13,MATCH($O512,$R$10:$R$13,0),COLUMN())</f>
        <v>5.9444255E-6</v>
      </c>
      <c r="AR512" s="1050" cm="1">
        <f t="array" aca="1" ref="AR512" ca="1">INDEX(OFFSET($AK$19,MATCH($B512,$B$19:$B$150,0)-1,0,COUNTA($B$19:$B$24),COUNTA($AK$17:$BB$17)),MATCH($F512,$F$19:$F$24,0),MATCH(AR$17,$AK$17:$BB$17,0))*INDEX($10:$13,MATCH($O512,$R$10:$R$13,0),COLUMN())</f>
        <v>3.4828634980000003E-3</v>
      </c>
      <c r="AS512" s="1050" cm="1">
        <f t="array" aca="1" ref="AS512" ca="1">INDEX(OFFSET($AK$19,MATCH($B512,$B$19:$B$150,0)-1,0,COUNTA($B$19:$B$24),COUNTA($AK$17:$BB$17)),MATCH($F512,$F$19:$F$24,0),MATCH(AS$17,$AK$17:$BB$17,0))*INDEX($10:$13,MATCH($O512,$R$10:$R$13,0),COLUMN())</f>
        <v>8.4469696739999998E-5</v>
      </c>
      <c r="AT512" s="1050" cm="1">
        <f t="array" aca="1" ref="AT512" ca="1">INDEX(OFFSET($AK$19,MATCH($B512,$B$19:$B$150,0)-1,0,COUNTA($B$19:$B$24),COUNTA($AK$17:$BB$17)),MATCH($F512,$F$19:$F$24,0),MATCH(AT$17,$AK$17:$BB$17,0))*INDEX($10:$13,MATCH($O512,$R$10:$R$13,0),COLUMN())</f>
        <v>1.3583778634999999E-7</v>
      </c>
      <c r="AU512" s="1050" cm="1">
        <f t="array" aca="1" ref="AU512" ca="1">INDEX(OFFSET($AK$19,MATCH($B512,$B$19:$B$150,0)-1,0,COUNTA($B$19:$B$24),COUNTA($AK$17:$BB$17)),MATCH($F512,$F$19:$F$24,0),MATCH(AU$17,$AK$17:$BB$17,0))*INDEX($10:$13,MATCH($O512,$R$10:$R$13,0),COLUMN())</f>
        <v>2.9397915040000002E-8</v>
      </c>
      <c r="AV512" s="1050" cm="1">
        <f t="array" aca="1" ref="AV512" ca="1">INDEX(OFFSET($AK$19,MATCH($B512,$B$19:$B$150,0)-1,0,COUNTA($B$19:$B$24),COUNTA($AK$17:$BB$17)),MATCH($F512,$F$19:$F$24,0),MATCH(AV$17,$AK$17:$BB$17,0))*INDEX($10:$13,MATCH($O512,$R$10:$R$13,0),COLUMN())</f>
        <v>8.4984594249999993E-4</v>
      </c>
      <c r="AW512" s="1050" cm="1">
        <f t="array" aca="1" ref="AW512" ca="1">INDEX(OFFSET($AK$19,MATCH($B512,$B$19:$B$150,0)-1,0,COUNTA($B$19:$B$24),COUNTA($AK$17:$BB$17)),MATCH($F512,$F$19:$F$24,0),MATCH(AW$17,$AK$17:$BB$17,0))*INDEX($10:$13,MATCH($O512,$R$10:$R$13,0),COLUMN())</f>
        <v>7.9471525199999987E-3</v>
      </c>
      <c r="AX512" s="1050" cm="1">
        <f t="array" aca="1" ref="AX512" ca="1">INDEX(OFFSET($AK$19,MATCH($B512,$B$19:$B$150,0)-1,0,COUNTA($B$19:$B$24),COUNTA($AK$17:$BB$17)),MATCH($F512,$F$19:$F$24,0),MATCH(AX$17,$AK$17:$BB$17,0))*INDEX($10:$13,MATCH($O512,$R$10:$R$13,0),COLUMN())</f>
        <v>5.0699061749999995E-9</v>
      </c>
      <c r="AY512" s="1050" cm="1">
        <f t="array" aca="1" ref="AY512" ca="1">INDEX(OFFSET($AK$19,MATCH($B512,$B$19:$B$150,0)-1,0,COUNTA($B$19:$B$24),COUNTA($AK$17:$BB$17)),MATCH($F512,$F$19:$F$24,0),MATCH(AY$17,$AK$17:$BB$17,0))*INDEX($10:$13,MATCH($O512,$R$10:$R$13,0),COLUMN())</f>
        <v>-1.3066457231249999E-10</v>
      </c>
      <c r="AZ512" s="1050" cm="1">
        <f t="array" aca="1" ref="AZ512" ca="1">INDEX(OFFSET($AK$19,MATCH($B512,$B$19:$B$150,0)-1,0,COUNTA($B$19:$B$24),COUNTA($AK$17:$BB$17)),MATCH($F512,$F$19:$F$24,0),MATCH(AZ$17,$AK$17:$BB$17,0))*INDEX($10:$13,MATCH($O512,$R$10:$R$13,0),COLUMN())</f>
        <v>0</v>
      </c>
      <c r="BA512" s="1050" cm="1">
        <f t="array" aca="1" ref="BA512" ca="1">INDEX(OFFSET($AK$19,MATCH($B512,$B$19:$B$150,0)-1,0,COUNTA($B$19:$B$24),COUNTA($AK$17:$BB$17)),MATCH($F512,$F$19:$F$24,0),MATCH(BA$17,$AK$17:$BB$17,0))*INDEX($10:$13,MATCH($O512,$R$10:$R$13,0),COLUMN())</f>
        <v>0</v>
      </c>
      <c r="BB512" s="1051" cm="1">
        <f t="array" aca="1" ref="BB512" ca="1">INDEX(OFFSET($AK$19,MATCH($B512,$B$19:$B$150,0)-1,0,COUNTA($B$19:$B$24),COUNTA($AK$17:$BB$17)),MATCH($F512,$F$19:$F$24,0),MATCH(BB$17,$AK$17:$BB$17,0))*INDEX($10:$13,MATCH($O512,$R$10:$R$13,0),COLUMN())</f>
        <v>0</v>
      </c>
      <c r="BC512" s="1053">
        <f t="shared" ca="1" si="179"/>
        <v>7.9471574592416012E-3</v>
      </c>
      <c r="BE512" s="1"/>
      <c r="BF512" s="1"/>
      <c r="BG512" s="1"/>
      <c r="BH512" s="1"/>
      <c r="BI512" s="1"/>
      <c r="BJ512" s="1"/>
      <c r="BK512" s="1"/>
      <c r="BL512" s="1"/>
      <c r="BM512" s="1"/>
      <c r="BN512" s="1"/>
      <c r="BO512" s="1"/>
      <c r="BP512" s="1"/>
      <c r="BQ512" s="1"/>
      <c r="BR512" s="1"/>
      <c r="BS512" s="1"/>
      <c r="BT512" s="1"/>
      <c r="BU512" s="1"/>
      <c r="BV512" s="1"/>
      <c r="BW512" s="1"/>
      <c r="BX512" s="1"/>
      <c r="BY512" s="1"/>
      <c r="BZ512" s="1"/>
    </row>
    <row r="513" spans="2:78" ht="12" customHeight="1" outlineLevel="1" x14ac:dyDescent="0.25">
      <c r="B513" s="88" t="s">
        <v>112</v>
      </c>
      <c r="C513" s="88" t="s">
        <v>121</v>
      </c>
      <c r="D513" s="89" t="s">
        <v>148</v>
      </c>
      <c r="E513" s="89" t="s">
        <v>150</v>
      </c>
      <c r="F513" s="90" t="s">
        <v>92</v>
      </c>
      <c r="G513" s="18" t="s">
        <v>126</v>
      </c>
      <c r="H513" s="91" t="s">
        <v>127</v>
      </c>
      <c r="I513" s="92" t="s">
        <v>127</v>
      </c>
      <c r="J513" s="142">
        <v>0.44</v>
      </c>
      <c r="K513" s="143">
        <v>0.28999999999999998</v>
      </c>
      <c r="L513" s="144">
        <f t="shared" ca="1" si="181"/>
        <v>5.6251198145389467E-2</v>
      </c>
      <c r="M513" s="143">
        <f t="shared" ca="1" si="182"/>
        <v>0.30631284746216292</v>
      </c>
      <c r="N513" s="143">
        <f t="shared" ca="1" si="180"/>
        <v>1.6312847462162945E-2</v>
      </c>
      <c r="O513" s="1063" t="s">
        <v>1584</v>
      </c>
      <c r="P513" s="88"/>
      <c r="Q513" s="89"/>
      <c r="R513" s="150"/>
      <c r="S513" s="1070"/>
      <c r="T513" s="1070"/>
      <c r="U513" s="1070"/>
      <c r="V513" s="1070"/>
      <c r="W513" s="1070"/>
      <c r="X513" s="1070"/>
      <c r="Y513" s="1070"/>
      <c r="Z513" s="1070"/>
      <c r="AA513" s="1070"/>
      <c r="AB513" s="1070"/>
      <c r="AC513" s="1070"/>
      <c r="AD513" s="1070"/>
      <c r="AE513" s="1070"/>
      <c r="AF513" s="1070"/>
      <c r="AG513" s="1070"/>
      <c r="AH513" s="1070"/>
      <c r="AI513" s="1070"/>
      <c r="AJ513" s="1071"/>
      <c r="AK513" s="1048" cm="1">
        <f t="array" aca="1" ref="AK513" ca="1">INDEX(OFFSET($AK$19,MATCH($B513,$B$19:$B$150,0)-1,0,COUNTA($B$19:$B$24),COUNTA($AK$17:$BB$17)),MATCH($F513,$F$19:$F$24,0),MATCH(AK$17,$AK$17:$BB$17,0))*INDEX($10:$13,MATCH($O513,$R$10:$R$13,0),COLUMN())</f>
        <v>3.2916465283194191E-3</v>
      </c>
      <c r="AL513" s="1046" cm="1">
        <f t="array" aca="1" ref="AL513" ca="1">INDEX(OFFSET($AK$19,MATCH($B513,$B$19:$B$150,0)-1,0,COUNTA($B$19:$B$24),COUNTA($AK$17:$BB$17)),MATCH($F513,$F$19:$F$24,0),MATCH(AL$17,$AK$17:$BB$17,0))*INDEX($10:$13,MATCH($O513,$R$10:$R$13,0),COLUMN())</f>
        <v>1.0158983471000001E-8</v>
      </c>
      <c r="AM513" s="1046" cm="1">
        <f t="array" aca="1" ref="AM513" ca="1">INDEX(OFFSET($AK$19,MATCH($B513,$B$19:$B$150,0)-1,0,COUNTA($B$19:$B$24),COUNTA($AK$17:$BB$17)),MATCH($F513,$F$19:$F$24,0),MATCH(AM$17,$AK$17:$BB$17,0))*INDEX($10:$13,MATCH($O513,$R$10:$R$13,0),COLUMN())</f>
        <v>1.6951873454999999E-5</v>
      </c>
      <c r="AN513" s="1046" cm="1">
        <f t="array" aca="1" ref="AN513" ca="1">INDEX(OFFSET($AK$19,MATCH($B513,$B$19:$B$150,0)-1,0,COUNTA($B$19:$B$24),COUNTA($AK$17:$BB$17)),MATCH($F513,$F$19:$F$24,0),MATCH(AN$17,$AK$17:$BB$17,0))*INDEX($10:$13,MATCH($O513,$R$10:$R$13,0),COLUMN())</f>
        <v>8.5564382400000008E-5</v>
      </c>
      <c r="AO513" s="1046" cm="1">
        <f t="array" aca="1" ref="AO513" ca="1">INDEX(OFFSET($AK$19,MATCH($B513,$B$19:$B$150,0)-1,0,COUNTA($B$19:$B$24),COUNTA($AK$17:$BB$17)),MATCH($F513,$F$19:$F$24,0),MATCH(AO$17,$AK$17:$BB$17,0))*INDEX($10:$13,MATCH($O513,$R$10:$R$13,0),COLUMN())</f>
        <v>3.1355984800000001E-3</v>
      </c>
      <c r="AP513" s="1046" cm="1">
        <f t="array" aca="1" ref="AP513" ca="1">INDEX(OFFSET($AK$19,MATCH($B513,$B$19:$B$150,0)-1,0,COUNTA($B$19:$B$24),COUNTA($AK$17:$BB$17)),MATCH($F513,$F$19:$F$24,0),MATCH(AP$17,$AK$17:$BB$17,0))*INDEX($10:$13,MATCH($O513,$R$10:$R$13,0),COLUMN())</f>
        <v>3.6613651252000005E-4</v>
      </c>
      <c r="AQ513" s="1046" cm="1">
        <f t="array" aca="1" ref="AQ513" ca="1">INDEX(OFFSET($AK$19,MATCH($B513,$B$19:$B$150,0)-1,0,COUNTA($B$19:$B$24),COUNTA($AK$17:$BB$17)),MATCH($F513,$F$19:$F$24,0),MATCH(AQ$17,$AK$17:$BB$17,0))*INDEX($10:$13,MATCH($O513,$R$10:$R$13,0),COLUMN())</f>
        <v>6.6705827499999996E-6</v>
      </c>
      <c r="AR513" s="1046" cm="1">
        <f t="array" aca="1" ref="AR513" ca="1">INDEX(OFFSET($AK$19,MATCH($B513,$B$19:$B$150,0)-1,0,COUNTA($B$19:$B$24),COUNTA($AK$17:$BB$17)),MATCH($F513,$F$19:$F$24,0),MATCH(AR$17,$AK$17:$BB$17,0))*INDEX($10:$13,MATCH($O513,$R$10:$R$13,0),COLUMN())</f>
        <v>3.5934569640000001E-3</v>
      </c>
      <c r="AS513" s="1046" cm="1">
        <f t="array" aca="1" ref="AS513" ca="1">INDEX(OFFSET($AK$19,MATCH($B513,$B$19:$B$150,0)-1,0,COUNTA($B$19:$B$24),COUNTA($AK$17:$BB$17)),MATCH($F513,$F$19:$F$24,0),MATCH(AS$17,$AK$17:$BB$17,0))*INDEX($10:$13,MATCH($O513,$R$10:$R$13,0),COLUMN())</f>
        <v>1.7417993579999999E-3</v>
      </c>
      <c r="AT513" s="1046" cm="1">
        <f t="array" aca="1" ref="AT513" ca="1">INDEX(OFFSET($AK$19,MATCH($B513,$B$19:$B$150,0)-1,0,COUNTA($B$19:$B$24),COUNTA($AK$17:$BB$17)),MATCH($F513,$F$19:$F$24,0),MATCH(AT$17,$AK$17:$BB$17,0))*INDEX($10:$13,MATCH($O513,$R$10:$R$13,0),COLUMN())</f>
        <v>1.9802416140000001E-6</v>
      </c>
      <c r="AU513" s="1046" cm="1">
        <f t="array" aca="1" ref="AU513" ca="1">INDEX(OFFSET($AK$19,MATCH($B513,$B$19:$B$150,0)-1,0,COUNTA($B$19:$B$24),COUNTA($AK$17:$BB$17)),MATCH($F513,$F$19:$F$24,0),MATCH(AU$17,$AK$17:$BB$17,0))*INDEX($10:$13,MATCH($O513,$R$10:$R$13,0),COLUMN())</f>
        <v>1.7317798336E-7</v>
      </c>
      <c r="AV513" s="1046" cm="1">
        <f t="array" aca="1" ref="AV513" ca="1">INDEX(OFFSET($AK$19,MATCH($B513,$B$19:$B$150,0)-1,0,COUNTA($B$19:$B$24),COUNTA($AK$17:$BB$17)),MATCH($F513,$F$19:$F$24,0),MATCH(AV$17,$AK$17:$BB$17,0))*INDEX($10:$13,MATCH($O513,$R$10:$R$13,0),COLUMN())</f>
        <v>5.3501998499999993E-4</v>
      </c>
      <c r="AW513" s="1046" cm="1">
        <f t="array" aca="1" ref="AW513" ca="1">INDEX(OFFSET($AK$19,MATCH($B513,$B$19:$B$150,0)-1,0,COUNTA($B$19:$B$24),COUNTA($AK$17:$BB$17)),MATCH($F513,$F$19:$F$24,0),MATCH(AW$17,$AK$17:$BB$17,0))*INDEX($10:$13,MATCH($O513,$R$10:$R$13,0),COLUMN())</f>
        <v>3.5378286899999997E-3</v>
      </c>
      <c r="AX513" s="1046" cm="1">
        <f t="array" aca="1" ref="AX513" ca="1">INDEX(OFFSET($AK$19,MATCH($B513,$B$19:$B$150,0)-1,0,COUNTA($B$19:$B$24),COUNTA($AK$17:$BB$17)),MATCH($F513,$F$19:$F$24,0),MATCH(AX$17,$AK$17:$BB$17,0))*INDEX($10:$13,MATCH($O513,$R$10:$R$13,0),COLUMN())</f>
        <v>1.0817290739999998E-8</v>
      </c>
      <c r="AY513" s="1046" cm="1">
        <f t="array" aca="1" ref="AY513" ca="1">INDEX(OFFSET($AK$19,MATCH($B513,$B$19:$B$150,0)-1,0,COUNTA($B$19:$B$24),COUNTA($AK$17:$BB$17)),MATCH($F513,$F$19:$F$24,0),MATCH(AY$17,$AK$17:$BB$17,0))*INDEX($10:$13,MATCH($O513,$R$10:$R$13,0),COLUMN())</f>
        <v>-2.9015304412499997E-10</v>
      </c>
      <c r="AZ513" s="1046" cm="1">
        <f t="array" aca="1" ref="AZ513" ca="1">INDEX(OFFSET($AK$19,MATCH($B513,$B$19:$B$150,0)-1,0,COUNTA($B$19:$B$24),COUNTA($AK$17:$BB$17)),MATCH($F513,$F$19:$F$24,0),MATCH(AZ$17,$AK$17:$BB$17,0))*INDEX($10:$13,MATCH($O513,$R$10:$R$13,0),COLUMN())</f>
        <v>0</v>
      </c>
      <c r="BA513" s="1046" cm="1">
        <f t="array" aca="1" ref="BA513" ca="1">INDEX(OFFSET($AK$19,MATCH($B513,$B$19:$B$150,0)-1,0,COUNTA($B$19:$B$24),COUNTA($AK$17:$BB$17)),MATCH($F513,$F$19:$F$24,0),MATCH(BA$17,$AK$17:$BB$17,0))*INDEX($10:$13,MATCH($O513,$R$10:$R$13,0),COLUMN())</f>
        <v>0</v>
      </c>
      <c r="BB513" s="1047" cm="1">
        <f t="array" aca="1" ref="BB513" ca="1">INDEX(OFFSET($AK$19,MATCH($B513,$B$19:$B$150,0)-1,0,COUNTA($B$19:$B$24),COUNTA($AK$17:$BB$17)),MATCH($F513,$F$19:$F$24,0),MATCH(BB$17,$AK$17:$BB$17,0))*INDEX($10:$13,MATCH($O513,$R$10:$R$13,0),COLUMN())</f>
        <v>0</v>
      </c>
      <c r="BC513" s="1049">
        <f t="shared" ca="1" si="179"/>
        <v>3.5378392171376955E-3</v>
      </c>
      <c r="BE513" s="1"/>
      <c r="BF513" s="1"/>
      <c r="BG513" s="1"/>
      <c r="BH513" s="1"/>
      <c r="BI513" s="1"/>
      <c r="BJ513" s="1"/>
      <c r="BK513" s="1"/>
      <c r="BL513" s="1"/>
      <c r="BM513" s="1"/>
      <c r="BN513" s="1"/>
      <c r="BO513" s="1"/>
      <c r="BP513" s="1"/>
      <c r="BQ513" s="1"/>
      <c r="BR513" s="1"/>
      <c r="BS513" s="1"/>
      <c r="BT513" s="1"/>
      <c r="BU513" s="1"/>
      <c r="BV513" s="1"/>
      <c r="BW513" s="1"/>
      <c r="BX513" s="1"/>
      <c r="BY513" s="1"/>
      <c r="BZ513" s="1"/>
    </row>
    <row r="514" spans="2:78" ht="12" customHeight="1" outlineLevel="1" x14ac:dyDescent="0.25">
      <c r="B514" s="104" t="s">
        <v>112</v>
      </c>
      <c r="C514" s="104" t="s">
        <v>121</v>
      </c>
      <c r="D514" s="2" t="s">
        <v>148</v>
      </c>
      <c r="E514" s="2" t="s">
        <v>150</v>
      </c>
      <c r="F514" s="105" t="s">
        <v>122</v>
      </c>
      <c r="G514" s="27" t="s">
        <v>1579</v>
      </c>
      <c r="H514" s="106" t="s">
        <v>128</v>
      </c>
      <c r="I514" s="107" t="s">
        <v>129</v>
      </c>
      <c r="J514" s="147">
        <v>0.44</v>
      </c>
      <c r="K514" s="148">
        <v>1.33</v>
      </c>
      <c r="L514" s="149">
        <f t="shared" ca="1" si="181"/>
        <v>7.6594398845809359E-3</v>
      </c>
      <c r="M514" s="148">
        <f t="shared" ca="1" si="182"/>
        <v>1.3401870550464927</v>
      </c>
      <c r="N514" s="148">
        <f t="shared" ca="1" si="180"/>
        <v>1.0187055046492645E-2</v>
      </c>
      <c r="O514" s="1062" t="s">
        <v>1584</v>
      </c>
      <c r="P514" s="104"/>
      <c r="R514" s="119"/>
      <c r="S514" s="1072"/>
      <c r="T514" s="1072"/>
      <c r="U514" s="1072"/>
      <c r="V514" s="1072"/>
      <c r="W514" s="1072"/>
      <c r="X514" s="1072"/>
      <c r="Y514" s="1072"/>
      <c r="Z514" s="1072"/>
      <c r="AA514" s="1072"/>
      <c r="AB514" s="1072"/>
      <c r="AC514" s="1072"/>
      <c r="AD514" s="1072"/>
      <c r="AE514" s="1072"/>
      <c r="AF514" s="1072"/>
      <c r="AG514" s="1072"/>
      <c r="AH514" s="1072"/>
      <c r="AI514" s="1072"/>
      <c r="AJ514" s="1073"/>
      <c r="AK514" s="1052" cm="1">
        <f t="array" aca="1" ref="AK514" ca="1">INDEX(OFFSET($AK$19,MATCH($B514,$B$19:$B$150,0)-1,0,COUNTA($B$19:$B$24),COUNTA($AK$17:$BB$17)),MATCH($F514,$F$19:$F$24,0),MATCH(AK$17,$AK$17:$BB$17,0))*INDEX($10:$13,MATCH($O514,$R$10:$R$13,0),COLUMN())</f>
        <v>1.9090800141687927E-3</v>
      </c>
      <c r="AL514" s="1050" cm="1">
        <f t="array" aca="1" ref="AL514" ca="1">INDEX(OFFSET($AK$19,MATCH($B514,$B$19:$B$150,0)-1,0,COUNTA($B$19:$B$24),COUNTA($AK$17:$BB$17)),MATCH($F514,$F$19:$F$24,0),MATCH(AL$17,$AK$17:$BB$17,0))*INDEX($10:$13,MATCH($O514,$R$10:$R$13,0),COLUMN())</f>
        <v>5.2995682870000005E-9</v>
      </c>
      <c r="AM514" s="1050" cm="1">
        <f t="array" aca="1" ref="AM514" ca="1">INDEX(OFFSET($AK$19,MATCH($B514,$B$19:$B$150,0)-1,0,COUNTA($B$19:$B$24),COUNTA($AK$17:$BB$17)),MATCH($F514,$F$19:$F$24,0),MATCH(AM$17,$AK$17:$BB$17,0))*INDEX($10:$13,MATCH($O514,$R$10:$R$13,0),COLUMN())</f>
        <v>8.7003129510000004E-6</v>
      </c>
      <c r="AN514" s="1050" cm="1">
        <f t="array" aca="1" ref="AN514" ca="1">INDEX(OFFSET($AK$19,MATCH($B514,$B$19:$B$150,0)-1,0,COUNTA($B$19:$B$24),COUNTA($AK$17:$BB$17)),MATCH($F514,$F$19:$F$24,0),MATCH(AN$17,$AK$17:$BB$17,0))*INDEX($10:$13,MATCH($O514,$R$10:$R$13,0),COLUMN())</f>
        <v>9.7996625999999994E-5</v>
      </c>
      <c r="AO514" s="1050" cm="1">
        <f t="array" aca="1" ref="AO514" ca="1">INDEX(OFFSET($AK$19,MATCH($B514,$B$19:$B$150,0)-1,0,COUNTA($B$19:$B$24),COUNTA($AK$17:$BB$17)),MATCH($F514,$F$19:$F$24,0),MATCH(AO$17,$AK$17:$BB$17,0))*INDEX($10:$13,MATCH($O514,$R$10:$R$13,0),COLUMN())</f>
        <v>1.192999892E-3</v>
      </c>
      <c r="AP514" s="1050" cm="1">
        <f t="array" aca="1" ref="AP514" ca="1">INDEX(OFFSET($AK$19,MATCH($B514,$B$19:$B$150,0)-1,0,COUNTA($B$19:$B$24),COUNTA($AK$17:$BB$17)),MATCH($F514,$F$19:$F$24,0),MATCH(AP$17,$AK$17:$BB$17,0))*INDEX($10:$13,MATCH($O514,$R$10:$R$13,0),COLUMN())</f>
        <v>8.0923632460000005E-5</v>
      </c>
      <c r="AQ514" s="1050" cm="1">
        <f t="array" aca="1" ref="AQ514" ca="1">INDEX(OFFSET($AK$19,MATCH($B514,$B$19:$B$150,0)-1,0,COUNTA($B$19:$B$24),COUNTA($AK$17:$BB$17)),MATCH($F514,$F$19:$F$24,0),MATCH(AQ$17,$AK$17:$BB$17,0))*INDEX($10:$13,MATCH($O514,$R$10:$R$13,0),COLUMN())</f>
        <v>5.5181184999999995E-7</v>
      </c>
      <c r="AR514" s="1050" cm="1">
        <f t="array" aca="1" ref="AR514" ca="1">INDEX(OFFSET($AK$19,MATCH($B514,$B$19:$B$150,0)-1,0,COUNTA($B$19:$B$24),COUNTA($AK$17:$BB$17)),MATCH($F514,$F$19:$F$24,0),MATCH(AR$17,$AK$17:$BB$17,0))*INDEX($10:$13,MATCH($O514,$R$10:$R$13,0),COLUMN())</f>
        <v>2.4158868749999999E-3</v>
      </c>
      <c r="AS514" s="1050" cm="1">
        <f t="array" aca="1" ref="AS514" ca="1">INDEX(OFFSET($AK$19,MATCH($B514,$B$19:$B$150,0)-1,0,COUNTA($B$19:$B$24),COUNTA($AK$17:$BB$17)),MATCH($F514,$F$19:$F$24,0),MATCH(AS$17,$AK$17:$BB$17,0))*INDEX($10:$13,MATCH($O514,$R$10:$R$13,0),COLUMN())</f>
        <v>1.5731398800000001E-6</v>
      </c>
      <c r="AT514" s="1050" cm="1">
        <f t="array" aca="1" ref="AT514" ca="1">INDEX(OFFSET($AK$19,MATCH($B514,$B$19:$B$150,0)-1,0,COUNTA($B$19:$B$24),COUNTA($AK$17:$BB$17)),MATCH($F514,$F$19:$F$24,0),MATCH(AT$17,$AK$17:$BB$17,0))*INDEX($10:$13,MATCH($O514,$R$10:$R$13,0),COLUMN())</f>
        <v>4.7770450390000003E-8</v>
      </c>
      <c r="AU514" s="1050" cm="1">
        <f t="array" aca="1" ref="AU514" ca="1">INDEX(OFFSET($AK$19,MATCH($B514,$B$19:$B$150,0)-1,0,COUNTA($B$19:$B$24),COUNTA($AK$17:$BB$17)),MATCH($F514,$F$19:$F$24,0),MATCH(AU$17,$AK$17:$BB$17,0))*INDEX($10:$13,MATCH($O514,$R$10:$R$13,0),COLUMN())</f>
        <v>1.1363713152000001E-8</v>
      </c>
      <c r="AV514" s="1050" cm="1">
        <f t="array" aca="1" ref="AV514" ca="1">INDEX(OFFSET($AK$19,MATCH($B514,$B$19:$B$150,0)-1,0,COUNTA($B$19:$B$24),COUNTA($AK$17:$BB$17)),MATCH($F514,$F$19:$F$24,0),MATCH(AV$17,$AK$17:$BB$17,0))*INDEX($10:$13,MATCH($O514,$R$10:$R$13,0),COLUMN())</f>
        <v>3.2918276274999994E-5</v>
      </c>
      <c r="AW514" s="1050" cm="1">
        <f t="array" aca="1" ref="AW514" ca="1">INDEX(OFFSET($AK$19,MATCH($B514,$B$19:$B$150,0)-1,0,COUNTA($B$19:$B$24),COUNTA($AK$17:$BB$17)),MATCH($F514,$F$19:$F$24,0),MATCH(AW$17,$AK$17:$BB$17,0))*INDEX($10:$13,MATCH($O514,$R$10:$R$13,0),COLUMN())</f>
        <v>4.4463577349999998E-3</v>
      </c>
      <c r="AX514" s="1050" cm="1">
        <f t="array" aca="1" ref="AX514" ca="1">INDEX(OFFSET($AK$19,MATCH($B514,$B$19:$B$150,0)-1,0,COUNTA($B$19:$B$24),COUNTA($AK$17:$BB$17)),MATCH($F514,$F$19:$F$24,0),MATCH(AX$17,$AK$17:$BB$17,0))*INDEX($10:$13,MATCH($O514,$R$10:$R$13,0),COLUMN())</f>
        <v>2.3579463929999996E-9</v>
      </c>
      <c r="AY514" s="1050" cm="1">
        <f t="array" aca="1" ref="AY514" ca="1">INDEX(OFFSET($AK$19,MATCH($B514,$B$19:$B$150,0)-1,0,COUNTA($B$19:$B$24),COUNTA($AK$17:$BB$17)),MATCH($F514,$F$19:$F$24,0),MATCH(AY$17,$AK$17:$BB$17,0))*INDEX($10:$13,MATCH($O514,$R$10:$R$13,0),COLUMN())</f>
        <v>-6.0770369306249999E-11</v>
      </c>
      <c r="AZ514" s="1050" cm="1">
        <f t="array" aca="1" ref="AZ514" ca="1">INDEX(OFFSET($AK$19,MATCH($B514,$B$19:$B$150,0)-1,0,COUNTA($B$19:$B$24),COUNTA($AK$17:$BB$17)),MATCH($F514,$F$19:$F$24,0),MATCH(AZ$17,$AK$17:$BB$17,0))*INDEX($10:$13,MATCH($O514,$R$10:$R$13,0),COLUMN())</f>
        <v>0</v>
      </c>
      <c r="BA514" s="1050" cm="1">
        <f t="array" aca="1" ref="BA514" ca="1">INDEX(OFFSET($AK$19,MATCH($B514,$B$19:$B$150,0)-1,0,COUNTA($B$19:$B$24),COUNTA($AK$17:$BB$17)),MATCH($F514,$F$19:$F$24,0),MATCH(BA$17,$AK$17:$BB$17,0))*INDEX($10:$13,MATCH($O514,$R$10:$R$13,0),COLUMN())</f>
        <v>0</v>
      </c>
      <c r="BB514" s="1051" cm="1">
        <f t="array" aca="1" ref="BB514" ca="1">INDEX(OFFSET($AK$19,MATCH($B514,$B$19:$B$150,0)-1,0,COUNTA($B$19:$B$24),COUNTA($AK$17:$BB$17)),MATCH($F514,$F$19:$F$24,0),MATCH(BB$17,$AK$17:$BB$17,0))*INDEX($10:$13,MATCH($O514,$R$10:$R$13,0),COLUMN())</f>
        <v>0</v>
      </c>
      <c r="BC514" s="1053">
        <f t="shared" ca="1" si="179"/>
        <v>4.446360032176023E-3</v>
      </c>
      <c r="BE514" s="1"/>
      <c r="BF514" s="1"/>
      <c r="BG514" s="1"/>
      <c r="BH514" s="1"/>
      <c r="BI514" s="1"/>
      <c r="BJ514" s="1"/>
      <c r="BK514" s="1"/>
      <c r="BL514" s="1"/>
      <c r="BM514" s="1"/>
      <c r="BN514" s="1"/>
      <c r="BO514" s="1"/>
      <c r="BP514" s="1"/>
      <c r="BQ514" s="1"/>
      <c r="BR514" s="1"/>
      <c r="BS514" s="1"/>
      <c r="BT514" s="1"/>
      <c r="BU514" s="1"/>
      <c r="BV514" s="1"/>
      <c r="BW514" s="1"/>
      <c r="BX514" s="1"/>
      <c r="BY514" s="1"/>
      <c r="BZ514" s="1"/>
    </row>
    <row r="515" spans="2:78" ht="12" customHeight="1" outlineLevel="1" x14ac:dyDescent="0.25">
      <c r="B515" s="104" t="s">
        <v>112</v>
      </c>
      <c r="C515" s="104" t="s">
        <v>121</v>
      </c>
      <c r="D515" s="2" t="s">
        <v>148</v>
      </c>
      <c r="E515" s="2" t="s">
        <v>150</v>
      </c>
      <c r="F515" s="105" t="s">
        <v>93</v>
      </c>
      <c r="G515" s="27" t="s">
        <v>1578</v>
      </c>
      <c r="H515" s="106" t="s">
        <v>130</v>
      </c>
      <c r="I515" s="107" t="s">
        <v>129</v>
      </c>
      <c r="J515" s="147">
        <v>0.44</v>
      </c>
      <c r="K515" s="148">
        <v>1.33</v>
      </c>
      <c r="L515" s="149">
        <f t="shared" ca="1" si="181"/>
        <v>1.0875634490601404E-2</v>
      </c>
      <c r="M515" s="148">
        <f t="shared" ca="1" si="182"/>
        <v>1.3444645938724999</v>
      </c>
      <c r="N515" s="148">
        <f t="shared" ca="1" si="180"/>
        <v>1.4464593872499867E-2</v>
      </c>
      <c r="O515" s="1062" t="s">
        <v>1584</v>
      </c>
      <c r="P515" s="104"/>
      <c r="R515" s="119"/>
      <c r="S515" s="1072"/>
      <c r="T515" s="1072"/>
      <c r="U515" s="1072"/>
      <c r="V515" s="1072"/>
      <c r="W515" s="1072"/>
      <c r="X515" s="1072"/>
      <c r="Y515" s="1072"/>
      <c r="Z515" s="1072"/>
      <c r="AA515" s="1072"/>
      <c r="AB515" s="1072"/>
      <c r="AC515" s="1072"/>
      <c r="AD515" s="1072"/>
      <c r="AE515" s="1072"/>
      <c r="AF515" s="1072"/>
      <c r="AG515" s="1072"/>
      <c r="AH515" s="1072"/>
      <c r="AI515" s="1072"/>
      <c r="AJ515" s="1073"/>
      <c r="AK515" s="1052" cm="1">
        <f t="array" aca="1" ref="AK515" ca="1">INDEX(OFFSET($AK$19,MATCH($B515,$B$19:$B$150,0)-1,0,COUNTA($B$19:$B$24),COUNTA($AK$17:$BB$17)),MATCH($F515,$F$19:$F$24,0),MATCH(AK$17,$AK$17:$BB$17,0))*INDEX($10:$13,MATCH($O515,$R$10:$R$13,0),COLUMN())</f>
        <v>2.7057562829584576E-3</v>
      </c>
      <c r="AL515" s="1050" cm="1">
        <f t="array" aca="1" ref="AL515" ca="1">INDEX(OFFSET($AK$19,MATCH($B515,$B$19:$B$150,0)-1,0,COUNTA($B$19:$B$24),COUNTA($AK$17:$BB$17)),MATCH($F515,$F$19:$F$24,0),MATCH(AL$17,$AK$17:$BB$17,0))*INDEX($10:$13,MATCH($O515,$R$10:$R$13,0),COLUMN())</f>
        <v>7.5111258950000016E-9</v>
      </c>
      <c r="AM515" s="1050" cm="1">
        <f t="array" aca="1" ref="AM515" ca="1">INDEX(OFFSET($AK$19,MATCH($B515,$B$19:$B$150,0)-1,0,COUNTA($B$19:$B$24),COUNTA($AK$17:$BB$17)),MATCH($F515,$F$19:$F$24,0),MATCH(AM$17,$AK$17:$BB$17,0))*INDEX($10:$13,MATCH($O515,$R$10:$R$13,0),COLUMN())</f>
        <v>1.2331031922000001E-5</v>
      </c>
      <c r="AN515" s="1050" cm="1">
        <f t="array" aca="1" ref="AN515" ca="1">INDEX(OFFSET($AK$19,MATCH($B515,$B$19:$B$150,0)-1,0,COUNTA($B$19:$B$24),COUNTA($AK$17:$BB$17)),MATCH($F515,$F$19:$F$24,0),MATCH(AN$17,$AK$17:$BB$17,0))*INDEX($10:$13,MATCH($O515,$R$10:$R$13,0),COLUMN())</f>
        <v>1.3889150520000001E-4</v>
      </c>
      <c r="AO515" s="1050" cm="1">
        <f t="array" aca="1" ref="AO515" ca="1">INDEX(OFFSET($AK$19,MATCH($B515,$B$19:$B$150,0)-1,0,COUNTA($B$19:$B$24),COUNTA($AK$17:$BB$17)),MATCH($F515,$F$19:$F$24,0),MATCH(AO$17,$AK$17:$BB$17,0))*INDEX($10:$13,MATCH($O515,$R$10:$R$13,0),COLUMN())</f>
        <v>1.690849468E-3</v>
      </c>
      <c r="AP515" s="1050" cm="1">
        <f t="array" aca="1" ref="AP515" ca="1">INDEX(OFFSET($AK$19,MATCH($B515,$B$19:$B$150,0)-1,0,COUNTA($B$19:$B$24),COUNTA($AK$17:$BB$17)),MATCH($F515,$F$19:$F$24,0),MATCH(AP$17,$AK$17:$BB$17,0))*INDEX($10:$13,MATCH($O515,$R$10:$R$13,0),COLUMN())</f>
        <v>1.1469378977999999E-4</v>
      </c>
      <c r="AQ515" s="1050" cm="1">
        <f t="array" aca="1" ref="AQ515" ca="1">INDEX(OFFSET($AK$19,MATCH($B515,$B$19:$B$150,0)-1,0,COUNTA($B$19:$B$24),COUNTA($AK$17:$BB$17)),MATCH($F515,$F$19:$F$24,0),MATCH(AQ$17,$AK$17:$BB$17,0))*INDEX($10:$13,MATCH($O515,$R$10:$R$13,0),COLUMN())</f>
        <v>7.8208792500000003E-7</v>
      </c>
      <c r="AR515" s="1050" cm="1">
        <f t="array" aca="1" ref="AR515" ca="1">INDEX(OFFSET($AK$19,MATCH($B515,$B$19:$B$150,0)-1,0,COUNTA($B$19:$B$24),COUNTA($AK$17:$BB$17)),MATCH($F515,$F$19:$F$24,0),MATCH(AR$17,$AK$17:$BB$17,0))*INDEX($10:$13,MATCH($O515,$R$10:$R$13,0),COLUMN())</f>
        <v>3.4240583739999996E-3</v>
      </c>
      <c r="AS515" s="1050" cm="1">
        <f t="array" aca="1" ref="AS515" ca="1">INDEX(OFFSET($AK$19,MATCH($B515,$B$19:$B$150,0)-1,0,COUNTA($B$19:$B$24),COUNTA($AK$17:$BB$17)),MATCH($F515,$F$19:$F$24,0),MATCH(AS$17,$AK$17:$BB$17,0))*INDEX($10:$13,MATCH($O515,$R$10:$R$13,0),COLUMN())</f>
        <v>3.7932987689999998E-6</v>
      </c>
      <c r="AT515" s="1050" cm="1">
        <f t="array" aca="1" ref="AT515" ca="1">INDEX(OFFSET($AK$19,MATCH($B515,$B$19:$B$150,0)-1,0,COUNTA($B$19:$B$24),COUNTA($AK$17:$BB$17)),MATCH($F515,$F$19:$F$24,0),MATCH(AT$17,$AK$17:$BB$17,0))*INDEX($10:$13,MATCH($O515,$R$10:$R$13,0),COLUMN())</f>
        <v>6.824845795E-8</v>
      </c>
      <c r="AU515" s="1050" cm="1">
        <f t="array" aca="1" ref="AU515" ca="1">INDEX(OFFSET($AK$19,MATCH($B515,$B$19:$B$150,0)-1,0,COUNTA($B$19:$B$24),COUNTA($AK$17:$BB$17)),MATCH($F515,$F$19:$F$24,0),MATCH(AU$17,$AK$17:$BB$17,0))*INDEX($10:$13,MATCH($O515,$R$10:$R$13,0),COLUMN())</f>
        <v>1.6162253248000001E-8</v>
      </c>
      <c r="AV515" s="1050" cm="1">
        <f t="array" aca="1" ref="AV515" ca="1">INDEX(OFFSET($AK$19,MATCH($B515,$B$19:$B$150,0)-1,0,COUNTA($B$19:$B$24),COUNTA($AK$17:$BB$17)),MATCH($F515,$F$19:$F$24,0),MATCH(AV$17,$AK$17:$BB$17,0))*INDEX($10:$13,MATCH($O515,$R$10:$R$13,0),COLUMN())</f>
        <v>7.1479916299999985E-5</v>
      </c>
      <c r="AW515" s="1050" cm="1">
        <f t="array" aca="1" ref="AW515" ca="1">INDEX(OFFSET($AK$19,MATCH($B515,$B$19:$B$150,0)-1,0,COUNTA($B$19:$B$24),COUNTA($AK$17:$BB$17)),MATCH($F515,$F$19:$F$24,0),MATCH(AW$17,$AK$17:$BB$17,0))*INDEX($10:$13,MATCH($O515,$R$10:$R$13,0),COLUMN())</f>
        <v>6.3018629399999998E-3</v>
      </c>
      <c r="AX515" s="1050" cm="1">
        <f t="array" aca="1" ref="AX515" ca="1">INDEX(OFFSET($AK$19,MATCH($B515,$B$19:$B$150,0)-1,0,COUNTA($B$19:$B$24),COUNTA($AK$17:$BB$17)),MATCH($F515,$F$19:$F$24,0),MATCH(AX$17,$AK$17:$BB$17,0))*INDEX($10:$13,MATCH($O515,$R$10:$R$13,0),COLUMN())</f>
        <v>3.3419387099999996E-9</v>
      </c>
      <c r="AY515" s="1050" cm="1">
        <f t="array" aca="1" ref="AY515" ca="1">INDEX(OFFSET($AK$19,MATCH($B515,$B$19:$B$150,0)-1,0,COUNTA($B$19:$B$24),COUNTA($AK$17:$BB$17)),MATCH($F515,$F$19:$F$24,0),MATCH(AY$17,$AK$17:$BB$17,0))*INDEX($10:$13,MATCH($O515,$R$10:$R$13,0),COLUMN())</f>
        <v>-8.6130391837499991E-11</v>
      </c>
      <c r="AZ515" s="1050" cm="1">
        <f t="array" aca="1" ref="AZ515" ca="1">INDEX(OFFSET($AK$19,MATCH($B515,$B$19:$B$150,0)-1,0,COUNTA($B$19:$B$24),COUNTA($AK$17:$BB$17)),MATCH($F515,$F$19:$F$24,0),MATCH(AZ$17,$AK$17:$BB$17,0))*INDEX($10:$13,MATCH($O515,$R$10:$R$13,0),COLUMN())</f>
        <v>0</v>
      </c>
      <c r="BA515" s="1050" cm="1">
        <f t="array" aca="1" ref="BA515" ca="1">INDEX(OFFSET($AK$19,MATCH($B515,$B$19:$B$150,0)-1,0,COUNTA($B$19:$B$24),COUNTA($AK$17:$BB$17)),MATCH($F515,$F$19:$F$24,0),MATCH(BA$17,$AK$17:$BB$17,0))*INDEX($10:$13,MATCH($O515,$R$10:$R$13,0),COLUMN())</f>
        <v>0</v>
      </c>
      <c r="BB515" s="1051" cm="1">
        <f t="array" aca="1" ref="BB515" ca="1">INDEX(OFFSET($AK$19,MATCH($B515,$B$19:$B$150,0)-1,0,COUNTA($B$19:$B$24),COUNTA($AK$17:$BB$17)),MATCH($F515,$F$19:$F$24,0),MATCH(BB$17,$AK$17:$BB$17,0))*INDEX($10:$13,MATCH($O515,$R$10:$R$13,0),COLUMN())</f>
        <v>0</v>
      </c>
      <c r="BC515" s="1053">
        <f t="shared" ca="1" si="179"/>
        <v>6.3018661958083181E-3</v>
      </c>
      <c r="BE515" s="1"/>
      <c r="BF515" s="1"/>
      <c r="BG515" s="1"/>
      <c r="BH515" s="1"/>
      <c r="BI515" s="1"/>
      <c r="BJ515" s="1"/>
      <c r="BK515" s="1"/>
      <c r="BL515" s="1"/>
      <c r="BM515" s="1"/>
      <c r="BN515" s="1"/>
      <c r="BO515" s="1"/>
      <c r="BP515" s="1"/>
      <c r="BQ515" s="1"/>
      <c r="BR515" s="1"/>
      <c r="BS515" s="1"/>
      <c r="BT515" s="1"/>
      <c r="BU515" s="1"/>
      <c r="BV515" s="1"/>
      <c r="BW515" s="1"/>
      <c r="BX515" s="1"/>
      <c r="BY515" s="1"/>
      <c r="BZ515" s="1"/>
    </row>
    <row r="516" spans="2:78" ht="12" customHeight="1" outlineLevel="1" x14ac:dyDescent="0.25">
      <c r="B516" s="104" t="s">
        <v>112</v>
      </c>
      <c r="C516" s="104" t="s">
        <v>121</v>
      </c>
      <c r="D516" s="2" t="s">
        <v>148</v>
      </c>
      <c r="E516" s="2" t="s">
        <v>150</v>
      </c>
      <c r="F516" s="105" t="s">
        <v>94</v>
      </c>
      <c r="G516" s="27" t="s">
        <v>1580</v>
      </c>
      <c r="H516" s="106" t="s">
        <v>131</v>
      </c>
      <c r="I516" s="107" t="s">
        <v>129</v>
      </c>
      <c r="J516" s="147">
        <v>0.44</v>
      </c>
      <c r="K516" s="148">
        <v>1.33</v>
      </c>
      <c r="L516" s="149">
        <f t="shared" ca="1" si="181"/>
        <v>5.9063797968364647E-3</v>
      </c>
      <c r="M516" s="148">
        <f t="shared" ca="1" si="182"/>
        <v>1.3378554851297926</v>
      </c>
      <c r="N516" s="148">
        <f t="shared" ca="1" si="180"/>
        <v>7.8554851297924985E-3</v>
      </c>
      <c r="O516" s="1062" t="s">
        <v>1584</v>
      </c>
      <c r="P516" s="104"/>
      <c r="R516" s="119"/>
      <c r="S516" s="1072"/>
      <c r="T516" s="1072"/>
      <c r="U516" s="1072"/>
      <c r="V516" s="1072"/>
      <c r="W516" s="1072"/>
      <c r="X516" s="1072"/>
      <c r="Y516" s="1072"/>
      <c r="Z516" s="1072"/>
      <c r="AA516" s="1072"/>
      <c r="AB516" s="1072"/>
      <c r="AC516" s="1072"/>
      <c r="AD516" s="1072"/>
      <c r="AE516" s="1072"/>
      <c r="AF516" s="1072"/>
      <c r="AG516" s="1072"/>
      <c r="AH516" s="1072"/>
      <c r="AI516" s="1072"/>
      <c r="AJ516" s="1073"/>
      <c r="AK516" s="1052" cm="1">
        <f t="array" aca="1" ref="AK516" ca="1">INDEX(OFFSET($AK$19,MATCH($B516,$B$19:$B$150,0)-1,0,COUNTA($B$19:$B$24),COUNTA($AK$17:$BB$17)),MATCH($F516,$F$19:$F$24,0),MATCH(AK$17,$AK$17:$BB$17,0))*INDEX($10:$13,MATCH($O516,$R$10:$R$13,0),COLUMN())</f>
        <v>1.4748334212962065E-3</v>
      </c>
      <c r="AL516" s="1050" cm="1">
        <f t="array" aca="1" ref="AL516" ca="1">INDEX(OFFSET($AK$19,MATCH($B516,$B$19:$B$150,0)-1,0,COUNTA($B$19:$B$24),COUNTA($AK$17:$BB$17)),MATCH($F516,$F$19:$F$24,0),MATCH(AL$17,$AK$17:$BB$17,0))*INDEX($10:$13,MATCH($O516,$R$10:$R$13,0),COLUMN())</f>
        <v>4.0941085379999999E-9</v>
      </c>
      <c r="AM516" s="1050" cm="1">
        <f t="array" aca="1" ref="AM516" ca="1">INDEX(OFFSET($AK$19,MATCH($B516,$B$19:$B$150,0)-1,0,COUNTA($B$19:$B$24),COUNTA($AK$17:$BB$17)),MATCH($F516,$F$19:$F$24,0),MATCH(AM$17,$AK$17:$BB$17,0))*INDEX($10:$13,MATCH($O516,$R$10:$R$13,0),COLUMN())</f>
        <v>6.7213069109999997E-6</v>
      </c>
      <c r="AN516" s="1050" cm="1">
        <f t="array" aca="1" ref="AN516" ca="1">INDEX(OFFSET($AK$19,MATCH($B516,$B$19:$B$150,0)-1,0,COUNTA($B$19:$B$24),COUNTA($AK$17:$BB$17)),MATCH($F516,$F$19:$F$24,0),MATCH(AN$17,$AK$17:$BB$17,0))*INDEX($10:$13,MATCH($O516,$R$10:$R$13,0),COLUMN())</f>
        <v>7.5705943319999988E-5</v>
      </c>
      <c r="AO516" s="1050" cm="1">
        <f t="array" aca="1" ref="AO516" ca="1">INDEX(OFFSET($AK$19,MATCH($B516,$B$19:$B$150,0)-1,0,COUNTA($B$19:$B$24),COUNTA($AK$17:$BB$17)),MATCH($F516,$F$19:$F$24,0),MATCH(AO$17,$AK$17:$BB$17,0))*INDEX($10:$13,MATCH($O516,$R$10:$R$13,0),COLUMN())</f>
        <v>9.2163562399999997E-4</v>
      </c>
      <c r="AP516" s="1050" cm="1">
        <f t="array" aca="1" ref="AP516" ca="1">INDEX(OFFSET($AK$19,MATCH($B516,$B$19:$B$150,0)-1,0,COUNTA($B$19:$B$24),COUNTA($AK$17:$BB$17)),MATCH($F516,$F$19:$F$24,0),MATCH(AP$17,$AK$17:$BB$17,0))*INDEX($10:$13,MATCH($O516,$R$10:$R$13,0),COLUMN())</f>
        <v>6.2516436040000001E-5</v>
      </c>
      <c r="AQ516" s="1050" cm="1">
        <f t="array" aca="1" ref="AQ516" ca="1">INDEX(OFFSET($AK$19,MATCH($B516,$B$19:$B$150,0)-1,0,COUNTA($B$19:$B$24),COUNTA($AK$17:$BB$17)),MATCH($F516,$F$19:$F$24,0),MATCH(AQ$17,$AK$17:$BB$17,0))*INDEX($10:$13,MATCH($O516,$R$10:$R$13,0),COLUMN())</f>
        <v>4.2629465000000002E-7</v>
      </c>
      <c r="AR516" s="1050" cm="1">
        <f t="array" aca="1" ref="AR516" ca="1">INDEX(OFFSET($AK$19,MATCH($B516,$B$19:$B$150,0)-1,0,COUNTA($B$19:$B$24),COUNTA($AK$17:$BB$17)),MATCH($F516,$F$19:$F$24,0),MATCH(AR$17,$AK$17:$BB$17,0))*INDEX($10:$13,MATCH($O516,$R$10:$R$13,0),COLUMN())</f>
        <v>1.8663601069E-3</v>
      </c>
      <c r="AS516" s="1050" cm="1">
        <f t="array" aca="1" ref="AS516" ca="1">INDEX(OFFSET($AK$19,MATCH($B516,$B$19:$B$150,0)-1,0,COUNTA($B$19:$B$24),COUNTA($AK$17:$BB$17)),MATCH($F516,$F$19:$F$24,0),MATCH(AS$17,$AK$17:$BB$17,0))*INDEX($10:$13,MATCH($O516,$R$10:$R$13,0),COLUMN())</f>
        <v>3.6299198519999999E-7</v>
      </c>
      <c r="AT516" s="1050" cm="1">
        <f t="array" aca="1" ref="AT516" ca="1">INDEX(OFFSET($AK$19,MATCH($B516,$B$19:$B$150,0)-1,0,COUNTA($B$19:$B$24),COUNTA($AK$17:$BB$17)),MATCH($F516,$F$19:$F$24,0),MATCH(AT$17,$AK$17:$BB$17,0))*INDEX($10:$13,MATCH($O516,$R$10:$R$13,0),COLUMN())</f>
        <v>3.6608445535000004E-8</v>
      </c>
      <c r="AU516" s="1050" cm="1">
        <f t="array" aca="1" ref="AU516" ca="1">INDEX(OFFSET($AK$19,MATCH($B516,$B$19:$B$150,0)-1,0,COUNTA($B$19:$B$24),COUNTA($AK$17:$BB$17)),MATCH($F516,$F$19:$F$24,0),MATCH(AU$17,$AK$17:$BB$17,0))*INDEX($10:$13,MATCH($O516,$R$10:$R$13,0),COLUMN())</f>
        <v>8.7481593280000003E-9</v>
      </c>
      <c r="AV516" s="1050" cm="1">
        <f t="array" aca="1" ref="AV516" ca="1">INDEX(OFFSET($AK$19,MATCH($B516,$B$19:$B$150,0)-1,0,COUNTA($B$19:$B$24),COUNTA($AK$17:$BB$17)),MATCH($F516,$F$19:$F$24,0),MATCH(AV$17,$AK$17:$BB$17,0))*INDEX($10:$13,MATCH($O516,$R$10:$R$13,0),COLUMN())</f>
        <v>1.1899379325E-5</v>
      </c>
      <c r="AW516" s="1050" cm="1">
        <f t="array" aca="1" ref="AW516" ca="1">INDEX(OFFSET($AK$19,MATCH($B516,$B$19:$B$150,0)-1,0,COUNTA($B$19:$B$24),COUNTA($AK$17:$BB$17)),MATCH($F516,$F$19:$F$24,0),MATCH(AW$17,$AK$17:$BB$17,0))*INDEX($10:$13,MATCH($O516,$R$10:$R$13,0),COLUMN())</f>
        <v>3.4349724000000002E-3</v>
      </c>
      <c r="AX516" s="1050" cm="1">
        <f t="array" aca="1" ref="AX516" ca="1">INDEX(OFFSET($AK$19,MATCH($B516,$B$19:$B$150,0)-1,0,COUNTA($B$19:$B$24),COUNTA($AK$17:$BB$17)),MATCH($F516,$F$19:$F$24,0),MATCH(AX$17,$AK$17:$BB$17,0))*INDEX($10:$13,MATCH($O516,$R$10:$R$13,0),COLUMN())</f>
        <v>1.8215990025000001E-9</v>
      </c>
      <c r="AY516" s="1050" cm="1">
        <f t="array" aca="1" ref="AY516" ca="1">INDEX(OFFSET($AK$19,MATCH($B516,$B$19:$B$150,0)-1,0,COUNTA($B$19:$B$24),COUNTA($AK$17:$BB$17)),MATCH($F516,$F$19:$F$24,0),MATCH(AY$17,$AK$17:$BB$17,0))*INDEX($10:$13,MATCH($O516,$R$10:$R$13,0),COLUMN())</f>
        <v>-4.6947311774999994E-11</v>
      </c>
      <c r="AZ516" s="1050" cm="1">
        <f t="array" aca="1" ref="AZ516" ca="1">INDEX(OFFSET($AK$19,MATCH($B516,$B$19:$B$150,0)-1,0,COUNTA($B$19:$B$24),COUNTA($AK$17:$BB$17)),MATCH($F516,$F$19:$F$24,0),MATCH(AZ$17,$AK$17:$BB$17,0))*INDEX($10:$13,MATCH($O516,$R$10:$R$13,0),COLUMN())</f>
        <v>0</v>
      </c>
      <c r="BA516" s="1050" cm="1">
        <f t="array" aca="1" ref="BA516" ca="1">INDEX(OFFSET($AK$19,MATCH($B516,$B$19:$B$150,0)-1,0,COUNTA($B$19:$B$24),COUNTA($AK$17:$BB$17)),MATCH($F516,$F$19:$F$24,0),MATCH(BA$17,$AK$17:$BB$17,0))*INDEX($10:$13,MATCH($O516,$R$10:$R$13,0),COLUMN())</f>
        <v>0</v>
      </c>
      <c r="BB516" s="1051" cm="1">
        <f t="array" aca="1" ref="BB516" ca="1">INDEX(OFFSET($AK$19,MATCH($B516,$B$19:$B$150,0)-1,0,COUNTA($B$19:$B$24),COUNTA($AK$17:$BB$17)),MATCH($F516,$F$19:$F$24,0),MATCH(BB$17,$AK$17:$BB$17,0))*INDEX($10:$13,MATCH($O516,$R$10:$R$13,0),COLUMN())</f>
        <v>0</v>
      </c>
      <c r="BC516" s="1053">
        <f t="shared" ca="1" si="179"/>
        <v>3.434974174651691E-3</v>
      </c>
      <c r="BE516" s="1"/>
      <c r="BF516" s="1"/>
      <c r="BG516" s="1"/>
      <c r="BH516" s="1"/>
      <c r="BI516" s="1"/>
      <c r="BJ516" s="1"/>
      <c r="BK516" s="1"/>
      <c r="BL516" s="1"/>
      <c r="BM516" s="1"/>
      <c r="BN516" s="1"/>
      <c r="BO516" s="1"/>
      <c r="BP516" s="1"/>
      <c r="BQ516" s="1"/>
      <c r="BR516" s="1"/>
      <c r="BS516" s="1"/>
      <c r="BT516" s="1"/>
      <c r="BU516" s="1"/>
      <c r="BV516" s="1"/>
      <c r="BW516" s="1"/>
      <c r="BX516" s="1"/>
      <c r="BY516" s="1"/>
      <c r="BZ516" s="1"/>
    </row>
    <row r="517" spans="2:78" ht="12" customHeight="1" outlineLevel="1" x14ac:dyDescent="0.25">
      <c r="B517" s="104" t="s">
        <v>112</v>
      </c>
      <c r="C517" s="104" t="s">
        <v>121</v>
      </c>
      <c r="D517" s="2" t="s">
        <v>148</v>
      </c>
      <c r="E517" s="2" t="s">
        <v>150</v>
      </c>
      <c r="F517" s="105" t="s">
        <v>95</v>
      </c>
      <c r="G517" s="27" t="s">
        <v>1581</v>
      </c>
      <c r="H517" s="106" t="s">
        <v>128</v>
      </c>
      <c r="I517" s="107" t="s">
        <v>127</v>
      </c>
      <c r="J517" s="147">
        <v>0.44</v>
      </c>
      <c r="K517" s="148">
        <v>1.33</v>
      </c>
      <c r="L517" s="149">
        <f t="shared" ca="1" si="181"/>
        <v>9.2034771453413898E-3</v>
      </c>
      <c r="M517" s="148">
        <f t="shared" ca="1" si="182"/>
        <v>1.3422406246033041</v>
      </c>
      <c r="N517" s="148">
        <f t="shared" ca="1" si="180"/>
        <v>1.2240624603304049E-2</v>
      </c>
      <c r="O517" s="1062" t="s">
        <v>1584</v>
      </c>
      <c r="P517" s="104"/>
      <c r="R517" s="119"/>
      <c r="S517" s="1072"/>
      <c r="T517" s="1072"/>
      <c r="U517" s="1072"/>
      <c r="V517" s="1072"/>
      <c r="W517" s="1072"/>
      <c r="X517" s="1072"/>
      <c r="Y517" s="1072"/>
      <c r="Z517" s="1072"/>
      <c r="AA517" s="1072"/>
      <c r="AB517" s="1072"/>
      <c r="AC517" s="1072"/>
      <c r="AD517" s="1072"/>
      <c r="AE517" s="1072"/>
      <c r="AF517" s="1072"/>
      <c r="AG517" s="1072"/>
      <c r="AH517" s="1072"/>
      <c r="AI517" s="1072"/>
      <c r="AJ517" s="1073"/>
      <c r="AK517" s="1052" cm="1">
        <f t="array" aca="1" ref="AK517" ca="1">INDEX(OFFSET($AK$19,MATCH($B517,$B$19:$B$150,0)-1,0,COUNTA($B$19:$B$24),COUNTA($AK$17:$BB$17)),MATCH($F517,$F$19:$F$24,0),MATCH(AK$17,$AK$17:$BB$17,0))*INDEX($10:$13,MATCH($O517,$R$10:$R$13,0),COLUMN())</f>
        <v>2.0726151877391865E-3</v>
      </c>
      <c r="AL517" s="1050" cm="1">
        <f t="array" aca="1" ref="AL517" ca="1">INDEX(OFFSET($AK$19,MATCH($B517,$B$19:$B$150,0)-1,0,COUNTA($B$19:$B$24),COUNTA($AK$17:$BB$17)),MATCH($F517,$F$19:$F$24,0),MATCH(AL$17,$AK$17:$BB$17,0))*INDEX($10:$13,MATCH($O517,$R$10:$R$13,0),COLUMN())</f>
        <v>5.3197334320000007E-9</v>
      </c>
      <c r="AM517" s="1050" cm="1">
        <f t="array" aca="1" ref="AM517" ca="1">INDEX(OFFSET($AK$19,MATCH($B517,$B$19:$B$150,0)-1,0,COUNTA($B$19:$B$24),COUNTA($AK$17:$BB$17)),MATCH($F517,$F$19:$F$24,0),MATCH(AM$17,$AK$17:$BB$17,0))*INDEX($10:$13,MATCH($O517,$R$10:$R$13,0),COLUMN())</f>
        <v>8.7332915340000007E-6</v>
      </c>
      <c r="AN517" s="1050" cm="1">
        <f t="array" aca="1" ref="AN517" ca="1">INDEX(OFFSET($AK$19,MATCH($B517,$B$19:$B$150,0)-1,0,COUNTA($B$19:$B$24),COUNTA($AK$17:$BB$17)),MATCH($F517,$F$19:$F$24,0),MATCH(AN$17,$AK$17:$BB$17,0))*INDEX($10:$13,MATCH($O517,$R$10:$R$13,0),COLUMN())</f>
        <v>1.0194803639999999E-4</v>
      </c>
      <c r="AO517" s="1050" cm="1">
        <f t="array" aca="1" ref="AO517" ca="1">INDEX(OFFSET($AK$19,MATCH($B517,$B$19:$B$150,0)-1,0,COUNTA($B$19:$B$24),COUNTA($AK$17:$BB$17)),MATCH($F517,$F$19:$F$24,0),MATCH(AO$17,$AK$17:$BB$17,0))*INDEX($10:$13,MATCH($O517,$R$10:$R$13,0),COLUMN())</f>
        <v>2.3053105320000001E-3</v>
      </c>
      <c r="AP517" s="1050" cm="1">
        <f t="array" aca="1" ref="AP517" ca="1">INDEX(OFFSET($AK$19,MATCH($B517,$B$19:$B$150,0)-1,0,COUNTA($B$19:$B$24),COUNTA($AK$17:$BB$17)),MATCH($F517,$F$19:$F$24,0),MATCH(AP$17,$AK$17:$BB$17,0))*INDEX($10:$13,MATCH($O517,$R$10:$R$13,0),COLUMN())</f>
        <v>2.3781430996000001E-4</v>
      </c>
      <c r="AQ517" s="1050" cm="1">
        <f t="array" aca="1" ref="AQ517" ca="1">INDEX(OFFSET($AK$19,MATCH($B517,$B$19:$B$150,0)-1,0,COUNTA($B$19:$B$24),COUNTA($AK$17:$BB$17)),MATCH($F517,$F$19:$F$24,0),MATCH(AQ$17,$AK$17:$BB$17,0))*INDEX($10:$13,MATCH($O517,$R$10:$R$13,0),COLUMN())</f>
        <v>2.1706262000000002E-6</v>
      </c>
      <c r="AR517" s="1050" cm="1">
        <f t="array" aca="1" ref="AR517" ca="1">INDEX(OFFSET($AK$19,MATCH($B517,$B$19:$B$150,0)-1,0,COUNTA($B$19:$B$24),COUNTA($AK$17:$BB$17)),MATCH($F517,$F$19:$F$24,0),MATCH(AR$17,$AK$17:$BB$17,0))*INDEX($10:$13,MATCH($O517,$R$10:$R$13,0),COLUMN())</f>
        <v>2.8106518638000002E-3</v>
      </c>
      <c r="AS517" s="1050" cm="1">
        <f t="array" aca="1" ref="AS517" ca="1">INDEX(OFFSET($AK$19,MATCH($B517,$B$19:$B$150,0)-1,0,COUNTA($B$19:$B$24),COUNTA($AK$17:$BB$17)),MATCH($F517,$F$19:$F$24,0),MATCH(AS$17,$AK$17:$BB$17,0))*INDEX($10:$13,MATCH($O517,$R$10:$R$13,0),COLUMN())</f>
        <v>2.6278630559999995E-5</v>
      </c>
      <c r="AT517" s="1050" cm="1">
        <f t="array" aca="1" ref="AT517" ca="1">INDEX(OFFSET($AK$19,MATCH($B517,$B$19:$B$150,0)-1,0,COUNTA($B$19:$B$24),COUNTA($AK$17:$BB$17)),MATCH($F517,$F$19:$F$24,0),MATCH(AT$17,$AK$17:$BB$17,0))*INDEX($10:$13,MATCH($O517,$R$10:$R$13,0),COLUMN())</f>
        <v>6.6170756749999995E-8</v>
      </c>
      <c r="AU517" s="1050" cm="1">
        <f t="array" aca="1" ref="AU517" ca="1">INDEX(OFFSET($AK$19,MATCH($B517,$B$19:$B$150,0)-1,0,COUNTA($B$19:$B$24),COUNTA($AK$17:$BB$17)),MATCH($F517,$F$19:$F$24,0),MATCH(AU$17,$AK$17:$BB$17,0))*INDEX($10:$13,MATCH($O517,$R$10:$R$13,0),COLUMN())</f>
        <v>1.4179194656000002E-8</v>
      </c>
      <c r="AV517" s="1050" cm="1">
        <f t="array" aca="1" ref="AV517" ca="1">INDEX(OFFSET($AK$19,MATCH($B517,$B$19:$B$150,0)-1,0,COUNTA($B$19:$B$24),COUNTA($AK$17:$BB$17)),MATCH($F517,$F$19:$F$24,0),MATCH(AV$17,$AK$17:$BB$17,0))*INDEX($10:$13,MATCH($O517,$R$10:$R$13,0),COLUMN())</f>
        <v>2.2865642325E-4</v>
      </c>
      <c r="AW517" s="1050" cm="1">
        <f t="array" aca="1" ref="AW517" ca="1">INDEX(OFFSET($AK$19,MATCH($B517,$B$19:$B$150,0)-1,0,COUNTA($B$19:$B$24),COUNTA($AK$17:$BB$17)),MATCH($F517,$F$19:$F$24,0),MATCH(AW$17,$AK$17:$BB$17,0))*INDEX($10:$13,MATCH($O517,$R$10:$R$13,0),COLUMN())</f>
        <v>4.4463577349999998E-3</v>
      </c>
      <c r="AX517" s="1050" cm="1">
        <f t="array" aca="1" ref="AX517" ca="1">INDEX(OFFSET($AK$19,MATCH($B517,$B$19:$B$150,0)-1,0,COUNTA($B$19:$B$24),COUNTA($AK$17:$BB$17)),MATCH($F517,$F$19:$F$24,0),MATCH(AX$17,$AK$17:$BB$17,0))*INDEX($10:$13,MATCH($O517,$R$10:$R$13,0),COLUMN())</f>
        <v>2.3579463929999996E-9</v>
      </c>
      <c r="AY517" s="1050" cm="1">
        <f t="array" aca="1" ref="AY517" ca="1">INDEX(OFFSET($AK$19,MATCH($B517,$B$19:$B$150,0)-1,0,COUNTA($B$19:$B$24),COUNTA($AK$17:$BB$17)),MATCH($F517,$F$19:$F$24,0),MATCH(AY$17,$AK$17:$BB$17,0))*INDEX($10:$13,MATCH($O517,$R$10:$R$13,0),COLUMN())</f>
        <v>-6.0770369306249999E-11</v>
      </c>
      <c r="AZ517" s="1050" cm="1">
        <f t="array" aca="1" ref="AZ517" ca="1">INDEX(OFFSET($AK$19,MATCH($B517,$B$19:$B$150,0)-1,0,COUNTA($B$19:$B$24),COUNTA($AK$17:$BB$17)),MATCH($F517,$F$19:$F$24,0),MATCH(AZ$17,$AK$17:$BB$17,0))*INDEX($10:$13,MATCH($O517,$R$10:$R$13,0),COLUMN())</f>
        <v>0</v>
      </c>
      <c r="BA517" s="1050" cm="1">
        <f t="array" aca="1" ref="BA517" ca="1">INDEX(OFFSET($AK$19,MATCH($B517,$B$19:$B$150,0)-1,0,COUNTA($B$19:$B$24),COUNTA($AK$17:$BB$17)),MATCH($F517,$F$19:$F$24,0),MATCH(BA$17,$AK$17:$BB$17,0))*INDEX($10:$13,MATCH($O517,$R$10:$R$13,0),COLUMN())</f>
        <v>0</v>
      </c>
      <c r="BB517" s="1051" cm="1">
        <f t="array" aca="1" ref="BB517" ca="1">INDEX(OFFSET($AK$19,MATCH($B517,$B$19:$B$150,0)-1,0,COUNTA($B$19:$B$24),COUNTA($AK$17:$BB$17)),MATCH($F517,$F$19:$F$24,0),MATCH(BB$17,$AK$17:$BB$17,0))*INDEX($10:$13,MATCH($O517,$R$10:$R$13,0),COLUMN())</f>
        <v>0</v>
      </c>
      <c r="BC517" s="1053">
        <f t="shared" ca="1" si="179"/>
        <v>4.446360032176023E-3</v>
      </c>
      <c r="BE517" s="1"/>
      <c r="BF517" s="1"/>
      <c r="BG517" s="1"/>
      <c r="BH517" s="1"/>
      <c r="BI517" s="1"/>
      <c r="BJ517" s="1"/>
      <c r="BK517" s="1"/>
      <c r="BL517" s="1"/>
      <c r="BM517" s="1"/>
      <c r="BN517" s="1"/>
      <c r="BO517" s="1"/>
      <c r="BP517" s="1"/>
      <c r="BQ517" s="1"/>
      <c r="BR517" s="1"/>
      <c r="BS517" s="1"/>
      <c r="BT517" s="1"/>
      <c r="BU517" s="1"/>
      <c r="BV517" s="1"/>
      <c r="BW517" s="1"/>
      <c r="BX517" s="1"/>
      <c r="BY517" s="1"/>
      <c r="BZ517" s="1"/>
    </row>
    <row r="518" spans="2:78" ht="12" customHeight="1" outlineLevel="1" x14ac:dyDescent="0.25">
      <c r="B518" s="104" t="s">
        <v>112</v>
      </c>
      <c r="C518" s="104" t="s">
        <v>121</v>
      </c>
      <c r="D518" s="2" t="s">
        <v>148</v>
      </c>
      <c r="E518" s="2" t="s">
        <v>150</v>
      </c>
      <c r="F518" s="105" t="s">
        <v>96</v>
      </c>
      <c r="G518" s="27" t="s">
        <v>1582</v>
      </c>
      <c r="H518" s="106" t="s">
        <v>128</v>
      </c>
      <c r="I518" s="107" t="s">
        <v>1577</v>
      </c>
      <c r="J518" s="147">
        <v>0.44</v>
      </c>
      <c r="K518" s="148">
        <v>1.33</v>
      </c>
      <c r="L518" s="149">
        <f t="shared" ca="1" si="181"/>
        <v>1.0338554264395684E-2</v>
      </c>
      <c r="M518" s="148">
        <f t="shared" ca="1" si="182"/>
        <v>1.3437502771716463</v>
      </c>
      <c r="N518" s="148">
        <f t="shared" ca="1" si="180"/>
        <v>1.3750277171646261E-2</v>
      </c>
      <c r="O518" s="1062" t="s">
        <v>1584</v>
      </c>
      <c r="P518" s="104"/>
      <c r="R518" s="119"/>
      <c r="S518" s="1072"/>
      <c r="T518" s="1072"/>
      <c r="U518" s="1072"/>
      <c r="V518" s="1072"/>
      <c r="W518" s="1072"/>
      <c r="X518" s="1072"/>
      <c r="Y518" s="1072"/>
      <c r="Z518" s="1072"/>
      <c r="AA518" s="1072"/>
      <c r="AB518" s="1072"/>
      <c r="AC518" s="1072"/>
      <c r="AD518" s="1072"/>
      <c r="AE518" s="1072"/>
      <c r="AF518" s="1072"/>
      <c r="AG518" s="1072"/>
      <c r="AH518" s="1072"/>
      <c r="AI518" s="1072"/>
      <c r="AJ518" s="1073"/>
      <c r="AK518" s="1052" cm="1">
        <f t="array" aca="1" ref="AK518" ca="1">INDEX(OFFSET($AK$19,MATCH($B518,$B$19:$B$150,0)-1,0,COUNTA($B$19:$B$24),COUNTA($AK$17:$BB$17)),MATCH($F518,$F$19:$F$24,0),MATCH(AK$17,$AK$17:$BB$17,0))*INDEX($10:$13,MATCH($O518,$R$10:$R$13,0),COLUMN())</f>
        <v>2.1898182615047988E-3</v>
      </c>
      <c r="AL518" s="1050" cm="1">
        <f t="array" aca="1" ref="AL518" ca="1">INDEX(OFFSET($AK$19,MATCH($B518,$B$19:$B$150,0)-1,0,COUNTA($B$19:$B$24),COUNTA($AK$17:$BB$17)),MATCH($F518,$F$19:$F$24,0),MATCH(AL$17,$AK$17:$BB$17,0))*INDEX($10:$13,MATCH($O518,$R$10:$R$13,0),COLUMN())</f>
        <v>5.3328937610000005E-9</v>
      </c>
      <c r="AM518" s="1050" cm="1">
        <f t="array" aca="1" ref="AM518" ca="1">INDEX(OFFSET($AK$19,MATCH($B518,$B$19:$B$150,0)-1,0,COUNTA($B$19:$B$24),COUNTA($AK$17:$BB$17)),MATCH($F518,$F$19:$F$24,0),MATCH(AM$17,$AK$17:$BB$17,0))*INDEX($10:$13,MATCH($O518,$R$10:$R$13,0),COLUMN())</f>
        <v>8.7548139359999993E-6</v>
      </c>
      <c r="AN518" s="1050" cm="1">
        <f t="array" aca="1" ref="AN518" ca="1">INDEX(OFFSET($AK$19,MATCH($B518,$B$19:$B$150,0)-1,0,COUNTA($B$19:$B$24),COUNTA($AK$17:$BB$17)),MATCH($F518,$F$19:$F$24,0),MATCH(AN$17,$AK$17:$BB$17,0))*INDEX($10:$13,MATCH($O518,$R$10:$R$13,0),COLUMN())</f>
        <v>1.0452678599999998E-4</v>
      </c>
      <c r="AO518" s="1050" cm="1">
        <f t="array" aca="1" ref="AO518" ca="1">INDEX(OFFSET($AK$19,MATCH($B518,$B$19:$B$150,0)-1,0,COUNTA($B$19:$B$24),COUNTA($AK$17:$BB$17)),MATCH($F518,$F$19:$F$24,0),MATCH(AO$17,$AK$17:$BB$17,0))*INDEX($10:$13,MATCH($O518,$R$10:$R$13,0),COLUMN())</f>
        <v>3.11398416E-3</v>
      </c>
      <c r="AP518" s="1050" cm="1">
        <f t="array" aca="1" ref="AP518" ca="1">INDEX(OFFSET($AK$19,MATCH($B518,$B$19:$B$150,0)-1,0,COUNTA($B$19:$B$24),COUNTA($AK$17:$BB$17)),MATCH($F518,$F$19:$F$24,0),MATCH(AP$17,$AK$17:$BB$17,0))*INDEX($10:$13,MATCH($O518,$R$10:$R$13,0),COLUMN())</f>
        <v>3.5210717202000002E-4</v>
      </c>
      <c r="AQ518" s="1050" cm="1">
        <f t="array" aca="1" ref="AQ518" ca="1">INDEX(OFFSET($AK$19,MATCH($B518,$B$19:$B$150,0)-1,0,COUNTA($B$19:$B$24),COUNTA($AK$17:$BB$17)),MATCH($F518,$F$19:$F$24,0),MATCH(AQ$17,$AK$17:$BB$17,0))*INDEX($10:$13,MATCH($O518,$R$10:$R$13,0),COLUMN())</f>
        <v>3.3235122500000002E-6</v>
      </c>
      <c r="AR518" s="1050" cm="1">
        <f t="array" aca="1" ref="AR518" ca="1">INDEX(OFFSET($AK$19,MATCH($B518,$B$19:$B$150,0)-1,0,COUNTA($B$19:$B$24),COUNTA($AK$17:$BB$17)),MATCH($F518,$F$19:$F$24,0),MATCH(AR$17,$AK$17:$BB$17,0))*INDEX($10:$13,MATCH($O518,$R$10:$R$13,0),COLUMN())</f>
        <v>3.0984648234000001E-3</v>
      </c>
      <c r="AS518" s="1050" cm="1">
        <f t="array" aca="1" ref="AS518" ca="1">INDEX(OFFSET($AK$19,MATCH($B518,$B$19:$B$150,0)-1,0,COUNTA($B$19:$B$24),COUNTA($AK$17:$BB$17)),MATCH($F518,$F$19:$F$24,0),MATCH(AS$17,$AK$17:$BB$17,0))*INDEX($10:$13,MATCH($O518,$R$10:$R$13,0),COLUMN())</f>
        <v>4.3692654330000001E-5</v>
      </c>
      <c r="AT518" s="1050" cm="1">
        <f t="array" aca="1" ref="AT518" ca="1">INDEX(OFFSET($AK$19,MATCH($B518,$B$19:$B$150,0)-1,0,COUNTA($B$19:$B$24),COUNTA($AK$17:$BB$17)),MATCH($F518,$F$19:$F$24,0),MATCH(AT$17,$AK$17:$BB$17,0))*INDEX($10:$13,MATCH($O518,$R$10:$R$13,0),COLUMN())</f>
        <v>7.4006300349999993E-8</v>
      </c>
      <c r="AU518" s="1050" cm="1">
        <f t="array" aca="1" ref="AU518" ca="1">INDEX(OFFSET($AK$19,MATCH($B518,$B$19:$B$150,0)-1,0,COUNTA($B$19:$B$24),COUNTA($AK$17:$BB$17)),MATCH($F518,$F$19:$F$24,0),MATCH(AU$17,$AK$17:$BB$17,0))*INDEX($10:$13,MATCH($O518,$R$10:$R$13,0),COLUMN())</f>
        <v>1.5298335327999999E-8</v>
      </c>
      <c r="AV518" s="1050" cm="1">
        <f t="array" aca="1" ref="AV518" ca="1">INDEX(OFFSET($AK$19,MATCH($B518,$B$19:$B$150,0)-1,0,COUNTA($B$19:$B$24),COUNTA($AK$17:$BB$17)),MATCH($F518,$F$19:$F$24,0),MATCH(AV$17,$AK$17:$BB$17,0))*INDEX($10:$13,MATCH($O518,$R$10:$R$13,0),COLUMN())</f>
        <v>3.8915031850000003E-4</v>
      </c>
      <c r="AW518" s="1050" cm="1">
        <f t="array" aca="1" ref="AW518" ca="1">INDEX(OFFSET($AK$19,MATCH($B518,$B$19:$B$150,0)-1,0,COUNTA($B$19:$B$24),COUNTA($AK$17:$BB$17)),MATCH($F518,$F$19:$F$24,0),MATCH(AW$17,$AK$17:$BB$17,0))*INDEX($10:$13,MATCH($O518,$R$10:$R$13,0),COLUMN())</f>
        <v>4.4463577349999998E-3</v>
      </c>
      <c r="AX518" s="1050" cm="1">
        <f t="array" aca="1" ref="AX518" ca="1">INDEX(OFFSET($AK$19,MATCH($B518,$B$19:$B$150,0)-1,0,COUNTA($B$19:$B$24),COUNTA($AK$17:$BB$17)),MATCH($F518,$F$19:$F$24,0),MATCH(AX$17,$AK$17:$BB$17,0))*INDEX($10:$13,MATCH($O518,$R$10:$R$13,0),COLUMN())</f>
        <v>2.3579463929999996E-9</v>
      </c>
      <c r="AY518" s="1050" cm="1">
        <f t="array" aca="1" ref="AY518" ca="1">INDEX(OFFSET($AK$19,MATCH($B518,$B$19:$B$150,0)-1,0,COUNTA($B$19:$B$24),COUNTA($AK$17:$BB$17)),MATCH($F518,$F$19:$F$24,0),MATCH(AY$17,$AK$17:$BB$17,0))*INDEX($10:$13,MATCH($O518,$R$10:$R$13,0),COLUMN())</f>
        <v>-6.0770369306249999E-11</v>
      </c>
      <c r="AZ518" s="1050" cm="1">
        <f t="array" aca="1" ref="AZ518" ca="1">INDEX(OFFSET($AK$19,MATCH($B518,$B$19:$B$150,0)-1,0,COUNTA($B$19:$B$24),COUNTA($AK$17:$BB$17)),MATCH($F518,$F$19:$F$24,0),MATCH(AZ$17,$AK$17:$BB$17,0))*INDEX($10:$13,MATCH($O518,$R$10:$R$13,0),COLUMN())</f>
        <v>0</v>
      </c>
      <c r="BA518" s="1050" cm="1">
        <f t="array" aca="1" ref="BA518" ca="1">INDEX(OFFSET($AK$19,MATCH($B518,$B$19:$B$150,0)-1,0,COUNTA($B$19:$B$24),COUNTA($AK$17:$BB$17)),MATCH($F518,$F$19:$F$24,0),MATCH(BA$17,$AK$17:$BB$17,0))*INDEX($10:$13,MATCH($O518,$R$10:$R$13,0),COLUMN())</f>
        <v>0</v>
      </c>
      <c r="BB518" s="1051" cm="1">
        <f t="array" aca="1" ref="BB518" ca="1">INDEX(OFFSET($AK$19,MATCH($B518,$B$19:$B$150,0)-1,0,COUNTA($B$19:$B$24),COUNTA($AK$17:$BB$17)),MATCH($F518,$F$19:$F$24,0),MATCH(BB$17,$AK$17:$BB$17,0))*INDEX($10:$13,MATCH($O518,$R$10:$R$13,0),COLUMN())</f>
        <v>0</v>
      </c>
      <c r="BC518" s="1053">
        <f t="shared" ca="1" si="179"/>
        <v>4.446360032176023E-3</v>
      </c>
      <c r="BE518" s="1"/>
      <c r="BF518" s="1"/>
      <c r="BG518" s="1"/>
      <c r="BH518" s="1"/>
      <c r="BI518" s="1"/>
      <c r="BJ518" s="1"/>
      <c r="BK518" s="1"/>
      <c r="BL518" s="1"/>
      <c r="BM518" s="1"/>
      <c r="BN518" s="1"/>
      <c r="BO518" s="1"/>
      <c r="BP518" s="1"/>
      <c r="BQ518" s="1"/>
      <c r="BR518" s="1"/>
      <c r="BS518" s="1"/>
      <c r="BT518" s="1"/>
      <c r="BU518" s="1"/>
      <c r="BV518" s="1"/>
      <c r="BW518" s="1"/>
      <c r="BX518" s="1"/>
      <c r="BY518" s="1"/>
      <c r="BZ518" s="1"/>
    </row>
    <row r="519" spans="2:78" ht="12" customHeight="1" outlineLevel="1" x14ac:dyDescent="0.25">
      <c r="B519" s="88" t="s">
        <v>113</v>
      </c>
      <c r="C519" s="88" t="s">
        <v>123</v>
      </c>
      <c r="D519" s="89" t="s">
        <v>151</v>
      </c>
      <c r="E519" s="89" t="s">
        <v>113</v>
      </c>
      <c r="F519" s="90" t="s">
        <v>92</v>
      </c>
      <c r="G519" s="18" t="s">
        <v>126</v>
      </c>
      <c r="H519" s="91" t="s">
        <v>127</v>
      </c>
      <c r="I519" s="92" t="s">
        <v>127</v>
      </c>
      <c r="J519" s="142">
        <v>2.11</v>
      </c>
      <c r="K519" s="143">
        <v>1.55</v>
      </c>
      <c r="L519" s="151">
        <f t="shared" ca="1" si="181"/>
        <v>0.42415434965086374</v>
      </c>
      <c r="M519" s="143">
        <f t="shared" ca="1" si="182"/>
        <v>2.2074392419588387</v>
      </c>
      <c r="N519" s="162">
        <f t="shared" ca="1" si="180"/>
        <v>0.65743924195883885</v>
      </c>
      <c r="O519" s="1060" t="s">
        <v>1584</v>
      </c>
      <c r="P519" s="88"/>
      <c r="Q519" s="89"/>
      <c r="R519" s="150"/>
      <c r="S519" s="1070"/>
      <c r="T519" s="1070"/>
      <c r="U519" s="1070"/>
      <c r="V519" s="1070"/>
      <c r="W519" s="1070"/>
      <c r="X519" s="1070"/>
      <c r="Y519" s="1070"/>
      <c r="Z519" s="1070"/>
      <c r="AA519" s="1070"/>
      <c r="AB519" s="1070"/>
      <c r="AC519" s="1070"/>
      <c r="AD519" s="1070"/>
      <c r="AE519" s="1070"/>
      <c r="AF519" s="1070"/>
      <c r="AG519" s="1070"/>
      <c r="AH519" s="1070"/>
      <c r="AI519" s="1070"/>
      <c r="AJ519" s="1071"/>
      <c r="AK519" s="1048" cm="1">
        <f t="array" aca="1" ref="AK519" ca="1">INDEX(OFFSET($AK$19,MATCH($B519,$B$19:$B$150,0)-1,0,COUNTA($B$19:$B$24),COUNTA($AK$17:$BB$17)),MATCH($F519,$F$19:$F$24,0),MATCH(AK$17,$AK$17:$BB$17,0))*INDEX($10:$13,MATCH($O519,$R$10:$R$13,0),COLUMN())</f>
        <v>0.20108057522976872</v>
      </c>
      <c r="AL519" s="1046" cm="1">
        <f t="array" aca="1" ref="AL519" ca="1">INDEX(OFFSET($AK$19,MATCH($B519,$B$19:$B$150,0)-1,0,COUNTA($B$19:$B$24),COUNTA($AK$17:$BB$17)),MATCH($F519,$F$19:$F$24,0),MATCH(AL$17,$AK$17:$BB$17,0))*INDEX($10:$13,MATCH($O519,$R$10:$R$13,0),COLUMN())</f>
        <v>5.0161788820000002E-7</v>
      </c>
      <c r="AM519" s="1046" cm="1">
        <f t="array" aca="1" ref="AM519" ca="1">INDEX(OFFSET($AK$19,MATCH($B519,$B$19:$B$150,0)-1,0,COUNTA($B$19:$B$24),COUNTA($AK$17:$BB$17)),MATCH($F519,$F$19:$F$24,0),MATCH(AM$17,$AK$17:$BB$17,0))*INDEX($10:$13,MATCH($O519,$R$10:$R$13,0),COLUMN())</f>
        <v>8.5973418629999997E-4</v>
      </c>
      <c r="AN519" s="1046" cm="1">
        <f t="array" aca="1" ref="AN519" ca="1">INDEX(OFFSET($AK$19,MATCH($B519,$B$19:$B$150,0)-1,0,COUNTA($B$19:$B$24),COUNTA($AK$17:$BB$17)),MATCH($F519,$F$19:$F$24,0),MATCH(AN$17,$AK$17:$BB$17,0))*INDEX($10:$13,MATCH($O519,$R$10:$R$13,0),COLUMN())</f>
        <v>3.4450260600000001E-3</v>
      </c>
      <c r="AO519" s="1046" cm="1">
        <f t="array" aca="1" ref="AO519" ca="1">INDEX(OFFSET($AK$19,MATCH($B519,$B$19:$B$150,0)-1,0,COUNTA($B$19:$B$24),COUNTA($AK$17:$BB$17)),MATCH($F519,$F$19:$F$24,0),MATCH(AO$17,$AK$17:$BB$17,0))*INDEX($10:$13,MATCH($O519,$R$10:$R$13,0),COLUMN())</f>
        <v>0.23254502319999998</v>
      </c>
      <c r="AP519" s="1046" cm="1">
        <f t="array" aca="1" ref="AP519" ca="1">INDEX(OFFSET($AK$19,MATCH($B519,$B$19:$B$150,0)-1,0,COUNTA($B$19:$B$24),COUNTA($AK$17:$BB$17)),MATCH($F519,$F$19:$F$24,0),MATCH(AP$17,$AK$17:$BB$17,0))*INDEX($10:$13,MATCH($O519,$R$10:$R$13,0),COLUMN())</f>
        <v>2.9540284662000003E-2</v>
      </c>
      <c r="AQ519" s="1046" cm="1">
        <f t="array" aca="1" ref="AQ519" ca="1">INDEX(OFFSET($AK$19,MATCH($B519,$B$19:$B$150,0)-1,0,COUNTA($B$19:$B$24),COUNTA($AK$17:$BB$17)),MATCH($F519,$F$19:$F$24,0),MATCH(AQ$17,$AK$17:$BB$17,0))*INDEX($10:$13,MATCH($O519,$R$10:$R$13,0),COLUMN())</f>
        <v>1.046021875E-4</v>
      </c>
      <c r="AR519" s="1046" cm="1">
        <f t="array" aca="1" ref="AR519" ca="1">INDEX(OFFSET($AK$19,MATCH($B519,$B$19:$B$150,0)-1,0,COUNTA($B$19:$B$24),COUNTA($AK$17:$BB$17)),MATCH($F519,$F$19:$F$24,0),MATCH(AR$17,$AK$17:$BB$17,0))*INDEX($10:$13,MATCH($O519,$R$10:$R$13,0),COLUMN())</f>
        <v>6.2266488689999996E-2</v>
      </c>
      <c r="AS519" s="1046" cm="1">
        <f t="array" aca="1" ref="AS519" ca="1">INDEX(OFFSET($AK$19,MATCH($B519,$B$19:$B$150,0)-1,0,COUNTA($B$19:$B$24),COUNTA($AK$17:$BB$17)),MATCH($F519,$F$19:$F$24,0),MATCH(AS$17,$AK$17:$BB$17,0))*INDEX($10:$13,MATCH($O519,$R$10:$R$13,0),COLUMN())</f>
        <v>2.9366315549999997E-2</v>
      </c>
      <c r="AT519" s="1046" cm="1">
        <f t="array" aca="1" ref="AT519" ca="1">INDEX(OFFSET($AK$19,MATCH($B519,$B$19:$B$150,0)-1,0,COUNTA($B$19:$B$24),COUNTA($AK$17:$BB$17)),MATCH($F519,$F$19:$F$24,0),MATCH(AT$17,$AK$17:$BB$17,0))*INDEX($10:$13,MATCH($O519,$R$10:$R$13,0),COLUMN())</f>
        <v>3.4513857120000002E-5</v>
      </c>
      <c r="AU519" s="1046" cm="1">
        <f t="array" aca="1" ref="AU519" ca="1">INDEX(OFFSET($AK$19,MATCH($B519,$B$19:$B$150,0)-1,0,COUNTA($B$19:$B$24),COUNTA($AK$17:$BB$17)),MATCH($F519,$F$19:$F$24,0),MATCH(AU$17,$AK$17:$BB$17,0))*INDEX($10:$13,MATCH($O519,$R$10:$R$13,0),COLUMN())</f>
        <v>2.0138628704E-6</v>
      </c>
      <c r="AV519" s="1046" cm="1">
        <f t="array" aca="1" ref="AV519" ca="1">INDEX(OFFSET($AK$19,MATCH($B519,$B$19:$B$150,0)-1,0,COUNTA($B$19:$B$24),COUNTA($AK$17:$BB$17)),MATCH($F519,$F$19:$F$24,0),MATCH(AV$17,$AK$17:$BB$17,0))*INDEX($10:$13,MATCH($O519,$R$10:$R$13,0),COLUMN())</f>
        <v>9.8041706499999992E-3</v>
      </c>
      <c r="AW519" s="1046" cm="1">
        <f t="array" aca="1" ref="AW519" ca="1">INDEX(OFFSET($AK$19,MATCH($B519,$B$19:$B$150,0)-1,0,COUNTA($B$19:$B$24),COUNTA($AK$17:$BB$17)),MATCH($F519,$F$19:$F$24,0),MATCH(AW$17,$AK$17:$BB$17,0))*INDEX($10:$13,MATCH($O519,$R$10:$R$13,0),COLUMN())</f>
        <v>8.6830103549999996E-2</v>
      </c>
      <c r="AX519" s="1046" cm="1">
        <f t="array" aca="1" ref="AX519" ca="1">INDEX(OFFSET($AK$19,MATCH($B519,$B$19:$B$150,0)-1,0,COUNTA($B$19:$B$24),COUNTA($AK$17:$BB$17)),MATCH($F519,$F$19:$F$24,0),MATCH(AX$17,$AK$17:$BB$17,0))*INDEX($10:$13,MATCH($O519,$R$10:$R$13,0),COLUMN())</f>
        <v>5.5004476649999995E-7</v>
      </c>
      <c r="AY519" s="1046" cm="1">
        <f t="array" aca="1" ref="AY519" ca="1">INDEX(OFFSET($AK$19,MATCH($B519,$B$19:$B$150,0)-1,0,COUNTA($B$19:$B$24),COUNTA($AK$17:$BB$17)),MATCH($F519,$F$19:$F$24,0),MATCH(AY$17,$AK$17:$BB$17,0))*INDEX($10:$13,MATCH($O519,$R$10:$R$13,0),COLUMN())</f>
        <v>1.5593386106249997E-3</v>
      </c>
      <c r="AZ519" s="1046" cm="1">
        <f t="array" aca="1" ref="AZ519" ca="1">INDEX(OFFSET($AK$19,MATCH($B519,$B$19:$B$150,0)-1,0,COUNTA($B$19:$B$24),COUNTA($AK$17:$BB$17)),MATCH($F519,$F$19:$F$24,0),MATCH(AZ$17,$AK$17:$BB$17,0))*INDEX($10:$13,MATCH($O519,$R$10:$R$13,0),COLUMN())</f>
        <v>0</v>
      </c>
      <c r="BA519" s="1046" cm="1">
        <f t="array" aca="1" ref="BA519" ca="1">INDEX(OFFSET($AK$19,MATCH($B519,$B$19:$B$150,0)-1,0,COUNTA($B$19:$B$24),COUNTA($AK$17:$BB$17)),MATCH($F519,$F$19:$F$24,0),MATCH(BA$17,$AK$17:$BB$17,0))*INDEX($10:$13,MATCH($O519,$R$10:$R$13,0),COLUMN())</f>
        <v>0</v>
      </c>
      <c r="BB519" s="1047" cm="1">
        <f t="array" aca="1" ref="BB519" ca="1">INDEX(OFFSET($AK$19,MATCH($B519,$B$19:$B$150,0)-1,0,COUNTA($B$19:$B$24),COUNTA($AK$17:$BB$17)),MATCH($F519,$F$19:$F$24,0),MATCH(BB$17,$AK$17:$BB$17,0))*INDEX($10:$13,MATCH($O519,$R$10:$R$13,0),COLUMN())</f>
        <v>0</v>
      </c>
      <c r="BC519" s="1049">
        <f t="shared" ca="1" si="179"/>
        <v>8.8389992205391496E-2</v>
      </c>
      <c r="BE519" s="1"/>
      <c r="BF519" s="1"/>
      <c r="BG519" s="1"/>
      <c r="BH519" s="1"/>
      <c r="BI519" s="1"/>
      <c r="BJ519" s="1"/>
      <c r="BK519" s="1"/>
      <c r="BL519" s="1"/>
      <c r="BM519" s="1"/>
      <c r="BN519" s="1"/>
      <c r="BO519" s="1"/>
      <c r="BP519" s="1"/>
      <c r="BQ519" s="1"/>
      <c r="BR519" s="1"/>
      <c r="BS519" s="1"/>
      <c r="BT519" s="1"/>
      <c r="BU519" s="1"/>
      <c r="BV519" s="1"/>
      <c r="BW519" s="1"/>
      <c r="BX519" s="1"/>
      <c r="BY519" s="1"/>
      <c r="BZ519" s="1"/>
    </row>
    <row r="520" spans="2:78" ht="12" customHeight="1" outlineLevel="1" x14ac:dyDescent="0.25">
      <c r="B520" s="104" t="s">
        <v>113</v>
      </c>
      <c r="C520" s="104" t="s">
        <v>123</v>
      </c>
      <c r="D520" s="2" t="s">
        <v>151</v>
      </c>
      <c r="E520" s="2" t="s">
        <v>113</v>
      </c>
      <c r="F520" s="105" t="s">
        <v>122</v>
      </c>
      <c r="G520" s="27" t="s">
        <v>1579</v>
      </c>
      <c r="H520" s="106" t="s">
        <v>128</v>
      </c>
      <c r="I520" s="107" t="s">
        <v>129</v>
      </c>
      <c r="J520" s="147">
        <v>2.11</v>
      </c>
      <c r="K520" s="148">
        <v>3.53</v>
      </c>
      <c r="L520" s="149">
        <f t="shared" ca="1" si="181"/>
        <v>0.14855336030064778</v>
      </c>
      <c r="M520" s="148">
        <f t="shared" ca="1" si="182"/>
        <v>4.0543933618612868</v>
      </c>
      <c r="N520" s="163">
        <f t="shared" ca="1" si="180"/>
        <v>0.5243933618612866</v>
      </c>
      <c r="O520" s="1061" t="s">
        <v>1584</v>
      </c>
      <c r="P520" s="104"/>
      <c r="R520" s="119"/>
      <c r="S520" s="1072"/>
      <c r="T520" s="1072"/>
      <c r="U520" s="1072"/>
      <c r="V520" s="1072"/>
      <c r="W520" s="1072"/>
      <c r="X520" s="1072"/>
      <c r="Y520" s="1072"/>
      <c r="Z520" s="1072"/>
      <c r="AA520" s="1072"/>
      <c r="AB520" s="1072"/>
      <c r="AC520" s="1072"/>
      <c r="AD520" s="1072"/>
      <c r="AE520" s="1072"/>
      <c r="AF520" s="1072"/>
      <c r="AG520" s="1072"/>
      <c r="AH520" s="1072"/>
      <c r="AI520" s="1072"/>
      <c r="AJ520" s="1073"/>
      <c r="AK520" s="1052" cm="1">
        <f t="array" aca="1" ref="AK520" ca="1">INDEX(OFFSET($AK$19,MATCH($B520,$B$19:$B$150,0)-1,0,COUNTA($B$19:$B$24),COUNTA($AK$17:$BB$17)),MATCH($F520,$F$19:$F$24,0),MATCH(AK$17,$AK$17:$BB$17,0))*INDEX($10:$13,MATCH($O520,$R$10:$R$13,0),COLUMN())</f>
        <v>0.11683017109377863</v>
      </c>
      <c r="AL520" s="1050" cm="1">
        <f t="array" aca="1" ref="AL520" ca="1">INDEX(OFFSET($AK$19,MATCH($B520,$B$19:$B$150,0)-1,0,COUNTA($B$19:$B$24),COUNTA($AK$17:$BB$17)),MATCH($F520,$F$19:$F$24,0),MATCH(AL$17,$AK$17:$BB$17,0))*INDEX($10:$13,MATCH($O520,$R$10:$R$13,0),COLUMN())</f>
        <v>5.0485520670000005E-7</v>
      </c>
      <c r="AM520" s="1050" cm="1">
        <f t="array" aca="1" ref="AM520" ca="1">INDEX(OFFSET($AK$19,MATCH($B520,$B$19:$B$150,0)-1,0,COUNTA($B$19:$B$24),COUNTA($AK$17:$BB$17)),MATCH($F520,$F$19:$F$24,0),MATCH(AM$17,$AK$17:$BB$17,0))*INDEX($10:$13,MATCH($O520,$R$10:$R$13,0),COLUMN())</f>
        <v>8.546906214E-4</v>
      </c>
      <c r="AN520" s="1050" cm="1">
        <f t="array" aca="1" ref="AN520" ca="1">INDEX(OFFSET($AK$19,MATCH($B520,$B$19:$B$150,0)-1,0,COUNTA($B$19:$B$24),COUNTA($AK$17:$BB$17)),MATCH($F520,$F$19:$F$24,0),MATCH(AN$17,$AK$17:$BB$17,0))*INDEX($10:$13,MATCH($O520,$R$10:$R$13,0),COLUMN())</f>
        <v>2.8119265440000002E-3</v>
      </c>
      <c r="AO520" s="1050" cm="1">
        <f t="array" aca="1" ref="AO520" ca="1">INDEX(OFFSET($AK$19,MATCH($B520,$B$19:$B$150,0)-1,0,COUNTA($B$19:$B$24),COUNTA($AK$17:$BB$17)),MATCH($F520,$F$19:$F$24,0),MATCH(AO$17,$AK$17:$BB$17,0))*INDEX($10:$13,MATCH($O520,$R$10:$R$13,0),COLUMN())</f>
        <v>0.19950371839999997</v>
      </c>
      <c r="AP520" s="1050" cm="1">
        <f t="array" aca="1" ref="AP520" ca="1">INDEX(OFFSET($AK$19,MATCH($B520,$B$19:$B$150,0)-1,0,COUNTA($B$19:$B$24),COUNTA($AK$17:$BB$17)),MATCH($F520,$F$19:$F$24,0),MATCH(AP$17,$AK$17:$BB$17,0))*INDEX($10:$13,MATCH($O520,$R$10:$R$13,0),COLUMN())</f>
        <v>2.5537640848E-2</v>
      </c>
      <c r="AQ520" s="1050" cm="1">
        <f t="array" aca="1" ref="AQ520" ca="1">INDEX(OFFSET($AK$19,MATCH($B520,$B$19:$B$150,0)-1,0,COUNTA($B$19:$B$24),COUNTA($AK$17:$BB$17)),MATCH($F520,$F$19:$F$24,0),MATCH(AQ$17,$AK$17:$BB$17,0))*INDEX($10:$13,MATCH($O520,$R$10:$R$13,0),COLUMN())</f>
        <v>1.9148495499999999E-5</v>
      </c>
      <c r="AR520" s="1050" cm="1">
        <f t="array" aca="1" ref="AR520" ca="1">INDEX(OFFSET($AK$19,MATCH($B520,$B$19:$B$150,0)-1,0,COUNTA($B$19:$B$24),COUNTA($AK$17:$BB$17)),MATCH($F520,$F$19:$F$24,0),MATCH(AR$17,$AK$17:$BB$17,0))*INDEX($10:$13,MATCH($O520,$R$10:$R$13,0),COLUMN())</f>
        <v>3.9626839390000002E-2</v>
      </c>
      <c r="AS520" s="1050" cm="1">
        <f t="array" aca="1" ref="AS520" ca="1">INDEX(OFFSET($AK$19,MATCH($B520,$B$19:$B$150,0)-1,0,COUNTA($B$19:$B$24),COUNTA($AK$17:$BB$17)),MATCH($F520,$F$19:$F$24,0),MATCH(AS$17,$AK$17:$BB$17,0))*INDEX($10:$13,MATCH($O520,$R$10:$R$13,0),COLUMN())</f>
        <v>4.086234477E-4</v>
      </c>
      <c r="AT520" s="1050" cm="1">
        <f t="array" aca="1" ref="AT520" ca="1">INDEX(OFFSET($AK$19,MATCH($B520,$B$19:$B$150,0)-1,0,COUNTA($B$19:$B$24),COUNTA($AK$17:$BB$17)),MATCH($F520,$F$19:$F$24,0),MATCH(AT$17,$AK$17:$BB$17,0))*INDEX($10:$13,MATCH($O520,$R$10:$R$13,0),COLUMN())</f>
        <v>2.1005793775000001E-6</v>
      </c>
      <c r="AU520" s="1050" cm="1">
        <f t="array" aca="1" ref="AU520" ca="1">INDEX(OFFSET($AK$19,MATCH($B520,$B$19:$B$150,0)-1,0,COUNTA($B$19:$B$24),COUNTA($AK$17:$BB$17)),MATCH($F520,$F$19:$F$24,0),MATCH(AU$17,$AK$17:$BB$17,0))*INDEX($10:$13,MATCH($O520,$R$10:$R$13,0),COLUMN())</f>
        <v>3.7669893535999999E-7</v>
      </c>
      <c r="AV520" s="1050" cm="1">
        <f t="array" aca="1" ref="AV520" ca="1">INDEX(OFFSET($AK$19,MATCH($B520,$B$19:$B$150,0)-1,0,COUNTA($B$19:$B$24),COUNTA($AK$17:$BB$17)),MATCH($F520,$F$19:$F$24,0),MATCH(AV$17,$AK$17:$BB$17,0))*INDEX($10:$13,MATCH($O520,$R$10:$R$13,0),COLUMN())</f>
        <v>1.5802149299999997E-3</v>
      </c>
      <c r="AW520" s="1050" cm="1">
        <f t="array" aca="1" ref="AW520" ca="1">INDEX(OFFSET($AK$19,MATCH($B520,$B$19:$B$150,0)-1,0,COUNTA($B$19:$B$24),COUNTA($AK$17:$BB$17)),MATCH($F520,$F$19:$F$24,0),MATCH(AW$17,$AK$17:$BB$17,0))*INDEX($10:$13,MATCH($O520,$R$10:$R$13,0),COLUMN())</f>
        <v>0.13708420559999998</v>
      </c>
      <c r="AX520" s="1050" cm="1">
        <f t="array" aca="1" ref="AX520" ca="1">INDEX(OFFSET($AK$19,MATCH($B520,$B$19:$B$150,0)-1,0,COUNTA($B$19:$B$24),COUNTA($AK$17:$BB$17)),MATCH($F520,$F$19:$F$24,0),MATCH(AX$17,$AK$17:$BB$17,0))*INDEX($10:$13,MATCH($O520,$R$10:$R$13,0),COLUMN())</f>
        <v>5.2158788849999996E-7</v>
      </c>
      <c r="AY520" s="1050" cm="1">
        <f t="array" aca="1" ref="AY520" ca="1">INDEX(OFFSET($AK$19,MATCH($B520,$B$19:$B$150,0)-1,0,COUNTA($B$19:$B$24),COUNTA($AK$17:$BB$17)),MATCH($F520,$F$19:$F$24,0),MATCH(AY$17,$AK$17:$BB$17,0))*INDEX($10:$13,MATCH($O520,$R$10:$R$13,0),COLUMN())</f>
        <v>1.3267876949999999E-4</v>
      </c>
      <c r="AZ520" s="1050" cm="1">
        <f t="array" aca="1" ref="AZ520" ca="1">INDEX(OFFSET($AK$19,MATCH($B520,$B$19:$B$150,0)-1,0,COUNTA($B$19:$B$24),COUNTA($AK$17:$BB$17)),MATCH($F520,$F$19:$F$24,0),MATCH(AZ$17,$AK$17:$BB$17,0))*INDEX($10:$13,MATCH($O520,$R$10:$R$13,0),COLUMN())</f>
        <v>0</v>
      </c>
      <c r="BA520" s="1050" cm="1">
        <f t="array" aca="1" ref="BA520" ca="1">INDEX(OFFSET($AK$19,MATCH($B520,$B$19:$B$150,0)-1,0,COUNTA($B$19:$B$24),COUNTA($AK$17:$BB$17)),MATCH($F520,$F$19:$F$24,0),MATCH(BA$17,$AK$17:$BB$17,0))*INDEX($10:$13,MATCH($O520,$R$10:$R$13,0),COLUMN())</f>
        <v>0</v>
      </c>
      <c r="BB520" s="1051" cm="1">
        <f t="array" aca="1" ref="BB520" ca="1">INDEX(OFFSET($AK$19,MATCH($B520,$B$19:$B$150,0)-1,0,COUNTA($B$19:$B$24),COUNTA($AK$17:$BB$17)),MATCH($F520,$F$19:$F$24,0),MATCH(BB$17,$AK$17:$BB$17,0))*INDEX($10:$13,MATCH($O520,$R$10:$R$13,0),COLUMN())</f>
        <v>0</v>
      </c>
      <c r="BC520" s="1053">
        <f t="shared" ca="1" si="179"/>
        <v>0.13721740595738846</v>
      </c>
      <c r="BE520" s="1"/>
      <c r="BF520" s="1"/>
      <c r="BG520" s="1"/>
      <c r="BH520" s="1"/>
      <c r="BI520" s="1"/>
      <c r="BJ520" s="1"/>
      <c r="BK520" s="1"/>
      <c r="BL520" s="1"/>
      <c r="BM520" s="1"/>
      <c r="BN520" s="1"/>
      <c r="BO520" s="1"/>
      <c r="BP520" s="1"/>
      <c r="BQ520" s="1"/>
      <c r="BR520" s="1"/>
      <c r="BS520" s="1"/>
      <c r="BT520" s="1"/>
      <c r="BU520" s="1"/>
      <c r="BV520" s="1"/>
      <c r="BW520" s="1"/>
      <c r="BX520" s="1"/>
      <c r="BY520" s="1"/>
      <c r="BZ520" s="1"/>
    </row>
    <row r="521" spans="2:78" ht="12" customHeight="1" outlineLevel="1" x14ac:dyDescent="0.25">
      <c r="B521" s="104" t="s">
        <v>113</v>
      </c>
      <c r="C521" s="104" t="s">
        <v>123</v>
      </c>
      <c r="D521" s="2" t="s">
        <v>151</v>
      </c>
      <c r="E521" s="2" t="s">
        <v>113</v>
      </c>
      <c r="F521" s="105" t="s">
        <v>93</v>
      </c>
      <c r="G521" s="27" t="s">
        <v>1578</v>
      </c>
      <c r="H521" s="106" t="s">
        <v>130</v>
      </c>
      <c r="I521" s="107" t="s">
        <v>129</v>
      </c>
      <c r="J521" s="147">
        <v>2.11</v>
      </c>
      <c r="K521" s="148">
        <v>3.53</v>
      </c>
      <c r="L521" s="149">
        <f t="shared" ca="1" si="181"/>
        <v>0.16590248319881393</v>
      </c>
      <c r="M521" s="148">
        <f t="shared" ca="1" si="182"/>
        <v>4.1156357656918132</v>
      </c>
      <c r="N521" s="163">
        <f t="shared" ca="1" si="180"/>
        <v>0.58563576569181308</v>
      </c>
      <c r="O521" s="1061" t="s">
        <v>1584</v>
      </c>
      <c r="P521" s="104"/>
      <c r="R521" s="119"/>
      <c r="S521" s="1072"/>
      <c r="T521" s="1072"/>
      <c r="U521" s="1072"/>
      <c r="V521" s="1072"/>
      <c r="W521" s="1072"/>
      <c r="X521" s="1072"/>
      <c r="Y521" s="1072"/>
      <c r="Z521" s="1072"/>
      <c r="AA521" s="1072"/>
      <c r="AB521" s="1072"/>
      <c r="AC521" s="1072"/>
      <c r="AD521" s="1072"/>
      <c r="AE521" s="1072"/>
      <c r="AF521" s="1072"/>
      <c r="AG521" s="1072"/>
      <c r="AH521" s="1072"/>
      <c r="AI521" s="1072"/>
      <c r="AJ521" s="1073"/>
      <c r="AK521" s="1052" cm="1">
        <f t="array" aca="1" ref="AK521" ca="1">INDEX(OFFSET($AK$19,MATCH($B521,$B$19:$B$150,0)-1,0,COUNTA($B$19:$B$24),COUNTA($AK$17:$BB$17)),MATCH($F521,$F$19:$F$24,0),MATCH(AK$17,$AK$17:$BB$17,0))*INDEX($10:$13,MATCH($O521,$R$10:$R$13,0),COLUMN())</f>
        <v>0.12668389868723115</v>
      </c>
      <c r="AL521" s="1050" cm="1">
        <f t="array" aca="1" ref="AL521" ca="1">INDEX(OFFSET($AK$19,MATCH($B521,$B$19:$B$150,0)-1,0,COUNTA($B$19:$B$24),COUNTA($AK$17:$BB$17)),MATCH($F521,$F$19:$F$24,0),MATCH(AL$17,$AK$17:$BB$17,0))*INDEX($10:$13,MATCH($O521,$R$10:$R$13,0),COLUMN())</f>
        <v>5.2818708279999998E-7</v>
      </c>
      <c r="AM521" s="1050" cm="1">
        <f t="array" aca="1" ref="AM521" ca="1">INDEX(OFFSET($AK$19,MATCH($B521,$B$19:$B$150,0)-1,0,COUNTA($B$19:$B$24),COUNTA($AK$17:$BB$17)),MATCH($F521,$F$19:$F$24,0),MATCH(AM$17,$AK$17:$BB$17,0))*INDEX($10:$13,MATCH($O521,$R$10:$R$13,0),COLUMN())</f>
        <v>8.9323884540000009E-4</v>
      </c>
      <c r="AN521" s="1050" cm="1">
        <f t="array" aca="1" ref="AN521" ca="1">INDEX(OFFSET($AK$19,MATCH($B521,$B$19:$B$150,0)-1,0,COUNTA($B$19:$B$24),COUNTA($AK$17:$BB$17)),MATCH($F521,$F$19:$F$24,0),MATCH(AN$17,$AK$17:$BB$17,0))*INDEX($10:$13,MATCH($O521,$R$10:$R$13,0),COLUMN())</f>
        <v>3.2376130079999998E-3</v>
      </c>
      <c r="AO521" s="1050" cm="1">
        <f t="array" aca="1" ref="AO521" ca="1">INDEX(OFFSET($AK$19,MATCH($B521,$B$19:$B$150,0)-1,0,COUNTA($B$19:$B$24),COUNTA($AK$17:$BB$17)),MATCH($F521,$F$19:$F$24,0),MATCH(AO$17,$AK$17:$BB$17,0))*INDEX($10:$13,MATCH($O521,$R$10:$R$13,0),COLUMN())</f>
        <v>0.20708159640000001</v>
      </c>
      <c r="AP521" s="1050" cm="1">
        <f t="array" aca="1" ref="AP521" ca="1">INDEX(OFFSET($AK$19,MATCH($B521,$B$19:$B$150,0)-1,0,COUNTA($B$19:$B$24),COUNTA($AK$17:$BB$17)),MATCH($F521,$F$19:$F$24,0),MATCH(AP$17,$AK$17:$BB$17,0))*INDEX($10:$13,MATCH($O521,$R$10:$R$13,0),COLUMN())</f>
        <v>2.6216501182000002E-2</v>
      </c>
      <c r="AQ521" s="1050" cm="1">
        <f t="array" aca="1" ref="AQ521" ca="1">INDEX(OFFSET($AK$19,MATCH($B521,$B$19:$B$150,0)-1,0,COUNTA($B$19:$B$24),COUNTA($AK$17:$BB$17)),MATCH($F521,$F$19:$F$24,0),MATCH(AQ$17,$AK$17:$BB$17,0))*INDEX($10:$13,MATCH($O521,$R$10:$R$13,0),COLUMN())</f>
        <v>2.3360277499999999E-5</v>
      </c>
      <c r="AR521" s="1050" cm="1">
        <f t="array" aca="1" ref="AR521" ca="1">INDEX(OFFSET($AK$19,MATCH($B521,$B$19:$B$150,0)-1,0,COUNTA($B$19:$B$24),COUNTA($AK$17:$BB$17)),MATCH($F521,$F$19:$F$24,0),MATCH(AR$17,$AK$17:$BB$17,0))*INDEX($10:$13,MATCH($O521,$R$10:$R$13,0),COLUMN())</f>
        <v>4.7783367969999997E-2</v>
      </c>
      <c r="AS521" s="1050" cm="1">
        <f t="array" aca="1" ref="AS521" ca="1">INDEX(OFFSET($AK$19,MATCH($B521,$B$19:$B$150,0)-1,0,COUNTA($B$19:$B$24),COUNTA($AK$17:$BB$17)),MATCH($F521,$F$19:$F$24,0),MATCH(AS$17,$AK$17:$BB$17,0))*INDEX($10:$13,MATCH($O521,$R$10:$R$13,0),COLUMN())</f>
        <v>4.4027662769999997E-4</v>
      </c>
      <c r="AT521" s="1050" cm="1">
        <f t="array" aca="1" ref="AT521" ca="1">INDEX(OFFSET($AK$19,MATCH($B521,$B$19:$B$150,0)-1,0,COUNTA($B$19:$B$24),COUNTA($AK$17:$BB$17)),MATCH($F521,$F$19:$F$24,0),MATCH(AT$17,$AK$17:$BB$17,0))*INDEX($10:$13,MATCH($O521,$R$10:$R$13,0),COLUMN())</f>
        <v>2.4679875385E-6</v>
      </c>
      <c r="AU521" s="1050" cm="1">
        <f t="array" aca="1" ref="AU521" ca="1">INDEX(OFFSET($AK$19,MATCH($B521,$B$19:$B$150,0)-1,0,COUNTA($B$19:$B$24),COUNTA($AK$17:$BB$17)),MATCH($F521,$F$19:$F$24,0),MATCH(AU$17,$AK$17:$BB$17,0))*INDEX($10:$13,MATCH($O521,$R$10:$R$13,0),COLUMN())</f>
        <v>4.5269157152000003E-7</v>
      </c>
      <c r="AV521" s="1050" cm="1">
        <f t="array" aca="1" ref="AV521" ca="1">INDEX(OFFSET($AK$19,MATCH($B521,$B$19:$B$150,0)-1,0,COUNTA($B$19:$B$24),COUNTA($AK$17:$BB$17)),MATCH($F521,$F$19:$F$24,0),MATCH(AV$17,$AK$17:$BB$17,0))*INDEX($10:$13,MATCH($O521,$R$10:$R$13,0),COLUMN())</f>
        <v>2.1249468699999999E-3</v>
      </c>
      <c r="AW521" s="1050" cm="1">
        <f t="array" aca="1" ref="AW521" ca="1">INDEX(OFFSET($AK$19,MATCH($B521,$B$19:$B$150,0)-1,0,COUNTA($B$19:$B$24),COUNTA($AK$17:$BB$17)),MATCH($F521,$F$19:$F$24,0),MATCH(AW$17,$AK$17:$BB$17,0))*INDEX($10:$13,MATCH($O521,$R$10:$R$13,0),COLUMN())</f>
        <v>0.17101283535</v>
      </c>
      <c r="AX521" s="1050" cm="1">
        <f t="array" aca="1" ref="AX521" ca="1">INDEX(OFFSET($AK$19,MATCH($B521,$B$19:$B$150,0)-1,0,COUNTA($B$19:$B$24),COUNTA($AK$17:$BB$17)),MATCH($F521,$F$19:$F$24,0),MATCH(AX$17,$AK$17:$BB$17,0))*INDEX($10:$13,MATCH($O521,$R$10:$R$13,0),COLUMN())</f>
        <v>5.3515710149999995E-7</v>
      </c>
      <c r="AY521" s="1050" cm="1">
        <f t="array" aca="1" ref="AY521" ca="1">INDEX(OFFSET($AK$19,MATCH($B521,$B$19:$B$150,0)-1,0,COUNTA($B$19:$B$24),COUNTA($AK$17:$BB$17)),MATCH($F521,$F$19:$F$24,0),MATCH(AY$17,$AK$17:$BB$17,0))*INDEX($10:$13,MATCH($O521,$R$10:$R$13,0),COLUMN())</f>
        <v>1.3414645068749999E-4</v>
      </c>
      <c r="AZ521" s="1050" cm="1">
        <f t="array" aca="1" ref="AZ521" ca="1">INDEX(OFFSET($AK$19,MATCH($B521,$B$19:$B$150,0)-1,0,COUNTA($B$19:$B$24),COUNTA($AK$17:$BB$17)),MATCH($F521,$F$19:$F$24,0),MATCH(AZ$17,$AK$17:$BB$17,0))*INDEX($10:$13,MATCH($O521,$R$10:$R$13,0),COLUMN())</f>
        <v>0</v>
      </c>
      <c r="BA521" s="1050" cm="1">
        <f t="array" aca="1" ref="BA521" ca="1">INDEX(OFFSET($AK$19,MATCH($B521,$B$19:$B$150,0)-1,0,COUNTA($B$19:$B$24),COUNTA($AK$17:$BB$17)),MATCH($F521,$F$19:$F$24,0),MATCH(BA$17,$AK$17:$BB$17,0))*INDEX($10:$13,MATCH($O521,$R$10:$R$13,0),COLUMN())</f>
        <v>0</v>
      </c>
      <c r="BB521" s="1051" cm="1">
        <f t="array" aca="1" ref="BB521" ca="1">INDEX(OFFSET($AK$19,MATCH($B521,$B$19:$B$150,0)-1,0,COUNTA($B$19:$B$24),COUNTA($AK$17:$BB$17)),MATCH($F521,$F$19:$F$24,0),MATCH(BB$17,$AK$17:$BB$17,0))*INDEX($10:$13,MATCH($O521,$R$10:$R$13,0),COLUMN())</f>
        <v>0</v>
      </c>
      <c r="BC521" s="1053">
        <f t="shared" ca="1" si="179"/>
        <v>0.17114751695778899</v>
      </c>
      <c r="BE521" s="1"/>
      <c r="BF521" s="1"/>
      <c r="BG521" s="1"/>
      <c r="BH521" s="1"/>
      <c r="BI521" s="1"/>
      <c r="BJ521" s="1"/>
      <c r="BK521" s="1"/>
      <c r="BL521" s="1"/>
      <c r="BM521" s="1"/>
      <c r="BN521" s="1"/>
      <c r="BO521" s="1"/>
      <c r="BP521" s="1"/>
      <c r="BQ521" s="1"/>
      <c r="BR521" s="1"/>
      <c r="BS521" s="1"/>
      <c r="BT521" s="1"/>
      <c r="BU521" s="1"/>
      <c r="BV521" s="1"/>
      <c r="BW521" s="1"/>
      <c r="BX521" s="1"/>
      <c r="BY521" s="1"/>
      <c r="BZ521" s="1"/>
    </row>
    <row r="522" spans="2:78" ht="12" customHeight="1" outlineLevel="1" x14ac:dyDescent="0.25">
      <c r="B522" s="104" t="s">
        <v>113</v>
      </c>
      <c r="C522" s="104" t="s">
        <v>123</v>
      </c>
      <c r="D522" s="2" t="s">
        <v>151</v>
      </c>
      <c r="E522" s="2" t="s">
        <v>113</v>
      </c>
      <c r="F522" s="105" t="s">
        <v>94</v>
      </c>
      <c r="G522" s="27" t="s">
        <v>1580</v>
      </c>
      <c r="H522" s="106" t="s">
        <v>131</v>
      </c>
      <c r="I522" s="107" t="s">
        <v>129</v>
      </c>
      <c r="J522" s="147">
        <v>2.11</v>
      </c>
      <c r="K522" s="148">
        <v>3.53</v>
      </c>
      <c r="L522" s="149">
        <f t="shared" ca="1" si="181"/>
        <v>0.13686751612911871</v>
      </c>
      <c r="M522" s="148">
        <f t="shared" ca="1" si="182"/>
        <v>4.0131423319357893</v>
      </c>
      <c r="N522" s="163">
        <f t="shared" ca="1" si="180"/>
        <v>0.48314233193578904</v>
      </c>
      <c r="O522" s="1061" t="s">
        <v>1584</v>
      </c>
      <c r="P522" s="104"/>
      <c r="R522" s="119"/>
      <c r="S522" s="1072"/>
      <c r="T522" s="1072"/>
      <c r="U522" s="1072"/>
      <c r="V522" s="1072"/>
      <c r="W522" s="1072"/>
      <c r="X522" s="1072"/>
      <c r="Y522" s="1072"/>
      <c r="Z522" s="1072"/>
      <c r="AA522" s="1072"/>
      <c r="AB522" s="1072"/>
      <c r="AC522" s="1072"/>
      <c r="AD522" s="1072"/>
      <c r="AE522" s="1072"/>
      <c r="AF522" s="1072"/>
      <c r="AG522" s="1072"/>
      <c r="AH522" s="1072"/>
      <c r="AI522" s="1072"/>
      <c r="AJ522" s="1073"/>
      <c r="AK522" s="1052" cm="1">
        <f t="array" aca="1" ref="AK522" ca="1">INDEX(OFFSET($AK$19,MATCH($B522,$B$19:$B$150,0)-1,0,COUNTA($B$19:$B$24),COUNTA($AK$17:$BB$17)),MATCH($F522,$F$19:$F$24,0),MATCH(AK$17,$AK$17:$BB$17,0))*INDEX($10:$13,MATCH($O522,$R$10:$R$13,0),COLUMN())</f>
        <v>0.11014545136146722</v>
      </c>
      <c r="AL522" s="1050" cm="1">
        <f t="array" aca="1" ref="AL522" ca="1">INDEX(OFFSET($AK$19,MATCH($B522,$B$19:$B$150,0)-1,0,COUNTA($B$19:$B$24),COUNTA($AK$17:$BB$17)),MATCH($F522,$F$19:$F$24,0),MATCH(AL$17,$AK$17:$BB$17,0))*INDEX($10:$13,MATCH($O522,$R$10:$R$13,0),COLUMN())</f>
        <v>4.8839786710000002E-7</v>
      </c>
      <c r="AM522" s="1050" cm="1">
        <f t="array" aca="1" ref="AM522" ca="1">INDEX(OFFSET($AK$19,MATCH($B522,$B$19:$B$150,0)-1,0,COUNTA($B$19:$B$24),COUNTA($AK$17:$BB$17)),MATCH($F522,$F$19:$F$24,0),MATCH(AM$17,$AK$17:$BB$17,0))*INDEX($10:$13,MATCH($O522,$R$10:$R$13,0),COLUMN())</f>
        <v>8.274520683000001E-4</v>
      </c>
      <c r="AN522" s="1050" cm="1">
        <f t="array" aca="1" ref="AN522" ca="1">INDEX(OFFSET($AK$19,MATCH($B522,$B$19:$B$150,0)-1,0,COUNTA($B$19:$B$24),COUNTA($AK$17:$BB$17)),MATCH($F522,$F$19:$F$24,0),MATCH(AN$17,$AK$17:$BB$17,0))*INDEX($10:$13,MATCH($O522,$R$10:$R$13,0),COLUMN())</f>
        <v>2.5267263000000001E-3</v>
      </c>
      <c r="AO522" s="1050" cm="1">
        <f t="array" aca="1" ref="AO522" ca="1">INDEX(OFFSET($AK$19,MATCH($B522,$B$19:$B$150,0)-1,0,COUNTA($B$19:$B$24),COUNTA($AK$17:$BB$17)),MATCH($F522,$F$19:$F$24,0),MATCH(AO$17,$AK$17:$BB$17,0))*INDEX($10:$13,MATCH($O522,$R$10:$R$13,0),COLUMN())</f>
        <v>0.19411312480000001</v>
      </c>
      <c r="AP522" s="1050" cm="1">
        <f t="array" aca="1" ref="AP522" ca="1">INDEX(OFFSET($AK$19,MATCH($B522,$B$19:$B$150,0)-1,0,COUNTA($B$19:$B$24),COUNTA($AK$17:$BB$17)),MATCH($F522,$F$19:$F$24,0),MATCH(AP$17,$AK$17:$BB$17,0))*INDEX($10:$13,MATCH($O522,$R$10:$R$13,0),COLUMN())</f>
        <v>2.5038155456000001E-2</v>
      </c>
      <c r="AQ522" s="1050" cm="1">
        <f t="array" aca="1" ref="AQ522" ca="1">INDEX(OFFSET($AK$19,MATCH($B522,$B$19:$B$150,0)-1,0,COUNTA($B$19:$B$24),COUNTA($AK$17:$BB$17)),MATCH($F522,$F$19:$F$24,0),MATCH(AQ$17,$AK$17:$BB$17,0))*INDEX($10:$13,MATCH($O522,$R$10:$R$13,0),COLUMN())</f>
        <v>1.6352955499999999E-5</v>
      </c>
      <c r="AR522" s="1050" cm="1">
        <f t="array" aca="1" ref="AR522" ca="1">INDEX(OFFSET($AK$19,MATCH($B522,$B$19:$B$150,0)-1,0,COUNTA($B$19:$B$24),COUNTA($AK$17:$BB$17)),MATCH($F522,$F$19:$F$24,0),MATCH(AR$17,$AK$17:$BB$17,0))*INDEX($10:$13,MATCH($O522,$R$10:$R$13,0),COLUMN())</f>
        <v>3.4115428010000004E-2</v>
      </c>
      <c r="AS522" s="1050" cm="1">
        <f t="array" aca="1" ref="AS522" ca="1">INDEX(OFFSET($AK$19,MATCH($B522,$B$19:$B$150,0)-1,0,COUNTA($B$19:$B$24),COUNTA($AK$17:$BB$17)),MATCH($F522,$F$19:$F$24,0),MATCH(AS$17,$AK$17:$BB$17,0))*INDEX($10:$13,MATCH($O522,$R$10:$R$13,0),COLUMN())</f>
        <v>3.8659136490000001E-4</v>
      </c>
      <c r="AT522" s="1050" cm="1">
        <f t="array" aca="1" ref="AT522" ca="1">INDEX(OFFSET($AK$19,MATCH($B522,$B$19:$B$150,0)-1,0,COUNTA($B$19:$B$24),COUNTA($AK$17:$BB$17)),MATCH($F522,$F$19:$F$24,0),MATCH(AT$17,$AK$17:$BB$17,0))*INDEX($10:$13,MATCH($O522,$R$10:$R$13,0),COLUMN())</f>
        <v>1.8554149815000002E-6</v>
      </c>
      <c r="AU522" s="1050" cm="1">
        <f t="array" aca="1" ref="AU522" ca="1">INDEX(OFFSET($AK$19,MATCH($B522,$B$19:$B$150,0)-1,0,COUNTA($B$19:$B$24),COUNTA($AK$17:$BB$17)),MATCH($F522,$F$19:$F$24,0),MATCH(AU$17,$AK$17:$BB$17,0))*INDEX($10:$13,MATCH($O522,$R$10:$R$13,0),COLUMN())</f>
        <v>3.2616591967999999E-7</v>
      </c>
      <c r="AV522" s="1050" cm="1">
        <f t="array" aca="1" ref="AV522" ca="1">INDEX(OFFSET($AK$19,MATCH($B522,$B$19:$B$150,0)-1,0,COUNTA($B$19:$B$24),COUNTA($AK$17:$BB$17)),MATCH($F522,$F$19:$F$24,0),MATCH(AV$17,$AK$17:$BB$17,0))*INDEX($10:$13,MATCH($O522,$R$10:$R$13,0),COLUMN())</f>
        <v>1.2195065499999999E-3</v>
      </c>
      <c r="AW522" s="1050" cm="1">
        <f t="array" aca="1" ref="AW522" ca="1">INDEX(OFFSET($AK$19,MATCH($B522,$B$19:$B$150,0)-1,0,COUNTA($B$19:$B$24),COUNTA($AK$17:$BB$17)),MATCH($F522,$F$19:$F$24,0),MATCH(AW$17,$AK$17:$BB$17,0))*INDEX($10:$13,MATCH($O522,$R$10:$R$13,0),COLUMN())</f>
        <v>0.11461904475</v>
      </c>
      <c r="AX522" s="1050" cm="1">
        <f t="array" aca="1" ref="AX522" ca="1">INDEX(OFFSET($AK$19,MATCH($B522,$B$19:$B$150,0)-1,0,COUNTA($B$19:$B$24),COUNTA($AK$17:$BB$17)),MATCH($F522,$F$19:$F$24,0),MATCH(AX$17,$AK$17:$BB$17,0))*INDEX($10:$13,MATCH($O522,$R$10:$R$13,0),COLUMN())</f>
        <v>5.115295409999999E-7</v>
      </c>
      <c r="AY522" s="1050" cm="1">
        <f t="array" aca="1" ref="AY522" ca="1">INDEX(OFFSET($AK$19,MATCH($B522,$B$19:$B$150,0)-1,0,COUNTA($B$19:$B$24),COUNTA($AK$17:$BB$17)),MATCH($F522,$F$19:$F$24,0),MATCH(AY$17,$AK$17:$BB$17,0))*INDEX($10:$13,MATCH($O522,$R$10:$R$13,0),COLUMN())</f>
        <v>1.3131681131249998E-4</v>
      </c>
      <c r="AZ522" s="1050" cm="1">
        <f t="array" aca="1" ref="AZ522" ca="1">INDEX(OFFSET($AK$19,MATCH($B522,$B$19:$B$150,0)-1,0,COUNTA($B$19:$B$24),COUNTA($AK$17:$BB$17)),MATCH($F522,$F$19:$F$24,0),MATCH(AZ$17,$AK$17:$BB$17,0))*INDEX($10:$13,MATCH($O522,$R$10:$R$13,0),COLUMN())</f>
        <v>0</v>
      </c>
      <c r="BA522" s="1050" cm="1">
        <f t="array" aca="1" ref="BA522" ca="1">INDEX(OFFSET($AK$19,MATCH($B522,$B$19:$B$150,0)-1,0,COUNTA($B$19:$B$24),COUNTA($AK$17:$BB$17)),MATCH($F522,$F$19:$F$24,0),MATCH(BA$17,$AK$17:$BB$17,0))*INDEX($10:$13,MATCH($O522,$R$10:$R$13,0),COLUMN())</f>
        <v>0</v>
      </c>
      <c r="BB522" s="1051" cm="1">
        <f t="array" aca="1" ref="BB522" ca="1">INDEX(OFFSET($AK$19,MATCH($B522,$B$19:$B$150,0)-1,0,COUNTA($B$19:$B$24),COUNTA($AK$17:$BB$17)),MATCH($F522,$F$19:$F$24,0),MATCH(BB$17,$AK$17:$BB$17,0))*INDEX($10:$13,MATCH($O522,$R$10:$R$13,0),COLUMN())</f>
        <v>0</v>
      </c>
      <c r="BC522" s="1053">
        <f t="shared" ref="BC522:BC548" ca="1" si="183">SUM(AW522:AY522)</f>
        <v>0.11475087309085349</v>
      </c>
      <c r="BE522" s="1"/>
      <c r="BF522" s="1"/>
      <c r="BG522" s="1"/>
      <c r="BH522" s="1"/>
      <c r="BI522" s="1"/>
      <c r="BJ522" s="1"/>
      <c r="BK522" s="1"/>
      <c r="BL522" s="1"/>
      <c r="BM522" s="1"/>
      <c r="BN522" s="1"/>
      <c r="BO522" s="1"/>
      <c r="BP522" s="1"/>
      <c r="BQ522" s="1"/>
      <c r="BR522" s="1"/>
      <c r="BS522" s="1"/>
      <c r="BT522" s="1"/>
      <c r="BU522" s="1"/>
      <c r="BV522" s="1"/>
      <c r="BW522" s="1"/>
      <c r="BX522" s="1"/>
      <c r="BY522" s="1"/>
      <c r="BZ522" s="1"/>
    </row>
    <row r="523" spans="2:78" ht="12" customHeight="1" outlineLevel="1" x14ac:dyDescent="0.25">
      <c r="B523" s="104" t="s">
        <v>113</v>
      </c>
      <c r="C523" s="104" t="s">
        <v>123</v>
      </c>
      <c r="D523" s="2" t="s">
        <v>151</v>
      </c>
      <c r="E523" s="2" t="s">
        <v>113</v>
      </c>
      <c r="F523" s="105" t="s">
        <v>95</v>
      </c>
      <c r="G523" s="27" t="s">
        <v>1581</v>
      </c>
      <c r="H523" s="106" t="s">
        <v>128</v>
      </c>
      <c r="I523" s="107" t="s">
        <v>127</v>
      </c>
      <c r="J523" s="147">
        <v>2.11</v>
      </c>
      <c r="K523" s="148">
        <v>3.53</v>
      </c>
      <c r="L523" s="149">
        <f t="shared" ca="1" si="181"/>
        <v>0.16636010640252544</v>
      </c>
      <c r="M523" s="148">
        <f t="shared" ca="1" si="182"/>
        <v>4.1172511756009147</v>
      </c>
      <c r="N523" s="163">
        <f t="shared" ca="1" si="180"/>
        <v>0.58725117560091478</v>
      </c>
      <c r="O523" s="1061" t="s">
        <v>1584</v>
      </c>
      <c r="P523" s="104"/>
      <c r="R523" s="119"/>
      <c r="S523" s="1072"/>
      <c r="T523" s="1072"/>
      <c r="U523" s="1072"/>
      <c r="V523" s="1072"/>
      <c r="W523" s="1072"/>
      <c r="X523" s="1072"/>
      <c r="Y523" s="1072"/>
      <c r="Z523" s="1072"/>
      <c r="AA523" s="1072"/>
      <c r="AB523" s="1072"/>
      <c r="AC523" s="1072"/>
      <c r="AD523" s="1072"/>
      <c r="AE523" s="1072"/>
      <c r="AF523" s="1072"/>
      <c r="AG523" s="1072"/>
      <c r="AH523" s="1072"/>
      <c r="AI523" s="1072"/>
      <c r="AJ523" s="1073"/>
      <c r="AK523" s="1052" cm="1">
        <f t="array" aca="1" ref="AK523" ca="1">INDEX(OFFSET($AK$19,MATCH($B523,$B$19:$B$150,0)-1,0,COUNTA($B$19:$B$24),COUNTA($AK$17:$BB$17)),MATCH($F523,$F$19:$F$24,0),MATCH(AK$17,$AK$17:$BB$17,0))*INDEX($10:$13,MATCH($O523,$R$10:$R$13,0),COLUMN())</f>
        <v>0.12182804200886052</v>
      </c>
      <c r="AL523" s="1050" cm="1">
        <f t="array" aca="1" ref="AL523" ca="1">INDEX(OFFSET($AK$19,MATCH($B523,$B$19:$B$150,0)-1,0,COUNTA($B$19:$B$24),COUNTA($AK$17:$BB$17)),MATCH($F523,$F$19:$F$24,0),MATCH(AL$17,$AK$17:$BB$17,0))*INDEX($10:$13,MATCH($O523,$R$10:$R$13,0),COLUMN())</f>
        <v>5.0547150940000004E-7</v>
      </c>
      <c r="AM523" s="1050" cm="1">
        <f t="array" aca="1" ref="AM523" ca="1">INDEX(OFFSET($AK$19,MATCH($B523,$B$19:$B$150,0)-1,0,COUNTA($B$19:$B$24),COUNTA($AK$17:$BB$17)),MATCH($F523,$F$19:$F$24,0),MATCH(AM$17,$AK$17:$BB$17,0))*INDEX($10:$13,MATCH($O523,$R$10:$R$13,0),COLUMN())</f>
        <v>8.5569852059999996E-4</v>
      </c>
      <c r="AN523" s="1050" cm="1">
        <f t="array" aca="1" ref="AN523" ca="1">INDEX(OFFSET($AK$19,MATCH($B523,$B$19:$B$150,0)-1,0,COUNTA($B$19:$B$24),COUNTA($AK$17:$BB$17)),MATCH($F523,$F$19:$F$24,0),MATCH(AN$17,$AK$17:$BB$17,0))*INDEX($10:$13,MATCH($O523,$R$10:$R$13,0),COLUMN())</f>
        <v>2.932691832E-3</v>
      </c>
      <c r="AO523" s="1050" cm="1">
        <f t="array" aca="1" ref="AO523" ca="1">INDEX(OFFSET($AK$19,MATCH($B523,$B$19:$B$150,0)-1,0,COUNTA($B$19:$B$24),COUNTA($AK$17:$BB$17)),MATCH($F523,$F$19:$F$24,0),MATCH(AO$17,$AK$17:$BB$17,0))*INDEX($10:$13,MATCH($O523,$R$10:$R$13,0),COLUMN())</f>
        <v>0.2334989244</v>
      </c>
      <c r="AP523" s="1050" cm="1">
        <f t="array" aca="1" ref="AP523" ca="1">INDEX(OFFSET($AK$19,MATCH($B523,$B$19:$B$150,0)-1,0,COUNTA($B$19:$B$24),COUNTA($AK$17:$BB$17)),MATCH($F523,$F$19:$F$24,0),MATCH(AP$17,$AK$17:$BB$17,0))*INDEX($10:$13,MATCH($O523,$R$10:$R$13,0),COLUMN())</f>
        <v>3.0332642646000003E-2</v>
      </c>
      <c r="AQ523" s="1050" cm="1">
        <f t="array" aca="1" ref="AQ523" ca="1">INDEX(OFFSET($AK$19,MATCH($B523,$B$19:$B$150,0)-1,0,COUNTA($B$19:$B$24),COUNTA($AK$17:$BB$17)),MATCH($F523,$F$19:$F$24,0),MATCH(AQ$17,$AK$17:$BB$17,0))*INDEX($10:$13,MATCH($O523,$R$10:$R$13,0),COLUMN())</f>
        <v>6.8622362499999996E-5</v>
      </c>
      <c r="AR523" s="1050" cm="1">
        <f t="array" aca="1" ref="AR523" ca="1">INDEX(OFFSET($AK$19,MATCH($B523,$B$19:$B$150,0)-1,0,COUNTA($B$19:$B$24),COUNTA($AK$17:$BB$17)),MATCH($F523,$F$19:$F$24,0),MATCH(AR$17,$AK$17:$BB$17,0))*INDEX($10:$13,MATCH($O523,$R$10:$R$13,0),COLUMN())</f>
        <v>5.1691387749999998E-2</v>
      </c>
      <c r="AS523" s="1050" cm="1">
        <f t="array" aca="1" ref="AS523" ca="1">INDEX(OFFSET($AK$19,MATCH($B523,$B$19:$B$150,0)-1,0,COUNTA($B$19:$B$24),COUNTA($AK$17:$BB$17)),MATCH($F523,$F$19:$F$24,0),MATCH(AS$17,$AK$17:$BB$17,0))*INDEX($10:$13,MATCH($O523,$R$10:$R$13,0),COLUMN())</f>
        <v>1.1452521132E-3</v>
      </c>
      <c r="AT523" s="1050" cm="1">
        <f t="array" aca="1" ref="AT523" ca="1">INDEX(OFFSET($AK$19,MATCH($B523,$B$19:$B$150,0)-1,0,COUNTA($B$19:$B$24),COUNTA($AK$17:$BB$17)),MATCH($F523,$F$19:$F$24,0),MATCH(AT$17,$AK$17:$BB$17,0))*INDEX($10:$13,MATCH($O523,$R$10:$R$13,0),COLUMN())</f>
        <v>2.6512810180000003E-6</v>
      </c>
      <c r="AU523" s="1050" cm="1">
        <f t="array" aca="1" ref="AU523" ca="1">INDEX(OFFSET($AK$19,MATCH($B523,$B$19:$B$150,0)-1,0,COUNTA($B$19:$B$24),COUNTA($AK$17:$BB$17)),MATCH($F523,$F$19:$F$24,0),MATCH(AU$17,$AK$17:$BB$17,0))*INDEX($10:$13,MATCH($O523,$R$10:$R$13,0),COLUMN())</f>
        <v>4.611078384E-7</v>
      </c>
      <c r="AV523" s="1050" cm="1">
        <f t="array" aca="1" ref="AV523" ca="1">INDEX(OFFSET($AK$19,MATCH($B523,$B$19:$B$150,0)-1,0,COUNTA($B$19:$B$24),COUNTA($AK$17:$BB$17)),MATCH($F523,$F$19:$F$24,0),MATCH(AV$17,$AK$17:$BB$17,0))*INDEX($10:$13,MATCH($O523,$R$10:$R$13,0),COLUMN())</f>
        <v>7.6768901499999999E-3</v>
      </c>
      <c r="AW523" s="1050" cm="1">
        <f t="array" aca="1" ref="AW523" ca="1">INDEX(OFFSET($AK$19,MATCH($B523,$B$19:$B$150,0)-1,0,COUNTA($B$19:$B$24),COUNTA($AK$17:$BB$17)),MATCH($F523,$F$19:$F$24,0),MATCH(AW$17,$AK$17:$BB$17,0))*INDEX($10:$13,MATCH($O523,$R$10:$R$13,0),COLUMN())</f>
        <v>0.13708420559999998</v>
      </c>
      <c r="AX523" s="1050" cm="1">
        <f t="array" aca="1" ref="AX523" ca="1">INDEX(OFFSET($AK$19,MATCH($B523,$B$19:$B$150,0)-1,0,COUNTA($B$19:$B$24),COUNTA($AK$17:$BB$17)),MATCH($F523,$F$19:$F$24,0),MATCH(AX$17,$AK$17:$BB$17,0))*INDEX($10:$13,MATCH($O523,$R$10:$R$13,0),COLUMN())</f>
        <v>5.2158788849999996E-7</v>
      </c>
      <c r="AY523" s="1050" cm="1">
        <f t="array" aca="1" ref="AY523" ca="1">INDEX(OFFSET($AK$19,MATCH($B523,$B$19:$B$150,0)-1,0,COUNTA($B$19:$B$24),COUNTA($AK$17:$BB$17)),MATCH($F523,$F$19:$F$24,0),MATCH(AY$17,$AK$17:$BB$17,0))*INDEX($10:$13,MATCH($O523,$R$10:$R$13,0),COLUMN())</f>
        <v>1.3267876949999999E-4</v>
      </c>
      <c r="AZ523" s="1050" cm="1">
        <f t="array" aca="1" ref="AZ523" ca="1">INDEX(OFFSET($AK$19,MATCH($B523,$B$19:$B$150,0)-1,0,COUNTA($B$19:$B$24),COUNTA($AK$17:$BB$17)),MATCH($F523,$F$19:$F$24,0),MATCH(AZ$17,$AK$17:$BB$17,0))*INDEX($10:$13,MATCH($O523,$R$10:$R$13,0),COLUMN())</f>
        <v>0</v>
      </c>
      <c r="BA523" s="1050" cm="1">
        <f t="array" aca="1" ref="BA523" ca="1">INDEX(OFFSET($AK$19,MATCH($B523,$B$19:$B$150,0)-1,0,COUNTA($B$19:$B$24),COUNTA($AK$17:$BB$17)),MATCH($F523,$F$19:$F$24,0),MATCH(BA$17,$AK$17:$BB$17,0))*INDEX($10:$13,MATCH($O523,$R$10:$R$13,0),COLUMN())</f>
        <v>0</v>
      </c>
      <c r="BB523" s="1051" cm="1">
        <f t="array" aca="1" ref="BB523" ca="1">INDEX(OFFSET($AK$19,MATCH($B523,$B$19:$B$150,0)-1,0,COUNTA($B$19:$B$24),COUNTA($AK$17:$BB$17)),MATCH($F523,$F$19:$F$24,0),MATCH(BB$17,$AK$17:$BB$17,0))*INDEX($10:$13,MATCH($O523,$R$10:$R$13,0),COLUMN())</f>
        <v>0</v>
      </c>
      <c r="BC523" s="1053">
        <f t="shared" ca="1" si="183"/>
        <v>0.13721740595738846</v>
      </c>
      <c r="BE523" s="1"/>
      <c r="BF523" s="1"/>
      <c r="BG523" s="1"/>
      <c r="BH523" s="1"/>
      <c r="BI523" s="1"/>
      <c r="BJ523" s="1"/>
      <c r="BK523" s="1"/>
      <c r="BL523" s="1"/>
      <c r="BM523" s="1"/>
      <c r="BN523" s="1"/>
      <c r="BO523" s="1"/>
      <c r="BP523" s="1"/>
      <c r="BQ523" s="1"/>
      <c r="BR523" s="1"/>
      <c r="BS523" s="1"/>
      <c r="BT523" s="1"/>
      <c r="BU523" s="1"/>
      <c r="BV523" s="1"/>
      <c r="BW523" s="1"/>
      <c r="BX523" s="1"/>
      <c r="BY523" s="1"/>
      <c r="BZ523" s="1"/>
    </row>
    <row r="524" spans="2:78" ht="12" customHeight="1" outlineLevel="1" x14ac:dyDescent="0.25">
      <c r="B524" s="104" t="s">
        <v>113</v>
      </c>
      <c r="C524" s="104" t="s">
        <v>123</v>
      </c>
      <c r="D524" s="2" t="s">
        <v>151</v>
      </c>
      <c r="E524" s="2" t="s">
        <v>113</v>
      </c>
      <c r="F524" s="105" t="s">
        <v>96</v>
      </c>
      <c r="G524" s="27" t="s">
        <v>1582</v>
      </c>
      <c r="H524" s="106" t="s">
        <v>128</v>
      </c>
      <c r="I524" s="107" t="s">
        <v>1577</v>
      </c>
      <c r="J524" s="147">
        <v>2.11</v>
      </c>
      <c r="K524" s="148">
        <v>3.53</v>
      </c>
      <c r="L524" s="149">
        <f t="shared" ca="1" si="181"/>
        <v>0.17949600497456988</v>
      </c>
      <c r="M524" s="148">
        <f t="shared" ca="1" si="182"/>
        <v>4.1636208975602313</v>
      </c>
      <c r="N524" s="163">
        <f t="shared" ca="1" si="180"/>
        <v>0.63362089756023166</v>
      </c>
      <c r="O524" s="1061" t="s">
        <v>1584</v>
      </c>
      <c r="P524" s="104"/>
      <c r="R524" s="119"/>
      <c r="S524" s="1072"/>
      <c r="T524" s="1072"/>
      <c r="U524" s="1072"/>
      <c r="V524" s="1072"/>
      <c r="W524" s="1072"/>
      <c r="X524" s="1072"/>
      <c r="Y524" s="1072"/>
      <c r="Z524" s="1072"/>
      <c r="AA524" s="1072"/>
      <c r="AB524" s="1072"/>
      <c r="AC524" s="1072"/>
      <c r="AD524" s="1072"/>
      <c r="AE524" s="1072"/>
      <c r="AF524" s="1072"/>
      <c r="AG524" s="1072"/>
      <c r="AH524" s="1072"/>
      <c r="AI524" s="1072"/>
      <c r="AJ524" s="1073"/>
      <c r="AK524" s="1052" cm="1">
        <f t="array" aca="1" ref="AK524" ca="1">INDEX(OFFSET($AK$19,MATCH($B524,$B$19:$B$150,0)-1,0,COUNTA($B$19:$B$24),COUNTA($AK$17:$BB$17)),MATCH($F524,$F$19:$F$24,0),MATCH(AK$17,$AK$17:$BB$17,0))*INDEX($10:$13,MATCH($O524,$R$10:$R$13,0),COLUMN())</f>
        <v>0.12541812717303988</v>
      </c>
      <c r="AL524" s="1050" cm="1">
        <f t="array" aca="1" ref="AL524" ca="1">INDEX(OFFSET($AK$19,MATCH($B524,$B$19:$B$150,0)-1,0,COUNTA($B$19:$B$24),COUNTA($AK$17:$BB$17)),MATCH($F524,$F$19:$F$24,0),MATCH(AL$17,$AK$17:$BB$17,0))*INDEX($10:$13,MATCH($O524,$R$10:$R$13,0),COLUMN())</f>
        <v>5.0587370730000003E-7</v>
      </c>
      <c r="AM524" s="1050" cm="1">
        <f t="array" aca="1" ref="AM524" ca="1">INDEX(OFFSET($AK$19,MATCH($B524,$B$19:$B$150,0)-1,0,COUNTA($B$19:$B$24),COUNTA($AK$17:$BB$17)),MATCH($F524,$F$19:$F$24,0),MATCH(AM$17,$AK$17:$BB$17,0))*INDEX($10:$13,MATCH($O524,$R$10:$R$13,0),COLUMN())</f>
        <v>8.5635631620000006E-4</v>
      </c>
      <c r="AN524" s="1050" cm="1">
        <f t="array" aca="1" ref="AN524" ca="1">INDEX(OFFSET($AK$19,MATCH($B524,$B$19:$B$150,0)-1,0,COUNTA($B$19:$B$24),COUNTA($AK$17:$BB$17)),MATCH($F524,$F$19:$F$24,0),MATCH(AN$17,$AK$17:$BB$17,0))*INDEX($10:$13,MATCH($O524,$R$10:$R$13,0),COLUMN())</f>
        <v>3.0115051679999996E-3</v>
      </c>
      <c r="AO524" s="1050" cm="1">
        <f t="array" aca="1" ref="AO524" ca="1">INDEX(OFFSET($AK$19,MATCH($B524,$B$19:$B$150,0)-1,0,COUNTA($B$19:$B$24),COUNTA($AK$17:$BB$17)),MATCH($F524,$F$19:$F$24,0),MATCH(AO$17,$AK$17:$BB$17,0))*INDEX($10:$13,MATCH($O524,$R$10:$R$13,0),COLUMN())</f>
        <v>0.2582788936</v>
      </c>
      <c r="AP524" s="1050" cm="1">
        <f t="array" aca="1" ref="AP524" ca="1">INDEX(OFFSET($AK$19,MATCH($B524,$B$19:$B$150,0)-1,0,COUNTA($B$19:$B$24),COUNTA($AK$17:$BB$17)),MATCH($F524,$F$19:$F$24,0),MATCH(AP$17,$AK$17:$BB$17,0))*INDEX($10:$13,MATCH($O524,$R$10:$R$13,0),COLUMN())</f>
        <v>3.383504994E-2</v>
      </c>
      <c r="AQ524" s="1050" cm="1">
        <f t="array" aca="1" ref="AQ524" ca="1">INDEX(OFFSET($AK$19,MATCH($B524,$B$19:$B$150,0)-1,0,COUNTA($B$19:$B$24),COUNTA($AK$17:$BB$17)),MATCH($F524,$F$19:$F$24,0),MATCH(AQ$17,$AK$17:$BB$17,0))*INDEX($10:$13,MATCH($O524,$R$10:$R$13,0),COLUMN())</f>
        <v>1.039126425E-4</v>
      </c>
      <c r="AR524" s="1050" cm="1">
        <f t="array" aca="1" ref="AR524" ca="1">INDEX(OFFSET($AK$19,MATCH($B524,$B$19:$B$150,0)-1,0,COUNTA($B$19:$B$24),COUNTA($AK$17:$BB$17)),MATCH($F524,$F$19:$F$24,0),MATCH(AR$17,$AK$17:$BB$17,0))*INDEX($10:$13,MATCH($O524,$R$10:$R$13,0),COLUMN())</f>
        <v>6.0510943449999993E-2</v>
      </c>
      <c r="AS524" s="1050" cm="1">
        <f t="array" aca="1" ref="AS524" ca="1">INDEX(OFFSET($AK$19,MATCH($B524,$B$19:$B$150,0)-1,0,COUNTA($B$19:$B$24),COUNTA($AK$17:$BB$17)),MATCH($F524,$F$19:$F$24,0),MATCH(AS$17,$AK$17:$BB$17,0))*INDEX($10:$13,MATCH($O524,$R$10:$R$13,0),COLUMN())</f>
        <v>1.6698024719999998E-3</v>
      </c>
      <c r="AT524" s="1050" cm="1">
        <f t="array" aca="1" ref="AT524" ca="1">INDEX(OFFSET($AK$19,MATCH($B524,$B$19:$B$150,0)-1,0,COUNTA($B$19:$B$24),COUNTA($AK$17:$BB$17)),MATCH($F524,$F$19:$F$24,0),MATCH(AT$17,$AK$17:$BB$17,0))*INDEX($10:$13,MATCH($O524,$R$10:$R$13,0),COLUMN())</f>
        <v>2.8877219615E-6</v>
      </c>
      <c r="AU524" s="1050" cm="1">
        <f t="array" aca="1" ref="AU524" ca="1">INDEX(OFFSET($AK$19,MATCH($B524,$B$19:$B$150,0)-1,0,COUNTA($B$19:$B$24),COUNTA($AK$17:$BB$17)),MATCH($F524,$F$19:$F$24,0),MATCH(AU$17,$AK$17:$BB$17,0))*INDEX($10:$13,MATCH($O524,$R$10:$R$13,0),COLUMN())</f>
        <v>4.9494543456000003E-7</v>
      </c>
      <c r="AV524" s="1050" cm="1">
        <f t="array" aca="1" ref="AV524" ca="1">INDEX(OFFSET($AK$19,MATCH($B524,$B$19:$B$150,0)-1,0,COUNTA($B$19:$B$24),COUNTA($AK$17:$BB$17)),MATCH($F524,$F$19:$F$24,0),MATCH(AV$17,$AK$17:$BB$17,0))*INDEX($10:$13,MATCH($O524,$R$10:$R$13,0),COLUMN())</f>
        <v>1.27150123E-2</v>
      </c>
      <c r="AW524" s="1050" cm="1">
        <f t="array" aca="1" ref="AW524" ca="1">INDEX(OFFSET($AK$19,MATCH($B524,$B$19:$B$150,0)-1,0,COUNTA($B$19:$B$24),COUNTA($AK$17:$BB$17)),MATCH($F524,$F$19:$F$24,0),MATCH(AW$17,$AK$17:$BB$17,0))*INDEX($10:$13,MATCH($O524,$R$10:$R$13,0),COLUMN())</f>
        <v>0.13708420559999998</v>
      </c>
      <c r="AX524" s="1050" cm="1">
        <f t="array" aca="1" ref="AX524" ca="1">INDEX(OFFSET($AK$19,MATCH($B524,$B$19:$B$150,0)-1,0,COUNTA($B$19:$B$24),COUNTA($AK$17:$BB$17)),MATCH($F524,$F$19:$F$24,0),MATCH(AX$17,$AK$17:$BB$17,0))*INDEX($10:$13,MATCH($O524,$R$10:$R$13,0),COLUMN())</f>
        <v>5.2158788849999996E-7</v>
      </c>
      <c r="AY524" s="1050" cm="1">
        <f t="array" aca="1" ref="AY524" ca="1">INDEX(OFFSET($AK$19,MATCH($B524,$B$19:$B$150,0)-1,0,COUNTA($B$19:$B$24),COUNTA($AK$17:$BB$17)),MATCH($F524,$F$19:$F$24,0),MATCH(AY$17,$AK$17:$BB$17,0))*INDEX($10:$13,MATCH($O524,$R$10:$R$13,0),COLUMN())</f>
        <v>1.3267876949999999E-4</v>
      </c>
      <c r="AZ524" s="1050" cm="1">
        <f t="array" aca="1" ref="AZ524" ca="1">INDEX(OFFSET($AK$19,MATCH($B524,$B$19:$B$150,0)-1,0,COUNTA($B$19:$B$24),COUNTA($AK$17:$BB$17)),MATCH($F524,$F$19:$F$24,0),MATCH(AZ$17,$AK$17:$BB$17,0))*INDEX($10:$13,MATCH($O524,$R$10:$R$13,0),COLUMN())</f>
        <v>0</v>
      </c>
      <c r="BA524" s="1050" cm="1">
        <f t="array" aca="1" ref="BA524" ca="1">INDEX(OFFSET($AK$19,MATCH($B524,$B$19:$B$150,0)-1,0,COUNTA($B$19:$B$24),COUNTA($AK$17:$BB$17)),MATCH($F524,$F$19:$F$24,0),MATCH(BA$17,$AK$17:$BB$17,0))*INDEX($10:$13,MATCH($O524,$R$10:$R$13,0),COLUMN())</f>
        <v>0</v>
      </c>
      <c r="BB524" s="1051" cm="1">
        <f t="array" aca="1" ref="BB524" ca="1">INDEX(OFFSET($AK$19,MATCH($B524,$B$19:$B$150,0)-1,0,COUNTA($B$19:$B$24),COUNTA($AK$17:$BB$17)),MATCH($F524,$F$19:$F$24,0),MATCH(BB$17,$AK$17:$BB$17,0))*INDEX($10:$13,MATCH($O524,$R$10:$R$13,0),COLUMN())</f>
        <v>0</v>
      </c>
      <c r="BC524" s="1053">
        <f t="shared" ca="1" si="183"/>
        <v>0.13721740595738846</v>
      </c>
      <c r="BE524" s="1"/>
      <c r="BF524" s="1"/>
      <c r="BG524" s="1"/>
      <c r="BH524" s="1"/>
      <c r="BI524" s="1"/>
      <c r="BJ524" s="1"/>
      <c r="BK524" s="1"/>
      <c r="BL524" s="1"/>
      <c r="BM524" s="1"/>
      <c r="BN524" s="1"/>
      <c r="BO524" s="1"/>
      <c r="BP524" s="1"/>
      <c r="BQ524" s="1"/>
      <c r="BR524" s="1"/>
      <c r="BS524" s="1"/>
      <c r="BT524" s="1"/>
      <c r="BU524" s="1"/>
      <c r="BV524" s="1"/>
      <c r="BW524" s="1"/>
      <c r="BX524" s="1"/>
      <c r="BY524" s="1"/>
      <c r="BZ524" s="1"/>
    </row>
    <row r="525" spans="2:78" ht="12" customHeight="1" outlineLevel="1" x14ac:dyDescent="0.25">
      <c r="B525" s="88" t="s">
        <v>114</v>
      </c>
      <c r="C525" s="88" t="s">
        <v>123</v>
      </c>
      <c r="D525" s="89" t="s">
        <v>152</v>
      </c>
      <c r="E525" s="89" t="s">
        <v>153</v>
      </c>
      <c r="F525" s="90" t="s">
        <v>92</v>
      </c>
      <c r="G525" s="18" t="s">
        <v>126</v>
      </c>
      <c r="H525" s="91" t="s">
        <v>127</v>
      </c>
      <c r="I525" s="92" t="s">
        <v>127</v>
      </c>
      <c r="J525" s="142">
        <v>1.91</v>
      </c>
      <c r="K525" s="143">
        <v>0.84</v>
      </c>
      <c r="L525" s="151">
        <f t="shared" ca="1" si="181"/>
        <v>0.76097933602265633</v>
      </c>
      <c r="M525" s="143">
        <f t="shared" ca="1" si="182"/>
        <v>1.4792226422590313</v>
      </c>
      <c r="N525" s="162">
        <f t="shared" ca="1" si="180"/>
        <v>0.63922264225903125</v>
      </c>
      <c r="O525" s="1060" t="s">
        <v>1584</v>
      </c>
      <c r="P525" s="88"/>
      <c r="Q525" s="89"/>
      <c r="R525" s="150"/>
      <c r="S525" s="1070"/>
      <c r="T525" s="1070"/>
      <c r="U525" s="1070"/>
      <c r="V525" s="1070"/>
      <c r="W525" s="1070"/>
      <c r="X525" s="1070"/>
      <c r="Y525" s="1070"/>
      <c r="Z525" s="1070"/>
      <c r="AA525" s="1070"/>
      <c r="AB525" s="1070"/>
      <c r="AC525" s="1070"/>
      <c r="AD525" s="1070"/>
      <c r="AE525" s="1070"/>
      <c r="AF525" s="1070"/>
      <c r="AG525" s="1070"/>
      <c r="AH525" s="1070"/>
      <c r="AI525" s="1070"/>
      <c r="AJ525" s="1071"/>
      <c r="AK525" s="1048" cm="1">
        <f t="array" aca="1" ref="AK525" ca="1">INDEX(OFFSET($AK$19,MATCH($B525,$B$19:$B$150,0)-1,0,COUNTA($B$19:$B$24),COUNTA($AK$17:$BB$17)),MATCH($F525,$F$19:$F$24,0),MATCH(AK$17,$AK$17:$BB$17,0))*INDEX($10:$13,MATCH($O525,$R$10:$R$13,0),COLUMN())</f>
        <v>0.21605584771382455</v>
      </c>
      <c r="AL525" s="1046" cm="1">
        <f t="array" aca="1" ref="AL525" ca="1">INDEX(OFFSET($AK$19,MATCH($B525,$B$19:$B$150,0)-1,0,COUNTA($B$19:$B$24),COUNTA($AK$17:$BB$17)),MATCH($F525,$F$19:$F$24,0),MATCH(AL$17,$AK$17:$BB$17,0))*INDEX($10:$13,MATCH($O525,$R$10:$R$13,0),COLUMN())</f>
        <v>4.2622239010000002E-7</v>
      </c>
      <c r="AM525" s="1046" cm="1">
        <f t="array" aca="1" ref="AM525" ca="1">INDEX(OFFSET($AK$19,MATCH($B525,$B$19:$B$150,0)-1,0,COUNTA($B$19:$B$24),COUNTA($AK$17:$BB$17)),MATCH($F525,$F$19:$F$24,0),MATCH(AM$17,$AK$17:$BB$17,0))*INDEX($10:$13,MATCH($O525,$R$10:$R$13,0),COLUMN())</f>
        <v>7.313676084E-4</v>
      </c>
      <c r="AN525" s="1046" cm="1">
        <f t="array" aca="1" ref="AN525" ca="1">INDEX(OFFSET($AK$19,MATCH($B525,$B$19:$B$150,0)-1,0,COUNTA($B$19:$B$24),COUNTA($AK$17:$BB$17)),MATCH($F525,$F$19:$F$24,0),MATCH(AN$17,$AK$17:$BB$17,0))*INDEX($10:$13,MATCH($O525,$R$10:$R$13,0),COLUMN())</f>
        <v>3.4601276639999999E-3</v>
      </c>
      <c r="AO525" s="1046" cm="1">
        <f t="array" aca="1" ref="AO525" ca="1">INDEX(OFFSET($AK$19,MATCH($B525,$B$19:$B$150,0)-1,0,COUNTA($B$19:$B$24),COUNTA($AK$17:$BB$17)),MATCH($F525,$F$19:$F$24,0),MATCH(AO$17,$AK$17:$BB$17,0))*INDEX($10:$13,MATCH($O525,$R$10:$R$13,0),COLUMN())</f>
        <v>0.23793860999999999</v>
      </c>
      <c r="AP525" s="1046" cm="1">
        <f t="array" aca="1" ref="AP525" ca="1">INDEX(OFFSET($AK$19,MATCH($B525,$B$19:$B$150,0)-1,0,COUNTA($B$19:$B$24),COUNTA($AK$17:$BB$17)),MATCH($F525,$F$19:$F$24,0),MATCH(AP$17,$AK$17:$BB$17,0))*INDEX($10:$13,MATCH($O525,$R$10:$R$13,0),COLUMN())</f>
        <v>2.600576349E-2</v>
      </c>
      <c r="AQ525" s="1046" cm="1">
        <f t="array" aca="1" ref="AQ525" ca="1">INDEX(OFFSET($AK$19,MATCH($B525,$B$19:$B$150,0)-1,0,COUNTA($B$19:$B$24),COUNTA($AK$17:$BB$17)),MATCH($F525,$F$19:$F$24,0),MATCH(AQ$17,$AK$17:$BB$17,0))*INDEX($10:$13,MATCH($O525,$R$10:$R$13,0),COLUMN())</f>
        <v>1.0920913499999999E-4</v>
      </c>
      <c r="AR525" s="1046" cm="1">
        <f t="array" aca="1" ref="AR525" ca="1">INDEX(OFFSET($AK$19,MATCH($B525,$B$19:$B$150,0)-1,0,COUNTA($B$19:$B$24),COUNTA($AK$17:$BB$17)),MATCH($F525,$F$19:$F$24,0),MATCH(AR$17,$AK$17:$BB$17,0))*INDEX($10:$13,MATCH($O525,$R$10:$R$13,0),COLUMN())</f>
        <v>4.1943820489999999E-2</v>
      </c>
      <c r="AS525" s="1046" cm="1">
        <f t="array" aca="1" ref="AS525" ca="1">INDEX(OFFSET($AK$19,MATCH($B525,$B$19:$B$150,0)-1,0,COUNTA($B$19:$B$24),COUNTA($AK$17:$BB$17)),MATCH($F525,$F$19:$F$24,0),MATCH(AS$17,$AK$17:$BB$17,0))*INDEX($10:$13,MATCH($O525,$R$10:$R$13,0),COLUMN())</f>
        <v>3.1674421349999995E-2</v>
      </c>
      <c r="AT525" s="1046" cm="1">
        <f t="array" aca="1" ref="AT525" ca="1">INDEX(OFFSET($AK$19,MATCH($B525,$B$19:$B$150,0)-1,0,COUNTA($B$19:$B$24),COUNTA($AK$17:$BB$17)),MATCH($F525,$F$19:$F$24,0),MATCH(AT$17,$AK$17:$BB$17,0))*INDEX($10:$13,MATCH($O525,$R$10:$R$13,0),COLUMN())</f>
        <v>3.7512497660000004E-5</v>
      </c>
      <c r="AU525" s="1046" cm="1">
        <f t="array" aca="1" ref="AU525" ca="1">INDEX(OFFSET($AK$19,MATCH($B525,$B$19:$B$150,0)-1,0,COUNTA($B$19:$B$24),COUNTA($AK$17:$BB$17)),MATCH($F525,$F$19:$F$24,0),MATCH(AU$17,$AK$17:$BB$17,0))*INDEX($10:$13,MATCH($O525,$R$10:$R$13,0),COLUMN())</f>
        <v>2.0336229151999998E-6</v>
      </c>
      <c r="AV525" s="1046" cm="1">
        <f t="array" aca="1" ref="AV525" ca="1">INDEX(OFFSET($AK$19,MATCH($B525,$B$19:$B$150,0)-1,0,COUNTA($B$19:$B$24),COUNTA($AK$17:$BB$17)),MATCH($F525,$F$19:$F$24,0),MATCH(AV$17,$AK$17:$BB$17,0))*INDEX($10:$13,MATCH($O525,$R$10:$R$13,0),COLUMN())</f>
        <v>7.0222318249999992E-3</v>
      </c>
      <c r="AW525" s="1046" cm="1">
        <f t="array" aca="1" ref="AW525" ca="1">INDEX(OFFSET($AK$19,MATCH($B525,$B$19:$B$150,0)-1,0,COUNTA($B$19:$B$24),COUNTA($AK$17:$BB$17)),MATCH($F525,$F$19:$F$24,0),MATCH(AW$17,$AK$17:$BB$17,0))*INDEX($10:$13,MATCH($O525,$R$10:$R$13,0),COLUMN())</f>
        <v>7.0933872750000002E-2</v>
      </c>
      <c r="AX525" s="1046" cm="1">
        <f t="array" aca="1" ref="AX525" ca="1">INDEX(OFFSET($AK$19,MATCH($B525,$B$19:$B$150,0)-1,0,COUNTA($B$19:$B$24),COUNTA($AK$17:$BB$17)),MATCH($F525,$F$19:$F$24,0),MATCH(AX$17,$AK$17:$BB$17,0))*INDEX($10:$13,MATCH($O525,$R$10:$R$13,0),COLUMN())</f>
        <v>4.7071171649999999E-7</v>
      </c>
      <c r="AY525" s="1046" cm="1">
        <f t="array" aca="1" ref="AY525" ca="1">INDEX(OFFSET($AK$19,MATCH($B525,$B$19:$B$150,0)-1,0,COUNTA($B$19:$B$24),COUNTA($AK$17:$BB$17)),MATCH($F525,$F$19:$F$24,0),MATCH(AY$17,$AK$17:$BB$17,0))*INDEX($10:$13,MATCH($O525,$R$10:$R$13,0),COLUMN())</f>
        <v>3.3069271781249994E-3</v>
      </c>
      <c r="AZ525" s="1046" cm="1">
        <f t="array" aca="1" ref="AZ525" ca="1">INDEX(OFFSET($AK$19,MATCH($B525,$B$19:$B$150,0)-1,0,COUNTA($B$19:$B$24),COUNTA($AK$17:$BB$17)),MATCH($F525,$F$19:$F$24,0),MATCH(AZ$17,$AK$17:$BB$17,0))*INDEX($10:$13,MATCH($O525,$R$10:$R$13,0),COLUMN())</f>
        <v>0</v>
      </c>
      <c r="BA525" s="1046" cm="1">
        <f t="array" aca="1" ref="BA525" ca="1">INDEX(OFFSET($AK$19,MATCH($B525,$B$19:$B$150,0)-1,0,COUNTA($B$19:$B$24),COUNTA($AK$17:$BB$17)),MATCH($F525,$F$19:$F$24,0),MATCH(BA$17,$AK$17:$BB$17,0))*INDEX($10:$13,MATCH($O525,$R$10:$R$13,0),COLUMN())</f>
        <v>0</v>
      </c>
      <c r="BB525" s="1047" cm="1">
        <f t="array" aca="1" ref="BB525" ca="1">INDEX(OFFSET($AK$19,MATCH($B525,$B$19:$B$150,0)-1,0,COUNTA($B$19:$B$24),COUNTA($AK$17:$BB$17)),MATCH($F525,$F$19:$F$24,0),MATCH(BB$17,$AK$17:$BB$17,0))*INDEX($10:$13,MATCH($O525,$R$10:$R$13,0),COLUMN())</f>
        <v>0</v>
      </c>
      <c r="BC525" s="1049">
        <f t="shared" ca="1" si="183"/>
        <v>7.4241270639841497E-2</v>
      </c>
      <c r="BE525" s="1"/>
      <c r="BF525" s="1"/>
      <c r="BG525" s="1"/>
      <c r="BH525" s="1"/>
      <c r="BI525" s="1"/>
      <c r="BJ525" s="1"/>
      <c r="BK525" s="1"/>
      <c r="BL525" s="1"/>
      <c r="BM525" s="1"/>
      <c r="BN525" s="1"/>
      <c r="BO525" s="1"/>
      <c r="BP525" s="1"/>
      <c r="BQ525" s="1"/>
      <c r="BR525" s="1"/>
      <c r="BS525" s="1"/>
      <c r="BT525" s="1"/>
      <c r="BU525" s="1"/>
      <c r="BV525" s="1"/>
      <c r="BW525" s="1"/>
      <c r="BX525" s="1"/>
      <c r="BY525" s="1"/>
      <c r="BZ525" s="1"/>
    </row>
    <row r="526" spans="2:78" ht="12" customHeight="1" outlineLevel="1" x14ac:dyDescent="0.25">
      <c r="B526" s="104" t="s">
        <v>114</v>
      </c>
      <c r="C526" s="104" t="s">
        <v>123</v>
      </c>
      <c r="D526" s="2" t="s">
        <v>152</v>
      </c>
      <c r="E526" s="2" t="s">
        <v>153</v>
      </c>
      <c r="F526" s="105" t="s">
        <v>122</v>
      </c>
      <c r="G526" s="27" t="s">
        <v>1579</v>
      </c>
      <c r="H526" s="106" t="s">
        <v>128</v>
      </c>
      <c r="I526" s="107" t="s">
        <v>129</v>
      </c>
      <c r="J526" s="147">
        <v>1.91</v>
      </c>
      <c r="K526" s="148">
        <v>1.2788316801138424</v>
      </c>
      <c r="L526" s="149">
        <f t="shared" ca="1" si="181"/>
        <v>0.46942879533389625</v>
      </c>
      <c r="M526" s="148">
        <f t="shared" ca="1" si="182"/>
        <v>1.879152095144506</v>
      </c>
      <c r="N526" s="163">
        <f t="shared" ca="1" si="180"/>
        <v>0.60032041503066358</v>
      </c>
      <c r="O526" s="1061" t="s">
        <v>1584</v>
      </c>
      <c r="P526" s="104"/>
      <c r="R526" s="119"/>
      <c r="S526" s="1072"/>
      <c r="T526" s="1072"/>
      <c r="U526" s="1072"/>
      <c r="V526" s="1072"/>
      <c r="W526" s="1072"/>
      <c r="X526" s="1072"/>
      <c r="Y526" s="1072"/>
      <c r="Z526" s="1072"/>
      <c r="AA526" s="1072"/>
      <c r="AB526" s="1072"/>
      <c r="AC526" s="1072"/>
      <c r="AD526" s="1072"/>
      <c r="AE526" s="1072"/>
      <c r="AF526" s="1072"/>
      <c r="AG526" s="1072"/>
      <c r="AH526" s="1072"/>
      <c r="AI526" s="1072"/>
      <c r="AJ526" s="1073"/>
      <c r="AK526" s="1052" cm="1">
        <f t="array" aca="1" ref="AK526" ca="1">INDEX(OFFSET($AK$19,MATCH($B526,$B$19:$B$150,0)-1,0,COUNTA($B$19:$B$24),COUNTA($AK$17:$BB$17)),MATCH($F526,$F$19:$F$24,0),MATCH(AK$17,$AK$17:$BB$17,0))*INDEX($10:$13,MATCH($O526,$R$10:$R$13,0),COLUMN())</f>
        <v>9.1238474902990543E-2</v>
      </c>
      <c r="AL526" s="1050" cm="1">
        <f t="array" aca="1" ref="AL526" ca="1">INDEX(OFFSET($AK$19,MATCH($B526,$B$19:$B$150,0)-1,0,COUNTA($B$19:$B$24),COUNTA($AK$17:$BB$17)),MATCH($F526,$F$19:$F$24,0),MATCH(AL$17,$AK$17:$BB$17,0))*INDEX($10:$13,MATCH($O526,$R$10:$R$13,0),COLUMN())</f>
        <v>5.4173880280000004E-7</v>
      </c>
      <c r="AM526" s="1050" cm="1">
        <f t="array" aca="1" ref="AM526" ca="1">INDEX(OFFSET($AK$19,MATCH($B526,$B$19:$B$150,0)-1,0,COUNTA($B$19:$B$24),COUNTA($AK$17:$BB$17)),MATCH($F526,$F$19:$F$24,0),MATCH(AM$17,$AK$17:$BB$17,0))*INDEX($10:$13,MATCH($O526,$R$10:$R$13,0),COLUMN())</f>
        <v>9.1675667160000002E-4</v>
      </c>
      <c r="AN526" s="1050" cm="1">
        <f t="array" aca="1" ref="AN526" ca="1">INDEX(OFFSET($AK$19,MATCH($B526,$B$19:$B$150,0)-1,0,COUNTA($B$19:$B$24),COUNTA($AK$17:$BB$17)),MATCH($F526,$F$19:$F$24,0),MATCH(AN$17,$AK$17:$BB$17,0))*INDEX($10:$13,MATCH($O526,$R$10:$R$13,0),COLUMN())</f>
        <v>2.9363979960000002E-3</v>
      </c>
      <c r="AO526" s="1050" cm="1">
        <f t="array" aca="1" ref="AO526" ca="1">INDEX(OFFSET($AK$19,MATCH($B526,$B$19:$B$150,0)-1,0,COUNTA($B$19:$B$24),COUNTA($AK$17:$BB$17)),MATCH($F526,$F$19:$F$24,0),MATCH(AO$17,$AK$17:$BB$17,0))*INDEX($10:$13,MATCH($O526,$R$10:$R$13,0),COLUMN())</f>
        <v>0.28502165999999995</v>
      </c>
      <c r="AP526" s="1050" cm="1">
        <f t="array" aca="1" ref="AP526" ca="1">INDEX(OFFSET($AK$19,MATCH($B526,$B$19:$B$150,0)-1,0,COUNTA($B$19:$B$24),COUNTA($AK$17:$BB$17)),MATCH($F526,$F$19:$F$24,0),MATCH(AP$17,$AK$17:$BB$17,0))*INDEX($10:$13,MATCH($O526,$R$10:$R$13,0),COLUMN())</f>
        <v>3.1507909168000003E-2</v>
      </c>
      <c r="AQ526" s="1050" cm="1">
        <f t="array" aca="1" ref="AQ526" ca="1">INDEX(OFFSET($AK$19,MATCH($B526,$B$19:$B$150,0)-1,0,COUNTA($B$19:$B$24),COUNTA($AK$17:$BB$17)),MATCH($F526,$F$19:$F$24,0),MATCH(AQ$17,$AK$17:$BB$17,0))*INDEX($10:$13,MATCH($O526,$R$10:$R$13,0),COLUMN())</f>
        <v>2.1330576500000001E-5</v>
      </c>
      <c r="AR526" s="1050" cm="1">
        <f t="array" aca="1" ref="AR526" ca="1">INDEX(OFFSET($AK$19,MATCH($B526,$B$19:$B$150,0)-1,0,COUNTA($B$19:$B$24),COUNTA($AK$17:$BB$17)),MATCH($F526,$F$19:$F$24,0),MATCH(AR$17,$AK$17:$BB$17,0))*INDEX($10:$13,MATCH($O526,$R$10:$R$13,0),COLUMN())</f>
        <v>3.7284586430000002E-2</v>
      </c>
      <c r="AS526" s="1050" cm="1">
        <f t="array" aca="1" ref="AS526" ca="1">INDEX(OFFSET($AK$19,MATCH($B526,$B$19:$B$150,0)-1,0,COUNTA($B$19:$B$24),COUNTA($AK$17:$BB$17)),MATCH($F526,$F$19:$F$24,0),MATCH(AS$17,$AK$17:$BB$17,0))*INDEX($10:$13,MATCH($O526,$R$10:$R$13,0),COLUMN())</f>
        <v>1.9734186419999999E-5</v>
      </c>
      <c r="AT526" s="1050" cm="1">
        <f t="array" aca="1" ref="AT526" ca="1">INDEX(OFFSET($AK$19,MATCH($B526,$B$19:$B$150,0)-1,0,COUNTA($B$19:$B$24),COUNTA($AK$17:$BB$17)),MATCH($F526,$F$19:$F$24,0),MATCH(AT$17,$AK$17:$BB$17,0))*INDEX($10:$13,MATCH($O526,$R$10:$R$13,0),COLUMN())</f>
        <v>1.7523056789999999E-6</v>
      </c>
      <c r="AU526" s="1050" cm="1">
        <f t="array" aca="1" ref="AU526" ca="1">INDEX(OFFSET($AK$19,MATCH($B526,$B$19:$B$150,0)-1,0,COUNTA($B$19:$B$24),COUNTA($AK$17:$BB$17)),MATCH($F526,$F$19:$F$24,0),MATCH(AU$17,$AK$17:$BB$17,0))*INDEX($10:$13,MATCH($O526,$R$10:$R$13,0),COLUMN())</f>
        <v>3.8889143872000004E-7</v>
      </c>
      <c r="AV526" s="1050" cm="1">
        <f t="array" aca="1" ref="AV526" ca="1">INDEX(OFFSET($AK$19,MATCH($B526,$B$19:$B$150,0)-1,0,COUNTA($B$19:$B$24),COUNTA($AK$17:$BB$17)),MATCH($F526,$F$19:$F$24,0),MATCH(AV$17,$AK$17:$BB$17,0))*INDEX($10:$13,MATCH($O526,$R$10:$R$13,0),COLUMN())</f>
        <v>9.5465230500000004E-4</v>
      </c>
      <c r="AW526" s="1050" cm="1">
        <f t="array" aca="1" ref="AW526" ca="1">INDEX(OFFSET($AK$19,MATCH($B526,$B$19:$B$150,0)-1,0,COUNTA($B$19:$B$24),COUNTA($AK$17:$BB$17)),MATCH($F526,$F$19:$F$24,0),MATCH(AW$17,$AK$17:$BB$17,0))*INDEX($10:$13,MATCH($O526,$R$10:$R$13,0),COLUMN())</f>
        <v>0.15041471309999999</v>
      </c>
      <c r="AX526" s="1050" cm="1">
        <f t="array" aca="1" ref="AX526" ca="1">INDEX(OFFSET($AK$19,MATCH($B526,$B$19:$B$150,0)-1,0,COUNTA($B$19:$B$24),COUNTA($AK$17:$BB$17)),MATCH($F526,$F$19:$F$24,0),MATCH(AX$17,$AK$17:$BB$17,0))*INDEX($10:$13,MATCH($O526,$R$10:$R$13,0),COLUMN())</f>
        <v>5.1562644749999994E-7</v>
      </c>
      <c r="AY526" s="1050" cm="1">
        <f t="array" aca="1" ref="AY526" ca="1">INDEX(OFFSET($AK$19,MATCH($B526,$B$19:$B$150,0)-1,0,COUNTA($B$19:$B$24),COUNTA($AK$17:$BB$17)),MATCH($F526,$F$19:$F$24,0),MATCH(AY$17,$AK$17:$BB$17,0))*INDEX($10:$13,MATCH($O526,$R$10:$R$13,0),COLUMN())</f>
        <v>1.0011317849999998E-6</v>
      </c>
      <c r="AZ526" s="1050" cm="1">
        <f t="array" aca="1" ref="AZ526" ca="1">INDEX(OFFSET($AK$19,MATCH($B526,$B$19:$B$150,0)-1,0,COUNTA($B$19:$B$24),COUNTA($AK$17:$BB$17)),MATCH($F526,$F$19:$F$24,0),MATCH(AZ$17,$AK$17:$BB$17,0))*INDEX($10:$13,MATCH($O526,$R$10:$R$13,0),COLUMN())</f>
        <v>0</v>
      </c>
      <c r="BA526" s="1050" cm="1">
        <f t="array" aca="1" ref="BA526" ca="1">INDEX(OFFSET($AK$19,MATCH($B526,$B$19:$B$150,0)-1,0,COUNTA($B$19:$B$24),COUNTA($AK$17:$BB$17)),MATCH($F526,$F$19:$F$24,0),MATCH(BA$17,$AK$17:$BB$17,0))*INDEX($10:$13,MATCH($O526,$R$10:$R$13,0),COLUMN())</f>
        <v>0</v>
      </c>
      <c r="BB526" s="1051" cm="1">
        <f t="array" aca="1" ref="BB526" ca="1">INDEX(OFFSET($AK$19,MATCH($B526,$B$19:$B$150,0)-1,0,COUNTA($B$19:$B$24),COUNTA($AK$17:$BB$17)),MATCH($F526,$F$19:$F$24,0),MATCH(BB$17,$AK$17:$BB$17,0))*INDEX($10:$13,MATCH($O526,$R$10:$R$13,0),COLUMN())</f>
        <v>0</v>
      </c>
      <c r="BC526" s="1053">
        <f t="shared" ca="1" si="183"/>
        <v>0.1504162298582325</v>
      </c>
      <c r="BE526" s="1"/>
      <c r="BF526" s="1"/>
      <c r="BG526" s="1"/>
      <c r="BH526" s="1"/>
      <c r="BI526" s="1"/>
      <c r="BJ526" s="1"/>
      <c r="BK526" s="1"/>
      <c r="BL526" s="1"/>
      <c r="BM526" s="1"/>
      <c r="BN526" s="1"/>
      <c r="BO526" s="1"/>
      <c r="BP526" s="1"/>
      <c r="BQ526" s="1"/>
      <c r="BR526" s="1"/>
      <c r="BS526" s="1"/>
      <c r="BT526" s="1"/>
      <c r="BU526" s="1"/>
      <c r="BV526" s="1"/>
      <c r="BW526" s="1"/>
      <c r="BX526" s="1"/>
      <c r="BY526" s="1"/>
      <c r="BZ526" s="1"/>
    </row>
    <row r="527" spans="2:78" ht="12" customHeight="1" outlineLevel="1" x14ac:dyDescent="0.25">
      <c r="B527" s="104" t="s">
        <v>114</v>
      </c>
      <c r="C527" s="104" t="s">
        <v>123</v>
      </c>
      <c r="D527" s="2" t="s">
        <v>152</v>
      </c>
      <c r="E527" s="2" t="s">
        <v>153</v>
      </c>
      <c r="F527" s="105" t="s">
        <v>93</v>
      </c>
      <c r="G527" s="27" t="s">
        <v>1578</v>
      </c>
      <c r="H527" s="106" t="s">
        <v>130</v>
      </c>
      <c r="I527" s="107" t="s">
        <v>129</v>
      </c>
      <c r="J527" s="147">
        <v>1.91</v>
      </c>
      <c r="K527" s="148">
        <v>1.2788316801138424</v>
      </c>
      <c r="L527" s="149">
        <f t="shared" ca="1" si="181"/>
        <v>0.44526736773268177</v>
      </c>
      <c r="M527" s="148">
        <f t="shared" ca="1" si="182"/>
        <v>1.8482536960912959</v>
      </c>
      <c r="N527" s="163">
        <f t="shared" ca="1" si="180"/>
        <v>0.56942201597745357</v>
      </c>
      <c r="O527" s="1061" t="s">
        <v>1584</v>
      </c>
      <c r="P527" s="104"/>
      <c r="R527" s="119"/>
      <c r="S527" s="1072"/>
      <c r="T527" s="1072"/>
      <c r="U527" s="1072"/>
      <c r="V527" s="1072"/>
      <c r="W527" s="1072"/>
      <c r="X527" s="1072"/>
      <c r="Y527" s="1072"/>
      <c r="Z527" s="1072"/>
      <c r="AA527" s="1072"/>
      <c r="AB527" s="1072"/>
      <c r="AC527" s="1072"/>
      <c r="AD527" s="1072"/>
      <c r="AE527" s="1072"/>
      <c r="AF527" s="1072"/>
      <c r="AG527" s="1072"/>
      <c r="AH527" s="1072"/>
      <c r="AI527" s="1072"/>
      <c r="AJ527" s="1073"/>
      <c r="AK527" s="1052" cm="1">
        <f t="array" aca="1" ref="AK527" ca="1">INDEX(OFFSET($AK$19,MATCH($B527,$B$19:$B$150,0)-1,0,COUNTA($B$19:$B$24),COUNTA($AK$17:$BB$17)),MATCH($F527,$F$19:$F$24,0),MATCH(AK$17,$AK$17:$BB$17,0))*INDEX($10:$13,MATCH($O527,$R$10:$R$13,0),COLUMN())</f>
        <v>8.7422077384534627E-2</v>
      </c>
      <c r="AL527" s="1050" cm="1">
        <f t="array" aca="1" ref="AL527" ca="1">INDEX(OFFSET($AK$19,MATCH($B527,$B$19:$B$150,0)-1,0,COUNTA($B$19:$B$24),COUNTA($AK$17:$BB$17)),MATCH($F527,$F$19:$F$24,0),MATCH(AL$17,$AK$17:$BB$17,0))*INDEX($10:$13,MATCH($O527,$R$10:$R$13,0),COLUMN())</f>
        <v>4.7852911210000007E-7</v>
      </c>
      <c r="AM527" s="1050" cm="1">
        <f t="array" aca="1" ref="AM527" ca="1">INDEX(OFFSET($AK$19,MATCH($B527,$B$19:$B$150,0)-1,0,COUNTA($B$19:$B$24),COUNTA($AK$17:$BB$17)),MATCH($F527,$F$19:$F$24,0),MATCH(AM$17,$AK$17:$BB$17,0))*INDEX($10:$13,MATCH($O527,$R$10:$R$13,0),COLUMN())</f>
        <v>8.0865419579999992E-4</v>
      </c>
      <c r="AN527" s="1050" cm="1">
        <f t="array" aca="1" ref="AN527" ca="1">INDEX(OFFSET($AK$19,MATCH($B527,$B$19:$B$150,0)-1,0,COUNTA($B$19:$B$24),COUNTA($AK$17:$BB$17)),MATCH($F527,$F$19:$F$24,0),MATCH(AN$17,$AK$17:$BB$17,0))*INDEX($10:$13,MATCH($O527,$R$10:$R$13,0),COLUMN())</f>
        <v>2.91620616E-3</v>
      </c>
      <c r="AO527" s="1050" cm="1">
        <f t="array" aca="1" ref="AO527" ca="1">INDEX(OFFSET($AK$19,MATCH($B527,$B$19:$B$150,0)-1,0,COUNTA($B$19:$B$24),COUNTA($AK$17:$BB$17)),MATCH($F527,$F$19:$F$24,0),MATCH(AO$17,$AK$17:$BB$17,0))*INDEX($10:$13,MATCH($O527,$R$10:$R$13,0),COLUMN())</f>
        <v>0.24686001200000002</v>
      </c>
      <c r="AP527" s="1050" cm="1">
        <f t="array" aca="1" ref="AP527" ca="1">INDEX(OFFSET($AK$19,MATCH($B527,$B$19:$B$150,0)-1,0,COUNTA($B$19:$B$24),COUNTA($AK$17:$BB$17)),MATCH($F527,$F$19:$F$24,0),MATCH(AP$17,$AK$17:$BB$17,0))*INDEX($10:$13,MATCH($O527,$R$10:$R$13,0),COLUMN())</f>
        <v>2.7108026472000002E-2</v>
      </c>
      <c r="AQ527" s="1050" cm="1">
        <f t="array" aca="1" ref="AQ527" ca="1">INDEX(OFFSET($AK$19,MATCH($B527,$B$19:$B$150,0)-1,0,COUNTA($B$19:$B$24),COUNTA($AK$17:$BB$17)),MATCH($F527,$F$19:$F$24,0),MATCH(AQ$17,$AK$17:$BB$17,0))*INDEX($10:$13,MATCH($O527,$R$10:$R$13,0),COLUMN())</f>
        <v>2.265948625E-5</v>
      </c>
      <c r="AR527" s="1050" cm="1">
        <f t="array" aca="1" ref="AR527" ca="1">INDEX(OFFSET($AK$19,MATCH($B527,$B$19:$B$150,0)-1,0,COUNTA($B$19:$B$24),COUNTA($AK$17:$BB$17)),MATCH($F527,$F$19:$F$24,0),MATCH(AR$17,$AK$17:$BB$17,0))*INDEX($10:$13,MATCH($O527,$R$10:$R$13,0),COLUMN())</f>
        <v>3.8580961939999998E-2</v>
      </c>
      <c r="AS527" s="1050" cm="1">
        <f t="array" aca="1" ref="AS527" ca="1">INDEX(OFFSET($AK$19,MATCH($B527,$B$19:$B$150,0)-1,0,COUNTA($B$19:$B$24),COUNTA($AK$17:$BB$17)),MATCH($F527,$F$19:$F$24,0),MATCH(AS$17,$AK$17:$BB$17,0))*INDEX($10:$13,MATCH($O527,$R$10:$R$13,0),COLUMN())</f>
        <v>4.6551473279999998E-5</v>
      </c>
      <c r="AT527" s="1050" cm="1">
        <f t="array" aca="1" ref="AT527" ca="1">INDEX(OFFSET($AK$19,MATCH($B527,$B$19:$B$150,0)-1,0,COUNTA($B$19:$B$24),COUNTA($AK$17:$BB$17)),MATCH($F527,$F$19:$F$24,0),MATCH(AT$17,$AK$17:$BB$17,0))*INDEX($10:$13,MATCH($O527,$R$10:$R$13,0),COLUMN())</f>
        <v>1.8743863870000001E-6</v>
      </c>
      <c r="AU527" s="1050" cm="1">
        <f t="array" aca="1" ref="AU527" ca="1">INDEX(OFFSET($AK$19,MATCH($B527,$B$19:$B$150,0)-1,0,COUNTA($B$19:$B$24),COUNTA($AK$17:$BB$17)),MATCH($F527,$F$19:$F$24,0),MATCH(AU$17,$AK$17:$BB$17,0))*INDEX($10:$13,MATCH($O527,$R$10:$R$13,0),COLUMN())</f>
        <v>4.1022644224000001E-7</v>
      </c>
      <c r="AV527" s="1050" cm="1">
        <f t="array" aca="1" ref="AV527" ca="1">INDEX(OFFSET($AK$19,MATCH($B527,$B$19:$B$150,0)-1,0,COUNTA($B$19:$B$24),COUNTA($AK$17:$BB$17)),MATCH($F527,$F$19:$F$24,0),MATCH(AV$17,$AK$17:$BB$17,0))*INDEX($10:$13,MATCH($O527,$R$10:$R$13,0),COLUMN())</f>
        <v>1.3946432775000001E-3</v>
      </c>
      <c r="AW527" s="1050" cm="1">
        <f t="array" aca="1" ref="AW527" ca="1">INDEX(OFFSET($AK$19,MATCH($B527,$B$19:$B$150,0)-1,0,COUNTA($B$19:$B$24),COUNTA($AK$17:$BB$17)),MATCH($F527,$F$19:$F$24,0),MATCH(AW$17,$AK$17:$BB$17,0))*INDEX($10:$13,MATCH($O527,$R$10:$R$13,0),COLUMN())</f>
        <v>0.16425817349999999</v>
      </c>
      <c r="AX527" s="1050" cm="1">
        <f t="array" aca="1" ref="AX527" ca="1">INDEX(OFFSET($AK$19,MATCH($B527,$B$19:$B$150,0)-1,0,COUNTA($B$19:$B$24),COUNTA($AK$17:$BB$17)),MATCH($F527,$F$19:$F$24,0),MATCH(AX$17,$AK$17:$BB$17,0))*INDEX($10:$13,MATCH($O527,$R$10:$R$13,0),COLUMN())</f>
        <v>4.4421930750000002E-7</v>
      </c>
      <c r="AY527" s="1050" cm="1">
        <f t="array" aca="1" ref="AY527" ca="1">INDEX(OFFSET($AK$19,MATCH($B527,$B$19:$B$150,0)-1,0,COUNTA($B$19:$B$24),COUNTA($AK$17:$BB$17)),MATCH($F527,$F$19:$F$24,0),MATCH(AY$17,$AK$17:$BB$17,0))*INDEX($10:$13,MATCH($O527,$R$10:$R$13,0),COLUMN())</f>
        <v>8.4272684006249997E-7</v>
      </c>
      <c r="AZ527" s="1050" cm="1">
        <f t="array" aca="1" ref="AZ527" ca="1">INDEX(OFFSET($AK$19,MATCH($B527,$B$19:$B$150,0)-1,0,COUNTA($B$19:$B$24),COUNTA($AK$17:$BB$17)),MATCH($F527,$F$19:$F$24,0),MATCH(AZ$17,$AK$17:$BB$17,0))*INDEX($10:$13,MATCH($O527,$R$10:$R$13,0),COLUMN())</f>
        <v>0</v>
      </c>
      <c r="BA527" s="1050" cm="1">
        <f t="array" aca="1" ref="BA527" ca="1">INDEX(OFFSET($AK$19,MATCH($B527,$B$19:$B$150,0)-1,0,COUNTA($B$19:$B$24),COUNTA($AK$17:$BB$17)),MATCH($F527,$F$19:$F$24,0),MATCH(BA$17,$AK$17:$BB$17,0))*INDEX($10:$13,MATCH($O527,$R$10:$R$13,0),COLUMN())</f>
        <v>0</v>
      </c>
      <c r="BB527" s="1051" cm="1">
        <f t="array" aca="1" ref="BB527" ca="1">INDEX(OFFSET($AK$19,MATCH($B527,$B$19:$B$150,0)-1,0,COUNTA($B$19:$B$24),COUNTA($AK$17:$BB$17)),MATCH($F527,$F$19:$F$24,0),MATCH(BB$17,$AK$17:$BB$17,0))*INDEX($10:$13,MATCH($O527,$R$10:$R$13,0),COLUMN())</f>
        <v>0</v>
      </c>
      <c r="BC527" s="1053">
        <f t="shared" ca="1" si="183"/>
        <v>0.16425946044614756</v>
      </c>
      <c r="BE527" s="1"/>
      <c r="BF527" s="1"/>
      <c r="BG527" s="1"/>
      <c r="BH527" s="1"/>
      <c r="BI527" s="1"/>
      <c r="BJ527" s="1"/>
      <c r="BK527" s="1"/>
      <c r="BL527" s="1"/>
      <c r="BM527" s="1"/>
      <c r="BN527" s="1"/>
      <c r="BO527" s="1"/>
      <c r="BP527" s="1"/>
      <c r="BQ527" s="1"/>
      <c r="BR527" s="1"/>
      <c r="BS527" s="1"/>
      <c r="BT527" s="1"/>
      <c r="BU527" s="1"/>
      <c r="BV527" s="1"/>
      <c r="BW527" s="1"/>
      <c r="BX527" s="1"/>
      <c r="BY527" s="1"/>
      <c r="BZ527" s="1"/>
    </row>
    <row r="528" spans="2:78" ht="12" customHeight="1" outlineLevel="1" x14ac:dyDescent="0.25">
      <c r="B528" s="104" t="s">
        <v>114</v>
      </c>
      <c r="C528" s="104" t="s">
        <v>123</v>
      </c>
      <c r="D528" s="2" t="s">
        <v>152</v>
      </c>
      <c r="E528" s="2" t="s">
        <v>153</v>
      </c>
      <c r="F528" s="105" t="s">
        <v>94</v>
      </c>
      <c r="G528" s="27" t="s">
        <v>1580</v>
      </c>
      <c r="H528" s="106" t="s">
        <v>131</v>
      </c>
      <c r="I528" s="107" t="s">
        <v>129</v>
      </c>
      <c r="J528" s="147">
        <v>1.91</v>
      </c>
      <c r="K528" s="148">
        <v>1.2788316801138424</v>
      </c>
      <c r="L528" s="149">
        <f t="shared" ca="1" si="181"/>
        <v>0.48942209287682686</v>
      </c>
      <c r="M528" s="148">
        <f t="shared" ca="1" si="182"/>
        <v>1.9047201574323478</v>
      </c>
      <c r="N528" s="163">
        <f t="shared" ca="1" si="180"/>
        <v>0.6258884773185055</v>
      </c>
      <c r="O528" s="1061" t="s">
        <v>1584</v>
      </c>
      <c r="P528" s="104"/>
      <c r="R528" s="119"/>
      <c r="S528" s="1072"/>
      <c r="T528" s="1072"/>
      <c r="U528" s="1072"/>
      <c r="V528" s="1072"/>
      <c r="W528" s="1072"/>
      <c r="X528" s="1072"/>
      <c r="Y528" s="1072"/>
      <c r="Z528" s="1072"/>
      <c r="AA528" s="1072"/>
      <c r="AB528" s="1072"/>
      <c r="AC528" s="1072"/>
      <c r="AD528" s="1072"/>
      <c r="AE528" s="1072"/>
      <c r="AF528" s="1072"/>
      <c r="AG528" s="1072"/>
      <c r="AH528" s="1072"/>
      <c r="AI528" s="1072"/>
      <c r="AJ528" s="1073"/>
      <c r="AK528" s="1052" cm="1">
        <f t="array" aca="1" ref="AK528" ca="1">INDEX(OFFSET($AK$19,MATCH($B528,$B$19:$B$150,0)-1,0,COUNTA($B$19:$B$24),COUNTA($AK$17:$BB$17)),MATCH($F528,$F$19:$F$24,0),MATCH(AK$17,$AK$17:$BB$17,0))*INDEX($10:$13,MATCH($O528,$R$10:$R$13,0),COLUMN())</f>
        <v>9.440388898336291E-2</v>
      </c>
      <c r="AL528" s="1050" cm="1">
        <f t="array" aca="1" ref="AL528" ca="1">INDEX(OFFSET($AK$19,MATCH($B528,$B$19:$B$150,0)-1,0,COUNTA($B$19:$B$24),COUNTA($AK$17:$BB$17)),MATCH($F528,$F$19:$F$24,0),MATCH(AL$17,$AK$17:$BB$17,0))*INDEX($10:$13,MATCH($O528,$R$10:$R$13,0),COLUMN())</f>
        <v>5.9396485980000002E-7</v>
      </c>
      <c r="AM528" s="1050" cm="1">
        <f t="array" aca="1" ref="AM528" ca="1">INDEX(OFFSET($AK$19,MATCH($B528,$B$19:$B$150,0)-1,0,COUNTA($B$19:$B$24),COUNTA($AK$17:$BB$17)),MATCH($F528,$F$19:$F$24,0),MATCH(AM$17,$AK$17:$BB$17,0))*INDEX($10:$13,MATCH($O528,$R$10:$R$13,0),COLUMN())</f>
        <v>1.0061229321E-3</v>
      </c>
      <c r="AN528" s="1050" cm="1">
        <f t="array" aca="1" ref="AN528" ca="1">INDEX(OFFSET($AK$19,MATCH($B528,$B$19:$B$150,0)-1,0,COUNTA($B$19:$B$24),COUNTA($AK$17:$BB$17)),MATCH($F528,$F$19:$F$24,0),MATCH(AN$17,$AK$17:$BB$17,0))*INDEX($10:$13,MATCH($O528,$R$10:$R$13,0),COLUMN())</f>
        <v>2.9527115519999998E-3</v>
      </c>
      <c r="AO528" s="1050" cm="1">
        <f t="array" aca="1" ref="AO528" ca="1">INDEX(OFFSET($AK$19,MATCH($B528,$B$19:$B$150,0)-1,0,COUNTA($B$19:$B$24),COUNTA($AK$17:$BB$17)),MATCH($F528,$F$19:$F$24,0),MATCH(AO$17,$AK$17:$BB$17,0))*INDEX($10:$13,MATCH($O528,$R$10:$R$13,0),COLUMN())</f>
        <v>0.31683850799999996</v>
      </c>
      <c r="AP528" s="1050" cm="1">
        <f t="array" aca="1" ref="AP528" ca="1">INDEX(OFFSET($AK$19,MATCH($B528,$B$19:$B$150,0)-1,0,COUNTA($B$19:$B$24),COUNTA($AK$17:$BB$17)),MATCH($F528,$F$19:$F$24,0),MATCH(AP$17,$AK$17:$BB$17,0))*INDEX($10:$13,MATCH($O528,$R$10:$R$13,0),COLUMN())</f>
        <v>3.5171432365999997E-2</v>
      </c>
      <c r="AQ528" s="1050" cm="1">
        <f t="array" aca="1" ref="AQ528" ca="1">INDEX(OFFSET($AK$19,MATCH($B528,$B$19:$B$150,0)-1,0,COUNTA($B$19:$B$24),COUNTA($AK$17:$BB$17)),MATCH($F528,$F$19:$F$24,0),MATCH(AQ$17,$AK$17:$BB$17,0))*INDEX($10:$13,MATCH($O528,$R$10:$R$13,0),COLUMN())</f>
        <v>2.0215399249999999E-5</v>
      </c>
      <c r="AR528" s="1050" cm="1">
        <f t="array" aca="1" ref="AR528" ca="1">INDEX(OFFSET($AK$19,MATCH($B528,$B$19:$B$150,0)-1,0,COUNTA($B$19:$B$24),COUNTA($AK$17:$BB$17)),MATCH($F528,$F$19:$F$24,0),MATCH(AR$17,$AK$17:$BB$17,0))*INDEX($10:$13,MATCH($O528,$R$10:$R$13,0),COLUMN())</f>
        <v>3.6042922039999994E-2</v>
      </c>
      <c r="AS528" s="1050" cm="1">
        <f t="array" aca="1" ref="AS528" ca="1">INDEX(OFFSET($AK$19,MATCH($B528,$B$19:$B$150,0)-1,0,COUNTA($B$19:$B$24),COUNTA($AK$17:$BB$17)),MATCH($F528,$F$19:$F$24,0),MATCH(AS$17,$AK$17:$BB$17,0))*INDEX($10:$13,MATCH($O528,$R$10:$R$13,0),COLUMN())</f>
        <v>-2.9445072929999996E-6</v>
      </c>
      <c r="AT528" s="1050" cm="1">
        <f t="array" aca="1" ref="AT528" ca="1">INDEX(OFFSET($AK$19,MATCH($B528,$B$19:$B$150,0)-1,0,COUNTA($B$19:$B$24),COUNTA($AK$17:$BB$17)),MATCH($F528,$F$19:$F$24,0),MATCH(AT$17,$AK$17:$BB$17,0))*INDEX($10:$13,MATCH($O528,$R$10:$R$13,0),COLUMN())</f>
        <v>1.6501179734999999E-6</v>
      </c>
      <c r="AU528" s="1050" cm="1">
        <f t="array" aca="1" ref="AU528" ca="1">INDEX(OFFSET($AK$19,MATCH($B528,$B$19:$B$150,0)-1,0,COUNTA($B$19:$B$24),COUNTA($AK$17:$BB$17)),MATCH($F528,$F$19:$F$24,0),MATCH(AU$17,$AK$17:$BB$17,0))*INDEX($10:$13,MATCH($O528,$R$10:$R$13,0),COLUMN())</f>
        <v>3.7103493280000002E-7</v>
      </c>
      <c r="AV528" s="1050" cm="1">
        <f t="array" aca="1" ref="AV528" ca="1">INDEX(OFFSET($AK$19,MATCH($B528,$B$19:$B$150,0)-1,0,COUNTA($B$19:$B$24),COUNTA($AK$17:$BB$17)),MATCH($F528,$F$19:$F$24,0),MATCH(AV$17,$AK$17:$BB$17,0))*INDEX($10:$13,MATCH($O528,$R$10:$R$13,0),COLUMN())</f>
        <v>5.8602641749999987E-4</v>
      </c>
      <c r="AW528" s="1050" cm="1">
        <f t="array" aca="1" ref="AW528" ca="1">INDEX(OFFSET($AK$19,MATCH($B528,$B$19:$B$150,0)-1,0,COUNTA($B$19:$B$24),COUNTA($AK$17:$BB$17)),MATCH($F528,$F$19:$F$24,0),MATCH(AW$17,$AK$17:$BB$17,0))*INDEX($10:$13,MATCH($O528,$R$10:$R$13,0),COLUMN())</f>
        <v>0.13886527094999998</v>
      </c>
      <c r="AX528" s="1050" cm="1">
        <f t="array" aca="1" ref="AX528" ca="1">INDEX(OFFSET($AK$19,MATCH($B528,$B$19:$B$150,0)-1,0,COUNTA($B$19:$B$24),COUNTA($AK$17:$BB$17)),MATCH($F528,$F$19:$F$24,0),MATCH(AX$17,$AK$17:$BB$17,0))*INDEX($10:$13,MATCH($O528,$R$10:$R$13,0),COLUMN())</f>
        <v>5.7528288149999992E-7</v>
      </c>
      <c r="AY528" s="1050" cm="1">
        <f t="array" aca="1" ref="AY528" ca="1">INDEX(OFFSET($AK$19,MATCH($B528,$B$19:$B$150,0)-1,0,COUNTA($B$19:$B$24),COUNTA($AK$17:$BB$17)),MATCH($F528,$F$19:$F$24,0),MATCH(AY$17,$AK$17:$BB$17,0))*INDEX($10:$13,MATCH($O528,$R$10:$R$13,0),COLUMN())</f>
        <v>1.1327849381249998E-6</v>
      </c>
      <c r="AZ528" s="1050" cm="1">
        <f t="array" aca="1" ref="AZ528" ca="1">INDEX(OFFSET($AK$19,MATCH($B528,$B$19:$B$150,0)-1,0,COUNTA($B$19:$B$24),COUNTA($AK$17:$BB$17)),MATCH($F528,$F$19:$F$24,0),MATCH(AZ$17,$AK$17:$BB$17,0))*INDEX($10:$13,MATCH($O528,$R$10:$R$13,0),COLUMN())</f>
        <v>0</v>
      </c>
      <c r="BA528" s="1050" cm="1">
        <f t="array" aca="1" ref="BA528" ca="1">INDEX(OFFSET($AK$19,MATCH($B528,$B$19:$B$150,0)-1,0,COUNTA($B$19:$B$24),COUNTA($AK$17:$BB$17)),MATCH($F528,$F$19:$F$24,0),MATCH(BA$17,$AK$17:$BB$17,0))*INDEX($10:$13,MATCH($O528,$R$10:$R$13,0),COLUMN())</f>
        <v>0</v>
      </c>
      <c r="BB528" s="1051" cm="1">
        <f t="array" aca="1" ref="BB528" ca="1">INDEX(OFFSET($AK$19,MATCH($B528,$B$19:$B$150,0)-1,0,COUNTA($B$19:$B$24),COUNTA($AK$17:$BB$17)),MATCH($F528,$F$19:$F$24,0),MATCH(BB$17,$AK$17:$BB$17,0))*INDEX($10:$13,MATCH($O528,$R$10:$R$13,0),COLUMN())</f>
        <v>0</v>
      </c>
      <c r="BC528" s="1053">
        <f t="shared" ca="1" si="183"/>
        <v>0.13886697901781961</v>
      </c>
      <c r="BE528" s="1"/>
      <c r="BF528" s="1"/>
      <c r="BG528" s="1"/>
      <c r="BH528" s="1"/>
      <c r="BI528" s="1"/>
      <c r="BJ528" s="1"/>
      <c r="BK528" s="1"/>
      <c r="BL528" s="1"/>
      <c r="BM528" s="1"/>
      <c r="BN528" s="1"/>
      <c r="BO528" s="1"/>
      <c r="BP528" s="1"/>
      <c r="BQ528" s="1"/>
      <c r="BR528" s="1"/>
      <c r="BS528" s="1"/>
      <c r="BT528" s="1"/>
      <c r="BU528" s="1"/>
      <c r="BV528" s="1"/>
      <c r="BW528" s="1"/>
      <c r="BX528" s="1"/>
      <c r="BY528" s="1"/>
      <c r="BZ528" s="1"/>
    </row>
    <row r="529" spans="2:78" ht="12" customHeight="1" outlineLevel="1" x14ac:dyDescent="0.25">
      <c r="B529" s="104" t="s">
        <v>114</v>
      </c>
      <c r="C529" s="104" t="s">
        <v>123</v>
      </c>
      <c r="D529" s="2" t="s">
        <v>152</v>
      </c>
      <c r="E529" s="2" t="s">
        <v>153</v>
      </c>
      <c r="F529" s="105" t="s">
        <v>95</v>
      </c>
      <c r="G529" s="27" t="s">
        <v>1581</v>
      </c>
      <c r="H529" s="106" t="s">
        <v>128</v>
      </c>
      <c r="I529" s="107" t="s">
        <v>127</v>
      </c>
      <c r="J529" s="147">
        <v>1.91</v>
      </c>
      <c r="K529" s="148">
        <v>1.2788316801138424</v>
      </c>
      <c r="L529" s="149">
        <f t="shared" ca="1" si="181"/>
        <v>0.5234952515648893</v>
      </c>
      <c r="M529" s="148">
        <f t="shared" ca="1" si="182"/>
        <v>1.9482939922041884</v>
      </c>
      <c r="N529" s="163">
        <f t="shared" ca="1" si="180"/>
        <v>0.66946231209034601</v>
      </c>
      <c r="O529" s="1061" t="s">
        <v>1584</v>
      </c>
      <c r="P529" s="104"/>
      <c r="R529" s="119"/>
      <c r="S529" s="1072"/>
      <c r="T529" s="1072"/>
      <c r="U529" s="1072"/>
      <c r="V529" s="1072"/>
      <c r="W529" s="1072"/>
      <c r="X529" s="1072"/>
      <c r="Y529" s="1072"/>
      <c r="Z529" s="1072"/>
      <c r="AA529" s="1072"/>
      <c r="AB529" s="1072"/>
      <c r="AC529" s="1072"/>
      <c r="AD529" s="1072"/>
      <c r="AE529" s="1072"/>
      <c r="AF529" s="1072"/>
      <c r="AG529" s="1072"/>
      <c r="AH529" s="1072"/>
      <c r="AI529" s="1072"/>
      <c r="AJ529" s="1073"/>
      <c r="AK529" s="1052" cm="1">
        <f t="array" aca="1" ref="AK529" ca="1">INDEX(OFFSET($AK$19,MATCH($B529,$B$19:$B$150,0)-1,0,COUNTA($B$19:$B$24),COUNTA($AK$17:$BB$17)),MATCH($F529,$F$19:$F$24,0),MATCH(AK$17,$AK$17:$BB$17,0))*INDEX($10:$13,MATCH($O529,$R$10:$R$13,0),COLUMN())</f>
        <v>9.6764739404499756E-2</v>
      </c>
      <c r="AL529" s="1050" cm="1">
        <f t="array" aca="1" ref="AL529" ca="1">INDEX(OFFSET($AK$19,MATCH($B529,$B$19:$B$150,0)-1,0,COUNTA($B$19:$B$24),COUNTA($AK$17:$BB$17)),MATCH($F529,$F$19:$F$24,0),MATCH(AL$17,$AK$17:$BB$17,0))*INDEX($10:$13,MATCH($O529,$R$10:$R$13,0),COLUMN())</f>
        <v>5.4242043310000007E-7</v>
      </c>
      <c r="AM529" s="1050" cm="1">
        <f t="array" aca="1" ref="AM529" ca="1">INDEX(OFFSET($AK$19,MATCH($B529,$B$19:$B$150,0)-1,0,COUNTA($B$19:$B$24),COUNTA($AK$17:$BB$17)),MATCH($F529,$F$19:$F$24,0),MATCH(AM$17,$AK$17:$BB$17,0))*INDEX($10:$13,MATCH($O529,$R$10:$R$13,0),COLUMN())</f>
        <v>9.1787143140000004E-4</v>
      </c>
      <c r="AN529" s="1050" cm="1">
        <f t="array" aca="1" ref="AN529" ca="1">INDEX(OFFSET($AK$19,MATCH($B529,$B$19:$B$150,0)-1,0,COUNTA($B$19:$B$24),COUNTA($AK$17:$BB$17)),MATCH($F529,$F$19:$F$24,0),MATCH(AN$17,$AK$17:$BB$17,0))*INDEX($10:$13,MATCH($O529,$R$10:$R$13,0),COLUMN())</f>
        <v>3.0699630359999996E-3</v>
      </c>
      <c r="AO529" s="1050" cm="1">
        <f t="array" aca="1" ref="AO529" ca="1">INDEX(OFFSET($AK$19,MATCH($B529,$B$19:$B$150,0)-1,0,COUNTA($B$19:$B$24),COUNTA($AK$17:$BB$17)),MATCH($F529,$F$19:$F$24,0),MATCH(AO$17,$AK$17:$BB$17,0))*INDEX($10:$13,MATCH($O529,$R$10:$R$13,0),COLUMN())</f>
        <v>0.32260956000000002</v>
      </c>
      <c r="AP529" s="1050" cm="1">
        <f t="array" aca="1" ref="AP529" ca="1">INDEX(OFFSET($AK$19,MATCH($B529,$B$19:$B$150,0)-1,0,COUNTA($B$19:$B$24),COUNTA($AK$17:$BB$17)),MATCH($F529,$F$19:$F$24,0),MATCH(AP$17,$AK$17:$BB$17,0))*INDEX($10:$13,MATCH($O529,$R$10:$R$13,0),COLUMN())</f>
        <v>3.6809627280000007E-2</v>
      </c>
      <c r="AQ529" s="1050" cm="1">
        <f t="array" aca="1" ref="AQ529" ca="1">INDEX(OFFSET($AK$19,MATCH($B529,$B$19:$B$150,0)-1,0,COUNTA($B$19:$B$24),COUNTA($AK$17:$BB$17)),MATCH($F529,$F$19:$F$24,0),MATCH(AQ$17,$AK$17:$BB$17,0))*INDEX($10:$13,MATCH($O529,$R$10:$R$13,0),COLUMN())</f>
        <v>7.6039082500000004E-5</v>
      </c>
      <c r="AR529" s="1050" cm="1">
        <f t="array" aca="1" ref="AR529" ca="1">INDEX(OFFSET($AK$19,MATCH($B529,$B$19:$B$150,0)-1,0,COUNTA($B$19:$B$24),COUNTA($AK$17:$BB$17)),MATCH($F529,$F$19:$F$24,0),MATCH(AR$17,$AK$17:$BB$17,0))*INDEX($10:$13,MATCH($O529,$R$10:$R$13,0),COLUMN())</f>
        <v>5.0624035749999997E-2</v>
      </c>
      <c r="AS529" s="1050" cm="1">
        <f t="array" aca="1" ref="AS529" ca="1">INDEX(OFFSET($AK$19,MATCH($B529,$B$19:$B$150,0)-1,0,COUNTA($B$19:$B$24),COUNTA($AK$17:$BB$17)),MATCH($F529,$F$19:$F$24,0),MATCH(AS$17,$AK$17:$BB$17,0))*INDEX($10:$13,MATCH($O529,$R$10:$R$13,0),COLUMN())</f>
        <v>8.4282620759999999E-4</v>
      </c>
      <c r="AT529" s="1050" cm="1">
        <f t="array" aca="1" ref="AT529" ca="1">INDEX(OFFSET($AK$19,MATCH($B529,$B$19:$B$150,0)-1,0,COUNTA($B$19:$B$24),COUNTA($AK$17:$BB$17)),MATCH($F529,$F$19:$F$24,0),MATCH(AT$17,$AK$17:$BB$17,0))*INDEX($10:$13,MATCH($O529,$R$10:$R$13,0),COLUMN())</f>
        <v>2.3653200710000001E-6</v>
      </c>
      <c r="AU529" s="1050" cm="1">
        <f t="array" aca="1" ref="AU529" ca="1">INDEX(OFFSET($AK$19,MATCH($B529,$B$19:$B$150,0)-1,0,COUNTA($B$19:$B$24),COUNTA($AK$17:$BB$17)),MATCH($F529,$F$19:$F$24,0),MATCH(AU$17,$AK$17:$BB$17,0))*INDEX($10:$13,MATCH($O529,$R$10:$R$13,0),COLUMN())</f>
        <v>4.8272460959999998E-7</v>
      </c>
      <c r="AV529" s="1050" cm="1">
        <f t="array" aca="1" ref="AV529" ca="1">INDEX(OFFSET($AK$19,MATCH($B529,$B$19:$B$150,0)-1,0,COUNTA($B$19:$B$24),COUNTA($AK$17:$BB$17)),MATCH($F529,$F$19:$F$24,0),MATCH(AV$17,$AK$17:$BB$17,0))*INDEX($10:$13,MATCH($O529,$R$10:$R$13,0),COLUMN())</f>
        <v>7.3280295749999988E-3</v>
      </c>
      <c r="AW529" s="1050" cm="1">
        <f t="array" aca="1" ref="AW529" ca="1">INDEX(OFFSET($AK$19,MATCH($B529,$B$19:$B$150,0)-1,0,COUNTA($B$19:$B$24),COUNTA($AK$17:$BB$17)),MATCH($F529,$F$19:$F$24,0),MATCH(AW$17,$AK$17:$BB$17,0))*INDEX($10:$13,MATCH($O529,$R$10:$R$13,0),COLUMN())</f>
        <v>0.15041471309999999</v>
      </c>
      <c r="AX529" s="1050" cm="1">
        <f t="array" aca="1" ref="AX529" ca="1">INDEX(OFFSET($AK$19,MATCH($B529,$B$19:$B$150,0)-1,0,COUNTA($B$19:$B$24),COUNTA($AK$17:$BB$17)),MATCH($F529,$F$19:$F$24,0),MATCH(AX$17,$AK$17:$BB$17,0))*INDEX($10:$13,MATCH($O529,$R$10:$R$13,0),COLUMN())</f>
        <v>5.1562644749999994E-7</v>
      </c>
      <c r="AY529" s="1050" cm="1">
        <f t="array" aca="1" ref="AY529" ca="1">INDEX(OFFSET($AK$19,MATCH($B529,$B$19:$B$150,0)-1,0,COUNTA($B$19:$B$24),COUNTA($AK$17:$BB$17)),MATCH($F529,$F$19:$F$24,0),MATCH(AY$17,$AK$17:$BB$17,0))*INDEX($10:$13,MATCH($O529,$R$10:$R$13,0),COLUMN())</f>
        <v>1.0011317849999998E-6</v>
      </c>
      <c r="AZ529" s="1050" cm="1">
        <f t="array" aca="1" ref="AZ529" ca="1">INDEX(OFFSET($AK$19,MATCH($B529,$B$19:$B$150,0)-1,0,COUNTA($B$19:$B$24),COUNTA($AK$17:$BB$17)),MATCH($F529,$F$19:$F$24,0),MATCH(AZ$17,$AK$17:$BB$17,0))*INDEX($10:$13,MATCH($O529,$R$10:$R$13,0),COLUMN())</f>
        <v>0</v>
      </c>
      <c r="BA529" s="1050" cm="1">
        <f t="array" aca="1" ref="BA529" ca="1">INDEX(OFFSET($AK$19,MATCH($B529,$B$19:$B$150,0)-1,0,COUNTA($B$19:$B$24),COUNTA($AK$17:$BB$17)),MATCH($F529,$F$19:$F$24,0),MATCH(BA$17,$AK$17:$BB$17,0))*INDEX($10:$13,MATCH($O529,$R$10:$R$13,0),COLUMN())</f>
        <v>0</v>
      </c>
      <c r="BB529" s="1051" cm="1">
        <f t="array" aca="1" ref="BB529" ca="1">INDEX(OFFSET($AK$19,MATCH($B529,$B$19:$B$150,0)-1,0,COUNTA($B$19:$B$24),COUNTA($AK$17:$BB$17)),MATCH($F529,$F$19:$F$24,0),MATCH(BB$17,$AK$17:$BB$17,0))*INDEX($10:$13,MATCH($O529,$R$10:$R$13,0),COLUMN())</f>
        <v>0</v>
      </c>
      <c r="BC529" s="1053">
        <f t="shared" ca="1" si="183"/>
        <v>0.1504162298582325</v>
      </c>
      <c r="BE529" s="1"/>
      <c r="BF529" s="1"/>
      <c r="BG529" s="1"/>
      <c r="BH529" s="1"/>
      <c r="BI529" s="1"/>
      <c r="BJ529" s="1"/>
      <c r="BK529" s="1"/>
      <c r="BL529" s="1"/>
      <c r="BM529" s="1"/>
      <c r="BN529" s="1"/>
      <c r="BO529" s="1"/>
      <c r="BP529" s="1"/>
      <c r="BQ529" s="1"/>
      <c r="BR529" s="1"/>
      <c r="BS529" s="1"/>
      <c r="BT529" s="1"/>
      <c r="BU529" s="1"/>
      <c r="BV529" s="1"/>
      <c r="BW529" s="1"/>
      <c r="BX529" s="1"/>
      <c r="BY529" s="1"/>
      <c r="BZ529" s="1"/>
    </row>
    <row r="530" spans="2:78" ht="12" customHeight="1" outlineLevel="1" x14ac:dyDescent="0.25">
      <c r="B530" s="104" t="s">
        <v>114</v>
      </c>
      <c r="C530" s="104" t="s">
        <v>123</v>
      </c>
      <c r="D530" s="2" t="s">
        <v>152</v>
      </c>
      <c r="E530" s="2" t="s">
        <v>153</v>
      </c>
      <c r="F530" s="105" t="s">
        <v>96</v>
      </c>
      <c r="G530" s="27" t="s">
        <v>1582</v>
      </c>
      <c r="H530" s="106" t="s">
        <v>128</v>
      </c>
      <c r="I530" s="107" t="s">
        <v>1577</v>
      </c>
      <c r="J530" s="147">
        <v>1.91</v>
      </c>
      <c r="K530" s="148">
        <v>1.2788316801138424</v>
      </c>
      <c r="L530" s="149">
        <f t="shared" ca="1" si="181"/>
        <v>0.56404533361243991</v>
      </c>
      <c r="M530" s="148">
        <f t="shared" ca="1" si="182"/>
        <v>2.0001507217578118</v>
      </c>
      <c r="N530" s="163">
        <f t="shared" ca="1" si="180"/>
        <v>0.72131904164396932</v>
      </c>
      <c r="O530" s="1061" t="s">
        <v>1584</v>
      </c>
      <c r="P530" s="104"/>
      <c r="R530" s="119"/>
      <c r="S530" s="1072"/>
      <c r="T530" s="1072"/>
      <c r="U530" s="1072"/>
      <c r="V530" s="1072"/>
      <c r="W530" s="1072"/>
      <c r="X530" s="1072"/>
      <c r="Y530" s="1072"/>
      <c r="Z530" s="1072"/>
      <c r="AA530" s="1072"/>
      <c r="AB530" s="1072"/>
      <c r="AC530" s="1072"/>
      <c r="AD530" s="1072"/>
      <c r="AE530" s="1072"/>
      <c r="AF530" s="1072"/>
      <c r="AG530" s="1072"/>
      <c r="AH530" s="1072"/>
      <c r="AI530" s="1072"/>
      <c r="AJ530" s="1073"/>
      <c r="AK530" s="1052" cm="1">
        <f t="array" aca="1" ref="AK530" ca="1">INDEX(OFFSET($AK$19,MATCH($B530,$B$19:$B$150,0)-1,0,COUNTA($B$19:$B$24),COUNTA($AK$17:$BB$17)),MATCH($F530,$F$19:$F$24,0),MATCH(AK$17,$AK$17:$BB$17,0))*INDEX($10:$13,MATCH($O530,$R$10:$R$13,0),COLUMN())</f>
        <v>0.10079122934669599</v>
      </c>
      <c r="AL530" s="1050" cm="1">
        <f t="array" aca="1" ref="AL530" ca="1">INDEX(OFFSET($AK$19,MATCH($B530,$B$19:$B$150,0)-1,0,COUNTA($B$19:$B$24),COUNTA($AK$17:$BB$17)),MATCH($F530,$F$19:$F$24,0),MATCH(AL$17,$AK$17:$BB$17,0))*INDEX($10:$13,MATCH($O530,$R$10:$R$13,0),COLUMN())</f>
        <v>5.4286526190000004E-7</v>
      </c>
      <c r="AM530" s="1050" cm="1">
        <f t="array" aca="1" ref="AM530" ca="1">INDEX(OFFSET($AK$19,MATCH($B530,$B$19:$B$150,0)-1,0,COUNTA($B$19:$B$24),COUNTA($AK$17:$BB$17)),MATCH($F530,$F$19:$F$24,0),MATCH(AM$17,$AK$17:$BB$17,0))*INDEX($10:$13,MATCH($O530,$R$10:$R$13,0),COLUMN())</f>
        <v>9.185989032E-4</v>
      </c>
      <c r="AN530" s="1050" cm="1">
        <f t="array" aca="1" ref="AN530" ca="1">INDEX(OFFSET($AK$19,MATCH($B530,$B$19:$B$150,0)-1,0,COUNTA($B$19:$B$24),COUNTA($AK$17:$BB$17)),MATCH($F530,$F$19:$F$24,0),MATCH(AN$17,$AK$17:$BB$17,0))*INDEX($10:$13,MATCH($O530,$R$10:$R$13,0),COLUMN())</f>
        <v>3.1571296679999998E-3</v>
      </c>
      <c r="AO530" s="1050" cm="1">
        <f t="array" aca="1" ref="AO530" ca="1">INDEX(OFFSET($AK$19,MATCH($B530,$B$19:$B$150,0)-1,0,COUNTA($B$19:$B$24),COUNTA($AK$17:$BB$17)),MATCH($F530,$F$19:$F$24,0),MATCH(AO$17,$AK$17:$BB$17,0))*INDEX($10:$13,MATCH($O530,$R$10:$R$13,0),COLUMN())</f>
        <v>0.35045760399999998</v>
      </c>
      <c r="AP530" s="1050" cm="1">
        <f t="array" aca="1" ref="AP530" ca="1">INDEX(OFFSET($AK$19,MATCH($B530,$B$19:$B$150,0)-1,0,COUNTA($B$19:$B$24),COUNTA($AK$17:$BB$17)),MATCH($F530,$F$19:$F$24,0),MATCH(AP$17,$AK$17:$BB$17,0))*INDEX($10:$13,MATCH($O530,$R$10:$R$13,0),COLUMN())</f>
        <v>4.0746775678000002E-2</v>
      </c>
      <c r="AQ530" s="1050" cm="1">
        <f t="array" aca="1" ref="AQ530" ca="1">INDEX(OFFSET($AK$19,MATCH($B530,$B$19:$B$150,0)-1,0,COUNTA($B$19:$B$24),COUNTA($AK$17:$BB$17)),MATCH($F530,$F$19:$F$24,0),MATCH(AQ$17,$AK$17:$BB$17,0))*INDEX($10:$13,MATCH($O530,$R$10:$R$13,0),COLUMN())</f>
        <v>1.15452155E-4</v>
      </c>
      <c r="AR530" s="1050" cm="1">
        <f t="array" aca="1" ref="AR530" ca="1">INDEX(OFFSET($AK$19,MATCH($B530,$B$19:$B$150,0)-1,0,COUNTA($B$19:$B$24),COUNTA($AK$17:$BB$17)),MATCH($F530,$F$19:$F$24,0),MATCH(AR$17,$AK$17:$BB$17,0))*INDEX($10:$13,MATCH($O530,$R$10:$R$13,0),COLUMN())</f>
        <v>6.0539452819999992E-2</v>
      </c>
      <c r="AS530" s="1050" cm="1">
        <f t="array" aca="1" ref="AS530" ca="1">INDEX(OFFSET($AK$19,MATCH($B530,$B$19:$B$150,0)-1,0,COUNTA($B$19:$B$24),COUNTA($AK$17:$BB$17)),MATCH($F530,$F$19:$F$24,0),MATCH(AS$17,$AK$17:$BB$17,0))*INDEX($10:$13,MATCH($O530,$R$10:$R$13,0),COLUMN())</f>
        <v>1.432530099E-3</v>
      </c>
      <c r="AT530" s="1050" cm="1">
        <f t="array" aca="1" ref="AT530" ca="1">INDEX(OFFSET($AK$19,MATCH($B530,$B$19:$B$150,0)-1,0,COUNTA($B$19:$B$24),COUNTA($AK$17:$BB$17)),MATCH($F530,$F$19:$F$24,0),MATCH(AT$17,$AK$17:$BB$17,0))*INDEX($10:$13,MATCH($O530,$R$10:$R$13,0),COLUMN())</f>
        <v>2.6304403255000001E-6</v>
      </c>
      <c r="AU530" s="1050" cm="1">
        <f t="array" aca="1" ref="AU530" ca="1">INDEX(OFFSET($AK$19,MATCH($B530,$B$19:$B$150,0)-1,0,COUNTA($B$19:$B$24),COUNTA($AK$17:$BB$17)),MATCH($F530,$F$19:$F$24,0),MATCH(AU$17,$AK$17:$BB$17,0))*INDEX($10:$13,MATCH($O530,$R$10:$R$13,0),COLUMN())</f>
        <v>5.2056025344000001E-7</v>
      </c>
      <c r="AV530" s="1050" cm="1">
        <f t="array" aca="1" ref="AV530" ca="1">INDEX(OFFSET($AK$19,MATCH($B530,$B$19:$B$150,0)-1,0,COUNTA($B$19:$B$24),COUNTA($AK$17:$BB$17)),MATCH($F530,$F$19:$F$24,0),MATCH(AV$17,$AK$17:$BB$17,0))*INDEX($10:$13,MATCH($O530,$R$10:$R$13,0),COLUMN())</f>
        <v>1.2740345249999998E-2</v>
      </c>
      <c r="AW530" s="1050" cm="1">
        <f t="array" aca="1" ref="AW530" ca="1">INDEX(OFFSET($AK$19,MATCH($B530,$B$19:$B$150,0)-1,0,COUNTA($B$19:$B$24),COUNTA($AK$17:$BB$17)),MATCH($F530,$F$19:$F$24,0),MATCH(AW$17,$AK$17:$BB$17,0))*INDEX($10:$13,MATCH($O530,$R$10:$R$13,0),COLUMN())</f>
        <v>0.15041471309999999</v>
      </c>
      <c r="AX530" s="1050" cm="1">
        <f t="array" aca="1" ref="AX530" ca="1">INDEX(OFFSET($AK$19,MATCH($B530,$B$19:$B$150,0)-1,0,COUNTA($B$19:$B$24),COUNTA($AK$17:$BB$17)),MATCH($F530,$F$19:$F$24,0),MATCH(AX$17,$AK$17:$BB$17,0))*INDEX($10:$13,MATCH($O530,$R$10:$R$13,0),COLUMN())</f>
        <v>5.1562644749999994E-7</v>
      </c>
      <c r="AY530" s="1050" cm="1">
        <f t="array" aca="1" ref="AY530" ca="1">INDEX(OFFSET($AK$19,MATCH($B530,$B$19:$B$150,0)-1,0,COUNTA($B$19:$B$24),COUNTA($AK$17:$BB$17)),MATCH($F530,$F$19:$F$24,0),MATCH(AY$17,$AK$17:$BB$17,0))*INDEX($10:$13,MATCH($O530,$R$10:$R$13,0),COLUMN())</f>
        <v>1.0011317849999998E-6</v>
      </c>
      <c r="AZ530" s="1050" cm="1">
        <f t="array" aca="1" ref="AZ530" ca="1">INDEX(OFFSET($AK$19,MATCH($B530,$B$19:$B$150,0)-1,0,COUNTA($B$19:$B$24),COUNTA($AK$17:$BB$17)),MATCH($F530,$F$19:$F$24,0),MATCH(AZ$17,$AK$17:$BB$17,0))*INDEX($10:$13,MATCH($O530,$R$10:$R$13,0),COLUMN())</f>
        <v>0</v>
      </c>
      <c r="BA530" s="1050" cm="1">
        <f t="array" aca="1" ref="BA530" ca="1">INDEX(OFFSET($AK$19,MATCH($B530,$B$19:$B$150,0)-1,0,COUNTA($B$19:$B$24),COUNTA($AK$17:$BB$17)),MATCH($F530,$F$19:$F$24,0),MATCH(BA$17,$AK$17:$BB$17,0))*INDEX($10:$13,MATCH($O530,$R$10:$R$13,0),COLUMN())</f>
        <v>0</v>
      </c>
      <c r="BB530" s="1051" cm="1">
        <f t="array" aca="1" ref="BB530" ca="1">INDEX(OFFSET($AK$19,MATCH($B530,$B$19:$B$150,0)-1,0,COUNTA($B$19:$B$24),COUNTA($AK$17:$BB$17)),MATCH($F530,$F$19:$F$24,0),MATCH(BB$17,$AK$17:$BB$17,0))*INDEX($10:$13,MATCH($O530,$R$10:$R$13,0),COLUMN())</f>
        <v>0</v>
      </c>
      <c r="BC530" s="1053">
        <f t="shared" ca="1" si="183"/>
        <v>0.1504162298582325</v>
      </c>
      <c r="BE530" s="1"/>
      <c r="BF530" s="1"/>
      <c r="BG530" s="1"/>
      <c r="BH530" s="1"/>
      <c r="BI530" s="1"/>
      <c r="BJ530" s="1"/>
      <c r="BK530" s="1"/>
      <c r="BL530" s="1"/>
      <c r="BM530" s="1"/>
      <c r="BN530" s="1"/>
      <c r="BO530" s="1"/>
      <c r="BP530" s="1"/>
      <c r="BQ530" s="1"/>
      <c r="BR530" s="1"/>
      <c r="BS530" s="1"/>
      <c r="BT530" s="1"/>
      <c r="BU530" s="1"/>
      <c r="BV530" s="1"/>
      <c r="BW530" s="1"/>
      <c r="BX530" s="1"/>
      <c r="BY530" s="1"/>
      <c r="BZ530" s="1"/>
    </row>
    <row r="531" spans="2:78" ht="12" customHeight="1" outlineLevel="1" x14ac:dyDescent="0.25">
      <c r="B531" s="88" t="s">
        <v>2366</v>
      </c>
      <c r="C531" s="88" t="s">
        <v>123</v>
      </c>
      <c r="D531" s="89" t="s">
        <v>154</v>
      </c>
      <c r="E531" s="89" t="s">
        <v>155</v>
      </c>
      <c r="F531" s="90" t="s">
        <v>92</v>
      </c>
      <c r="G531" s="18" t="s">
        <v>126</v>
      </c>
      <c r="H531" s="91" t="s">
        <v>127</v>
      </c>
      <c r="I531" s="92" t="s">
        <v>127</v>
      </c>
      <c r="J531" s="142">
        <v>2.15</v>
      </c>
      <c r="K531" s="143">
        <v>3.63</v>
      </c>
      <c r="L531" s="151">
        <f t="shared" ca="1" si="181"/>
        <v>1.1015136589358081</v>
      </c>
      <c r="M531" s="143">
        <f t="shared" ca="1" si="182"/>
        <v>7.6284945819369829</v>
      </c>
      <c r="N531" s="162">
        <f t="shared" ca="1" si="180"/>
        <v>3.998494581936983</v>
      </c>
      <c r="O531" s="1060" t="s">
        <v>1584</v>
      </c>
      <c r="P531" s="88"/>
      <c r="Q531" s="89"/>
      <c r="R531" s="150"/>
      <c r="S531" s="1070"/>
      <c r="T531" s="1070"/>
      <c r="U531" s="1070"/>
      <c r="V531" s="1070"/>
      <c r="W531" s="1070"/>
      <c r="X531" s="1070"/>
      <c r="Y531" s="1070"/>
      <c r="Z531" s="1070"/>
      <c r="AA531" s="1070"/>
      <c r="AB531" s="1070"/>
      <c r="AC531" s="1070"/>
      <c r="AD531" s="1070"/>
      <c r="AE531" s="1070"/>
      <c r="AF531" s="1070"/>
      <c r="AG531" s="1070"/>
      <c r="AH531" s="1070"/>
      <c r="AI531" s="1070"/>
      <c r="AJ531" s="1071"/>
      <c r="AK531" s="1048" cm="1">
        <f t="array" aca="1" ref="AK531" ca="1">INDEX(OFFSET($AK$19,MATCH($B531,$B$19:$B$150,0)-1,0,COUNTA($B$19:$B$24),COUNTA($AK$17:$BB$17)),MATCH($F531,$F$19:$F$24,0),MATCH(AK$17,$AK$17:$BB$17,0))*INDEX($10:$13,MATCH($O531,$R$10:$R$13,0),COLUMN())</f>
        <v>0.98186876319938787</v>
      </c>
      <c r="AL531" s="1046" cm="1">
        <f t="array" aca="1" ref="AL531" ca="1">INDEX(OFFSET($AK$19,MATCH($B531,$B$19:$B$150,0)-1,0,COUNTA($B$19:$B$24),COUNTA($AK$17:$BB$17)),MATCH($F531,$F$19:$F$24,0),MATCH(AL$17,$AK$17:$BB$17,0))*INDEX($10:$13,MATCH($O531,$R$10:$R$13,0),COLUMN())</f>
        <v>6.0635895970000001E-7</v>
      </c>
      <c r="AM531" s="1046" cm="1">
        <f t="array" aca="1" ref="AM531" ca="1">INDEX(OFFSET($AK$19,MATCH($B531,$B$19:$B$150,0)-1,0,COUNTA($B$19:$B$24),COUNTA($AK$17:$BB$17)),MATCH($F531,$F$19:$F$24,0),MATCH(AM$17,$AK$17:$BB$17,0))*INDEX($10:$13,MATCH($O531,$R$10:$R$13,0),COLUMN())</f>
        <v>1.0551404358E-3</v>
      </c>
      <c r="AN531" s="1046" cm="1">
        <f t="array" aca="1" ref="AN531" ca="1">INDEX(OFFSET($AK$19,MATCH($B531,$B$19:$B$150,0)-1,0,COUNTA($B$19:$B$24),COUNTA($AK$17:$BB$17)),MATCH($F531,$F$19:$F$24,0),MATCH(AN$17,$AK$17:$BB$17,0))*INDEX($10:$13,MATCH($O531,$R$10:$R$13,0),COLUMN())</f>
        <v>1.5034910519999998E-2</v>
      </c>
      <c r="AO531" s="1046" cm="1">
        <f t="array" aca="1" ref="AO531" ca="1">INDEX(OFFSET($AK$19,MATCH($B531,$B$19:$B$150,0)-1,0,COUNTA($B$19:$B$24),COUNTA($AK$17:$BB$17)),MATCH($F531,$F$19:$F$24,0),MATCH(AO$17,$AK$17:$BB$17,0))*INDEX($10:$13,MATCH($O531,$R$10:$R$13,0),COLUMN())</f>
        <v>1.8631779319999999</v>
      </c>
      <c r="AP531" s="1046" cm="1">
        <f t="array" aca="1" ref="AP531" ca="1">INDEX(OFFSET($AK$19,MATCH($B531,$B$19:$B$150,0)-1,0,COUNTA($B$19:$B$24),COUNTA($AK$17:$BB$17)),MATCH($F531,$F$19:$F$24,0),MATCH(AP$17,$AK$17:$BB$17,0))*INDEX($10:$13,MATCH($O531,$R$10:$R$13,0),COLUMN())</f>
        <v>0.25220118844</v>
      </c>
      <c r="AQ531" s="1046" cm="1">
        <f t="array" aca="1" ref="AQ531" ca="1">INDEX(OFFSET($AK$19,MATCH($B531,$B$19:$B$150,0)-1,0,COUNTA($B$19:$B$24),COUNTA($AK$17:$BB$17)),MATCH($F531,$F$19:$F$24,0),MATCH(AQ$17,$AK$17:$BB$17,0))*INDEX($10:$13,MATCH($O531,$R$10:$R$13,0),COLUMN())</f>
        <v>7.210707E-4</v>
      </c>
      <c r="AR531" s="1046" cm="1">
        <f t="array" aca="1" ref="AR531" ca="1">INDEX(OFFSET($AK$19,MATCH($B531,$B$19:$B$150,0)-1,0,COUNTA($B$19:$B$24),COUNTA($AK$17:$BB$17)),MATCH($F531,$F$19:$F$24,0),MATCH(AR$17,$AK$17:$BB$17,0))*INDEX($10:$13,MATCH($O531,$R$10:$R$13,0),COLUMN())</f>
        <v>0.6938479353</v>
      </c>
      <c r="AS531" s="1046" cm="1">
        <f t="array" aca="1" ref="AS531" ca="1">INDEX(OFFSET($AK$19,MATCH($B531,$B$19:$B$150,0)-1,0,COUNTA($B$19:$B$24),COUNTA($AK$17:$BB$17)),MATCH($F531,$F$19:$F$24,0),MATCH(AS$17,$AK$17:$BB$17,0))*INDEX($10:$13,MATCH($O531,$R$10:$R$13,0),COLUMN())</f>
        <v>3.9772502639999999E-2</v>
      </c>
      <c r="AT531" s="1046" cm="1">
        <f t="array" aca="1" ref="AT531" ca="1">INDEX(OFFSET($AK$19,MATCH($B531,$B$19:$B$150,0)-1,0,COUNTA($B$19:$B$24),COUNTA($AK$17:$BB$17)),MATCH($F531,$F$19:$F$24,0),MATCH(AT$17,$AK$17:$BB$17,0))*INDEX($10:$13,MATCH($O531,$R$10:$R$13,0),COLUMN())</f>
        <v>4.866184935E-5</v>
      </c>
      <c r="AU531" s="1046" cm="1">
        <f t="array" aca="1" ref="AU531" ca="1">INDEX(OFFSET($AK$19,MATCH($B531,$B$19:$B$150,0)-1,0,COUNTA($B$19:$B$24),COUNTA($AK$17:$BB$17)),MATCH($F531,$F$19:$F$24,0),MATCH(AU$17,$AK$17:$BB$17,0))*INDEX($10:$13,MATCH($O531,$R$10:$R$13,0),COLUMN())</f>
        <v>3.8131921504000002E-6</v>
      </c>
      <c r="AV531" s="1046" cm="1">
        <f t="array" aca="1" ref="AV531" ca="1">INDEX(OFFSET($AK$19,MATCH($B531,$B$19:$B$150,0)-1,0,COUNTA($B$19:$B$24),COUNTA($AK$17:$BB$17)),MATCH($F531,$F$19:$F$24,0),MATCH(AV$17,$AK$17:$BB$17,0))*INDEX($10:$13,MATCH($O531,$R$10:$R$13,0),COLUMN())</f>
        <v>4.9043501524999998E-2</v>
      </c>
      <c r="AW531" s="1046" cm="1">
        <f t="array" aca="1" ref="AW531" ca="1">INDEX(OFFSET($AK$19,MATCH($B531,$B$19:$B$150,0)-1,0,COUNTA($B$19:$B$24),COUNTA($AK$17:$BB$17)),MATCH($F531,$F$19:$F$24,0),MATCH(AW$17,$AK$17:$BB$17,0))*INDEX($10:$13,MATCH($O531,$R$10:$R$13,0),COLUMN())</f>
        <v>0.10011701369999999</v>
      </c>
      <c r="AX531" s="1046" cm="1">
        <f t="array" aca="1" ref="AX531" ca="1">INDEX(OFFSET($AK$19,MATCH($B531,$B$19:$B$150,0)-1,0,COUNTA($B$19:$B$24),COUNTA($AK$17:$BB$17)),MATCH($F531,$F$19:$F$24,0),MATCH(AX$17,$AK$17:$BB$17,0))*INDEX($10:$13,MATCH($O531,$R$10:$R$13,0),COLUMN())</f>
        <v>1.2643950854999999E-6</v>
      </c>
      <c r="AY531" s="1046" cm="1">
        <f t="array" aca="1" ref="AY531" ca="1">INDEX(OFFSET($AK$19,MATCH($B531,$B$19:$B$150,0)-1,0,COUNTA($B$19:$B$24),COUNTA($AK$17:$BB$17)),MATCH($F531,$F$19:$F$24,0),MATCH(AY$17,$AK$17:$BB$17,0))*INDEX($10:$13,MATCH($O531,$R$10:$R$13,0),COLUMN())</f>
        <v>1.6002776812499998E-3</v>
      </c>
      <c r="AZ531" s="1046" cm="1">
        <f t="array" aca="1" ref="AZ531" ca="1">INDEX(OFFSET($AK$19,MATCH($B531,$B$19:$B$150,0)-1,0,COUNTA($B$19:$B$24),COUNTA($AK$17:$BB$17)),MATCH($F531,$F$19:$F$24,0),MATCH(AZ$17,$AK$17:$BB$17,0))*INDEX($10:$13,MATCH($O531,$R$10:$R$13,0),COLUMN())</f>
        <v>0</v>
      </c>
      <c r="BA531" s="1046" cm="1">
        <f t="array" aca="1" ref="BA531" ca="1">INDEX(OFFSET($AK$19,MATCH($B531,$B$19:$B$150,0)-1,0,COUNTA($B$19:$B$24),COUNTA($AK$17:$BB$17)),MATCH($F531,$F$19:$F$24,0),MATCH(BA$17,$AK$17:$BB$17,0))*INDEX($10:$13,MATCH($O531,$R$10:$R$13,0),COLUMN())</f>
        <v>0</v>
      </c>
      <c r="BB531" s="1047" cm="1">
        <f t="array" aca="1" ref="BB531" ca="1">INDEX(OFFSET($AK$19,MATCH($B531,$B$19:$B$150,0)-1,0,COUNTA($B$19:$B$24),COUNTA($AK$17:$BB$17)),MATCH($F531,$F$19:$F$24,0),MATCH(BB$17,$AK$17:$BB$17,0))*INDEX($10:$13,MATCH($O531,$R$10:$R$13,0),COLUMN())</f>
        <v>0</v>
      </c>
      <c r="BC531" s="1049">
        <f t="shared" ca="1" si="183"/>
        <v>0.1017185557763355</v>
      </c>
      <c r="BE531" s="1"/>
      <c r="BF531" s="1"/>
      <c r="BG531" s="1"/>
      <c r="BH531" s="1"/>
      <c r="BI531" s="1"/>
      <c r="BJ531" s="1"/>
      <c r="BK531" s="1"/>
      <c r="BL531" s="1"/>
      <c r="BM531" s="1"/>
      <c r="BN531" s="1"/>
      <c r="BO531" s="1"/>
      <c r="BP531" s="1"/>
      <c r="BQ531" s="1"/>
      <c r="BR531" s="1"/>
      <c r="BS531" s="1"/>
      <c r="BT531" s="1"/>
      <c r="BU531" s="1"/>
      <c r="BV531" s="1"/>
      <c r="BW531" s="1"/>
      <c r="BX531" s="1"/>
      <c r="BY531" s="1"/>
      <c r="BZ531" s="1"/>
    </row>
    <row r="532" spans="2:78" ht="12" customHeight="1" outlineLevel="1" x14ac:dyDescent="0.25">
      <c r="B532" s="104" t="s">
        <v>2366</v>
      </c>
      <c r="C532" s="104" t="s">
        <v>123</v>
      </c>
      <c r="D532" s="2" t="s">
        <v>154</v>
      </c>
      <c r="E532" s="2" t="s">
        <v>155</v>
      </c>
      <c r="F532" s="105" t="s">
        <v>122</v>
      </c>
      <c r="G532" s="27" t="s">
        <v>1579</v>
      </c>
      <c r="H532" s="106" t="s">
        <v>128</v>
      </c>
      <c r="I532" s="107" t="s">
        <v>129</v>
      </c>
      <c r="J532" s="147">
        <v>2.15</v>
      </c>
      <c r="K532" s="148">
        <v>4.5</v>
      </c>
      <c r="L532" s="149">
        <f t="shared" ca="1" si="181"/>
        <v>0.91273620049056747</v>
      </c>
      <c r="M532" s="148">
        <f t="shared" ca="1" si="182"/>
        <v>8.6073129022075534</v>
      </c>
      <c r="N532" s="163">
        <f t="shared" ca="1" si="180"/>
        <v>4.1073129022075534</v>
      </c>
      <c r="O532" s="1061" t="s">
        <v>1584</v>
      </c>
      <c r="P532" s="104"/>
      <c r="R532" s="119"/>
      <c r="S532" s="1072"/>
      <c r="T532" s="1072"/>
      <c r="U532" s="1072"/>
      <c r="V532" s="1072"/>
      <c r="W532" s="1072"/>
      <c r="X532" s="1072"/>
      <c r="Y532" s="1072"/>
      <c r="Z532" s="1072"/>
      <c r="AA532" s="1072"/>
      <c r="AB532" s="1072"/>
      <c r="AC532" s="1072"/>
      <c r="AD532" s="1072"/>
      <c r="AE532" s="1072"/>
      <c r="AF532" s="1072"/>
      <c r="AG532" s="1072"/>
      <c r="AH532" s="1072"/>
      <c r="AI532" s="1072"/>
      <c r="AJ532" s="1073"/>
      <c r="AK532" s="1052" cm="1">
        <f t="array" aca="1" ref="AK532" ca="1">INDEX(OFFSET($AK$19,MATCH($B532,$B$19:$B$150,0)-1,0,COUNTA($B$19:$B$24),COUNTA($AK$17:$BB$17)),MATCH($F532,$F$19:$F$24,0),MATCH(AK$17,$AK$17:$BB$17,0))*INDEX($10:$13,MATCH($O532,$R$10:$R$13,0),COLUMN())</f>
        <v>0.86897972376491328</v>
      </c>
      <c r="AL532" s="1050" cm="1">
        <f t="array" aca="1" ref="AL532" ca="1">INDEX(OFFSET($AK$19,MATCH($B532,$B$19:$B$150,0)-1,0,COUNTA($B$19:$B$24),COUNTA($AK$17:$BB$17)),MATCH($F532,$F$19:$F$24,0),MATCH(AL$17,$AK$17:$BB$17,0))*INDEX($10:$13,MATCH($O532,$R$10:$R$13,0),COLUMN())</f>
        <v>5.4853744790000005E-7</v>
      </c>
      <c r="AM532" s="1050" cm="1">
        <f t="array" aca="1" ref="AM532" ca="1">INDEX(OFFSET($AK$19,MATCH($B532,$B$19:$B$150,0)-1,0,COUNTA($B$19:$B$24),COUNTA($AK$17:$BB$17)),MATCH($F532,$F$19:$F$24,0),MATCH(AM$17,$AK$17:$BB$17,0))*INDEX($10:$13,MATCH($O532,$R$10:$R$13,0),COLUMN())</f>
        <v>9.1156662630000008E-4</v>
      </c>
      <c r="AN532" s="1050" cm="1">
        <f t="array" aca="1" ref="AN532" ca="1">INDEX(OFFSET($AK$19,MATCH($B532,$B$19:$B$150,0)-1,0,COUNTA($B$19:$B$24),COUNTA($AK$17:$BB$17)),MATCH($F532,$F$19:$F$24,0),MATCH(AN$17,$AK$17:$BB$17,0))*INDEX($10:$13,MATCH($O532,$R$10:$R$13,0),COLUMN())</f>
        <v>1.7189287080000001E-2</v>
      </c>
      <c r="AO532" s="1050" cm="1">
        <f t="array" aca="1" ref="AO532" ca="1">INDEX(OFFSET($AK$19,MATCH($B532,$B$19:$B$150,0)-1,0,COUNTA($B$19:$B$24),COUNTA($AK$17:$BB$17)),MATCH($F532,$F$19:$F$24,0),MATCH(AO$17,$AK$17:$BB$17,0))*INDEX($10:$13,MATCH($O532,$R$10:$R$13,0),COLUMN())</f>
        <v>2.0900719560000001</v>
      </c>
      <c r="AP532" s="1050" cm="1">
        <f t="array" aca="1" ref="AP532" ca="1">INDEX(OFFSET($AK$19,MATCH($B532,$B$19:$B$150,0)-1,0,COUNTA($B$19:$B$24),COUNTA($AK$17:$BB$17)),MATCH($F532,$F$19:$F$24,0),MATCH(AP$17,$AK$17:$BB$17,0))*INDEX($10:$13,MATCH($O532,$R$10:$R$13,0),COLUMN())</f>
        <v>0.28264174472000003</v>
      </c>
      <c r="AQ532" s="1050" cm="1">
        <f t="array" aca="1" ref="AQ532" ca="1">INDEX(OFFSET($AK$19,MATCH($B532,$B$19:$B$150,0)-1,0,COUNTA($B$19:$B$24),COUNTA($AK$17:$BB$17)),MATCH($F532,$F$19:$F$24,0),MATCH(AQ$17,$AK$17:$BB$17,0))*INDEX($10:$13,MATCH($O532,$R$10:$R$13,0),COLUMN())</f>
        <v>6.6381142499999997E-4</v>
      </c>
      <c r="AR532" s="1050" cm="1">
        <f t="array" aca="1" ref="AR532" ca="1">INDEX(OFFSET($AK$19,MATCH($B532,$B$19:$B$150,0)-1,0,COUNTA($B$19:$B$24),COUNTA($AK$17:$BB$17)),MATCH($F532,$F$19:$F$24,0),MATCH(AR$17,$AK$17:$BB$17,0))*INDEX($10:$13,MATCH($O532,$R$10:$R$13,0),COLUMN())</f>
        <v>0.65153417719999995</v>
      </c>
      <c r="AS532" s="1050" cm="1">
        <f t="array" aca="1" ref="AS532" ca="1">INDEX(OFFSET($AK$19,MATCH($B532,$B$19:$B$150,0)-1,0,COUNTA($B$19:$B$24),COUNTA($AK$17:$BB$17)),MATCH($F532,$F$19:$F$24,0),MATCH(AS$17,$AK$17:$BB$17,0))*INDEX($10:$13,MATCH($O532,$R$10:$R$13,0),COLUMN())</f>
        <v>2.6618214870000002E-3</v>
      </c>
      <c r="AT532" s="1050" cm="1">
        <f t="array" aca="1" ref="AT532" ca="1">INDEX(OFFSET($AK$19,MATCH($B532,$B$19:$B$150,0)-1,0,COUNTA($B$19:$B$24),COUNTA($AK$17:$BB$17)),MATCH($F532,$F$19:$F$24,0),MATCH(AT$17,$AK$17:$BB$17,0))*INDEX($10:$13,MATCH($O532,$R$10:$R$13,0),COLUMN())</f>
        <v>8.4982961000000003E-6</v>
      </c>
      <c r="AU532" s="1050" cm="1">
        <f t="array" aca="1" ref="AU532" ca="1">INDEX(OFFSET($AK$19,MATCH($B532,$B$19:$B$150,0)-1,0,COUNTA($B$19:$B$24),COUNTA($AK$17:$BB$17)),MATCH($F532,$F$19:$F$24,0),MATCH(AU$17,$AK$17:$BB$17,0))*INDEX($10:$13,MATCH($O532,$R$10:$R$13,0),COLUMN())</f>
        <v>1.937110144E-6</v>
      </c>
      <c r="AV532" s="1050" cm="1">
        <f t="array" aca="1" ref="AV532" ca="1">INDEX(OFFSET($AK$19,MATCH($B532,$B$19:$B$150,0)-1,0,COUNTA($B$19:$B$24),COUNTA($AK$17:$BB$17)),MATCH($F532,$F$19:$F$24,0),MATCH(AV$17,$AK$17:$BB$17,0))*INDEX($10:$13,MATCH($O532,$R$10:$R$13,0),COLUMN())</f>
        <v>2.8988362300000001E-2</v>
      </c>
      <c r="AW532" s="1050" cm="1">
        <f t="array" aca="1" ref="AW532" ca="1">INDEX(OFFSET($AK$19,MATCH($B532,$B$19:$B$150,0)-1,0,COUNTA($B$19:$B$24),COUNTA($AK$17:$BB$17)),MATCH($F532,$F$19:$F$24,0),MATCH(AW$17,$AK$17:$BB$17,0))*INDEX($10:$13,MATCH($O532,$R$10:$R$13,0),COLUMN())</f>
        <v>0.16365884954999999</v>
      </c>
      <c r="AX532" s="1050" cm="1">
        <f t="array" aca="1" ref="AX532" ca="1">INDEX(OFFSET($AK$19,MATCH($B532,$B$19:$B$150,0)-1,0,COUNTA($B$19:$B$24),COUNTA($AK$17:$BB$17)),MATCH($F532,$F$19:$F$24,0),MATCH(AX$17,$AK$17:$BB$17,0))*INDEX($10:$13,MATCH($O532,$R$10:$R$13,0),COLUMN())</f>
        <v>6.3117301649999999E-7</v>
      </c>
      <c r="AY532" s="1050" cm="1">
        <f t="array" aca="1" ref="AY532" ca="1">INDEX(OFFSET($AK$19,MATCH($B532,$B$19:$B$150,0)-1,0,COUNTA($B$19:$B$24),COUNTA($AK$17:$BB$17)),MATCH($F532,$F$19:$F$24,0),MATCH(AY$17,$AK$17:$BB$17,0))*INDEX($10:$13,MATCH($O532,$R$10:$R$13,0),COLUMN())</f>
        <v>-1.3062367349999997E-8</v>
      </c>
      <c r="AZ532" s="1050" cm="1">
        <f t="array" aca="1" ref="AZ532" ca="1">INDEX(OFFSET($AK$19,MATCH($B532,$B$19:$B$150,0)-1,0,COUNTA($B$19:$B$24),COUNTA($AK$17:$BB$17)),MATCH($F532,$F$19:$F$24,0),MATCH(AZ$17,$AK$17:$BB$17,0))*INDEX($10:$13,MATCH($O532,$R$10:$R$13,0),COLUMN())</f>
        <v>0</v>
      </c>
      <c r="BA532" s="1050" cm="1">
        <f t="array" aca="1" ref="BA532" ca="1">INDEX(OFFSET($AK$19,MATCH($B532,$B$19:$B$150,0)-1,0,COUNTA($B$19:$B$24),COUNTA($AK$17:$BB$17)),MATCH($F532,$F$19:$F$24,0),MATCH(BA$17,$AK$17:$BB$17,0))*INDEX($10:$13,MATCH($O532,$R$10:$R$13,0),COLUMN())</f>
        <v>0</v>
      </c>
      <c r="BB532" s="1051" cm="1">
        <f t="array" aca="1" ref="BB532" ca="1">INDEX(OFFSET($AK$19,MATCH($B532,$B$19:$B$150,0)-1,0,COUNTA($B$19:$B$24),COUNTA($AK$17:$BB$17)),MATCH($F532,$F$19:$F$24,0),MATCH(BB$17,$AK$17:$BB$17,0))*INDEX($10:$13,MATCH($O532,$R$10:$R$13,0),COLUMN())</f>
        <v>0</v>
      </c>
      <c r="BC532" s="1053">
        <f t="shared" ca="1" si="183"/>
        <v>0.16365946766064912</v>
      </c>
      <c r="BE532" s="1"/>
      <c r="BF532" s="1"/>
      <c r="BG532" s="1"/>
      <c r="BH532" s="1"/>
      <c r="BI532" s="1"/>
      <c r="BJ532" s="1"/>
      <c r="BK532" s="1"/>
      <c r="BL532" s="1"/>
      <c r="BM532" s="1"/>
      <c r="BN532" s="1"/>
      <c r="BO532" s="1"/>
      <c r="BP532" s="1"/>
      <c r="BQ532" s="1"/>
      <c r="BR532" s="1"/>
      <c r="BS532" s="1"/>
      <c r="BT532" s="1"/>
      <c r="BU532" s="1"/>
      <c r="BV532" s="1"/>
      <c r="BW532" s="1"/>
      <c r="BX532" s="1"/>
      <c r="BY532" s="1"/>
      <c r="BZ532" s="1"/>
    </row>
    <row r="533" spans="2:78" ht="12" customHeight="1" outlineLevel="1" x14ac:dyDescent="0.25">
      <c r="B533" s="104" t="s">
        <v>2366</v>
      </c>
      <c r="C533" s="104" t="s">
        <v>123</v>
      </c>
      <c r="D533" s="2" t="s">
        <v>154</v>
      </c>
      <c r="E533" s="2" t="s">
        <v>155</v>
      </c>
      <c r="F533" s="105" t="s">
        <v>93</v>
      </c>
      <c r="G533" s="27" t="s">
        <v>1578</v>
      </c>
      <c r="H533" s="106" t="s">
        <v>130</v>
      </c>
      <c r="I533" s="107" t="s">
        <v>129</v>
      </c>
      <c r="J533" s="147">
        <v>2.15</v>
      </c>
      <c r="K533" s="148">
        <v>4.5</v>
      </c>
      <c r="L533" s="149">
        <f t="shared" ca="1" si="181"/>
        <v>0.90102182651869789</v>
      </c>
      <c r="M533" s="148">
        <f t="shared" ca="1" si="182"/>
        <v>8.5545982193341406</v>
      </c>
      <c r="N533" s="163">
        <f t="shared" ca="1" si="180"/>
        <v>4.0545982193341406</v>
      </c>
      <c r="O533" s="1061" t="s">
        <v>1584</v>
      </c>
      <c r="P533" s="104"/>
      <c r="R533" s="119"/>
      <c r="S533" s="1072"/>
      <c r="T533" s="1072"/>
      <c r="U533" s="1072"/>
      <c r="V533" s="1072"/>
      <c r="W533" s="1072"/>
      <c r="X533" s="1072"/>
      <c r="Y533" s="1072"/>
      <c r="Z533" s="1072"/>
      <c r="AA533" s="1072"/>
      <c r="AB533" s="1072"/>
      <c r="AC533" s="1072"/>
      <c r="AD533" s="1072"/>
      <c r="AE533" s="1072"/>
      <c r="AF533" s="1072"/>
      <c r="AG533" s="1072"/>
      <c r="AH533" s="1072"/>
      <c r="AI533" s="1072"/>
      <c r="AJ533" s="1073"/>
      <c r="AK533" s="1052" cm="1">
        <f t="array" aca="1" ref="AK533" ca="1">INDEX(OFFSET($AK$19,MATCH($B533,$B$19:$B$150,0)-1,0,COUNTA($B$19:$B$24),COUNTA($AK$17:$BB$17)),MATCH($F533,$F$19:$F$24,0),MATCH(AK$17,$AK$17:$BB$17,0))*INDEX($10:$13,MATCH($O533,$R$10:$R$13,0),COLUMN())</f>
        <v>0.85456914205304901</v>
      </c>
      <c r="AL533" s="1050" cm="1">
        <f t="array" aca="1" ref="AL533" ca="1">INDEX(OFFSET($AK$19,MATCH($B533,$B$19:$B$150,0)-1,0,COUNTA($B$19:$B$24),COUNTA($AK$17:$BB$17)),MATCH($F533,$F$19:$F$24,0),MATCH(AL$17,$AK$17:$BB$17,0))*INDEX($10:$13,MATCH($O533,$R$10:$R$13,0),COLUMN())</f>
        <v>5.5491248019999997E-7</v>
      </c>
      <c r="AM533" s="1050" cm="1">
        <f t="array" aca="1" ref="AM533" ca="1">INDEX(OFFSET($AK$19,MATCH($B533,$B$19:$B$150,0)-1,0,COUNTA($B$19:$B$24),COUNTA($AK$17:$BB$17)),MATCH($F533,$F$19:$F$24,0),MATCH(AM$17,$AK$17:$BB$17,0))*INDEX($10:$13,MATCH($O533,$R$10:$R$13,0),COLUMN())</f>
        <v>9.2174612310000001E-4</v>
      </c>
      <c r="AN533" s="1050" cm="1">
        <f t="array" aca="1" ref="AN533" ca="1">INDEX(OFFSET($AK$19,MATCH($B533,$B$19:$B$150,0)-1,0,COUNTA($B$19:$B$24),COUNTA($AK$17:$BB$17)),MATCH($F533,$F$19:$F$24,0),MATCH(AN$17,$AK$17:$BB$17,0))*INDEX($10:$13,MATCH($O533,$R$10:$R$13,0),COLUMN())</f>
        <v>1.7158068479999997E-2</v>
      </c>
      <c r="AO533" s="1050" cm="1">
        <f t="array" aca="1" ref="AO533" ca="1">INDEX(OFFSET($AK$19,MATCH($B533,$B$19:$B$150,0)-1,0,COUNTA($B$19:$B$24),COUNTA($AK$17:$BB$17)),MATCH($F533,$F$19:$F$24,0),MATCH(AO$17,$AK$17:$BB$17,0))*INDEX($10:$13,MATCH($O533,$R$10:$R$13,0),COLUMN())</f>
        <v>2.0371950760000002</v>
      </c>
      <c r="AP533" s="1050" cm="1">
        <f t="array" aca="1" ref="AP533" ca="1">INDEX(OFFSET($AK$19,MATCH($B533,$B$19:$B$150,0)-1,0,COUNTA($B$19:$B$24),COUNTA($AK$17:$BB$17)),MATCH($F533,$F$19:$F$24,0),MATCH(AP$17,$AK$17:$BB$17,0))*INDEX($10:$13,MATCH($O533,$R$10:$R$13,0),COLUMN())</f>
        <v>0.27510667900000002</v>
      </c>
      <c r="AQ533" s="1050" cm="1">
        <f t="array" aca="1" ref="AQ533" ca="1">INDEX(OFFSET($AK$19,MATCH($B533,$B$19:$B$150,0)-1,0,COUNTA($B$19:$B$24),COUNTA($AK$17:$BB$17)),MATCH($F533,$F$19:$F$24,0),MATCH(AQ$17,$AK$17:$BB$17,0))*INDEX($10:$13,MATCH($O533,$R$10:$R$13,0),COLUMN())</f>
        <v>6.4946085E-4</v>
      </c>
      <c r="AR533" s="1050" cm="1">
        <f t="array" aca="1" ref="AR533" ca="1">INDEX(OFFSET($AK$19,MATCH($B533,$B$19:$B$150,0)-1,0,COUNTA($B$19:$B$24),COUNTA($AK$17:$BB$17)),MATCH($F533,$F$19:$F$24,0),MATCH(AR$17,$AK$17:$BB$17,0))*INDEX($10:$13,MATCH($O533,$R$10:$R$13,0),COLUMN())</f>
        <v>0.64095961739999996</v>
      </c>
      <c r="AS533" s="1050" cm="1">
        <f t="array" aca="1" ref="AS533" ca="1">INDEX(OFFSET($AK$19,MATCH($B533,$B$19:$B$150,0)-1,0,COUNTA($B$19:$B$24),COUNTA($AK$17:$BB$17)),MATCH($F533,$F$19:$F$24,0),MATCH(AS$17,$AK$17:$BB$17,0))*INDEX($10:$13,MATCH($O533,$R$10:$R$13,0),COLUMN())</f>
        <v>2.6181101699999996E-3</v>
      </c>
      <c r="AT533" s="1050" cm="1">
        <f t="array" aca="1" ref="AT533" ca="1">INDEX(OFFSET($AK$19,MATCH($B533,$B$19:$B$150,0)-1,0,COUNTA($B$19:$B$24),COUNTA($AK$17:$BB$17)),MATCH($F533,$F$19:$F$24,0),MATCH(AT$17,$AK$17:$BB$17,0))*INDEX($10:$13,MATCH($O533,$R$10:$R$13,0),COLUMN())</f>
        <v>8.6558338000000008E-6</v>
      </c>
      <c r="AU533" s="1050" cm="1">
        <f t="array" aca="1" ref="AU533" ca="1">INDEX(OFFSET($AK$19,MATCH($B533,$B$19:$B$150,0)-1,0,COUNTA($B$19:$B$24),COUNTA($AK$17:$BB$17)),MATCH($F533,$F$19:$F$24,0),MATCH(AU$17,$AK$17:$BB$17,0))*INDEX($10:$13,MATCH($O533,$R$10:$R$13,0),COLUMN())</f>
        <v>1.965269056E-6</v>
      </c>
      <c r="AV533" s="1050" cm="1">
        <f t="array" aca="1" ref="AV533" ca="1">INDEX(OFFSET($AK$19,MATCH($B533,$B$19:$B$150,0)-1,0,COUNTA($B$19:$B$24),COUNTA($AK$17:$BB$17)),MATCH($F533,$F$19:$F$24,0),MATCH(AV$17,$AK$17:$BB$17,0))*INDEX($10:$13,MATCH($O533,$R$10:$R$13,0),COLUMN())</f>
        <v>2.8755148649999996E-2</v>
      </c>
      <c r="AW533" s="1050" cm="1">
        <f t="array" aca="1" ref="AW533" ca="1">INDEX(OFFSET($AK$19,MATCH($B533,$B$19:$B$150,0)-1,0,COUNTA($B$19:$B$24),COUNTA($AK$17:$BB$17)),MATCH($F533,$F$19:$F$24,0),MATCH(AW$17,$AK$17:$BB$17,0))*INDEX($10:$13,MATCH($O533,$R$10:$R$13,0),COLUMN())</f>
        <v>0.19665338369999999</v>
      </c>
      <c r="AX533" s="1050" cm="1">
        <f t="array" aca="1" ref="AX533" ca="1">INDEX(OFFSET($AK$19,MATCH($B533,$B$19:$B$150,0)-1,0,COUNTA($B$19:$B$24),COUNTA($AK$17:$BB$17)),MATCH($F533,$F$19:$F$24,0),MATCH(AX$17,$AK$17:$BB$17,0))*INDEX($10:$13,MATCH($O533,$R$10:$R$13,0),COLUMN())</f>
        <v>6.2385816300000004E-7</v>
      </c>
      <c r="AY533" s="1050" cm="1">
        <f t="array" aca="1" ref="AY533" ca="1">INDEX(OFFSET($AK$19,MATCH($B533,$B$19:$B$150,0)-1,0,COUNTA($B$19:$B$24),COUNTA($AK$17:$BB$17)),MATCH($F533,$F$19:$F$24,0),MATCH(AY$17,$AK$17:$BB$17,0))*INDEX($10:$13,MATCH($O533,$R$10:$R$13,0),COLUMN())</f>
        <v>-1.2965507831249997E-8</v>
      </c>
      <c r="AZ533" s="1050" cm="1">
        <f t="array" aca="1" ref="AZ533" ca="1">INDEX(OFFSET($AK$19,MATCH($B533,$B$19:$B$150,0)-1,0,COUNTA($B$19:$B$24),COUNTA($AK$17:$BB$17)),MATCH($F533,$F$19:$F$24,0),MATCH(AZ$17,$AK$17:$BB$17,0))*INDEX($10:$13,MATCH($O533,$R$10:$R$13,0),COLUMN())</f>
        <v>0</v>
      </c>
      <c r="BA533" s="1050" cm="1">
        <f t="array" aca="1" ref="BA533" ca="1">INDEX(OFFSET($AK$19,MATCH($B533,$B$19:$B$150,0)-1,0,COUNTA($B$19:$B$24),COUNTA($AK$17:$BB$17)),MATCH($F533,$F$19:$F$24,0),MATCH(BA$17,$AK$17:$BB$17,0))*INDEX($10:$13,MATCH($O533,$R$10:$R$13,0),COLUMN())</f>
        <v>0</v>
      </c>
      <c r="BB533" s="1051" cm="1">
        <f t="array" aca="1" ref="BB533" ca="1">INDEX(OFFSET($AK$19,MATCH($B533,$B$19:$B$150,0)-1,0,COUNTA($B$19:$B$24),COUNTA($AK$17:$BB$17)),MATCH($F533,$F$19:$F$24,0),MATCH(BB$17,$AK$17:$BB$17,0))*INDEX($10:$13,MATCH($O533,$R$10:$R$13,0),COLUMN())</f>
        <v>0</v>
      </c>
      <c r="BC533" s="1053">
        <f t="shared" ca="1" si="183"/>
        <v>0.19665399459265515</v>
      </c>
      <c r="BE533" s="1"/>
      <c r="BF533" s="1"/>
      <c r="BG533" s="1"/>
      <c r="BH533" s="1"/>
      <c r="BI533" s="1"/>
      <c r="BJ533" s="1"/>
      <c r="BK533" s="1"/>
      <c r="BL533" s="1"/>
      <c r="BM533" s="1"/>
      <c r="BN533" s="1"/>
      <c r="BO533" s="1"/>
      <c r="BP533" s="1"/>
      <c r="BQ533" s="1"/>
      <c r="BR533" s="1"/>
      <c r="BS533" s="1"/>
      <c r="BT533" s="1"/>
      <c r="BU533" s="1"/>
      <c r="BV533" s="1"/>
      <c r="BW533" s="1"/>
      <c r="BX533" s="1"/>
      <c r="BY533" s="1"/>
      <c r="BZ533" s="1"/>
    </row>
    <row r="534" spans="2:78" ht="12" customHeight="1" outlineLevel="1" x14ac:dyDescent="0.25">
      <c r="B534" s="104" t="s">
        <v>2366</v>
      </c>
      <c r="C534" s="104" t="s">
        <v>123</v>
      </c>
      <c r="D534" s="2" t="s">
        <v>154</v>
      </c>
      <c r="E534" s="2" t="s">
        <v>155</v>
      </c>
      <c r="F534" s="105" t="s">
        <v>94</v>
      </c>
      <c r="G534" s="27" t="s">
        <v>1580</v>
      </c>
      <c r="H534" s="106" t="s">
        <v>131</v>
      </c>
      <c r="I534" s="107" t="s">
        <v>129</v>
      </c>
      <c r="J534" s="147">
        <v>2.15</v>
      </c>
      <c r="K534" s="148">
        <v>4.5</v>
      </c>
      <c r="L534" s="149">
        <f t="shared" ca="1" si="181"/>
        <v>0.92530552381717157</v>
      </c>
      <c r="M534" s="148">
        <f t="shared" ca="1" si="182"/>
        <v>8.663874857177273</v>
      </c>
      <c r="N534" s="163">
        <f t="shared" ca="1" si="180"/>
        <v>4.1638748571772721</v>
      </c>
      <c r="O534" s="1061" t="s">
        <v>1584</v>
      </c>
      <c r="P534" s="104"/>
      <c r="R534" s="119"/>
      <c r="S534" s="1072"/>
      <c r="T534" s="1072"/>
      <c r="U534" s="1072"/>
      <c r="V534" s="1072"/>
      <c r="W534" s="1072"/>
      <c r="X534" s="1072"/>
      <c r="Y534" s="1072"/>
      <c r="Z534" s="1072"/>
      <c r="AA534" s="1072"/>
      <c r="AB534" s="1072"/>
      <c r="AC534" s="1072"/>
      <c r="AD534" s="1072"/>
      <c r="AE534" s="1072"/>
      <c r="AF534" s="1072"/>
      <c r="AG534" s="1072"/>
      <c r="AH534" s="1072"/>
      <c r="AI534" s="1072"/>
      <c r="AJ534" s="1073"/>
      <c r="AK534" s="1052" cm="1">
        <f t="array" aca="1" ref="AK534" ca="1">INDEX(OFFSET($AK$19,MATCH($B534,$B$19:$B$150,0)-1,0,COUNTA($B$19:$B$24),COUNTA($AK$17:$BB$17)),MATCH($F534,$F$19:$F$24,0),MATCH(AK$17,$AK$17:$BB$17,0))*INDEX($10:$13,MATCH($O534,$R$10:$R$13,0),COLUMN())</f>
        <v>0.88326398408275653</v>
      </c>
      <c r="AL534" s="1050" cm="1">
        <f t="array" aca="1" ref="AL534" ca="1">INDEX(OFFSET($AK$19,MATCH($B534,$B$19:$B$150,0)-1,0,COUNTA($B$19:$B$24),COUNTA($AK$17:$BB$17)),MATCH($F534,$F$19:$F$24,0),MATCH(AL$17,$AK$17:$BB$17,0))*INDEX($10:$13,MATCH($O534,$R$10:$R$13,0),COLUMN())</f>
        <v>5.4680986880000007E-7</v>
      </c>
      <c r="AM534" s="1050" cm="1">
        <f t="array" aca="1" ref="AM534" ca="1">INDEX(OFFSET($AK$19,MATCH($B534,$B$19:$B$150,0)-1,0,COUNTA($B$19:$B$24),COUNTA($AK$17:$BB$17)),MATCH($F534,$F$19:$F$24,0),MATCH(AM$17,$AK$17:$BB$17,0))*INDEX($10:$13,MATCH($O534,$R$10:$R$13,0),COLUMN())</f>
        <v>9.0898216200000002E-4</v>
      </c>
      <c r="AN534" s="1050" cm="1">
        <f t="array" aca="1" ref="AN534" ca="1">INDEX(OFFSET($AK$19,MATCH($B534,$B$19:$B$150,0)-1,0,COUNTA($B$19:$B$24),COUNTA($AK$17:$BB$17)),MATCH($F534,$F$19:$F$24,0),MATCH(AN$17,$AK$17:$BB$17,0))*INDEX($10:$13,MATCH($O534,$R$10:$R$13,0),COLUMN())</f>
        <v>1.729445256E-2</v>
      </c>
      <c r="AO534" s="1050" cm="1">
        <f t="array" aca="1" ref="AO534" ca="1">INDEX(OFFSET($AK$19,MATCH($B534,$B$19:$B$150,0)-1,0,COUNTA($B$19:$B$24),COUNTA($AK$17:$BB$17)),MATCH($F534,$F$19:$F$24,0),MATCH(AO$17,$AK$17:$BB$17,0))*INDEX($10:$13,MATCH($O534,$R$10:$R$13,0),COLUMN())</f>
        <v>2.136889832</v>
      </c>
      <c r="AP534" s="1050" cm="1">
        <f t="array" aca="1" ref="AP534" ca="1">INDEX(OFFSET($AK$19,MATCH($B534,$B$19:$B$150,0)-1,0,COUNTA($B$19:$B$24),COUNTA($AK$17:$BB$17)),MATCH($F534,$F$19:$F$24,0),MATCH(AP$17,$AK$17:$BB$17,0))*INDEX($10:$13,MATCH($O534,$R$10:$R$13,0),COLUMN())</f>
        <v>0.28923942584000001</v>
      </c>
      <c r="AQ534" s="1050" cm="1">
        <f t="array" aca="1" ref="AQ534" ca="1">INDEX(OFFSET($AK$19,MATCH($B534,$B$19:$B$150,0)-1,0,COUNTA($B$19:$B$24),COUNTA($AK$17:$BB$17)),MATCH($F534,$F$19:$F$24,0),MATCH(AQ$17,$AK$17:$BB$17,0))*INDEX($10:$13,MATCH($O534,$R$10:$R$13,0),COLUMN())</f>
        <v>6.7699732500000004E-4</v>
      </c>
      <c r="AR534" s="1050" cm="1">
        <f t="array" aca="1" ref="AR534" ca="1">INDEX(OFFSET($AK$19,MATCH($B534,$B$19:$B$150,0)-1,0,COUNTA($B$19:$B$24),COUNTA($AK$17:$BB$17)),MATCH($F534,$F$19:$F$24,0),MATCH(AR$17,$AK$17:$BB$17,0))*INDEX($10:$13,MATCH($O534,$R$10:$R$13,0),COLUMN())</f>
        <v>0.66190640039999993</v>
      </c>
      <c r="AS534" s="1050" cm="1">
        <f t="array" aca="1" ref="AS534" ca="1">INDEX(OFFSET($AK$19,MATCH($B534,$B$19:$B$150,0)-1,0,COUNTA($B$19:$B$24),COUNTA($AK$17:$BB$17)),MATCH($F534,$F$19:$F$24,0),MATCH(AS$17,$AK$17:$BB$17,0))*INDEX($10:$13,MATCH($O534,$R$10:$R$13,0),COLUMN())</f>
        <v>2.7049619609999997E-3</v>
      </c>
      <c r="AT534" s="1050" cm="1">
        <f t="array" aca="1" ref="AT534" ca="1">INDEX(OFFSET($AK$19,MATCH($B534,$B$19:$B$150,0)-1,0,COUNTA($B$19:$B$24),COUNTA($AK$17:$BB$17)),MATCH($F534,$F$19:$F$24,0),MATCH(AT$17,$AK$17:$BB$17,0))*INDEX($10:$13,MATCH($O534,$R$10:$R$13,0),COLUMN())</f>
        <v>8.4313699800000002E-6</v>
      </c>
      <c r="AU534" s="1050" cm="1">
        <f t="array" aca="1" ref="AU534" ca="1">INDEX(OFFSET($AK$19,MATCH($B534,$B$19:$B$150,0)-1,0,COUNTA($B$19:$B$24),COUNTA($AK$17:$BB$17)),MATCH($F534,$F$19:$F$24,0),MATCH(AU$17,$AK$17:$BB$17,0))*INDEX($10:$13,MATCH($O534,$R$10:$R$13,0),COLUMN())</f>
        <v>1.9271748672000001E-6</v>
      </c>
      <c r="AV534" s="1050" cm="1">
        <f t="array" aca="1" ref="AV534" ca="1">INDEX(OFFSET($AK$19,MATCH($B534,$B$19:$B$150,0)-1,0,COUNTA($B$19:$B$24),COUNTA($AK$17:$BB$17)),MATCH($F534,$F$19:$F$24,0),MATCH(AV$17,$AK$17:$BB$17,0))*INDEX($10:$13,MATCH($O534,$R$10:$R$13,0),COLUMN())</f>
        <v>2.9291527574999997E-2</v>
      </c>
      <c r="AW534" s="1050" cm="1">
        <f t="array" aca="1" ref="AW534" ca="1">INDEX(OFFSET($AK$19,MATCH($B534,$B$19:$B$150,0)-1,0,COUNTA($B$19:$B$24),COUNTA($AK$17:$BB$17)),MATCH($F534,$F$19:$F$24,0),MATCH(AW$17,$AK$17:$BB$17,0))*INDEX($10:$13,MATCH($O534,$R$10:$R$13,0),COLUMN())</f>
        <v>0.14168676179999998</v>
      </c>
      <c r="AX534" s="1050" cm="1">
        <f t="array" aca="1" ref="AX534" ca="1">INDEX(OFFSET($AK$19,MATCH($B534,$B$19:$B$150,0)-1,0,COUNTA($B$19:$B$24),COUNTA($AK$17:$BB$17)),MATCH($F534,$F$19:$F$24,0),MATCH(AX$17,$AK$17:$BB$17,0))*INDEX($10:$13,MATCH($O534,$R$10:$R$13,0),COLUMN())</f>
        <v>6.3930976049999995E-7</v>
      </c>
      <c r="AY534" s="1050" cm="1">
        <f t="array" aca="1" ref="AY534" ca="1">INDEX(OFFSET($AK$19,MATCH($B534,$B$19:$B$150,0)-1,0,COUNTA($B$19:$B$24),COUNTA($AK$17:$BB$17)),MATCH($F534,$F$19:$F$24,0),MATCH(AY$17,$AK$17:$BB$17,0))*INDEX($10:$13,MATCH($O534,$R$10:$R$13,0),COLUMN())</f>
        <v>-1.31929605E-8</v>
      </c>
      <c r="AZ534" s="1050" cm="1">
        <f t="array" aca="1" ref="AZ534" ca="1">INDEX(OFFSET($AK$19,MATCH($B534,$B$19:$B$150,0)-1,0,COUNTA($B$19:$B$24),COUNTA($AK$17:$BB$17)),MATCH($F534,$F$19:$F$24,0),MATCH(AZ$17,$AK$17:$BB$17,0))*INDEX($10:$13,MATCH($O534,$R$10:$R$13,0),COLUMN())</f>
        <v>0</v>
      </c>
      <c r="BA534" s="1050" cm="1">
        <f t="array" aca="1" ref="BA534" ca="1">INDEX(OFFSET($AK$19,MATCH($B534,$B$19:$B$150,0)-1,0,COUNTA($B$19:$B$24),COUNTA($AK$17:$BB$17)),MATCH($F534,$F$19:$F$24,0),MATCH(BA$17,$AK$17:$BB$17,0))*INDEX($10:$13,MATCH($O534,$R$10:$R$13,0),COLUMN())</f>
        <v>0</v>
      </c>
      <c r="BB534" s="1051" cm="1">
        <f t="array" aca="1" ref="BB534" ca="1">INDEX(OFFSET($AK$19,MATCH($B534,$B$19:$B$150,0)-1,0,COUNTA($B$19:$B$24),COUNTA($AK$17:$BB$17)),MATCH($F534,$F$19:$F$24,0),MATCH(BB$17,$AK$17:$BB$17,0))*INDEX($10:$13,MATCH($O534,$R$10:$R$13,0),COLUMN())</f>
        <v>0</v>
      </c>
      <c r="BC534" s="1053">
        <f t="shared" ca="1" si="183"/>
        <v>0.14168738791679997</v>
      </c>
      <c r="BE534" s="1"/>
      <c r="BF534" s="1"/>
      <c r="BG534" s="1"/>
      <c r="BH534" s="1"/>
      <c r="BI534" s="1"/>
      <c r="BJ534" s="1"/>
      <c r="BK534" s="1"/>
      <c r="BL534" s="1"/>
      <c r="BM534" s="1"/>
      <c r="BN534" s="1"/>
      <c r="BO534" s="1"/>
      <c r="BP534" s="1"/>
      <c r="BQ534" s="1"/>
      <c r="BR534" s="1"/>
      <c r="BS534" s="1"/>
      <c r="BT534" s="1"/>
      <c r="BU534" s="1"/>
      <c r="BV534" s="1"/>
      <c r="BW534" s="1"/>
      <c r="BX534" s="1"/>
      <c r="BY534" s="1"/>
      <c r="BZ534" s="1"/>
    </row>
    <row r="535" spans="2:78" ht="12" customHeight="1" outlineLevel="1" x14ac:dyDescent="0.25">
      <c r="B535" s="104" t="s">
        <v>2366</v>
      </c>
      <c r="C535" s="104" t="s">
        <v>123</v>
      </c>
      <c r="D535" s="2" t="s">
        <v>154</v>
      </c>
      <c r="E535" s="2" t="s">
        <v>155</v>
      </c>
      <c r="F535" s="105" t="s">
        <v>95</v>
      </c>
      <c r="G535" s="27" t="s">
        <v>1581</v>
      </c>
      <c r="H535" s="106" t="s">
        <v>128</v>
      </c>
      <c r="I535" s="107" t="s">
        <v>127</v>
      </c>
      <c r="J535" s="147">
        <v>2.15</v>
      </c>
      <c r="K535" s="148">
        <v>4.5</v>
      </c>
      <c r="L535" s="149">
        <f t="shared" ca="1" si="181"/>
        <v>0.92573454203167849</v>
      </c>
      <c r="M535" s="148">
        <f t="shared" ca="1" si="182"/>
        <v>8.6658054391425523</v>
      </c>
      <c r="N535" s="163">
        <f t="shared" ca="1" si="180"/>
        <v>4.1658054391425532</v>
      </c>
      <c r="O535" s="1061" t="s">
        <v>1584</v>
      </c>
      <c r="P535" s="104"/>
      <c r="R535" s="119"/>
      <c r="S535" s="1072"/>
      <c r="T535" s="1072"/>
      <c r="U535" s="1072"/>
      <c r="V535" s="1072"/>
      <c r="W535" s="1072"/>
      <c r="X535" s="1072"/>
      <c r="Y535" s="1072"/>
      <c r="Z535" s="1072"/>
      <c r="AA535" s="1072"/>
      <c r="AB535" s="1072"/>
      <c r="AC535" s="1072"/>
      <c r="AD535" s="1072"/>
      <c r="AE535" s="1072"/>
      <c r="AF535" s="1072"/>
      <c r="AG535" s="1072"/>
      <c r="AH535" s="1072"/>
      <c r="AI535" s="1072"/>
      <c r="AJ535" s="1073"/>
      <c r="AK535" s="1052" cm="1">
        <f t="array" aca="1" ref="AK535" ca="1">INDEX(OFFSET($AK$19,MATCH($B535,$B$19:$B$150,0)-1,0,COUNTA($B$19:$B$24),COUNTA($AK$17:$BB$17)),MATCH($F535,$F$19:$F$24,0),MATCH(AK$17,$AK$17:$BB$17,0))*INDEX($10:$13,MATCH($O535,$R$10:$R$13,0),COLUMN())</f>
        <v>0.87376304596810161</v>
      </c>
      <c r="AL535" s="1050" cm="1">
        <f t="array" aca="1" ref="AL535" ca="1">INDEX(OFFSET($AK$19,MATCH($B535,$B$19:$B$150,0)-1,0,COUNTA($B$19:$B$24),COUNTA($AK$17:$BB$17)),MATCH($F535,$F$19:$F$24,0),MATCH(AL$17,$AK$17:$BB$17,0))*INDEX($10:$13,MATCH($O535,$R$10:$R$13,0),COLUMN())</f>
        <v>5.4927967640000003E-7</v>
      </c>
      <c r="AM535" s="1050" cm="1">
        <f t="array" aca="1" ref="AM535" ca="1">INDEX(OFFSET($AK$19,MATCH($B535,$B$19:$B$150,0)-1,0,COUNTA($B$19:$B$24),COUNTA($AK$17:$BB$17)),MATCH($F535,$F$19:$F$24,0),MATCH(AM$17,$AK$17:$BB$17,0))*INDEX($10:$13,MATCH($O535,$R$10:$R$13,0),COLUMN())</f>
        <v>9.127804653E-4</v>
      </c>
      <c r="AN535" s="1050" cm="1">
        <f t="array" aca="1" ref="AN535" ca="1">INDEX(OFFSET($AK$19,MATCH($B535,$B$19:$B$150,0)-1,0,COUNTA($B$19:$B$24),COUNTA($AK$17:$BB$17)),MATCH($F535,$F$19:$F$24,0),MATCH(AN$17,$AK$17:$BB$17,0))*INDEX($10:$13,MATCH($O535,$R$10:$R$13,0),COLUMN())</f>
        <v>1.73347272E-2</v>
      </c>
      <c r="AO535" s="1050" cm="1">
        <f t="array" aca="1" ref="AO535" ca="1">INDEX(OFFSET($AK$19,MATCH($B535,$B$19:$B$150,0)-1,0,COUNTA($B$19:$B$24),COUNTA($AK$17:$BB$17)),MATCH($F535,$F$19:$F$24,0),MATCH(AO$17,$AK$17:$BB$17,0))*INDEX($10:$13,MATCH($O535,$R$10:$R$13,0),COLUMN())</f>
        <v>2.12124332</v>
      </c>
      <c r="AP535" s="1050" cm="1">
        <f t="array" aca="1" ref="AP535" ca="1">INDEX(OFFSET($AK$19,MATCH($B535,$B$19:$B$150,0)-1,0,COUNTA($B$19:$B$24),COUNTA($AK$17:$BB$17)),MATCH($F535,$F$19:$F$24,0),MATCH(AP$17,$AK$17:$BB$17,0))*INDEX($10:$13,MATCH($O535,$R$10:$R$13,0),COLUMN())</f>
        <v>0.28701129510000001</v>
      </c>
      <c r="AQ535" s="1050" cm="1">
        <f t="array" aca="1" ref="AQ535" ca="1">INDEX(OFFSET($AK$19,MATCH($B535,$B$19:$B$150,0)-1,0,COUNTA($B$19:$B$24),COUNTA($AK$17:$BB$17)),MATCH($F535,$F$19:$F$24,0),MATCH(AQ$17,$AK$17:$BB$17,0))*INDEX($10:$13,MATCH($O535,$R$10:$R$13,0),COLUMN())</f>
        <v>7.1492219999999996E-4</v>
      </c>
      <c r="AR535" s="1050" cm="1">
        <f t="array" aca="1" ref="AR535" ca="1">INDEX(OFFSET($AK$19,MATCH($B535,$B$19:$B$150,0)-1,0,COUNTA($B$19:$B$24),COUNTA($AK$17:$BB$17)),MATCH($F535,$F$19:$F$24,0),MATCH(AR$17,$AK$17:$BB$17,0))*INDEX($10:$13,MATCH($O535,$R$10:$R$13,0),COLUMN())</f>
        <v>0.66250069029999992</v>
      </c>
      <c r="AS535" s="1050" cm="1">
        <f t="array" aca="1" ref="AS535" ca="1">INDEX(OFFSET($AK$19,MATCH($B535,$B$19:$B$150,0)-1,0,COUNTA($B$19:$B$24),COUNTA($AK$17:$BB$17)),MATCH($F535,$F$19:$F$24,0),MATCH(AS$17,$AK$17:$BB$17,0))*INDEX($10:$13,MATCH($O535,$R$10:$R$13,0),COLUMN())</f>
        <v>3.485942577E-3</v>
      </c>
      <c r="AT535" s="1050" cm="1">
        <f t="array" aca="1" ref="AT535" ca="1">INDEX(OFFSET($AK$19,MATCH($B535,$B$19:$B$150,0)-1,0,COUNTA($B$19:$B$24),COUNTA($AK$17:$BB$17)),MATCH($F535,$F$19:$F$24,0),MATCH(AT$17,$AK$17:$BB$17,0))*INDEX($10:$13,MATCH($O535,$R$10:$R$13,0),COLUMN())</f>
        <v>9.1351592999999995E-6</v>
      </c>
      <c r="AU535" s="1050" cm="1">
        <f t="array" aca="1" ref="AU535" ca="1">INDEX(OFFSET($AK$19,MATCH($B535,$B$19:$B$150,0)-1,0,COUNTA($B$19:$B$24),COUNTA($AK$17:$BB$17)),MATCH($F535,$F$19:$F$24,0),MATCH(AU$17,$AK$17:$BB$17,0))*INDEX($10:$13,MATCH($O535,$R$10:$R$13,0),COLUMN())</f>
        <v>2.0353575264000002E-6</v>
      </c>
      <c r="AV535" s="1050" cm="1">
        <f t="array" aca="1" ref="AV535" ca="1">INDEX(OFFSET($AK$19,MATCH($B535,$B$19:$B$150,0)-1,0,COUNTA($B$19:$B$24),COUNTA($AK$17:$BB$17)),MATCH($F535,$F$19:$F$24,0),MATCH(AV$17,$AK$17:$BB$17,0))*INDEX($10:$13,MATCH($O535,$R$10:$R$13,0),COLUMN())</f>
        <v>3.5167527875E-2</v>
      </c>
      <c r="AW535" s="1050" cm="1">
        <f t="array" aca="1" ref="AW535" ca="1">INDEX(OFFSET($AK$19,MATCH($B535,$B$19:$B$150,0)-1,0,COUNTA($B$19:$B$24),COUNTA($AK$17:$BB$17)),MATCH($F535,$F$19:$F$24,0),MATCH(AW$17,$AK$17:$BB$17,0))*INDEX($10:$13,MATCH($O535,$R$10:$R$13,0),COLUMN())</f>
        <v>0.16365884954999999</v>
      </c>
      <c r="AX535" s="1050" cm="1">
        <f t="array" aca="1" ref="AX535" ca="1">INDEX(OFFSET($AK$19,MATCH($B535,$B$19:$B$150,0)-1,0,COUNTA($B$19:$B$24),COUNTA($AK$17:$BB$17)),MATCH($F535,$F$19:$F$24,0),MATCH(AX$17,$AK$17:$BB$17,0))*INDEX($10:$13,MATCH($O535,$R$10:$R$13,0),COLUMN())</f>
        <v>6.3117301649999999E-7</v>
      </c>
      <c r="AY535" s="1050" cm="1">
        <f t="array" aca="1" ref="AY535" ca="1">INDEX(OFFSET($AK$19,MATCH($B535,$B$19:$B$150,0)-1,0,COUNTA($B$19:$B$24),COUNTA($AK$17:$BB$17)),MATCH($F535,$F$19:$F$24,0),MATCH(AY$17,$AK$17:$BB$17,0))*INDEX($10:$13,MATCH($O535,$R$10:$R$13,0),COLUMN())</f>
        <v>-1.3062367349999997E-8</v>
      </c>
      <c r="AZ535" s="1050" cm="1">
        <f t="array" aca="1" ref="AZ535" ca="1">INDEX(OFFSET($AK$19,MATCH($B535,$B$19:$B$150,0)-1,0,COUNTA($B$19:$B$24),COUNTA($AK$17:$BB$17)),MATCH($F535,$F$19:$F$24,0),MATCH(AZ$17,$AK$17:$BB$17,0))*INDEX($10:$13,MATCH($O535,$R$10:$R$13,0),COLUMN())</f>
        <v>0</v>
      </c>
      <c r="BA535" s="1050" cm="1">
        <f t="array" aca="1" ref="BA535" ca="1">INDEX(OFFSET($AK$19,MATCH($B535,$B$19:$B$150,0)-1,0,COUNTA($B$19:$B$24),COUNTA($AK$17:$BB$17)),MATCH($F535,$F$19:$F$24,0),MATCH(BA$17,$AK$17:$BB$17,0))*INDEX($10:$13,MATCH($O535,$R$10:$R$13,0),COLUMN())</f>
        <v>0</v>
      </c>
      <c r="BB535" s="1051" cm="1">
        <f t="array" aca="1" ref="BB535" ca="1">INDEX(OFFSET($AK$19,MATCH($B535,$B$19:$B$150,0)-1,0,COUNTA($B$19:$B$24),COUNTA($AK$17:$BB$17)),MATCH($F535,$F$19:$F$24,0),MATCH(BB$17,$AK$17:$BB$17,0))*INDEX($10:$13,MATCH($O535,$R$10:$R$13,0),COLUMN())</f>
        <v>0</v>
      </c>
      <c r="BC535" s="1053">
        <f t="shared" ca="1" si="183"/>
        <v>0.16365946766064912</v>
      </c>
      <c r="BE535" s="1"/>
      <c r="BF535" s="1"/>
      <c r="BG535" s="1"/>
      <c r="BH535" s="1"/>
      <c r="BI535" s="1"/>
      <c r="BJ535" s="1"/>
      <c r="BK535" s="1"/>
      <c r="BL535" s="1"/>
      <c r="BM535" s="1"/>
      <c r="BN535" s="1"/>
      <c r="BO535" s="1"/>
      <c r="BP535" s="1"/>
      <c r="BQ535" s="1"/>
      <c r="BR535" s="1"/>
      <c r="BS535" s="1"/>
      <c r="BT535" s="1"/>
      <c r="BU535" s="1"/>
      <c r="BV535" s="1"/>
      <c r="BW535" s="1"/>
      <c r="BX535" s="1"/>
      <c r="BY535" s="1"/>
      <c r="BZ535" s="1"/>
    </row>
    <row r="536" spans="2:78" ht="12" customHeight="1" outlineLevel="1" x14ac:dyDescent="0.25">
      <c r="B536" s="104" t="s">
        <v>2366</v>
      </c>
      <c r="C536" s="104" t="s">
        <v>123</v>
      </c>
      <c r="D536" s="2" t="s">
        <v>154</v>
      </c>
      <c r="E536" s="2" t="s">
        <v>155</v>
      </c>
      <c r="F536" s="105" t="s">
        <v>96</v>
      </c>
      <c r="G536" s="27" t="s">
        <v>1582</v>
      </c>
      <c r="H536" s="106" t="s">
        <v>128</v>
      </c>
      <c r="I536" s="107" t="s">
        <v>1577</v>
      </c>
      <c r="J536" s="147">
        <v>2.15</v>
      </c>
      <c r="K536" s="148">
        <v>4.5</v>
      </c>
      <c r="L536" s="149">
        <f t="shared" ca="1" si="181"/>
        <v>1.0975103010413381</v>
      </c>
      <c r="M536" s="148">
        <f t="shared" ca="1" si="182"/>
        <v>9.438796354686021</v>
      </c>
      <c r="N536" s="163">
        <f t="shared" ca="1" si="180"/>
        <v>4.938796354686021</v>
      </c>
      <c r="O536" s="1061" t="s">
        <v>1584</v>
      </c>
      <c r="P536" s="104"/>
      <c r="R536" s="119"/>
      <c r="S536" s="1072"/>
      <c r="T536" s="1072"/>
      <c r="U536" s="1072"/>
      <c r="V536" s="1072"/>
      <c r="W536" s="1072"/>
      <c r="X536" s="1072"/>
      <c r="Y536" s="1072"/>
      <c r="Z536" s="1072"/>
      <c r="AA536" s="1072"/>
      <c r="AB536" s="1072"/>
      <c r="AC536" s="1072"/>
      <c r="AD536" s="1072"/>
      <c r="AE536" s="1072"/>
      <c r="AF536" s="1072"/>
      <c r="AG536" s="1072"/>
      <c r="AH536" s="1072"/>
      <c r="AI536" s="1072"/>
      <c r="AJ536" s="1073"/>
      <c r="AK536" s="1052" cm="1">
        <f t="array" aca="1" ref="AK536" ca="1">INDEX(OFFSET($AK$19,MATCH($B536,$B$19:$B$150,0)-1,0,COUNTA($B$19:$B$24),COUNTA($AK$17:$BB$17)),MATCH($F536,$F$19:$F$24,0),MATCH(AK$17,$AK$17:$BB$17,0))*INDEX($10:$13,MATCH($O536,$R$10:$R$13,0),COLUMN())</f>
        <v>0.93045266153376671</v>
      </c>
      <c r="AL536" s="1050" cm="1">
        <f t="array" aca="1" ref="AL536" ca="1">INDEX(OFFSET($AK$19,MATCH($B536,$B$19:$B$150,0)-1,0,COUNTA($B$19:$B$24),COUNTA($AK$17:$BB$17)),MATCH($F536,$F$19:$F$24,0),MATCH(AL$17,$AK$17:$BB$17,0))*INDEX($10:$13,MATCH($O536,$R$10:$R$13,0),COLUMN())</f>
        <v>5.4976406420000004E-7</v>
      </c>
      <c r="AM536" s="1050" cm="1">
        <f t="array" aca="1" ref="AM536" ca="1">INDEX(OFFSET($AK$19,MATCH($B536,$B$19:$B$150,0)-1,0,COUNTA($B$19:$B$24),COUNTA($AK$17:$BB$17)),MATCH($F536,$F$19:$F$24,0),MATCH(AM$17,$AK$17:$BB$17,0))*INDEX($10:$13,MATCH($O536,$R$10:$R$13,0),COLUMN())</f>
        <v>9.1357262369999993E-4</v>
      </c>
      <c r="AN536" s="1050" cm="1">
        <f t="array" aca="1" ref="AN536" ca="1">INDEX(OFFSET($AK$19,MATCH($B536,$B$19:$B$150,0)-1,0,COUNTA($B$19:$B$24),COUNTA($AK$17:$BB$17)),MATCH($F536,$F$19:$F$24,0),MATCH(AN$17,$AK$17:$BB$17,0))*INDEX($10:$13,MATCH($O536,$R$10:$R$13,0),COLUMN())</f>
        <v>1.7429642999999998E-2</v>
      </c>
      <c r="AO536" s="1050" cm="1">
        <f t="array" aca="1" ref="AO536" ca="1">INDEX(OFFSET($AK$19,MATCH($B536,$B$19:$B$150,0)-1,0,COUNTA($B$19:$B$24),COUNTA($AK$17:$BB$17)),MATCH($F536,$F$19:$F$24,0),MATCH(AO$17,$AK$17:$BB$17,0))*INDEX($10:$13,MATCH($O536,$R$10:$R$13,0),COLUMN())</f>
        <v>2.56508812</v>
      </c>
      <c r="AP536" s="1050" cm="1">
        <f t="array" aca="1" ref="AP536" ca="1">INDEX(OFFSET($AK$19,MATCH($B536,$B$19:$B$150,0)-1,0,COUNTA($B$19:$B$24),COUNTA($AK$17:$BB$17)),MATCH($F536,$F$19:$F$24,0),MATCH(AP$17,$AK$17:$BB$17,0))*INDEX($10:$13,MATCH($O536,$R$10:$R$13,0),COLUMN())</f>
        <v>0.35077441952000005</v>
      </c>
      <c r="AQ536" s="1050" cm="1">
        <f t="array" aca="1" ref="AQ536" ca="1">INDEX(OFFSET($AK$19,MATCH($B536,$B$19:$B$150,0)-1,0,COUNTA($B$19:$B$24),COUNTA($AK$17:$BB$17)),MATCH($F536,$F$19:$F$24,0),MATCH(AQ$17,$AK$17:$BB$17,0))*INDEX($10:$13,MATCH($O536,$R$10:$R$13,0),COLUMN())</f>
        <v>1.11641015E-3</v>
      </c>
      <c r="AR536" s="1050" cm="1">
        <f t="array" aca="1" ref="AR536" ca="1">INDEX(OFFSET($AK$19,MATCH($B536,$B$19:$B$150,0)-1,0,COUNTA($B$19:$B$24),COUNTA($AK$17:$BB$17)),MATCH($F536,$F$19:$F$24,0),MATCH(AR$17,$AK$17:$BB$17,0))*INDEX($10:$13,MATCH($O536,$R$10:$R$13,0),COLUMN())</f>
        <v>0.82411016089999989</v>
      </c>
      <c r="AS536" s="1050" cm="1">
        <f t="array" aca="1" ref="AS536" ca="1">INDEX(OFFSET($AK$19,MATCH($B536,$B$19:$B$150,0)-1,0,COUNTA($B$19:$B$24),COUNTA($AK$17:$BB$17)),MATCH($F536,$F$19:$F$24,0),MATCH(AS$17,$AK$17:$BB$17,0))*INDEX($10:$13,MATCH($O536,$R$10:$R$13,0),COLUMN())</f>
        <v>6.9131777129999997E-3</v>
      </c>
      <c r="AT536" s="1050" cm="1">
        <f t="array" aca="1" ref="AT536" ca="1">INDEX(OFFSET($AK$19,MATCH($B536,$B$19:$B$150,0)-1,0,COUNTA($B$19:$B$24),COUNTA($AK$17:$BB$17)),MATCH($F536,$F$19:$F$24,0),MATCH(AT$17,$AK$17:$BB$17,0))*INDEX($10:$13,MATCH($O536,$R$10:$R$13,0),COLUMN())</f>
        <v>1.0554219830000001E-5</v>
      </c>
      <c r="AU536" s="1050" cm="1">
        <f t="array" aca="1" ref="AU536" ca="1">INDEX(OFFSET($AK$19,MATCH($B536,$B$19:$B$150,0)-1,0,COUNTA($B$19:$B$24),COUNTA($AK$17:$BB$17)),MATCH($F536,$F$19:$F$24,0),MATCH(AU$17,$AK$17:$BB$17,0))*INDEX($10:$13,MATCH($O536,$R$10:$R$13,0),COLUMN())</f>
        <v>2.2208510112000002E-6</v>
      </c>
      <c r="AV536" s="1050" cm="1">
        <f t="array" aca="1" ref="AV536" ca="1">INDEX(OFFSET($AK$19,MATCH($B536,$B$19:$B$150,0)-1,0,COUNTA($B$19:$B$24),COUNTA($AK$17:$BB$17)),MATCH($F536,$F$19:$F$24,0),MATCH(AV$17,$AK$17:$BB$17,0))*INDEX($10:$13,MATCH($O536,$R$10:$R$13,0),COLUMN())</f>
        <v>7.8325396749999998E-2</v>
      </c>
      <c r="AW536" s="1050" cm="1">
        <f t="array" aca="1" ref="AW536" ca="1">INDEX(OFFSET($AK$19,MATCH($B536,$B$19:$B$150,0)-1,0,COUNTA($B$19:$B$24),COUNTA($AK$17:$BB$17)),MATCH($F536,$F$19:$F$24,0),MATCH(AW$17,$AK$17:$BB$17,0))*INDEX($10:$13,MATCH($O536,$R$10:$R$13,0),COLUMN())</f>
        <v>0.16365884954999999</v>
      </c>
      <c r="AX536" s="1050" cm="1">
        <f t="array" aca="1" ref="AX536" ca="1">INDEX(OFFSET($AK$19,MATCH($B536,$B$19:$B$150,0)-1,0,COUNTA($B$19:$B$24),COUNTA($AK$17:$BB$17)),MATCH($F536,$F$19:$F$24,0),MATCH(AX$17,$AK$17:$BB$17,0))*INDEX($10:$13,MATCH($O536,$R$10:$R$13,0),COLUMN())</f>
        <v>6.3117301649999999E-7</v>
      </c>
      <c r="AY536" s="1050" cm="1">
        <f t="array" aca="1" ref="AY536" ca="1">INDEX(OFFSET($AK$19,MATCH($B536,$B$19:$B$150,0)-1,0,COUNTA($B$19:$B$24),COUNTA($AK$17:$BB$17)),MATCH($F536,$F$19:$F$24,0),MATCH(AY$17,$AK$17:$BB$17,0))*INDEX($10:$13,MATCH($O536,$R$10:$R$13,0),COLUMN())</f>
        <v>-1.3062367349999997E-8</v>
      </c>
      <c r="AZ536" s="1050" cm="1">
        <f t="array" aca="1" ref="AZ536" ca="1">INDEX(OFFSET($AK$19,MATCH($B536,$B$19:$B$150,0)-1,0,COUNTA($B$19:$B$24),COUNTA($AK$17:$BB$17)),MATCH($F536,$F$19:$F$24,0),MATCH(AZ$17,$AK$17:$BB$17,0))*INDEX($10:$13,MATCH($O536,$R$10:$R$13,0),COLUMN())</f>
        <v>0</v>
      </c>
      <c r="BA536" s="1050" cm="1">
        <f t="array" aca="1" ref="BA536" ca="1">INDEX(OFFSET($AK$19,MATCH($B536,$B$19:$B$150,0)-1,0,COUNTA($B$19:$B$24),COUNTA($AK$17:$BB$17)),MATCH($F536,$F$19:$F$24,0),MATCH(BA$17,$AK$17:$BB$17,0))*INDEX($10:$13,MATCH($O536,$R$10:$R$13,0),COLUMN())</f>
        <v>0</v>
      </c>
      <c r="BB536" s="1051" cm="1">
        <f t="array" aca="1" ref="BB536" ca="1">INDEX(OFFSET($AK$19,MATCH($B536,$B$19:$B$150,0)-1,0,COUNTA($B$19:$B$24),COUNTA($AK$17:$BB$17)),MATCH($F536,$F$19:$F$24,0),MATCH(BB$17,$AK$17:$BB$17,0))*INDEX($10:$13,MATCH($O536,$R$10:$R$13,0),COLUMN())</f>
        <v>0</v>
      </c>
      <c r="BC536" s="1053">
        <f t="shared" ca="1" si="183"/>
        <v>0.16365946766064912</v>
      </c>
      <c r="BE536" s="1"/>
      <c r="BF536" s="1"/>
      <c r="BG536" s="1"/>
      <c r="BH536" s="1"/>
      <c r="BI536" s="1"/>
      <c r="BJ536" s="1"/>
      <c r="BK536" s="1"/>
      <c r="BL536" s="1"/>
      <c r="BM536" s="1"/>
      <c r="BN536" s="1"/>
      <c r="BO536" s="1"/>
      <c r="BP536" s="1"/>
      <c r="BQ536" s="1"/>
      <c r="BR536" s="1"/>
      <c r="BS536" s="1"/>
      <c r="BT536" s="1"/>
      <c r="BU536" s="1"/>
      <c r="BV536" s="1"/>
      <c r="BW536" s="1"/>
      <c r="BX536" s="1"/>
      <c r="BY536" s="1"/>
      <c r="BZ536" s="1"/>
    </row>
    <row r="537" spans="2:78" ht="12" customHeight="1" outlineLevel="1" x14ac:dyDescent="0.25">
      <c r="B537" s="88" t="s">
        <v>115</v>
      </c>
      <c r="C537" s="88" t="s">
        <v>124</v>
      </c>
      <c r="D537" s="89" t="s">
        <v>154</v>
      </c>
      <c r="E537" s="89" t="s">
        <v>115</v>
      </c>
      <c r="F537" s="90" t="s">
        <v>92</v>
      </c>
      <c r="G537" s="18" t="s">
        <v>126</v>
      </c>
      <c r="H537" s="91" t="s">
        <v>127</v>
      </c>
      <c r="I537" s="92" t="s">
        <v>127</v>
      </c>
      <c r="J537" s="142">
        <v>0.64</v>
      </c>
      <c r="K537" s="143">
        <v>0.35299999999999998</v>
      </c>
      <c r="L537" s="151">
        <f t="shared" ca="1" si="181"/>
        <v>0.83975313960468911</v>
      </c>
      <c r="M537" s="143">
        <f t="shared" ca="1" si="182"/>
        <v>0.64943285828045516</v>
      </c>
      <c r="N537" s="162">
        <f t="shared" ca="1" si="180"/>
        <v>0.29643285828045524</v>
      </c>
      <c r="O537" s="1060" t="s">
        <v>1584</v>
      </c>
      <c r="P537" s="88"/>
      <c r="Q537" s="89"/>
      <c r="R537" s="150"/>
      <c r="S537" s="1070"/>
      <c r="T537" s="1070"/>
      <c r="U537" s="1070"/>
      <c r="V537" s="1070"/>
      <c r="W537" s="1070"/>
      <c r="X537" s="1070"/>
      <c r="Y537" s="1070"/>
      <c r="Z537" s="1070"/>
      <c r="AA537" s="1070"/>
      <c r="AB537" s="1070"/>
      <c r="AC537" s="1070"/>
      <c r="AD537" s="1070"/>
      <c r="AE537" s="1070"/>
      <c r="AF537" s="1070"/>
      <c r="AG537" s="1070"/>
      <c r="AH537" s="1070"/>
      <c r="AI537" s="1070"/>
      <c r="AJ537" s="1071"/>
      <c r="AK537" s="1048" cm="1">
        <f t="array" aca="1" ref="AK537" ca="1">INDEX(OFFSET($AK$19,MATCH($B537,$B$19:$B$150,0)-1,0,COUNTA($B$19:$B$24),COUNTA($AK$17:$BB$17)),MATCH($F537,$F$19:$F$24,0),MATCH(AK$17,$AK$17:$BB$17,0))*INDEX($10:$13,MATCH($O537,$R$10:$R$13,0),COLUMN())</f>
        <v>8.3813142840223273E-2</v>
      </c>
      <c r="AL537" s="1046" cm="1">
        <f t="array" aca="1" ref="AL537" ca="1">INDEX(OFFSET($AK$19,MATCH($B537,$B$19:$B$150,0)-1,0,COUNTA($B$19:$B$24),COUNTA($AK$17:$BB$17)),MATCH($F537,$F$19:$F$24,0),MATCH(AL$17,$AK$17:$BB$17,0))*INDEX($10:$13,MATCH($O537,$R$10:$R$13,0),COLUMN())</f>
        <v>1.1369580144000001E-7</v>
      </c>
      <c r="AM537" s="1046" cm="1">
        <f t="array" aca="1" ref="AM537" ca="1">INDEX(OFFSET($AK$19,MATCH($B537,$B$19:$B$150,0)-1,0,COUNTA($B$19:$B$24),COUNTA($AK$17:$BB$17)),MATCH($F537,$F$19:$F$24,0),MATCH(AM$17,$AK$17:$BB$17,0))*INDEX($10:$13,MATCH($O537,$R$10:$R$13,0),COLUMN())</f>
        <v>1.9627018983000002E-4</v>
      </c>
      <c r="AN537" s="1046" cm="1">
        <f t="array" aca="1" ref="AN537" ca="1">INDEX(OFFSET($AK$19,MATCH($B537,$B$19:$B$150,0)-1,0,COUNTA($B$19:$B$24),COUNTA($AK$17:$BB$17)),MATCH($F537,$F$19:$F$24,0),MATCH(AN$17,$AK$17:$BB$17,0))*INDEX($10:$13,MATCH($O537,$R$10:$R$13,0),COLUMN())</f>
        <v>1.0430546279999999E-3</v>
      </c>
      <c r="AO537" s="1046" cm="1">
        <f t="array" aca="1" ref="AO537" ca="1">INDEX(OFFSET($AK$19,MATCH($B537,$B$19:$B$150,0)-1,0,COUNTA($B$19:$B$24),COUNTA($AK$17:$BB$17)),MATCH($F537,$F$19:$F$24,0),MATCH(AO$17,$AK$17:$BB$17,0))*INDEX($10:$13,MATCH($O537,$R$10:$R$13,0),COLUMN())</f>
        <v>0.13638817919999999</v>
      </c>
      <c r="AP537" s="1046" cm="1">
        <f t="array" aca="1" ref="AP537" ca="1">INDEX(OFFSET($AK$19,MATCH($B537,$B$19:$B$150,0)-1,0,COUNTA($B$19:$B$24),COUNTA($AK$17:$BB$17)),MATCH($F537,$F$19:$F$24,0),MATCH(AP$17,$AK$17:$BB$17,0))*INDEX($10:$13,MATCH($O537,$R$10:$R$13,0),COLUMN())</f>
        <v>1.8771944281999998E-2</v>
      </c>
      <c r="AQ537" s="1046" cm="1">
        <f t="array" aca="1" ref="AQ537" ca="1">INDEX(OFFSET($AK$19,MATCH($B537,$B$19:$B$150,0)-1,0,COUNTA($B$19:$B$24),COUNTA($AK$17:$BB$17)),MATCH($F537,$F$19:$F$24,0),MATCH(AQ$17,$AK$17:$BB$17,0))*INDEX($10:$13,MATCH($O537,$R$10:$R$13,0),COLUMN())</f>
        <v>4.9901342500000002E-5</v>
      </c>
      <c r="AR537" s="1046" cm="1">
        <f t="array" aca="1" ref="AR537" ca="1">INDEX(OFFSET($AK$19,MATCH($B537,$B$19:$B$150,0)-1,0,COUNTA($B$19:$B$24),COUNTA($AK$17:$BB$17)),MATCH($F537,$F$19:$F$24,0),MATCH(AR$17,$AK$17:$BB$17,0))*INDEX($10:$13,MATCH($O537,$R$10:$R$13,0),COLUMN())</f>
        <v>3.8187372779999999E-2</v>
      </c>
      <c r="AS537" s="1046" cm="1">
        <f t="array" aca="1" ref="AS537" ca="1">INDEX(OFFSET($AK$19,MATCH($B537,$B$19:$B$150,0)-1,0,COUNTA($B$19:$B$24),COUNTA($AK$17:$BB$17)),MATCH($F537,$F$19:$F$24,0),MATCH(AS$17,$AK$17:$BB$17,0))*INDEX($10:$13,MATCH($O537,$R$10:$R$13,0),COLUMN())</f>
        <v>3.4982309699999998E-3</v>
      </c>
      <c r="AT537" s="1046" cm="1">
        <f t="array" aca="1" ref="AT537" ca="1">INDEX(OFFSET($AK$19,MATCH($B537,$B$19:$B$150,0)-1,0,COUNTA($B$19:$B$24),COUNTA($AK$17:$BB$17)),MATCH($F537,$F$19:$F$24,0),MATCH(AT$17,$AK$17:$BB$17,0))*INDEX($10:$13,MATCH($O537,$R$10:$R$13,0),COLUMN())</f>
        <v>4.2362682445000002E-6</v>
      </c>
      <c r="AU537" s="1046" cm="1">
        <f t="array" aca="1" ref="AU537" ca="1">INDEX(OFFSET($AK$19,MATCH($B537,$B$19:$B$150,0)-1,0,COUNTA($B$19:$B$24),COUNTA($AK$17:$BB$17)),MATCH($F537,$F$19:$F$24,0),MATCH(AU$17,$AK$17:$BB$17,0))*INDEX($10:$13,MATCH($O537,$R$10:$R$13,0),COLUMN())</f>
        <v>2.8622703743999999E-7</v>
      </c>
      <c r="AV537" s="1046" cm="1">
        <f t="array" aca="1" ref="AV537" ca="1">INDEX(OFFSET($AK$19,MATCH($B537,$B$19:$B$150,0)-1,0,COUNTA($B$19:$B$24),COUNTA($AK$17:$BB$17)),MATCH($F537,$F$19:$F$24,0),MATCH(AV$17,$AK$17:$BB$17,0))*INDEX($10:$13,MATCH($O537,$R$10:$R$13,0),COLUMN())</f>
        <v>3.2109450324999999E-3</v>
      </c>
      <c r="AW537" s="1046" cm="1">
        <f t="array" aca="1" ref="AW537" ca="1">INDEX(OFFSET($AK$19,MATCH($B537,$B$19:$B$150,0)-1,0,COUNTA($B$19:$B$24),COUNTA($AK$17:$BB$17)),MATCH($F537,$F$19:$F$24,0),MATCH(AW$17,$AK$17:$BB$17,0))*INDEX($10:$13,MATCH($O537,$R$10:$R$13,0),COLUMN())</f>
        <v>1.0996474904999999E-2</v>
      </c>
      <c r="AX537" s="1046" cm="1">
        <f t="array" aca="1" ref="AX537" ca="1">INDEX(OFFSET($AK$19,MATCH($B537,$B$19:$B$150,0)-1,0,COUNTA($B$19:$B$24),COUNTA($AK$17:$BB$17)),MATCH($F537,$F$19:$F$24,0),MATCH(AX$17,$AK$17:$BB$17,0))*INDEX($10:$13,MATCH($O537,$R$10:$R$13,0),COLUMN())</f>
        <v>1.2196081859999999E-7</v>
      </c>
      <c r="AY537" s="1046" cm="1">
        <f t="array" aca="1" ref="AY537" ca="1">INDEX(OFFSET($AK$19,MATCH($B537,$B$19:$B$150,0)-1,0,COUNTA($B$19:$B$24),COUNTA($AK$17:$BB$17)),MATCH($F537,$F$19:$F$24,0),MATCH(AY$17,$AK$17:$BB$17,0))*INDEX($10:$13,MATCH($O537,$R$10:$R$13,0),COLUMN())</f>
        <v>2.7258395849999993E-4</v>
      </c>
      <c r="AZ537" s="1046" cm="1">
        <f t="array" aca="1" ref="AZ537" ca="1">INDEX(OFFSET($AK$19,MATCH($B537,$B$19:$B$150,0)-1,0,COUNTA($B$19:$B$24),COUNTA($AK$17:$BB$17)),MATCH($F537,$F$19:$F$24,0),MATCH(AZ$17,$AK$17:$BB$17,0))*INDEX($10:$13,MATCH($O537,$R$10:$R$13,0),COLUMN())</f>
        <v>0</v>
      </c>
      <c r="BA537" s="1046" cm="1">
        <f t="array" aca="1" ref="BA537" ca="1">INDEX(OFFSET($AK$19,MATCH($B537,$B$19:$B$150,0)-1,0,COUNTA($B$19:$B$24),COUNTA($AK$17:$BB$17)),MATCH($F537,$F$19:$F$24,0),MATCH(BA$17,$AK$17:$BB$17,0))*INDEX($10:$13,MATCH($O537,$R$10:$R$13,0),COLUMN())</f>
        <v>0</v>
      </c>
      <c r="BB537" s="1047" cm="1">
        <f t="array" aca="1" ref="BB537" ca="1">INDEX(OFFSET($AK$19,MATCH($B537,$B$19:$B$150,0)-1,0,COUNTA($B$19:$B$24),COUNTA($AK$17:$BB$17)),MATCH($F537,$F$19:$F$24,0),MATCH(BB$17,$AK$17:$BB$17,0))*INDEX($10:$13,MATCH($O537,$R$10:$R$13,0),COLUMN())</f>
        <v>0</v>
      </c>
      <c r="BC537" s="1049">
        <f t="shared" ca="1" si="183"/>
        <v>1.12691808243186E-2</v>
      </c>
      <c r="BE537" s="1"/>
      <c r="BF537" s="1"/>
      <c r="BG537" s="1"/>
      <c r="BH537" s="1"/>
      <c r="BI537" s="1"/>
      <c r="BJ537" s="1"/>
      <c r="BK537" s="1"/>
      <c r="BL537" s="1"/>
      <c r="BM537" s="1"/>
      <c r="BN537" s="1"/>
      <c r="BO537" s="1"/>
      <c r="BP537" s="1"/>
      <c r="BQ537" s="1"/>
      <c r="BR537" s="1"/>
      <c r="BS537" s="1"/>
      <c r="BT537" s="1"/>
      <c r="BU537" s="1"/>
      <c r="BV537" s="1"/>
      <c r="BW537" s="1"/>
      <c r="BX537" s="1"/>
      <c r="BY537" s="1"/>
      <c r="BZ537" s="1"/>
    </row>
    <row r="538" spans="2:78" ht="12" customHeight="1" outlineLevel="1" x14ac:dyDescent="0.25">
      <c r="B538" s="104" t="s">
        <v>115</v>
      </c>
      <c r="C538" s="104" t="s">
        <v>124</v>
      </c>
      <c r="D538" s="2" t="s">
        <v>154</v>
      </c>
      <c r="E538" s="2" t="s">
        <v>115</v>
      </c>
      <c r="F538" s="105" t="s">
        <v>122</v>
      </c>
      <c r="G538" s="27" t="s">
        <v>1579</v>
      </c>
      <c r="H538" s="106" t="s">
        <v>128</v>
      </c>
      <c r="I538" s="107" t="s">
        <v>129</v>
      </c>
      <c r="J538" s="147">
        <v>0.64</v>
      </c>
      <c r="K538" s="148">
        <v>0.4819</v>
      </c>
      <c r="L538" s="149">
        <f t="shared" ca="1" si="181"/>
        <v>0.59791989600923001</v>
      </c>
      <c r="M538" s="148">
        <f t="shared" ca="1" si="182"/>
        <v>0.77003759788684789</v>
      </c>
      <c r="N538" s="163">
        <f t="shared" ca="1" si="180"/>
        <v>0.28813759788684795</v>
      </c>
      <c r="O538" s="1061" t="s">
        <v>1584</v>
      </c>
      <c r="P538" s="104"/>
      <c r="R538" s="119"/>
      <c r="S538" s="1072"/>
      <c r="T538" s="1072"/>
      <c r="U538" s="1072"/>
      <c r="V538" s="1072"/>
      <c r="W538" s="1072"/>
      <c r="X538" s="1072"/>
      <c r="Y538" s="1072"/>
      <c r="Z538" s="1072"/>
      <c r="AA538" s="1072"/>
      <c r="AB538" s="1072"/>
      <c r="AC538" s="1072"/>
      <c r="AD538" s="1072"/>
      <c r="AE538" s="1072"/>
      <c r="AF538" s="1072"/>
      <c r="AG538" s="1072"/>
      <c r="AH538" s="1072"/>
      <c r="AI538" s="1072"/>
      <c r="AJ538" s="1073"/>
      <c r="AK538" s="1052" cm="1">
        <f t="array" aca="1" ref="AK538" ca="1">INDEX(OFFSET($AK$19,MATCH($B538,$B$19:$B$150,0)-1,0,COUNTA($B$19:$B$24),COUNTA($AK$17:$BB$17)),MATCH($F538,$F$19:$F$24,0),MATCH(AK$17,$AK$17:$BB$17,0))*INDEX($10:$13,MATCH($O538,$R$10:$R$13,0),COLUMN())</f>
        <v>7.0695621417854237E-2</v>
      </c>
      <c r="AL538" s="1050" cm="1">
        <f t="array" aca="1" ref="AL538" ca="1">INDEX(OFFSET($AK$19,MATCH($B538,$B$19:$B$150,0)-1,0,COUNTA($B$19:$B$24),COUNTA($AK$17:$BB$17)),MATCH($F538,$F$19:$F$24,0),MATCH(AL$17,$AK$17:$BB$17,0))*INDEX($10:$13,MATCH($O538,$R$10:$R$13,0),COLUMN())</f>
        <v>1.3094873441E-7</v>
      </c>
      <c r="AM538" s="1050" cm="1">
        <f t="array" aca="1" ref="AM538" ca="1">INDEX(OFFSET($AK$19,MATCH($B538,$B$19:$B$150,0)-1,0,COUNTA($B$19:$B$24),COUNTA($AK$17:$BB$17)),MATCH($F538,$F$19:$F$24,0),MATCH(AM$17,$AK$17:$BB$17,0))*INDEX($10:$13,MATCH($O538,$R$10:$R$13,0),COLUMN())</f>
        <v>2.2220866403999999E-4</v>
      </c>
      <c r="AN538" s="1050" cm="1">
        <f t="array" aca="1" ref="AN538" ca="1">INDEX(OFFSET($AK$19,MATCH($B538,$B$19:$B$150,0)-1,0,COUNTA($B$19:$B$24),COUNTA($AK$17:$BB$17)),MATCH($F538,$F$19:$F$24,0),MATCH(AN$17,$AK$17:$BB$17,0))*INDEX($10:$13,MATCH($O538,$R$10:$R$13,0),COLUMN())</f>
        <v>1.0274578439999999E-3</v>
      </c>
      <c r="AO538" s="1050" cm="1">
        <f t="array" aca="1" ref="AO538" ca="1">INDEX(OFFSET($AK$19,MATCH($B538,$B$19:$B$150,0)-1,0,COUNTA($B$19:$B$24),COUNTA($AK$17:$BB$17)),MATCH($F538,$F$19:$F$24,0),MATCH(AO$17,$AK$17:$BB$17,0))*INDEX($10:$13,MATCH($O538,$R$10:$R$13,0),COLUMN())</f>
        <v>0.14129796519999999</v>
      </c>
      <c r="AP538" s="1050" cm="1">
        <f t="array" aca="1" ref="AP538" ca="1">INDEX(OFFSET($AK$19,MATCH($B538,$B$19:$B$150,0)-1,0,COUNTA($B$19:$B$24),COUNTA($AK$17:$BB$17)),MATCH($F538,$F$19:$F$24,0),MATCH(AP$17,$AK$17:$BB$17,0))*INDEX($10:$13,MATCH($O538,$R$10:$R$13,0),COLUMN())</f>
        <v>1.9558559398000001E-2</v>
      </c>
      <c r="AQ538" s="1050" cm="1">
        <f t="array" aca="1" ref="AQ538" ca="1">INDEX(OFFSET($AK$19,MATCH($B538,$B$19:$B$150,0)-1,0,COUNTA($B$19:$B$24),COUNTA($AK$17:$BB$17)),MATCH($F538,$F$19:$F$24,0),MATCH(AQ$17,$AK$17:$BB$17,0))*INDEX($10:$13,MATCH($O538,$R$10:$R$13,0),COLUMN())</f>
        <v>4.2535532499999998E-5</v>
      </c>
      <c r="AR538" s="1050" cm="1">
        <f t="array" aca="1" ref="AR538" ca="1">INDEX(OFFSET($AK$19,MATCH($B538,$B$19:$B$150,0)-1,0,COUNTA($B$19:$B$24),COUNTA($AK$17:$BB$17)),MATCH($F538,$F$19:$F$24,0),MATCH(AR$17,$AK$17:$BB$17,0))*INDEX($10:$13,MATCH($O538,$R$10:$R$13,0),COLUMN())</f>
        <v>3.3733641299999999E-2</v>
      </c>
      <c r="AS538" s="1050" cm="1">
        <f t="array" aca="1" ref="AS538" ca="1">INDEX(OFFSET($AK$19,MATCH($B538,$B$19:$B$150,0)-1,0,COUNTA($B$19:$B$24),COUNTA($AK$17:$BB$17)),MATCH($F538,$F$19:$F$24,0),MATCH(AS$17,$AK$17:$BB$17,0))*INDEX($10:$13,MATCH($O538,$R$10:$R$13,0),COLUMN())</f>
        <v>2.2726904849999999E-4</v>
      </c>
      <c r="AT538" s="1050" cm="1">
        <f t="array" aca="1" ref="AT538" ca="1">INDEX(OFFSET($AK$19,MATCH($B538,$B$19:$B$150,0)-1,0,COUNTA($B$19:$B$24),COUNTA($AK$17:$BB$17)),MATCH($F538,$F$19:$F$24,0),MATCH(AT$17,$AK$17:$BB$17,0))*INDEX($10:$13,MATCH($O538,$R$10:$R$13,0),COLUMN())</f>
        <v>5.3530468500000004E-7</v>
      </c>
      <c r="AU538" s="1050" cm="1">
        <f t="array" aca="1" ref="AU538" ca="1">INDEX(OFFSET($AK$19,MATCH($B538,$B$19:$B$150,0)-1,0,COUNTA($B$19:$B$24),COUNTA($AK$17:$BB$17)),MATCH($F538,$F$19:$F$24,0),MATCH(AU$17,$AK$17:$BB$17,0))*INDEX($10:$13,MATCH($O538,$R$10:$R$13,0),COLUMN())</f>
        <v>1.0921291072000001E-7</v>
      </c>
      <c r="AV538" s="1050" cm="1">
        <f t="array" aca="1" ref="AV538" ca="1">INDEX(OFFSET($AK$19,MATCH($B538,$B$19:$B$150,0)-1,0,COUNTA($B$19:$B$24),COUNTA($AK$17:$BB$17)),MATCH($F538,$F$19:$F$24,0),MATCH(AV$17,$AK$17:$BB$17,0))*INDEX($10:$13,MATCH($O538,$R$10:$R$13,0),COLUMN())</f>
        <v>2.2364088774999998E-3</v>
      </c>
      <c r="AW538" s="1050" cm="1">
        <f t="array" aca="1" ref="AW538" ca="1">INDEX(OFFSET($AK$19,MATCH($B538,$B$19:$B$150,0)-1,0,COUNTA($B$19:$B$24),COUNTA($AK$17:$BB$17)),MATCH($F538,$F$19:$F$24,0),MATCH(AW$17,$AK$17:$BB$17,0))*INDEX($10:$13,MATCH($O538,$R$10:$R$13,0),COLUMN())</f>
        <v>1.9095074984999998E-2</v>
      </c>
      <c r="AX538" s="1050" cm="1">
        <f t="array" aca="1" ref="AX538" ca="1">INDEX(OFFSET($AK$19,MATCH($B538,$B$19:$B$150,0)-1,0,COUNTA($B$19:$B$24),COUNTA($AK$17:$BB$17)),MATCH($F538,$F$19:$F$24,0),MATCH(AX$17,$AK$17:$BB$17,0))*INDEX($10:$13,MATCH($O538,$R$10:$R$13,0),COLUMN())</f>
        <v>8.1569718749999994E-8</v>
      </c>
      <c r="AY538" s="1050" cm="1">
        <f t="array" aca="1" ref="AY538" ca="1">INDEX(OFFSET($AK$19,MATCH($B538,$B$19:$B$150,0)-1,0,COUNTA($B$19:$B$24),COUNTA($AK$17:$BB$17)),MATCH($F538,$F$19:$F$24,0),MATCH(AY$17,$AK$17:$BB$17,0))*INDEX($10:$13,MATCH($O538,$R$10:$R$13,0),COLUMN())</f>
        <v>-1.4165951568749997E-9</v>
      </c>
      <c r="AZ538" s="1050" cm="1">
        <f t="array" aca="1" ref="AZ538" ca="1">INDEX(OFFSET($AK$19,MATCH($B538,$B$19:$B$150,0)-1,0,COUNTA($B$19:$B$24),COUNTA($AK$17:$BB$17)),MATCH($F538,$F$19:$F$24,0),MATCH(AZ$17,$AK$17:$BB$17,0))*INDEX($10:$13,MATCH($O538,$R$10:$R$13,0),COLUMN())</f>
        <v>0</v>
      </c>
      <c r="BA538" s="1050" cm="1">
        <f t="array" aca="1" ref="BA538" ca="1">INDEX(OFFSET($AK$19,MATCH($B538,$B$19:$B$150,0)-1,0,COUNTA($B$19:$B$24),COUNTA($AK$17:$BB$17)),MATCH($F538,$F$19:$F$24,0),MATCH(BA$17,$AK$17:$BB$17,0))*INDEX($10:$13,MATCH($O538,$R$10:$R$13,0),COLUMN())</f>
        <v>0</v>
      </c>
      <c r="BB538" s="1051" cm="1">
        <f t="array" aca="1" ref="BB538" ca="1">INDEX(OFFSET($AK$19,MATCH($B538,$B$19:$B$150,0)-1,0,COUNTA($B$19:$B$24),COUNTA($AK$17:$BB$17)),MATCH($F538,$F$19:$F$24,0),MATCH(BB$17,$AK$17:$BB$17,0))*INDEX($10:$13,MATCH($O538,$R$10:$R$13,0),COLUMN())</f>
        <v>0</v>
      </c>
      <c r="BC538" s="1053">
        <f t="shared" ca="1" si="183"/>
        <v>1.9095155138123591E-2</v>
      </c>
      <c r="BE538" s="1"/>
      <c r="BF538" s="1"/>
      <c r="BG538" s="1"/>
      <c r="BH538" s="1"/>
      <c r="BI538" s="1"/>
      <c r="BJ538" s="1"/>
      <c r="BK538" s="1"/>
      <c r="BL538" s="1"/>
      <c r="BM538" s="1"/>
      <c r="BN538" s="1"/>
      <c r="BO538" s="1"/>
      <c r="BP538" s="1"/>
      <c r="BQ538" s="1"/>
      <c r="BR538" s="1"/>
      <c r="BS538" s="1"/>
      <c r="BT538" s="1"/>
      <c r="BU538" s="1"/>
      <c r="BV538" s="1"/>
      <c r="BW538" s="1"/>
      <c r="BX538" s="1"/>
      <c r="BY538" s="1"/>
      <c r="BZ538" s="1"/>
    </row>
    <row r="539" spans="2:78" ht="12" customHeight="1" outlineLevel="1" x14ac:dyDescent="0.25">
      <c r="B539" s="104" t="s">
        <v>115</v>
      </c>
      <c r="C539" s="104" t="s">
        <v>124</v>
      </c>
      <c r="D539" s="2" t="s">
        <v>154</v>
      </c>
      <c r="E539" s="2" t="s">
        <v>115</v>
      </c>
      <c r="F539" s="105" t="s">
        <v>93</v>
      </c>
      <c r="G539" s="27" t="s">
        <v>1578</v>
      </c>
      <c r="H539" s="106" t="s">
        <v>130</v>
      </c>
      <c r="I539" s="107" t="s">
        <v>129</v>
      </c>
      <c r="J539" s="147">
        <v>0.64</v>
      </c>
      <c r="K539" s="148">
        <v>0.4819</v>
      </c>
      <c r="L539" s="149">
        <f t="shared" ca="1" si="181"/>
        <v>0.68806387606881636</v>
      </c>
      <c r="M539" s="148">
        <f t="shared" ca="1" si="182"/>
        <v>0.81347798187756259</v>
      </c>
      <c r="N539" s="163">
        <f t="shared" ca="1" si="180"/>
        <v>0.3315779818775626</v>
      </c>
      <c r="O539" s="1061" t="s">
        <v>1584</v>
      </c>
      <c r="P539" s="104"/>
      <c r="R539" s="119"/>
      <c r="S539" s="1072"/>
      <c r="T539" s="1072"/>
      <c r="U539" s="1072"/>
      <c r="V539" s="1072"/>
      <c r="W539" s="1072"/>
      <c r="X539" s="1072"/>
      <c r="Y539" s="1072"/>
      <c r="Z539" s="1072"/>
      <c r="AA539" s="1072"/>
      <c r="AB539" s="1072"/>
      <c r="AC539" s="1072"/>
      <c r="AD539" s="1072"/>
      <c r="AE539" s="1072"/>
      <c r="AF539" s="1072"/>
      <c r="AG539" s="1072"/>
      <c r="AH539" s="1072"/>
      <c r="AI539" s="1072"/>
      <c r="AJ539" s="1073"/>
      <c r="AK539" s="1052" cm="1">
        <f t="array" aca="1" ref="AK539" ca="1">INDEX(OFFSET($AK$19,MATCH($B539,$B$19:$B$150,0)-1,0,COUNTA($B$19:$B$24),COUNTA($AK$17:$BB$17)),MATCH($F539,$F$19:$F$24,0),MATCH(AK$17,$AK$17:$BB$17,0))*INDEX($10:$13,MATCH($O539,$R$10:$R$13,0),COLUMN())</f>
        <v>7.9733812341457377E-2</v>
      </c>
      <c r="AL539" s="1050" cm="1">
        <f t="array" aca="1" ref="AL539" ca="1">INDEX(OFFSET($AK$19,MATCH($B539,$B$19:$B$150,0)-1,0,COUNTA($B$19:$B$24),COUNTA($AK$17:$BB$17)),MATCH($F539,$F$19:$F$24,0),MATCH(AL$17,$AK$17:$BB$17,0))*INDEX($10:$13,MATCH($O539,$R$10:$R$13,0),COLUMN())</f>
        <v>1.4771455465000003E-7</v>
      </c>
      <c r="AM539" s="1050" cm="1">
        <f t="array" aca="1" ref="AM539" ca="1">INDEX(OFFSET($AK$19,MATCH($B539,$B$19:$B$150,0)-1,0,COUNTA($B$19:$B$24),COUNTA($AK$17:$BB$17)),MATCH($F539,$F$19:$F$24,0),MATCH(AM$17,$AK$17:$BB$17,0))*INDEX($10:$13,MATCH($O539,$R$10:$R$13,0),COLUMN())</f>
        <v>2.5041981195000001E-4</v>
      </c>
      <c r="AN539" s="1050" cm="1">
        <f t="array" aca="1" ref="AN539" ca="1">INDEX(OFFSET($AK$19,MATCH($B539,$B$19:$B$150,0)-1,0,COUNTA($B$19:$B$24),COUNTA($AK$17:$BB$17)),MATCH($F539,$F$19:$F$24,0),MATCH(AN$17,$AK$17:$BB$17,0))*INDEX($10:$13,MATCH($O539,$R$10:$R$13,0),COLUMN())</f>
        <v>1.243780356E-3</v>
      </c>
      <c r="AO539" s="1050" cm="1">
        <f t="array" aca="1" ref="AO539" ca="1">INDEX(OFFSET($AK$19,MATCH($B539,$B$19:$B$150,0)-1,0,COUNTA($B$19:$B$24),COUNTA($AK$17:$BB$17)),MATCH($F539,$F$19:$F$24,0),MATCH(AO$17,$AK$17:$BB$17,0))*INDEX($10:$13,MATCH($O539,$R$10:$R$13,0),COLUMN())</f>
        <v>0.1594046636</v>
      </c>
      <c r="AP539" s="1050" cm="1">
        <f t="array" aca="1" ref="AP539" ca="1">INDEX(OFFSET($AK$19,MATCH($B539,$B$19:$B$150,0)-1,0,COUNTA($B$19:$B$24),COUNTA($AK$17:$BB$17)),MATCH($F539,$F$19:$F$24,0),MATCH(AP$17,$AK$17:$BB$17,0))*INDEX($10:$13,MATCH($O539,$R$10:$R$13,0),COLUMN())</f>
        <v>2.1981567352000003E-2</v>
      </c>
      <c r="AQ539" s="1050" cm="1">
        <f t="array" aca="1" ref="AQ539" ca="1">INDEX(OFFSET($AK$19,MATCH($B539,$B$19:$B$150,0)-1,0,COUNTA($B$19:$B$24),COUNTA($AK$17:$BB$17)),MATCH($F539,$F$19:$F$24,0),MATCH(AQ$17,$AK$17:$BB$17,0))*INDEX($10:$13,MATCH($O539,$R$10:$R$13,0),COLUMN())</f>
        <v>4.9950565E-5</v>
      </c>
      <c r="AR539" s="1050" cm="1">
        <f t="array" aca="1" ref="AR539" ca="1">INDEX(OFFSET($AK$19,MATCH($B539,$B$19:$B$150,0)-1,0,COUNTA($B$19:$B$24),COUNTA($AK$17:$BB$17)),MATCH($F539,$F$19:$F$24,0),MATCH(AR$17,$AK$17:$BB$17,0))*INDEX($10:$13,MATCH($O539,$R$10:$R$13,0),COLUMN())</f>
        <v>3.911806827E-2</v>
      </c>
      <c r="AS539" s="1050" cm="1">
        <f t="array" aca="1" ref="AS539" ca="1">INDEX(OFFSET($AK$19,MATCH($B539,$B$19:$B$150,0)-1,0,COUNTA($B$19:$B$24),COUNTA($AK$17:$BB$17)),MATCH($F539,$F$19:$F$24,0),MATCH(AS$17,$AK$17:$BB$17,0))*INDEX($10:$13,MATCH($O539,$R$10:$R$13,0),COLUMN())</f>
        <v>2.7475765199999998E-4</v>
      </c>
      <c r="AT539" s="1050" cm="1">
        <f t="array" aca="1" ref="AT539" ca="1">INDEX(OFFSET($AK$19,MATCH($B539,$B$19:$B$150,0)-1,0,COUNTA($B$19:$B$24),COUNTA($AK$17:$BB$17)),MATCH($F539,$F$19:$F$24,0),MATCH(AT$17,$AK$17:$BB$17,0))*INDEX($10:$13,MATCH($O539,$R$10:$R$13,0),COLUMN())</f>
        <v>6.5985675899999998E-7</v>
      </c>
      <c r="AU539" s="1050" cm="1">
        <f t="array" aca="1" ref="AU539" ca="1">INDEX(OFFSET($AK$19,MATCH($B539,$B$19:$B$150,0)-1,0,COUNTA($B$19:$B$24),COUNTA($AK$17:$BB$17)),MATCH($F539,$F$19:$F$24,0),MATCH(AU$17,$AK$17:$BB$17,0))*INDEX($10:$13,MATCH($O539,$R$10:$R$13,0),COLUMN())</f>
        <v>1.3544223391999999E-7</v>
      </c>
      <c r="AV539" s="1050" cm="1">
        <f t="array" aca="1" ref="AV539" ca="1">INDEX(OFFSET($AK$19,MATCH($B539,$B$19:$B$150,0)-1,0,COUNTA($B$19:$B$24),COUNTA($AK$17:$BB$17)),MATCH($F539,$F$19:$F$24,0),MATCH(AV$17,$AK$17:$BB$17,0))*INDEX($10:$13,MATCH($O539,$R$10:$R$13,0),COLUMN())</f>
        <v>2.8409438199999996E-3</v>
      </c>
      <c r="AW539" s="1050" cm="1">
        <f t="array" aca="1" ref="AW539" ca="1">INDEX(OFFSET($AK$19,MATCH($B539,$B$19:$B$150,0)-1,0,COUNTA($B$19:$B$24),COUNTA($AK$17:$BB$17)),MATCH($F539,$F$19:$F$24,0),MATCH(AW$17,$AK$17:$BB$17,0))*INDEX($10:$13,MATCH($O539,$R$10:$R$13,0),COLUMN())</f>
        <v>2.667898485E-2</v>
      </c>
      <c r="AX539" s="1050" cm="1">
        <f t="array" aca="1" ref="AX539" ca="1">INDEX(OFFSET($AK$19,MATCH($B539,$B$19:$B$150,0)-1,0,COUNTA($B$19:$B$24),COUNTA($AK$17:$BB$17)),MATCH($F539,$F$19:$F$24,0),MATCH(AX$17,$AK$17:$BB$17,0))*INDEX($10:$13,MATCH($O539,$R$10:$R$13,0),COLUMN())</f>
        <v>9.186449204999999E-8</v>
      </c>
      <c r="AY539" s="1050" cm="1">
        <f t="array" aca="1" ref="AY539" ca="1">INDEX(OFFSET($AK$19,MATCH($B539,$B$19:$B$150,0)-1,0,COUNTA($B$19:$B$24),COUNTA($AK$17:$BB$17)),MATCH($F539,$F$19:$F$24,0),MATCH(AY$17,$AK$17:$BB$17,0))*INDEX($10:$13,MATCH($O539,$R$10:$R$13,0),COLUMN())</f>
        <v>-1.6188844893749997E-9</v>
      </c>
      <c r="AZ539" s="1050" cm="1">
        <f t="array" aca="1" ref="AZ539" ca="1">INDEX(OFFSET($AK$19,MATCH($B539,$B$19:$B$150,0)-1,0,COUNTA($B$19:$B$24),COUNTA($AK$17:$BB$17)),MATCH($F539,$F$19:$F$24,0),MATCH(AZ$17,$AK$17:$BB$17,0))*INDEX($10:$13,MATCH($O539,$R$10:$R$13,0),COLUMN())</f>
        <v>0</v>
      </c>
      <c r="BA539" s="1050" cm="1">
        <f t="array" aca="1" ref="BA539" ca="1">INDEX(OFFSET($AK$19,MATCH($B539,$B$19:$B$150,0)-1,0,COUNTA($B$19:$B$24),COUNTA($AK$17:$BB$17)),MATCH($F539,$F$19:$F$24,0),MATCH(BA$17,$AK$17:$BB$17,0))*INDEX($10:$13,MATCH($O539,$R$10:$R$13,0),COLUMN())</f>
        <v>0</v>
      </c>
      <c r="BB539" s="1051" cm="1">
        <f t="array" aca="1" ref="BB539" ca="1">INDEX(OFFSET($AK$19,MATCH($B539,$B$19:$B$150,0)-1,0,COUNTA($B$19:$B$24),COUNTA($AK$17:$BB$17)),MATCH($F539,$F$19:$F$24,0),MATCH(BB$17,$AK$17:$BB$17,0))*INDEX($10:$13,MATCH($O539,$R$10:$R$13,0),COLUMN())</f>
        <v>0</v>
      </c>
      <c r="BC539" s="1053">
        <f t="shared" ca="1" si="183"/>
        <v>2.6679075095607564E-2</v>
      </c>
      <c r="BE539" s="1"/>
      <c r="BF539" s="1"/>
      <c r="BG539" s="1"/>
      <c r="BH539" s="1"/>
      <c r="BI539" s="1"/>
      <c r="BJ539" s="1"/>
      <c r="BK539" s="1"/>
      <c r="BL539" s="1"/>
      <c r="BM539" s="1"/>
      <c r="BN539" s="1"/>
      <c r="BO539" s="1"/>
      <c r="BP539" s="1"/>
      <c r="BQ539" s="1"/>
      <c r="BR539" s="1"/>
      <c r="BS539" s="1"/>
      <c r="BT539" s="1"/>
      <c r="BU539" s="1"/>
      <c r="BV539" s="1"/>
      <c r="BW539" s="1"/>
      <c r="BX539" s="1"/>
      <c r="BY539" s="1"/>
      <c r="BZ539" s="1"/>
    </row>
    <row r="540" spans="2:78" ht="12" customHeight="1" outlineLevel="1" x14ac:dyDescent="0.25">
      <c r="B540" s="104" t="s">
        <v>115</v>
      </c>
      <c r="C540" s="104" t="s">
        <v>124</v>
      </c>
      <c r="D540" s="2" t="s">
        <v>154</v>
      </c>
      <c r="E540" s="2" t="s">
        <v>115</v>
      </c>
      <c r="F540" s="105" t="s">
        <v>94</v>
      </c>
      <c r="G540" s="27" t="s">
        <v>1580</v>
      </c>
      <c r="H540" s="106" t="s">
        <v>131</v>
      </c>
      <c r="I540" s="107" t="s">
        <v>129</v>
      </c>
      <c r="J540" s="147">
        <v>0.64</v>
      </c>
      <c r="K540" s="148">
        <v>0.4819</v>
      </c>
      <c r="L540" s="149">
        <f t="shared" ca="1" si="181"/>
        <v>0.53212997093163472</v>
      </c>
      <c r="M540" s="148">
        <f t="shared" ca="1" si="182"/>
        <v>0.73833343299195475</v>
      </c>
      <c r="N540" s="163">
        <f t="shared" ca="1" si="180"/>
        <v>0.25643343299195476</v>
      </c>
      <c r="O540" s="1061" t="s">
        <v>1584</v>
      </c>
      <c r="P540" s="104"/>
      <c r="R540" s="119"/>
      <c r="S540" s="1072"/>
      <c r="T540" s="1072"/>
      <c r="U540" s="1072"/>
      <c r="V540" s="1072"/>
      <c r="W540" s="1072"/>
      <c r="X540" s="1072"/>
      <c r="Y540" s="1072"/>
      <c r="Z540" s="1072"/>
      <c r="AA540" s="1072"/>
      <c r="AB540" s="1072"/>
      <c r="AC540" s="1072"/>
      <c r="AD540" s="1072"/>
      <c r="AE540" s="1072"/>
      <c r="AF540" s="1072"/>
      <c r="AG540" s="1072"/>
      <c r="AH540" s="1072"/>
      <c r="AI540" s="1072"/>
      <c r="AJ540" s="1073"/>
      <c r="AK540" s="1052" cm="1">
        <f t="array" aca="1" ref="AK540" ca="1">INDEX(OFFSET($AK$19,MATCH($B540,$B$19:$B$150,0)-1,0,COUNTA($B$19:$B$24),COUNTA($AK$17:$BB$17)),MATCH($F540,$F$19:$F$24,0),MATCH(AK$17,$AK$17:$BB$17,0))*INDEX($10:$13,MATCH($O540,$R$10:$R$13,0),COLUMN())</f>
        <v>6.381486094460824E-2</v>
      </c>
      <c r="AL540" s="1050" cm="1">
        <f t="array" aca="1" ref="AL540" ca="1">INDEX(OFFSET($AK$19,MATCH($B540,$B$19:$B$150,0)-1,0,COUNTA($B$19:$B$24),COUNTA($AK$17:$BB$17)),MATCH($F540,$F$19:$F$24,0),MATCH(AL$17,$AK$17:$BB$17,0))*INDEX($10:$13,MATCH($O540,$R$10:$R$13,0),COLUMN())</f>
        <v>1.1819666975999999E-7</v>
      </c>
      <c r="AM540" s="1050" cm="1">
        <f t="array" aca="1" ref="AM540" ca="1">INDEX(OFFSET($AK$19,MATCH($B540,$B$19:$B$150,0)-1,0,COUNTA($B$19:$B$24),COUNTA($AK$17:$BB$17)),MATCH($F540,$F$19:$F$24,0),MATCH(AM$17,$AK$17:$BB$17,0))*INDEX($10:$13,MATCH($O540,$R$10:$R$13,0),COLUMN())</f>
        <v>2.0069977850999999E-4</v>
      </c>
      <c r="AN540" s="1050" cm="1">
        <f t="array" aca="1" ref="AN540" ca="1">INDEX(OFFSET($AK$19,MATCH($B540,$B$19:$B$150,0)-1,0,COUNTA($B$19:$B$24),COUNTA($AK$17:$BB$17)),MATCH($F540,$F$19:$F$24,0),MATCH(AN$17,$AK$17:$BB$17,0))*INDEX($10:$13,MATCH($O540,$R$10:$R$13,0),COLUMN())</f>
        <v>8.8057972799999995E-4</v>
      </c>
      <c r="AO540" s="1050" cm="1">
        <f t="array" aca="1" ref="AO540" ca="1">INDEX(OFFSET($AK$19,MATCH($B540,$B$19:$B$150,0)-1,0,COUNTA($B$19:$B$24),COUNTA($AK$17:$BB$17)),MATCH($F540,$F$19:$F$24,0),MATCH(AO$17,$AK$17:$BB$17,0))*INDEX($10:$13,MATCH($O540,$R$10:$R$13,0),COLUMN())</f>
        <v>0.12745759600000001</v>
      </c>
      <c r="AP540" s="1050" cm="1">
        <f t="array" aca="1" ref="AP540" ca="1">INDEX(OFFSET($AK$19,MATCH($B540,$B$19:$B$150,0)-1,0,COUNTA($B$19:$B$24),COUNTA($AK$17:$BB$17)),MATCH($F540,$F$19:$F$24,0),MATCH(AP$17,$AK$17:$BB$17,0))*INDEX($10:$13,MATCH($O540,$R$10:$R$13,0),COLUMN())</f>
        <v>1.7688260145999998E-2</v>
      </c>
      <c r="AQ540" s="1050" cm="1">
        <f t="array" aca="1" ref="AQ540" ca="1">INDEX(OFFSET($AK$19,MATCH($B540,$B$19:$B$150,0)-1,0,COUNTA($B$19:$B$24),COUNTA($AK$17:$BB$17)),MATCH($F540,$F$19:$F$24,0),MATCH(AQ$17,$AK$17:$BB$17,0))*INDEX($10:$13,MATCH($O540,$R$10:$R$13,0),COLUMN())</f>
        <v>3.7268172499999998E-5</v>
      </c>
      <c r="AR540" s="1050" cm="1">
        <f t="array" aca="1" ref="AR540" ca="1">INDEX(OFFSET($AK$19,MATCH($B540,$B$19:$B$150,0)-1,0,COUNTA($B$19:$B$24),COUNTA($AK$17:$BB$17)),MATCH($F540,$F$19:$F$24,0),MATCH(AR$17,$AK$17:$BB$17,0))*INDEX($10:$13,MATCH($O540,$R$10:$R$13,0),COLUMN())</f>
        <v>2.9844389126000001E-2</v>
      </c>
      <c r="AS540" s="1050" cm="1">
        <f t="array" aca="1" ref="AS540" ca="1">INDEX(OFFSET($AK$19,MATCH($B540,$B$19:$B$150,0)-1,0,COUNTA($B$19:$B$24),COUNTA($AK$17:$BB$17)),MATCH($F540,$F$19:$F$24,0),MATCH(AS$17,$AK$17:$BB$17,0))*INDEX($10:$13,MATCH($O540,$R$10:$R$13,0),COLUMN())</f>
        <v>1.9468625669999997E-4</v>
      </c>
      <c r="AT540" s="1050" cm="1">
        <f t="array" aca="1" ref="AT540" ca="1">INDEX(OFFSET($AK$19,MATCH($B540,$B$19:$B$150,0)-1,0,COUNTA($B$19:$B$24),COUNTA($AK$17:$BB$17)),MATCH($F540,$F$19:$F$24,0),MATCH(AT$17,$AK$17:$BB$17,0))*INDEX($10:$13,MATCH($O540,$R$10:$R$13,0),COLUMN())</f>
        <v>4.5279991880000001E-7</v>
      </c>
      <c r="AU540" s="1050" cm="1">
        <f t="array" aca="1" ref="AU540" ca="1">INDEX(OFFSET($AK$19,MATCH($B540,$B$19:$B$150,0)-1,0,COUNTA($B$19:$B$24),COUNTA($AK$17:$BB$17)),MATCH($F540,$F$19:$F$24,0),MATCH(AU$17,$AK$17:$BB$17,0))*INDEX($10:$13,MATCH($O540,$R$10:$R$13,0),COLUMN())</f>
        <v>9.1923129440000013E-8</v>
      </c>
      <c r="AV540" s="1050" cm="1">
        <f t="array" aca="1" ref="AV540" ca="1">INDEX(OFFSET($AK$19,MATCH($B540,$B$19:$B$150,0)-1,0,COUNTA($B$19:$B$24),COUNTA($AK$17:$BB$17)),MATCH($F540,$F$19:$F$24,0),MATCH(AV$17,$AK$17:$BB$17,0))*INDEX($10:$13,MATCH($O540,$R$10:$R$13,0),COLUMN())</f>
        <v>1.8395020449999998E-3</v>
      </c>
      <c r="AW540" s="1050" cm="1">
        <f t="array" aca="1" ref="AW540" ca="1">INDEX(OFFSET($AK$19,MATCH($B540,$B$19:$B$150,0)-1,0,COUNTA($B$19:$B$24),COUNTA($AK$17:$BB$17)),MATCH($F540,$F$19:$F$24,0),MATCH(AW$17,$AK$17:$BB$17,0))*INDEX($10:$13,MATCH($O540,$R$10:$R$13,0),COLUMN())</f>
        <v>1.4474855445E-2</v>
      </c>
      <c r="AX540" s="1050" cm="1">
        <f t="array" aca="1" ref="AX540" ca="1">INDEX(OFFSET($AK$19,MATCH($B540,$B$19:$B$150,0)-1,0,COUNTA($B$19:$B$24),COUNTA($AK$17:$BB$17)),MATCH($F540,$F$19:$F$24,0),MATCH(AX$17,$AK$17:$BB$17,0))*INDEX($10:$13,MATCH($O540,$R$10:$R$13,0),COLUMN())</f>
        <v>7.3696853849999995E-8</v>
      </c>
      <c r="AY540" s="1050" cm="1">
        <f t="array" aca="1" ref="AY540" ca="1">INDEX(OFFSET($AK$19,MATCH($B540,$B$19:$B$150,0)-1,0,COUNTA($B$19:$B$24),COUNTA($AK$17:$BB$17)),MATCH($F540,$F$19:$F$24,0),MATCH(AY$17,$AK$17:$BB$17,0))*INDEX($10:$13,MATCH($O540,$R$10:$R$13,0),COLUMN())</f>
        <v>-1.2669353381249998E-9</v>
      </c>
      <c r="AZ540" s="1050" cm="1">
        <f t="array" aca="1" ref="AZ540" ca="1">INDEX(OFFSET($AK$19,MATCH($B540,$B$19:$B$150,0)-1,0,COUNTA($B$19:$B$24),COUNTA($AK$17:$BB$17)),MATCH($F540,$F$19:$F$24,0),MATCH(AZ$17,$AK$17:$BB$17,0))*INDEX($10:$13,MATCH($O540,$R$10:$R$13,0),COLUMN())</f>
        <v>0</v>
      </c>
      <c r="BA540" s="1050" cm="1">
        <f t="array" aca="1" ref="BA540" ca="1">INDEX(OFFSET($AK$19,MATCH($B540,$B$19:$B$150,0)-1,0,COUNTA($B$19:$B$24),COUNTA($AK$17:$BB$17)),MATCH($F540,$F$19:$F$24,0),MATCH(BA$17,$AK$17:$BB$17,0))*INDEX($10:$13,MATCH($O540,$R$10:$R$13,0),COLUMN())</f>
        <v>0</v>
      </c>
      <c r="BB540" s="1051" cm="1">
        <f t="array" aca="1" ref="BB540" ca="1">INDEX(OFFSET($AK$19,MATCH($B540,$B$19:$B$150,0)-1,0,COUNTA($B$19:$B$24),COUNTA($AK$17:$BB$17)),MATCH($F540,$F$19:$F$24,0),MATCH(BB$17,$AK$17:$BB$17,0))*INDEX($10:$13,MATCH($O540,$R$10:$R$13,0),COLUMN())</f>
        <v>0</v>
      </c>
      <c r="BC540" s="1053">
        <f t="shared" ca="1" si="183"/>
        <v>1.4474927874918513E-2</v>
      </c>
      <c r="BE540" s="1"/>
      <c r="BF540" s="1"/>
      <c r="BG540" s="1"/>
      <c r="BH540" s="1"/>
      <c r="BI540" s="1"/>
      <c r="BJ540" s="1"/>
      <c r="BK540" s="1"/>
      <c r="BL540" s="1"/>
      <c r="BM540" s="1"/>
      <c r="BN540" s="1"/>
      <c r="BO540" s="1"/>
      <c r="BP540" s="1"/>
      <c r="BQ540" s="1"/>
      <c r="BR540" s="1"/>
      <c r="BS540" s="1"/>
      <c r="BT540" s="1"/>
      <c r="BU540" s="1"/>
      <c r="BV540" s="1"/>
      <c r="BW540" s="1"/>
      <c r="BX540" s="1"/>
      <c r="BY540" s="1"/>
      <c r="BZ540" s="1"/>
    </row>
    <row r="541" spans="2:78" ht="12" customHeight="1" outlineLevel="1" x14ac:dyDescent="0.25">
      <c r="B541" s="104" t="s">
        <v>115</v>
      </c>
      <c r="C541" s="104" t="s">
        <v>124</v>
      </c>
      <c r="D541" s="2" t="s">
        <v>154</v>
      </c>
      <c r="E541" s="2" t="s">
        <v>115</v>
      </c>
      <c r="F541" s="105" t="s">
        <v>95</v>
      </c>
      <c r="G541" s="27" t="s">
        <v>1581</v>
      </c>
      <c r="H541" s="106" t="s">
        <v>128</v>
      </c>
      <c r="I541" s="107" t="s">
        <v>127</v>
      </c>
      <c r="J541" s="147">
        <v>0.64</v>
      </c>
      <c r="K541" s="148">
        <v>0.4819</v>
      </c>
      <c r="L541" s="149">
        <f t="shared" ca="1" si="181"/>
        <v>0.60853973492694624</v>
      </c>
      <c r="M541" s="148">
        <f t="shared" ca="1" si="182"/>
        <v>0.77515529826129537</v>
      </c>
      <c r="N541" s="163">
        <f t="shared" ref="N541:N604" ca="1" si="184">SUMIFS($S541:$BB541,$S$14:$BB$14,$D$13)</f>
        <v>0.29325529826129537</v>
      </c>
      <c r="O541" s="1061" t="s">
        <v>1584</v>
      </c>
      <c r="P541" s="104"/>
      <c r="R541" s="119"/>
      <c r="S541" s="1072"/>
      <c r="T541" s="1072"/>
      <c r="U541" s="1072"/>
      <c r="V541" s="1072"/>
      <c r="W541" s="1072"/>
      <c r="X541" s="1072"/>
      <c r="Y541" s="1072"/>
      <c r="Z541" s="1072"/>
      <c r="AA541" s="1072"/>
      <c r="AB541" s="1072"/>
      <c r="AC541" s="1072"/>
      <c r="AD541" s="1072"/>
      <c r="AE541" s="1072"/>
      <c r="AF541" s="1072"/>
      <c r="AG541" s="1072"/>
      <c r="AH541" s="1072"/>
      <c r="AI541" s="1072"/>
      <c r="AJ541" s="1073"/>
      <c r="AK541" s="1052" cm="1">
        <f t="array" aca="1" ref="AK541" ca="1">INDEX(OFFSET($AK$19,MATCH($B541,$B$19:$B$150,0)-1,0,COUNTA($B$19:$B$24),COUNTA($AK$17:$BB$17)),MATCH($F541,$F$19:$F$24,0),MATCH(AK$17,$AK$17:$BB$17,0))*INDEX($10:$13,MATCH($O541,$R$10:$R$13,0),COLUMN())</f>
        <v>7.1113009105969904E-2</v>
      </c>
      <c r="AL541" s="1050" cm="1">
        <f t="array" aca="1" ref="AL541" ca="1">INDEX(OFFSET($AK$19,MATCH($B541,$B$19:$B$150,0)-1,0,COUNTA($B$19:$B$24),COUNTA($AK$17:$BB$17)),MATCH($F541,$F$19:$F$24,0),MATCH(AL$17,$AK$17:$BB$17,0))*INDEX($10:$13,MATCH($O541,$R$10:$R$13,0),COLUMN())</f>
        <v>1.3100986743000001E-7</v>
      </c>
      <c r="AM541" s="1050" cm="1">
        <f t="array" aca="1" ref="AM541" ca="1">INDEX(OFFSET($AK$19,MATCH($B541,$B$19:$B$150,0)-1,0,COUNTA($B$19:$B$24),COUNTA($AK$17:$BB$17)),MATCH($F541,$F$19:$F$24,0),MATCH(AM$17,$AK$17:$BB$17,0))*INDEX($10:$13,MATCH($O541,$R$10:$R$13,0),COLUMN())</f>
        <v>2.2230864612000001E-4</v>
      </c>
      <c r="AN541" s="1050" cm="1">
        <f t="array" aca="1" ref="AN541" ca="1">INDEX(OFFSET($AK$19,MATCH($B541,$B$19:$B$150,0)-1,0,COUNTA($B$19:$B$24),COUNTA($AK$17:$BB$17)),MATCH($F541,$F$19:$F$24,0),MATCH(AN$17,$AK$17:$BB$17,0))*INDEX($10:$13,MATCH($O541,$R$10:$R$13,0),COLUMN())</f>
        <v>1.039437168E-3</v>
      </c>
      <c r="AO541" s="1050" cm="1">
        <f t="array" aca="1" ref="AO541" ca="1">INDEX(OFFSET($AK$19,MATCH($B541,$B$19:$B$150,0)-1,0,COUNTA($B$19:$B$24),COUNTA($AK$17:$BB$17)),MATCH($F541,$F$19:$F$24,0),MATCH(AO$17,$AK$17:$BB$17,0))*INDEX($10:$13,MATCH($O541,$R$10:$R$13,0),COLUMN())</f>
        <v>0.14405084680000002</v>
      </c>
      <c r="AP541" s="1050" cm="1">
        <f t="array" aca="1" ref="AP541" ca="1">INDEX(OFFSET($AK$19,MATCH($B541,$B$19:$B$150,0)-1,0,COUNTA($B$19:$B$24),COUNTA($AK$17:$BB$17)),MATCH($F541,$F$19:$F$24,0),MATCH(AP$17,$AK$17:$BB$17,0))*INDEX($10:$13,MATCH($O541,$R$10:$R$13,0),COLUMN())</f>
        <v>1.9945131000000001E-2</v>
      </c>
      <c r="AQ541" s="1050" cm="1">
        <f t="array" aca="1" ref="AQ541" ca="1">INDEX(OFFSET($AK$19,MATCH($B541,$B$19:$B$150,0)-1,0,COUNTA($B$19:$B$24),COUNTA($AK$17:$BB$17)),MATCH($F541,$F$19:$F$24,0),MATCH(AQ$17,$AK$17:$BB$17,0))*INDEX($10:$13,MATCH($O541,$R$10:$R$13,0),COLUMN())</f>
        <v>4.6906917500000001E-5</v>
      </c>
      <c r="AR541" s="1050" cm="1">
        <f t="array" aca="1" ref="AR541" ca="1">INDEX(OFFSET($AK$19,MATCH($B541,$B$19:$B$150,0)-1,0,COUNTA($B$19:$B$24),COUNTA($AK$17:$BB$17)),MATCH($F541,$F$19:$F$24,0),MATCH(AR$17,$AK$17:$BB$17,0))*INDEX($10:$13,MATCH($O541,$R$10:$R$13,0),COLUMN())</f>
        <v>3.4704524209999997E-2</v>
      </c>
      <c r="AS541" s="1050" cm="1">
        <f t="array" aca="1" ref="AS541" ca="1">INDEX(OFFSET($AK$19,MATCH($B541,$B$19:$B$150,0)-1,0,COUNTA($B$19:$B$24),COUNTA($AK$17:$BB$17)),MATCH($F541,$F$19:$F$24,0),MATCH(AS$17,$AK$17:$BB$17,0))*INDEX($10:$13,MATCH($O541,$R$10:$R$13,0),COLUMN())</f>
        <v>2.9670768269999994E-4</v>
      </c>
      <c r="AT541" s="1050" cm="1">
        <f t="array" aca="1" ref="AT541" ca="1">INDEX(OFFSET($AK$19,MATCH($B541,$B$19:$B$150,0)-1,0,COUNTA($B$19:$B$24),COUNTA($AK$17:$BB$17)),MATCH($F541,$F$19:$F$24,0),MATCH(AT$17,$AK$17:$BB$17,0))*INDEX($10:$13,MATCH($O541,$R$10:$R$13,0),COLUMN())</f>
        <v>5.8863019249999995E-7</v>
      </c>
      <c r="AU541" s="1050" cm="1">
        <f t="array" aca="1" ref="AU541" ca="1">INDEX(OFFSET($AK$19,MATCH($B541,$B$19:$B$150,0)-1,0,COUNTA($B$19:$B$24),COUNTA($AK$17:$BB$17)),MATCH($F541,$F$19:$F$24,0),MATCH(AU$17,$AK$17:$BB$17,0))*INDEX($10:$13,MATCH($O541,$R$10:$R$13,0),COLUMN())</f>
        <v>1.1742032192000001E-7</v>
      </c>
      <c r="AV541" s="1050" cm="1">
        <f t="array" aca="1" ref="AV541" ca="1">INDEX(OFFSET($AK$19,MATCH($B541,$B$19:$B$150,0)-1,0,COUNTA($B$19:$B$24),COUNTA($AK$17:$BB$17)),MATCH($F541,$F$19:$F$24,0),MATCH(AV$17,$AK$17:$BB$17,0))*INDEX($10:$13,MATCH($O541,$R$10:$R$13,0),COLUMN())</f>
        <v>2.7404345324999997E-3</v>
      </c>
      <c r="AW541" s="1050" cm="1">
        <f t="array" aca="1" ref="AW541" ca="1">INDEX(OFFSET($AK$19,MATCH($B541,$B$19:$B$150,0)-1,0,COUNTA($B$19:$B$24),COUNTA($AK$17:$BB$17)),MATCH($F541,$F$19:$F$24,0),MATCH(AW$17,$AK$17:$BB$17,0))*INDEX($10:$13,MATCH($O541,$R$10:$R$13,0),COLUMN())</f>
        <v>1.9095074984999998E-2</v>
      </c>
      <c r="AX541" s="1050" cm="1">
        <f t="array" aca="1" ref="AX541" ca="1">INDEX(OFFSET($AK$19,MATCH($B541,$B$19:$B$150,0)-1,0,COUNTA($B$19:$B$24),COUNTA($AK$17:$BB$17)),MATCH($F541,$F$19:$F$24,0),MATCH(AX$17,$AK$17:$BB$17,0))*INDEX($10:$13,MATCH($O541,$R$10:$R$13,0),COLUMN())</f>
        <v>8.1569718749999994E-8</v>
      </c>
      <c r="AY541" s="1050" cm="1">
        <f t="array" aca="1" ref="AY541" ca="1">INDEX(OFFSET($AK$19,MATCH($B541,$B$19:$B$150,0)-1,0,COUNTA($B$19:$B$24),COUNTA($AK$17:$BB$17)),MATCH($F541,$F$19:$F$24,0),MATCH(AY$17,$AK$17:$BB$17,0))*INDEX($10:$13,MATCH($O541,$R$10:$R$13,0),COLUMN())</f>
        <v>-1.4165951568749997E-9</v>
      </c>
      <c r="AZ541" s="1050" cm="1">
        <f t="array" aca="1" ref="AZ541" ca="1">INDEX(OFFSET($AK$19,MATCH($B541,$B$19:$B$150,0)-1,0,COUNTA($B$19:$B$24),COUNTA($AK$17:$BB$17)),MATCH($F541,$F$19:$F$24,0),MATCH(AZ$17,$AK$17:$BB$17,0))*INDEX($10:$13,MATCH($O541,$R$10:$R$13,0),COLUMN())</f>
        <v>0</v>
      </c>
      <c r="BA541" s="1050" cm="1">
        <f t="array" aca="1" ref="BA541" ca="1">INDEX(OFFSET($AK$19,MATCH($B541,$B$19:$B$150,0)-1,0,COUNTA($B$19:$B$24),COUNTA($AK$17:$BB$17)),MATCH($F541,$F$19:$F$24,0),MATCH(BA$17,$AK$17:$BB$17,0))*INDEX($10:$13,MATCH($O541,$R$10:$R$13,0),COLUMN())</f>
        <v>0</v>
      </c>
      <c r="BB541" s="1051" cm="1">
        <f t="array" aca="1" ref="BB541" ca="1">INDEX(OFFSET($AK$19,MATCH($B541,$B$19:$B$150,0)-1,0,COUNTA($B$19:$B$24),COUNTA($AK$17:$BB$17)),MATCH($F541,$F$19:$F$24,0),MATCH(BB$17,$AK$17:$BB$17,0))*INDEX($10:$13,MATCH($O541,$R$10:$R$13,0),COLUMN())</f>
        <v>0</v>
      </c>
      <c r="BC541" s="1053">
        <f t="shared" ca="1" si="183"/>
        <v>1.9095155138123591E-2</v>
      </c>
      <c r="BE541" s="1"/>
      <c r="BF541" s="1"/>
      <c r="BG541" s="1"/>
      <c r="BH541" s="1"/>
      <c r="BI541" s="1"/>
      <c r="BJ541" s="1"/>
      <c r="BK541" s="1"/>
      <c r="BL541" s="1"/>
      <c r="BM541" s="1"/>
      <c r="BN541" s="1"/>
      <c r="BO541" s="1"/>
      <c r="BP541" s="1"/>
      <c r="BQ541" s="1"/>
      <c r="BR541" s="1"/>
      <c r="BS541" s="1"/>
      <c r="BT541" s="1"/>
      <c r="BU541" s="1"/>
      <c r="BV541" s="1"/>
      <c r="BW541" s="1"/>
      <c r="BX541" s="1"/>
      <c r="BY541" s="1"/>
      <c r="BZ541" s="1"/>
    </row>
    <row r="542" spans="2:78" ht="12" customHeight="1" outlineLevel="1" x14ac:dyDescent="0.25">
      <c r="B542" s="104" t="s">
        <v>115</v>
      </c>
      <c r="C542" s="104" t="s">
        <v>124</v>
      </c>
      <c r="D542" s="2" t="s">
        <v>154</v>
      </c>
      <c r="E542" s="2" t="s">
        <v>115</v>
      </c>
      <c r="F542" s="105" t="s">
        <v>96</v>
      </c>
      <c r="G542" s="27" t="s">
        <v>1582</v>
      </c>
      <c r="H542" s="106" t="s">
        <v>128</v>
      </c>
      <c r="I542" s="107" t="s">
        <v>1577</v>
      </c>
      <c r="J542" s="147">
        <v>0.64</v>
      </c>
      <c r="K542" s="148">
        <v>0.4819</v>
      </c>
      <c r="L542" s="149">
        <f t="shared" ca="1" si="181"/>
        <v>0.71242945848263184</v>
      </c>
      <c r="M542" s="148">
        <f t="shared" ca="1" si="182"/>
        <v>0.82521975604278031</v>
      </c>
      <c r="N542" s="163">
        <f t="shared" ca="1" si="184"/>
        <v>0.34331975604278026</v>
      </c>
      <c r="O542" s="1061" t="s">
        <v>1584</v>
      </c>
      <c r="P542" s="104"/>
      <c r="R542" s="119"/>
      <c r="S542" s="1072"/>
      <c r="T542" s="1072"/>
      <c r="U542" s="1072"/>
      <c r="V542" s="1072"/>
      <c r="W542" s="1072"/>
      <c r="X542" s="1072"/>
      <c r="Y542" s="1072"/>
      <c r="Z542" s="1072"/>
      <c r="AA542" s="1072"/>
      <c r="AB542" s="1072"/>
      <c r="AC542" s="1072"/>
      <c r="AD542" s="1072"/>
      <c r="AE542" s="1072"/>
      <c r="AF542" s="1072"/>
      <c r="AG542" s="1072"/>
      <c r="AH542" s="1072"/>
      <c r="AI542" s="1072"/>
      <c r="AJ542" s="1073"/>
      <c r="AK542" s="1052" cm="1">
        <f t="array" aca="1" ref="AK542" ca="1">INDEX(OFFSET($AK$19,MATCH($B542,$B$19:$B$150,0)-1,0,COUNTA($B$19:$B$24),COUNTA($AK$17:$BB$17)),MATCH($F542,$F$19:$F$24,0),MATCH(AK$17,$AK$17:$BB$17,0))*INDEX($10:$13,MATCH($O542,$R$10:$R$13,0),COLUMN())</f>
        <v>7.479054892515645E-2</v>
      </c>
      <c r="AL542" s="1050" cm="1">
        <f t="array" aca="1" ref="AL542" ca="1">INDEX(OFFSET($AK$19,MATCH($B542,$B$19:$B$150,0)-1,0,COUNTA($B$19:$B$24),COUNTA($AK$17:$BB$17)),MATCH($F542,$F$19:$F$24,0),MATCH(AL$17,$AK$17:$BB$17,0))*INDEX($10:$13,MATCH($O542,$R$10:$R$13,0),COLUMN())</f>
        <v>1.3104976455999999E-7</v>
      </c>
      <c r="AM542" s="1050" cm="1">
        <f t="array" aca="1" ref="AM542" ca="1">INDEX(OFFSET($AK$19,MATCH($B542,$B$19:$B$150,0)-1,0,COUNTA($B$19:$B$24),COUNTA($AK$17:$BB$17)),MATCH($F542,$F$19:$F$24,0),MATCH(AM$17,$AK$17:$BB$17,0))*INDEX($10:$13,MATCH($O542,$R$10:$R$13,0),COLUMN())</f>
        <v>2.2237389405000002E-4</v>
      </c>
      <c r="AN542" s="1050" cm="1">
        <f t="array" aca="1" ref="AN542" ca="1">INDEX(OFFSET($AK$19,MATCH($B542,$B$19:$B$150,0)-1,0,COUNTA($B$19:$B$24),COUNTA($AK$17:$BB$17)),MATCH($F542,$F$19:$F$24,0),MATCH(AN$17,$AK$17:$BB$17,0))*INDEX($10:$13,MATCH($O542,$R$10:$R$13,0),COLUMN())</f>
        <v>1.0472551320000001E-3</v>
      </c>
      <c r="AO542" s="1050" cm="1">
        <f t="array" aca="1" ref="AO542" ca="1">INDEX(OFFSET($AK$19,MATCH($B542,$B$19:$B$150,0)-1,0,COUNTA($B$19:$B$24),COUNTA($AK$17:$BB$17)),MATCH($F542,$F$19:$F$24,0),MATCH(AO$17,$AK$17:$BB$17,0))*INDEX($10:$13,MATCH($O542,$R$10:$R$13,0),COLUMN())</f>
        <v>0.17275228879999999</v>
      </c>
      <c r="AP542" s="1050" cm="1">
        <f t="array" aca="1" ref="AP542" ca="1">INDEX(OFFSET($AK$19,MATCH($B542,$B$19:$B$150,0)-1,0,COUNTA($B$19:$B$24),COUNTA($AK$17:$BB$17)),MATCH($F542,$F$19:$F$24,0),MATCH(AP$17,$AK$17:$BB$17,0))*INDEX($10:$13,MATCH($O542,$R$10:$R$13,0),COLUMN())</f>
        <v>2.4067090024000003E-2</v>
      </c>
      <c r="AQ542" s="1050" cm="1">
        <f t="array" aca="1" ref="AQ542" ca="1">INDEX(OFFSET($AK$19,MATCH($B542,$B$19:$B$150,0)-1,0,COUNTA($B$19:$B$24),COUNTA($AK$17:$BB$17)),MATCH($F542,$F$19:$F$24,0),MATCH(AQ$17,$AK$17:$BB$17,0))*INDEX($10:$13,MATCH($O542,$R$10:$R$13,0),COLUMN())</f>
        <v>7.3130050000000003E-5</v>
      </c>
      <c r="AR542" s="1050" cm="1">
        <f t="array" aca="1" ref="AR542" ca="1">INDEX(OFFSET($AK$19,MATCH($B542,$B$19:$B$150,0)-1,0,COUNTA($B$19:$B$24),COUNTA($AK$17:$BB$17)),MATCH($F542,$F$19:$F$24,0),MATCH(AR$17,$AK$17:$BB$17,0))*INDEX($10:$13,MATCH($O542,$R$10:$R$13,0),COLUMN())</f>
        <v>4.5150812059999997E-2</v>
      </c>
      <c r="AS542" s="1050" cm="1">
        <f t="array" aca="1" ref="AS542" ca="1">INDEX(OFFSET($AK$19,MATCH($B542,$B$19:$B$150,0)-1,0,COUNTA($B$19:$B$24),COUNTA($AK$17:$BB$17)),MATCH($F542,$F$19:$F$24,0),MATCH(AS$17,$AK$17:$BB$17,0))*INDEX($10:$13,MATCH($O542,$R$10:$R$13,0),COLUMN())</f>
        <v>5.1752787839999992E-4</v>
      </c>
      <c r="AT542" s="1050" cm="1">
        <f t="array" aca="1" ref="AT542" ca="1">INDEX(OFFSET($AK$19,MATCH($B542,$B$19:$B$150,0)-1,0,COUNTA($B$19:$B$24),COUNTA($AK$17:$BB$17)),MATCH($F542,$F$19:$F$24,0),MATCH(AT$17,$AK$17:$BB$17,0))*INDEX($10:$13,MATCH($O542,$R$10:$R$13,0),COLUMN())</f>
        <v>6.8151424000000005E-7</v>
      </c>
      <c r="AU542" s="1050" cm="1">
        <f t="array" aca="1" ref="AU542" ca="1">INDEX(OFFSET($AK$19,MATCH($B542,$B$19:$B$150,0)-1,0,COUNTA($B$19:$B$24),COUNTA($AK$17:$BB$17)),MATCH($F542,$F$19:$F$24,0),MATCH(AU$17,$AK$17:$BB$17,0))*INDEX($10:$13,MATCH($O542,$R$10:$R$13,0),COLUMN())</f>
        <v>1.2861704576000002E-7</v>
      </c>
      <c r="AV542" s="1050" cm="1">
        <f t="array" aca="1" ref="AV542" ca="1">INDEX(OFFSET($AK$19,MATCH($B542,$B$19:$B$150,0)-1,0,COUNTA($B$19:$B$24),COUNTA($AK$17:$BB$17)),MATCH($F542,$F$19:$F$24,0),MATCH(AV$17,$AK$17:$BB$17,0))*INDEX($10:$13,MATCH($O542,$R$10:$R$13,0),COLUMN())</f>
        <v>5.6026329600000003E-3</v>
      </c>
      <c r="AW542" s="1050" cm="1">
        <f t="array" aca="1" ref="AW542" ca="1">INDEX(OFFSET($AK$19,MATCH($B542,$B$19:$B$150,0)-1,0,COUNTA($B$19:$B$24),COUNTA($AK$17:$BB$17)),MATCH($F542,$F$19:$F$24,0),MATCH(AW$17,$AK$17:$BB$17,0))*INDEX($10:$13,MATCH($O542,$R$10:$R$13,0),COLUMN())</f>
        <v>1.9095074984999998E-2</v>
      </c>
      <c r="AX542" s="1050" cm="1">
        <f t="array" aca="1" ref="AX542" ca="1">INDEX(OFFSET($AK$19,MATCH($B542,$B$19:$B$150,0)-1,0,COUNTA($B$19:$B$24),COUNTA($AK$17:$BB$17)),MATCH($F542,$F$19:$F$24,0),MATCH(AX$17,$AK$17:$BB$17,0))*INDEX($10:$13,MATCH($O542,$R$10:$R$13,0),COLUMN())</f>
        <v>8.1569718749999994E-8</v>
      </c>
      <c r="AY542" s="1050" cm="1">
        <f t="array" aca="1" ref="AY542" ca="1">INDEX(OFFSET($AK$19,MATCH($B542,$B$19:$B$150,0)-1,0,COUNTA($B$19:$B$24),COUNTA($AK$17:$BB$17)),MATCH($F542,$F$19:$F$24,0),MATCH(AY$17,$AK$17:$BB$17,0))*INDEX($10:$13,MATCH($O542,$R$10:$R$13,0),COLUMN())</f>
        <v>-1.4165951568749997E-9</v>
      </c>
      <c r="AZ542" s="1050" cm="1">
        <f t="array" aca="1" ref="AZ542" ca="1">INDEX(OFFSET($AK$19,MATCH($B542,$B$19:$B$150,0)-1,0,COUNTA($B$19:$B$24),COUNTA($AK$17:$BB$17)),MATCH($F542,$F$19:$F$24,0),MATCH(AZ$17,$AK$17:$BB$17,0))*INDEX($10:$13,MATCH($O542,$R$10:$R$13,0),COLUMN())</f>
        <v>0</v>
      </c>
      <c r="BA542" s="1050" cm="1">
        <f t="array" aca="1" ref="BA542" ca="1">INDEX(OFFSET($AK$19,MATCH($B542,$B$19:$B$150,0)-1,0,COUNTA($B$19:$B$24),COUNTA($AK$17:$BB$17)),MATCH($F542,$F$19:$F$24,0),MATCH(BA$17,$AK$17:$BB$17,0))*INDEX($10:$13,MATCH($O542,$R$10:$R$13,0),COLUMN())</f>
        <v>0</v>
      </c>
      <c r="BB542" s="1051" cm="1">
        <f t="array" aca="1" ref="BB542" ca="1">INDEX(OFFSET($AK$19,MATCH($B542,$B$19:$B$150,0)-1,0,COUNTA($B$19:$B$24),COUNTA($AK$17:$BB$17)),MATCH($F542,$F$19:$F$24,0),MATCH(BB$17,$AK$17:$BB$17,0))*INDEX($10:$13,MATCH($O542,$R$10:$R$13,0),COLUMN())</f>
        <v>0</v>
      </c>
      <c r="BC542" s="1053">
        <f t="shared" ca="1" si="183"/>
        <v>1.9095155138123591E-2</v>
      </c>
      <c r="BE542" s="1"/>
      <c r="BF542" s="1"/>
      <c r="BG542" s="1"/>
      <c r="BH542" s="1"/>
      <c r="BI542" s="1"/>
      <c r="BJ542" s="1"/>
      <c r="BK542" s="1"/>
      <c r="BL542" s="1"/>
      <c r="BM542" s="1"/>
      <c r="BN542" s="1"/>
      <c r="BO542" s="1"/>
      <c r="BP542" s="1"/>
      <c r="BQ542" s="1"/>
      <c r="BR542" s="1"/>
      <c r="BS542" s="1"/>
      <c r="BT542" s="1"/>
      <c r="BU542" s="1"/>
      <c r="BV542" s="1"/>
      <c r="BW542" s="1"/>
      <c r="BX542" s="1"/>
      <c r="BY542" s="1"/>
      <c r="BZ542" s="1"/>
    </row>
    <row r="543" spans="2:78" ht="12" customHeight="1" outlineLevel="1" x14ac:dyDescent="0.25">
      <c r="B543" s="88" t="s">
        <v>116</v>
      </c>
      <c r="C543" s="88" t="s">
        <v>124</v>
      </c>
      <c r="D543" s="89" t="s">
        <v>152</v>
      </c>
      <c r="E543" s="89" t="s">
        <v>156</v>
      </c>
      <c r="F543" s="90" t="s">
        <v>92</v>
      </c>
      <c r="G543" s="18" t="s">
        <v>126</v>
      </c>
      <c r="H543" s="91" t="s">
        <v>127</v>
      </c>
      <c r="I543" s="92" t="s">
        <v>127</v>
      </c>
      <c r="J543" s="142">
        <v>1.55</v>
      </c>
      <c r="K543" s="143">
        <v>2.118052738336714</v>
      </c>
      <c r="L543" s="151">
        <f t="shared" ca="1" si="181"/>
        <v>0.31472060454176204</v>
      </c>
      <c r="M543" s="143">
        <f t="shared" ca="1" si="182"/>
        <v>2.7846475765973793</v>
      </c>
      <c r="N543" s="162">
        <f t="shared" ca="1" si="184"/>
        <v>0.66659483826066512</v>
      </c>
      <c r="O543" s="1060" t="s">
        <v>1584</v>
      </c>
      <c r="P543" s="88"/>
      <c r="Q543" s="89"/>
      <c r="R543" s="150"/>
      <c r="S543" s="1070"/>
      <c r="T543" s="1070"/>
      <c r="U543" s="1070"/>
      <c r="V543" s="1070"/>
      <c r="W543" s="1070"/>
      <c r="X543" s="1070"/>
      <c r="Y543" s="1070"/>
      <c r="Z543" s="1070"/>
      <c r="AA543" s="1070"/>
      <c r="AB543" s="1070"/>
      <c r="AC543" s="1070"/>
      <c r="AD543" s="1070"/>
      <c r="AE543" s="1070"/>
      <c r="AF543" s="1070"/>
      <c r="AG543" s="1070"/>
      <c r="AH543" s="1070"/>
      <c r="AI543" s="1070"/>
      <c r="AJ543" s="1071"/>
      <c r="AK543" s="1048" cm="1">
        <f t="array" aca="1" ref="AK543" ca="1">INDEX(OFFSET($AK$19,MATCH($B543,$B$19:$B$150,0)-1,0,COUNTA($B$19:$B$24),COUNTA($AK$17:$BB$17)),MATCH($F543,$F$19:$F$24,0),MATCH(AK$17,$AK$17:$BB$17,0))*INDEX($10:$13,MATCH($O543,$R$10:$R$13,0),COLUMN())</f>
        <v>0.16688076184960679</v>
      </c>
      <c r="AL543" s="1046" cm="1">
        <f t="array" aca="1" ref="AL543" ca="1">INDEX(OFFSET($AK$19,MATCH($B543,$B$19:$B$150,0)-1,0,COUNTA($B$19:$B$24),COUNTA($AK$17:$BB$17)),MATCH($F543,$F$19:$F$24,0),MATCH(AL$17,$AK$17:$BB$17,0))*INDEX($10:$13,MATCH($O543,$R$10:$R$13,0),COLUMN())</f>
        <v>5.2956716150000002E-7</v>
      </c>
      <c r="AM543" s="1046" cm="1">
        <f t="array" aca="1" ref="AM543" ca="1">INDEX(OFFSET($AK$19,MATCH($B543,$B$19:$B$150,0)-1,0,COUNTA($B$19:$B$24),COUNTA($AK$17:$BB$17)),MATCH($F543,$F$19:$F$24,0),MATCH(AM$17,$AK$17:$BB$17,0))*INDEX($10:$13,MATCH($O543,$R$10:$R$13,0),COLUMN())</f>
        <v>9.090937449E-4</v>
      </c>
      <c r="AN543" s="1046" cm="1">
        <f t="array" aca="1" ref="AN543" ca="1">INDEX(OFFSET($AK$19,MATCH($B543,$B$19:$B$150,0)-1,0,COUNTA($B$19:$B$24),COUNTA($AK$17:$BB$17)),MATCH($F543,$F$19:$F$24,0),MATCH(AN$17,$AK$17:$BB$17,0))*INDEX($10:$13,MATCH($O543,$R$10:$R$13,0),COLUMN())</f>
        <v>3.2668935599999998E-3</v>
      </c>
      <c r="AO543" s="1046" cm="1">
        <f t="array" aca="1" ref="AO543" ca="1">INDEX(OFFSET($AK$19,MATCH($B543,$B$19:$B$150,0)-1,0,COUNTA($B$19:$B$24),COUNTA($AK$17:$BB$17)),MATCH($F543,$F$19:$F$24,0),MATCH(AO$17,$AK$17:$BB$17,0))*INDEX($10:$13,MATCH($O543,$R$10:$R$13,0),COLUMN())</f>
        <v>0.29723539999999998</v>
      </c>
      <c r="AP543" s="1046" cm="1">
        <f t="array" aca="1" ref="AP543" ca="1">INDEX(OFFSET($AK$19,MATCH($B543,$B$19:$B$150,0)-1,0,COUNTA($B$19:$B$24),COUNTA($AK$17:$BB$17)),MATCH($F543,$F$19:$F$24,0),MATCH(AP$17,$AK$17:$BB$17,0))*INDEX($10:$13,MATCH($O543,$R$10:$R$13,0),COLUMN())</f>
        <v>3.3930714086000006E-2</v>
      </c>
      <c r="AQ543" s="1046" cm="1">
        <f t="array" aca="1" ref="AQ543" ca="1">INDEX(OFFSET($AK$19,MATCH($B543,$B$19:$B$150,0)-1,0,COUNTA($B$19:$B$24),COUNTA($AK$17:$BB$17)),MATCH($F543,$F$19:$F$24,0),MATCH(AQ$17,$AK$17:$BB$17,0))*INDEX($10:$13,MATCH($O543,$R$10:$R$13,0),COLUMN())</f>
        <v>9.7925514999999997E-5</v>
      </c>
      <c r="AR543" s="1046" cm="1">
        <f t="array" aca="1" ref="AR543" ca="1">INDEX(OFFSET($AK$19,MATCH($B543,$B$19:$B$150,0)-1,0,COUNTA($B$19:$B$24),COUNTA($AK$17:$BB$17)),MATCH($F543,$F$19:$F$24,0),MATCH(AR$17,$AK$17:$BB$17,0))*INDEX($10:$13,MATCH($O543,$R$10:$R$13,0),COLUMN())</f>
        <v>4.9526159100000001E-2</v>
      </c>
      <c r="AS543" s="1046" cm="1">
        <f t="array" aca="1" ref="AS543" ca="1">INDEX(OFFSET($AK$19,MATCH($B543,$B$19:$B$150,0)-1,0,COUNTA($B$19:$B$24),COUNTA($AK$17:$BB$17)),MATCH($F543,$F$19:$F$24,0),MATCH(AS$17,$AK$17:$BB$17,0))*INDEX($10:$13,MATCH($O543,$R$10:$R$13,0),COLUMN())</f>
        <v>3.4272794789999998E-2</v>
      </c>
      <c r="AT543" s="1046" cm="1">
        <f t="array" aca="1" ref="AT543" ca="1">INDEX(OFFSET($AK$19,MATCH($B543,$B$19:$B$150,0)-1,0,COUNTA($B$19:$B$24),COUNTA($AK$17:$BB$17)),MATCH($F543,$F$19:$F$24,0),MATCH(AT$17,$AK$17:$BB$17,0))*INDEX($10:$13,MATCH($O543,$R$10:$R$13,0),COLUMN())</f>
        <v>3.9919112280000003E-5</v>
      </c>
      <c r="AU543" s="1046" cm="1">
        <f t="array" aca="1" ref="AU543" ca="1">INDEX(OFFSET($AK$19,MATCH($B543,$B$19:$B$150,0)-1,0,COUNTA($B$19:$B$24),COUNTA($AK$17:$BB$17)),MATCH($F543,$F$19:$F$24,0),MATCH(AU$17,$AK$17:$BB$17,0))*INDEX($10:$13,MATCH($O543,$R$10:$R$13,0),COLUMN())</f>
        <v>2.2218317023999999E-6</v>
      </c>
      <c r="AV543" s="1046" cm="1">
        <f t="array" aca="1" ref="AV543" ca="1">INDEX(OFFSET($AK$19,MATCH($B543,$B$19:$B$150,0)-1,0,COUNTA($B$19:$B$24),COUNTA($AK$17:$BB$17)),MATCH($F543,$F$19:$F$24,0),MATCH(AV$17,$AK$17:$BB$17,0))*INDEX($10:$13,MATCH($O543,$R$10:$R$13,0),COLUMN())</f>
        <v>6.717584215E-3</v>
      </c>
      <c r="AW543" s="1046" cm="1">
        <f t="array" aca="1" ref="AW543" ca="1">INDEX(OFFSET($AK$19,MATCH($B543,$B$19:$B$150,0)-1,0,COUNTA($B$19:$B$24),COUNTA($AK$17:$BB$17)),MATCH($F543,$F$19:$F$24,0),MATCH(AW$17,$AK$17:$BB$17,0))*INDEX($10:$13,MATCH($O543,$R$10:$R$13,0),COLUMN())</f>
        <v>7.1586083699999997E-2</v>
      </c>
      <c r="AX543" s="1046" cm="1">
        <f t="array" aca="1" ref="AX543" ca="1">INDEX(OFFSET($AK$19,MATCH($B543,$B$19:$B$150,0)-1,0,COUNTA($B$19:$B$24),COUNTA($AK$17:$BB$17)),MATCH($F543,$F$19:$F$24,0),MATCH(AX$17,$AK$17:$BB$17,0))*INDEX($10:$13,MATCH($O543,$R$10:$R$13,0),COLUMN())</f>
        <v>5.0462151449999996E-7</v>
      </c>
      <c r="AY543" s="1046" cm="1">
        <f t="array" aca="1" ref="AY543" ca="1">INDEX(OFFSET($AK$19,MATCH($B543,$B$19:$B$150,0)-1,0,COUNTA($B$19:$B$24),COUNTA($AK$17:$BB$17)),MATCH($F543,$F$19:$F$24,0),MATCH(AY$17,$AK$17:$BB$17,0))*INDEX($10:$13,MATCH($O543,$R$10:$R$13,0),COLUMN())</f>
        <v>2.1282525674999994E-3</v>
      </c>
      <c r="AZ543" s="1046" cm="1">
        <f t="array" aca="1" ref="AZ543" ca="1">INDEX(OFFSET($AK$19,MATCH($B543,$B$19:$B$150,0)-1,0,COUNTA($B$19:$B$24),COUNTA($AK$17:$BB$17)),MATCH($F543,$F$19:$F$24,0),MATCH(AZ$17,$AK$17:$BB$17,0))*INDEX($10:$13,MATCH($O543,$R$10:$R$13,0),COLUMN())</f>
        <v>0</v>
      </c>
      <c r="BA543" s="1046" cm="1">
        <f t="array" aca="1" ref="BA543" ca="1">INDEX(OFFSET($AK$19,MATCH($B543,$B$19:$B$150,0)-1,0,COUNTA($B$19:$B$24),COUNTA($AK$17:$BB$17)),MATCH($F543,$F$19:$F$24,0),MATCH(BA$17,$AK$17:$BB$17,0))*INDEX($10:$13,MATCH($O543,$R$10:$R$13,0),COLUMN())</f>
        <v>0</v>
      </c>
      <c r="BB543" s="1047" cm="1">
        <f t="array" aca="1" ref="BB543" ca="1">INDEX(OFFSET($AK$19,MATCH($B543,$B$19:$B$150,0)-1,0,COUNTA($B$19:$B$24),COUNTA($AK$17:$BB$17)),MATCH($F543,$F$19:$F$24,0),MATCH(BB$17,$AK$17:$BB$17,0))*INDEX($10:$13,MATCH($O543,$R$10:$R$13,0),COLUMN())</f>
        <v>0</v>
      </c>
      <c r="BC543" s="1049">
        <f t="shared" ca="1" si="183"/>
        <v>7.3714840889014505E-2</v>
      </c>
      <c r="BE543" s="1"/>
      <c r="BF543" s="1"/>
      <c r="BG543" s="1"/>
      <c r="BH543" s="1"/>
      <c r="BI543" s="1"/>
      <c r="BJ543" s="1"/>
      <c r="BK543" s="1"/>
      <c r="BL543" s="1"/>
      <c r="BM543" s="1"/>
      <c r="BN543" s="1"/>
      <c r="BO543" s="1"/>
      <c r="BP543" s="1"/>
      <c r="BQ543" s="1"/>
      <c r="BR543" s="1"/>
      <c r="BS543" s="1"/>
      <c r="BT543" s="1"/>
      <c r="BU543" s="1"/>
      <c r="BV543" s="1"/>
      <c r="BW543" s="1"/>
      <c r="BX543" s="1"/>
      <c r="BY543" s="1"/>
      <c r="BZ543" s="1"/>
    </row>
    <row r="544" spans="2:78" ht="12" customHeight="1" outlineLevel="1" x14ac:dyDescent="0.25">
      <c r="B544" s="104" t="s">
        <v>116</v>
      </c>
      <c r="C544" s="104" t="s">
        <v>124</v>
      </c>
      <c r="D544" s="2" t="s">
        <v>152</v>
      </c>
      <c r="E544" s="2" t="s">
        <v>156</v>
      </c>
      <c r="F544" s="105" t="s">
        <v>122</v>
      </c>
      <c r="G544" s="27" t="s">
        <v>1579</v>
      </c>
      <c r="H544" s="106" t="s">
        <v>128</v>
      </c>
      <c r="I544" s="107" t="s">
        <v>129</v>
      </c>
      <c r="J544" s="147">
        <v>1.55</v>
      </c>
      <c r="K544" s="148">
        <v>4.3927738336713995</v>
      </c>
      <c r="L544" s="149">
        <f t="shared" ca="1" si="181"/>
        <v>0.13472815879255221</v>
      </c>
      <c r="M544" s="148">
        <f t="shared" ca="1" si="182"/>
        <v>4.9846041642740477</v>
      </c>
      <c r="N544" s="163">
        <f t="shared" ca="1" si="184"/>
        <v>0.59183033060264867</v>
      </c>
      <c r="O544" s="1061" t="s">
        <v>1584</v>
      </c>
      <c r="P544" s="104"/>
      <c r="R544" s="119"/>
      <c r="S544" s="1072"/>
      <c r="T544" s="1072"/>
      <c r="U544" s="1072"/>
      <c r="V544" s="1072"/>
      <c r="W544" s="1072"/>
      <c r="X544" s="1072"/>
      <c r="Y544" s="1072"/>
      <c r="Z544" s="1072"/>
      <c r="AA544" s="1072"/>
      <c r="AB544" s="1072"/>
      <c r="AC544" s="1072"/>
      <c r="AD544" s="1072"/>
      <c r="AE544" s="1072"/>
      <c r="AF544" s="1072"/>
      <c r="AG544" s="1072"/>
      <c r="AH544" s="1072"/>
      <c r="AI544" s="1072"/>
      <c r="AJ544" s="1073"/>
      <c r="AK544" s="1052" cm="1">
        <f t="array" aca="1" ref="AK544" ca="1">INDEX(OFFSET($AK$19,MATCH($B544,$B$19:$B$150,0)-1,0,COUNTA($B$19:$B$24),COUNTA($AK$17:$BB$17)),MATCH($F544,$F$19:$F$24,0),MATCH(AK$17,$AK$17:$BB$17,0))*INDEX($10:$13,MATCH($O544,$R$10:$R$13,0),COLUMN())</f>
        <v>8.0327756489106478E-2</v>
      </c>
      <c r="AL544" s="1050" cm="1">
        <f t="array" aca="1" ref="AL544" ca="1">INDEX(OFFSET($AK$19,MATCH($B544,$B$19:$B$150,0)-1,0,COUNTA($B$19:$B$24),COUNTA($AK$17:$BB$17)),MATCH($F544,$F$19:$F$24,0),MATCH(AL$17,$AK$17:$BB$17,0))*INDEX($10:$13,MATCH($O544,$R$10:$R$13,0),COLUMN())</f>
        <v>5.7310548750000002E-7</v>
      </c>
      <c r="AM544" s="1050" cm="1">
        <f t="array" aca="1" ref="AM544" ca="1">INDEX(OFFSET($AK$19,MATCH($B544,$B$19:$B$150,0)-1,0,COUNTA($B$19:$B$24),COUNTA($AK$17:$BB$17)),MATCH($F544,$F$19:$F$24,0),MATCH(AM$17,$AK$17:$BB$17,0))*INDEX($10:$13,MATCH($O544,$R$10:$R$13,0),COLUMN())</f>
        <v>9.6995017349999998E-4</v>
      </c>
      <c r="AN544" s="1050" cm="1">
        <f t="array" aca="1" ref="AN544" ca="1">INDEX(OFFSET($AK$19,MATCH($B544,$B$19:$B$150,0)-1,0,COUNTA($B$19:$B$24),COUNTA($AK$17:$BB$17)),MATCH($F544,$F$19:$F$24,0),MATCH(AN$17,$AK$17:$BB$17,0))*INDEX($10:$13,MATCH($O544,$R$10:$R$13,0),COLUMN())</f>
        <v>2.6118728160000001E-3</v>
      </c>
      <c r="AO544" s="1050" cm="1">
        <f t="array" aca="1" ref="AO544" ca="1">INDEX(OFFSET($AK$19,MATCH($B544,$B$19:$B$150,0)-1,0,COUNTA($B$19:$B$24),COUNTA($AK$17:$BB$17)),MATCH($F544,$F$19:$F$24,0),MATCH(AO$17,$AK$17:$BB$17,0))*INDEX($10:$13,MATCH($O544,$R$10:$R$13,0),COLUMN())</f>
        <v>0.30870027999999999</v>
      </c>
      <c r="AP544" s="1050" cm="1">
        <f t="array" aca="1" ref="AP544" ca="1">INDEX(OFFSET($AK$19,MATCH($B544,$B$19:$B$150,0)-1,0,COUNTA($B$19:$B$24),COUNTA($AK$17:$BB$17)),MATCH($F544,$F$19:$F$24,0),MATCH(AP$17,$AK$17:$BB$17,0))*INDEX($10:$13,MATCH($O544,$R$10:$R$13,0),COLUMN())</f>
        <v>3.4897574148000002E-2</v>
      </c>
      <c r="AQ544" s="1050" cm="1">
        <f t="array" aca="1" ref="AQ544" ca="1">INDEX(OFFSET($AK$19,MATCH($B544,$B$19:$B$150,0)-1,0,COUNTA($B$19:$B$24),COUNTA($AK$17:$BB$17)),MATCH($F544,$F$19:$F$24,0),MATCH(AQ$17,$AK$17:$BB$17,0))*INDEX($10:$13,MATCH($O544,$R$10:$R$13,0),COLUMN())</f>
        <v>1.7317008749999999E-5</v>
      </c>
      <c r="AR544" s="1050" cm="1">
        <f t="array" aca="1" ref="AR544" ca="1">INDEX(OFFSET($AK$19,MATCH($B544,$B$19:$B$150,0)-1,0,COUNTA($B$19:$B$24),COUNTA($AK$17:$BB$17)),MATCH($F544,$F$19:$F$24,0),MATCH(AR$17,$AK$17:$BB$17,0))*INDEX($10:$13,MATCH($O544,$R$10:$R$13,0),COLUMN())</f>
        <v>3.612028951E-2</v>
      </c>
      <c r="AS544" s="1050" cm="1">
        <f t="array" aca="1" ref="AS544" ca="1">INDEX(OFFSET($AK$19,MATCH($B544,$B$19:$B$150,0)-1,0,COUNTA($B$19:$B$24),COUNTA($AK$17:$BB$17)),MATCH($F544,$F$19:$F$24,0),MATCH(AS$17,$AK$17:$BB$17,0))*INDEX($10:$13,MATCH($O544,$R$10:$R$13,0),COLUMN())</f>
        <v>2.2878502920000001E-5</v>
      </c>
      <c r="AT544" s="1050" cm="1">
        <f t="array" aca="1" ref="AT544" ca="1">INDEX(OFFSET($AK$19,MATCH($B544,$B$19:$B$150,0)-1,0,COUNTA($B$19:$B$24),COUNTA($AK$17:$BB$17)),MATCH($F544,$F$19:$F$24,0),MATCH(AT$17,$AK$17:$BB$17,0))*INDEX($10:$13,MATCH($O544,$R$10:$R$13,0),COLUMN())</f>
        <v>1.5218793660000001E-6</v>
      </c>
      <c r="AU544" s="1050" cm="1">
        <f t="array" aca="1" ref="AU544" ca="1">INDEX(OFFSET($AK$19,MATCH($B544,$B$19:$B$150,0)-1,0,COUNTA($B$19:$B$24),COUNTA($AK$17:$BB$17)),MATCH($F544,$F$19:$F$24,0),MATCH(AU$17,$AK$17:$BB$17,0))*INDEX($10:$13,MATCH($O544,$R$10:$R$13,0),COLUMN())</f>
        <v>3.4012181216000004E-7</v>
      </c>
      <c r="AV544" s="1050" cm="1">
        <f t="array" aca="1" ref="AV544" ca="1">INDEX(OFFSET($AK$19,MATCH($B544,$B$19:$B$150,0)-1,0,COUNTA($B$19:$B$24),COUNTA($AK$17:$BB$17)),MATCH($F544,$F$19:$F$24,0),MATCH(AV$17,$AK$17:$BB$17,0))*INDEX($10:$13,MATCH($O544,$R$10:$R$13,0),COLUMN())</f>
        <v>4.9133249999999999E-4</v>
      </c>
      <c r="AW544" s="1050" cm="1">
        <f t="array" aca="1" ref="AW544" ca="1">INDEX(OFFSET($AK$19,MATCH($B544,$B$19:$B$150,0)-1,0,COUNTA($B$19:$B$24),COUNTA($AK$17:$BB$17)),MATCH($F544,$F$19:$F$24,0),MATCH(AW$17,$AK$17:$BB$17,0))*INDEX($10:$13,MATCH($O544,$R$10:$R$13,0),COLUMN())</f>
        <v>0.12766730549999999</v>
      </c>
      <c r="AX544" s="1050" cm="1">
        <f t="array" aca="1" ref="AX544" ca="1">INDEX(OFFSET($AK$19,MATCH($B544,$B$19:$B$150,0)-1,0,COUNTA($B$19:$B$24),COUNTA($AK$17:$BB$17)),MATCH($F544,$F$19:$F$24,0),MATCH(AX$17,$AK$17:$BB$17,0))*INDEX($10:$13,MATCH($O544,$R$10:$R$13,0),COLUMN())</f>
        <v>4.7737019999999998E-7</v>
      </c>
      <c r="AY544" s="1050" cm="1">
        <f t="array" aca="1" ref="AY544" ca="1">INDEX(OFFSET($AK$19,MATCH($B544,$B$19:$B$150,0)-1,0,COUNTA($B$19:$B$24),COUNTA($AK$17:$BB$17)),MATCH($F544,$F$19:$F$24,0),MATCH(AY$17,$AK$17:$BB$17,0))*INDEX($10:$13,MATCH($O544,$R$10:$R$13,0),COLUMN())</f>
        <v>8.6147750643749989E-7</v>
      </c>
      <c r="AZ544" s="1050" cm="1">
        <f t="array" aca="1" ref="AZ544" ca="1">INDEX(OFFSET($AK$19,MATCH($B544,$B$19:$B$150,0)-1,0,COUNTA($B$19:$B$24),COUNTA($AK$17:$BB$17)),MATCH($F544,$F$19:$F$24,0),MATCH(AZ$17,$AK$17:$BB$17,0))*INDEX($10:$13,MATCH($O544,$R$10:$R$13,0),COLUMN())</f>
        <v>0</v>
      </c>
      <c r="BA544" s="1050" cm="1">
        <f t="array" aca="1" ref="BA544" ca="1">INDEX(OFFSET($AK$19,MATCH($B544,$B$19:$B$150,0)-1,0,COUNTA($B$19:$B$24),COUNTA($AK$17:$BB$17)),MATCH($F544,$F$19:$F$24,0),MATCH(BA$17,$AK$17:$BB$17,0))*INDEX($10:$13,MATCH($O544,$R$10:$R$13,0),COLUMN())</f>
        <v>0</v>
      </c>
      <c r="BB544" s="1051" cm="1">
        <f t="array" aca="1" ref="BB544" ca="1">INDEX(OFFSET($AK$19,MATCH($B544,$B$19:$B$150,0)-1,0,COUNTA($B$19:$B$24),COUNTA($AK$17:$BB$17)),MATCH($F544,$F$19:$F$24,0),MATCH(BB$17,$AK$17:$BB$17,0))*INDEX($10:$13,MATCH($O544,$R$10:$R$13,0),COLUMN())</f>
        <v>0</v>
      </c>
      <c r="BC544" s="1053">
        <f t="shared" ca="1" si="183"/>
        <v>0.12766864434770644</v>
      </c>
      <c r="BE544" s="1"/>
      <c r="BF544" s="1"/>
      <c r="BG544" s="1"/>
      <c r="BH544" s="1"/>
      <c r="BI544" s="1"/>
      <c r="BJ544" s="1"/>
      <c r="BK544" s="1"/>
      <c r="BL544" s="1"/>
      <c r="BM544" s="1"/>
      <c r="BN544" s="1"/>
      <c r="BO544" s="1"/>
      <c r="BP544" s="1"/>
      <c r="BQ544" s="1"/>
      <c r="BR544" s="1"/>
      <c r="BS544" s="1"/>
      <c r="BT544" s="1"/>
      <c r="BU544" s="1"/>
      <c r="BV544" s="1"/>
      <c r="BW544" s="1"/>
      <c r="BX544" s="1"/>
      <c r="BY544" s="1"/>
      <c r="BZ544" s="1"/>
    </row>
    <row r="545" spans="2:78" ht="12" customHeight="1" outlineLevel="1" x14ac:dyDescent="0.25">
      <c r="B545" s="104" t="s">
        <v>116</v>
      </c>
      <c r="C545" s="104" t="s">
        <v>124</v>
      </c>
      <c r="D545" s="2" t="s">
        <v>152</v>
      </c>
      <c r="E545" s="2" t="s">
        <v>156</v>
      </c>
      <c r="F545" s="105" t="s">
        <v>93</v>
      </c>
      <c r="G545" s="27" t="s">
        <v>1578</v>
      </c>
      <c r="H545" s="106" t="s">
        <v>130</v>
      </c>
      <c r="I545" s="107" t="s">
        <v>129</v>
      </c>
      <c r="J545" s="147">
        <v>1.55</v>
      </c>
      <c r="K545" s="148">
        <v>4.3927738336713995</v>
      </c>
      <c r="L545" s="149">
        <f t="shared" ca="1" si="181"/>
        <v>0.15041008605137587</v>
      </c>
      <c r="M545" s="148">
        <f t="shared" ca="1" si="182"/>
        <v>5.0534913239981467</v>
      </c>
      <c r="N545" s="163">
        <f t="shared" ca="1" si="184"/>
        <v>0.66071749032674754</v>
      </c>
      <c r="O545" s="1061" t="s">
        <v>1584</v>
      </c>
      <c r="P545" s="104"/>
      <c r="R545" s="119"/>
      <c r="S545" s="1072"/>
      <c r="T545" s="1072"/>
      <c r="U545" s="1072"/>
      <c r="V545" s="1072"/>
      <c r="W545" s="1072"/>
      <c r="X545" s="1072"/>
      <c r="Y545" s="1072"/>
      <c r="Z545" s="1072"/>
      <c r="AA545" s="1072"/>
      <c r="AB545" s="1072"/>
      <c r="AC545" s="1072"/>
      <c r="AD545" s="1072"/>
      <c r="AE545" s="1072"/>
      <c r="AF545" s="1072"/>
      <c r="AG545" s="1072"/>
      <c r="AH545" s="1072"/>
      <c r="AI545" s="1072"/>
      <c r="AJ545" s="1073"/>
      <c r="AK545" s="1052" cm="1">
        <f t="array" aca="1" ref="AK545" ca="1">INDEX(OFFSET($AK$19,MATCH($B545,$B$19:$B$150,0)-1,0,COUNTA($B$19:$B$24),COUNTA($AK$17:$BB$17)),MATCH($F545,$F$19:$F$24,0),MATCH(AK$17,$AK$17:$BB$17,0))*INDEX($10:$13,MATCH($O545,$R$10:$R$13,0),COLUMN())</f>
        <v>9.1663858753316646E-2</v>
      </c>
      <c r="AL545" s="1050" cm="1">
        <f t="array" aca="1" ref="AL545" ca="1">INDEX(OFFSET($AK$19,MATCH($B545,$B$19:$B$150,0)-1,0,COUNTA($B$19:$B$24),COUNTA($AK$17:$BB$17)),MATCH($F545,$F$19:$F$24,0),MATCH(AL$17,$AK$17:$BB$17,0))*INDEX($10:$13,MATCH($O545,$R$10:$R$13,0),COLUMN())</f>
        <v>5.999949995000001E-7</v>
      </c>
      <c r="AM545" s="1050" cm="1">
        <f t="array" aca="1" ref="AM545" ca="1">INDEX(OFFSET($AK$19,MATCH($B545,$B$19:$B$150,0)-1,0,COUNTA($B$19:$B$24),COUNTA($AK$17:$BB$17)),MATCH($F545,$F$19:$F$24,0),MATCH(AM$17,$AK$17:$BB$17,0))*INDEX($10:$13,MATCH($O545,$R$10:$R$13,0),COLUMN())</f>
        <v>1.0143228348E-3</v>
      </c>
      <c r="AN545" s="1050" cm="1">
        <f t="array" aca="1" ref="AN545" ca="1">INDEX(OFFSET($AK$19,MATCH($B545,$B$19:$B$150,0)-1,0,COUNTA($B$19:$B$24),COUNTA($AK$17:$BB$17)),MATCH($F545,$F$19:$F$24,0),MATCH(AN$17,$AK$17:$BB$17,0))*INDEX($10:$13,MATCH($O545,$R$10:$R$13,0),COLUMN())</f>
        <v>3.0913256639999998E-3</v>
      </c>
      <c r="AO545" s="1050" cm="1">
        <f t="array" aca="1" ref="AO545" ca="1">INDEX(OFFSET($AK$19,MATCH($B545,$B$19:$B$150,0)-1,0,COUNTA($B$19:$B$24),COUNTA($AK$17:$BB$17)),MATCH($F545,$F$19:$F$24,0),MATCH(AO$17,$AK$17:$BB$17,0))*INDEX($10:$13,MATCH($O545,$R$10:$R$13,0),COLUMN())</f>
        <v>0.31673247199999999</v>
      </c>
      <c r="AP545" s="1050" cm="1">
        <f t="array" aca="1" ref="AP545" ca="1">INDEX(OFFSET($AK$19,MATCH($B545,$B$19:$B$150,0)-1,0,COUNTA($B$19:$B$24),COUNTA($AK$17:$BB$17)),MATCH($F545,$F$19:$F$24,0),MATCH(AP$17,$AK$17:$BB$17,0))*INDEX($10:$13,MATCH($O545,$R$10:$R$13,0),COLUMN())</f>
        <v>3.5781895868000006E-2</v>
      </c>
      <c r="AQ545" s="1050" cm="1">
        <f t="array" aca="1" ref="AQ545" ca="1">INDEX(OFFSET($AK$19,MATCH($B545,$B$19:$B$150,0)-1,0,COUNTA($B$19:$B$24),COUNTA($AK$17:$BB$17)),MATCH($F545,$F$19:$F$24,0),MATCH(AQ$17,$AK$17:$BB$17,0))*INDEX($10:$13,MATCH($O545,$R$10:$R$13,0),COLUMN())</f>
        <v>2.2243626249999998E-5</v>
      </c>
      <c r="AR545" s="1050" cm="1">
        <f t="array" aca="1" ref="AR545" ca="1">INDEX(OFFSET($AK$19,MATCH($B545,$B$19:$B$150,0)-1,0,COUNTA($B$19:$B$24),COUNTA($AK$17:$BB$17)),MATCH($F545,$F$19:$F$24,0),MATCH(AR$17,$AK$17:$BB$17,0))*INDEX($10:$13,MATCH($O545,$R$10:$R$13,0),COLUMN())</f>
        <v>4.4479904199999996E-2</v>
      </c>
      <c r="AS545" s="1050" cm="1">
        <f t="array" aca="1" ref="AS545" ca="1">INDEX(OFFSET($AK$19,MATCH($B545,$B$19:$B$150,0)-1,0,COUNTA($B$19:$B$24),COUNTA($AK$17:$BB$17)),MATCH($F545,$F$19:$F$24,0),MATCH(AS$17,$AK$17:$BB$17,0))*INDEX($10:$13,MATCH($O545,$R$10:$R$13,0),COLUMN())</f>
        <v>5.4475613009999996E-5</v>
      </c>
      <c r="AT545" s="1050" cm="1">
        <f t="array" aca="1" ref="AT545" ca="1">INDEX(OFFSET($AK$19,MATCH($B545,$B$19:$B$150,0)-1,0,COUNTA($B$19:$B$24),COUNTA($AK$17:$BB$17)),MATCH($F545,$F$19:$F$24,0),MATCH(AT$17,$AK$17:$BB$17,0))*INDEX($10:$13,MATCH($O545,$R$10:$R$13,0),COLUMN())</f>
        <v>1.9387925924999999E-6</v>
      </c>
      <c r="AU545" s="1050" cm="1">
        <f t="array" aca="1" ref="AU545" ca="1">INDEX(OFFSET($AK$19,MATCH($B545,$B$19:$B$150,0)-1,0,COUNTA($B$19:$B$24),COUNTA($AK$17:$BB$17)),MATCH($F545,$F$19:$F$24,0),MATCH(AU$17,$AK$17:$BB$17,0))*INDEX($10:$13,MATCH($O545,$R$10:$R$13,0),COLUMN())</f>
        <v>4.2709328928000004E-7</v>
      </c>
      <c r="AV545" s="1050" cm="1">
        <f t="array" aca="1" ref="AV545" ca="1">INDEX(OFFSET($AK$19,MATCH($B545,$B$19:$B$150,0)-1,0,COUNTA($B$19:$B$24),COUNTA($AK$17:$BB$17)),MATCH($F545,$F$19:$F$24,0),MATCH(AV$17,$AK$17:$BB$17,0))*INDEX($10:$13,MATCH($O545,$R$10:$R$13,0),COLUMN())</f>
        <v>1.0802099075E-3</v>
      </c>
      <c r="AW545" s="1050" cm="1">
        <f t="array" aca="1" ref="AW545" ca="1">INDEX(OFFSET($AK$19,MATCH($B545,$B$19:$B$150,0)-1,0,COUNTA($B$19:$B$24),COUNTA($AK$17:$BB$17)),MATCH($F545,$F$19:$F$24,0),MATCH(AW$17,$AK$17:$BB$17,0))*INDEX($10:$13,MATCH($O545,$R$10:$R$13,0),COLUMN())</f>
        <v>0.16679244254999998</v>
      </c>
      <c r="AX545" s="1050" cm="1">
        <f t="array" aca="1" ref="AX545" ca="1">INDEX(OFFSET($AK$19,MATCH($B545,$B$19:$B$150,0)-1,0,COUNTA($B$19:$B$24),COUNTA($AK$17:$BB$17)),MATCH($F545,$F$19:$F$24,0),MATCH(AX$17,$AK$17:$BB$17,0))*INDEX($10:$13,MATCH($O545,$R$10:$R$13,0),COLUMN())</f>
        <v>4.9375555649999992E-7</v>
      </c>
      <c r="AY545" s="1050" cm="1">
        <f t="array" aca="1" ref="AY545" ca="1">INDEX(OFFSET($AK$19,MATCH($B545,$B$19:$B$150,0)-1,0,COUNTA($B$19:$B$24),COUNTA($AK$17:$BB$17)),MATCH($F545,$F$19:$F$24,0),MATCH(AY$17,$AK$17:$BB$17,0))*INDEX($10:$13,MATCH($O545,$R$10:$R$13,0),COLUMN())</f>
        <v>8.7967343306249991E-7</v>
      </c>
      <c r="AZ545" s="1050" cm="1">
        <f t="array" aca="1" ref="AZ545" ca="1">INDEX(OFFSET($AK$19,MATCH($B545,$B$19:$B$150,0)-1,0,COUNTA($B$19:$B$24),COUNTA($AK$17:$BB$17)),MATCH($F545,$F$19:$F$24,0),MATCH(AZ$17,$AK$17:$BB$17,0))*INDEX($10:$13,MATCH($O545,$R$10:$R$13,0),COLUMN())</f>
        <v>0</v>
      </c>
      <c r="BA545" s="1050" cm="1">
        <f t="array" aca="1" ref="BA545" ca="1">INDEX(OFFSET($AK$19,MATCH($B545,$B$19:$B$150,0)-1,0,COUNTA($B$19:$B$24),COUNTA($AK$17:$BB$17)),MATCH($F545,$F$19:$F$24,0),MATCH(BA$17,$AK$17:$BB$17,0))*INDEX($10:$13,MATCH($O545,$R$10:$R$13,0),COLUMN())</f>
        <v>0</v>
      </c>
      <c r="BB545" s="1051" cm="1">
        <f t="array" aca="1" ref="BB545" ca="1">INDEX(OFFSET($AK$19,MATCH($B545,$B$19:$B$150,0)-1,0,COUNTA($B$19:$B$24),COUNTA($AK$17:$BB$17)),MATCH($F545,$F$19:$F$24,0),MATCH(BB$17,$AK$17:$BB$17,0))*INDEX($10:$13,MATCH($O545,$R$10:$R$13,0),COLUMN())</f>
        <v>0</v>
      </c>
      <c r="BC545" s="1053">
        <f t="shared" ca="1" si="183"/>
        <v>0.16679381597898954</v>
      </c>
      <c r="BE545" s="1"/>
      <c r="BF545" s="1"/>
      <c r="BG545" s="1"/>
      <c r="BH545" s="1"/>
      <c r="BI545" s="1"/>
      <c r="BJ545" s="1"/>
      <c r="BK545" s="1"/>
      <c r="BL545" s="1"/>
      <c r="BM545" s="1"/>
      <c r="BN545" s="1"/>
      <c r="BO545" s="1"/>
      <c r="BP545" s="1"/>
      <c r="BQ545" s="1"/>
      <c r="BR545" s="1"/>
      <c r="BS545" s="1"/>
      <c r="BT545" s="1"/>
      <c r="BU545" s="1"/>
      <c r="BV545" s="1"/>
      <c r="BW545" s="1"/>
      <c r="BX545" s="1"/>
      <c r="BY545" s="1"/>
      <c r="BZ545" s="1"/>
    </row>
    <row r="546" spans="2:78" ht="12" customHeight="1" outlineLevel="1" x14ac:dyDescent="0.25">
      <c r="B546" s="104" t="s">
        <v>116</v>
      </c>
      <c r="C546" s="104" t="s">
        <v>124</v>
      </c>
      <c r="D546" s="2" t="s">
        <v>152</v>
      </c>
      <c r="E546" s="2" t="s">
        <v>156</v>
      </c>
      <c r="F546" s="105" t="s">
        <v>94</v>
      </c>
      <c r="G546" s="27" t="s">
        <v>1580</v>
      </c>
      <c r="H546" s="106" t="s">
        <v>131</v>
      </c>
      <c r="I546" s="107" t="s">
        <v>129</v>
      </c>
      <c r="J546" s="147">
        <v>1.55</v>
      </c>
      <c r="K546" s="148">
        <v>4.3927738336713995</v>
      </c>
      <c r="L546" s="149">
        <f t="shared" ca="1" si="181"/>
        <v>0.12429512007911167</v>
      </c>
      <c r="M546" s="148">
        <f t="shared" ca="1" si="182"/>
        <v>4.9387741848079658</v>
      </c>
      <c r="N546" s="163">
        <f t="shared" ca="1" si="184"/>
        <v>0.54600035113656631</v>
      </c>
      <c r="O546" s="1061" t="s">
        <v>1584</v>
      </c>
      <c r="P546" s="104"/>
      <c r="R546" s="119"/>
      <c r="S546" s="1072"/>
      <c r="T546" s="1072"/>
      <c r="U546" s="1072"/>
      <c r="V546" s="1072"/>
      <c r="W546" s="1072"/>
      <c r="X546" s="1072"/>
      <c r="Y546" s="1072"/>
      <c r="Z546" s="1072"/>
      <c r="AA546" s="1072"/>
      <c r="AB546" s="1072"/>
      <c r="AC546" s="1072"/>
      <c r="AD546" s="1072"/>
      <c r="AE546" s="1072"/>
      <c r="AF546" s="1072"/>
      <c r="AG546" s="1072"/>
      <c r="AH546" s="1072"/>
      <c r="AI546" s="1072"/>
      <c r="AJ546" s="1073"/>
      <c r="AK546" s="1052" cm="1">
        <f t="array" aca="1" ref="AK546" ca="1">INDEX(OFFSET($AK$19,MATCH($B546,$B$19:$B$150,0)-1,0,COUNTA($B$19:$B$24),COUNTA($AK$17:$BB$17)),MATCH($F546,$F$19:$F$24,0),MATCH(AK$17,$AK$17:$BB$17,0))*INDEX($10:$13,MATCH($O546,$R$10:$R$13,0),COLUMN())</f>
        <v>7.2848110419654361E-2</v>
      </c>
      <c r="AL546" s="1050" cm="1">
        <f t="array" aca="1" ref="AL546" ca="1">INDEX(OFFSET($AK$19,MATCH($B546,$B$19:$B$150,0)-1,0,COUNTA($B$19:$B$24),COUNTA($AK$17:$BB$17)),MATCH($F546,$F$19:$F$24,0),MATCH(AL$17,$AK$17:$BB$17,0))*INDEX($10:$13,MATCH($O546,$R$10:$R$13,0),COLUMN())</f>
        <v>5.5293254120000006E-7</v>
      </c>
      <c r="AM546" s="1050" cm="1">
        <f t="array" aca="1" ref="AM546" ca="1">INDEX(OFFSET($AK$19,MATCH($B546,$B$19:$B$150,0)-1,0,COUNTA($B$19:$B$24),COUNTA($AK$17:$BB$17)),MATCH($F546,$F$19:$F$24,0),MATCH(AM$17,$AK$17:$BB$17,0))*INDEX($10:$13,MATCH($O546,$R$10:$R$13,0),COLUMN())</f>
        <v>9.3651795269999994E-4</v>
      </c>
      <c r="AN546" s="1050" cm="1">
        <f t="array" aca="1" ref="AN546" ca="1">INDEX(OFFSET($AK$19,MATCH($B546,$B$19:$B$150,0)-1,0,COUNTA($B$19:$B$24),COUNTA($AK$17:$BB$17)),MATCH($F546,$F$19:$F$24,0),MATCH(AN$17,$AK$17:$BB$17,0))*INDEX($10:$13,MATCH($O546,$R$10:$R$13,0),COLUMN())</f>
        <v>2.30010396E-3</v>
      </c>
      <c r="AO546" s="1050" cm="1">
        <f t="array" aca="1" ref="AO546" ca="1">INDEX(OFFSET($AK$19,MATCH($B546,$B$19:$B$150,0)-1,0,COUNTA($B$19:$B$24),COUNTA($AK$17:$BB$17)),MATCH($F546,$F$19:$F$24,0),MATCH(AO$17,$AK$17:$BB$17,0))*INDEX($10:$13,MATCH($O546,$R$10:$R$13,0),COLUMN())</f>
        <v>0.30211118000000003</v>
      </c>
      <c r="AP546" s="1050" cm="1">
        <f t="array" aca="1" ref="AP546" ca="1">INDEX(OFFSET($AK$19,MATCH($B546,$B$19:$B$150,0)-1,0,COUNTA($B$19:$B$24),COUNTA($AK$17:$BB$17)),MATCH($F546,$F$19:$F$24,0),MATCH(AP$17,$AK$17:$BB$17,0))*INDEX($10:$13,MATCH($O546,$R$10:$R$13,0),COLUMN())</f>
        <v>3.4129798773999999E-2</v>
      </c>
      <c r="AQ546" s="1050" cm="1">
        <f t="array" aca="1" ref="AQ546" ca="1">INDEX(OFFSET($AK$19,MATCH($B546,$B$19:$B$150,0)-1,0,COUNTA($B$19:$B$24),COUNTA($AK$17:$BB$17)),MATCH($F546,$F$19:$F$24,0),MATCH(AQ$17,$AK$17:$BB$17,0))*INDEX($10:$13,MATCH($O546,$R$10:$R$13,0),COLUMN())</f>
        <v>1.417760325E-5</v>
      </c>
      <c r="AR546" s="1050" cm="1">
        <f t="array" aca="1" ref="AR546" ca="1">INDEX(OFFSET($AK$19,MATCH($B546,$B$19:$B$150,0)-1,0,COUNTA($B$19:$B$24),COUNTA($AK$17:$BB$17)),MATCH($F546,$F$19:$F$24,0),MATCH(AR$17,$AK$17:$BB$17,0))*INDEX($10:$13,MATCH($O546,$R$10:$R$13,0),COLUMN())</f>
        <v>3.0650505791E-2</v>
      </c>
      <c r="AS546" s="1050" cm="1">
        <f t="array" aca="1" ref="AS546" ca="1">INDEX(OFFSET($AK$19,MATCH($B546,$B$19:$B$150,0)-1,0,COUNTA($B$19:$B$24),COUNTA($AK$17:$BB$17)),MATCH($F546,$F$19:$F$24,0),MATCH(AS$17,$AK$17:$BB$17,0))*INDEX($10:$13,MATCH($O546,$R$10:$R$13,0),COLUMN())</f>
        <v>3.2460271739999996E-6</v>
      </c>
      <c r="AT546" s="1050" cm="1">
        <f t="array" aca="1" ref="AT546" ca="1">INDEX(OFFSET($AK$19,MATCH($B546,$B$19:$B$150,0)-1,0,COUNTA($B$19:$B$24),COUNTA($AK$17:$BB$17)),MATCH($F546,$F$19:$F$24,0),MATCH(AT$17,$AK$17:$BB$17,0))*INDEX($10:$13,MATCH($O546,$R$10:$R$13,0),COLUMN())</f>
        <v>1.256526166E-6</v>
      </c>
      <c r="AU546" s="1050" cm="1">
        <f t="array" aca="1" ref="AU546" ca="1">INDEX(OFFSET($AK$19,MATCH($B546,$B$19:$B$150,0)-1,0,COUNTA($B$19:$B$24),COUNTA($AK$17:$BB$17)),MATCH($F546,$F$19:$F$24,0),MATCH(AU$17,$AK$17:$BB$17,0))*INDEX($10:$13,MATCH($O546,$R$10:$R$13,0),COLUMN())</f>
        <v>2.8459061440000002E-7</v>
      </c>
      <c r="AV546" s="1050" cm="1">
        <f t="array" aca="1" ref="AV546" ca="1">INDEX(OFFSET($AK$19,MATCH($B546,$B$19:$B$150,0)-1,0,COUNTA($B$19:$B$24),COUNTA($AK$17:$BB$17)),MATCH($F546,$F$19:$F$24,0),MATCH(AV$17,$AK$17:$BB$17,0))*INDEX($10:$13,MATCH($O546,$R$10:$R$13,0),COLUMN())</f>
        <v>1.2852557849999999E-4</v>
      </c>
      <c r="AW546" s="1050" cm="1">
        <f t="array" aca="1" ref="AW546" ca="1">INDEX(OFFSET($AK$19,MATCH($B546,$B$19:$B$150,0)-1,0,COUNTA($B$19:$B$24),COUNTA($AK$17:$BB$17)),MATCH($F546,$F$19:$F$24,0),MATCH(AW$17,$AK$17:$BB$17,0))*INDEX($10:$13,MATCH($O546,$R$10:$R$13,0),COLUMN())</f>
        <v>0.10287478514999998</v>
      </c>
      <c r="AX546" s="1050" cm="1">
        <f t="array" aca="1" ref="AX546" ca="1">INDEX(OFFSET($AK$19,MATCH($B546,$B$19:$B$150,0)-1,0,COUNTA($B$19:$B$24),COUNTA($AK$17:$BB$17)),MATCH($F546,$F$19:$F$24,0),MATCH(AX$17,$AK$17:$BB$17,0))*INDEX($10:$13,MATCH($O546,$R$10:$R$13,0),COLUMN())</f>
        <v>4.6397520300000002E-7</v>
      </c>
      <c r="AY546" s="1050" cm="1">
        <f t="array" aca="1" ref="AY546" ca="1">INDEX(OFFSET($AK$19,MATCH($B546,$B$19:$B$150,0)-1,0,COUNTA($B$19:$B$24),COUNTA($AK$17:$BB$17)),MATCH($F546,$F$19:$F$24,0),MATCH(AY$17,$AK$17:$BB$17,0))*INDEX($10:$13,MATCH($O546,$R$10:$R$13,0),COLUMN())</f>
        <v>8.4185576324999985E-7</v>
      </c>
      <c r="AZ546" s="1050" cm="1">
        <f t="array" aca="1" ref="AZ546" ca="1">INDEX(OFFSET($AK$19,MATCH($B546,$B$19:$B$150,0)-1,0,COUNTA($B$19:$B$24),COUNTA($AK$17:$BB$17)),MATCH($F546,$F$19:$F$24,0),MATCH(AZ$17,$AK$17:$BB$17,0))*INDEX($10:$13,MATCH($O546,$R$10:$R$13,0),COLUMN())</f>
        <v>0</v>
      </c>
      <c r="BA546" s="1050" cm="1">
        <f t="array" aca="1" ref="BA546" ca="1">INDEX(OFFSET($AK$19,MATCH($B546,$B$19:$B$150,0)-1,0,COUNTA($B$19:$B$24),COUNTA($AK$17:$BB$17)),MATCH($F546,$F$19:$F$24,0),MATCH(BA$17,$AK$17:$BB$17,0))*INDEX($10:$13,MATCH($O546,$R$10:$R$13,0),COLUMN())</f>
        <v>0</v>
      </c>
      <c r="BB546" s="1051" cm="1">
        <f t="array" aca="1" ref="BB546" ca="1">INDEX(OFFSET($AK$19,MATCH($B546,$B$19:$B$150,0)-1,0,COUNTA($B$19:$B$24),COUNTA($AK$17:$BB$17)),MATCH($F546,$F$19:$F$24,0),MATCH(BB$17,$AK$17:$BB$17,0))*INDEX($10:$13,MATCH($O546,$R$10:$R$13,0),COLUMN())</f>
        <v>0</v>
      </c>
      <c r="BC546" s="1053">
        <f t="shared" ca="1" si="183"/>
        <v>0.10287609098096623</v>
      </c>
      <c r="BE546" s="1"/>
      <c r="BF546" s="1"/>
      <c r="BG546" s="1"/>
      <c r="BH546" s="1"/>
      <c r="BI546" s="1"/>
      <c r="BJ546" s="1"/>
      <c r="BK546" s="1"/>
      <c r="BL546" s="1"/>
      <c r="BM546" s="1"/>
      <c r="BN546" s="1"/>
      <c r="BO546" s="1"/>
      <c r="BP546" s="1"/>
      <c r="BQ546" s="1"/>
      <c r="BR546" s="1"/>
      <c r="BS546" s="1"/>
      <c r="BT546" s="1"/>
      <c r="BU546" s="1"/>
      <c r="BV546" s="1"/>
      <c r="BW546" s="1"/>
      <c r="BX546" s="1"/>
      <c r="BY546" s="1"/>
      <c r="BZ546" s="1"/>
    </row>
    <row r="547" spans="2:78" ht="12" customHeight="1" outlineLevel="1" x14ac:dyDescent="0.25">
      <c r="B547" s="104" t="s">
        <v>116</v>
      </c>
      <c r="C547" s="104" t="s">
        <v>124</v>
      </c>
      <c r="D547" s="2" t="s">
        <v>152</v>
      </c>
      <c r="E547" s="2" t="s">
        <v>156</v>
      </c>
      <c r="F547" s="105" t="s">
        <v>95</v>
      </c>
      <c r="G547" s="27" t="s">
        <v>1581</v>
      </c>
      <c r="H547" s="106" t="s">
        <v>128</v>
      </c>
      <c r="I547" s="107" t="s">
        <v>127</v>
      </c>
      <c r="J547" s="147">
        <v>1.55</v>
      </c>
      <c r="K547" s="148">
        <v>4.3927738336713995</v>
      </c>
      <c r="L547" s="149">
        <f t="shared" ca="1" si="181"/>
        <v>0.14804197075721393</v>
      </c>
      <c r="M547" s="148">
        <f t="shared" ca="1" si="182"/>
        <v>5.0430887290988355</v>
      </c>
      <c r="N547" s="163">
        <f t="shared" ca="1" si="184"/>
        <v>0.65031489542743581</v>
      </c>
      <c r="O547" s="1061" t="s">
        <v>1584</v>
      </c>
      <c r="P547" s="104"/>
      <c r="R547" s="119"/>
      <c r="S547" s="1072"/>
      <c r="T547" s="1072"/>
      <c r="U547" s="1072"/>
      <c r="V547" s="1072"/>
      <c r="W547" s="1072"/>
      <c r="X547" s="1072"/>
      <c r="Y547" s="1072"/>
      <c r="Z547" s="1072"/>
      <c r="AA547" s="1072"/>
      <c r="AB547" s="1072"/>
      <c r="AC547" s="1072"/>
      <c r="AD547" s="1072"/>
      <c r="AE547" s="1072"/>
      <c r="AF547" s="1072"/>
      <c r="AG547" s="1072"/>
      <c r="AH547" s="1072"/>
      <c r="AI547" s="1072"/>
      <c r="AJ547" s="1073"/>
      <c r="AK547" s="1052" cm="1">
        <f t="array" aca="1" ref="AK547" ca="1">INDEX(OFFSET($AK$19,MATCH($B547,$B$19:$B$150,0)-1,0,COUNTA($B$19:$B$24),COUNTA($AK$17:$BB$17)),MATCH($F547,$F$19:$F$24,0),MATCH(AK$17,$AK$17:$BB$17,0))*INDEX($10:$13,MATCH($O547,$R$10:$R$13,0),COLUMN())</f>
        <v>8.5018203417961402E-2</v>
      </c>
      <c r="AL547" s="1050" cm="1">
        <f t="array" aca="1" ref="AL547" ca="1">INDEX(OFFSET($AK$19,MATCH($B547,$B$19:$B$150,0)-1,0,COUNTA($B$19:$B$24),COUNTA($AK$17:$BB$17)),MATCH($F547,$F$19:$F$24,0),MATCH(AL$17,$AK$17:$BB$17,0))*INDEX($10:$13,MATCH($O547,$R$10:$R$13,0),COLUMN())</f>
        <v>5.7368402130000008E-7</v>
      </c>
      <c r="AM547" s="1050" cm="1">
        <f t="array" aca="1" ref="AM547" ca="1">INDEX(OFFSET($AK$19,MATCH($B547,$B$19:$B$150,0)-1,0,COUNTA($B$19:$B$24),COUNTA($AK$17:$BB$17)),MATCH($F547,$F$19:$F$24,0),MATCH(AM$17,$AK$17:$BB$17,0))*INDEX($10:$13,MATCH($O547,$R$10:$R$13,0),COLUMN())</f>
        <v>9.7089629670000003E-4</v>
      </c>
      <c r="AN547" s="1050" cm="1">
        <f t="array" aca="1" ref="AN547" ca="1">INDEX(OFFSET($AK$19,MATCH($B547,$B$19:$B$150,0)-1,0,COUNTA($B$19:$B$24),COUNTA($AK$17:$BB$17)),MATCH($F547,$F$19:$F$24,0),MATCH(AN$17,$AK$17:$BB$17,0))*INDEX($10:$13,MATCH($O547,$R$10:$R$13,0),COLUMN())</f>
        <v>2.7252372839999999E-3</v>
      </c>
      <c r="AO547" s="1050" cm="1">
        <f t="array" aca="1" ref="AO547" ca="1">INDEX(OFFSET($AK$19,MATCH($B547,$B$19:$B$150,0)-1,0,COUNTA($B$19:$B$24),COUNTA($AK$17:$BB$17)),MATCH($F547,$F$19:$F$24,0),MATCH(AO$17,$AK$17:$BB$17,0))*INDEX($10:$13,MATCH($O547,$R$10:$R$13,0),COLUMN())</f>
        <v>0.34060314400000002</v>
      </c>
      <c r="AP547" s="1050" cm="1">
        <f t="array" aca="1" ref="AP547" ca="1">INDEX(OFFSET($AK$19,MATCH($B547,$B$19:$B$150,0)-1,0,COUNTA($B$19:$B$24),COUNTA($AK$17:$BB$17)),MATCH($F547,$F$19:$F$24,0),MATCH(AP$17,$AK$17:$BB$17,0))*INDEX($10:$13,MATCH($O547,$R$10:$R$13,0),COLUMN())</f>
        <v>3.9397430508000007E-2</v>
      </c>
      <c r="AQ547" s="1050" cm="1">
        <f t="array" aca="1" ref="AQ547" ca="1">INDEX(OFFSET($AK$19,MATCH($B547,$B$19:$B$150,0)-1,0,COUNTA($B$19:$B$24),COUNTA($AK$17:$BB$17)),MATCH($F547,$F$19:$F$24,0),MATCH(AQ$17,$AK$17:$BB$17,0))*INDEX($10:$13,MATCH($O547,$R$10:$R$13,0),COLUMN())</f>
        <v>6.3751182499999996E-5</v>
      </c>
      <c r="AR547" s="1050" cm="1">
        <f t="array" aca="1" ref="AR547" ca="1">INDEX(OFFSET($AK$19,MATCH($B547,$B$19:$B$150,0)-1,0,COUNTA($B$19:$B$24),COUNTA($AK$17:$BB$17)),MATCH($F547,$F$19:$F$24,0),MATCH(AR$17,$AK$17:$BB$17,0))*INDEX($10:$13,MATCH($O547,$R$10:$R$13,0),COLUMN())</f>
        <v>4.7442204080000001E-2</v>
      </c>
      <c r="AS547" s="1050" cm="1">
        <f t="array" aca="1" ref="AS547" ca="1">INDEX(OFFSET($AK$19,MATCH($B547,$B$19:$B$150,0)-1,0,COUNTA($B$19:$B$24),COUNTA($AK$17:$BB$17)),MATCH($F547,$F$19:$F$24,0),MATCH(AS$17,$AK$17:$BB$17,0))*INDEX($10:$13,MATCH($O547,$R$10:$R$13,0),COLUMN())</f>
        <v>7.2153592289999995E-4</v>
      </c>
      <c r="AT547" s="1050" cm="1">
        <f t="array" aca="1" ref="AT547" ca="1">INDEX(OFFSET($AK$19,MATCH($B547,$B$19:$B$150,0)-1,0,COUNTA($B$19:$B$24),COUNTA($AK$17:$BB$17)),MATCH($F547,$F$19:$F$24,0),MATCH(AT$17,$AK$17:$BB$17,0))*INDEX($10:$13,MATCH($O547,$R$10:$R$13,0),COLUMN())</f>
        <v>2.0423246209999998E-6</v>
      </c>
      <c r="AU547" s="1050" cm="1">
        <f t="array" aca="1" ref="AU547" ca="1">INDEX(OFFSET($AK$19,MATCH($B547,$B$19:$B$150,0)-1,0,COUNTA($B$19:$B$24),COUNTA($AK$17:$BB$17)),MATCH($F547,$F$19:$F$24,0),MATCH(AU$17,$AK$17:$BB$17,0))*INDEX($10:$13,MATCH($O547,$R$10:$R$13,0),COLUMN())</f>
        <v>4.1977402560000002E-7</v>
      </c>
      <c r="AV547" s="1050" cm="1">
        <f t="array" aca="1" ref="AV547" ca="1">INDEX(OFFSET($AK$19,MATCH($B547,$B$19:$B$150,0)-1,0,COUNTA($B$19:$B$24),COUNTA($AK$17:$BB$17)),MATCH($F547,$F$19:$F$24,0),MATCH(AV$17,$AK$17:$BB$17,0))*INDEX($10:$13,MATCH($O547,$R$10:$R$13,0),COLUMN())</f>
        <v>5.7008126050000002E-3</v>
      </c>
      <c r="AW547" s="1050" cm="1">
        <f t="array" aca="1" ref="AW547" ca="1">INDEX(OFFSET($AK$19,MATCH($B547,$B$19:$B$150,0)-1,0,COUNTA($B$19:$B$24),COUNTA($AK$17:$BB$17)),MATCH($F547,$F$19:$F$24,0),MATCH(AW$17,$AK$17:$BB$17,0))*INDEX($10:$13,MATCH($O547,$R$10:$R$13,0),COLUMN())</f>
        <v>0.12766730549999999</v>
      </c>
      <c r="AX547" s="1050" cm="1">
        <f t="array" aca="1" ref="AX547" ca="1">INDEX(OFFSET($AK$19,MATCH($B547,$B$19:$B$150,0)-1,0,COUNTA($B$19:$B$24),COUNTA($AK$17:$BB$17)),MATCH($F547,$F$19:$F$24,0),MATCH(AX$17,$AK$17:$BB$17,0))*INDEX($10:$13,MATCH($O547,$R$10:$R$13,0),COLUMN())</f>
        <v>4.7737019999999998E-7</v>
      </c>
      <c r="AY547" s="1050" cm="1">
        <f t="array" aca="1" ref="AY547" ca="1">INDEX(OFFSET($AK$19,MATCH($B547,$B$19:$B$150,0)-1,0,COUNTA($B$19:$B$24),COUNTA($AK$17:$BB$17)),MATCH($F547,$F$19:$F$24,0),MATCH(AY$17,$AK$17:$BB$17,0))*INDEX($10:$13,MATCH($O547,$R$10:$R$13,0),COLUMN())</f>
        <v>8.6147750643749989E-7</v>
      </c>
      <c r="AZ547" s="1050" cm="1">
        <f t="array" aca="1" ref="AZ547" ca="1">INDEX(OFFSET($AK$19,MATCH($B547,$B$19:$B$150,0)-1,0,COUNTA($B$19:$B$24),COUNTA($AK$17:$BB$17)),MATCH($F547,$F$19:$F$24,0),MATCH(AZ$17,$AK$17:$BB$17,0))*INDEX($10:$13,MATCH($O547,$R$10:$R$13,0),COLUMN())</f>
        <v>0</v>
      </c>
      <c r="BA547" s="1050" cm="1">
        <f t="array" aca="1" ref="BA547" ca="1">INDEX(OFFSET($AK$19,MATCH($B547,$B$19:$B$150,0)-1,0,COUNTA($B$19:$B$24),COUNTA($AK$17:$BB$17)),MATCH($F547,$F$19:$F$24,0),MATCH(BA$17,$AK$17:$BB$17,0))*INDEX($10:$13,MATCH($O547,$R$10:$R$13,0),COLUMN())</f>
        <v>0</v>
      </c>
      <c r="BB547" s="1051" cm="1">
        <f t="array" aca="1" ref="BB547" ca="1">INDEX(OFFSET($AK$19,MATCH($B547,$B$19:$B$150,0)-1,0,COUNTA($B$19:$B$24),COUNTA($AK$17:$BB$17)),MATCH($F547,$F$19:$F$24,0),MATCH(BB$17,$AK$17:$BB$17,0))*INDEX($10:$13,MATCH($O547,$R$10:$R$13,0),COLUMN())</f>
        <v>0</v>
      </c>
      <c r="BC547" s="1053">
        <f t="shared" ca="1" si="183"/>
        <v>0.12766864434770644</v>
      </c>
      <c r="BE547" s="1"/>
      <c r="BF547" s="1"/>
      <c r="BG547" s="1"/>
      <c r="BH547" s="1"/>
      <c r="BI547" s="1"/>
      <c r="BJ547" s="1"/>
      <c r="BK547" s="1"/>
      <c r="BL547" s="1"/>
      <c r="BM547" s="1"/>
      <c r="BN547" s="1"/>
      <c r="BO547" s="1"/>
      <c r="BP547" s="1"/>
      <c r="BQ547" s="1"/>
      <c r="BR547" s="1"/>
      <c r="BS547" s="1"/>
      <c r="BT547" s="1"/>
      <c r="BU547" s="1"/>
      <c r="BV547" s="1"/>
      <c r="BW547" s="1"/>
      <c r="BX547" s="1"/>
      <c r="BY547" s="1"/>
      <c r="BZ547" s="1"/>
    </row>
    <row r="548" spans="2:78" ht="12" customHeight="1" outlineLevel="1" x14ac:dyDescent="0.25">
      <c r="B548" s="104" t="s">
        <v>116</v>
      </c>
      <c r="C548" s="104" t="s">
        <v>124</v>
      </c>
      <c r="D548" s="2" t="s">
        <v>152</v>
      </c>
      <c r="E548" s="2" t="s">
        <v>156</v>
      </c>
      <c r="F548" s="105" t="s">
        <v>96</v>
      </c>
      <c r="G548" s="27" t="s">
        <v>1582</v>
      </c>
      <c r="H548" s="106" t="s">
        <v>128</v>
      </c>
      <c r="I548" s="107" t="s">
        <v>1577</v>
      </c>
      <c r="J548" s="147">
        <v>1.55</v>
      </c>
      <c r="K548" s="148">
        <v>4.3927738336713995</v>
      </c>
      <c r="L548" s="149">
        <f t="shared" ca="1" si="181"/>
        <v>0.15803846874179597</v>
      </c>
      <c r="M548" s="148">
        <f t="shared" ca="1" si="182"/>
        <v>5.0870010838738562</v>
      </c>
      <c r="N548" s="163">
        <f t="shared" ca="1" si="184"/>
        <v>0.69422725020245668</v>
      </c>
      <c r="O548" s="1061" t="s">
        <v>1584</v>
      </c>
      <c r="P548" s="104"/>
      <c r="R548" s="119"/>
      <c r="S548" s="1072"/>
      <c r="T548" s="1072"/>
      <c r="U548" s="1072"/>
      <c r="V548" s="1072"/>
      <c r="W548" s="1072"/>
      <c r="X548" s="1072"/>
      <c r="Y548" s="1072"/>
      <c r="Z548" s="1072"/>
      <c r="AA548" s="1072"/>
      <c r="AB548" s="1072"/>
      <c r="AC548" s="1072"/>
      <c r="AD548" s="1072"/>
      <c r="AE548" s="1072"/>
      <c r="AF548" s="1072"/>
      <c r="AG548" s="1072"/>
      <c r="AH548" s="1072"/>
      <c r="AI548" s="1072"/>
      <c r="AJ548" s="1073"/>
      <c r="AK548" s="1052" cm="1">
        <f t="array" aca="1" ref="AK548" ca="1">INDEX(OFFSET($AK$19,MATCH($B548,$B$19:$B$150,0)-1,0,COUNTA($B$19:$B$24),COUNTA($AK$17:$BB$17)),MATCH($F548,$F$19:$F$24,0),MATCH(AK$17,$AK$17:$BB$17,0))*INDEX($10:$13,MATCH($O548,$R$10:$R$13,0),COLUMN())</f>
        <v>8.8436517840664364E-2</v>
      </c>
      <c r="AL548" s="1050" cm="1">
        <f t="array" aca="1" ref="AL548" ca="1">INDEX(OFFSET($AK$19,MATCH($B548,$B$19:$B$150,0)-1,0,COUNTA($B$19:$B$24),COUNTA($AK$17:$BB$17)),MATCH($F548,$F$19:$F$24,0),MATCH(AL$17,$AK$17:$BB$17,0))*INDEX($10:$13,MATCH($O548,$R$10:$R$13,0),COLUMN())</f>
        <v>5.7406157770000009E-7</v>
      </c>
      <c r="AM548" s="1050" cm="1">
        <f t="array" aca="1" ref="AM548" ca="1">INDEX(OFFSET($AK$19,MATCH($B548,$B$19:$B$150,0)-1,0,COUNTA($B$19:$B$24),COUNTA($AK$17:$BB$17)),MATCH($F548,$F$19:$F$24,0),MATCH(AM$17,$AK$17:$BB$17,0))*INDEX($10:$13,MATCH($O548,$R$10:$R$13,0),COLUMN())</f>
        <v>9.7151375970000009E-4</v>
      </c>
      <c r="AN548" s="1050" cm="1">
        <f t="array" aca="1" ref="AN548" ca="1">INDEX(OFFSET($AK$19,MATCH($B548,$B$19:$B$150,0)-1,0,COUNTA($B$19:$B$24),COUNTA($AK$17:$BB$17)),MATCH($F548,$F$19:$F$24,0),MATCH(AN$17,$AK$17:$BB$17,0))*INDEX($10:$13,MATCH($O548,$R$10:$R$13,0),COLUMN())</f>
        <v>2.7992207039999996E-3</v>
      </c>
      <c r="AO548" s="1050" cm="1">
        <f t="array" aca="1" ref="AO548" ca="1">INDEX(OFFSET($AK$19,MATCH($B548,$B$19:$B$150,0)-1,0,COUNTA($B$19:$B$24),COUNTA($AK$17:$BB$17)),MATCH($F548,$F$19:$F$24,0),MATCH(AO$17,$AK$17:$BB$17,0))*INDEX($10:$13,MATCH($O548,$R$10:$R$13,0),COLUMN())</f>
        <v>0.36424572799999999</v>
      </c>
      <c r="AP548" s="1050" cm="1">
        <f t="array" aca="1" ref="AP548" ca="1">INDEX(OFFSET($AK$19,MATCH($B548,$B$19:$B$150,0)-1,0,COUNTA($B$19:$B$24),COUNTA($AK$17:$BB$17)),MATCH($F548,$F$19:$F$24,0),MATCH(AP$17,$AK$17:$BB$17,0))*INDEX($10:$13,MATCH($O548,$R$10:$R$13,0),COLUMN())</f>
        <v>4.2740024274000005E-2</v>
      </c>
      <c r="AQ548" s="1050" cm="1">
        <f t="array" aca="1" ref="AQ548" ca="1">INDEX(OFFSET($AK$19,MATCH($B548,$B$19:$B$150,0)-1,0,COUNTA($B$19:$B$24),COUNTA($AK$17:$BB$17)),MATCH($F548,$F$19:$F$24,0),MATCH(AQ$17,$AK$17:$BB$17,0))*INDEX($10:$13,MATCH($O548,$R$10:$R$13,0),COLUMN())</f>
        <v>9.7208815000000005E-5</v>
      </c>
      <c r="AR548" s="1050" cm="1">
        <f t="array" aca="1" ref="AR548" ca="1">INDEX(OFFSET($AK$19,MATCH($B548,$B$19:$B$150,0)-1,0,COUNTA($B$19:$B$24),COUNTA($AK$17:$BB$17)),MATCH($F548,$F$19:$F$24,0),MATCH(AR$17,$AK$17:$BB$17,0))*INDEX($10:$13,MATCH($O548,$R$10:$R$13,0),COLUMN())</f>
        <v>5.5860292989999998E-2</v>
      </c>
      <c r="AS548" s="1050" cm="1">
        <f t="array" aca="1" ref="AS548" ca="1">INDEX(OFFSET($AK$19,MATCH($B548,$B$19:$B$150,0)-1,0,COUNTA($B$19:$B$24),COUNTA($AK$17:$BB$17)),MATCH($F548,$F$19:$F$24,0),MATCH(AS$17,$AK$17:$BB$17,0))*INDEX($10:$13,MATCH($O548,$R$10:$R$13,0),COLUMN())</f>
        <v>1.221850656E-3</v>
      </c>
      <c r="AT548" s="1050" cm="1">
        <f t="array" aca="1" ref="AT548" ca="1">INDEX(OFFSET($AK$19,MATCH($B548,$B$19:$B$150,0)-1,0,COUNTA($B$19:$B$24),COUNTA($AK$17:$BB$17)),MATCH($F548,$F$19:$F$24,0),MATCH(AT$17,$AK$17:$BB$17,0))*INDEX($10:$13,MATCH($O548,$R$10:$R$13,0),COLUMN())</f>
        <v>2.2672794065000001E-6</v>
      </c>
      <c r="AU548" s="1050" cm="1">
        <f t="array" aca="1" ref="AU548" ca="1">INDEX(OFFSET($AK$19,MATCH($B548,$B$19:$B$150,0)-1,0,COUNTA($B$19:$B$24),COUNTA($AK$17:$BB$17)),MATCH($F548,$F$19:$F$24,0),MATCH(AU$17,$AK$17:$BB$17,0))*INDEX($10:$13,MATCH($O548,$R$10:$R$13,0),COLUMN())</f>
        <v>4.5187440160000004E-7</v>
      </c>
      <c r="AV548" s="1050" cm="1">
        <f t="array" aca="1" ref="AV548" ca="1">INDEX(OFFSET($AK$19,MATCH($B548,$B$19:$B$150,0)-1,0,COUNTA($B$19:$B$24),COUNTA($AK$17:$BB$17)),MATCH($F548,$F$19:$F$24,0),MATCH(AV$17,$AK$17:$BB$17,0))*INDEX($10:$13,MATCH($O548,$R$10:$R$13,0),COLUMN())</f>
        <v>1.01829556E-2</v>
      </c>
      <c r="AW548" s="1050" cm="1">
        <f t="array" aca="1" ref="AW548" ca="1">INDEX(OFFSET($AK$19,MATCH($B548,$B$19:$B$150,0)-1,0,COUNTA($B$19:$B$24),COUNTA($AK$17:$BB$17)),MATCH($F548,$F$19:$F$24,0),MATCH(AW$17,$AK$17:$BB$17,0))*INDEX($10:$13,MATCH($O548,$R$10:$R$13,0),COLUMN())</f>
        <v>0.12766730549999999</v>
      </c>
      <c r="AX548" s="1050" cm="1">
        <f t="array" aca="1" ref="AX548" ca="1">INDEX(OFFSET($AK$19,MATCH($B548,$B$19:$B$150,0)-1,0,COUNTA($B$19:$B$24),COUNTA($AK$17:$BB$17)),MATCH($F548,$F$19:$F$24,0),MATCH(AX$17,$AK$17:$BB$17,0))*INDEX($10:$13,MATCH($O548,$R$10:$R$13,0),COLUMN())</f>
        <v>4.7737019999999998E-7</v>
      </c>
      <c r="AY548" s="1050" cm="1">
        <f t="array" aca="1" ref="AY548" ca="1">INDEX(OFFSET($AK$19,MATCH($B548,$B$19:$B$150,0)-1,0,COUNTA($B$19:$B$24),COUNTA($AK$17:$BB$17)),MATCH($F548,$F$19:$F$24,0),MATCH(AY$17,$AK$17:$BB$17,0))*INDEX($10:$13,MATCH($O548,$R$10:$R$13,0),COLUMN())</f>
        <v>8.6147750643749989E-7</v>
      </c>
      <c r="AZ548" s="1050" cm="1">
        <f t="array" aca="1" ref="AZ548" ca="1">INDEX(OFFSET($AK$19,MATCH($B548,$B$19:$B$150,0)-1,0,COUNTA($B$19:$B$24),COUNTA($AK$17:$BB$17)),MATCH($F548,$F$19:$F$24,0),MATCH(AZ$17,$AK$17:$BB$17,0))*INDEX($10:$13,MATCH($O548,$R$10:$R$13,0),COLUMN())</f>
        <v>0</v>
      </c>
      <c r="BA548" s="1050" cm="1">
        <f t="array" aca="1" ref="BA548" ca="1">INDEX(OFFSET($AK$19,MATCH($B548,$B$19:$B$150,0)-1,0,COUNTA($B$19:$B$24),COUNTA($AK$17:$BB$17)),MATCH($F548,$F$19:$F$24,0),MATCH(BA$17,$AK$17:$BB$17,0))*INDEX($10:$13,MATCH($O548,$R$10:$R$13,0),COLUMN())</f>
        <v>0</v>
      </c>
      <c r="BB548" s="1051" cm="1">
        <f t="array" aca="1" ref="BB548" ca="1">INDEX(OFFSET($AK$19,MATCH($B548,$B$19:$B$150,0)-1,0,COUNTA($B$19:$B$24),COUNTA($AK$17:$BB$17)),MATCH($F548,$F$19:$F$24,0),MATCH(BB$17,$AK$17:$BB$17,0))*INDEX($10:$13,MATCH($O548,$R$10:$R$13,0),COLUMN())</f>
        <v>0</v>
      </c>
      <c r="BC548" s="1053">
        <f t="shared" ca="1" si="183"/>
        <v>0.12766864434770644</v>
      </c>
      <c r="BE548" s="1"/>
      <c r="BF548" s="1"/>
      <c r="BG548" s="1"/>
      <c r="BH548" s="1"/>
      <c r="BI548" s="1"/>
      <c r="BJ548" s="1"/>
      <c r="BK548" s="1"/>
      <c r="BL548" s="1"/>
      <c r="BM548" s="1"/>
      <c r="BN548" s="1"/>
      <c r="BO548" s="1"/>
      <c r="BP548" s="1"/>
      <c r="BQ548" s="1"/>
      <c r="BR548" s="1"/>
      <c r="BS548" s="1"/>
      <c r="BT548" s="1"/>
      <c r="BU548" s="1"/>
      <c r="BV548" s="1"/>
      <c r="BW548" s="1"/>
      <c r="BX548" s="1"/>
      <c r="BY548" s="1"/>
      <c r="BZ548" s="1"/>
    </row>
    <row r="549" spans="2:78" ht="12" customHeight="1" outlineLevel="1" x14ac:dyDescent="0.25">
      <c r="B549" s="88" t="s">
        <v>91</v>
      </c>
      <c r="C549" s="88" t="s">
        <v>121</v>
      </c>
      <c r="D549" s="89" t="s">
        <v>132</v>
      </c>
      <c r="E549" s="89" t="s">
        <v>133</v>
      </c>
      <c r="F549" s="90" t="s">
        <v>92</v>
      </c>
      <c r="G549" s="18" t="s">
        <v>126</v>
      </c>
      <c r="H549" s="91" t="s">
        <v>127</v>
      </c>
      <c r="I549" s="92" t="s">
        <v>127</v>
      </c>
      <c r="J549" s="142">
        <v>3.8217059399999997</v>
      </c>
      <c r="K549" s="143">
        <v>0.21084</v>
      </c>
      <c r="L549" s="144">
        <f t="shared" ca="1" si="181"/>
        <v>6.2210586349139829</v>
      </c>
      <c r="M549" s="143">
        <f t="shared" ca="1" si="182"/>
        <v>1.5224880025852641</v>
      </c>
      <c r="N549" s="162">
        <f t="shared" ca="1" si="184"/>
        <v>1.3116480025852641</v>
      </c>
      <c r="O549" s="1060" t="s">
        <v>1585</v>
      </c>
      <c r="P549" s="169"/>
      <c r="Q549" s="145"/>
      <c r="R549" s="96"/>
      <c r="S549" s="1070"/>
      <c r="T549" s="1070"/>
      <c r="U549" s="1070"/>
      <c r="V549" s="1070"/>
      <c r="W549" s="1070"/>
      <c r="X549" s="1070"/>
      <c r="Y549" s="1070"/>
      <c r="Z549" s="1070"/>
      <c r="AA549" s="1070"/>
      <c r="AB549" s="1070"/>
      <c r="AC549" s="1070"/>
      <c r="AD549" s="1070"/>
      <c r="AE549" s="1070"/>
      <c r="AF549" s="1070"/>
      <c r="AG549" s="1070"/>
      <c r="AH549" s="1070"/>
      <c r="AI549" s="1070"/>
      <c r="AJ549" s="1071"/>
      <c r="AK549" s="1048" cm="1">
        <f t="array" aca="1" ref="AK549" ca="1">INDEX(OFFSET($AK$19,MATCH($B549,$B$19:$B$150,0)-1,0,COUNTA($B$19:$B$24),COUNTA($AK$17:$BB$17)),MATCH($F549,$F$19:$F$24,0),MATCH(AK$17,$AK$17:$BB$17,0))*INDEX($10:$13,MATCH($O549,$R$10:$R$13,0),COLUMN())</f>
        <v>0.16349907008697601</v>
      </c>
      <c r="AL549" s="1046" cm="1">
        <f t="array" aca="1" ref="AL549" ca="1">INDEX(OFFSET($AK$19,MATCH($B549,$B$19:$B$150,0)-1,0,COUNTA($B$19:$B$24),COUNTA($AK$17:$BB$17)),MATCH($F549,$F$19:$F$24,0),MATCH(AL$17,$AK$17:$BB$17,0))*INDEX($10:$13,MATCH($O549,$R$10:$R$13,0),COLUMN())</f>
        <v>8.6501700340000017E-8</v>
      </c>
      <c r="AM549" s="1046" cm="1">
        <f t="array" aca="1" ref="AM549" ca="1">INDEX(OFFSET($AK$19,MATCH($B549,$B$19:$B$150,0)-1,0,COUNTA($B$19:$B$24),COUNTA($AK$17:$BB$17)),MATCH($F549,$F$19:$F$24,0),MATCH(AM$17,$AK$17:$BB$17,0))*INDEX($10:$13,MATCH($O549,$R$10:$R$13,0),COLUMN())</f>
        <v>1.4186736122000001E-4</v>
      </c>
      <c r="AN549" s="1046" cm="1">
        <f t="array" aca="1" ref="AN549" ca="1">INDEX(OFFSET($AK$19,MATCH($B549,$B$19:$B$150,0)-1,0,COUNTA($B$19:$B$24),COUNTA($AK$17:$BB$17)),MATCH($F549,$F$19:$F$24,0),MATCH(AN$17,$AK$17:$BB$17,0))*INDEX($10:$13,MATCH($O549,$R$10:$R$13,0),COLUMN())</f>
        <v>1.0625566863999999E-3</v>
      </c>
      <c r="AO549" s="1046" cm="1">
        <f t="array" aca="1" ref="AO549" ca="1">INDEX(OFFSET($AK$19,MATCH($B549,$B$19:$B$150,0)-1,0,COUNTA($B$19:$B$24),COUNTA($AK$17:$BB$17)),MATCH($F549,$F$19:$F$24,0),MATCH(AO$17,$AK$17:$BB$17,0))*INDEX($10:$13,MATCH($O549,$R$10:$R$13,0),COLUMN())</f>
        <v>6.2948402840000001E-2</v>
      </c>
      <c r="AP549" s="1046" cm="1">
        <f t="array" aca="1" ref="AP549" ca="1">INDEX(OFFSET($AK$19,MATCH($B549,$B$19:$B$150,0)-1,0,COUNTA($B$19:$B$24),COUNTA($AK$17:$BB$17)),MATCH($F549,$F$19:$F$24,0),MATCH(AP$17,$AK$17:$BB$17,0))*INDEX($10:$13,MATCH($O549,$R$10:$R$13,0),COLUMN())</f>
        <v>4.0031243148000002E-2</v>
      </c>
      <c r="AQ549" s="1046" cm="1">
        <f t="array" aca="1" ref="AQ549" ca="1">INDEX(OFFSET($AK$19,MATCH($B549,$B$19:$B$150,0)-1,0,COUNTA($B$19:$B$24),COUNTA($AK$17:$BB$17)),MATCH($F549,$F$19:$F$24,0),MATCH(AQ$17,$AK$17:$BB$17,0))*INDEX($10:$13,MATCH($O549,$R$10:$R$13,0),COLUMN())</f>
        <v>2.7238859319999995E-4</v>
      </c>
      <c r="AR549" s="1046" cm="1">
        <f t="array" aca="1" ref="AR549" ca="1">INDEX(OFFSET($AK$19,MATCH($B549,$B$19:$B$150,0)-1,0,COUNTA($B$19:$B$24),COUNTA($AK$17:$BB$17)),MATCH($F549,$F$19:$F$24,0),MATCH(AR$17,$AK$17:$BB$17,0))*INDEX($10:$13,MATCH($O549,$R$10:$R$13,0),COLUMN())</f>
        <v>2.7548530524000001E-2</v>
      </c>
      <c r="AS549" s="1046" cm="1">
        <f t="array" aca="1" ref="AS549" ca="1">INDEX(OFFSET($AK$19,MATCH($B549,$B$19:$B$150,0)-1,0,COUNTA($B$19:$B$24),COUNTA($AK$17:$BB$17)),MATCH($F549,$F$19:$F$24,0),MATCH(AS$17,$AK$17:$BB$17,0))*INDEX($10:$13,MATCH($O549,$R$10:$R$13,0),COLUMN())</f>
        <v>9.9248511349999985E-2</v>
      </c>
      <c r="AT549" s="1046" cm="1">
        <f t="array" aca="1" ref="AT549" ca="1">INDEX(OFFSET($AK$19,MATCH($B549,$B$19:$B$150,0)-1,0,COUNTA($B$19:$B$24),COUNTA($AK$17:$BB$17)),MATCH($F549,$F$19:$F$24,0),MATCH(AT$17,$AK$17:$BB$17,0))*INDEX($10:$13,MATCH($O549,$R$10:$R$13,0),COLUMN())</f>
        <v>1.1121722274999999E-4</v>
      </c>
      <c r="AU549" s="1046" cm="1">
        <f t="array" aca="1" ref="AU549" ca="1">INDEX(OFFSET($AK$19,MATCH($B549,$B$19:$B$150,0)-1,0,COUNTA($B$19:$B$24),COUNTA($AK$17:$BB$17)),MATCH($F549,$F$19:$F$24,0),MATCH(AU$17,$AK$17:$BB$17,0))*INDEX($10:$13,MATCH($O549,$R$10:$R$13,0),COLUMN())</f>
        <v>6.2399531007E-6</v>
      </c>
      <c r="AV549" s="1046" cm="1">
        <f t="array" aca="1" ref="AV549" ca="1">INDEX(OFFSET($AK$19,MATCH($B549,$B$19:$B$150,0)-1,0,COUNTA($B$19:$B$24),COUNTA($AK$17:$BB$17)),MATCH($F549,$F$19:$F$24,0),MATCH(AV$17,$AK$17:$BB$17,0))*INDEX($10:$13,MATCH($O549,$R$10:$R$13,0),COLUMN())</f>
        <v>8.0836186770000002E-3</v>
      </c>
      <c r="AW549" s="1046" cm="1">
        <f t="array" aca="1" ref="AW549" ca="1">INDEX(OFFSET($AK$19,MATCH($B549,$B$19:$B$150,0)-1,0,COUNTA($B$19:$B$24),COUNTA($AK$17:$BB$17)),MATCH($F549,$F$19:$F$24,0),MATCH(AW$17,$AK$17:$BB$17,0))*INDEX($10:$13,MATCH($O549,$R$10:$R$13,0),COLUMN())</f>
        <v>0.90869257250000002</v>
      </c>
      <c r="AX549" s="1046" cm="1">
        <f t="array" aca="1" ref="AX549" ca="1">INDEX(OFFSET($AK$19,MATCH($B549,$B$19:$B$150,0)-1,0,COUNTA($B$19:$B$24),COUNTA($AK$17:$BB$17)),MATCH($F549,$F$19:$F$24,0),MATCH(AX$17,$AK$17:$BB$17,0))*INDEX($10:$13,MATCH($O549,$R$10:$R$13,0),COLUMN())</f>
        <v>1.743139639E-6</v>
      </c>
      <c r="AY549" s="1046" cm="1">
        <f t="array" aca="1" ref="AY549" ca="1">INDEX(OFFSET($AK$19,MATCH($B549,$B$19:$B$150,0)-1,0,COUNTA($B$19:$B$24),COUNTA($AK$17:$BB$17)),MATCH($F549,$F$19:$F$24,0),MATCH(AY$17,$AK$17:$BB$17,0))*INDEX($10:$13,MATCH($O549,$R$10:$R$13,0),COLUMN())</f>
        <v>-4.5998721843750001E-8</v>
      </c>
      <c r="AZ549" s="1046" cm="1">
        <f t="array" aca="1" ref="AZ549" ca="1">INDEX(OFFSET($AK$19,MATCH($B549,$B$19:$B$150,0)-1,0,COUNTA($B$19:$B$24),COUNTA($AK$17:$BB$17)),MATCH($F549,$F$19:$F$24,0),MATCH(AZ$17,$AK$17:$BB$17,0))*INDEX($10:$13,MATCH($O549,$R$10:$R$13,0),COLUMN())</f>
        <v>0</v>
      </c>
      <c r="BA549" s="1046" cm="1">
        <f t="array" aca="1" ref="BA549" ca="1">INDEX(OFFSET($AK$19,MATCH($B549,$B$19:$B$150,0)-1,0,COUNTA($B$19:$B$24),COUNTA($AK$17:$BB$17)),MATCH($F549,$F$19:$F$24,0),MATCH(BA$17,$AK$17:$BB$17,0))*INDEX($10:$13,MATCH($O549,$R$10:$R$13,0),COLUMN())</f>
        <v>0</v>
      </c>
      <c r="BB549" s="1047" cm="1">
        <f t="array" aca="1" ref="BB549" ca="1">INDEX(OFFSET($AK$19,MATCH($B549,$B$19:$B$150,0)-1,0,COUNTA($B$19:$B$24),COUNTA($AK$17:$BB$17)),MATCH($F549,$F$19:$F$24,0),MATCH(BB$17,$AK$17:$BB$17,0))*INDEX($10:$13,MATCH($O549,$R$10:$R$13,0),COLUMN())</f>
        <v>0</v>
      </c>
      <c r="BC549" s="1049">
        <f ca="1">SUM(AW549:AY549)</f>
        <v>0.90869426964091715</v>
      </c>
      <c r="BD549" s="146"/>
      <c r="BE549" s="1"/>
      <c r="BF549" s="1"/>
      <c r="BG549" s="1"/>
      <c r="BH549" s="1"/>
      <c r="BI549" s="1"/>
      <c r="BJ549" s="1"/>
      <c r="BK549" s="1"/>
      <c r="BL549" s="1"/>
      <c r="BM549" s="1"/>
      <c r="BN549" s="1"/>
      <c r="BO549" s="1"/>
      <c r="BP549" s="1"/>
      <c r="BQ549" s="1"/>
      <c r="BR549" s="1"/>
      <c r="BS549" s="1"/>
      <c r="BT549" s="1"/>
      <c r="BU549" s="1"/>
      <c r="BV549" s="1"/>
      <c r="BW549" s="1"/>
      <c r="BX549" s="1"/>
      <c r="BY549" s="1"/>
      <c r="BZ549" s="1"/>
    </row>
    <row r="550" spans="2:78" ht="12" customHeight="1" outlineLevel="1" x14ac:dyDescent="0.25">
      <c r="B550" s="104" t="s">
        <v>91</v>
      </c>
      <c r="C550" s="104" t="s">
        <v>121</v>
      </c>
      <c r="D550" s="2" t="s">
        <v>132</v>
      </c>
      <c r="E550" s="2" t="s">
        <v>133</v>
      </c>
      <c r="F550" s="105" t="s">
        <v>122</v>
      </c>
      <c r="G550" s="27" t="s">
        <v>1579</v>
      </c>
      <c r="H550" s="106" t="s">
        <v>128</v>
      </c>
      <c r="I550" s="107" t="s">
        <v>129</v>
      </c>
      <c r="J550" s="147">
        <v>3.8217059399999997</v>
      </c>
      <c r="K550" s="148">
        <v>0.43951000000000001</v>
      </c>
      <c r="L550" s="149">
        <f t="shared" ca="1" si="181"/>
        <v>3.4152769799280249</v>
      </c>
      <c r="M550" s="148">
        <f t="shared" ca="1" si="182"/>
        <v>1.9405583854481663</v>
      </c>
      <c r="N550" s="163">
        <f t="shared" ca="1" si="184"/>
        <v>1.5010483854481662</v>
      </c>
      <c r="O550" s="1061" t="s">
        <v>1585</v>
      </c>
      <c r="P550" s="104"/>
      <c r="R550" s="119"/>
      <c r="S550" s="1072"/>
      <c r="T550" s="1072"/>
      <c r="U550" s="1072"/>
      <c r="V550" s="1072"/>
      <c r="W550" s="1072"/>
      <c r="X550" s="1072"/>
      <c r="Y550" s="1072"/>
      <c r="Z550" s="1072"/>
      <c r="AA550" s="1072"/>
      <c r="AB550" s="1072"/>
      <c r="AC550" s="1072"/>
      <c r="AD550" s="1072"/>
      <c r="AE550" s="1072"/>
      <c r="AF550" s="1072"/>
      <c r="AG550" s="1072"/>
      <c r="AH550" s="1072"/>
      <c r="AI550" s="1072"/>
      <c r="AJ550" s="1073"/>
      <c r="AK550" s="1052" cm="1">
        <f t="array" aca="1" ref="AK550" ca="1">INDEX(OFFSET($AK$19,MATCH($B550,$B$19:$B$150,0)-1,0,COUNTA($B$19:$B$24),COUNTA($AK$17:$BB$17)),MATCH($F550,$F$19:$F$24,0),MATCH(AK$17,$AK$17:$BB$17,0))*INDEX($10:$13,MATCH($O550,$R$10:$R$13,0),COLUMN())</f>
        <v>7.9415302603584009E-2</v>
      </c>
      <c r="AL550" s="1050" cm="1">
        <f t="array" aca="1" ref="AL550" ca="1">INDEX(OFFSET($AK$19,MATCH($B550,$B$19:$B$150,0)-1,0,COUNTA($B$19:$B$24),COUNTA($AK$17:$BB$17)),MATCH($F550,$F$19:$F$24,0),MATCH(AL$17,$AK$17:$BB$17,0))*INDEX($10:$13,MATCH($O550,$R$10:$R$13,0),COLUMN())</f>
        <v>6.3134540860000004E-8</v>
      </c>
      <c r="AM550" s="1050" cm="1">
        <f t="array" aca="1" ref="AM550" ca="1">INDEX(OFFSET($AK$19,MATCH($B550,$B$19:$B$150,0)-1,0,COUNTA($B$19:$B$24),COUNTA($AK$17:$BB$17)),MATCH($F550,$F$19:$F$24,0),MATCH(AM$17,$AK$17:$BB$17,0))*INDEX($10:$13,MATCH($O550,$R$10:$R$13,0),COLUMN())</f>
        <v>1.0102763891999999E-4</v>
      </c>
      <c r="AN550" s="1050" cm="1">
        <f t="array" aca="1" ref="AN550" ca="1">INDEX(OFFSET($AK$19,MATCH($B550,$B$19:$B$150,0)-1,0,COUNTA($B$19:$B$24),COUNTA($AK$17:$BB$17)),MATCH($F550,$F$19:$F$24,0),MATCH(AN$17,$AK$17:$BB$17,0))*INDEX($10:$13,MATCH($O550,$R$10:$R$13,0),COLUMN())</f>
        <v>1.432203468E-3</v>
      </c>
      <c r="AO550" s="1050" cm="1">
        <f t="array" aca="1" ref="AO550" ca="1">INDEX(OFFSET($AK$19,MATCH($B550,$B$19:$B$150,0)-1,0,COUNTA($B$19:$B$24),COUNTA($AK$17:$BB$17)),MATCH($F550,$F$19:$F$24,0),MATCH(AO$17,$AK$17:$BB$17,0))*INDEX($10:$13,MATCH($O550,$R$10:$R$13,0),COLUMN())</f>
        <v>2.0765219208000001E-2</v>
      </c>
      <c r="AP550" s="1050" cm="1">
        <f t="array" aca="1" ref="AP550" ca="1">INDEX(OFFSET($AK$19,MATCH($B550,$B$19:$B$150,0)-1,0,COUNTA($B$19:$B$24),COUNTA($AK$17:$BB$17)),MATCH($F550,$F$19:$F$24,0),MATCH(AP$17,$AK$17:$BB$17,0))*INDEX($10:$13,MATCH($O550,$R$10:$R$13,0),COLUMN())</f>
        <v>8.1458912439999996E-3</v>
      </c>
      <c r="AQ550" s="1050" cm="1">
        <f t="array" aca="1" ref="AQ550" ca="1">INDEX(OFFSET($AK$19,MATCH($B550,$B$19:$B$150,0)-1,0,COUNTA($B$19:$B$24),COUNTA($AK$17:$BB$17)),MATCH($F550,$F$19:$F$24,0),MATCH(AQ$17,$AK$17:$BB$17,0))*INDEX($10:$13,MATCH($O550,$R$10:$R$13,0),COLUMN())</f>
        <v>5.3212927669999999E-5</v>
      </c>
      <c r="AR550" s="1050" cm="1">
        <f t="array" aca="1" ref="AR550" ca="1">INDEX(OFFSET($AK$19,MATCH($B550,$B$19:$B$150,0)-1,0,COUNTA($B$19:$B$24),COUNTA($AK$17:$BB$17)),MATCH($F550,$F$19:$F$24,0),MATCH(AR$17,$AK$17:$BB$17,0))*INDEX($10:$13,MATCH($O550,$R$10:$R$13,0),COLUMN())</f>
        <v>1.4318246246999998E-2</v>
      </c>
      <c r="AS550" s="1050" cm="1">
        <f t="array" aca="1" ref="AS550" ca="1">INDEX(OFFSET($AK$19,MATCH($B550,$B$19:$B$150,0)-1,0,COUNTA($B$19:$B$24),COUNTA($AK$17:$BB$17)),MATCH($F550,$F$19:$F$24,0),MATCH(AS$17,$AK$17:$BB$17,0))*INDEX($10:$13,MATCH($O550,$R$10:$R$13,0),COLUMN())</f>
        <v>1.5296653044999999E-4</v>
      </c>
      <c r="AT550" s="1050" cm="1">
        <f t="array" aca="1" ref="AT550" ca="1">INDEX(OFFSET($AK$19,MATCH($B550,$B$19:$B$150,0)-1,0,COUNTA($B$19:$B$24),COUNTA($AK$17:$BB$17)),MATCH($F550,$F$19:$F$24,0),MATCH(AT$17,$AK$17:$BB$17,0))*INDEX($10:$13,MATCH($O550,$R$10:$R$13,0),COLUMN())</f>
        <v>4.5365887359999997E-6</v>
      </c>
      <c r="AU550" s="1050" cm="1">
        <f t="array" aca="1" ref="AU550" ca="1">INDEX(OFFSET($AK$19,MATCH($B550,$B$19:$B$150,0)-1,0,COUNTA($B$19:$B$24),COUNTA($AK$17:$BB$17)),MATCH($F550,$F$19:$F$24,0),MATCH(AU$17,$AK$17:$BB$17,0))*INDEX($10:$13,MATCH($O550,$R$10:$R$13,0),COLUMN())</f>
        <v>9.615893751E-7</v>
      </c>
      <c r="AV550" s="1050" cm="1">
        <f t="array" aca="1" ref="AV550" ca="1">INDEX(OFFSET($AK$19,MATCH($B550,$B$19:$B$150,0)-1,0,COUNTA($B$19:$B$24),COUNTA($AK$17:$BB$17)),MATCH($F550,$F$19:$F$24,0),MATCH(AV$17,$AK$17:$BB$17,0))*INDEX($10:$13,MATCH($O550,$R$10:$R$13,0),COLUMN())</f>
        <v>1.1715051492E-3</v>
      </c>
      <c r="AW550" s="1050" cm="1">
        <f t="array" aca="1" ref="AW550" ca="1">INDEX(OFFSET($AK$19,MATCH($B550,$B$19:$B$150,0)-1,0,COUNTA($B$19:$B$24),COUNTA($AK$17:$BB$17)),MATCH($F550,$F$19:$F$24,0),MATCH(AW$17,$AK$17:$BB$17,0))*INDEX($10:$13,MATCH($O550,$R$10:$R$13,0),COLUMN())</f>
        <v>1.3754868500000001</v>
      </c>
      <c r="AX550" s="1050" cm="1">
        <f t="array" aca="1" ref="AX550" ca="1">INDEX(OFFSET($AK$19,MATCH($B550,$B$19:$B$150,0)-1,0,COUNTA($B$19:$B$24),COUNTA($AK$17:$BB$17)),MATCH($F550,$F$19:$F$24,0),MATCH(AX$17,$AK$17:$BB$17,0))*INDEX($10:$13,MATCH($O550,$R$10:$R$13,0),COLUMN())</f>
        <v>4.0967712800000006E-7</v>
      </c>
      <c r="AY550" s="1050" cm="1">
        <f t="array" aca="1" ref="AY550" ca="1">INDEX(OFFSET($AK$19,MATCH($B550,$B$19:$B$150,0)-1,0,COUNTA($B$19:$B$24),COUNTA($AK$17:$BB$17)),MATCH($F550,$F$19:$F$24,0),MATCH(AY$17,$AK$17:$BB$17,0))*INDEX($10:$13,MATCH($O550,$R$10:$R$13,0),COLUMN())</f>
        <v>-1.0558437930000001E-8</v>
      </c>
      <c r="AZ550" s="1050" cm="1">
        <f t="array" aca="1" ref="AZ550" ca="1">INDEX(OFFSET($AK$19,MATCH($B550,$B$19:$B$150,0)-1,0,COUNTA($B$19:$B$24),COUNTA($AK$17:$BB$17)),MATCH($F550,$F$19:$F$24,0),MATCH(AZ$17,$AK$17:$BB$17,0))*INDEX($10:$13,MATCH($O550,$R$10:$R$13,0),COLUMN())</f>
        <v>0</v>
      </c>
      <c r="BA550" s="1050" cm="1">
        <f t="array" aca="1" ref="BA550" ca="1">INDEX(OFFSET($AK$19,MATCH($B550,$B$19:$B$150,0)-1,0,COUNTA($B$19:$B$24),COUNTA($AK$17:$BB$17)),MATCH($F550,$F$19:$F$24,0),MATCH(BA$17,$AK$17:$BB$17,0))*INDEX($10:$13,MATCH($O550,$R$10:$R$13,0),COLUMN())</f>
        <v>0</v>
      </c>
      <c r="BB550" s="1051" cm="1">
        <f t="array" aca="1" ref="BB550" ca="1">INDEX(OFFSET($AK$19,MATCH($B550,$B$19:$B$150,0)-1,0,COUNTA($B$19:$B$24),COUNTA($AK$17:$BB$17)),MATCH($F550,$F$19:$F$24,0),MATCH(BB$17,$AK$17:$BB$17,0))*INDEX($10:$13,MATCH($O550,$R$10:$R$13,0),COLUMN())</f>
        <v>0</v>
      </c>
      <c r="BC550" s="1053">
        <f t="shared" ref="BC550:BC602" ca="1" si="185">SUM(AW550:AY550)</f>
        <v>1.3754872491186902</v>
      </c>
      <c r="BE550" s="1"/>
      <c r="BF550" s="1"/>
      <c r="BG550" s="1"/>
      <c r="BH550" s="1"/>
      <c r="BI550" s="1"/>
      <c r="BJ550" s="1"/>
      <c r="BK550" s="1"/>
      <c r="BL550" s="1"/>
      <c r="BM550" s="1"/>
      <c r="BN550" s="1"/>
      <c r="BO550" s="1"/>
      <c r="BP550" s="1"/>
      <c r="BQ550" s="1"/>
      <c r="BR550" s="1"/>
      <c r="BS550" s="1"/>
      <c r="BT550" s="1"/>
      <c r="BU550" s="1"/>
      <c r="BV550" s="1"/>
      <c r="BW550" s="1"/>
      <c r="BX550" s="1"/>
      <c r="BY550" s="1"/>
      <c r="BZ550" s="1"/>
    </row>
    <row r="551" spans="2:78" ht="12" customHeight="1" outlineLevel="1" x14ac:dyDescent="0.25">
      <c r="B551" s="104" t="s">
        <v>91</v>
      </c>
      <c r="C551" s="104" t="s">
        <v>121</v>
      </c>
      <c r="D551" s="2" t="s">
        <v>132</v>
      </c>
      <c r="E551" s="2" t="s">
        <v>133</v>
      </c>
      <c r="F551" s="105" t="s">
        <v>93</v>
      </c>
      <c r="G551" s="27" t="s">
        <v>1578</v>
      </c>
      <c r="H551" s="106" t="s">
        <v>130</v>
      </c>
      <c r="I551" s="107" t="s">
        <v>129</v>
      </c>
      <c r="J551" s="147">
        <v>3.8217059399999997</v>
      </c>
      <c r="K551" s="148">
        <v>0.43951000000000001</v>
      </c>
      <c r="L551" s="149">
        <f t="shared" ca="1" si="181"/>
        <v>3.9365415093482539</v>
      </c>
      <c r="M551" s="148">
        <f t="shared" ca="1" si="182"/>
        <v>2.169659358773651</v>
      </c>
      <c r="N551" s="163">
        <f t="shared" ca="1" si="184"/>
        <v>1.7301493587736512</v>
      </c>
      <c r="O551" s="1061" t="s">
        <v>1585</v>
      </c>
      <c r="P551" s="104"/>
      <c r="R551" s="119"/>
      <c r="S551" s="1072"/>
      <c r="T551" s="1072"/>
      <c r="U551" s="1072"/>
      <c r="V551" s="1072"/>
      <c r="W551" s="1072"/>
      <c r="X551" s="1072"/>
      <c r="Y551" s="1072"/>
      <c r="Z551" s="1072"/>
      <c r="AA551" s="1072"/>
      <c r="AB551" s="1072"/>
      <c r="AC551" s="1072"/>
      <c r="AD551" s="1072"/>
      <c r="AE551" s="1072"/>
      <c r="AF551" s="1072"/>
      <c r="AG551" s="1072"/>
      <c r="AH551" s="1072"/>
      <c r="AI551" s="1072"/>
      <c r="AJ551" s="1073"/>
      <c r="AK551" s="1052" cm="1">
        <f t="array" aca="1" ref="AK551" ca="1">INDEX(OFFSET($AK$19,MATCH($B551,$B$19:$B$150,0)-1,0,COUNTA($B$19:$B$24),COUNTA($AK$17:$BB$17)),MATCH($F551,$F$19:$F$24,0),MATCH(AK$17,$AK$17:$BB$17,0))*INDEX($10:$13,MATCH($O551,$R$10:$R$13,0),COLUMN())</f>
        <v>9.1526526290879998E-2</v>
      </c>
      <c r="AL551" s="1050" cm="1">
        <f t="array" aca="1" ref="AL551" ca="1">INDEX(OFFSET($AK$19,MATCH($B551,$B$19:$B$150,0)-1,0,COUNTA($B$19:$B$24),COUNTA($AK$17:$BB$17)),MATCH($F551,$F$19:$F$24,0),MATCH(AL$17,$AK$17:$BB$17,0))*INDEX($10:$13,MATCH($O551,$R$10:$R$13,0),COLUMN())</f>
        <v>7.2762872780000004E-8</v>
      </c>
      <c r="AM551" s="1050" cm="1">
        <f t="array" aca="1" ref="AM551" ca="1">INDEX(OFFSET($AK$19,MATCH($B551,$B$19:$B$150,0)-1,0,COUNTA($B$19:$B$24),COUNTA($AK$17:$BB$17)),MATCH($F551,$F$19:$F$24,0),MATCH(AM$17,$AK$17:$BB$17,0))*INDEX($10:$13,MATCH($O551,$R$10:$R$13,0),COLUMN())</f>
        <v>1.1643485178E-4</v>
      </c>
      <c r="AN551" s="1050" cm="1">
        <f t="array" aca="1" ref="AN551" ca="1">INDEX(OFFSET($AK$19,MATCH($B551,$B$19:$B$150,0)-1,0,COUNTA($B$19:$B$24),COUNTA($AK$17:$BB$17)),MATCH($F551,$F$19:$F$24,0),MATCH(AN$17,$AK$17:$BB$17,0))*INDEX($10:$13,MATCH($O551,$R$10:$R$13,0),COLUMN())</f>
        <v>1.6506215696000001E-3</v>
      </c>
      <c r="AO551" s="1050" cm="1">
        <f t="array" aca="1" ref="AO551" ca="1">INDEX(OFFSET($AK$19,MATCH($B551,$B$19:$B$150,0)-1,0,COUNTA($B$19:$B$24),COUNTA($AK$17:$BB$17)),MATCH($F551,$F$19:$F$24,0),MATCH(AO$17,$AK$17:$BB$17,0))*INDEX($10:$13,MATCH($O551,$R$10:$R$13,0),COLUMN())</f>
        <v>2.3932017784E-2</v>
      </c>
      <c r="AP551" s="1050" cm="1">
        <f t="array" aca="1" ref="AP551" ca="1">INDEX(OFFSET($AK$19,MATCH($B551,$B$19:$B$150,0)-1,0,COUNTA($B$19:$B$24),COUNTA($AK$17:$BB$17)),MATCH($F551,$F$19:$F$24,0),MATCH(AP$17,$AK$17:$BB$17,0))*INDEX($10:$13,MATCH($O551,$R$10:$R$13,0),COLUMN())</f>
        <v>9.3881797400000005E-3</v>
      </c>
      <c r="AQ551" s="1050" cm="1">
        <f t="array" aca="1" ref="AQ551" ca="1">INDEX(OFFSET($AK$19,MATCH($B551,$B$19:$B$150,0)-1,0,COUNTA($B$19:$B$24),COUNTA($AK$17:$BB$17)),MATCH($F551,$F$19:$F$24,0),MATCH(AQ$17,$AK$17:$BB$17,0))*INDEX($10:$13,MATCH($O551,$R$10:$R$13,0),COLUMN())</f>
        <v>6.1328162799999996E-5</v>
      </c>
      <c r="AR551" s="1050" cm="1">
        <f t="array" aca="1" ref="AR551" ca="1">INDEX(OFFSET($AK$19,MATCH($B551,$B$19:$B$150,0)-1,0,COUNTA($B$19:$B$24),COUNTA($AK$17:$BB$17)),MATCH($F551,$F$19:$F$24,0),MATCH(AR$17,$AK$17:$BB$17,0))*INDEX($10:$13,MATCH($O551,$R$10:$R$13,0),COLUMN())</f>
        <v>1.6501849398999999E-2</v>
      </c>
      <c r="AS551" s="1050" cm="1">
        <f t="array" aca="1" ref="AS551" ca="1">INDEX(OFFSET($AK$19,MATCH($B551,$B$19:$B$150,0)-1,0,COUNTA($B$19:$B$24),COUNTA($AK$17:$BB$17)),MATCH($F551,$F$19:$F$24,0),MATCH(AS$17,$AK$17:$BB$17,0))*INDEX($10:$13,MATCH($O551,$R$10:$R$13,0),COLUMN())</f>
        <v>2.2918487500000001E-4</v>
      </c>
      <c r="AT551" s="1050" cm="1">
        <f t="array" aca="1" ref="AT551" ca="1">INDEX(OFFSET($AK$19,MATCH($B551,$B$19:$B$150,0)-1,0,COUNTA($B$19:$B$24),COUNTA($AK$17:$BB$17)),MATCH($F551,$F$19:$F$24,0),MATCH(AT$17,$AK$17:$BB$17,0))*INDEX($10:$13,MATCH($O551,$R$10:$R$13,0),COLUMN())</f>
        <v>5.2470200999999996E-6</v>
      </c>
      <c r="AU551" s="1050" cm="1">
        <f t="array" aca="1" ref="AU551" ca="1">INDEX(OFFSET($AK$19,MATCH($B551,$B$19:$B$150,0)-1,0,COUNTA($B$19:$B$24),COUNTA($AK$17:$BB$17)),MATCH($F551,$F$19:$F$24,0),MATCH(AU$17,$AK$17:$BB$17,0))*INDEX($10:$13,MATCH($O551,$R$10:$R$13,0),COLUMN())</f>
        <v>1.1102052537000002E-6</v>
      </c>
      <c r="AV551" s="1050" cm="1">
        <f t="array" aca="1" ref="AV551" ca="1">INDEX(OFFSET($AK$19,MATCH($B551,$B$19:$B$150,0)-1,0,COUNTA($B$19:$B$24),COUNTA($AK$17:$BB$17)),MATCH($F551,$F$19:$F$24,0),MATCH(AV$17,$AK$17:$BB$17,0))*INDEX($10:$13,MATCH($O551,$R$10:$R$13,0),COLUMN())</f>
        <v>1.4809671260999999E-3</v>
      </c>
      <c r="AW551" s="1050" cm="1">
        <f t="array" aca="1" ref="AW551" ca="1">INDEX(OFFSET($AK$19,MATCH($B551,$B$19:$B$150,0)-1,0,COUNTA($B$19:$B$24),COUNTA($AK$17:$BB$17)),MATCH($F551,$F$19:$F$24,0),MATCH(AW$17,$AK$17:$BB$17,0))*INDEX($10:$13,MATCH($O551,$R$10:$R$13,0),COLUMN())</f>
        <v>1.585255359</v>
      </c>
      <c r="AX551" s="1050" cm="1">
        <f t="array" aca="1" ref="AX551" ca="1">INDEX(OFFSET($AK$19,MATCH($B551,$B$19:$B$150,0)-1,0,COUNTA($B$19:$B$24),COUNTA($AK$17:$BB$17)),MATCH($F551,$F$19:$F$24,0),MATCH(AX$17,$AK$17:$BB$17,0))*INDEX($10:$13,MATCH($O551,$R$10:$R$13,0),COLUMN())</f>
        <v>4.7215491625000002E-7</v>
      </c>
      <c r="AY551" s="1050" cm="1">
        <f t="array" aca="1" ref="AY551" ca="1">INDEX(OFFSET($AK$19,MATCH($B551,$B$19:$B$150,0)-1,0,COUNTA($B$19:$B$24),COUNTA($AK$17:$BB$17)),MATCH($F551,$F$19:$F$24,0),MATCH(AY$17,$AK$17:$BB$17,0))*INDEX($10:$13,MATCH($O551,$R$10:$R$13,0),COLUMN())</f>
        <v>-1.2168651675000001E-8</v>
      </c>
      <c r="AZ551" s="1050" cm="1">
        <f t="array" aca="1" ref="AZ551" ca="1">INDEX(OFFSET($AK$19,MATCH($B551,$B$19:$B$150,0)-1,0,COUNTA($B$19:$B$24),COUNTA($AK$17:$BB$17)),MATCH($F551,$F$19:$F$24,0),MATCH(AZ$17,$AK$17:$BB$17,0))*INDEX($10:$13,MATCH($O551,$R$10:$R$13,0),COLUMN())</f>
        <v>0</v>
      </c>
      <c r="BA551" s="1050" cm="1">
        <f t="array" aca="1" ref="BA551" ca="1">INDEX(OFFSET($AK$19,MATCH($B551,$B$19:$B$150,0)-1,0,COUNTA($B$19:$B$24),COUNTA($AK$17:$BB$17)),MATCH($F551,$F$19:$F$24,0),MATCH(BA$17,$AK$17:$BB$17,0))*INDEX($10:$13,MATCH($O551,$R$10:$R$13,0),COLUMN())</f>
        <v>0</v>
      </c>
      <c r="BB551" s="1051" cm="1">
        <f t="array" aca="1" ref="BB551" ca="1">INDEX(OFFSET($AK$19,MATCH($B551,$B$19:$B$150,0)-1,0,COUNTA($B$19:$B$24),COUNTA($AK$17:$BB$17)),MATCH($F551,$F$19:$F$24,0),MATCH(BB$17,$AK$17:$BB$17,0))*INDEX($10:$13,MATCH($O551,$R$10:$R$13,0),COLUMN())</f>
        <v>0</v>
      </c>
      <c r="BC551" s="1053">
        <f t="shared" ca="1" si="185"/>
        <v>1.5852558189862647</v>
      </c>
      <c r="BE551" s="1"/>
      <c r="BF551" s="1"/>
      <c r="BG551" s="1"/>
      <c r="BH551" s="1"/>
      <c r="BI551" s="1"/>
      <c r="BJ551" s="1"/>
      <c r="BK551" s="1"/>
      <c r="BL551" s="1"/>
      <c r="BM551" s="1"/>
      <c r="BN551" s="1"/>
      <c r="BO551" s="1"/>
      <c r="BP551" s="1"/>
      <c r="BQ551" s="1"/>
      <c r="BR551" s="1"/>
      <c r="BS551" s="1"/>
      <c r="BT551" s="1"/>
      <c r="BU551" s="1"/>
      <c r="BV551" s="1"/>
      <c r="BW551" s="1"/>
      <c r="BX551" s="1"/>
      <c r="BY551" s="1"/>
      <c r="BZ551" s="1"/>
    </row>
    <row r="552" spans="2:78" ht="12" customHeight="1" outlineLevel="1" x14ac:dyDescent="0.25">
      <c r="B552" s="104" t="s">
        <v>91</v>
      </c>
      <c r="C552" s="104" t="s">
        <v>121</v>
      </c>
      <c r="D552" s="2" t="s">
        <v>132</v>
      </c>
      <c r="E552" s="2" t="s">
        <v>133</v>
      </c>
      <c r="F552" s="105" t="s">
        <v>94</v>
      </c>
      <c r="G552" s="27" t="s">
        <v>1580</v>
      </c>
      <c r="H552" s="106" t="s">
        <v>131</v>
      </c>
      <c r="I552" s="107" t="s">
        <v>129</v>
      </c>
      <c r="J552" s="147">
        <v>3.8217059399999997</v>
      </c>
      <c r="K552" s="148">
        <v>0.43951000000000001</v>
      </c>
      <c r="L552" s="149">
        <f t="shared" ca="1" si="181"/>
        <v>3.0157336605614207</v>
      </c>
      <c r="M552" s="148">
        <f t="shared" ca="1" si="182"/>
        <v>1.7649551011533502</v>
      </c>
      <c r="N552" s="148">
        <f t="shared" ca="1" si="184"/>
        <v>1.3254451011533501</v>
      </c>
      <c r="O552" s="1062" t="s">
        <v>1585</v>
      </c>
      <c r="P552" s="104"/>
      <c r="R552" s="119"/>
      <c r="S552" s="1072"/>
      <c r="T552" s="1072"/>
      <c r="U552" s="1072"/>
      <c r="V552" s="1072"/>
      <c r="W552" s="1072"/>
      <c r="X552" s="1072"/>
      <c r="Y552" s="1072"/>
      <c r="Z552" s="1072"/>
      <c r="AA552" s="1072"/>
      <c r="AB552" s="1072"/>
      <c r="AC552" s="1072"/>
      <c r="AD552" s="1072"/>
      <c r="AE552" s="1072"/>
      <c r="AF552" s="1072"/>
      <c r="AG552" s="1072"/>
      <c r="AH552" s="1072"/>
      <c r="AI552" s="1072"/>
      <c r="AJ552" s="1073"/>
      <c r="AK552" s="1052" cm="1">
        <f t="array" aca="1" ref="AK552" ca="1">INDEX(OFFSET($AK$19,MATCH($B552,$B$19:$B$150,0)-1,0,COUNTA($B$19:$B$24),COUNTA($AK$17:$BB$17)),MATCH($F552,$F$19:$F$24,0),MATCH(AK$17,$AK$17:$BB$17,0))*INDEX($10:$13,MATCH($O552,$R$10:$R$13,0),COLUMN())</f>
        <v>7.0132002806975999E-2</v>
      </c>
      <c r="AL552" s="1050" cm="1">
        <f t="array" aca="1" ref="AL552" ca="1">INDEX(OFFSET($AK$19,MATCH($B552,$B$19:$B$150,0)-1,0,COUNTA($B$19:$B$24),COUNTA($AK$17:$BB$17)),MATCH($F552,$F$19:$F$24,0),MATCH(AL$17,$AK$17:$BB$17,0))*INDEX($10:$13,MATCH($O552,$R$10:$R$13,0),COLUMN())</f>
        <v>5.5754393020000003E-8</v>
      </c>
      <c r="AM552" s="1050" cm="1">
        <f t="array" aca="1" ref="AM552" ca="1">INDEX(OFFSET($AK$19,MATCH($B552,$B$19:$B$150,0)-1,0,COUNTA($B$19:$B$24),COUNTA($AK$17:$BB$17)),MATCH($F552,$F$19:$F$24,0),MATCH(AM$17,$AK$17:$BB$17,0))*INDEX($10:$13,MATCH($O552,$R$10:$R$13,0),COLUMN())</f>
        <v>8.9217952199999997E-5</v>
      </c>
      <c r="AN552" s="1050" cm="1">
        <f t="array" aca="1" ref="AN552" ca="1">INDEX(OFFSET($AK$19,MATCH($B552,$B$19:$B$150,0)-1,0,COUNTA($B$19:$B$24),COUNTA($AK$17:$BB$17)),MATCH($F552,$F$19:$F$24,0),MATCH(AN$17,$AK$17:$BB$17,0))*INDEX($10:$13,MATCH($O552,$R$10:$R$13,0),COLUMN())</f>
        <v>1.2647851984E-3</v>
      </c>
      <c r="AO552" s="1050" cm="1">
        <f t="array" aca="1" ref="AO552" ca="1">INDEX(OFFSET($AK$19,MATCH($B552,$B$19:$B$150,0)-1,0,COUNTA($B$19:$B$24),COUNTA($AK$17:$BB$17)),MATCH($F552,$F$19:$F$24,0),MATCH(AO$17,$AK$17:$BB$17,0))*INDEX($10:$13,MATCH($O552,$R$10:$R$13,0),COLUMN())</f>
        <v>1.8337856759999997E-2</v>
      </c>
      <c r="AP552" s="1050" cm="1">
        <f t="array" aca="1" ref="AP552" ca="1">INDEX(OFFSET($AK$19,MATCH($B552,$B$19:$B$150,0)-1,0,COUNTA($B$19:$B$24),COUNTA($AK$17:$BB$17)),MATCH($F552,$F$19:$F$24,0),MATCH(AP$17,$AK$17:$BB$17,0))*INDEX($10:$13,MATCH($O552,$R$10:$R$13,0),COLUMN())</f>
        <v>7.1936726539999999E-3</v>
      </c>
      <c r="AQ552" s="1050" cm="1">
        <f t="array" aca="1" ref="AQ552" ca="1">INDEX(OFFSET($AK$19,MATCH($B552,$B$19:$B$150,0)-1,0,COUNTA($B$19:$B$24),COUNTA($AK$17:$BB$17)),MATCH($F552,$F$19:$F$24,0),MATCH(AQ$17,$AK$17:$BB$17,0))*INDEX($10:$13,MATCH($O552,$R$10:$R$13,0),COLUMN())</f>
        <v>4.699257171E-5</v>
      </c>
      <c r="AR552" s="1050" cm="1">
        <f t="array" aca="1" ref="AR552" ca="1">INDEX(OFFSET($AK$19,MATCH($B552,$B$19:$B$150,0)-1,0,COUNTA($B$19:$B$24),COUNTA($AK$17:$BB$17)),MATCH($F552,$F$19:$F$24,0),MATCH(AR$17,$AK$17:$BB$17,0))*INDEX($10:$13,MATCH($O552,$R$10:$R$13,0),COLUMN())</f>
        <v>1.2644506447000001E-2</v>
      </c>
      <c r="AS552" s="1050" cm="1">
        <f t="array" aca="1" ref="AS552" ca="1">INDEX(OFFSET($AK$19,MATCH($B552,$B$19:$B$150,0)-1,0,COUNTA($B$19:$B$24),COUNTA($AK$17:$BB$17)),MATCH($F552,$F$19:$F$24,0),MATCH(AS$17,$AK$17:$BB$17,0))*INDEX($10:$13,MATCH($O552,$R$10:$R$13,0),COLUMN())</f>
        <v>9.6252773720000001E-5</v>
      </c>
      <c r="AT552" s="1050" cm="1">
        <f t="array" aca="1" ref="AT552" ca="1">INDEX(OFFSET($AK$19,MATCH($B552,$B$19:$B$150,0)-1,0,COUNTA($B$19:$B$24),COUNTA($AK$17:$BB$17)),MATCH($F552,$F$19:$F$24,0),MATCH(AT$17,$AK$17:$BB$17,0))*INDEX($10:$13,MATCH($O552,$R$10:$R$13,0),COLUMN())</f>
        <v>3.9927615997000002E-6</v>
      </c>
      <c r="AU552" s="1050" cm="1">
        <f t="array" aca="1" ref="AU552" ca="1">INDEX(OFFSET($AK$19,MATCH($B552,$B$19:$B$150,0)-1,0,COUNTA($B$19:$B$24),COUNTA($AK$17:$BB$17)),MATCH($F552,$F$19:$F$24,0),MATCH(AU$17,$AK$17:$BB$17,0))*INDEX($10:$13,MATCH($O552,$R$10:$R$13,0),COLUMN())</f>
        <v>8.4774917250000007E-7</v>
      </c>
      <c r="AV552" s="1050" cm="1">
        <f t="array" aca="1" ref="AV552" ca="1">INDEX(OFFSET($AK$19,MATCH($B552,$B$19:$B$150,0)-1,0,COUNTA($B$19:$B$24),COUNTA($AK$17:$BB$17)),MATCH($F552,$F$19:$F$24,0),MATCH(AV$17,$AK$17:$BB$17,0))*INDEX($10:$13,MATCH($O552,$R$10:$R$13,0),COLUMN())</f>
        <v>9.3605276069999989E-4</v>
      </c>
      <c r="AW552" s="1050" cm="1">
        <f t="array" aca="1" ref="AW552" ca="1">INDEX(OFFSET($AK$19,MATCH($B552,$B$19:$B$150,0)-1,0,COUNTA($B$19:$B$24),COUNTA($AK$17:$BB$17)),MATCH($F552,$F$19:$F$24,0),MATCH(AW$17,$AK$17:$BB$17,0))*INDEX($10:$13,MATCH($O552,$R$10:$R$13,0),COLUMN())</f>
        <v>1.2146985125</v>
      </c>
      <c r="AX552" s="1050" cm="1">
        <f t="array" aca="1" ref="AX552" ca="1">INDEX(OFFSET($AK$19,MATCH($B552,$B$19:$B$150,0)-1,0,COUNTA($B$19:$B$24),COUNTA($AK$17:$BB$17)),MATCH($F552,$F$19:$F$24,0),MATCH(AX$17,$AK$17:$BB$17,0))*INDEX($10:$13,MATCH($O552,$R$10:$R$13,0),COLUMN())</f>
        <v>3.6178768200000007E-7</v>
      </c>
      <c r="AY552" s="1050" cm="1">
        <f t="array" aca="1" ref="AY552" ca="1">INDEX(OFFSET($AK$19,MATCH($B552,$B$19:$B$150,0)-1,0,COUNTA($B$19:$B$24),COUNTA($AK$17:$BB$17)),MATCH($F552,$F$19:$F$24,0),MATCH(AY$17,$AK$17:$BB$17,0))*INDEX($10:$13,MATCH($O552,$R$10:$R$13,0),COLUMN())</f>
        <v>-9.3242031318750011E-9</v>
      </c>
      <c r="AZ552" s="1050" cm="1">
        <f t="array" aca="1" ref="AZ552" ca="1">INDEX(OFFSET($AK$19,MATCH($B552,$B$19:$B$150,0)-1,0,COUNTA($B$19:$B$24),COUNTA($AK$17:$BB$17)),MATCH($F552,$F$19:$F$24,0),MATCH(AZ$17,$AK$17:$BB$17,0))*INDEX($10:$13,MATCH($O552,$R$10:$R$13,0),COLUMN())</f>
        <v>0</v>
      </c>
      <c r="BA552" s="1050" cm="1">
        <f t="array" aca="1" ref="BA552" ca="1">INDEX(OFFSET($AK$19,MATCH($B552,$B$19:$B$150,0)-1,0,COUNTA($B$19:$B$24),COUNTA($AK$17:$BB$17)),MATCH($F552,$F$19:$F$24,0),MATCH(BA$17,$AK$17:$BB$17,0))*INDEX($10:$13,MATCH($O552,$R$10:$R$13,0),COLUMN())</f>
        <v>0</v>
      </c>
      <c r="BB552" s="1051" cm="1">
        <f t="array" aca="1" ref="BB552" ca="1">INDEX(OFFSET($AK$19,MATCH($B552,$B$19:$B$150,0)-1,0,COUNTA($B$19:$B$24),COUNTA($AK$17:$BB$17)),MATCH($F552,$F$19:$F$24,0),MATCH(BB$17,$AK$17:$BB$17,0))*INDEX($10:$13,MATCH($O552,$R$10:$R$13,0),COLUMN())</f>
        <v>0</v>
      </c>
      <c r="BC552" s="1053">
        <f t="shared" ca="1" si="185"/>
        <v>1.2146988649634789</v>
      </c>
      <c r="BE552" s="1"/>
      <c r="BF552" s="1"/>
      <c r="BG552" s="1"/>
      <c r="BH552" s="1"/>
      <c r="BI552" s="1"/>
      <c r="BJ552" s="1"/>
      <c r="BK552" s="1"/>
      <c r="BL552" s="1"/>
      <c r="BM552" s="1"/>
      <c r="BN552" s="1"/>
      <c r="BO552" s="1"/>
      <c r="BP552" s="1"/>
      <c r="BQ552" s="1"/>
      <c r="BR552" s="1"/>
      <c r="BS552" s="1"/>
      <c r="BT552" s="1"/>
      <c r="BU552" s="1"/>
      <c r="BV552" s="1"/>
      <c r="BW552" s="1"/>
      <c r="BX552" s="1"/>
      <c r="BY552" s="1"/>
      <c r="BZ552" s="1"/>
    </row>
    <row r="553" spans="2:78" ht="12" customHeight="1" outlineLevel="1" x14ac:dyDescent="0.25">
      <c r="B553" s="104" t="s">
        <v>91</v>
      </c>
      <c r="C553" s="104" t="s">
        <v>121</v>
      </c>
      <c r="D553" s="2" t="s">
        <v>132</v>
      </c>
      <c r="E553" s="2" t="s">
        <v>133</v>
      </c>
      <c r="F553" s="105" t="s">
        <v>95</v>
      </c>
      <c r="G553" s="27" t="s">
        <v>1581</v>
      </c>
      <c r="H553" s="106" t="s">
        <v>128</v>
      </c>
      <c r="I553" s="107" t="s">
        <v>127</v>
      </c>
      <c r="J553" s="147">
        <v>3.8217059399999997</v>
      </c>
      <c r="K553" s="148">
        <v>0.43951000000000001</v>
      </c>
      <c r="L553" s="149">
        <f t="shared" ca="1" si="181"/>
        <v>3.5759372480260656</v>
      </c>
      <c r="M553" s="148">
        <f t="shared" ca="1" si="182"/>
        <v>2.0111701798799362</v>
      </c>
      <c r="N553" s="148">
        <f t="shared" ca="1" si="184"/>
        <v>1.5716601798799361</v>
      </c>
      <c r="O553" s="1062" t="s">
        <v>1585</v>
      </c>
      <c r="P553" s="104"/>
      <c r="R553" s="119"/>
      <c r="S553" s="1072"/>
      <c r="T553" s="1072"/>
      <c r="U553" s="1072"/>
      <c r="V553" s="1072"/>
      <c r="W553" s="1072"/>
      <c r="X553" s="1072"/>
      <c r="Y553" s="1072"/>
      <c r="Z553" s="1072"/>
      <c r="AA553" s="1072"/>
      <c r="AB553" s="1072"/>
      <c r="AC553" s="1072"/>
      <c r="AD553" s="1072"/>
      <c r="AE553" s="1072"/>
      <c r="AF553" s="1072"/>
      <c r="AG553" s="1072"/>
      <c r="AH553" s="1072"/>
      <c r="AI553" s="1072"/>
      <c r="AJ553" s="1073"/>
      <c r="AK553" s="1052" cm="1">
        <f t="array" aca="1" ref="AK553" ca="1">INDEX(OFFSET($AK$19,MATCH($B553,$B$19:$B$150,0)-1,0,COUNTA($B$19:$B$24),COUNTA($AK$17:$BB$17)),MATCH($F553,$F$19:$F$24,0),MATCH(AK$17,$AK$17:$BB$17,0))*INDEX($10:$13,MATCH($O553,$R$10:$R$13,0),COLUMN())</f>
        <v>9.0911375843903991E-2</v>
      </c>
      <c r="AL553" s="1050" cm="1">
        <f t="array" aca="1" ref="AL553" ca="1">INDEX(OFFSET($AK$19,MATCH($B553,$B$19:$B$150,0)-1,0,COUNTA($B$19:$B$24),COUNTA($AK$17:$BB$17)),MATCH($F553,$F$19:$F$24,0),MATCH(AL$17,$AK$17:$BB$17,0))*INDEX($10:$13,MATCH($O553,$R$10:$R$13,0),COLUMN())</f>
        <v>6.3614751890000005E-8</v>
      </c>
      <c r="AM553" s="1050" cm="1">
        <f t="array" aca="1" ref="AM553" ca="1">INDEX(OFFSET($AK$19,MATCH($B553,$B$19:$B$150,0)-1,0,COUNTA($B$19:$B$24),COUNTA($AK$17:$BB$17)),MATCH($F553,$F$19:$F$24,0),MATCH(AM$17,$AK$17:$BB$17,0))*INDEX($10:$13,MATCH($O553,$R$10:$R$13,0),COLUMN())</f>
        <v>1.0179231348000001E-4</v>
      </c>
      <c r="AN553" s="1050" cm="1">
        <f t="array" aca="1" ref="AN553" ca="1">INDEX(OFFSET($AK$19,MATCH($B553,$B$19:$B$150,0)-1,0,COUNTA($B$19:$B$24),COUNTA($AK$17:$BB$17)),MATCH($F553,$F$19:$F$24,0),MATCH(AN$17,$AK$17:$BB$17,0))*INDEX($10:$13,MATCH($O553,$R$10:$R$13,0),COLUMN())</f>
        <v>1.5318799111999999E-3</v>
      </c>
      <c r="AO553" s="1050" cm="1">
        <f t="array" aca="1" ref="AO553" ca="1">INDEX(OFFSET($AK$19,MATCH($B553,$B$19:$B$150,0)-1,0,COUNTA($B$19:$B$24),COUNTA($AK$17:$BB$17)),MATCH($F553,$F$19:$F$24,0),MATCH(AO$17,$AK$17:$BB$17,0))*INDEX($10:$13,MATCH($O553,$R$10:$R$13,0),COLUMN())</f>
        <v>4.8396883763999997E-2</v>
      </c>
      <c r="AP553" s="1050" cm="1">
        <f t="array" aca="1" ref="AP553" ca="1">INDEX(OFFSET($AK$19,MATCH($B553,$B$19:$B$150,0)-1,0,COUNTA($B$19:$B$24),COUNTA($AK$17:$BB$17)),MATCH($F553,$F$19:$F$24,0),MATCH(AP$17,$AK$17:$BB$17,0))*INDEX($10:$13,MATCH($O553,$R$10:$R$13,0),COLUMN())</f>
        <v>2.7587396377999999E-2</v>
      </c>
      <c r="AQ553" s="1050" cm="1">
        <f t="array" aca="1" ref="AQ553" ca="1">INDEX(OFFSET($AK$19,MATCH($B553,$B$19:$B$150,0)-1,0,COUNTA($B$19:$B$24),COUNTA($AK$17:$BB$17)),MATCH($F553,$F$19:$F$24,0),MATCH(AQ$17,$AK$17:$BB$17,0))*INDEX($10:$13,MATCH($O553,$R$10:$R$13,0),COLUMN())</f>
        <v>2.1055379407999999E-4</v>
      </c>
      <c r="AR553" s="1050" cm="1">
        <f t="array" aca="1" ref="AR553" ca="1">INDEX(OFFSET($AK$19,MATCH($B553,$B$19:$B$150,0)-1,0,COUNTA($B$19:$B$24),COUNTA($AK$17:$BB$17)),MATCH($F553,$F$19:$F$24,0),MATCH(AR$17,$AK$17:$BB$17,0))*INDEX($10:$13,MATCH($O553,$R$10:$R$13,0),COLUMN())</f>
        <v>1.8864364009E-2</v>
      </c>
      <c r="AS553" s="1050" cm="1">
        <f t="array" aca="1" ref="AS553" ca="1">INDEX(OFFSET($AK$19,MATCH($B553,$B$19:$B$150,0)-1,0,COUNTA($B$19:$B$24),COUNTA($AK$17:$BB$17)),MATCH($F553,$F$19:$F$24,0),MATCH(AS$17,$AK$17:$BB$17,0))*INDEX($10:$13,MATCH($O553,$R$10:$R$13,0),COLUMN())</f>
        <v>2.4514546039999998E-3</v>
      </c>
      <c r="AT553" s="1050" cm="1">
        <f t="array" aca="1" ref="AT553" ca="1">INDEX(OFFSET($AK$19,MATCH($B553,$B$19:$B$150,0)-1,0,COUNTA($B$19:$B$24),COUNTA($AK$17:$BB$17)),MATCH($F553,$F$19:$F$24,0),MATCH(AT$17,$AK$17:$BB$17,0))*INDEX($10:$13,MATCH($O553,$R$10:$R$13,0),COLUMN())</f>
        <v>6.2689683589999997E-6</v>
      </c>
      <c r="AU553" s="1050" cm="1">
        <f t="array" aca="1" ref="AU553" ca="1">INDEX(OFFSET($AK$19,MATCH($B553,$B$19:$B$150,0)-1,0,COUNTA($B$19:$B$24),COUNTA($AK$17:$BB$17)),MATCH($F553,$F$19:$F$24,0),MATCH(AU$17,$AK$17:$BB$17,0))*INDEX($10:$13,MATCH($O553,$R$10:$R$13,0),COLUMN())</f>
        <v>1.2279674709000001E-6</v>
      </c>
      <c r="AV553" s="1050" cm="1">
        <f t="array" aca="1" ref="AV553" ca="1">INDEX(OFFSET($AK$19,MATCH($B553,$B$19:$B$150,0)-1,0,COUNTA($B$19:$B$24),COUNTA($AK$17:$BB$17)),MATCH($F553,$F$19:$F$24,0),MATCH(AV$17,$AK$17:$BB$17,0))*INDEX($10:$13,MATCH($O553,$R$10:$R$13,0),COLUMN())</f>
        <v>6.1096695929999997E-3</v>
      </c>
      <c r="AW553" s="1050" cm="1">
        <f t="array" aca="1" ref="AW553" ca="1">INDEX(OFFSET($AK$19,MATCH($B553,$B$19:$B$150,0)-1,0,COUNTA($B$19:$B$24),COUNTA($AK$17:$BB$17)),MATCH($F553,$F$19:$F$24,0),MATCH(AW$17,$AK$17:$BB$17,0))*INDEX($10:$13,MATCH($O553,$R$10:$R$13,0),COLUMN())</f>
        <v>1.3754868500000001</v>
      </c>
      <c r="AX553" s="1050" cm="1">
        <f t="array" aca="1" ref="AX553" ca="1">INDEX(OFFSET($AK$19,MATCH($B553,$B$19:$B$150,0)-1,0,COUNTA($B$19:$B$24),COUNTA($AK$17:$BB$17)),MATCH($F553,$F$19:$F$24,0),MATCH(AX$17,$AK$17:$BB$17,0))*INDEX($10:$13,MATCH($O553,$R$10:$R$13,0),COLUMN())</f>
        <v>4.0967712800000006E-7</v>
      </c>
      <c r="AY553" s="1050" cm="1">
        <f t="array" aca="1" ref="AY553" ca="1">INDEX(OFFSET($AK$19,MATCH($B553,$B$19:$B$150,0)-1,0,COUNTA($B$19:$B$24),COUNTA($AK$17:$BB$17)),MATCH($F553,$F$19:$F$24,0),MATCH(AY$17,$AK$17:$BB$17,0))*INDEX($10:$13,MATCH($O553,$R$10:$R$13,0),COLUMN())</f>
        <v>-1.0558437930000001E-8</v>
      </c>
      <c r="AZ553" s="1050" cm="1">
        <f t="array" aca="1" ref="AZ553" ca="1">INDEX(OFFSET($AK$19,MATCH($B553,$B$19:$B$150,0)-1,0,COUNTA($B$19:$B$24),COUNTA($AK$17:$BB$17)),MATCH($F553,$F$19:$F$24,0),MATCH(AZ$17,$AK$17:$BB$17,0))*INDEX($10:$13,MATCH($O553,$R$10:$R$13,0),COLUMN())</f>
        <v>0</v>
      </c>
      <c r="BA553" s="1050" cm="1">
        <f t="array" aca="1" ref="BA553" ca="1">INDEX(OFFSET($AK$19,MATCH($B553,$B$19:$B$150,0)-1,0,COUNTA($B$19:$B$24),COUNTA($AK$17:$BB$17)),MATCH($F553,$F$19:$F$24,0),MATCH(BA$17,$AK$17:$BB$17,0))*INDEX($10:$13,MATCH($O553,$R$10:$R$13,0),COLUMN())</f>
        <v>0</v>
      </c>
      <c r="BB553" s="1051" cm="1">
        <f t="array" aca="1" ref="BB553" ca="1">INDEX(OFFSET($AK$19,MATCH($B553,$B$19:$B$150,0)-1,0,COUNTA($B$19:$B$24),COUNTA($AK$17:$BB$17)),MATCH($F553,$F$19:$F$24,0),MATCH(BB$17,$AK$17:$BB$17,0))*INDEX($10:$13,MATCH($O553,$R$10:$R$13,0),COLUMN())</f>
        <v>0</v>
      </c>
      <c r="BC553" s="1053">
        <f t="shared" ca="1" si="185"/>
        <v>1.3754872491186902</v>
      </c>
      <c r="BE553" s="1"/>
      <c r="BF553" s="1"/>
      <c r="BG553" s="1"/>
      <c r="BH553" s="1"/>
      <c r="BI553" s="1"/>
      <c r="BJ553" s="1"/>
      <c r="BK553" s="1"/>
      <c r="BL553" s="1"/>
      <c r="BM553" s="1"/>
      <c r="BN553" s="1"/>
      <c r="BO553" s="1"/>
      <c r="BP553" s="1"/>
      <c r="BQ553" s="1"/>
      <c r="BR553" s="1"/>
      <c r="BS553" s="1"/>
      <c r="BT553" s="1"/>
      <c r="BU553" s="1"/>
      <c r="BV553" s="1"/>
      <c r="BW553" s="1"/>
      <c r="BX553" s="1"/>
      <c r="BY553" s="1"/>
      <c r="BZ553" s="1"/>
    </row>
    <row r="554" spans="2:78" ht="12" customHeight="1" outlineLevel="1" x14ac:dyDescent="0.25">
      <c r="B554" s="104" t="s">
        <v>91</v>
      </c>
      <c r="C554" s="104" t="s">
        <v>121</v>
      </c>
      <c r="D554" s="2" t="s">
        <v>132</v>
      </c>
      <c r="E554" s="2" t="s">
        <v>133</v>
      </c>
      <c r="F554" s="105" t="s">
        <v>96</v>
      </c>
      <c r="G554" s="27" t="s">
        <v>1582</v>
      </c>
      <c r="H554" s="106" t="s">
        <v>128</v>
      </c>
      <c r="I554" s="107" t="s">
        <v>1577</v>
      </c>
      <c r="J554" s="147">
        <v>3.8217059399999997</v>
      </c>
      <c r="K554" s="148">
        <v>0.43951000000000001</v>
      </c>
      <c r="L554" s="149">
        <f t="shared" ca="1" si="181"/>
        <v>3.6933978722242178</v>
      </c>
      <c r="M554" s="148">
        <f t="shared" ca="1" si="182"/>
        <v>2.0627952988212659</v>
      </c>
      <c r="N554" s="148">
        <f t="shared" ca="1" si="184"/>
        <v>1.623285298821266</v>
      </c>
      <c r="O554" s="1062" t="s">
        <v>1585</v>
      </c>
      <c r="P554" s="104"/>
      <c r="R554" s="119"/>
      <c r="S554" s="1072"/>
      <c r="T554" s="1072"/>
      <c r="U554" s="1072"/>
      <c r="V554" s="1072"/>
      <c r="W554" s="1072"/>
      <c r="X554" s="1072"/>
      <c r="Y554" s="1072"/>
      <c r="Z554" s="1072"/>
      <c r="AA554" s="1072"/>
      <c r="AB554" s="1072"/>
      <c r="AC554" s="1072"/>
      <c r="AD554" s="1072"/>
      <c r="AE554" s="1072"/>
      <c r="AF554" s="1072"/>
      <c r="AG554" s="1072"/>
      <c r="AH554" s="1072"/>
      <c r="AI554" s="1072"/>
      <c r="AJ554" s="1073"/>
      <c r="AK554" s="1052" cm="1">
        <f t="array" aca="1" ref="AK554" ca="1">INDEX(OFFSET($AK$19,MATCH($B554,$B$19:$B$150,0)-1,0,COUNTA($B$19:$B$24),COUNTA($AK$17:$BB$17)),MATCH($F554,$F$19:$F$24,0),MATCH(AK$17,$AK$17:$BB$17,0))*INDEX($10:$13,MATCH($O554,$R$10:$R$13,0),COLUMN())</f>
        <v>9.9150426989375984E-2</v>
      </c>
      <c r="AL554" s="1050" cm="1">
        <f t="array" aca="1" ref="AL554" ca="1">INDEX(OFFSET($AK$19,MATCH($B554,$B$19:$B$150,0)-1,0,COUNTA($B$19:$B$24),COUNTA($AK$17:$BB$17)),MATCH($F554,$F$19:$F$24,0),MATCH(AL$17,$AK$17:$BB$17,0))*INDEX($10:$13,MATCH($O554,$R$10:$R$13,0),COLUMN())</f>
        <v>6.3928139640000006E-8</v>
      </c>
      <c r="AM554" s="1050" cm="1">
        <f t="array" aca="1" ref="AM554" ca="1">INDEX(OFFSET($AK$19,MATCH($B554,$B$19:$B$150,0)-1,0,COUNTA($B$19:$B$24),COUNTA($AK$17:$BB$17)),MATCH($F554,$F$19:$F$24,0),MATCH(AM$17,$AK$17:$BB$17,0))*INDEX($10:$13,MATCH($O554,$R$10:$R$13,0),COLUMN())</f>
        <v>1.0229135643999999E-4</v>
      </c>
      <c r="AN554" s="1050" cm="1">
        <f t="array" aca="1" ref="AN554" ca="1">INDEX(OFFSET($AK$19,MATCH($B554,$B$19:$B$150,0)-1,0,COUNTA($B$19:$B$24),COUNTA($AK$17:$BB$17)),MATCH($F554,$F$19:$F$24,0),MATCH(AN$17,$AK$17:$BB$17,0))*INDEX($10:$13,MATCH($O554,$R$10:$R$13,0),COLUMN())</f>
        <v>1.5969303512000002E-3</v>
      </c>
      <c r="AO554" s="1050" cm="1">
        <f t="array" aca="1" ref="AO554" ca="1">INDEX(OFFSET($AK$19,MATCH($B554,$B$19:$B$150,0)-1,0,COUNTA($B$19:$B$24),COUNTA($AK$17:$BB$17)),MATCH($F554,$F$19:$F$24,0),MATCH(AO$17,$AK$17:$BB$17,0))*INDEX($10:$13,MATCH($O554,$R$10:$R$13,0),COLUMN())</f>
        <v>6.8485693639999998E-2</v>
      </c>
      <c r="AP554" s="1050" cm="1">
        <f t="array" aca="1" ref="AP554" ca="1">INDEX(OFFSET($AK$19,MATCH($B554,$B$19:$B$150,0)-1,0,COUNTA($B$19:$B$24),COUNTA($AK$17:$BB$17)),MATCH($F554,$F$19:$F$24,0),MATCH(AP$17,$AK$17:$BB$17,0))*INDEX($10:$13,MATCH($O554,$R$10:$R$13,0),COLUMN())</f>
        <v>4.1750284197999997E-2</v>
      </c>
      <c r="AQ554" s="1050" cm="1">
        <f t="array" aca="1" ref="AQ554" ca="1">INDEX(OFFSET($AK$19,MATCH($B554,$B$19:$B$150,0)-1,0,COUNTA($B$19:$B$24),COUNTA($AK$17:$BB$17)),MATCH($F554,$F$19:$F$24,0),MATCH(AQ$17,$AK$17:$BB$17,0))*INDEX($10:$13,MATCH($O554,$R$10:$R$13,0),COLUMN())</f>
        <v>3.2260870319999996E-4</v>
      </c>
      <c r="AR554" s="1050" cm="1">
        <f t="array" aca="1" ref="AR554" ca="1">INDEX(OFFSET($AK$19,MATCH($B554,$B$19:$B$150,0)-1,0,COUNTA($B$19:$B$24),COUNTA($AK$17:$BB$17)),MATCH($F554,$F$19:$F$24,0),MATCH(AR$17,$AK$17:$BB$17,0))*INDEX($10:$13,MATCH($O554,$R$10:$R$13,0),COLUMN())</f>
        <v>2.2178821006999999E-2</v>
      </c>
      <c r="AS554" s="1050" cm="1">
        <f t="array" aca="1" ref="AS554" ca="1">INDEX(OFFSET($AK$19,MATCH($B554,$B$19:$B$150,0)-1,0,COUNTA($B$19:$B$24),COUNTA($AK$17:$BB$17)),MATCH($F554,$F$19:$F$24,0),MATCH(AS$17,$AK$17:$BB$17,0))*INDEX($10:$13,MATCH($O554,$R$10:$R$13,0),COLUMN())</f>
        <v>4.0759416229999993E-3</v>
      </c>
      <c r="AT554" s="1050" cm="1">
        <f t="array" aca="1" ref="AT554" ca="1">INDEX(OFFSET($AK$19,MATCH($B554,$B$19:$B$150,0)-1,0,COUNTA($B$19:$B$24),COUNTA($AK$17:$BB$17)),MATCH($F554,$F$19:$F$24,0),MATCH(AT$17,$AK$17:$BB$17,0))*INDEX($10:$13,MATCH($O554,$R$10:$R$13,0),COLUMN())</f>
        <v>7.005844844999999E-6</v>
      </c>
      <c r="AU554" s="1050" cm="1">
        <f t="array" aca="1" ref="AU554" ca="1">INDEX(OFFSET($AK$19,MATCH($B554,$B$19:$B$150,0)-1,0,COUNTA($B$19:$B$24),COUNTA($AK$17:$BB$17)),MATCH($F554,$F$19:$F$24,0),MATCH(AU$17,$AK$17:$BB$17,0))*INDEX($10:$13,MATCH($O554,$R$10:$R$13,0),COLUMN())</f>
        <v>1.3340353752000001E-6</v>
      </c>
      <c r="AV554" s="1050" cm="1">
        <f t="array" aca="1" ref="AV554" ca="1">INDEX(OFFSET($AK$19,MATCH($B554,$B$19:$B$150,0)-1,0,COUNTA($B$19:$B$24),COUNTA($AK$17:$BB$17)),MATCH($F554,$F$19:$F$24,0),MATCH(AV$17,$AK$17:$BB$17,0))*INDEX($10:$13,MATCH($O554,$R$10:$R$13,0),COLUMN())</f>
        <v>1.0126648025999999E-2</v>
      </c>
      <c r="AW554" s="1050" cm="1">
        <f t="array" aca="1" ref="AW554" ca="1">INDEX(OFFSET($AK$19,MATCH($B554,$B$19:$B$150,0)-1,0,COUNTA($B$19:$B$24),COUNTA($AK$17:$BB$17)),MATCH($F554,$F$19:$F$24,0),MATCH(AW$17,$AK$17:$BB$17,0))*INDEX($10:$13,MATCH($O554,$R$10:$R$13,0),COLUMN())</f>
        <v>1.3754868500000001</v>
      </c>
      <c r="AX554" s="1050" cm="1">
        <f t="array" aca="1" ref="AX554" ca="1">INDEX(OFFSET($AK$19,MATCH($B554,$B$19:$B$150,0)-1,0,COUNTA($B$19:$B$24),COUNTA($AK$17:$BB$17)),MATCH($F554,$F$19:$F$24,0),MATCH(AX$17,$AK$17:$BB$17,0))*INDEX($10:$13,MATCH($O554,$R$10:$R$13,0),COLUMN())</f>
        <v>4.0967712800000006E-7</v>
      </c>
      <c r="AY554" s="1050" cm="1">
        <f t="array" aca="1" ref="AY554" ca="1">INDEX(OFFSET($AK$19,MATCH($B554,$B$19:$B$150,0)-1,0,COUNTA($B$19:$B$24),COUNTA($AK$17:$BB$17)),MATCH($F554,$F$19:$F$24,0),MATCH(AY$17,$AK$17:$BB$17,0))*INDEX($10:$13,MATCH($O554,$R$10:$R$13,0),COLUMN())</f>
        <v>-1.0558437930000001E-8</v>
      </c>
      <c r="AZ554" s="1050" cm="1">
        <f t="array" aca="1" ref="AZ554" ca="1">INDEX(OFFSET($AK$19,MATCH($B554,$B$19:$B$150,0)-1,0,COUNTA($B$19:$B$24),COUNTA($AK$17:$BB$17)),MATCH($F554,$F$19:$F$24,0),MATCH(AZ$17,$AK$17:$BB$17,0))*INDEX($10:$13,MATCH($O554,$R$10:$R$13,0),COLUMN())</f>
        <v>0</v>
      </c>
      <c r="BA554" s="1050" cm="1">
        <f t="array" aca="1" ref="BA554" ca="1">INDEX(OFFSET($AK$19,MATCH($B554,$B$19:$B$150,0)-1,0,COUNTA($B$19:$B$24),COUNTA($AK$17:$BB$17)),MATCH($F554,$F$19:$F$24,0),MATCH(BA$17,$AK$17:$BB$17,0))*INDEX($10:$13,MATCH($O554,$R$10:$R$13,0),COLUMN())</f>
        <v>0</v>
      </c>
      <c r="BB554" s="1051" cm="1">
        <f t="array" aca="1" ref="BB554" ca="1">INDEX(OFFSET($AK$19,MATCH($B554,$B$19:$B$150,0)-1,0,COUNTA($B$19:$B$24),COUNTA($AK$17:$BB$17)),MATCH($F554,$F$19:$F$24,0),MATCH(BB$17,$AK$17:$BB$17,0))*INDEX($10:$13,MATCH($O554,$R$10:$R$13,0),COLUMN())</f>
        <v>0</v>
      </c>
      <c r="BC554" s="1053">
        <f t="shared" ca="1" si="185"/>
        <v>1.3754872491186902</v>
      </c>
      <c r="BE554" s="1"/>
      <c r="BF554" s="1"/>
      <c r="BG554" s="1"/>
      <c r="BH554" s="1"/>
      <c r="BI554" s="1"/>
      <c r="BJ554" s="1"/>
      <c r="BK554" s="1"/>
      <c r="BL554" s="1"/>
      <c r="BM554" s="1"/>
      <c r="BN554" s="1"/>
      <c r="BO554" s="1"/>
      <c r="BP554" s="1"/>
      <c r="BQ554" s="1"/>
      <c r="BR554" s="1"/>
      <c r="BS554" s="1"/>
      <c r="BT554" s="1"/>
      <c r="BU554" s="1"/>
      <c r="BV554" s="1"/>
      <c r="BW554" s="1"/>
      <c r="BX554" s="1"/>
      <c r="BY554" s="1"/>
      <c r="BZ554" s="1"/>
    </row>
    <row r="555" spans="2:78" ht="12" customHeight="1" outlineLevel="1" x14ac:dyDescent="0.25">
      <c r="B555" s="88" t="s">
        <v>97</v>
      </c>
      <c r="C555" s="88" t="s">
        <v>121</v>
      </c>
      <c r="D555" s="89" t="s">
        <v>132</v>
      </c>
      <c r="E555" s="89" t="s">
        <v>134</v>
      </c>
      <c r="F555" s="90" t="s">
        <v>92</v>
      </c>
      <c r="G555" s="18" t="s">
        <v>126</v>
      </c>
      <c r="H555" s="91" t="s">
        <v>127</v>
      </c>
      <c r="I555" s="92" t="s">
        <v>127</v>
      </c>
      <c r="J555" s="142">
        <v>4.0702721800000008</v>
      </c>
      <c r="K555" s="143">
        <v>0.19115317137940699</v>
      </c>
      <c r="L555" s="144">
        <f t="shared" ca="1" si="181"/>
        <v>5.4762053925073246</v>
      </c>
      <c r="M555" s="143">
        <f t="shared" ca="1" si="182"/>
        <v>1.2379471992821924</v>
      </c>
      <c r="N555" s="162">
        <f t="shared" ca="1" si="184"/>
        <v>1.0467940279027854</v>
      </c>
      <c r="O555" s="1060" t="s">
        <v>1585</v>
      </c>
      <c r="P555" s="88"/>
      <c r="Q555" s="89"/>
      <c r="R555" s="150"/>
      <c r="S555" s="1070"/>
      <c r="T555" s="1070"/>
      <c r="U555" s="1070"/>
      <c r="V555" s="1070"/>
      <c r="W555" s="1070"/>
      <c r="X555" s="1070"/>
      <c r="Y555" s="1070"/>
      <c r="Z555" s="1070"/>
      <c r="AA555" s="1070"/>
      <c r="AB555" s="1070"/>
      <c r="AC555" s="1070"/>
      <c r="AD555" s="1070"/>
      <c r="AE555" s="1070"/>
      <c r="AF555" s="1070"/>
      <c r="AG555" s="1070"/>
      <c r="AH555" s="1070"/>
      <c r="AI555" s="1070"/>
      <c r="AJ555" s="1071"/>
      <c r="AK555" s="1048" cm="1">
        <f t="array" aca="1" ref="AK555" ca="1">INDEX(OFFSET($AK$19,MATCH($B555,$B$19:$B$150,0)-1,0,COUNTA($B$19:$B$24),COUNTA($AK$17:$BB$17)),MATCH($F555,$F$19:$F$24,0),MATCH(AK$17,$AK$17:$BB$17,0))*INDEX($10:$13,MATCH($O555,$R$10:$R$13,0),COLUMN())</f>
        <v>0.123538001853696</v>
      </c>
      <c r="AL555" s="1046" cm="1">
        <f t="array" aca="1" ref="AL555" ca="1">INDEX(OFFSET($AK$19,MATCH($B555,$B$19:$B$150,0)-1,0,COUNTA($B$19:$B$24),COUNTA($AK$17:$BB$17)),MATCH($F555,$F$19:$F$24,0),MATCH(AL$17,$AK$17:$BB$17,0))*INDEX($10:$13,MATCH($O555,$R$10:$R$13,0),COLUMN())</f>
        <v>8.0566705320000006E-8</v>
      </c>
      <c r="AM555" s="1046" cm="1">
        <f t="array" aca="1" ref="AM555" ca="1">INDEX(OFFSET($AK$19,MATCH($B555,$B$19:$B$150,0)-1,0,COUNTA($B$19:$B$24),COUNTA($AK$17:$BB$17)),MATCH($F555,$F$19:$F$24,0),MATCH(AM$17,$AK$17:$BB$17,0))*INDEX($10:$13,MATCH($O555,$R$10:$R$13,0),COLUMN())</f>
        <v>1.3205999975999998E-4</v>
      </c>
      <c r="AN555" s="1046" cm="1">
        <f t="array" aca="1" ref="AN555" ca="1">INDEX(OFFSET($AK$19,MATCH($B555,$B$19:$B$150,0)-1,0,COUNTA($B$19:$B$24),COUNTA($AK$17:$BB$17)),MATCH($F555,$F$19:$F$24,0),MATCH(AN$17,$AK$17:$BB$17,0))*INDEX($10:$13,MATCH($O555,$R$10:$R$13,0),COLUMN())</f>
        <v>8.4061719280000002E-4</v>
      </c>
      <c r="AO555" s="1046" cm="1">
        <f t="array" aca="1" ref="AO555" ca="1">INDEX(OFFSET($AK$19,MATCH($B555,$B$19:$B$150,0)-1,0,COUNTA($B$19:$B$24),COUNTA($AK$17:$BB$17)),MATCH($F555,$F$19:$F$24,0),MATCH(AO$17,$AK$17:$BB$17,0))*INDEX($10:$13,MATCH($O555,$R$10:$R$13,0),COLUMN())</f>
        <v>4.5368636143999996E-2</v>
      </c>
      <c r="AP555" s="1046" cm="1">
        <f t="array" aca="1" ref="AP555" ca="1">INDEX(OFFSET($AK$19,MATCH($B555,$B$19:$B$150,0)-1,0,COUNTA($B$19:$B$24),COUNTA($AK$17:$BB$17)),MATCH($F555,$F$19:$F$24,0),MATCH(AP$17,$AK$17:$BB$17,0))*INDEX($10:$13,MATCH($O555,$R$10:$R$13,0),COLUMN())</f>
        <v>2.8341707408000003E-2</v>
      </c>
      <c r="AQ555" s="1046" cm="1">
        <f t="array" aca="1" ref="AQ555" ca="1">INDEX(OFFSET($AK$19,MATCH($B555,$B$19:$B$150,0)-1,0,COUNTA($B$19:$B$24),COUNTA($AK$17:$BB$17)),MATCH($F555,$F$19:$F$24,0),MATCH(AQ$17,$AK$17:$BB$17,0))*INDEX($10:$13,MATCH($O555,$R$10:$R$13,0),COLUMN())</f>
        <v>3.2568569509999995E-4</v>
      </c>
      <c r="AR555" s="1046" cm="1">
        <f t="array" aca="1" ref="AR555" ca="1">INDEX(OFFSET($AK$19,MATCH($B555,$B$19:$B$150,0)-1,0,COUNTA($B$19:$B$24),COUNTA($AK$17:$BB$17)),MATCH($F555,$F$19:$F$24,0),MATCH(AR$17,$AK$17:$BB$17,0))*INDEX($10:$13,MATCH($O555,$R$10:$R$13,0),COLUMN())</f>
        <v>2.0271545086999999E-2</v>
      </c>
      <c r="AS555" s="1046" cm="1">
        <f t="array" aca="1" ref="AS555" ca="1">INDEX(OFFSET($AK$19,MATCH($B555,$B$19:$B$150,0)-1,0,COUNTA($B$19:$B$24),COUNTA($AK$17:$BB$17)),MATCH($F555,$F$19:$F$24,0),MATCH(AS$17,$AK$17:$BB$17,0))*INDEX($10:$13,MATCH($O555,$R$10:$R$13,0),COLUMN())</f>
        <v>0.15070029169999999</v>
      </c>
      <c r="AT555" s="1046" cm="1">
        <f t="array" aca="1" ref="AT555" ca="1">INDEX(OFFSET($AK$19,MATCH($B555,$B$19:$B$150,0)-1,0,COUNTA($B$19:$B$24),COUNTA($AK$17:$BB$17)),MATCH($F555,$F$19:$F$24,0),MATCH(AT$17,$AK$17:$BB$17,0))*INDEX($10:$13,MATCH($O555,$R$10:$R$13,0),COLUMN())</f>
        <v>1.6719545765000001E-4</v>
      </c>
      <c r="AU555" s="1046" cm="1">
        <f t="array" aca="1" ref="AU555" ca="1">INDEX(OFFSET($AK$19,MATCH($B555,$B$19:$B$150,0)-1,0,COUNTA($B$19:$B$24),COUNTA($AK$17:$BB$17)),MATCH($F555,$F$19:$F$24,0),MATCH(AU$17,$AK$17:$BB$17,0))*INDEX($10:$13,MATCH($O555,$R$10:$R$13,0),COLUMN())</f>
        <v>9.4729333139999999E-6</v>
      </c>
      <c r="AV555" s="1046" cm="1">
        <f t="array" aca="1" ref="AV555" ca="1">INDEX(OFFSET($AK$19,MATCH($B555,$B$19:$B$150,0)-1,0,COUNTA($B$19:$B$24),COUNTA($AK$17:$BB$17)),MATCH($F555,$F$19:$F$24,0),MATCH(AV$17,$AK$17:$BB$17,0))*INDEX($10:$13,MATCH($O555,$R$10:$R$13,0),COLUMN())</f>
        <v>2.0864137229999998E-3</v>
      </c>
      <c r="AW555" s="1046" cm="1">
        <f t="array" aca="1" ref="AW555" ca="1">INDEX(OFFSET($AK$19,MATCH($B555,$B$19:$B$150,0)-1,0,COUNTA($B$19:$B$24),COUNTA($AK$17:$BB$17)),MATCH($F555,$F$19:$F$24,0),MATCH(AW$17,$AK$17:$BB$17,0))*INDEX($10:$13,MATCH($O555,$R$10:$R$13,0),COLUMN())</f>
        <v>0.67501084365000008</v>
      </c>
      <c r="AX555" s="1046" cm="1">
        <f t="array" aca="1" ref="AX555" ca="1">INDEX(OFFSET($AK$19,MATCH($B555,$B$19:$B$150,0)-1,0,COUNTA($B$19:$B$24),COUNTA($AK$17:$BB$17)),MATCH($F555,$F$19:$F$24,0),MATCH(AX$17,$AK$17:$BB$17,0))*INDEX($10:$13,MATCH($O555,$R$10:$R$13,0),COLUMN())</f>
        <v>1.5176416120000001E-6</v>
      </c>
      <c r="AY555" s="1046" cm="1">
        <f t="array" aca="1" ref="AY555" ca="1">INDEX(OFFSET($AK$19,MATCH($B555,$B$19:$B$150,0)-1,0,COUNTA($B$19:$B$24),COUNTA($AK$17:$BB$17)),MATCH($F555,$F$19:$F$24,0),MATCH(AY$17,$AK$17:$BB$17,0))*INDEX($10:$13,MATCH($O555,$R$10:$R$13,0),COLUMN())</f>
        <v>-4.1149851731249999E-8</v>
      </c>
      <c r="AZ555" s="1046" cm="1">
        <f t="array" aca="1" ref="AZ555" ca="1">INDEX(OFFSET($AK$19,MATCH($B555,$B$19:$B$150,0)-1,0,COUNTA($B$19:$B$24),COUNTA($AK$17:$BB$17)),MATCH($F555,$F$19:$F$24,0),MATCH(AZ$17,$AK$17:$BB$17,0))*INDEX($10:$13,MATCH($O555,$R$10:$R$13,0),COLUMN())</f>
        <v>0</v>
      </c>
      <c r="BA555" s="1046" cm="1">
        <f t="array" aca="1" ref="BA555" ca="1">INDEX(OFFSET($AK$19,MATCH($B555,$B$19:$B$150,0)-1,0,COUNTA($B$19:$B$24),COUNTA($AK$17:$BB$17)),MATCH($F555,$F$19:$F$24,0),MATCH(BA$17,$AK$17:$BB$17,0))*INDEX($10:$13,MATCH($O555,$R$10:$R$13,0),COLUMN())</f>
        <v>0</v>
      </c>
      <c r="BB555" s="1047" cm="1">
        <f t="array" aca="1" ref="BB555" ca="1">INDEX(OFFSET($AK$19,MATCH($B555,$B$19:$B$150,0)-1,0,COUNTA($B$19:$B$24),COUNTA($AK$17:$BB$17)),MATCH($F555,$F$19:$F$24,0),MATCH(BB$17,$AK$17:$BB$17,0))*INDEX($10:$13,MATCH($O555,$R$10:$R$13,0),COLUMN())</f>
        <v>0</v>
      </c>
      <c r="BC555" s="1049">
        <f t="shared" ca="1" si="185"/>
        <v>0.67501232014176038</v>
      </c>
      <c r="BE555" s="1"/>
      <c r="BF555" s="1"/>
      <c r="BG555" s="1"/>
      <c r="BH555" s="1"/>
      <c r="BI555" s="1"/>
      <c r="BJ555" s="1"/>
      <c r="BK555" s="1"/>
      <c r="BL555" s="1"/>
      <c r="BM555" s="1"/>
      <c r="BN555" s="1"/>
      <c r="BO555" s="1"/>
      <c r="BP555" s="1"/>
      <c r="BQ555" s="1"/>
      <c r="BR555" s="1"/>
      <c r="BS555" s="1"/>
      <c r="BT555" s="1"/>
      <c r="BU555" s="1"/>
      <c r="BV555" s="1"/>
      <c r="BW555" s="1"/>
      <c r="BX555" s="1"/>
      <c r="BY555" s="1"/>
      <c r="BZ555" s="1"/>
    </row>
    <row r="556" spans="2:78" ht="12" customHeight="1" outlineLevel="1" x14ac:dyDescent="0.25">
      <c r="B556" s="104" t="s">
        <v>97</v>
      </c>
      <c r="C556" s="104" t="s">
        <v>121</v>
      </c>
      <c r="D556" s="2" t="s">
        <v>132</v>
      </c>
      <c r="E556" s="2" t="s">
        <v>134</v>
      </c>
      <c r="F556" s="105" t="s">
        <v>122</v>
      </c>
      <c r="G556" s="27" t="s">
        <v>1579</v>
      </c>
      <c r="H556" s="106" t="s">
        <v>128</v>
      </c>
      <c r="I556" s="107" t="s">
        <v>129</v>
      </c>
      <c r="J556" s="147">
        <v>4.0702721800000008</v>
      </c>
      <c r="K556" s="148">
        <v>0.46051038847432407</v>
      </c>
      <c r="L556" s="149">
        <f t="shared" ca="1" si="181"/>
        <v>2.1136273358889377</v>
      </c>
      <c r="M556" s="148">
        <f t="shared" ca="1" si="182"/>
        <v>1.4338577340144896</v>
      </c>
      <c r="N556" s="163">
        <f t="shared" ca="1" si="184"/>
        <v>0.97334734554016544</v>
      </c>
      <c r="O556" s="1061" t="s">
        <v>1585</v>
      </c>
      <c r="P556" s="104"/>
      <c r="R556" s="119"/>
      <c r="S556" s="1072"/>
      <c r="T556" s="1072"/>
      <c r="U556" s="1072"/>
      <c r="V556" s="1072"/>
      <c r="W556" s="1072"/>
      <c r="X556" s="1072"/>
      <c r="Y556" s="1072"/>
      <c r="Z556" s="1072"/>
      <c r="AA556" s="1072"/>
      <c r="AB556" s="1072"/>
      <c r="AC556" s="1072"/>
      <c r="AD556" s="1072"/>
      <c r="AE556" s="1072"/>
      <c r="AF556" s="1072"/>
      <c r="AG556" s="1072"/>
      <c r="AH556" s="1072"/>
      <c r="AI556" s="1072"/>
      <c r="AJ556" s="1073"/>
      <c r="AK556" s="1052" cm="1">
        <f t="array" aca="1" ref="AK556" ca="1">INDEX(OFFSET($AK$19,MATCH($B556,$B$19:$B$150,0)-1,0,COUNTA($B$19:$B$24),COUNTA($AK$17:$BB$17)),MATCH($F556,$F$19:$F$24,0),MATCH(AK$17,$AK$17:$BB$17,0))*INDEX($10:$13,MATCH($O556,$R$10:$R$13,0),COLUMN())</f>
        <v>5.8164689355839995E-2</v>
      </c>
      <c r="AL556" s="1050" cm="1">
        <f t="array" aca="1" ref="AL556" ca="1">INDEX(OFFSET($AK$19,MATCH($B556,$B$19:$B$150,0)-1,0,COUNTA($B$19:$B$24),COUNTA($AK$17:$BB$17)),MATCH($F556,$F$19:$F$24,0),MATCH(AL$17,$AK$17:$BB$17,0))*INDEX($10:$13,MATCH($O556,$R$10:$R$13,0),COLUMN())</f>
        <v>4.3473026661000004E-8</v>
      </c>
      <c r="AM556" s="1050" cm="1">
        <f t="array" aca="1" ref="AM556" ca="1">INDEX(OFFSET($AK$19,MATCH($B556,$B$19:$B$150,0)-1,0,COUNTA($B$19:$B$24),COUNTA($AK$17:$BB$17)),MATCH($F556,$F$19:$F$24,0),MATCH(AM$17,$AK$17:$BB$17,0))*INDEX($10:$13,MATCH($O556,$R$10:$R$13,0),COLUMN())</f>
        <v>6.9542394739999998E-5</v>
      </c>
      <c r="AN556" s="1050" cm="1">
        <f t="array" aca="1" ref="AN556" ca="1">INDEX(OFFSET($AK$19,MATCH($B556,$B$19:$B$150,0)-1,0,COUNTA($B$19:$B$24),COUNTA($AK$17:$BB$17)),MATCH($F556,$F$19:$F$24,0),MATCH(AN$17,$AK$17:$BB$17,0))*INDEX($10:$13,MATCH($O556,$R$10:$R$13,0),COLUMN())</f>
        <v>9.4678878080000002E-4</v>
      </c>
      <c r="AO556" s="1050" cm="1">
        <f t="array" aca="1" ref="AO556" ca="1">INDEX(OFFSET($AK$19,MATCH($B556,$B$19:$B$150,0)-1,0,COUNTA($B$19:$B$24),COUNTA($AK$17:$BB$17)),MATCH($F556,$F$19:$F$24,0),MATCH(AO$17,$AK$17:$BB$17,0))*INDEX($10:$13,MATCH($O556,$R$10:$R$13,0),COLUMN())</f>
        <v>1.3592684779999999E-2</v>
      </c>
      <c r="AP556" s="1050" cm="1">
        <f t="array" aca="1" ref="AP556" ca="1">INDEX(OFFSET($AK$19,MATCH($B556,$B$19:$B$150,0)-1,0,COUNTA($B$19:$B$24),COUNTA($AK$17:$BB$17)),MATCH($F556,$F$19:$F$24,0),MATCH(AP$17,$AK$17:$BB$17,0))*INDEX($10:$13,MATCH($O556,$R$10:$R$13,0),COLUMN())</f>
        <v>5.2952279424000005E-3</v>
      </c>
      <c r="AQ556" s="1050" cm="1">
        <f t="array" aca="1" ref="AQ556" ca="1">INDEX(OFFSET($AK$19,MATCH($B556,$B$19:$B$150,0)-1,0,COUNTA($B$19:$B$24),COUNTA($AK$17:$BB$17)),MATCH($F556,$F$19:$F$24,0),MATCH(AQ$17,$AK$17:$BB$17,0))*INDEX($10:$13,MATCH($O556,$R$10:$R$13,0),COLUMN())</f>
        <v>3.4317833360000003E-5</v>
      </c>
      <c r="AR556" s="1050" cm="1">
        <f t="array" aca="1" ref="AR556" ca="1">INDEX(OFFSET($AK$19,MATCH($B556,$B$19:$B$150,0)-1,0,COUNTA($B$19:$B$24),COUNTA($AK$17:$BB$17)),MATCH($F556,$F$19:$F$24,0),MATCH(AR$17,$AK$17:$BB$17,0))*INDEX($10:$13,MATCH($O556,$R$10:$R$13,0),COLUMN())</f>
        <v>9.9995920189999993E-3</v>
      </c>
      <c r="AS556" s="1050" cm="1">
        <f t="array" aca="1" ref="AS556" ca="1">INDEX(OFFSET($AK$19,MATCH($B556,$B$19:$B$150,0)-1,0,COUNTA($B$19:$B$24),COUNTA($AK$17:$BB$17)),MATCH($F556,$F$19:$F$24,0),MATCH(AS$17,$AK$17:$BB$17,0))*INDEX($10:$13,MATCH($O556,$R$10:$R$13,0),COLUMN())</f>
        <v>9.4358723129999992E-5</v>
      </c>
      <c r="AT556" s="1050" cm="1">
        <f t="array" aca="1" ref="AT556" ca="1">INDEX(OFFSET($AK$19,MATCH($B556,$B$19:$B$150,0)-1,0,COUNTA($B$19:$B$24),COUNTA($AK$17:$BB$17)),MATCH($F556,$F$19:$F$24,0),MATCH(AT$17,$AK$17:$BB$17,0))*INDEX($10:$13,MATCH($O556,$R$10:$R$13,0),COLUMN())</f>
        <v>2.9163922915E-6</v>
      </c>
      <c r="AU556" s="1050" cm="1">
        <f t="array" aca="1" ref="AU556" ca="1">INDEX(OFFSET($AK$19,MATCH($B556,$B$19:$B$150,0)-1,0,COUNTA($B$19:$B$24),COUNTA($AK$17:$BB$17)),MATCH($F556,$F$19:$F$24,0),MATCH(AU$17,$AK$17:$BB$17,0))*INDEX($10:$13,MATCH($O556,$R$10:$R$13,0),COLUMN())</f>
        <v>6.1988944842000005E-7</v>
      </c>
      <c r="AV556" s="1050" cm="1">
        <f t="array" aca="1" ref="AV556" ca="1">INDEX(OFFSET($AK$19,MATCH($B556,$B$19:$B$150,0)-1,0,COUNTA($B$19:$B$24),COUNTA($AK$17:$BB$17)),MATCH($F556,$F$19:$F$24,0),MATCH(AV$17,$AK$17:$BB$17,0))*INDEX($10:$13,MATCH($O556,$R$10:$R$13,0),COLUMN())</f>
        <v>-1.6746350309999999E-3</v>
      </c>
      <c r="AW556" s="1050" cm="1">
        <f t="array" aca="1" ref="AW556" ca="1">INDEX(OFFSET($AK$19,MATCH($B556,$B$19:$B$150,0)-1,0,COUNTA($B$19:$B$24),COUNTA($AK$17:$BB$17)),MATCH($F556,$F$19:$F$24,0),MATCH(AW$17,$AK$17:$BB$17,0))*INDEX($10:$13,MATCH($O556,$R$10:$R$13,0),COLUMN())</f>
        <v>0.88682093350000013</v>
      </c>
      <c r="AX556" s="1050" cm="1">
        <f t="array" aca="1" ref="AX556" ca="1">INDEX(OFFSET($AK$19,MATCH($B556,$B$19:$B$150,0)-1,0,COUNTA($B$19:$B$24),COUNTA($AK$17:$BB$17)),MATCH($F556,$F$19:$F$24,0),MATCH(AX$17,$AK$17:$BB$17,0))*INDEX($10:$13,MATCH($O556,$R$10:$R$13,0),COLUMN())</f>
        <v>2.7251042639999999E-7</v>
      </c>
      <c r="AY556" s="1050" cm="1">
        <f t="array" aca="1" ref="AY556" ca="1">INDEX(OFFSET($AK$19,MATCH($B556,$B$19:$B$150,0)-1,0,COUNTA($B$19:$B$24),COUNTA($AK$17:$BB$17)),MATCH($F556,$F$19:$F$24,0),MATCH(AY$17,$AK$17:$BB$17,0))*INDEX($10:$13,MATCH($O556,$R$10:$R$13,0),COLUMN())</f>
        <v>-7.0232977218750006E-9</v>
      </c>
      <c r="AZ556" s="1050" cm="1">
        <f t="array" aca="1" ref="AZ556" ca="1">INDEX(OFFSET($AK$19,MATCH($B556,$B$19:$B$150,0)-1,0,COUNTA($B$19:$B$24),COUNTA($AK$17:$BB$17)),MATCH($F556,$F$19:$F$24,0),MATCH(AZ$17,$AK$17:$BB$17,0))*INDEX($10:$13,MATCH($O556,$R$10:$R$13,0),COLUMN())</f>
        <v>0</v>
      </c>
      <c r="BA556" s="1050" cm="1">
        <f t="array" aca="1" ref="BA556" ca="1">INDEX(OFFSET($AK$19,MATCH($B556,$B$19:$B$150,0)-1,0,COUNTA($B$19:$B$24),COUNTA($AK$17:$BB$17)),MATCH($F556,$F$19:$F$24,0),MATCH(BA$17,$AK$17:$BB$17,0))*INDEX($10:$13,MATCH($O556,$R$10:$R$13,0),COLUMN())</f>
        <v>0</v>
      </c>
      <c r="BB556" s="1051" cm="1">
        <f t="array" aca="1" ref="BB556" ca="1">INDEX(OFFSET($AK$19,MATCH($B556,$B$19:$B$150,0)-1,0,COUNTA($B$19:$B$24),COUNTA($AK$17:$BB$17)),MATCH($F556,$F$19:$F$24,0),MATCH(BB$17,$AK$17:$BB$17,0))*INDEX($10:$13,MATCH($O556,$R$10:$R$13,0),COLUMN())</f>
        <v>0</v>
      </c>
      <c r="BC556" s="1053">
        <f t="shared" ca="1" si="185"/>
        <v>0.88682119898712886</v>
      </c>
      <c r="BE556" s="1"/>
      <c r="BF556" s="1"/>
      <c r="BG556" s="1"/>
      <c r="BH556" s="1"/>
      <c r="BI556" s="1"/>
      <c r="BJ556" s="1"/>
      <c r="BK556" s="1"/>
      <c r="BL556" s="1"/>
      <c r="BM556" s="1"/>
      <c r="BN556" s="1"/>
      <c r="BO556" s="1"/>
      <c r="BP556" s="1"/>
      <c r="BQ556" s="1"/>
      <c r="BR556" s="1"/>
      <c r="BS556" s="1"/>
      <c r="BT556" s="1"/>
      <c r="BU556" s="1"/>
      <c r="BV556" s="1"/>
      <c r="BW556" s="1"/>
      <c r="BX556" s="1"/>
      <c r="BY556" s="1"/>
      <c r="BZ556" s="1"/>
    </row>
    <row r="557" spans="2:78" ht="12" customHeight="1" outlineLevel="1" x14ac:dyDescent="0.25">
      <c r="B557" s="104" t="s">
        <v>97</v>
      </c>
      <c r="C557" s="104" t="s">
        <v>121</v>
      </c>
      <c r="D557" s="2" t="s">
        <v>132</v>
      </c>
      <c r="E557" s="2" t="s">
        <v>134</v>
      </c>
      <c r="F557" s="105" t="s">
        <v>93</v>
      </c>
      <c r="G557" s="27" t="s">
        <v>1578</v>
      </c>
      <c r="H557" s="106" t="s">
        <v>130</v>
      </c>
      <c r="I557" s="107" t="s">
        <v>129</v>
      </c>
      <c r="J557" s="147">
        <v>4.0702721800000008</v>
      </c>
      <c r="K557" s="148">
        <v>0.46051038847432407</v>
      </c>
      <c r="L557" s="149">
        <f t="shared" ca="1" si="181"/>
        <v>2.6448025939152982</v>
      </c>
      <c r="M557" s="148">
        <f t="shared" ca="1" si="182"/>
        <v>1.6784694584361579</v>
      </c>
      <c r="N557" s="163">
        <f t="shared" ca="1" si="184"/>
        <v>1.2179590699618339</v>
      </c>
      <c r="O557" s="1061" t="s">
        <v>1585</v>
      </c>
      <c r="P557" s="104"/>
      <c r="R557" s="119"/>
      <c r="S557" s="1072"/>
      <c r="T557" s="1072"/>
      <c r="U557" s="1072"/>
      <c r="V557" s="1072"/>
      <c r="W557" s="1072"/>
      <c r="X557" s="1072"/>
      <c r="Y557" s="1072"/>
      <c r="Z557" s="1072"/>
      <c r="AA557" s="1072"/>
      <c r="AB557" s="1072"/>
      <c r="AC557" s="1072"/>
      <c r="AD557" s="1072"/>
      <c r="AE557" s="1072"/>
      <c r="AF557" s="1072"/>
      <c r="AG557" s="1072"/>
      <c r="AH557" s="1072"/>
      <c r="AI557" s="1072"/>
      <c r="AJ557" s="1073"/>
      <c r="AK557" s="1052" cm="1">
        <f t="array" aca="1" ref="AK557" ca="1">INDEX(OFFSET($AK$19,MATCH($B557,$B$19:$B$150,0)-1,0,COUNTA($B$19:$B$24),COUNTA($AK$17:$BB$17)),MATCH($F557,$F$19:$F$24,0),MATCH(AK$17,$AK$17:$BB$17,0))*INDEX($10:$13,MATCH($O557,$R$10:$R$13,0),COLUMN())</f>
        <v>7.2741490995456001E-2</v>
      </c>
      <c r="AL557" s="1050" cm="1">
        <f t="array" aca="1" ref="AL557" ca="1">INDEX(OFFSET($AK$19,MATCH($B557,$B$19:$B$150,0)-1,0,COUNTA($B$19:$B$24),COUNTA($AK$17:$BB$17)),MATCH($F557,$F$19:$F$24,0),MATCH(AL$17,$AK$17:$BB$17,0))*INDEX($10:$13,MATCH($O557,$R$10:$R$13,0),COLUMN())</f>
        <v>5.4367909860000004E-8</v>
      </c>
      <c r="AM557" s="1050" cm="1">
        <f t="array" aca="1" ref="AM557" ca="1">INDEX(OFFSET($AK$19,MATCH($B557,$B$19:$B$150,0)-1,0,COUNTA($B$19:$B$24),COUNTA($AK$17:$BB$17)),MATCH($F557,$F$19:$F$24,0),MATCH(AM$17,$AK$17:$BB$17,0))*INDEX($10:$13,MATCH($O557,$R$10:$R$13,0),COLUMN())</f>
        <v>8.6970584480000005E-5</v>
      </c>
      <c r="AN557" s="1050" cm="1">
        <f t="array" aca="1" ref="AN557" ca="1">INDEX(OFFSET($AK$19,MATCH($B557,$B$19:$B$150,0)-1,0,COUNTA($B$19:$B$24),COUNTA($AK$17:$BB$17)),MATCH($F557,$F$19:$F$24,0),MATCH(AN$17,$AK$17:$BB$17,0))*INDEX($10:$13,MATCH($O557,$R$10:$R$13,0),COLUMN())</f>
        <v>1.1840659072E-3</v>
      </c>
      <c r="AO557" s="1050" cm="1">
        <f t="array" aca="1" ref="AO557" ca="1">INDEX(OFFSET($AK$19,MATCH($B557,$B$19:$B$150,0)-1,0,COUNTA($B$19:$B$24),COUNTA($AK$17:$BB$17)),MATCH($F557,$F$19:$F$24,0),MATCH(AO$17,$AK$17:$BB$17,0))*INDEX($10:$13,MATCH($O557,$R$10:$R$13,0),COLUMN())</f>
        <v>1.6999181964E-2</v>
      </c>
      <c r="AP557" s="1050" cm="1">
        <f t="array" aca="1" ref="AP557" ca="1">INDEX(OFFSET($AK$19,MATCH($B557,$B$19:$B$150,0)-1,0,COUNTA($B$19:$B$24),COUNTA($AK$17:$BB$17)),MATCH($F557,$F$19:$F$24,0),MATCH(AP$17,$AK$17:$BB$17,0))*INDEX($10:$13,MATCH($O557,$R$10:$R$13,0),COLUMN())</f>
        <v>6.6222786740000004E-3</v>
      </c>
      <c r="AQ557" s="1050" cm="1">
        <f t="array" aca="1" ref="AQ557" ca="1">INDEX(OFFSET($AK$19,MATCH($B557,$B$19:$B$150,0)-1,0,COUNTA($B$19:$B$24),COUNTA($AK$17:$BB$17)),MATCH($F557,$F$19:$F$24,0),MATCH(AQ$17,$AK$17:$BB$17,0))*INDEX($10:$13,MATCH($O557,$R$10:$R$13,0),COLUMN())</f>
        <v>4.291831152E-5</v>
      </c>
      <c r="AR557" s="1050" cm="1">
        <f t="array" aca="1" ref="AR557" ca="1">INDEX(OFFSET($AK$19,MATCH($B557,$B$19:$B$150,0)-1,0,COUNTA($B$19:$B$24),COUNTA($AK$17:$BB$17)),MATCH($F557,$F$19:$F$24,0),MATCH(AR$17,$AK$17:$BB$17,0))*INDEX($10:$13,MATCH($O557,$R$10:$R$13,0),COLUMN())</f>
        <v>1.2505615091E-2</v>
      </c>
      <c r="AS557" s="1050" cm="1">
        <f t="array" aca="1" ref="AS557" ca="1">INDEX(OFFSET($AK$19,MATCH($B557,$B$19:$B$150,0)-1,0,COUNTA($B$19:$B$24),COUNTA($AK$17:$BB$17)),MATCH($F557,$F$19:$F$24,0),MATCH(AS$17,$AK$17:$BB$17,0))*INDEX($10:$13,MATCH($O557,$R$10:$R$13,0),COLUMN())</f>
        <v>1.6625288024999999E-4</v>
      </c>
      <c r="AT557" s="1050" cm="1">
        <f t="array" aca="1" ref="AT557" ca="1">INDEX(OFFSET($AK$19,MATCH($B557,$B$19:$B$150,0)-1,0,COUNTA($B$19:$B$24),COUNTA($AK$17:$BB$17)),MATCH($F557,$F$19:$F$24,0),MATCH(AT$17,$AK$17:$BB$17,0))*INDEX($10:$13,MATCH($O557,$R$10:$R$13,0),COLUMN())</f>
        <v>3.6624106227999998E-6</v>
      </c>
      <c r="AU557" s="1050" cm="1">
        <f t="array" aca="1" ref="AU557" ca="1">INDEX(OFFSET($AK$19,MATCH($B557,$B$19:$B$150,0)-1,0,COUNTA($B$19:$B$24),COUNTA($AK$17:$BB$17)),MATCH($F557,$F$19:$F$24,0),MATCH(AU$17,$AK$17:$BB$17,0))*INDEX($10:$13,MATCH($O557,$R$10:$R$13,0),COLUMN())</f>
        <v>7.7696206533000008E-7</v>
      </c>
      <c r="AV557" s="1050" cm="1">
        <f t="array" aca="1" ref="AV557" ca="1">INDEX(OFFSET($AK$19,MATCH($B557,$B$19:$B$150,0)-1,0,COUNTA($B$19:$B$24),COUNTA($AK$17:$BB$17)),MATCH($F557,$F$19:$F$24,0),MATCH(AV$17,$AK$17:$BB$17,0))*INDEX($10:$13,MATCH($O557,$R$10:$R$13,0),COLUMN())</f>
        <v>-1.4639192081999999E-3</v>
      </c>
      <c r="AW557" s="1050" cm="1">
        <f t="array" aca="1" ref="AW557" ca="1">INDEX(OFFSET($AK$19,MATCH($B557,$B$19:$B$150,0)-1,0,COUNTA($B$19:$B$24),COUNTA($AK$17:$BB$17)),MATCH($F557,$F$19:$F$24,0),MATCH(AW$17,$AK$17:$BB$17,0))*INDEX($10:$13,MATCH($O557,$R$10:$R$13,0),COLUMN())</f>
        <v>1.1090693890000001</v>
      </c>
      <c r="AX557" s="1050" cm="1">
        <f t="array" aca="1" ref="AX557" ca="1">INDEX(OFFSET($AK$19,MATCH($B557,$B$19:$B$150,0)-1,0,COUNTA($B$19:$B$24),COUNTA($AK$17:$BB$17)),MATCH($F557,$F$19:$F$24,0),MATCH(AX$17,$AK$17:$BB$17,0))*INDEX($10:$13,MATCH($O557,$R$10:$R$13,0),COLUMN())</f>
        <v>3.4080495380000002E-7</v>
      </c>
      <c r="AY557" s="1050" cm="1">
        <f t="array" aca="1" ref="AY557" ca="1">INDEX(OFFSET($AK$19,MATCH($B557,$B$19:$B$150,0)-1,0,COUNTA($B$19:$B$24),COUNTA($AK$17:$BB$17)),MATCH($F557,$F$19:$F$24,0),MATCH(AY$17,$AK$17:$BB$17,0))*INDEX($10:$13,MATCH($O557,$R$10:$R$13,0),COLUMN())</f>
        <v>-8.7834239737500001E-9</v>
      </c>
      <c r="AZ557" s="1050" cm="1">
        <f t="array" aca="1" ref="AZ557" ca="1">INDEX(OFFSET($AK$19,MATCH($B557,$B$19:$B$150,0)-1,0,COUNTA($B$19:$B$24),COUNTA($AK$17:$BB$17)),MATCH($F557,$F$19:$F$24,0),MATCH(AZ$17,$AK$17:$BB$17,0))*INDEX($10:$13,MATCH($O557,$R$10:$R$13,0),COLUMN())</f>
        <v>0</v>
      </c>
      <c r="BA557" s="1050" cm="1">
        <f t="array" aca="1" ref="BA557" ca="1">INDEX(OFFSET($AK$19,MATCH($B557,$B$19:$B$150,0)-1,0,COUNTA($B$19:$B$24),COUNTA($AK$17:$BB$17)),MATCH($F557,$F$19:$F$24,0),MATCH(BA$17,$AK$17:$BB$17,0))*INDEX($10:$13,MATCH($O557,$R$10:$R$13,0),COLUMN())</f>
        <v>0</v>
      </c>
      <c r="BB557" s="1051" cm="1">
        <f t="array" aca="1" ref="BB557" ca="1">INDEX(OFFSET($AK$19,MATCH($B557,$B$19:$B$150,0)-1,0,COUNTA($B$19:$B$24),COUNTA($AK$17:$BB$17)),MATCH($F557,$F$19:$F$24,0),MATCH(BB$17,$AK$17:$BB$17,0))*INDEX($10:$13,MATCH($O557,$R$10:$R$13,0),COLUMN())</f>
        <v>0</v>
      </c>
      <c r="BC557" s="1053">
        <f t="shared" ca="1" si="185"/>
        <v>1.1090697210215299</v>
      </c>
      <c r="BE557" s="1"/>
      <c r="BF557" s="1"/>
      <c r="BG557" s="1"/>
      <c r="BH557" s="1"/>
      <c r="BI557" s="1"/>
      <c r="BJ557" s="1"/>
      <c r="BK557" s="1"/>
      <c r="BL557" s="1"/>
      <c r="BM557" s="1"/>
      <c r="BN557" s="1"/>
      <c r="BO557" s="1"/>
      <c r="BP557" s="1"/>
      <c r="BQ557" s="1"/>
      <c r="BR557" s="1"/>
      <c r="BS557" s="1"/>
      <c r="BT557" s="1"/>
      <c r="BU557" s="1"/>
      <c r="BV557" s="1"/>
      <c r="BW557" s="1"/>
      <c r="BX557" s="1"/>
      <c r="BY557" s="1"/>
      <c r="BZ557" s="1"/>
    </row>
    <row r="558" spans="2:78" ht="12" customHeight="1" outlineLevel="1" x14ac:dyDescent="0.25">
      <c r="B558" s="104" t="s">
        <v>97</v>
      </c>
      <c r="C558" s="104" t="s">
        <v>121</v>
      </c>
      <c r="D558" s="2" t="s">
        <v>132</v>
      </c>
      <c r="E558" s="2" t="s">
        <v>134</v>
      </c>
      <c r="F558" s="105" t="s">
        <v>94</v>
      </c>
      <c r="G558" s="27" t="s">
        <v>1580</v>
      </c>
      <c r="H558" s="106" t="s">
        <v>131</v>
      </c>
      <c r="I558" s="107" t="s">
        <v>129</v>
      </c>
      <c r="J558" s="147">
        <v>4.0702721800000008</v>
      </c>
      <c r="K558" s="148">
        <v>0.46051038847432407</v>
      </c>
      <c r="L558" s="149">
        <f t="shared" ca="1" si="181"/>
        <v>1.7597718767556956</v>
      </c>
      <c r="M558" s="148">
        <f t="shared" ca="1" si="182"/>
        <v>1.2709036190652798</v>
      </c>
      <c r="N558" s="148">
        <f t="shared" ca="1" si="184"/>
        <v>0.81039323059095569</v>
      </c>
      <c r="O558" s="1062" t="s">
        <v>1585</v>
      </c>
      <c r="P558" s="104"/>
      <c r="R558" s="119"/>
      <c r="S558" s="1072"/>
      <c r="T558" s="1072"/>
      <c r="U558" s="1072"/>
      <c r="V558" s="1072"/>
      <c r="W558" s="1072"/>
      <c r="X558" s="1072"/>
      <c r="Y558" s="1072"/>
      <c r="Z558" s="1072"/>
      <c r="AA558" s="1072"/>
      <c r="AB558" s="1072"/>
      <c r="AC558" s="1072"/>
      <c r="AD558" s="1072"/>
      <c r="AE558" s="1072"/>
      <c r="AF558" s="1072"/>
      <c r="AG558" s="1072"/>
      <c r="AH558" s="1072"/>
      <c r="AI558" s="1072"/>
      <c r="AJ558" s="1073"/>
      <c r="AK558" s="1052" cm="1">
        <f t="array" aca="1" ref="AK558" ca="1">INDEX(OFFSET($AK$19,MATCH($B558,$B$19:$B$150,0)-1,0,COUNTA($B$19:$B$24),COUNTA($AK$17:$BB$17)),MATCH($F558,$F$19:$F$24,0),MATCH(AK$17,$AK$17:$BB$17,0))*INDEX($10:$13,MATCH($O558,$R$10:$R$13,0),COLUMN())</f>
        <v>4.8453991514112005E-2</v>
      </c>
      <c r="AL558" s="1050" cm="1">
        <f t="array" aca="1" ref="AL558" ca="1">INDEX(OFFSET($AK$19,MATCH($B558,$B$19:$B$150,0)-1,0,COUNTA($B$19:$B$24),COUNTA($AK$17:$BB$17)),MATCH($F558,$F$19:$F$24,0),MATCH(AL$17,$AK$17:$BB$17,0))*INDEX($10:$13,MATCH($O558,$R$10:$R$13,0),COLUMN())</f>
        <v>3.6215128606000006E-8</v>
      </c>
      <c r="AM558" s="1050" cm="1">
        <f t="array" aca="1" ref="AM558" ca="1">INDEX(OFFSET($AK$19,MATCH($B558,$B$19:$B$150,0)-1,0,COUNTA($B$19:$B$24),COUNTA($AK$17:$BB$17)),MATCH($F558,$F$19:$F$24,0),MATCH(AM$17,$AK$17:$BB$17,0))*INDEX($10:$13,MATCH($O558,$R$10:$R$13,0),COLUMN())</f>
        <v>5.7932167929999998E-5</v>
      </c>
      <c r="AN558" s="1050" cm="1">
        <f t="array" aca="1" ref="AN558" ca="1">INDEX(OFFSET($AK$19,MATCH($B558,$B$19:$B$150,0)-1,0,COUNTA($B$19:$B$24),COUNTA($AK$17:$BB$17)),MATCH($F558,$F$19:$F$24,0),MATCH(AN$17,$AK$17:$BB$17,0))*INDEX($10:$13,MATCH($O558,$R$10:$R$13,0),COLUMN())</f>
        <v>7.8872072880000008E-4</v>
      </c>
      <c r="AO558" s="1050" cm="1">
        <f t="array" aca="1" ref="AO558" ca="1">INDEX(OFFSET($AK$19,MATCH($B558,$B$19:$B$150,0)-1,0,COUNTA($B$19:$B$24),COUNTA($AK$17:$BB$17)),MATCH($F558,$F$19:$F$24,0),MATCH(AO$17,$AK$17:$BB$17,0))*INDEX($10:$13,MATCH($O558,$R$10:$R$13,0),COLUMN())</f>
        <v>1.1323361952E-2</v>
      </c>
      <c r="AP558" s="1050" cm="1">
        <f t="array" aca="1" ref="AP558" ca="1">INDEX(OFFSET($AK$19,MATCH($B558,$B$19:$B$150,0)-1,0,COUNTA($B$19:$B$24),COUNTA($AK$17:$BB$17)),MATCH($F558,$F$19:$F$24,0),MATCH(AP$17,$AK$17:$BB$17,0))*INDEX($10:$13,MATCH($O558,$R$10:$R$13,0),COLUMN())</f>
        <v>4.4111803733999999E-3</v>
      </c>
      <c r="AQ558" s="1050" cm="1">
        <f t="array" aca="1" ref="AQ558" ca="1">INDEX(OFFSET($AK$19,MATCH($B558,$B$19:$B$150,0)-1,0,COUNTA($B$19:$B$24),COUNTA($AK$17:$BB$17)),MATCH($F558,$F$19:$F$24,0),MATCH(AQ$17,$AK$17:$BB$17,0))*INDEX($10:$13,MATCH($O558,$R$10:$R$13,0),COLUMN())</f>
        <v>2.8588411099999997E-5</v>
      </c>
      <c r="AR558" s="1050" cm="1">
        <f t="array" aca="1" ref="AR558" ca="1">INDEX(OFFSET($AK$19,MATCH($B558,$B$19:$B$150,0)-1,0,COUNTA($B$19:$B$24),COUNTA($AK$17:$BB$17)),MATCH($F558,$F$19:$F$24,0),MATCH(AR$17,$AK$17:$BB$17,0))*INDEX($10:$13,MATCH($O558,$R$10:$R$13,0),COLUMN())</f>
        <v>8.3301424639999986E-3</v>
      </c>
      <c r="AS558" s="1050" cm="1">
        <f t="array" aca="1" ref="AS558" ca="1">INDEX(OFFSET($AK$19,MATCH($B558,$B$19:$B$150,0)-1,0,COUNTA($B$19:$B$24),COUNTA($AK$17:$BB$17)),MATCH($F558,$F$19:$F$24,0),MATCH(AS$17,$AK$17:$BB$17,0))*INDEX($10:$13,MATCH($O558,$R$10:$R$13,0),COLUMN())</f>
        <v>4.646766656E-5</v>
      </c>
      <c r="AT558" s="1050" cm="1">
        <f t="array" aca="1" ref="AT558" ca="1">INDEX(OFFSET($AK$19,MATCH($B558,$B$19:$B$150,0)-1,0,COUNTA($B$19:$B$24),COUNTA($AK$17:$BB$17)),MATCH($F558,$F$19:$F$24,0),MATCH(AT$17,$AK$17:$BB$17,0))*INDEX($10:$13,MATCH($O558,$R$10:$R$13,0),COLUMN())</f>
        <v>2.4194145918999998E-6</v>
      </c>
      <c r="AU558" s="1050" cm="1">
        <f t="array" aca="1" ref="AU558" ca="1">INDEX(OFFSET($AK$19,MATCH($B558,$B$19:$B$150,0)-1,0,COUNTA($B$19:$B$24),COUNTA($AK$17:$BB$17)),MATCH($F558,$F$19:$F$24,0),MATCH(AU$17,$AK$17:$BB$17,0))*INDEX($10:$13,MATCH($O558,$R$10:$R$13,0),COLUMN())</f>
        <v>5.1525174276000002E-7</v>
      </c>
      <c r="AV558" s="1050" cm="1">
        <f t="array" aca="1" ref="AV558" ca="1">INDEX(OFFSET($AK$19,MATCH($B558,$B$19:$B$150,0)-1,0,COUNTA($B$19:$B$24),COUNTA($AK$17:$BB$17)),MATCH($F558,$F$19:$F$24,0),MATCH(AV$17,$AK$17:$BB$17,0))*INDEX($10:$13,MATCH($O558,$R$10:$R$13,0),COLUMN())</f>
        <v>-1.8149692319999998E-3</v>
      </c>
      <c r="AW558" s="1050" cm="1">
        <f t="array" aca="1" ref="AW558" ca="1">INDEX(OFFSET($AK$19,MATCH($B558,$B$19:$B$150,0)-1,0,COUNTA($B$19:$B$24),COUNTA($AK$17:$BB$17)),MATCH($F558,$F$19:$F$24,0),MATCH(AW$17,$AK$17:$BB$17,0))*INDEX($10:$13,MATCH($O558,$R$10:$R$13,0),COLUMN())</f>
        <v>0.73876462250000008</v>
      </c>
      <c r="AX558" s="1050" cm="1">
        <f t="array" aca="1" ref="AX558" ca="1">INDEX(OFFSET($AK$19,MATCH($B558,$B$19:$B$150,0)-1,0,COUNTA($B$19:$B$24),COUNTA($AK$17:$BB$17)),MATCH($F558,$F$19:$F$24,0),MATCH(AX$17,$AK$17:$BB$17,0))*INDEX($10:$13,MATCH($O558,$R$10:$R$13,0),COLUMN())</f>
        <v>2.2701433615000003E-7</v>
      </c>
      <c r="AY558" s="1050" cm="1">
        <f t="array" aca="1" ref="AY558" ca="1">INDEX(OFFSET($AK$19,MATCH($B558,$B$19:$B$150,0)-1,0,COUNTA($B$19:$B$24),COUNTA($AK$17:$BB$17)),MATCH($F558,$F$19:$F$24,0),MATCH(AY$17,$AK$17:$BB$17,0))*INDEX($10:$13,MATCH($O558,$R$10:$R$13,0),COLUMN())</f>
        <v>-5.8507458037500008E-9</v>
      </c>
      <c r="AZ558" s="1050" cm="1">
        <f t="array" aca="1" ref="AZ558" ca="1">INDEX(OFFSET($AK$19,MATCH($B558,$B$19:$B$150,0)-1,0,COUNTA($B$19:$B$24),COUNTA($AK$17:$BB$17)),MATCH($F558,$F$19:$F$24,0),MATCH(AZ$17,$AK$17:$BB$17,0))*INDEX($10:$13,MATCH($O558,$R$10:$R$13,0),COLUMN())</f>
        <v>0</v>
      </c>
      <c r="BA558" s="1050" cm="1">
        <f t="array" aca="1" ref="BA558" ca="1">INDEX(OFFSET($AK$19,MATCH($B558,$B$19:$B$150,0)-1,0,COUNTA($B$19:$B$24),COUNTA($AK$17:$BB$17)),MATCH($F558,$F$19:$F$24,0),MATCH(BA$17,$AK$17:$BB$17,0))*INDEX($10:$13,MATCH($O558,$R$10:$R$13,0),COLUMN())</f>
        <v>0</v>
      </c>
      <c r="BB558" s="1051" cm="1">
        <f t="array" aca="1" ref="BB558" ca="1">INDEX(OFFSET($AK$19,MATCH($B558,$B$19:$B$150,0)-1,0,COUNTA($B$19:$B$24),COUNTA($AK$17:$BB$17)),MATCH($F558,$F$19:$F$24,0),MATCH(BB$17,$AK$17:$BB$17,0))*INDEX($10:$13,MATCH($O558,$R$10:$R$13,0),COLUMN())</f>
        <v>0</v>
      </c>
      <c r="BC558" s="1053">
        <f t="shared" ca="1" si="185"/>
        <v>0.73876484366359041</v>
      </c>
      <c r="BE558" s="1"/>
      <c r="BF558" s="1"/>
      <c r="BG558" s="1"/>
      <c r="BH558" s="1"/>
      <c r="BI558" s="1"/>
      <c r="BJ558" s="1"/>
      <c r="BK558" s="1"/>
      <c r="BL558" s="1"/>
      <c r="BM558" s="1"/>
      <c r="BN558" s="1"/>
      <c r="BO558" s="1"/>
      <c r="BP558" s="1"/>
      <c r="BQ558" s="1"/>
      <c r="BR558" s="1"/>
      <c r="BS558" s="1"/>
      <c r="BT558" s="1"/>
      <c r="BU558" s="1"/>
      <c r="BV558" s="1"/>
      <c r="BW558" s="1"/>
      <c r="BX558" s="1"/>
      <c r="BY558" s="1"/>
      <c r="BZ558" s="1"/>
    </row>
    <row r="559" spans="2:78" ht="12" customHeight="1" outlineLevel="1" x14ac:dyDescent="0.25">
      <c r="B559" s="104" t="s">
        <v>97</v>
      </c>
      <c r="C559" s="104" t="s">
        <v>121</v>
      </c>
      <c r="D559" s="2" t="s">
        <v>132</v>
      </c>
      <c r="E559" s="2" t="s">
        <v>134</v>
      </c>
      <c r="F559" s="105" t="s">
        <v>95</v>
      </c>
      <c r="G559" s="27" t="s">
        <v>1581</v>
      </c>
      <c r="H559" s="106" t="s">
        <v>128</v>
      </c>
      <c r="I559" s="107" t="s">
        <v>127</v>
      </c>
      <c r="J559" s="147">
        <v>4.0702721800000008</v>
      </c>
      <c r="K559" s="148">
        <v>0.46051038847432407</v>
      </c>
      <c r="L559" s="149">
        <f t="shared" ca="1" si="181"/>
        <v>2.2097108569220154</v>
      </c>
      <c r="M559" s="148">
        <f t="shared" ca="1" si="182"/>
        <v>1.4781051936114129</v>
      </c>
      <c r="N559" s="148">
        <f t="shared" ca="1" si="184"/>
        <v>1.0175948051370889</v>
      </c>
      <c r="O559" s="1062" t="s">
        <v>1585</v>
      </c>
      <c r="P559" s="104"/>
      <c r="R559" s="119"/>
      <c r="S559" s="1072"/>
      <c r="T559" s="1072"/>
      <c r="U559" s="1072"/>
      <c r="V559" s="1072"/>
      <c r="W559" s="1072"/>
      <c r="X559" s="1072"/>
      <c r="Y559" s="1072"/>
      <c r="Z559" s="1072"/>
      <c r="AA559" s="1072"/>
      <c r="AB559" s="1072"/>
      <c r="AC559" s="1072"/>
      <c r="AD559" s="1072"/>
      <c r="AE559" s="1072"/>
      <c r="AF559" s="1072"/>
      <c r="AG559" s="1072"/>
      <c r="AH559" s="1072"/>
      <c r="AI559" s="1072"/>
      <c r="AJ559" s="1073"/>
      <c r="AK559" s="1052" cm="1">
        <f t="array" aca="1" ref="AK559" ca="1">INDEX(OFFSET($AK$19,MATCH($B559,$B$19:$B$150,0)-1,0,COUNTA($B$19:$B$24),COUNTA($AK$17:$BB$17)),MATCH($F559,$F$19:$F$24,0),MATCH(AK$17,$AK$17:$BB$17,0))*INDEX($10:$13,MATCH($O559,$R$10:$R$13,0),COLUMN())</f>
        <v>6.5576582050175997E-2</v>
      </c>
      <c r="AL559" s="1050" cm="1">
        <f t="array" aca="1" ref="AL559" ca="1">INDEX(OFFSET($AK$19,MATCH($B559,$B$19:$B$150,0)-1,0,COUNTA($B$19:$B$24),COUNTA($AK$17:$BB$17)),MATCH($F559,$F$19:$F$24,0),MATCH(AL$17,$AK$17:$BB$17,0))*INDEX($10:$13,MATCH($O559,$R$10:$R$13,0),COLUMN())</f>
        <v>4.3782632279000004E-8</v>
      </c>
      <c r="AM559" s="1050" cm="1">
        <f t="array" aca="1" ref="AM559" ca="1">INDEX(OFFSET($AK$19,MATCH($B559,$B$19:$B$150,0)-1,0,COUNTA($B$19:$B$24),COUNTA($AK$17:$BB$17)),MATCH($F559,$F$19:$F$24,0),MATCH(AM$17,$AK$17:$BB$17,0))*INDEX($10:$13,MATCH($O559,$R$10:$R$13,0),COLUMN())</f>
        <v>7.0035403880000003E-5</v>
      </c>
      <c r="AN559" s="1050" cm="1">
        <f t="array" aca="1" ref="AN559" ca="1">INDEX(OFFSET($AK$19,MATCH($B559,$B$19:$B$150,0)-1,0,COUNTA($B$19:$B$24),COUNTA($AK$17:$BB$17)),MATCH($F559,$F$19:$F$24,0),MATCH(AN$17,$AK$17:$BB$17,0))*INDEX($10:$13,MATCH($O559,$R$10:$R$13,0),COLUMN())</f>
        <v>1.0110534120000001E-3</v>
      </c>
      <c r="AO559" s="1050" cm="1">
        <f t="array" aca="1" ref="AO559" ca="1">INDEX(OFFSET($AK$19,MATCH($B559,$B$19:$B$150,0)-1,0,COUNTA($B$19:$B$24),COUNTA($AK$17:$BB$17)),MATCH($F559,$F$19:$F$24,0),MATCH(AO$17,$AK$17:$BB$17,0))*INDEX($10:$13,MATCH($O559,$R$10:$R$13,0),COLUMN())</f>
        <v>3.1407713099999998E-2</v>
      </c>
      <c r="AP559" s="1050" cm="1">
        <f t="array" aca="1" ref="AP559" ca="1">INDEX(OFFSET($AK$19,MATCH($B559,$B$19:$B$150,0)-1,0,COUNTA($B$19:$B$24),COUNTA($AK$17:$BB$17)),MATCH($F559,$F$19:$F$24,0),MATCH(AP$17,$AK$17:$BB$17,0))*INDEX($10:$13,MATCH($O559,$R$10:$R$13,0),COLUMN())</f>
        <v>1.7829795230000001E-2</v>
      </c>
      <c r="AQ559" s="1050" cm="1">
        <f t="array" aca="1" ref="AQ559" ca="1">INDEX(OFFSET($AK$19,MATCH($B559,$B$19:$B$150,0)-1,0,COUNTA($B$19:$B$24),COUNTA($AK$17:$BB$17)),MATCH($F559,$F$19:$F$24,0),MATCH(AQ$17,$AK$17:$BB$17,0))*INDEX($10:$13,MATCH($O559,$R$10:$R$13,0),COLUMN())</f>
        <v>1.3576058188000001E-4</v>
      </c>
      <c r="AR559" s="1050" cm="1">
        <f t="array" aca="1" ref="AR559" ca="1">INDEX(OFFSET($AK$19,MATCH($B559,$B$19:$B$150,0)-1,0,COUNTA($B$19:$B$24),COUNTA($AK$17:$BB$17)),MATCH($F559,$F$19:$F$24,0),MATCH(AR$17,$AK$17:$BB$17,0))*INDEX($10:$13,MATCH($O559,$R$10:$R$13,0),COLUMN())</f>
        <v>1.2930621160000001E-2</v>
      </c>
      <c r="AS559" s="1050" cm="1">
        <f t="array" aca="1" ref="AS559" ca="1">INDEX(OFFSET($AK$19,MATCH($B559,$B$19:$B$150,0)-1,0,COUNTA($B$19:$B$24),COUNTA($AK$17:$BB$17)),MATCH($F559,$F$19:$F$24,0),MATCH(AS$17,$AK$17:$BB$17,0))*INDEX($10:$13,MATCH($O559,$R$10:$R$13,0),COLUMN())</f>
        <v>1.6090802400000001E-3</v>
      </c>
      <c r="AT559" s="1050" cm="1">
        <f t="array" aca="1" ref="AT559" ca="1">INDEX(OFFSET($AK$19,MATCH($B559,$B$19:$B$150,0)-1,0,COUNTA($B$19:$B$24),COUNTA($AK$17:$BB$17)),MATCH($F559,$F$19:$F$24,0),MATCH(AT$17,$AK$17:$BB$17,0))*INDEX($10:$13,MATCH($O559,$R$10:$R$13,0),COLUMN())</f>
        <v>4.0588449158000002E-6</v>
      </c>
      <c r="AU559" s="1050" cm="1">
        <f t="array" aca="1" ref="AU559" ca="1">INDEX(OFFSET($AK$19,MATCH($B559,$B$19:$B$150,0)-1,0,COUNTA($B$19:$B$24),COUNTA($AK$17:$BB$17)),MATCH($F559,$F$19:$F$24,0),MATCH(AU$17,$AK$17:$BB$17,0))*INDEX($10:$13,MATCH($O559,$R$10:$R$13,0),COLUMN())</f>
        <v>7.9478687592E-7</v>
      </c>
      <c r="AV559" s="1050" cm="1">
        <f t="array" aca="1" ref="AV559" ca="1">INDEX(OFFSET($AK$19,MATCH($B559,$B$19:$B$150,0)-1,0,COUNTA($B$19:$B$24),COUNTA($AK$17:$BB$17)),MATCH($F559,$F$19:$F$24,0),MATCH(AV$17,$AK$17:$BB$17,0))*INDEX($10:$13,MATCH($O559,$R$10:$R$13,0),COLUMN())</f>
        <v>1.9806755760000001E-4</v>
      </c>
      <c r="AW559" s="1050" cm="1">
        <f t="array" aca="1" ref="AW559" ca="1">INDEX(OFFSET($AK$19,MATCH($B559,$B$19:$B$150,0)-1,0,COUNTA($B$19:$B$24),COUNTA($AK$17:$BB$17)),MATCH($F559,$F$19:$F$24,0),MATCH(AW$17,$AK$17:$BB$17,0))*INDEX($10:$13,MATCH($O559,$R$10:$R$13,0),COLUMN())</f>
        <v>0.88682093350000013</v>
      </c>
      <c r="AX559" s="1050" cm="1">
        <f t="array" aca="1" ref="AX559" ca="1">INDEX(OFFSET($AK$19,MATCH($B559,$B$19:$B$150,0)-1,0,COUNTA($B$19:$B$24),COUNTA($AK$17:$BB$17)),MATCH($F559,$F$19:$F$24,0),MATCH(AX$17,$AK$17:$BB$17,0))*INDEX($10:$13,MATCH($O559,$R$10:$R$13,0),COLUMN())</f>
        <v>2.7251042639999999E-7</v>
      </c>
      <c r="AY559" s="1050" cm="1">
        <f t="array" aca="1" ref="AY559" ca="1">INDEX(OFFSET($AK$19,MATCH($B559,$B$19:$B$150,0)-1,0,COUNTA($B$19:$B$24),COUNTA($AK$17:$BB$17)),MATCH($F559,$F$19:$F$24,0),MATCH(AY$17,$AK$17:$BB$17,0))*INDEX($10:$13,MATCH($O559,$R$10:$R$13,0),COLUMN())</f>
        <v>-7.0232977218750006E-9</v>
      </c>
      <c r="AZ559" s="1050" cm="1">
        <f t="array" aca="1" ref="AZ559" ca="1">INDEX(OFFSET($AK$19,MATCH($B559,$B$19:$B$150,0)-1,0,COUNTA($B$19:$B$24),COUNTA($AK$17:$BB$17)),MATCH($F559,$F$19:$F$24,0),MATCH(AZ$17,$AK$17:$BB$17,0))*INDEX($10:$13,MATCH($O559,$R$10:$R$13,0),COLUMN())</f>
        <v>0</v>
      </c>
      <c r="BA559" s="1050" cm="1">
        <f t="array" aca="1" ref="BA559" ca="1">INDEX(OFFSET($AK$19,MATCH($B559,$B$19:$B$150,0)-1,0,COUNTA($B$19:$B$24),COUNTA($AK$17:$BB$17)),MATCH($F559,$F$19:$F$24,0),MATCH(BA$17,$AK$17:$BB$17,0))*INDEX($10:$13,MATCH($O559,$R$10:$R$13,0),COLUMN())</f>
        <v>0</v>
      </c>
      <c r="BB559" s="1051" cm="1">
        <f t="array" aca="1" ref="BB559" ca="1">INDEX(OFFSET($AK$19,MATCH($B559,$B$19:$B$150,0)-1,0,COUNTA($B$19:$B$24),COUNTA($AK$17:$BB$17)),MATCH($F559,$F$19:$F$24,0),MATCH(BB$17,$AK$17:$BB$17,0))*INDEX($10:$13,MATCH($O559,$R$10:$R$13,0),COLUMN())</f>
        <v>0</v>
      </c>
      <c r="BC559" s="1053">
        <f t="shared" ca="1" si="185"/>
        <v>0.88682119898712886</v>
      </c>
      <c r="BE559" s="1"/>
      <c r="BF559" s="1"/>
      <c r="BG559" s="1"/>
      <c r="BH559" s="1"/>
      <c r="BI559" s="1"/>
      <c r="BJ559" s="1"/>
      <c r="BK559" s="1"/>
      <c r="BL559" s="1"/>
      <c r="BM559" s="1"/>
      <c r="BN559" s="1"/>
      <c r="BO559" s="1"/>
      <c r="BP559" s="1"/>
      <c r="BQ559" s="1"/>
      <c r="BR559" s="1"/>
      <c r="BS559" s="1"/>
      <c r="BT559" s="1"/>
      <c r="BU559" s="1"/>
      <c r="BV559" s="1"/>
      <c r="BW559" s="1"/>
      <c r="BX559" s="1"/>
      <c r="BY559" s="1"/>
      <c r="BZ559" s="1"/>
    </row>
    <row r="560" spans="2:78" ht="12" customHeight="1" outlineLevel="1" x14ac:dyDescent="0.25">
      <c r="B560" s="104" t="s">
        <v>97</v>
      </c>
      <c r="C560" s="104" t="s">
        <v>121</v>
      </c>
      <c r="D560" s="2" t="s">
        <v>132</v>
      </c>
      <c r="E560" s="2" t="s">
        <v>134</v>
      </c>
      <c r="F560" s="105" t="s">
        <v>96</v>
      </c>
      <c r="G560" s="27" t="s">
        <v>1582</v>
      </c>
      <c r="H560" s="106" t="s">
        <v>128</v>
      </c>
      <c r="I560" s="107" t="s">
        <v>1577</v>
      </c>
      <c r="J560" s="147">
        <v>4.0702721800000008</v>
      </c>
      <c r="K560" s="148">
        <v>0.46051038847432407</v>
      </c>
      <c r="L560" s="149">
        <f t="shared" ref="L560:L614" ca="1" si="186">IFERROR(N560/K560,"?")</f>
        <v>2.2805854557262029</v>
      </c>
      <c r="M560" s="148">
        <f t="shared" ref="M560:M614" ca="1" si="187">IFERROR(K560+N560,"?")</f>
        <v>1.5107436826396912</v>
      </c>
      <c r="N560" s="148">
        <f t="shared" ca="1" si="184"/>
        <v>1.0502332941653671</v>
      </c>
      <c r="O560" s="1062" t="s">
        <v>1585</v>
      </c>
      <c r="P560" s="104"/>
      <c r="R560" s="119"/>
      <c r="S560" s="1072"/>
      <c r="T560" s="1072"/>
      <c r="U560" s="1072"/>
      <c r="V560" s="1072"/>
      <c r="W560" s="1072"/>
      <c r="X560" s="1072"/>
      <c r="Y560" s="1072"/>
      <c r="Z560" s="1072"/>
      <c r="AA560" s="1072"/>
      <c r="AB560" s="1072"/>
      <c r="AC560" s="1072"/>
      <c r="AD560" s="1072"/>
      <c r="AE560" s="1072"/>
      <c r="AF560" s="1072"/>
      <c r="AG560" s="1072"/>
      <c r="AH560" s="1072"/>
      <c r="AI560" s="1072"/>
      <c r="AJ560" s="1073"/>
      <c r="AK560" s="1052" cm="1">
        <f t="array" aca="1" ref="AK560" ca="1">INDEX(OFFSET($AK$19,MATCH($B560,$B$19:$B$150,0)-1,0,COUNTA($B$19:$B$24),COUNTA($AK$17:$BB$17)),MATCH($F560,$F$19:$F$24,0),MATCH(AK$17,$AK$17:$BB$17,0))*INDEX($10:$13,MATCH($O560,$R$10:$R$13,0),COLUMN())</f>
        <v>7.0888562611007996E-2</v>
      </c>
      <c r="AL560" s="1050" cm="1">
        <f t="array" aca="1" ref="AL560" ca="1">INDEX(OFFSET($AK$19,MATCH($B560,$B$19:$B$150,0)-1,0,COUNTA($B$19:$B$24),COUNTA($AK$17:$BB$17)),MATCH($F560,$F$19:$F$24,0),MATCH(AL$17,$AK$17:$BB$17,0))*INDEX($10:$13,MATCH($O560,$R$10:$R$13,0),COLUMN())</f>
        <v>4.3984686145999998E-8</v>
      </c>
      <c r="AM560" s="1050" cm="1">
        <f t="array" aca="1" ref="AM560" ca="1">INDEX(OFFSET($AK$19,MATCH($B560,$B$19:$B$150,0)-1,0,COUNTA($B$19:$B$24),COUNTA($AK$17:$BB$17)),MATCH($F560,$F$19:$F$24,0),MATCH(AM$17,$AK$17:$BB$17,0))*INDEX($10:$13,MATCH($O560,$R$10:$R$13,0),COLUMN())</f>
        <v>7.0357151799999997E-5</v>
      </c>
      <c r="AN560" s="1050" cm="1">
        <f t="array" aca="1" ref="AN560" ca="1">INDEX(OFFSET($AK$19,MATCH($B560,$B$19:$B$150,0)-1,0,COUNTA($B$19:$B$24),COUNTA($AK$17:$BB$17)),MATCH($F560,$F$19:$F$24,0),MATCH(AN$17,$AK$17:$BB$17,0))*INDEX($10:$13,MATCH($O560,$R$10:$R$13,0),COLUMN())</f>
        <v>1.0529935256000001E-3</v>
      </c>
      <c r="AO560" s="1050" cm="1">
        <f t="array" aca="1" ref="AO560" ca="1">INDEX(OFFSET($AK$19,MATCH($B560,$B$19:$B$150,0)-1,0,COUNTA($B$19:$B$24),COUNTA($AK$17:$BB$17)),MATCH($F560,$F$19:$F$24,0),MATCH(AO$17,$AK$17:$BB$17,0))*INDEX($10:$13,MATCH($O560,$R$10:$R$13,0),COLUMN())</f>
        <v>4.4359620319999994E-2</v>
      </c>
      <c r="AP560" s="1050" cm="1">
        <f t="array" aca="1" ref="AP560" ca="1">INDEX(OFFSET($AK$19,MATCH($B560,$B$19:$B$150,0)-1,0,COUNTA($B$19:$B$24),COUNTA($AK$17:$BB$17)),MATCH($F560,$F$19:$F$24,0),MATCH(AP$17,$AK$17:$BB$17,0))*INDEX($10:$13,MATCH($O560,$R$10:$R$13,0),COLUMN())</f>
        <v>2.6961068136000001E-2</v>
      </c>
      <c r="AQ560" s="1050" cm="1">
        <f t="array" aca="1" ref="AQ560" ca="1">INDEX(OFFSET($AK$19,MATCH($B560,$B$19:$B$150,0)-1,0,COUNTA($B$19:$B$24),COUNTA($AK$17:$BB$17)),MATCH($F560,$F$19:$F$24,0),MATCH(AQ$17,$AK$17:$BB$17,0))*INDEX($10:$13,MATCH($O560,$R$10:$R$13,0),COLUMN())</f>
        <v>2.0800600283999999E-4</v>
      </c>
      <c r="AR560" s="1050" cm="1">
        <f t="array" aca="1" ref="AR560" ca="1">INDEX(OFFSET($AK$19,MATCH($B560,$B$19:$B$150,0)-1,0,COUNTA($B$19:$B$24),COUNTA($AK$17:$BB$17)),MATCH($F560,$F$19:$F$24,0),MATCH(AR$17,$AK$17:$BB$17,0))*INDEX($10:$13,MATCH($O560,$R$10:$R$13,0),COLUMN())</f>
        <v>1.5067559073000001E-2</v>
      </c>
      <c r="AS560" s="1050" cm="1">
        <f t="array" aca="1" ref="AS560" ca="1">INDEX(OFFSET($AK$19,MATCH($B560,$B$19:$B$150,0)-1,0,COUNTA($B$19:$B$24),COUNTA($AK$17:$BB$17)),MATCH($F560,$F$19:$F$24,0),MATCH(AS$17,$AK$17:$BB$17,0))*INDEX($10:$13,MATCH($O560,$R$10:$R$13,0),COLUMN())</f>
        <v>2.6891772619999999E-3</v>
      </c>
      <c r="AT560" s="1050" cm="1">
        <f t="array" aca="1" ref="AT560" ca="1">INDEX(OFFSET($AK$19,MATCH($B560,$B$19:$B$150,0)-1,0,COUNTA($B$19:$B$24),COUNTA($AK$17:$BB$17)),MATCH($F560,$F$19:$F$24,0),MATCH(AT$17,$AK$17:$BB$17,0))*INDEX($10:$13,MATCH($O560,$R$10:$R$13,0),COLUMN())</f>
        <v>4.5468611799999998E-6</v>
      </c>
      <c r="AU560" s="1050" cm="1">
        <f t="array" aca="1" ref="AU560" ca="1">INDEX(OFFSET($AK$19,MATCH($B560,$B$19:$B$150,0)-1,0,COUNTA($B$19:$B$24),COUNTA($AK$17:$BB$17)),MATCH($F560,$F$19:$F$24,0),MATCH(AU$17,$AK$17:$BB$17,0))*INDEX($10:$13,MATCH($O560,$R$10:$R$13,0),COLUMN())</f>
        <v>8.6445912420000015E-7</v>
      </c>
      <c r="AV560" s="1050" cm="1">
        <f t="array" aca="1" ref="AV560" ca="1">INDEX(OFFSET($AK$19,MATCH($B560,$B$19:$B$150,0)-1,0,COUNTA($B$19:$B$24),COUNTA($AK$17:$BB$17)),MATCH($F560,$F$19:$F$24,0),MATCH(AV$17,$AK$17:$BB$17,0))*INDEX($10:$13,MATCH($O560,$R$10:$R$13,0),COLUMN())</f>
        <v>2.1092957910000001E-3</v>
      </c>
      <c r="AW560" s="1050" cm="1">
        <f t="array" aca="1" ref="AW560" ca="1">INDEX(OFFSET($AK$19,MATCH($B560,$B$19:$B$150,0)-1,0,COUNTA($B$19:$B$24),COUNTA($AK$17:$BB$17)),MATCH($F560,$F$19:$F$24,0),MATCH(AW$17,$AK$17:$BB$17,0))*INDEX($10:$13,MATCH($O560,$R$10:$R$13,0),COLUMN())</f>
        <v>0.88682093350000013</v>
      </c>
      <c r="AX560" s="1050" cm="1">
        <f t="array" aca="1" ref="AX560" ca="1">INDEX(OFFSET($AK$19,MATCH($B560,$B$19:$B$150,0)-1,0,COUNTA($B$19:$B$24),COUNTA($AK$17:$BB$17)),MATCH($F560,$F$19:$F$24,0),MATCH(AX$17,$AK$17:$BB$17,0))*INDEX($10:$13,MATCH($O560,$R$10:$R$13,0),COLUMN())</f>
        <v>2.7251042639999999E-7</v>
      </c>
      <c r="AY560" s="1050" cm="1">
        <f t="array" aca="1" ref="AY560" ca="1">INDEX(OFFSET($AK$19,MATCH($B560,$B$19:$B$150,0)-1,0,COUNTA($B$19:$B$24),COUNTA($AK$17:$BB$17)),MATCH($F560,$F$19:$F$24,0),MATCH(AY$17,$AK$17:$BB$17,0))*INDEX($10:$13,MATCH($O560,$R$10:$R$13,0),COLUMN())</f>
        <v>-7.0232977218750006E-9</v>
      </c>
      <c r="AZ560" s="1050" cm="1">
        <f t="array" aca="1" ref="AZ560" ca="1">INDEX(OFFSET($AK$19,MATCH($B560,$B$19:$B$150,0)-1,0,COUNTA($B$19:$B$24),COUNTA($AK$17:$BB$17)),MATCH($F560,$F$19:$F$24,0),MATCH(AZ$17,$AK$17:$BB$17,0))*INDEX($10:$13,MATCH($O560,$R$10:$R$13,0),COLUMN())</f>
        <v>0</v>
      </c>
      <c r="BA560" s="1050" cm="1">
        <f t="array" aca="1" ref="BA560" ca="1">INDEX(OFFSET($AK$19,MATCH($B560,$B$19:$B$150,0)-1,0,COUNTA($B$19:$B$24),COUNTA($AK$17:$BB$17)),MATCH($F560,$F$19:$F$24,0),MATCH(BA$17,$AK$17:$BB$17,0))*INDEX($10:$13,MATCH($O560,$R$10:$R$13,0),COLUMN())</f>
        <v>0</v>
      </c>
      <c r="BB560" s="1051" cm="1">
        <f t="array" aca="1" ref="BB560" ca="1">INDEX(OFFSET($AK$19,MATCH($B560,$B$19:$B$150,0)-1,0,COUNTA($B$19:$B$24),COUNTA($AK$17:$BB$17)),MATCH($F560,$F$19:$F$24,0),MATCH(BB$17,$AK$17:$BB$17,0))*INDEX($10:$13,MATCH($O560,$R$10:$R$13,0),COLUMN())</f>
        <v>0</v>
      </c>
      <c r="BC560" s="1053">
        <f t="shared" ca="1" si="185"/>
        <v>0.88682119898712886</v>
      </c>
      <c r="BE560" s="1"/>
      <c r="BF560" s="1"/>
      <c r="BG560" s="1"/>
      <c r="BH560" s="1"/>
      <c r="BI560" s="1"/>
      <c r="BJ560" s="1"/>
      <c r="BK560" s="1"/>
      <c r="BL560" s="1"/>
      <c r="BM560" s="1"/>
      <c r="BN560" s="1"/>
      <c r="BO560" s="1"/>
      <c r="BP560" s="1"/>
      <c r="BQ560" s="1"/>
      <c r="BR560" s="1"/>
      <c r="BS560" s="1"/>
      <c r="BT560" s="1"/>
      <c r="BU560" s="1"/>
      <c r="BV560" s="1"/>
      <c r="BW560" s="1"/>
      <c r="BX560" s="1"/>
      <c r="BY560" s="1"/>
      <c r="BZ560" s="1"/>
    </row>
    <row r="561" spans="2:78" ht="12" customHeight="1" outlineLevel="1" x14ac:dyDescent="0.25">
      <c r="B561" s="88" t="s">
        <v>98</v>
      </c>
      <c r="C561" s="88" t="s">
        <v>121</v>
      </c>
      <c r="D561" s="89" t="s">
        <v>132</v>
      </c>
      <c r="E561" s="89" t="s">
        <v>98</v>
      </c>
      <c r="F561" s="90" t="s">
        <v>92</v>
      </c>
      <c r="G561" s="18" t="s">
        <v>126</v>
      </c>
      <c r="H561" s="91" t="s">
        <v>127</v>
      </c>
      <c r="I561" s="92" t="s">
        <v>127</v>
      </c>
      <c r="J561" s="142">
        <v>3.8217059399999997</v>
      </c>
      <c r="K561" s="143">
        <v>0.18564647389881783</v>
      </c>
      <c r="L561" s="144">
        <f t="shared" ca="1" si="186"/>
        <v>9.6776861271501762</v>
      </c>
      <c r="M561" s="143">
        <f t="shared" ca="1" si="187"/>
        <v>1.9822747789037547</v>
      </c>
      <c r="N561" s="143">
        <f t="shared" ca="1" si="184"/>
        <v>1.7966283050049368</v>
      </c>
      <c r="O561" s="1063" t="s">
        <v>1585</v>
      </c>
      <c r="P561" s="88"/>
      <c r="Q561" s="89"/>
      <c r="R561" s="150"/>
      <c r="S561" s="1070"/>
      <c r="T561" s="1070"/>
      <c r="U561" s="1070"/>
      <c r="V561" s="1070"/>
      <c r="W561" s="1070"/>
      <c r="X561" s="1070"/>
      <c r="Y561" s="1070"/>
      <c r="Z561" s="1070"/>
      <c r="AA561" s="1070"/>
      <c r="AB561" s="1070"/>
      <c r="AC561" s="1070"/>
      <c r="AD561" s="1070"/>
      <c r="AE561" s="1070"/>
      <c r="AF561" s="1070"/>
      <c r="AG561" s="1070"/>
      <c r="AH561" s="1070"/>
      <c r="AI561" s="1070"/>
      <c r="AJ561" s="1071"/>
      <c r="AK561" s="1048" cm="1">
        <f t="array" aca="1" ref="AK561" ca="1">INDEX(OFFSET($AK$19,MATCH($B561,$B$19:$B$150,0)-1,0,COUNTA($B$19:$B$24),COUNTA($AK$17:$BB$17)),MATCH($F561,$F$19:$F$24,0),MATCH(AK$17,$AK$17:$BB$17,0))*INDEX($10:$13,MATCH($O561,$R$10:$R$13,0),COLUMN())</f>
        <v>0.17718146741510399</v>
      </c>
      <c r="AL561" s="1046" cm="1">
        <f t="array" aca="1" ref="AL561" ca="1">INDEX(OFFSET($AK$19,MATCH($B561,$B$19:$B$150,0)-1,0,COUNTA($B$19:$B$24),COUNTA($AK$17:$BB$17)),MATCH($F561,$F$19:$F$24,0),MATCH(AL$17,$AK$17:$BB$17,0))*INDEX($10:$13,MATCH($O561,$R$10:$R$13,0),COLUMN())</f>
        <v>1.144071623E-7</v>
      </c>
      <c r="AM561" s="1046" cm="1">
        <f t="array" aca="1" ref="AM561" ca="1">INDEX(OFFSET($AK$19,MATCH($B561,$B$19:$B$150,0)-1,0,COUNTA($B$19:$B$24),COUNTA($AK$17:$BB$17)),MATCH($F561,$F$19:$F$24,0),MATCH(AM$17,$AK$17:$BB$17,0))*INDEX($10:$13,MATCH($O561,$R$10:$R$13,0),COLUMN())</f>
        <v>1.8656932034000001E-4</v>
      </c>
      <c r="AN561" s="1046" cm="1">
        <f t="array" aca="1" ref="AN561" ca="1">INDEX(OFFSET($AK$19,MATCH($B561,$B$19:$B$150,0)-1,0,COUNTA($B$19:$B$24),COUNTA($AK$17:$BB$17)),MATCH($F561,$F$19:$F$24,0),MATCH(AN$17,$AK$17:$BB$17,0))*INDEX($10:$13,MATCH($O561,$R$10:$R$13,0),COLUMN())</f>
        <v>1.4657601184000001E-3</v>
      </c>
      <c r="AO561" s="1046" cm="1">
        <f t="array" aca="1" ref="AO561" ca="1">INDEX(OFFSET($AK$19,MATCH($B561,$B$19:$B$150,0)-1,0,COUNTA($B$19:$B$24),COUNTA($AK$17:$BB$17)),MATCH($F561,$F$19:$F$24,0),MATCH(AO$17,$AK$17:$BB$17,0))*INDEX($10:$13,MATCH($O561,$R$10:$R$13,0),COLUMN())</f>
        <v>7.6250645160000005E-2</v>
      </c>
      <c r="AP561" s="1046" cm="1">
        <f t="array" aca="1" ref="AP561" ca="1">INDEX(OFFSET($AK$19,MATCH($B561,$B$19:$B$150,0)-1,0,COUNTA($B$19:$B$24),COUNTA($AK$17:$BB$17)),MATCH($F561,$F$19:$F$24,0),MATCH(AP$17,$AK$17:$BB$17,0))*INDEX($10:$13,MATCH($O561,$R$10:$R$13,0),COLUMN())</f>
        <v>4.7617982992000006E-2</v>
      </c>
      <c r="AQ561" s="1046" cm="1">
        <f t="array" aca="1" ref="AQ561" ca="1">INDEX(OFFSET($AK$19,MATCH($B561,$B$19:$B$150,0)-1,0,COUNTA($B$19:$B$24),COUNTA($AK$17:$BB$17)),MATCH($F561,$F$19:$F$24,0),MATCH(AQ$17,$AK$17:$BB$17,0))*INDEX($10:$13,MATCH($O561,$R$10:$R$13,0),COLUMN())</f>
        <v>3.7198430680000002E-4</v>
      </c>
      <c r="AR561" s="1046" cm="1">
        <f t="array" aca="1" ref="AR561" ca="1">INDEX(OFFSET($AK$19,MATCH($B561,$B$19:$B$150,0)-1,0,COUNTA($B$19:$B$24),COUNTA($AK$17:$BB$17)),MATCH($F561,$F$19:$F$24,0),MATCH(AR$17,$AK$17:$BB$17,0))*INDEX($10:$13,MATCH($O561,$R$10:$R$13,0),COLUMN())</f>
        <v>2.7830454200999999E-2</v>
      </c>
      <c r="AS561" s="1046" cm="1">
        <f t="array" aca="1" ref="AS561" ca="1">INDEX(OFFSET($AK$19,MATCH($B561,$B$19:$B$150,0)-1,0,COUNTA($B$19:$B$24),COUNTA($AK$17:$BB$17)),MATCH($F561,$F$19:$F$24,0),MATCH(AS$17,$AK$17:$BB$17,0))*INDEX($10:$13,MATCH($O561,$R$10:$R$13,0),COLUMN())</f>
        <v>0.1491634553</v>
      </c>
      <c r="AT561" s="1046" cm="1">
        <f t="array" aca="1" ref="AT561" ca="1">INDEX(OFFSET($AK$19,MATCH($B561,$B$19:$B$150,0)-1,0,COUNTA($B$19:$B$24),COUNTA($AK$17:$BB$17)),MATCH($F561,$F$19:$F$24,0),MATCH(AT$17,$AK$17:$BB$17,0))*INDEX($10:$13,MATCH($O561,$R$10:$R$13,0),COLUMN())</f>
        <v>1.6691855647000002E-4</v>
      </c>
      <c r="AU561" s="1046" cm="1">
        <f t="array" aca="1" ref="AU561" ca="1">INDEX(OFFSET($AK$19,MATCH($B561,$B$19:$B$150,0)-1,0,COUNTA($B$19:$B$24),COUNTA($AK$17:$BB$17)),MATCH($F561,$F$19:$F$24,0),MATCH(AU$17,$AK$17:$BB$17,0))*INDEX($10:$13,MATCH($O561,$R$10:$R$13,0),COLUMN())</f>
        <v>9.5668790310000005E-6</v>
      </c>
      <c r="AV561" s="1046" cm="1">
        <f t="array" aca="1" ref="AV561" ca="1">INDEX(OFFSET($AK$19,MATCH($B561,$B$19:$B$150,0)-1,0,COUNTA($B$19:$B$24),COUNTA($AK$17:$BB$17)),MATCH($F561,$F$19:$F$24,0),MATCH(AV$17,$AK$17:$BB$17,0))*INDEX($10:$13,MATCH($O561,$R$10:$R$13,0),COLUMN())</f>
        <v>1.1144178809999999E-2</v>
      </c>
      <c r="AW561" s="1046" cm="1">
        <f t="array" aca="1" ref="AW561" ca="1">INDEX(OFFSET($AK$19,MATCH($B561,$B$19:$B$150,0)-1,0,COUNTA($B$19:$B$24),COUNTA($AK$17:$BB$17)),MATCH($F561,$F$19:$F$24,0),MATCH(AW$17,$AK$17:$BB$17,0))*INDEX($10:$13,MATCH($O561,$R$10:$R$13,0),COLUMN())</f>
        <v>1.3052373600000002</v>
      </c>
      <c r="AX561" s="1046" cm="1">
        <f t="array" aca="1" ref="AX561" ca="1">INDEX(OFFSET($AK$19,MATCH($B561,$B$19:$B$150,0)-1,0,COUNTA($B$19:$B$24),COUNTA($AK$17:$BB$17)),MATCH($F561,$F$19:$F$24,0),MATCH(AX$17,$AK$17:$BB$17,0))*INDEX($10:$13,MATCH($O561,$R$10:$R$13,0),COLUMN())</f>
        <v>1.8978349700000001E-6</v>
      </c>
      <c r="AY561" s="1046" cm="1">
        <f t="array" aca="1" ref="AY561" ca="1">INDEX(OFFSET($AK$19,MATCH($B561,$B$19:$B$150,0)-1,0,COUNTA($B$19:$B$24),COUNTA($AK$17:$BB$17)),MATCH($F561,$F$19:$F$24,0),MATCH(AY$17,$AK$17:$BB$17,0))*INDEX($10:$13,MATCH($O561,$R$10:$R$13,0),COLUMN())</f>
        <v>-5.0296340775000006E-8</v>
      </c>
      <c r="AZ561" s="1046" cm="1">
        <f t="array" aca="1" ref="AZ561" ca="1">INDEX(OFFSET($AK$19,MATCH($B561,$B$19:$B$150,0)-1,0,COUNTA($B$19:$B$24),COUNTA($AK$17:$BB$17)),MATCH($F561,$F$19:$F$24,0),MATCH(AZ$17,$AK$17:$BB$17,0))*INDEX($10:$13,MATCH($O561,$R$10:$R$13,0),COLUMN())</f>
        <v>0</v>
      </c>
      <c r="BA561" s="1046" cm="1">
        <f t="array" aca="1" ref="BA561" ca="1">INDEX(OFFSET($AK$19,MATCH($B561,$B$19:$B$150,0)-1,0,COUNTA($B$19:$B$24),COUNTA($AK$17:$BB$17)),MATCH($F561,$F$19:$F$24,0),MATCH(BA$17,$AK$17:$BB$17,0))*INDEX($10:$13,MATCH($O561,$R$10:$R$13,0),COLUMN())</f>
        <v>0</v>
      </c>
      <c r="BB561" s="1047" cm="1">
        <f t="array" aca="1" ref="BB561" ca="1">INDEX(OFFSET($AK$19,MATCH($B561,$B$19:$B$150,0)-1,0,COUNTA($B$19:$B$24),COUNTA($AK$17:$BB$17)),MATCH($F561,$F$19:$F$24,0),MATCH(BB$17,$AK$17:$BB$17,0))*INDEX($10:$13,MATCH($O561,$R$10:$R$13,0),COLUMN())</f>
        <v>0</v>
      </c>
      <c r="BC561" s="1049">
        <f t="shared" ca="1" si="185"/>
        <v>1.3052392075386294</v>
      </c>
      <c r="BE561" s="1"/>
      <c r="BF561" s="1"/>
      <c r="BG561" s="1"/>
      <c r="BH561" s="1"/>
      <c r="BI561" s="1"/>
      <c r="BJ561" s="1"/>
      <c r="BK561" s="1"/>
      <c r="BL561" s="1"/>
      <c r="BM561" s="1"/>
      <c r="BN561" s="1"/>
      <c r="BO561" s="1"/>
      <c r="BP561" s="1"/>
      <c r="BQ561" s="1"/>
      <c r="BR561" s="1"/>
      <c r="BS561" s="1"/>
      <c r="BT561" s="1"/>
      <c r="BU561" s="1"/>
      <c r="BV561" s="1"/>
      <c r="BW561" s="1"/>
      <c r="BX561" s="1"/>
      <c r="BY561" s="1"/>
      <c r="BZ561" s="1"/>
    </row>
    <row r="562" spans="2:78" ht="12" customHeight="1" outlineLevel="1" x14ac:dyDescent="0.25">
      <c r="B562" s="104" t="s">
        <v>98</v>
      </c>
      <c r="C562" s="104" t="s">
        <v>121</v>
      </c>
      <c r="D562" s="2" t="s">
        <v>132</v>
      </c>
      <c r="E562" s="2" t="s">
        <v>98</v>
      </c>
      <c r="F562" s="105" t="s">
        <v>122</v>
      </c>
      <c r="G562" s="27" t="s">
        <v>1579</v>
      </c>
      <c r="H562" s="106" t="s">
        <v>128</v>
      </c>
      <c r="I562" s="107" t="s">
        <v>129</v>
      </c>
      <c r="J562" s="147">
        <v>3.8217059399999997</v>
      </c>
      <c r="K562" s="148">
        <v>0.37645999999999996</v>
      </c>
      <c r="L562" s="149">
        <f t="shared" ca="1" si="186"/>
        <v>3.8198012833271293</v>
      </c>
      <c r="M562" s="148">
        <f t="shared" ca="1" si="187"/>
        <v>1.8144623911213309</v>
      </c>
      <c r="N562" s="148">
        <f t="shared" ca="1" si="184"/>
        <v>1.4380023911213309</v>
      </c>
      <c r="O562" s="1062" t="s">
        <v>1585</v>
      </c>
      <c r="P562" s="104"/>
      <c r="R562" s="119"/>
      <c r="S562" s="1072"/>
      <c r="T562" s="1072"/>
      <c r="U562" s="1072"/>
      <c r="V562" s="1072"/>
      <c r="W562" s="1072"/>
      <c r="X562" s="1072"/>
      <c r="Y562" s="1072"/>
      <c r="Z562" s="1072"/>
      <c r="AA562" s="1072"/>
      <c r="AB562" s="1072"/>
      <c r="AC562" s="1072"/>
      <c r="AD562" s="1072"/>
      <c r="AE562" s="1072"/>
      <c r="AF562" s="1072"/>
      <c r="AG562" s="1072"/>
      <c r="AH562" s="1072"/>
      <c r="AI562" s="1072"/>
      <c r="AJ562" s="1073"/>
      <c r="AK562" s="1052" cm="1">
        <f t="array" aca="1" ref="AK562" ca="1">INDEX(OFFSET($AK$19,MATCH($B562,$B$19:$B$150,0)-1,0,COUNTA($B$19:$B$24),COUNTA($AK$17:$BB$17)),MATCH($F562,$F$19:$F$24,0),MATCH(AK$17,$AK$17:$BB$17,0))*INDEX($10:$13,MATCH($O562,$R$10:$R$13,0),COLUMN())</f>
        <v>6.5315806903487997E-2</v>
      </c>
      <c r="AL562" s="1050" cm="1">
        <f t="array" aca="1" ref="AL562" ca="1">INDEX(OFFSET($AK$19,MATCH($B562,$B$19:$B$150,0)-1,0,COUNTA($B$19:$B$24),COUNTA($AK$17:$BB$17)),MATCH($F562,$F$19:$F$24,0),MATCH(AL$17,$AK$17:$BB$17,0))*INDEX($10:$13,MATCH($O562,$R$10:$R$13,0),COLUMN())</f>
        <v>6.2338282340000007E-8</v>
      </c>
      <c r="AM562" s="1050" cm="1">
        <f t="array" aca="1" ref="AM562" ca="1">INDEX(OFFSET($AK$19,MATCH($B562,$B$19:$B$150,0)-1,0,COUNTA($B$19:$B$24),COUNTA($AK$17:$BB$17)),MATCH($F562,$F$19:$F$24,0),MATCH(AM$17,$AK$17:$BB$17,0))*INDEX($10:$13,MATCH($O562,$R$10:$R$13,0),COLUMN())</f>
        <v>9.9719854779999994E-5</v>
      </c>
      <c r="AN562" s="1050" cm="1">
        <f t="array" aca="1" ref="AN562" ca="1">INDEX(OFFSET($AK$19,MATCH($B562,$B$19:$B$150,0)-1,0,COUNTA($B$19:$B$24),COUNTA($AK$17:$BB$17)),MATCH($F562,$F$19:$F$24,0),MATCH(AN$17,$AK$17:$BB$17,0))*INDEX($10:$13,MATCH($O562,$R$10:$R$13,0),COLUMN())</f>
        <v>1.3711554328E-3</v>
      </c>
      <c r="AO562" s="1050" cm="1">
        <f t="array" aca="1" ref="AO562" ca="1">INDEX(OFFSET($AK$19,MATCH($B562,$B$19:$B$150,0)-1,0,COUNTA($B$19:$B$24),COUNTA($AK$17:$BB$17)),MATCH($F562,$F$19:$F$24,0),MATCH(AO$17,$AK$17:$BB$17,0))*INDEX($10:$13,MATCH($O562,$R$10:$R$13,0),COLUMN())</f>
        <v>1.9983865479999998E-2</v>
      </c>
      <c r="AP562" s="1050" cm="1">
        <f t="array" aca="1" ref="AP562" ca="1">INDEX(OFFSET($AK$19,MATCH($B562,$B$19:$B$150,0)-1,0,COUNTA($B$19:$B$24),COUNTA($AK$17:$BB$17)),MATCH($F562,$F$19:$F$24,0),MATCH(AP$17,$AK$17:$BB$17,0))*INDEX($10:$13,MATCH($O562,$R$10:$R$13,0),COLUMN())</f>
        <v>7.8666415600000001E-3</v>
      </c>
      <c r="AQ562" s="1050" cm="1">
        <f t="array" aca="1" ref="AQ562" ca="1">INDEX(OFFSET($AK$19,MATCH($B562,$B$19:$B$150,0)-1,0,COUNTA($B$19:$B$24),COUNTA($AK$17:$BB$17)),MATCH($F562,$F$19:$F$24,0),MATCH(AQ$17,$AK$17:$BB$17,0))*INDEX($10:$13,MATCH($O562,$R$10:$R$13,0),COLUMN())</f>
        <v>5.1575114019999998E-5</v>
      </c>
      <c r="AR562" s="1050" cm="1">
        <f t="array" aca="1" ref="AR562" ca="1">INDEX(OFFSET($AK$19,MATCH($B562,$B$19:$B$150,0)-1,0,COUNTA($B$19:$B$24),COUNTA($AK$17:$BB$17)),MATCH($F562,$F$19:$F$24,0),MATCH(AR$17,$AK$17:$BB$17,0))*INDEX($10:$13,MATCH($O562,$R$10:$R$13,0),COLUMN())</f>
        <v>8.7505749669999997E-3</v>
      </c>
      <c r="AS562" s="1050" cm="1">
        <f t="array" aca="1" ref="AS562" ca="1">INDEX(OFFSET($AK$19,MATCH($B562,$B$19:$B$150,0)-1,0,COUNTA($B$19:$B$24),COUNTA($AK$17:$BB$17)),MATCH($F562,$F$19:$F$24,0),MATCH(AS$17,$AK$17:$BB$17,0))*INDEX($10:$13,MATCH($O562,$R$10:$R$13,0),COLUMN())</f>
        <v>1.1474418659999999E-4</v>
      </c>
      <c r="AT562" s="1050" cm="1">
        <f t="array" aca="1" ref="AT562" ca="1">INDEX(OFFSET($AK$19,MATCH($B562,$B$19:$B$150,0)-1,0,COUNTA($B$19:$B$24),COUNTA($AK$17:$BB$17)),MATCH($F562,$F$19:$F$24,0),MATCH(AT$17,$AK$17:$BB$17,0))*INDEX($10:$13,MATCH($O562,$R$10:$R$13,0),COLUMN())</f>
        <v>4.3889094700000003E-6</v>
      </c>
      <c r="AU562" s="1050" cm="1">
        <f t="array" aca="1" ref="AU562" ca="1">INDEX(OFFSET($AK$19,MATCH($B562,$B$19:$B$150,0)-1,0,COUNTA($B$19:$B$24),COUNTA($AK$17:$BB$17)),MATCH($F562,$F$19:$F$24,0),MATCH(AU$17,$AK$17:$BB$17,0))*INDEX($10:$13,MATCH($O562,$R$10:$R$13,0),COLUMN())</f>
        <v>9.3052018620000013E-7</v>
      </c>
      <c r="AV562" s="1050" cm="1">
        <f t="array" aca="1" ref="AV562" ca="1">INDEX(OFFSET($AK$19,MATCH($B562,$B$19:$B$150,0)-1,0,COUNTA($B$19:$B$24),COUNTA($AK$17:$BB$17)),MATCH($F562,$F$19:$F$24,0),MATCH(AV$17,$AK$17:$BB$17,0))*INDEX($10:$13,MATCH($O562,$R$10:$R$13,0),COLUMN())</f>
        <v>1.1086090829999999E-3</v>
      </c>
      <c r="AW562" s="1050" cm="1">
        <f t="array" aca="1" ref="AW562" ca="1">INDEX(OFFSET($AK$19,MATCH($B562,$B$19:$B$150,0)-1,0,COUNTA($B$19:$B$24),COUNTA($AK$17:$BB$17)),MATCH($F562,$F$19:$F$24,0),MATCH(AW$17,$AK$17:$BB$17,0))*INDEX($10:$13,MATCH($O562,$R$10:$R$13,0),COLUMN())</f>
        <v>1.3333339365000001</v>
      </c>
      <c r="AX562" s="1050" cm="1">
        <f t="array" aca="1" ref="AX562" ca="1">INDEX(OFFSET($AK$19,MATCH($B562,$B$19:$B$150,0)-1,0,COUNTA($B$19:$B$24),COUNTA($AK$17:$BB$17)),MATCH($F562,$F$19:$F$24,0),MATCH(AX$17,$AK$17:$BB$17,0))*INDEX($10:$13,MATCH($O562,$R$10:$R$13,0),COLUMN())</f>
        <v>3.9033155665000007E-7</v>
      </c>
      <c r="AY562" s="1050" cm="1">
        <f t="array" aca="1" ref="AY562" ca="1">INDEX(OFFSET($AK$19,MATCH($B562,$B$19:$B$150,0)-1,0,COUNTA($B$19:$B$24),COUNTA($AK$17:$BB$17)),MATCH($F562,$F$19:$F$24,0),MATCH(AY$17,$AK$17:$BB$17,0))*INDEX($10:$13,MATCH($O562,$R$10:$R$13,0),COLUMN())</f>
        <v>-1.0059852288750001E-8</v>
      </c>
      <c r="AZ562" s="1050" cm="1">
        <f t="array" aca="1" ref="AZ562" ca="1">INDEX(OFFSET($AK$19,MATCH($B562,$B$19:$B$150,0)-1,0,COUNTA($B$19:$B$24),COUNTA($AK$17:$BB$17)),MATCH($F562,$F$19:$F$24,0),MATCH(AZ$17,$AK$17:$BB$17,0))*INDEX($10:$13,MATCH($O562,$R$10:$R$13,0),COLUMN())</f>
        <v>0</v>
      </c>
      <c r="BA562" s="1050" cm="1">
        <f t="array" aca="1" ref="BA562" ca="1">INDEX(OFFSET($AK$19,MATCH($B562,$B$19:$B$150,0)-1,0,COUNTA($B$19:$B$24),COUNTA($AK$17:$BB$17)),MATCH($F562,$F$19:$F$24,0),MATCH(BA$17,$AK$17:$BB$17,0))*INDEX($10:$13,MATCH($O562,$R$10:$R$13,0),COLUMN())</f>
        <v>0</v>
      </c>
      <c r="BB562" s="1051" cm="1">
        <f t="array" aca="1" ref="BB562" ca="1">INDEX(OFFSET($AK$19,MATCH($B562,$B$19:$B$150,0)-1,0,COUNTA($B$19:$B$24),COUNTA($AK$17:$BB$17)),MATCH($F562,$F$19:$F$24,0),MATCH(BB$17,$AK$17:$BB$17,0))*INDEX($10:$13,MATCH($O562,$R$10:$R$13,0),COLUMN())</f>
        <v>0</v>
      </c>
      <c r="BC562" s="1053">
        <f t="shared" ca="1" si="185"/>
        <v>1.3333343167717044</v>
      </c>
      <c r="BE562" s="1"/>
      <c r="BF562" s="1"/>
      <c r="BG562" s="1"/>
      <c r="BH562" s="1"/>
      <c r="BI562" s="1"/>
      <c r="BJ562" s="1"/>
      <c r="BK562" s="1"/>
      <c r="BL562" s="1"/>
      <c r="BM562" s="1"/>
      <c r="BN562" s="1"/>
      <c r="BO562" s="1"/>
      <c r="BP562" s="1"/>
      <c r="BQ562" s="1"/>
      <c r="BR562" s="1"/>
      <c r="BS562" s="1"/>
      <c r="BT562" s="1"/>
      <c r="BU562" s="1"/>
      <c r="BV562" s="1"/>
      <c r="BW562" s="1"/>
      <c r="BX562" s="1"/>
      <c r="BY562" s="1"/>
      <c r="BZ562" s="1"/>
    </row>
    <row r="563" spans="2:78" ht="12" customHeight="1" outlineLevel="1" x14ac:dyDescent="0.25">
      <c r="B563" s="104" t="s">
        <v>98</v>
      </c>
      <c r="C563" s="104" t="s">
        <v>121</v>
      </c>
      <c r="D563" s="2" t="s">
        <v>132</v>
      </c>
      <c r="E563" s="2" t="s">
        <v>98</v>
      </c>
      <c r="F563" s="105" t="s">
        <v>93</v>
      </c>
      <c r="G563" s="27" t="s">
        <v>1578</v>
      </c>
      <c r="H563" s="106" t="s">
        <v>130</v>
      </c>
      <c r="I563" s="107" t="s">
        <v>129</v>
      </c>
      <c r="J563" s="147">
        <v>3.8217059399999997</v>
      </c>
      <c r="K563" s="148">
        <v>0.37645999999999996</v>
      </c>
      <c r="L563" s="149">
        <f t="shared" ca="1" si="186"/>
        <v>4.0663273170120462</v>
      </c>
      <c r="M563" s="148">
        <f t="shared" ca="1" si="187"/>
        <v>1.9072695817623548</v>
      </c>
      <c r="N563" s="148">
        <f t="shared" ca="1" si="184"/>
        <v>1.5308095817623548</v>
      </c>
      <c r="O563" s="1062" t="s">
        <v>1585</v>
      </c>
      <c r="P563" s="104"/>
      <c r="R563" s="119"/>
      <c r="S563" s="1072"/>
      <c r="T563" s="1072"/>
      <c r="U563" s="1072"/>
      <c r="V563" s="1072"/>
      <c r="W563" s="1072"/>
      <c r="X563" s="1072"/>
      <c r="Y563" s="1072"/>
      <c r="Z563" s="1072"/>
      <c r="AA563" s="1072"/>
      <c r="AB563" s="1072"/>
      <c r="AC563" s="1072"/>
      <c r="AD563" s="1072"/>
      <c r="AE563" s="1072"/>
      <c r="AF563" s="1072"/>
      <c r="AG563" s="1072"/>
      <c r="AH563" s="1072"/>
      <c r="AI563" s="1072"/>
      <c r="AJ563" s="1073"/>
      <c r="AK563" s="1052" cm="1">
        <f t="array" aca="1" ref="AK563" ca="1">INDEX(OFFSET($AK$19,MATCH($B563,$B$19:$B$150,0)-1,0,COUNTA($B$19:$B$24),COUNTA($AK$17:$BB$17)),MATCH($F563,$F$19:$F$24,0),MATCH(AK$17,$AK$17:$BB$17,0))*INDEX($10:$13,MATCH($O563,$R$10:$R$13,0),COLUMN())</f>
        <v>6.9528256222463988E-2</v>
      </c>
      <c r="AL563" s="1050" cm="1">
        <f t="array" aca="1" ref="AL563" ca="1">INDEX(OFFSET($AK$19,MATCH($B563,$B$19:$B$150,0)-1,0,COUNTA($B$19:$B$24),COUNTA($AK$17:$BB$17)),MATCH($F563,$F$19:$F$24,0),MATCH(AL$17,$AK$17:$BB$17,0))*INDEX($10:$13,MATCH($O563,$R$10:$R$13,0),COLUMN())</f>
        <v>6.6358698710000005E-8</v>
      </c>
      <c r="AM563" s="1050" cm="1">
        <f t="array" aca="1" ref="AM563" ca="1">INDEX(OFFSET($AK$19,MATCH($B563,$B$19:$B$150,0)-1,0,COUNTA($B$19:$B$24),COUNTA($AK$17:$BB$17)),MATCH($F563,$F$19:$F$24,0),MATCH(AM$17,$AK$17:$BB$17,0))*INDEX($10:$13,MATCH($O563,$R$10:$R$13,0),COLUMN())</f>
        <v>1.0615114146E-4</v>
      </c>
      <c r="AN563" s="1050" cm="1">
        <f t="array" aca="1" ref="AN563" ca="1">INDEX(OFFSET($AK$19,MATCH($B563,$B$19:$B$150,0)-1,0,COUNTA($B$19:$B$24),COUNTA($AK$17:$BB$17)),MATCH($F563,$F$19:$F$24,0),MATCH(AN$17,$AK$17:$BB$17,0))*INDEX($10:$13,MATCH($O563,$R$10:$R$13,0),COLUMN())</f>
        <v>1.4595860904000001E-3</v>
      </c>
      <c r="AO563" s="1050" cm="1">
        <f t="array" aca="1" ref="AO563" ca="1">INDEX(OFFSET($AK$19,MATCH($B563,$B$19:$B$150,0)-1,0,COUNTA($B$19:$B$24),COUNTA($AK$17:$BB$17)),MATCH($F563,$F$19:$F$24,0),MATCH(AO$17,$AK$17:$BB$17,0))*INDEX($10:$13,MATCH($O563,$R$10:$R$13,0),COLUMN())</f>
        <v>2.127269578E-2</v>
      </c>
      <c r="AP563" s="1050" cm="1">
        <f t="array" aca="1" ref="AP563" ca="1">INDEX(OFFSET($AK$19,MATCH($B563,$B$19:$B$150,0)-1,0,COUNTA($B$19:$B$24),COUNTA($AK$17:$BB$17)),MATCH($F563,$F$19:$F$24,0),MATCH(AP$17,$AK$17:$BB$17,0))*INDEX($10:$13,MATCH($O563,$R$10:$R$13,0),COLUMN())</f>
        <v>8.3739892440000008E-3</v>
      </c>
      <c r="AQ563" s="1050" cm="1">
        <f t="array" aca="1" ref="AQ563" ca="1">INDEX(OFFSET($AK$19,MATCH($B563,$B$19:$B$150,0)-1,0,COUNTA($B$19:$B$24),COUNTA($AK$17:$BB$17)),MATCH($F563,$F$19:$F$24,0),MATCH(AQ$17,$AK$17:$BB$17,0))*INDEX($10:$13,MATCH($O563,$R$10:$R$13,0),COLUMN())</f>
        <v>5.4901374989999991E-5</v>
      </c>
      <c r="AR563" s="1050" cm="1">
        <f t="array" aca="1" ref="AR563" ca="1">INDEX(OFFSET($AK$19,MATCH($B563,$B$19:$B$150,0)-1,0,COUNTA($B$19:$B$24),COUNTA($AK$17:$BB$17)),MATCH($F563,$F$19:$F$24,0),MATCH(AR$17,$AK$17:$BB$17,0))*INDEX($10:$13,MATCH($O563,$R$10:$R$13,0),COLUMN())</f>
        <v>9.3149304950000001E-3</v>
      </c>
      <c r="AS563" s="1050" cm="1">
        <f t="array" aca="1" ref="AS563" ca="1">INDEX(OFFSET($AK$19,MATCH($B563,$B$19:$B$150,0)-1,0,COUNTA($B$19:$B$24),COUNTA($AK$17:$BB$17)),MATCH($F563,$F$19:$F$24,0),MATCH(AS$17,$AK$17:$BB$17,0))*INDEX($10:$13,MATCH($O563,$R$10:$R$13,0),COLUMN())</f>
        <v>1.4013323139999999E-4</v>
      </c>
      <c r="AT563" s="1050" cm="1">
        <f t="array" aca="1" ref="AT563" ca="1">INDEX(OFFSET($AK$19,MATCH($B563,$B$19:$B$150,0)-1,0,COUNTA($B$19:$B$24),COUNTA($AK$17:$BB$17)),MATCH($F563,$F$19:$F$24,0),MATCH(AT$17,$AK$17:$BB$17,0))*INDEX($10:$13,MATCH($O563,$R$10:$R$13,0),COLUMN())</f>
        <v>4.6782442499999997E-6</v>
      </c>
      <c r="AU563" s="1050" cm="1">
        <f t="array" aca="1" ref="AU563" ca="1">INDEX(OFFSET($AK$19,MATCH($B563,$B$19:$B$150,0)-1,0,COUNTA($B$19:$B$24),COUNTA($AK$17:$BB$17)),MATCH($F563,$F$19:$F$24,0),MATCH(AU$17,$AK$17:$BB$17,0))*INDEX($10:$13,MATCH($O563,$R$10:$R$13,0),COLUMN())</f>
        <v>9.9121122360000011E-7</v>
      </c>
      <c r="AV563" s="1050" cm="1">
        <f t="array" aca="1" ref="AV563" ca="1">INDEX(OFFSET($AK$19,MATCH($B563,$B$19:$B$150,0)-1,0,COUNTA($B$19:$B$24),COUNTA($AK$17:$BB$17)),MATCH($F563,$F$19:$F$24,0),MATCH(AV$17,$AK$17:$BB$17,0))*INDEX($10:$13,MATCH($O563,$R$10:$R$13,0),COLUMN())</f>
        <v>1.2274545717000001E-3</v>
      </c>
      <c r="AW563" s="1050" cm="1">
        <f t="array" aca="1" ref="AW563" ca="1">INDEX(OFFSET($AK$19,MATCH($B563,$B$19:$B$150,0)-1,0,COUNTA($B$19:$B$24),COUNTA($AK$17:$BB$17)),MATCH($F563,$F$19:$F$24,0),MATCH(AW$17,$AK$17:$BB$17,0))*INDEX($10:$13,MATCH($O563,$R$10:$R$13,0),COLUMN())</f>
        <v>1.4193253430000001</v>
      </c>
      <c r="AX563" s="1050" cm="1">
        <f t="array" aca="1" ref="AX563" ca="1">INDEX(OFFSET($AK$19,MATCH($B563,$B$19:$B$150,0)-1,0,COUNTA($B$19:$B$24),COUNTA($AK$17:$BB$17)),MATCH($F563,$F$19:$F$24,0),MATCH(AX$17,$AK$17:$BB$17,0))*INDEX($10:$13,MATCH($O563,$R$10:$R$13,0),COLUMN())</f>
        <v>4.1550541625000002E-7</v>
      </c>
      <c r="AY563" s="1050" cm="1">
        <f t="array" aca="1" ref="AY563" ca="1">INDEX(OFFSET($AK$19,MATCH($B563,$B$19:$B$150,0)-1,0,COUNTA($B$19:$B$24),COUNTA($AK$17:$BB$17)),MATCH($F563,$F$19:$F$24,0),MATCH(AY$17,$AK$17:$BB$17,0))*INDEX($10:$13,MATCH($O563,$R$10:$R$13,0),COLUMN())</f>
        <v>-1.0708647898125E-8</v>
      </c>
      <c r="AZ563" s="1050" cm="1">
        <f t="array" aca="1" ref="AZ563" ca="1">INDEX(OFFSET($AK$19,MATCH($B563,$B$19:$B$150,0)-1,0,COUNTA($B$19:$B$24),COUNTA($AK$17:$BB$17)),MATCH($F563,$F$19:$F$24,0),MATCH(AZ$17,$AK$17:$BB$17,0))*INDEX($10:$13,MATCH($O563,$R$10:$R$13,0),COLUMN())</f>
        <v>0</v>
      </c>
      <c r="BA563" s="1050" cm="1">
        <f t="array" aca="1" ref="BA563" ca="1">INDEX(OFFSET($AK$19,MATCH($B563,$B$19:$B$150,0)-1,0,COUNTA($B$19:$B$24),COUNTA($AK$17:$BB$17)),MATCH($F563,$F$19:$F$24,0),MATCH(BA$17,$AK$17:$BB$17,0))*INDEX($10:$13,MATCH($O563,$R$10:$R$13,0),COLUMN())</f>
        <v>0</v>
      </c>
      <c r="BB563" s="1051" cm="1">
        <f t="array" aca="1" ref="BB563" ca="1">INDEX(OFFSET($AK$19,MATCH($B563,$B$19:$B$150,0)-1,0,COUNTA($B$19:$B$24),COUNTA($AK$17:$BB$17)),MATCH($F563,$F$19:$F$24,0),MATCH(BB$17,$AK$17:$BB$17,0))*INDEX($10:$13,MATCH($O563,$R$10:$R$13,0),COLUMN())</f>
        <v>0</v>
      </c>
      <c r="BC563" s="1053">
        <f t="shared" ca="1" si="185"/>
        <v>1.4193257477967685</v>
      </c>
      <c r="BE563" s="1"/>
      <c r="BF563" s="1"/>
      <c r="BG563" s="1"/>
      <c r="BH563" s="1"/>
      <c r="BI563" s="1"/>
      <c r="BJ563" s="1"/>
      <c r="BK563" s="1"/>
      <c r="BL563" s="1"/>
      <c r="BM563" s="1"/>
      <c r="BN563" s="1"/>
      <c r="BO563" s="1"/>
      <c r="BP563" s="1"/>
      <c r="BQ563" s="1"/>
      <c r="BR563" s="1"/>
      <c r="BS563" s="1"/>
      <c r="BT563" s="1"/>
      <c r="BU563" s="1"/>
      <c r="BV563" s="1"/>
      <c r="BW563" s="1"/>
      <c r="BX563" s="1"/>
      <c r="BY563" s="1"/>
      <c r="BZ563" s="1"/>
    </row>
    <row r="564" spans="2:78" ht="12" customHeight="1" outlineLevel="1" x14ac:dyDescent="0.25">
      <c r="B564" s="104" t="s">
        <v>98</v>
      </c>
      <c r="C564" s="104" t="s">
        <v>121</v>
      </c>
      <c r="D564" s="2" t="s">
        <v>132</v>
      </c>
      <c r="E564" s="2" t="s">
        <v>98</v>
      </c>
      <c r="F564" s="105" t="s">
        <v>94</v>
      </c>
      <c r="G564" s="27" t="s">
        <v>1580</v>
      </c>
      <c r="H564" s="106" t="s">
        <v>131</v>
      </c>
      <c r="I564" s="107" t="s">
        <v>129</v>
      </c>
      <c r="J564" s="147">
        <v>3.8217059399999997</v>
      </c>
      <c r="K564" s="148">
        <v>0.37645999999999996</v>
      </c>
      <c r="L564" s="149">
        <f t="shared" ca="1" si="186"/>
        <v>3.6013771621463238</v>
      </c>
      <c r="M564" s="148">
        <f t="shared" ca="1" si="187"/>
        <v>1.7322344464616048</v>
      </c>
      <c r="N564" s="148">
        <f t="shared" ca="1" si="184"/>
        <v>1.3557744464616048</v>
      </c>
      <c r="O564" s="1062" t="s">
        <v>1585</v>
      </c>
      <c r="P564" s="104"/>
      <c r="R564" s="119"/>
      <c r="S564" s="1072"/>
      <c r="T564" s="1072"/>
      <c r="U564" s="1072"/>
      <c r="V564" s="1072"/>
      <c r="W564" s="1072"/>
      <c r="X564" s="1072"/>
      <c r="Y564" s="1072"/>
      <c r="Z564" s="1072"/>
      <c r="AA564" s="1072"/>
      <c r="AB564" s="1072"/>
      <c r="AC564" s="1072"/>
      <c r="AD564" s="1072"/>
      <c r="AE564" s="1072"/>
      <c r="AF564" s="1072"/>
      <c r="AG564" s="1072"/>
      <c r="AH564" s="1072"/>
      <c r="AI564" s="1072"/>
      <c r="AJ564" s="1073"/>
      <c r="AK564" s="1052" cm="1">
        <f t="array" aca="1" ref="AK564" ca="1">INDEX(OFFSET($AK$19,MATCH($B564,$B$19:$B$150,0)-1,0,COUNTA($B$19:$B$24),COUNTA($AK$17:$BB$17)),MATCH($F564,$F$19:$F$24,0),MATCH(AK$17,$AK$17:$BB$17,0))*INDEX($10:$13,MATCH($O564,$R$10:$R$13,0),COLUMN())</f>
        <v>6.1583544653760001E-2</v>
      </c>
      <c r="AL564" s="1050" cm="1">
        <f t="array" aca="1" ref="AL564" ca="1">INDEX(OFFSET($AK$19,MATCH($B564,$B$19:$B$150,0)-1,0,COUNTA($B$19:$B$24),COUNTA($AK$17:$BB$17)),MATCH($F564,$F$19:$F$24,0),MATCH(AL$17,$AK$17:$BB$17,0))*INDEX($10:$13,MATCH($O564,$R$10:$R$13,0),COLUMN())</f>
        <v>5.877615928E-8</v>
      </c>
      <c r="AM564" s="1050" cm="1">
        <f t="array" aca="1" ref="AM564" ca="1">INDEX(OFFSET($AK$19,MATCH($B564,$B$19:$B$150,0)-1,0,COUNTA($B$19:$B$24),COUNTA($AK$17:$BB$17)),MATCH($F564,$F$19:$F$24,0),MATCH(AM$17,$AK$17:$BB$17,0))*INDEX($10:$13,MATCH($O564,$R$10:$R$13,0),COLUMN())</f>
        <v>9.4021680219999996E-5</v>
      </c>
      <c r="AN564" s="1050" cm="1">
        <f t="array" aca="1" ref="AN564" ca="1">INDEX(OFFSET($AK$19,MATCH($B564,$B$19:$B$150,0)-1,0,COUNTA($B$19:$B$24),COUNTA($AK$17:$BB$17)),MATCH($F564,$F$19:$F$24,0),MATCH(AN$17,$AK$17:$BB$17,0))*INDEX($10:$13,MATCH($O564,$R$10:$R$13,0),COLUMN())</f>
        <v>1.2928051416000001E-3</v>
      </c>
      <c r="AO564" s="1050" cm="1">
        <f t="array" aca="1" ref="AO564" ca="1">INDEX(OFFSET($AK$19,MATCH($B564,$B$19:$B$150,0)-1,0,COUNTA($B$19:$B$24),COUNTA($AK$17:$BB$17)),MATCH($F564,$F$19:$F$24,0),MATCH(AO$17,$AK$17:$BB$17,0))*INDEX($10:$13,MATCH($O564,$R$10:$R$13,0),COLUMN())</f>
        <v>1.8841951536E-2</v>
      </c>
      <c r="AP564" s="1050" cm="1">
        <f t="array" aca="1" ref="AP564" ca="1">INDEX(OFFSET($AK$19,MATCH($B564,$B$19:$B$150,0)-1,0,COUNTA($B$19:$B$24),COUNTA($AK$17:$BB$17)),MATCH($F564,$F$19:$F$24,0),MATCH(AP$17,$AK$17:$BB$17,0))*INDEX($10:$13,MATCH($O564,$R$10:$R$13,0),COLUMN())</f>
        <v>7.4171277560000004E-3</v>
      </c>
      <c r="AQ564" s="1050" cm="1">
        <f t="array" aca="1" ref="AQ564" ca="1">INDEX(OFFSET($AK$19,MATCH($B564,$B$19:$B$150,0)-1,0,COUNTA($B$19:$B$24),COUNTA($AK$17:$BB$17)),MATCH($F564,$F$19:$F$24,0),MATCH(AQ$17,$AK$17:$BB$17,0))*INDEX($10:$13,MATCH($O564,$R$10:$R$13,0),COLUMN())</f>
        <v>4.862801794E-5</v>
      </c>
      <c r="AR564" s="1050" cm="1">
        <f t="array" aca="1" ref="AR564" ca="1">INDEX(OFFSET($AK$19,MATCH($B564,$B$19:$B$150,0)-1,0,COUNTA($B$19:$B$24),COUNTA($AK$17:$BB$17)),MATCH($F564,$F$19:$F$24,0),MATCH(AR$17,$AK$17:$BB$17,0))*INDEX($10:$13,MATCH($O564,$R$10:$R$13,0),COLUMN())</f>
        <v>8.2505513440000004E-3</v>
      </c>
      <c r="AS564" s="1050" cm="1">
        <f t="array" aca="1" ref="AS564" ca="1">INDEX(OFFSET($AK$19,MATCH($B564,$B$19:$B$150,0)-1,0,COUNTA($B$19:$B$24),COUNTA($AK$17:$BB$17)),MATCH($F564,$F$19:$F$24,0),MATCH(AS$17,$AK$17:$BB$17,0))*INDEX($10:$13,MATCH($O564,$R$10:$R$13,0),COLUMN())</f>
        <v>9.2254207590000001E-5</v>
      </c>
      <c r="AT564" s="1050" cm="1">
        <f t="array" aca="1" ref="AT564" ca="1">INDEX(OFFSET($AK$19,MATCH($B564,$B$19:$B$150,0)-1,0,COUNTA($B$19:$B$24),COUNTA($AK$17:$BB$17)),MATCH($F564,$F$19:$F$24,0),MATCH(AT$17,$AK$17:$BB$17,0))*INDEX($10:$13,MATCH($O564,$R$10:$R$13,0),COLUMN())</f>
        <v>4.1325589039999992E-6</v>
      </c>
      <c r="AU564" s="1050" cm="1">
        <f t="array" aca="1" ref="AU564" ca="1">INDEX(OFFSET($AK$19,MATCH($B564,$B$19:$B$150,0)-1,0,COUNTA($B$19:$B$24),COUNTA($AK$17:$BB$17)),MATCH($F564,$F$19:$F$24,0),MATCH(AU$17,$AK$17:$BB$17,0))*INDEX($10:$13,MATCH($O564,$R$10:$R$13,0),COLUMN())</f>
        <v>8.7674753970000008E-7</v>
      </c>
      <c r="AV564" s="1050" cm="1">
        <f t="array" aca="1" ref="AV564" ca="1">INDEX(OFFSET($AK$19,MATCH($B564,$B$19:$B$150,0)-1,0,COUNTA($B$19:$B$24),COUNTA($AK$17:$BB$17)),MATCH($F564,$F$19:$F$24,0),MATCH(AV$17,$AK$17:$BB$17,0))*INDEX($10:$13,MATCH($O564,$R$10:$R$13,0),COLUMN())</f>
        <v>1.0033239996E-3</v>
      </c>
      <c r="AW564" s="1050" cm="1">
        <f t="array" aca="1" ref="AW564" ca="1">INDEX(OFFSET($AK$19,MATCH($B564,$B$19:$B$150,0)-1,0,COUNTA($B$19:$B$24),COUNTA($AK$17:$BB$17)),MATCH($F564,$F$19:$F$24,0),MATCH(AW$17,$AK$17:$BB$17,0))*INDEX($10:$13,MATCH($O564,$R$10:$R$13,0),COLUMN())</f>
        <v>1.2571448115000001</v>
      </c>
      <c r="AX564" s="1050" cm="1">
        <f t="array" aca="1" ref="AX564" ca="1">INDEX(OFFSET($AK$19,MATCH($B564,$B$19:$B$150,0)-1,0,COUNTA($B$19:$B$24),COUNTA($AK$17:$BB$17)),MATCH($F564,$F$19:$F$24,0),MATCH(AX$17,$AK$17:$BB$17,0))*INDEX($10:$13,MATCH($O564,$R$10:$R$13,0),COLUMN())</f>
        <v>3.6802730590000005E-7</v>
      </c>
      <c r="AY564" s="1050" cm="1">
        <f t="array" aca="1" ref="AY564" ca="1">INDEX(OFFSET($AK$19,MATCH($B564,$B$19:$B$150,0)-1,0,COUNTA($B$19:$B$24),COUNTA($AK$17:$BB$17)),MATCH($F564,$F$19:$F$24,0),MATCH(AY$17,$AK$17:$BB$17,0))*INDEX($10:$13,MATCH($O564,$R$10:$R$13,0),COLUMN())</f>
        <v>-9.4850143312499999E-9</v>
      </c>
      <c r="AZ564" s="1050" cm="1">
        <f t="array" aca="1" ref="AZ564" ca="1">INDEX(OFFSET($AK$19,MATCH($B564,$B$19:$B$150,0)-1,0,COUNTA($B$19:$B$24),COUNTA($AK$17:$BB$17)),MATCH($F564,$F$19:$F$24,0),MATCH(AZ$17,$AK$17:$BB$17,0))*INDEX($10:$13,MATCH($O564,$R$10:$R$13,0),COLUMN())</f>
        <v>0</v>
      </c>
      <c r="BA564" s="1050" cm="1">
        <f t="array" aca="1" ref="BA564" ca="1">INDEX(OFFSET($AK$19,MATCH($B564,$B$19:$B$150,0)-1,0,COUNTA($B$19:$B$24),COUNTA($AK$17:$BB$17)),MATCH($F564,$F$19:$F$24,0),MATCH(BA$17,$AK$17:$BB$17,0))*INDEX($10:$13,MATCH($O564,$R$10:$R$13,0),COLUMN())</f>
        <v>0</v>
      </c>
      <c r="BB564" s="1051" cm="1">
        <f t="array" aca="1" ref="BB564" ca="1">INDEX(OFFSET($AK$19,MATCH($B564,$B$19:$B$150,0)-1,0,COUNTA($B$19:$B$24),COUNTA($AK$17:$BB$17)),MATCH($F564,$F$19:$F$24,0),MATCH(BB$17,$AK$17:$BB$17,0))*INDEX($10:$13,MATCH($O564,$R$10:$R$13,0),COLUMN())</f>
        <v>0</v>
      </c>
      <c r="BC564" s="1053">
        <f t="shared" ca="1" si="185"/>
        <v>1.2571451700422918</v>
      </c>
      <c r="BE564" s="1"/>
      <c r="BF564" s="1"/>
      <c r="BG564" s="1"/>
      <c r="BH564" s="1"/>
      <c r="BI564" s="1"/>
      <c r="BJ564" s="1"/>
      <c r="BK564" s="1"/>
      <c r="BL564" s="1"/>
      <c r="BM564" s="1"/>
      <c r="BN564" s="1"/>
      <c r="BO564" s="1"/>
      <c r="BP564" s="1"/>
      <c r="BQ564" s="1"/>
      <c r="BR564" s="1"/>
      <c r="BS564" s="1"/>
      <c r="BT564" s="1"/>
      <c r="BU564" s="1"/>
      <c r="BV564" s="1"/>
      <c r="BW564" s="1"/>
      <c r="BX564" s="1"/>
      <c r="BY564" s="1"/>
      <c r="BZ564" s="1"/>
    </row>
    <row r="565" spans="2:78" ht="12" customHeight="1" outlineLevel="1" x14ac:dyDescent="0.25">
      <c r="B565" s="104" t="s">
        <v>98</v>
      </c>
      <c r="C565" s="104" t="s">
        <v>121</v>
      </c>
      <c r="D565" s="2" t="s">
        <v>132</v>
      </c>
      <c r="E565" s="2" t="s">
        <v>98</v>
      </c>
      <c r="F565" s="105" t="s">
        <v>95</v>
      </c>
      <c r="G565" s="27" t="s">
        <v>1581</v>
      </c>
      <c r="H565" s="106" t="s">
        <v>128</v>
      </c>
      <c r="I565" s="107" t="s">
        <v>127</v>
      </c>
      <c r="J565" s="147">
        <v>3.8217059399999997</v>
      </c>
      <c r="K565" s="148">
        <v>0.37645999999999996</v>
      </c>
      <c r="L565" s="149">
        <f t="shared" ca="1" si="186"/>
        <v>4.0019979425934258</v>
      </c>
      <c r="M565" s="148">
        <f t="shared" ca="1" si="187"/>
        <v>1.883052145468721</v>
      </c>
      <c r="N565" s="148">
        <f t="shared" ca="1" si="184"/>
        <v>1.506592145468721</v>
      </c>
      <c r="O565" s="1062" t="s">
        <v>1585</v>
      </c>
      <c r="P565" s="104"/>
      <c r="R565" s="119"/>
      <c r="S565" s="1072"/>
      <c r="T565" s="1072"/>
      <c r="U565" s="1072"/>
      <c r="V565" s="1072"/>
      <c r="W565" s="1072"/>
      <c r="X565" s="1072"/>
      <c r="Y565" s="1072"/>
      <c r="Z565" s="1072"/>
      <c r="AA565" s="1072"/>
      <c r="AB565" s="1072"/>
      <c r="AC565" s="1072"/>
      <c r="AD565" s="1072"/>
      <c r="AE565" s="1072"/>
      <c r="AF565" s="1072"/>
      <c r="AG565" s="1072"/>
      <c r="AH565" s="1072"/>
      <c r="AI565" s="1072"/>
      <c r="AJ565" s="1073"/>
      <c r="AK565" s="1052" cm="1">
        <f t="array" aca="1" ref="AK565" ca="1">INDEX(OFFSET($AK$19,MATCH($B565,$B$19:$B$150,0)-1,0,COUNTA($B$19:$B$24),COUNTA($AK$17:$BB$17)),MATCH($F565,$F$19:$F$24,0),MATCH(AK$17,$AK$17:$BB$17,0))*INDEX($10:$13,MATCH($O565,$R$10:$R$13,0),COLUMN())</f>
        <v>7.6459577940671999E-2</v>
      </c>
      <c r="AL565" s="1050" cm="1">
        <f t="array" aca="1" ref="AL565" ca="1">INDEX(OFFSET($AK$19,MATCH($B565,$B$19:$B$150,0)-1,0,COUNTA($B$19:$B$24),COUNTA($AK$17:$BB$17)),MATCH($F565,$F$19:$F$24,0),MATCH(AL$17,$AK$17:$BB$17,0))*INDEX($10:$13,MATCH($O565,$R$10:$R$13,0),COLUMN())</f>
        <v>6.2803773400000002E-8</v>
      </c>
      <c r="AM565" s="1050" cm="1">
        <f t="array" aca="1" ref="AM565" ca="1">INDEX(OFFSET($AK$19,MATCH($B565,$B$19:$B$150,0)-1,0,COUNTA($B$19:$B$24),COUNTA($AK$17:$BB$17)),MATCH($F565,$F$19:$F$24,0),MATCH(AM$17,$AK$17:$BB$17,0))*INDEX($10:$13,MATCH($O565,$R$10:$R$13,0),COLUMN())</f>
        <v>1.004610997E-4</v>
      </c>
      <c r="AN565" s="1050" cm="1">
        <f t="array" aca="1" ref="AN565" ca="1">INDEX(OFFSET($AK$19,MATCH($B565,$B$19:$B$150,0)-1,0,COUNTA($B$19:$B$24),COUNTA($AK$17:$BB$17)),MATCH($F565,$F$19:$F$24,0),MATCH(AN$17,$AK$17:$BB$17,0))*INDEX($10:$13,MATCH($O565,$R$10:$R$13,0),COLUMN())</f>
        <v>1.4677772184000001E-3</v>
      </c>
      <c r="AO565" s="1050" cm="1">
        <f t="array" aca="1" ref="AO565" ca="1">INDEX(OFFSET($AK$19,MATCH($B565,$B$19:$B$150,0)-1,0,COUNTA($B$19:$B$24),COUNTA($AK$17:$BB$17)),MATCH($F565,$F$19:$F$24,0),MATCH(AO$17,$AK$17:$BB$17,0))*INDEX($10:$13,MATCH($O565,$R$10:$R$13,0),COLUMN())</f>
        <v>4.6768735928000002E-2</v>
      </c>
      <c r="AP565" s="1050" cm="1">
        <f t="array" aca="1" ref="AP565" ca="1">INDEX(OFFSET($AK$19,MATCH($B565,$B$19:$B$150,0)-1,0,COUNTA($B$19:$B$24),COUNTA($AK$17:$BB$17)),MATCH($F565,$F$19:$F$24,0),MATCH(AP$17,$AK$17:$BB$17,0))*INDEX($10:$13,MATCH($O565,$R$10:$R$13,0),COLUMN())</f>
        <v>2.6712346228000002E-2</v>
      </c>
      <c r="AQ565" s="1050" cm="1">
        <f t="array" aca="1" ref="AQ565" ca="1">INDEX(OFFSET($AK$19,MATCH($B565,$B$19:$B$150,0)-1,0,COUNTA($B$19:$B$24),COUNTA($AK$17:$BB$17)),MATCH($F565,$F$19:$F$24,0),MATCH(AQ$17,$AK$17:$BB$17,0))*INDEX($10:$13,MATCH($O565,$R$10:$R$13,0),COLUMN())</f>
        <v>2.0409414301999996E-4</v>
      </c>
      <c r="AR565" s="1050" cm="1">
        <f t="array" aca="1" ref="AR565" ca="1">INDEX(OFFSET($AK$19,MATCH($B565,$B$19:$B$150,0)-1,0,COUNTA($B$19:$B$24),COUNTA($AK$17:$BB$17)),MATCH($F565,$F$19:$F$24,0),MATCH(AR$17,$AK$17:$BB$17,0))*INDEX($10:$13,MATCH($O565,$R$10:$R$13,0),COLUMN())</f>
        <v>1.3157373436999999E-2</v>
      </c>
      <c r="AS565" s="1050" cm="1">
        <f t="array" aca="1" ref="AS565" ca="1">INDEX(OFFSET($AK$19,MATCH($B565,$B$19:$B$150,0)-1,0,COUNTA($B$19:$B$24),COUNTA($AK$17:$BB$17)),MATCH($F565,$F$19:$F$24,0),MATCH(AS$17,$AK$17:$BB$17,0))*INDEX($10:$13,MATCH($O565,$R$10:$R$13,0),COLUMN())</f>
        <v>2.4182862064999998E-3</v>
      </c>
      <c r="AT565" s="1050" cm="1">
        <f t="array" aca="1" ref="AT565" ca="1">INDEX(OFFSET($AK$19,MATCH($B565,$B$19:$B$150,0)-1,0,COUNTA($B$19:$B$24),COUNTA($AK$17:$BB$17)),MATCH($F565,$F$19:$F$24,0),MATCH(AT$17,$AK$17:$BB$17,0))*INDEX($10:$13,MATCH($O565,$R$10:$R$13,0),COLUMN())</f>
        <v>6.0824995329999997E-6</v>
      </c>
      <c r="AU565" s="1050" cm="1">
        <f t="array" aca="1" ref="AU565" ca="1">INDEX(OFFSET($AK$19,MATCH($B565,$B$19:$B$150,0)-1,0,COUNTA($B$19:$B$24),COUNTA($AK$17:$BB$17)),MATCH($F565,$F$19:$F$24,0),MATCH(AU$17,$AK$17:$BB$17,0))*INDEX($10:$13,MATCH($O565,$R$10:$R$13,0),COLUMN())</f>
        <v>1.1894344182000001E-6</v>
      </c>
      <c r="AV565" s="1050" cm="1">
        <f t="array" aca="1" ref="AV565" ca="1">INDEX(OFFSET($AK$19,MATCH($B565,$B$19:$B$150,0)-1,0,COUNTA($B$19:$B$24),COUNTA($AK$17:$BB$17)),MATCH($F565,$F$19:$F$24,0),MATCH(AV$17,$AK$17:$BB$17,0))*INDEX($10:$13,MATCH($O565,$R$10:$R$13,0),COLUMN())</f>
        <v>5.9618417580000003E-3</v>
      </c>
      <c r="AW565" s="1050" cm="1">
        <f t="array" aca="1" ref="AW565" ca="1">INDEX(OFFSET($AK$19,MATCH($B565,$B$19:$B$150,0)-1,0,COUNTA($B$19:$B$24),COUNTA($AK$17:$BB$17)),MATCH($F565,$F$19:$F$24,0),MATCH(AW$17,$AK$17:$BB$17,0))*INDEX($10:$13,MATCH($O565,$R$10:$R$13,0),COLUMN())</f>
        <v>1.3333339365000001</v>
      </c>
      <c r="AX565" s="1050" cm="1">
        <f t="array" aca="1" ref="AX565" ca="1">INDEX(OFFSET($AK$19,MATCH($B565,$B$19:$B$150,0)-1,0,COUNTA($B$19:$B$24),COUNTA($AK$17:$BB$17)),MATCH($F565,$F$19:$F$24,0),MATCH(AX$17,$AK$17:$BB$17,0))*INDEX($10:$13,MATCH($O565,$R$10:$R$13,0),COLUMN())</f>
        <v>3.9033155665000007E-7</v>
      </c>
      <c r="AY565" s="1050" cm="1">
        <f t="array" aca="1" ref="AY565" ca="1">INDEX(OFFSET($AK$19,MATCH($B565,$B$19:$B$150,0)-1,0,COUNTA($B$19:$B$24),COUNTA($AK$17:$BB$17)),MATCH($F565,$F$19:$F$24,0),MATCH(AY$17,$AK$17:$BB$17,0))*INDEX($10:$13,MATCH($O565,$R$10:$R$13,0),COLUMN())</f>
        <v>-1.0059852288750001E-8</v>
      </c>
      <c r="AZ565" s="1050" cm="1">
        <f t="array" aca="1" ref="AZ565" ca="1">INDEX(OFFSET($AK$19,MATCH($B565,$B$19:$B$150,0)-1,0,COUNTA($B$19:$B$24),COUNTA($AK$17:$BB$17)),MATCH($F565,$F$19:$F$24,0),MATCH(AZ$17,$AK$17:$BB$17,0))*INDEX($10:$13,MATCH($O565,$R$10:$R$13,0),COLUMN())</f>
        <v>0</v>
      </c>
      <c r="BA565" s="1050" cm="1">
        <f t="array" aca="1" ref="BA565" ca="1">INDEX(OFFSET($AK$19,MATCH($B565,$B$19:$B$150,0)-1,0,COUNTA($B$19:$B$24),COUNTA($AK$17:$BB$17)),MATCH($F565,$F$19:$F$24,0),MATCH(BA$17,$AK$17:$BB$17,0))*INDEX($10:$13,MATCH($O565,$R$10:$R$13,0),COLUMN())</f>
        <v>0</v>
      </c>
      <c r="BB565" s="1051" cm="1">
        <f t="array" aca="1" ref="BB565" ca="1">INDEX(OFFSET($AK$19,MATCH($B565,$B$19:$B$150,0)-1,0,COUNTA($B$19:$B$24),COUNTA($AK$17:$BB$17)),MATCH($F565,$F$19:$F$24,0),MATCH(BB$17,$AK$17:$BB$17,0))*INDEX($10:$13,MATCH($O565,$R$10:$R$13,0),COLUMN())</f>
        <v>0</v>
      </c>
      <c r="BC565" s="1053">
        <f t="shared" ca="1" si="185"/>
        <v>1.3333343167717044</v>
      </c>
      <c r="BE565" s="1"/>
      <c r="BF565" s="1"/>
      <c r="BG565" s="1"/>
      <c r="BH565" s="1"/>
      <c r="BI565" s="1"/>
      <c r="BJ565" s="1"/>
      <c r="BK565" s="1"/>
      <c r="BL565" s="1"/>
      <c r="BM565" s="1"/>
      <c r="BN565" s="1"/>
      <c r="BO565" s="1"/>
      <c r="BP565" s="1"/>
      <c r="BQ565" s="1"/>
      <c r="BR565" s="1"/>
      <c r="BS565" s="1"/>
      <c r="BT565" s="1"/>
      <c r="BU565" s="1"/>
      <c r="BV565" s="1"/>
      <c r="BW565" s="1"/>
      <c r="BX565" s="1"/>
      <c r="BY565" s="1"/>
      <c r="BZ565" s="1"/>
    </row>
    <row r="566" spans="2:78" ht="12" customHeight="1" outlineLevel="1" x14ac:dyDescent="0.25">
      <c r="B566" s="104" t="s">
        <v>98</v>
      </c>
      <c r="C566" s="104" t="s">
        <v>121</v>
      </c>
      <c r="D566" s="2" t="s">
        <v>132</v>
      </c>
      <c r="E566" s="2" t="s">
        <v>98</v>
      </c>
      <c r="F566" s="105" t="s">
        <v>96</v>
      </c>
      <c r="G566" s="27" t="s">
        <v>1582</v>
      </c>
      <c r="H566" s="106" t="s">
        <v>128</v>
      </c>
      <c r="I566" s="107" t="s">
        <v>1577</v>
      </c>
      <c r="J566" s="147">
        <v>3.8217059399999997</v>
      </c>
      <c r="K566" s="148">
        <v>0.37645999999999996</v>
      </c>
      <c r="L566" s="149">
        <f t="shared" ca="1" si="186"/>
        <v>4.1352136842059624</v>
      </c>
      <c r="M566" s="148">
        <f t="shared" ca="1" si="187"/>
        <v>1.9332025435561766</v>
      </c>
      <c r="N566" s="148">
        <f t="shared" ca="1" si="184"/>
        <v>1.5567425435561766</v>
      </c>
      <c r="O566" s="1062" t="s">
        <v>1585</v>
      </c>
      <c r="P566" s="104"/>
      <c r="R566" s="119"/>
      <c r="S566" s="1072"/>
      <c r="T566" s="1072"/>
      <c r="U566" s="1072"/>
      <c r="V566" s="1072"/>
      <c r="W566" s="1072"/>
      <c r="X566" s="1072"/>
      <c r="Y566" s="1072"/>
      <c r="Z566" s="1072"/>
      <c r="AA566" s="1072"/>
      <c r="AB566" s="1072"/>
      <c r="AC566" s="1072"/>
      <c r="AD566" s="1072"/>
      <c r="AE566" s="1072"/>
      <c r="AF566" s="1072"/>
      <c r="AG566" s="1072"/>
      <c r="AH566" s="1072"/>
      <c r="AI566" s="1072"/>
      <c r="AJ566" s="1073"/>
      <c r="AK566" s="1052" cm="1">
        <f t="array" aca="1" ref="AK566" ca="1">INDEX(OFFSET($AK$19,MATCH($B566,$B$19:$B$150,0)-1,0,COUNTA($B$19:$B$24),COUNTA($AK$17:$BB$17)),MATCH($F566,$F$19:$F$24,0),MATCH(AK$17,$AK$17:$BB$17,0))*INDEX($10:$13,MATCH($O566,$R$10:$R$13,0),COLUMN())</f>
        <v>8.4446135359296001E-2</v>
      </c>
      <c r="AL566" s="1050" cm="1">
        <f t="array" aca="1" ref="AL566" ca="1">INDEX(OFFSET($AK$19,MATCH($B566,$B$19:$B$150,0)-1,0,COUNTA($B$19:$B$24),COUNTA($AK$17:$BB$17)),MATCH($F566,$F$19:$F$24,0),MATCH(AL$17,$AK$17:$BB$17,0))*INDEX($10:$13,MATCH($O566,$R$10:$R$13,0),COLUMN())</f>
        <v>6.3107559580000001E-8</v>
      </c>
      <c r="AM566" s="1050" cm="1">
        <f t="array" aca="1" ref="AM566" ca="1">INDEX(OFFSET($AK$19,MATCH($B566,$B$19:$B$150,0)-1,0,COUNTA($B$19:$B$24),COUNTA($AK$17:$BB$17)),MATCH($F566,$F$19:$F$24,0),MATCH(AM$17,$AK$17:$BB$17,0))*INDEX($10:$13,MATCH($O566,$R$10:$R$13,0),COLUMN())</f>
        <v>1.0094484581999999E-4</v>
      </c>
      <c r="AN566" s="1050" cm="1">
        <f t="array" aca="1" ref="AN566" ca="1">INDEX(OFFSET($AK$19,MATCH($B566,$B$19:$B$150,0)-1,0,COUNTA($B$19:$B$24),COUNTA($AK$17:$BB$17)),MATCH($F566,$F$19:$F$24,0),MATCH(AN$17,$AK$17:$BB$17,0))*INDEX($10:$13,MATCH($O566,$R$10:$R$13,0),COLUMN())</f>
        <v>1.5308341288000002E-3</v>
      </c>
      <c r="AO566" s="1050" cm="1">
        <f t="array" aca="1" ref="AO566" ca="1">INDEX(OFFSET($AK$19,MATCH($B566,$B$19:$B$150,0)-1,0,COUNTA($B$19:$B$24),COUNTA($AK$17:$BB$17)),MATCH($F566,$F$19:$F$24,0),MATCH(AO$17,$AK$17:$BB$17,0))*INDEX($10:$13,MATCH($O566,$R$10:$R$13,0),COLUMN())</f>
        <v>6.6241912159999999E-2</v>
      </c>
      <c r="AP566" s="1050" cm="1">
        <f t="array" aca="1" ref="AP566" ca="1">INDEX(OFFSET($AK$19,MATCH($B566,$B$19:$B$150,0)-1,0,COUNTA($B$19:$B$24),COUNTA($AK$17:$BB$17)),MATCH($F566,$F$19:$F$24,0),MATCH(AP$17,$AK$17:$BB$17,0))*INDEX($10:$13,MATCH($O566,$R$10:$R$13,0),COLUMN())</f>
        <v>4.0441201475999999E-2</v>
      </c>
      <c r="AQ566" s="1050" cm="1">
        <f t="array" aca="1" ref="AQ566" ca="1">INDEX(OFFSET($AK$19,MATCH($B566,$B$19:$B$150,0)-1,0,COUNTA($B$19:$B$24),COUNTA($AK$17:$BB$17)),MATCH($F566,$F$19:$F$24,0),MATCH(AQ$17,$AK$17:$BB$17,0))*INDEX($10:$13,MATCH($O566,$R$10:$R$13,0),COLUMN())</f>
        <v>3.1271503979999997E-4</v>
      </c>
      <c r="AR566" s="1050" cm="1">
        <f t="array" aca="1" ref="AR566" ca="1">INDEX(OFFSET($AK$19,MATCH($B566,$B$19:$B$150,0)-1,0,COUNTA($B$19:$B$24),COUNTA($AK$17:$BB$17)),MATCH($F566,$F$19:$F$24,0),MATCH(AR$17,$AK$17:$BB$17,0))*INDEX($10:$13,MATCH($O566,$R$10:$R$13,0),COLUMN())</f>
        <v>1.6370256280000002E-2</v>
      </c>
      <c r="AS566" s="1050" cm="1">
        <f t="array" aca="1" ref="AS566" ca="1">INDEX(OFFSET($AK$19,MATCH($B566,$B$19:$B$150,0)-1,0,COUNTA($B$19:$B$24),COUNTA($AK$17:$BB$17)),MATCH($F566,$F$19:$F$24,0),MATCH(AS$17,$AK$17:$BB$17,0))*INDEX($10:$13,MATCH($O566,$R$10:$R$13,0),COLUMN())</f>
        <v>4.0504316989999995E-3</v>
      </c>
      <c r="AT566" s="1050" cm="1">
        <f t="array" aca="1" ref="AT566" ca="1">INDEX(OFFSET($AK$19,MATCH($B566,$B$19:$B$150,0)-1,0,COUNTA($B$19:$B$24),COUNTA($AK$17:$BB$17)),MATCH($F566,$F$19:$F$24,0),MATCH(AT$17,$AK$17:$BB$17,0))*INDEX($10:$13,MATCH($O566,$R$10:$R$13,0),COLUMN())</f>
        <v>6.8161183339999996E-6</v>
      </c>
      <c r="AU566" s="1050" cm="1">
        <f t="array" aca="1" ref="AU566" ca="1">INDEX(OFFSET($AK$19,MATCH($B566,$B$19:$B$150,0)-1,0,COUNTA($B$19:$B$24),COUNTA($AK$17:$BB$17)),MATCH($F566,$F$19:$F$24,0),MATCH(AU$17,$AK$17:$BB$17,0))*INDEX($10:$13,MATCH($O566,$R$10:$R$13,0),COLUMN())</f>
        <v>1.2941798625000002E-6</v>
      </c>
      <c r="AV566" s="1050" cm="1">
        <f t="array" aca="1" ref="AV566" ca="1">INDEX(OFFSET($AK$19,MATCH($B566,$B$19:$B$150,0)-1,0,COUNTA($B$19:$B$24),COUNTA($AK$17:$BB$17)),MATCH($F566,$F$19:$F$24,0),MATCH(AV$17,$AK$17:$BB$17,0))*INDEX($10:$13,MATCH($O566,$R$10:$R$13,0),COLUMN())</f>
        <v>9.9056223899999987E-3</v>
      </c>
      <c r="AW566" s="1050" cm="1">
        <f t="array" aca="1" ref="AW566" ca="1">INDEX(OFFSET($AK$19,MATCH($B566,$B$19:$B$150,0)-1,0,COUNTA($B$19:$B$24),COUNTA($AK$17:$BB$17)),MATCH($F566,$F$19:$F$24,0),MATCH(AW$17,$AK$17:$BB$17,0))*INDEX($10:$13,MATCH($O566,$R$10:$R$13,0),COLUMN())</f>
        <v>1.3333339365000001</v>
      </c>
      <c r="AX566" s="1050" cm="1">
        <f t="array" aca="1" ref="AX566" ca="1">INDEX(OFFSET($AK$19,MATCH($B566,$B$19:$B$150,0)-1,0,COUNTA($B$19:$B$24),COUNTA($AK$17:$BB$17)),MATCH($F566,$F$19:$F$24,0),MATCH(AX$17,$AK$17:$BB$17,0))*INDEX($10:$13,MATCH($O566,$R$10:$R$13,0),COLUMN())</f>
        <v>3.9033155665000007E-7</v>
      </c>
      <c r="AY566" s="1050" cm="1">
        <f t="array" aca="1" ref="AY566" ca="1">INDEX(OFFSET($AK$19,MATCH($B566,$B$19:$B$150,0)-1,0,COUNTA($B$19:$B$24),COUNTA($AK$17:$BB$17)),MATCH($F566,$F$19:$F$24,0),MATCH(AY$17,$AK$17:$BB$17,0))*INDEX($10:$13,MATCH($O566,$R$10:$R$13,0),COLUMN())</f>
        <v>-1.0059852288750001E-8</v>
      </c>
      <c r="AZ566" s="1050" cm="1">
        <f t="array" aca="1" ref="AZ566" ca="1">INDEX(OFFSET($AK$19,MATCH($B566,$B$19:$B$150,0)-1,0,COUNTA($B$19:$B$24),COUNTA($AK$17:$BB$17)),MATCH($F566,$F$19:$F$24,0),MATCH(AZ$17,$AK$17:$BB$17,0))*INDEX($10:$13,MATCH($O566,$R$10:$R$13,0),COLUMN())</f>
        <v>0</v>
      </c>
      <c r="BA566" s="1050" cm="1">
        <f t="array" aca="1" ref="BA566" ca="1">INDEX(OFFSET($AK$19,MATCH($B566,$B$19:$B$150,0)-1,0,COUNTA($B$19:$B$24),COUNTA($AK$17:$BB$17)),MATCH($F566,$F$19:$F$24,0),MATCH(BA$17,$AK$17:$BB$17,0))*INDEX($10:$13,MATCH($O566,$R$10:$R$13,0),COLUMN())</f>
        <v>0</v>
      </c>
      <c r="BB566" s="1051" cm="1">
        <f t="array" aca="1" ref="BB566" ca="1">INDEX(OFFSET($AK$19,MATCH($B566,$B$19:$B$150,0)-1,0,COUNTA($B$19:$B$24),COUNTA($AK$17:$BB$17)),MATCH($F566,$F$19:$F$24,0),MATCH(BB$17,$AK$17:$BB$17,0))*INDEX($10:$13,MATCH($O566,$R$10:$R$13,0),COLUMN())</f>
        <v>0</v>
      </c>
      <c r="BC566" s="1053">
        <f t="shared" ca="1" si="185"/>
        <v>1.3333343167717044</v>
      </c>
      <c r="BE566" s="1"/>
      <c r="BF566" s="1"/>
      <c r="BG566" s="1"/>
      <c r="BH566" s="1"/>
      <c r="BI566" s="1"/>
      <c r="BJ566" s="1"/>
      <c r="BK566" s="1"/>
      <c r="BL566" s="1"/>
      <c r="BM566" s="1"/>
      <c r="BN566" s="1"/>
      <c r="BO566" s="1"/>
      <c r="BP566" s="1"/>
      <c r="BQ566" s="1"/>
      <c r="BR566" s="1"/>
      <c r="BS566" s="1"/>
      <c r="BT566" s="1"/>
      <c r="BU566" s="1"/>
      <c r="BV566" s="1"/>
      <c r="BW566" s="1"/>
      <c r="BX566" s="1"/>
      <c r="BY566" s="1"/>
      <c r="BZ566" s="1"/>
    </row>
    <row r="567" spans="2:78" ht="12" customHeight="1" outlineLevel="1" x14ac:dyDescent="0.25">
      <c r="B567" s="88" t="s">
        <v>99</v>
      </c>
      <c r="C567" s="88" t="s">
        <v>121</v>
      </c>
      <c r="D567" s="89" t="s">
        <v>132</v>
      </c>
      <c r="E567" s="89" t="s">
        <v>99</v>
      </c>
      <c r="F567" s="90" t="s">
        <v>92</v>
      </c>
      <c r="G567" s="18" t="s">
        <v>126</v>
      </c>
      <c r="H567" s="91" t="s">
        <v>127</v>
      </c>
      <c r="I567" s="92" t="s">
        <v>127</v>
      </c>
      <c r="J567" s="142">
        <v>3.72132342</v>
      </c>
      <c r="K567" s="143">
        <v>0.17004</v>
      </c>
      <c r="L567" s="144">
        <f t="shared" ca="1" si="186"/>
        <v>8.8910620779147607</v>
      </c>
      <c r="M567" s="143">
        <f t="shared" ca="1" si="187"/>
        <v>1.6818761957286259</v>
      </c>
      <c r="N567" s="143">
        <f t="shared" ca="1" si="184"/>
        <v>1.5118361957286259</v>
      </c>
      <c r="O567" s="1063" t="s">
        <v>1585</v>
      </c>
      <c r="P567" s="88"/>
      <c r="Q567" s="89"/>
      <c r="R567" s="150"/>
      <c r="S567" s="1070"/>
      <c r="T567" s="1070"/>
      <c r="U567" s="1070"/>
      <c r="V567" s="1070"/>
      <c r="W567" s="1070"/>
      <c r="X567" s="1070"/>
      <c r="Y567" s="1070"/>
      <c r="Z567" s="1070"/>
      <c r="AA567" s="1070"/>
      <c r="AB567" s="1070"/>
      <c r="AC567" s="1070"/>
      <c r="AD567" s="1070"/>
      <c r="AE567" s="1070"/>
      <c r="AF567" s="1070"/>
      <c r="AG567" s="1070"/>
      <c r="AH567" s="1070"/>
      <c r="AI567" s="1070"/>
      <c r="AJ567" s="1071"/>
      <c r="AK567" s="1048" cm="1">
        <f t="array" aca="1" ref="AK567" ca="1">INDEX(OFFSET($AK$19,MATCH($B567,$B$19:$B$150,0)-1,0,COUNTA($B$19:$B$24),COUNTA($AK$17:$BB$17)),MATCH($F567,$F$19:$F$24,0),MATCH(AK$17,$AK$17:$BB$17,0))*INDEX($10:$13,MATCH($O567,$R$10:$R$13,0),COLUMN())</f>
        <v>0.14749832857939199</v>
      </c>
      <c r="AL567" s="1046" cm="1">
        <f t="array" aca="1" ref="AL567" ca="1">INDEX(OFFSET($AK$19,MATCH($B567,$B$19:$B$150,0)-1,0,COUNTA($B$19:$B$24),COUNTA($AK$17:$BB$17)),MATCH($F567,$F$19:$F$24,0),MATCH(AL$17,$AK$17:$BB$17,0))*INDEX($10:$13,MATCH($O567,$R$10:$R$13,0),COLUMN())</f>
        <v>9.7068966179999997E-8</v>
      </c>
      <c r="AM567" s="1046" cm="1">
        <f t="array" aca="1" ref="AM567" ca="1">INDEX(OFFSET($AK$19,MATCH($B567,$B$19:$B$150,0)-1,0,COUNTA($B$19:$B$24),COUNTA($AK$17:$BB$17)),MATCH($F567,$F$19:$F$24,0),MATCH(AM$17,$AK$17:$BB$17,0))*INDEX($10:$13,MATCH($O567,$R$10:$R$13,0),COLUMN())</f>
        <v>1.5819208547999998E-4</v>
      </c>
      <c r="AN567" s="1046" cm="1">
        <f t="array" aca="1" ref="AN567" ca="1">INDEX(OFFSET($AK$19,MATCH($B567,$B$19:$B$150,0)-1,0,COUNTA($B$19:$B$24),COUNTA($AK$17:$BB$17)),MATCH($F567,$F$19:$F$24,0),MATCH(AN$17,$AK$17:$BB$17,0))*INDEX($10:$13,MATCH($O567,$R$10:$R$13,0),COLUMN())</f>
        <v>1.2026532928000001E-3</v>
      </c>
      <c r="AO567" s="1046" cm="1">
        <f t="array" aca="1" ref="AO567" ca="1">INDEX(OFFSET($AK$19,MATCH($B567,$B$19:$B$150,0)-1,0,COUNTA($B$19:$B$24),COUNTA($AK$17:$BB$17)),MATCH($F567,$F$19:$F$24,0),MATCH(AO$17,$AK$17:$BB$17,0))*INDEX($10:$13,MATCH($O567,$R$10:$R$13,0),COLUMN())</f>
        <v>6.2253543119999998E-2</v>
      </c>
      <c r="AP567" s="1046" cm="1">
        <f t="array" aca="1" ref="AP567" ca="1">INDEX(OFFSET($AK$19,MATCH($B567,$B$19:$B$150,0)-1,0,COUNTA($B$19:$B$24),COUNTA($AK$17:$BB$17)),MATCH($F567,$F$19:$F$24,0),MATCH(AP$17,$AK$17:$BB$17,0))*INDEX($10:$13,MATCH($O567,$R$10:$R$13,0),COLUMN())</f>
        <v>3.8842921054000001E-2</v>
      </c>
      <c r="AQ567" s="1046" cm="1">
        <f t="array" aca="1" ref="AQ567" ca="1">INDEX(OFFSET($AK$19,MATCH($B567,$B$19:$B$150,0)-1,0,COUNTA($B$19:$B$24),COUNTA($AK$17:$BB$17)),MATCH($F567,$F$19:$F$24,0),MATCH(AQ$17,$AK$17:$BB$17,0))*INDEX($10:$13,MATCH($O567,$R$10:$R$13,0),COLUMN())</f>
        <v>3.032513944E-4</v>
      </c>
      <c r="AR567" s="1046" cm="1">
        <f t="array" aca="1" ref="AR567" ca="1">INDEX(OFFSET($AK$19,MATCH($B567,$B$19:$B$150,0)-1,0,COUNTA($B$19:$B$24),COUNTA($AK$17:$BB$17)),MATCH($F567,$F$19:$F$24,0),MATCH(AR$17,$AK$17:$BB$17,0))*INDEX($10:$13,MATCH($O567,$R$10:$R$13,0),COLUMN())</f>
        <v>2.3921496133999999E-2</v>
      </c>
      <c r="AS567" s="1046" cm="1">
        <f t="array" aca="1" ref="AS567" ca="1">INDEX(OFFSET($AK$19,MATCH($B567,$B$19:$B$150,0)-1,0,COUNTA($B$19:$B$24),COUNTA($AK$17:$BB$17)),MATCH($F567,$F$19:$F$24,0),MATCH(AS$17,$AK$17:$BB$17,0))*INDEX($10:$13,MATCH($O567,$R$10:$R$13,0),COLUMN())</f>
        <v>0.16467167944999997</v>
      </c>
      <c r="AT567" s="1046" cm="1">
        <f t="array" aca="1" ref="AT567" ca="1">INDEX(OFFSET($AK$19,MATCH($B567,$B$19:$B$150,0)-1,0,COUNTA($B$19:$B$24),COUNTA($AK$17:$BB$17)),MATCH($F567,$F$19:$F$24,0),MATCH(AT$17,$AK$17:$BB$17,0))*INDEX($10:$13,MATCH($O567,$R$10:$R$13,0),COLUMN())</f>
        <v>1.8328880191999998E-4</v>
      </c>
      <c r="AU567" s="1046" cm="1">
        <f t="array" aca="1" ref="AU567" ca="1">INDEX(OFFSET($AK$19,MATCH($B567,$B$19:$B$150,0)-1,0,COUNTA($B$19:$B$24),COUNTA($AK$17:$BB$17)),MATCH($F567,$F$19:$F$24,0),MATCH(AU$17,$AK$17:$BB$17,0))*INDEX($10:$13,MATCH($O567,$R$10:$R$13,0),COLUMN())</f>
        <v>1.0158674022000001E-5</v>
      </c>
      <c r="AV567" s="1046" cm="1">
        <f t="array" aca="1" ref="AV567" ca="1">INDEX(OFFSET($AK$19,MATCH($B567,$B$19:$B$150,0)-1,0,COUNTA($B$19:$B$24),COUNTA($AK$17:$BB$17)),MATCH($F567,$F$19:$F$24,0),MATCH(AV$17,$AK$17:$BB$17,0))*INDEX($10:$13,MATCH($O567,$R$10:$R$13,0),COLUMN())</f>
        <v>8.8098637770000002E-3</v>
      </c>
      <c r="AW567" s="1046" cm="1">
        <f t="array" aca="1" ref="AW567" ca="1">INDEX(OFFSET($AK$19,MATCH($B567,$B$19:$B$150,0)-1,0,COUNTA($B$19:$B$24),COUNTA($AK$17:$BB$17)),MATCH($F567,$F$19:$F$24,0),MATCH(AW$17,$AK$17:$BB$17,0))*INDEX($10:$13,MATCH($O567,$R$10:$R$13,0),COLUMN())</f>
        <v>1.0639791955000002</v>
      </c>
      <c r="AX567" s="1046" cm="1">
        <f t="array" aca="1" ref="AX567" ca="1">INDEX(OFFSET($AK$19,MATCH($B567,$B$19:$B$150,0)-1,0,COUNTA($B$19:$B$24),COUNTA($AK$17:$BB$17)),MATCH($F567,$F$19:$F$24,0),MATCH(AX$17,$AK$17:$BB$17,0))*INDEX($10:$13,MATCH($O567,$R$10:$R$13,0),COLUMN())</f>
        <v>1.5682642080000003E-6</v>
      </c>
      <c r="AY567" s="1046" cm="1">
        <f t="array" aca="1" ref="AY567" ca="1">INDEX(OFFSET($AK$19,MATCH($B567,$B$19:$B$150,0)-1,0,COUNTA($B$19:$B$24),COUNTA($AK$17:$BB$17)),MATCH($F567,$F$19:$F$24,0),MATCH(AY$17,$AK$17:$BB$17,0))*INDEX($10:$13,MATCH($O567,$R$10:$R$13,0),COLUMN())</f>
        <v>-4.1467562437499999E-8</v>
      </c>
      <c r="AZ567" s="1046" cm="1">
        <f t="array" aca="1" ref="AZ567" ca="1">INDEX(OFFSET($AK$19,MATCH($B567,$B$19:$B$150,0)-1,0,COUNTA($B$19:$B$24),COUNTA($AK$17:$BB$17)),MATCH($F567,$F$19:$F$24,0),MATCH(AZ$17,$AK$17:$BB$17,0))*INDEX($10:$13,MATCH($O567,$R$10:$R$13,0),COLUMN())</f>
        <v>0</v>
      </c>
      <c r="BA567" s="1046" cm="1">
        <f t="array" aca="1" ref="BA567" ca="1">INDEX(OFFSET($AK$19,MATCH($B567,$B$19:$B$150,0)-1,0,COUNTA($B$19:$B$24),COUNTA($AK$17:$BB$17)),MATCH($F567,$F$19:$F$24,0),MATCH(BA$17,$AK$17:$BB$17,0))*INDEX($10:$13,MATCH($O567,$R$10:$R$13,0),COLUMN())</f>
        <v>0</v>
      </c>
      <c r="BB567" s="1047" cm="1">
        <f t="array" aca="1" ref="BB567" ca="1">INDEX(OFFSET($AK$19,MATCH($B567,$B$19:$B$150,0)-1,0,COUNTA($B$19:$B$24),COUNTA($AK$17:$BB$17)),MATCH($F567,$F$19:$F$24,0),MATCH(BB$17,$AK$17:$BB$17,0))*INDEX($10:$13,MATCH($O567,$R$10:$R$13,0),COLUMN())</f>
        <v>0</v>
      </c>
      <c r="BC567" s="1049">
        <f t="shared" ca="1" si="185"/>
        <v>1.0639807222966458</v>
      </c>
      <c r="BE567" s="1"/>
      <c r="BF567" s="1"/>
      <c r="BG567" s="1"/>
      <c r="BH567" s="1"/>
      <c r="BI567" s="1"/>
      <c r="BJ567" s="1"/>
      <c r="BK567" s="1"/>
      <c r="BL567" s="1"/>
      <c r="BM567" s="1"/>
      <c r="BN567" s="1"/>
      <c r="BO567" s="1"/>
      <c r="BP567" s="1"/>
      <c r="BQ567" s="1"/>
      <c r="BR567" s="1"/>
      <c r="BS567" s="1"/>
      <c r="BT567" s="1"/>
      <c r="BU567" s="1"/>
      <c r="BV567" s="1"/>
      <c r="BW567" s="1"/>
      <c r="BX567" s="1"/>
      <c r="BY567" s="1"/>
      <c r="BZ567" s="1"/>
    </row>
    <row r="568" spans="2:78" ht="12" customHeight="1" outlineLevel="1" x14ac:dyDescent="0.25">
      <c r="B568" s="104" t="s">
        <v>99</v>
      </c>
      <c r="C568" s="104" t="s">
        <v>121</v>
      </c>
      <c r="D568" s="2" t="s">
        <v>132</v>
      </c>
      <c r="E568" s="2" t="s">
        <v>99</v>
      </c>
      <c r="F568" s="105" t="s">
        <v>122</v>
      </c>
      <c r="G568" s="27" t="s">
        <v>1579</v>
      </c>
      <c r="H568" s="106" t="s">
        <v>128</v>
      </c>
      <c r="I568" s="107" t="s">
        <v>129</v>
      </c>
      <c r="J568" s="147">
        <v>3.72132342</v>
      </c>
      <c r="K568" s="148">
        <v>0.37839999999999996</v>
      </c>
      <c r="L568" s="149">
        <f t="shared" ca="1" si="186"/>
        <v>4.3549103250690102</v>
      </c>
      <c r="M568" s="148">
        <f t="shared" ca="1" si="187"/>
        <v>2.0262980670061133</v>
      </c>
      <c r="N568" s="148">
        <f t="shared" ca="1" si="184"/>
        <v>1.6478980670061132</v>
      </c>
      <c r="O568" s="1062" t="s">
        <v>1585</v>
      </c>
      <c r="P568" s="104"/>
      <c r="R568" s="119"/>
      <c r="S568" s="1072"/>
      <c r="T568" s="1072"/>
      <c r="U568" s="1072"/>
      <c r="V568" s="1072"/>
      <c r="W568" s="1072"/>
      <c r="X568" s="1072"/>
      <c r="Y568" s="1072"/>
      <c r="Z568" s="1072"/>
      <c r="AA568" s="1072"/>
      <c r="AB568" s="1072"/>
      <c r="AC568" s="1072"/>
      <c r="AD568" s="1072"/>
      <c r="AE568" s="1072"/>
      <c r="AF568" s="1072"/>
      <c r="AG568" s="1072"/>
      <c r="AH568" s="1072"/>
      <c r="AI568" s="1072"/>
      <c r="AJ568" s="1073"/>
      <c r="AK568" s="1052" cm="1">
        <f t="array" aca="1" ref="AK568" ca="1">INDEX(OFFSET($AK$19,MATCH($B568,$B$19:$B$150,0)-1,0,COUNTA($B$19:$B$24),COUNTA($AK$17:$BB$17)),MATCH($F568,$F$19:$F$24,0),MATCH(AK$17,$AK$17:$BB$17,0))*INDEX($10:$13,MATCH($O568,$R$10:$R$13,0),COLUMN())</f>
        <v>7.8601368830400004E-2</v>
      </c>
      <c r="AL568" s="1050" cm="1">
        <f t="array" aca="1" ref="AL568" ca="1">INDEX(OFFSET($AK$19,MATCH($B568,$B$19:$B$150,0)-1,0,COUNTA($B$19:$B$24),COUNTA($AK$17:$BB$17)),MATCH($F568,$F$19:$F$24,0),MATCH(AL$17,$AK$17:$BB$17,0))*INDEX($10:$13,MATCH($O568,$R$10:$R$13,0),COLUMN())</f>
        <v>6.9407007530000009E-8</v>
      </c>
      <c r="AM568" s="1050" cm="1">
        <f t="array" aca="1" ref="AM568" ca="1">INDEX(OFFSET($AK$19,MATCH($B568,$B$19:$B$150,0)-1,0,COUNTA($B$19:$B$24),COUNTA($AK$17:$BB$17)),MATCH($F568,$F$19:$F$24,0),MATCH(AM$17,$AK$17:$BB$17,0))*INDEX($10:$13,MATCH($O568,$R$10:$R$13,0),COLUMN())</f>
        <v>1.1106136132E-4</v>
      </c>
      <c r="AN568" s="1050" cm="1">
        <f t="array" aca="1" ref="AN568" ca="1">INDEX(OFFSET($AK$19,MATCH($B568,$B$19:$B$150,0)-1,0,COUNTA($B$19:$B$24),COUNTA($AK$17:$BB$17)),MATCH($F568,$F$19:$F$24,0),MATCH(AN$17,$AK$17:$BB$17,0))*INDEX($10:$13,MATCH($O568,$R$10:$R$13,0),COLUMN())</f>
        <v>1.5738318376000001E-3</v>
      </c>
      <c r="AO568" s="1050" cm="1">
        <f t="array" aca="1" ref="AO568" ca="1">INDEX(OFFSET($AK$19,MATCH($B568,$B$19:$B$150,0)-1,0,COUNTA($B$19:$B$24),COUNTA($AK$17:$BB$17)),MATCH($F568,$F$19:$F$24,0),MATCH(AO$17,$AK$17:$BB$17,0))*INDEX($10:$13,MATCH($O568,$R$10:$R$13,0),COLUMN())</f>
        <v>2.2886362112E-2</v>
      </c>
      <c r="AP568" s="1050" cm="1">
        <f t="array" aca="1" ref="AP568" ca="1">INDEX(OFFSET($AK$19,MATCH($B568,$B$19:$B$150,0)-1,0,COUNTA($B$19:$B$24),COUNTA($AK$17:$BB$17)),MATCH($F568,$F$19:$F$24,0),MATCH(AP$17,$AK$17:$BB$17,0))*INDEX($10:$13,MATCH($O568,$R$10:$R$13,0),COLUMN())</f>
        <v>8.9966096200000002E-3</v>
      </c>
      <c r="AQ568" s="1050" cm="1">
        <f t="array" aca="1" ref="AQ568" ca="1">INDEX(OFFSET($AK$19,MATCH($B568,$B$19:$B$150,0)-1,0,COUNTA($B$19:$B$24),COUNTA($AK$17:$BB$17)),MATCH($F568,$F$19:$F$24,0),MATCH(AQ$17,$AK$17:$BB$17,0))*INDEX($10:$13,MATCH($O568,$R$10:$R$13,0),COLUMN())</f>
        <v>5.8901991959999998E-5</v>
      </c>
      <c r="AR568" s="1050" cm="1">
        <f t="array" aca="1" ref="AR568" ca="1">INDEX(OFFSET($AK$19,MATCH($B568,$B$19:$B$150,0)-1,0,COUNTA($B$19:$B$24),COUNTA($AK$17:$BB$17)),MATCH($F568,$F$19:$F$24,0),MATCH(AR$17,$AK$17:$BB$17,0))*INDEX($10:$13,MATCH($O568,$R$10:$R$13,0),COLUMN())</f>
        <v>1.1761718019E-2</v>
      </c>
      <c r="AS568" s="1050" cm="1">
        <f t="array" aca="1" ref="AS568" ca="1">INDEX(OFFSET($AK$19,MATCH($B568,$B$19:$B$150,0)-1,0,COUNTA($B$19:$B$24),COUNTA($AK$17:$BB$17)),MATCH($F568,$F$19:$F$24,0),MATCH(AS$17,$AK$17:$BB$17,0))*INDEX($10:$13,MATCH($O568,$R$10:$R$13,0),COLUMN())</f>
        <v>1.3926906135E-4</v>
      </c>
      <c r="AT568" s="1050" cm="1">
        <f t="array" aca="1" ref="AT568" ca="1">INDEX(OFFSET($AK$19,MATCH($B568,$B$19:$B$150,0)-1,0,COUNTA($B$19:$B$24),COUNTA($AK$17:$BB$17)),MATCH($F568,$F$19:$F$24,0),MATCH(AT$17,$AK$17:$BB$17,0))*INDEX($10:$13,MATCH($O568,$R$10:$R$13,0),COLUMN())</f>
        <v>5.0196402310000001E-6</v>
      </c>
      <c r="AU568" s="1050" cm="1">
        <f t="array" aca="1" ref="AU568" ca="1">INDEX(OFFSET($AK$19,MATCH($B568,$B$19:$B$150,0)-1,0,COUNTA($B$19:$B$24),COUNTA($AK$17:$BB$17)),MATCH($F568,$F$19:$F$24,0),MATCH(AU$17,$AK$17:$BB$17,0))*INDEX($10:$13,MATCH($O568,$R$10:$R$13,0),COLUMN())</f>
        <v>1.0641387824999999E-6</v>
      </c>
      <c r="AV568" s="1050" cm="1">
        <f t="array" aca="1" ref="AV568" ca="1">INDEX(OFFSET($AK$19,MATCH($B568,$B$19:$B$150,0)-1,0,COUNTA($B$19:$B$24),COUNTA($AK$17:$BB$17)),MATCH($F568,$F$19:$F$24,0),MATCH(AV$17,$AK$17:$BB$17,0))*INDEX($10:$13,MATCH($O568,$R$10:$R$13,0),COLUMN())</f>
        <v>1.094759676E-3</v>
      </c>
      <c r="AW568" s="1050" cm="1">
        <f t="array" aca="1" ref="AW568" ca="1">INDEX(OFFSET($AK$19,MATCH($B568,$B$19:$B$150,0)-1,0,COUNTA($B$19:$B$24),COUNTA($AK$17:$BB$17)),MATCH($F568,$F$19:$F$24,0),MATCH(AW$17,$AK$17:$BB$17,0))*INDEX($10:$13,MATCH($O568,$R$10:$R$13,0),COLUMN())</f>
        <v>1.5226675940000001</v>
      </c>
      <c r="AX568" s="1050" cm="1">
        <f t="array" aca="1" ref="AX568" ca="1">INDEX(OFFSET($AK$19,MATCH($B568,$B$19:$B$150,0)-1,0,COUNTA($B$19:$B$24),COUNTA($AK$17:$BB$17)),MATCH($F568,$F$19:$F$24,0),MATCH(AX$17,$AK$17:$BB$17,0))*INDEX($10:$13,MATCH($O568,$R$10:$R$13,0),COLUMN())</f>
        <v>4.4887923960000005E-7</v>
      </c>
      <c r="AY568" s="1050" cm="1">
        <f t="array" aca="1" ref="AY568" ca="1">INDEX(OFFSET($AK$19,MATCH($B568,$B$19:$B$150,0)-1,0,COUNTA($B$19:$B$24),COUNTA($AK$17:$BB$17)),MATCH($F568,$F$19:$F$24,0),MATCH(AY$17,$AK$17:$BB$17,0))*INDEX($10:$13,MATCH($O568,$R$10:$R$13,0),COLUMN())</f>
        <v>-1.1568777395625001E-8</v>
      </c>
      <c r="AZ568" s="1050" cm="1">
        <f t="array" aca="1" ref="AZ568" ca="1">INDEX(OFFSET($AK$19,MATCH($B568,$B$19:$B$150,0)-1,0,COUNTA($B$19:$B$24),COUNTA($AK$17:$BB$17)),MATCH($F568,$F$19:$F$24,0),MATCH(AZ$17,$AK$17:$BB$17,0))*INDEX($10:$13,MATCH($O568,$R$10:$R$13,0),COLUMN())</f>
        <v>0</v>
      </c>
      <c r="BA568" s="1050" cm="1">
        <f t="array" aca="1" ref="BA568" ca="1">INDEX(OFFSET($AK$19,MATCH($B568,$B$19:$B$150,0)-1,0,COUNTA($B$19:$B$24),COUNTA($AK$17:$BB$17)),MATCH($F568,$F$19:$F$24,0),MATCH(BA$17,$AK$17:$BB$17,0))*INDEX($10:$13,MATCH($O568,$R$10:$R$13,0),COLUMN())</f>
        <v>0</v>
      </c>
      <c r="BB568" s="1051" cm="1">
        <f t="array" aca="1" ref="BB568" ca="1">INDEX(OFFSET($AK$19,MATCH($B568,$B$19:$B$150,0)-1,0,COUNTA($B$19:$B$24),COUNTA($AK$17:$BB$17)),MATCH($F568,$F$19:$F$24,0),MATCH(BB$17,$AK$17:$BB$17,0))*INDEX($10:$13,MATCH($O568,$R$10:$R$13,0),COLUMN())</f>
        <v>0</v>
      </c>
      <c r="BC568" s="1053">
        <f t="shared" ca="1" si="185"/>
        <v>1.5226680313104621</v>
      </c>
      <c r="BE568" s="1"/>
      <c r="BF568" s="1"/>
      <c r="BG568" s="1"/>
      <c r="BH568" s="1"/>
      <c r="BI568" s="1"/>
      <c r="BJ568" s="1"/>
      <c r="BK568" s="1"/>
      <c r="BL568" s="1"/>
      <c r="BM568" s="1"/>
      <c r="BN568" s="1"/>
      <c r="BO568" s="1"/>
      <c r="BP568" s="1"/>
      <c r="BQ568" s="1"/>
      <c r="BR568" s="1"/>
      <c r="BS568" s="1"/>
      <c r="BT568" s="1"/>
      <c r="BU568" s="1"/>
      <c r="BV568" s="1"/>
      <c r="BW568" s="1"/>
      <c r="BX568" s="1"/>
      <c r="BY568" s="1"/>
      <c r="BZ568" s="1"/>
    </row>
    <row r="569" spans="2:78" ht="12" customHeight="1" outlineLevel="1" x14ac:dyDescent="0.25">
      <c r="B569" s="104" t="s">
        <v>99</v>
      </c>
      <c r="C569" s="104" t="s">
        <v>121</v>
      </c>
      <c r="D569" s="2" t="s">
        <v>132</v>
      </c>
      <c r="E569" s="2" t="s">
        <v>99</v>
      </c>
      <c r="F569" s="105" t="s">
        <v>93</v>
      </c>
      <c r="G569" s="27" t="s">
        <v>1578</v>
      </c>
      <c r="H569" s="106" t="s">
        <v>130</v>
      </c>
      <c r="I569" s="107" t="s">
        <v>129</v>
      </c>
      <c r="J569" s="147">
        <v>3.72132342</v>
      </c>
      <c r="K569" s="148">
        <v>0.37839999999999996</v>
      </c>
      <c r="L569" s="149">
        <f t="shared" ca="1" si="186"/>
        <v>5.5646431384769972</v>
      </c>
      <c r="M569" s="148">
        <f t="shared" ca="1" si="187"/>
        <v>2.4840609635996955</v>
      </c>
      <c r="N569" s="148">
        <f t="shared" ca="1" si="184"/>
        <v>2.1056609635996955</v>
      </c>
      <c r="O569" s="1062" t="s">
        <v>1585</v>
      </c>
      <c r="P569" s="104"/>
      <c r="R569" s="119"/>
      <c r="S569" s="1072"/>
      <c r="T569" s="1072"/>
      <c r="U569" s="1072"/>
      <c r="V569" s="1072"/>
      <c r="W569" s="1072"/>
      <c r="X569" s="1072"/>
      <c r="Y569" s="1072"/>
      <c r="Z569" s="1072"/>
      <c r="AA569" s="1072"/>
      <c r="AB569" s="1072"/>
      <c r="AC569" s="1072"/>
      <c r="AD569" s="1072"/>
      <c r="AE569" s="1072"/>
      <c r="AF569" s="1072"/>
      <c r="AG569" s="1072"/>
      <c r="AH569" s="1072"/>
      <c r="AI569" s="1072"/>
      <c r="AJ569" s="1073"/>
      <c r="AK569" s="1052" cm="1">
        <f t="array" aca="1" ref="AK569" ca="1">INDEX(OFFSET($AK$19,MATCH($B569,$B$19:$B$150,0)-1,0,COUNTA($B$19:$B$24),COUNTA($AK$17:$BB$17)),MATCH($F569,$F$19:$F$24,0),MATCH(AK$17,$AK$17:$BB$17,0))*INDEX($10:$13,MATCH($O569,$R$10:$R$13,0),COLUMN())</f>
        <v>0.100421206293504</v>
      </c>
      <c r="AL569" s="1050" cm="1">
        <f t="array" aca="1" ref="AL569" ca="1">INDEX(OFFSET($AK$19,MATCH($B569,$B$19:$B$150,0)-1,0,COUNTA($B$19:$B$24),COUNTA($AK$17:$BB$17)),MATCH($F569,$F$19:$F$24,0),MATCH(AL$17,$AK$17:$BB$17,0))*INDEX($10:$13,MATCH($O569,$R$10:$R$13,0),COLUMN())</f>
        <v>8.8674479419999997E-8</v>
      </c>
      <c r="AM569" s="1050" cm="1">
        <f t="array" aca="1" ref="AM569" ca="1">INDEX(OFFSET($AK$19,MATCH($B569,$B$19:$B$150,0)-1,0,COUNTA($B$19:$B$24),COUNTA($AK$17:$BB$17)),MATCH($F569,$F$19:$F$24,0),MATCH(AM$17,$AK$17:$BB$17,0))*INDEX($10:$13,MATCH($O569,$R$10:$R$13,0),COLUMN())</f>
        <v>1.4189213038E-4</v>
      </c>
      <c r="AN569" s="1050" cm="1">
        <f t="array" aca="1" ref="AN569" ca="1">INDEX(OFFSET($AK$19,MATCH($B569,$B$19:$B$150,0)-1,0,COUNTA($B$19:$B$24),COUNTA($AK$17:$BB$17)),MATCH($F569,$F$19:$F$24,0),MATCH(AN$17,$AK$17:$BB$17,0))*INDEX($10:$13,MATCH($O569,$R$10:$R$13,0),COLUMN())</f>
        <v>2.010729368E-3</v>
      </c>
      <c r="AO569" s="1050" cm="1">
        <f t="array" aca="1" ref="AO569" ca="1">INDEX(OFFSET($AK$19,MATCH($B569,$B$19:$B$150,0)-1,0,COUNTA($B$19:$B$24),COUNTA($AK$17:$BB$17)),MATCH($F569,$F$19:$F$24,0),MATCH(AO$17,$AK$17:$BB$17,0))*INDEX($10:$13,MATCH($O569,$R$10:$R$13,0),COLUMN())</f>
        <v>2.9239644227999999E-2</v>
      </c>
      <c r="AP569" s="1050" cm="1">
        <f t="array" aca="1" ref="AP569" ca="1">INDEX(OFFSET($AK$19,MATCH($B569,$B$19:$B$150,0)-1,0,COUNTA($B$19:$B$24),COUNTA($AK$17:$BB$17)),MATCH($F569,$F$19:$F$24,0),MATCH(AP$17,$AK$17:$BB$17,0))*INDEX($10:$13,MATCH($O569,$R$10:$R$13,0),COLUMN())</f>
        <v>1.1494079526E-2</v>
      </c>
      <c r="AQ569" s="1050" cm="1">
        <f t="array" aca="1" ref="AQ569" ca="1">INDEX(OFFSET($AK$19,MATCH($B569,$B$19:$B$150,0)-1,0,COUNTA($B$19:$B$24),COUNTA($AK$17:$BB$17)),MATCH($F569,$F$19:$F$24,0),MATCH(AQ$17,$AK$17:$BB$17,0))*INDEX($10:$13,MATCH($O569,$R$10:$R$13,0),COLUMN())</f>
        <v>7.5253257609999988E-5</v>
      </c>
      <c r="AR569" s="1050" cm="1">
        <f t="array" aca="1" ref="AR569" ca="1">INDEX(OFFSET($AK$19,MATCH($B569,$B$19:$B$150,0)-1,0,COUNTA($B$19:$B$24),COUNTA($AK$17:$BB$17)),MATCH($F569,$F$19:$F$24,0),MATCH(AR$17,$AK$17:$BB$17,0))*INDEX($10:$13,MATCH($O569,$R$10:$R$13,0),COLUMN())</f>
        <v>1.5026785107E-2</v>
      </c>
      <c r="AS569" s="1050" cm="1">
        <f t="array" aca="1" ref="AS569" ca="1">INDEX(OFFSET($AK$19,MATCH($B569,$B$19:$B$150,0)-1,0,COUNTA($B$19:$B$24),COUNTA($AK$17:$BB$17)),MATCH($F569,$F$19:$F$24,0),MATCH(AS$17,$AK$17:$BB$17,0))*INDEX($10:$13,MATCH($O569,$R$10:$R$13,0),COLUMN())</f>
        <v>2.5259214904999999E-4</v>
      </c>
      <c r="AT569" s="1050" cm="1">
        <f t="array" aca="1" ref="AT569" ca="1">INDEX(OFFSET($AK$19,MATCH($B569,$B$19:$B$150,0)-1,0,COUNTA($B$19:$B$24),COUNTA($AK$17:$BB$17)),MATCH($F569,$F$19:$F$24,0),MATCH(AT$17,$AK$17:$BB$17,0))*INDEX($10:$13,MATCH($O569,$R$10:$R$13,0),COLUMN())</f>
        <v>6.4378264630000004E-6</v>
      </c>
      <c r="AU569" s="1050" cm="1">
        <f t="array" aca="1" ref="AU569" ca="1">INDEX(OFFSET($AK$19,MATCH($B569,$B$19:$B$150,0)-1,0,COUNTA($B$19:$B$24),COUNTA($AK$17:$BB$17)),MATCH($F569,$F$19:$F$24,0),MATCH(AU$17,$AK$17:$BB$17,0))*INDEX($10:$13,MATCH($O569,$R$10:$R$13,0),COLUMN())</f>
        <v>1.3622178348000001E-6</v>
      </c>
      <c r="AV569" s="1050" cm="1">
        <f t="array" aca="1" ref="AV569" ca="1">INDEX(OFFSET($AK$19,MATCH($B569,$B$19:$B$150,0)-1,0,COUNTA($B$19:$B$24),COUNTA($AK$17:$BB$17)),MATCH($F569,$F$19:$F$24,0),MATCH(AV$17,$AK$17:$BB$17,0))*INDEX($10:$13,MATCH($O569,$R$10:$R$13,0),COLUMN())</f>
        <v>1.628351613E-3</v>
      </c>
      <c r="AW569" s="1050" cm="1">
        <f t="array" aca="1" ref="AW569" ca="1">INDEX(OFFSET($AK$19,MATCH($B569,$B$19:$B$150,0)-1,0,COUNTA($B$19:$B$24),COUNTA($AK$17:$BB$17)),MATCH($F569,$F$19:$F$24,0),MATCH(AW$17,$AK$17:$BB$17,0))*INDEX($10:$13,MATCH($O569,$R$10:$R$13,0),COLUMN())</f>
        <v>1.9453619825000001</v>
      </c>
      <c r="AX569" s="1050" cm="1">
        <f t="array" aca="1" ref="AX569" ca="1">INDEX(OFFSET($AK$19,MATCH($B569,$B$19:$B$150,0)-1,0,COUNTA($B$19:$B$24),COUNTA($AK$17:$BB$17)),MATCH($F569,$F$19:$F$24,0),MATCH(AX$17,$AK$17:$BB$17,0))*INDEX($10:$13,MATCH($O569,$R$10:$R$13,0),COLUMN())</f>
        <v>5.7348865820000008E-7</v>
      </c>
      <c r="AY569" s="1050" cm="1">
        <f t="array" aca="1" ref="AY569" ca="1">INDEX(OFFSET($AK$19,MATCH($B569,$B$19:$B$150,0)-1,0,COUNTA($B$19:$B$24),COUNTA($AK$17:$BB$17)),MATCH($F569,$F$19:$F$24,0),MATCH(AY$17,$AK$17:$BB$17,0))*INDEX($10:$13,MATCH($O569,$R$10:$R$13,0),COLUMN())</f>
        <v>-1.4780284130625001E-8</v>
      </c>
      <c r="AZ569" s="1050" cm="1">
        <f t="array" aca="1" ref="AZ569" ca="1">INDEX(OFFSET($AK$19,MATCH($B569,$B$19:$B$150,0)-1,0,COUNTA($B$19:$B$24),COUNTA($AK$17:$BB$17)),MATCH($F569,$F$19:$F$24,0),MATCH(AZ$17,$AK$17:$BB$17,0))*INDEX($10:$13,MATCH($O569,$R$10:$R$13,0),COLUMN())</f>
        <v>0</v>
      </c>
      <c r="BA569" s="1050" cm="1">
        <f t="array" aca="1" ref="BA569" ca="1">INDEX(OFFSET($AK$19,MATCH($B569,$B$19:$B$150,0)-1,0,COUNTA($B$19:$B$24),COUNTA($AK$17:$BB$17)),MATCH($F569,$F$19:$F$24,0),MATCH(BA$17,$AK$17:$BB$17,0))*INDEX($10:$13,MATCH($O569,$R$10:$R$13,0),COLUMN())</f>
        <v>0</v>
      </c>
      <c r="BB569" s="1051" cm="1">
        <f t="array" aca="1" ref="BB569" ca="1">INDEX(OFFSET($AK$19,MATCH($B569,$B$19:$B$150,0)-1,0,COUNTA($B$19:$B$24),COUNTA($AK$17:$BB$17)),MATCH($F569,$F$19:$F$24,0),MATCH(BB$17,$AK$17:$BB$17,0))*INDEX($10:$13,MATCH($O569,$R$10:$R$13,0),COLUMN())</f>
        <v>0</v>
      </c>
      <c r="BC569" s="1053">
        <f t="shared" ca="1" si="185"/>
        <v>1.9453625412083742</v>
      </c>
      <c r="BE569" s="1"/>
      <c r="BF569" s="1"/>
      <c r="BG569" s="1"/>
      <c r="BH569" s="1"/>
      <c r="BI569" s="1"/>
      <c r="BJ569" s="1"/>
      <c r="BK569" s="1"/>
      <c r="BL569" s="1"/>
      <c r="BM569" s="1"/>
      <c r="BN569" s="1"/>
      <c r="BO569" s="1"/>
      <c r="BP569" s="1"/>
      <c r="BQ569" s="1"/>
      <c r="BR569" s="1"/>
      <c r="BS569" s="1"/>
      <c r="BT569" s="1"/>
      <c r="BU569" s="1"/>
      <c r="BV569" s="1"/>
      <c r="BW569" s="1"/>
      <c r="BX569" s="1"/>
      <c r="BY569" s="1"/>
      <c r="BZ569" s="1"/>
    </row>
    <row r="570" spans="2:78" ht="12" customHeight="1" outlineLevel="1" x14ac:dyDescent="0.25">
      <c r="B570" s="104" t="s">
        <v>99</v>
      </c>
      <c r="C570" s="104" t="s">
        <v>121</v>
      </c>
      <c r="D570" s="2" t="s">
        <v>132</v>
      </c>
      <c r="E570" s="2" t="s">
        <v>99</v>
      </c>
      <c r="F570" s="105" t="s">
        <v>94</v>
      </c>
      <c r="G570" s="27" t="s">
        <v>1580</v>
      </c>
      <c r="H570" s="106" t="s">
        <v>131</v>
      </c>
      <c r="I570" s="107" t="s">
        <v>129</v>
      </c>
      <c r="J570" s="147">
        <v>3.72132342</v>
      </c>
      <c r="K570" s="148">
        <v>0.37839999999999996</v>
      </c>
      <c r="L570" s="149">
        <f t="shared" ca="1" si="186"/>
        <v>3.5762796786893323</v>
      </c>
      <c r="M570" s="148">
        <f t="shared" ca="1" si="187"/>
        <v>1.731664230416043</v>
      </c>
      <c r="N570" s="148">
        <f t="shared" ca="1" si="184"/>
        <v>1.3532642304160432</v>
      </c>
      <c r="O570" s="1062" t="s">
        <v>1585</v>
      </c>
      <c r="P570" s="104"/>
      <c r="R570" s="119"/>
      <c r="S570" s="1072"/>
      <c r="T570" s="1072"/>
      <c r="U570" s="1072"/>
      <c r="V570" s="1072"/>
      <c r="W570" s="1072"/>
      <c r="X570" s="1072"/>
      <c r="Y570" s="1072"/>
      <c r="Z570" s="1072"/>
      <c r="AA570" s="1072"/>
      <c r="AB570" s="1072"/>
      <c r="AC570" s="1072"/>
      <c r="AD570" s="1072"/>
      <c r="AE570" s="1072"/>
      <c r="AF570" s="1072"/>
      <c r="AG570" s="1072"/>
      <c r="AH570" s="1072"/>
      <c r="AI570" s="1072"/>
      <c r="AJ570" s="1073"/>
      <c r="AK570" s="1052" cm="1">
        <f t="array" aca="1" ref="AK570" ca="1">INDEX(OFFSET($AK$19,MATCH($B570,$B$19:$B$150,0)-1,0,COUNTA($B$19:$B$24),COUNTA($AK$17:$BB$17)),MATCH($F570,$F$19:$F$24,0),MATCH(AK$17,$AK$17:$BB$17,0))*INDEX($10:$13,MATCH($O570,$R$10:$R$13,0),COLUMN())</f>
        <v>6.4557272721216002E-2</v>
      </c>
      <c r="AL570" s="1050" cm="1">
        <f t="array" aca="1" ref="AL570" ca="1">INDEX(OFFSET($AK$19,MATCH($B570,$B$19:$B$150,0)-1,0,COUNTA($B$19:$B$24),COUNTA($AK$17:$BB$17)),MATCH($F570,$F$19:$F$24,0),MATCH(AL$17,$AK$17:$BB$17,0))*INDEX($10:$13,MATCH($O570,$R$10:$R$13,0),COLUMN())</f>
        <v>5.7005709290000004E-8</v>
      </c>
      <c r="AM570" s="1050" cm="1">
        <f t="array" aca="1" ref="AM570" ca="1">INDEX(OFFSET($AK$19,MATCH($B570,$B$19:$B$150,0)-1,0,COUNTA($B$19:$B$24),COUNTA($AK$17:$BB$17)),MATCH($F570,$F$19:$F$24,0),MATCH(AM$17,$AK$17:$BB$17,0))*INDEX($10:$13,MATCH($O570,$R$10:$R$13,0),COLUMN())</f>
        <v>9.1217472840000001E-5</v>
      </c>
      <c r="AN570" s="1050" cm="1">
        <f t="array" aca="1" ref="AN570" ca="1">INDEX(OFFSET($AK$19,MATCH($B570,$B$19:$B$150,0)-1,0,COUNTA($B$19:$B$24),COUNTA($AK$17:$BB$17)),MATCH($F570,$F$19:$F$24,0),MATCH(AN$17,$AK$17:$BB$17,0))*INDEX($10:$13,MATCH($O570,$R$10:$R$13,0),COLUMN())</f>
        <v>1.2926274344000001E-3</v>
      </c>
      <c r="AO570" s="1050" cm="1">
        <f t="array" aca="1" ref="AO570" ca="1">INDEX(OFFSET($AK$19,MATCH($B570,$B$19:$B$150,0)-1,0,COUNTA($B$19:$B$24),COUNTA($AK$17:$BB$17)),MATCH($F570,$F$19:$F$24,0),MATCH(AO$17,$AK$17:$BB$17,0))*INDEX($10:$13,MATCH($O570,$R$10:$R$13,0),COLUMN())</f>
        <v>1.8797141983999999E-2</v>
      </c>
      <c r="AP570" s="1050" cm="1">
        <f t="array" aca="1" ref="AP570" ca="1">INDEX(OFFSET($AK$19,MATCH($B570,$B$19:$B$150,0)-1,0,COUNTA($B$19:$B$24),COUNTA($AK$17:$BB$17)),MATCH($F570,$F$19:$F$24,0),MATCH(AP$17,$AK$17:$BB$17,0))*INDEX($10:$13,MATCH($O570,$R$10:$R$13,0),COLUMN())</f>
        <v>7.3891407540000002E-3</v>
      </c>
      <c r="AQ570" s="1050" cm="1">
        <f t="array" aca="1" ref="AQ570" ca="1">INDEX(OFFSET($AK$19,MATCH($B570,$B$19:$B$150,0)-1,0,COUNTA($B$19:$B$24),COUNTA($AK$17:$BB$17)),MATCH($F570,$F$19:$F$24,0),MATCH(AQ$17,$AK$17:$BB$17,0))*INDEX($10:$13,MATCH($O570,$R$10:$R$13,0),COLUMN())</f>
        <v>4.8377679100000004E-5</v>
      </c>
      <c r="AR570" s="1050" cm="1">
        <f t="array" aca="1" ref="AR570" ca="1">INDEX(OFFSET($AK$19,MATCH($B570,$B$19:$B$150,0)-1,0,COUNTA($B$19:$B$24),COUNTA($AK$17:$BB$17)),MATCH($F570,$F$19:$F$24,0),MATCH(AR$17,$AK$17:$BB$17,0))*INDEX($10:$13,MATCH($O570,$R$10:$R$13,0),COLUMN())</f>
        <v>9.6601930539999999E-3</v>
      </c>
      <c r="AS570" s="1050" cm="1">
        <f t="array" aca="1" ref="AS570" ca="1">INDEX(OFFSET($AK$19,MATCH($B570,$B$19:$B$150,0)-1,0,COUNTA($B$19:$B$24),COUNTA($AK$17:$BB$17)),MATCH($F570,$F$19:$F$24,0),MATCH(AS$17,$AK$17:$BB$17,0))*INDEX($10:$13,MATCH($O570,$R$10:$R$13,0),COLUMN())</f>
        <v>6.6387675175000002E-5</v>
      </c>
      <c r="AT570" s="1050" cm="1">
        <f t="array" aca="1" ref="AT570" ca="1">INDEX(OFFSET($AK$19,MATCH($B570,$B$19:$B$150,0)-1,0,COUNTA($B$19:$B$24),COUNTA($AK$17:$BB$17)),MATCH($F570,$F$19:$F$24,0),MATCH(AT$17,$AK$17:$BB$17,0))*INDEX($10:$13,MATCH($O570,$R$10:$R$13,0),COLUMN())</f>
        <v>4.1068593889999996E-6</v>
      </c>
      <c r="AU570" s="1050" cm="1">
        <f t="array" aca="1" ref="AU570" ca="1">INDEX(OFFSET($AK$19,MATCH($B570,$B$19:$B$150,0)-1,0,COUNTA($B$19:$B$24),COUNTA($AK$17:$BB$17)),MATCH($F570,$F$19:$F$24,0),MATCH(AU$17,$AK$17:$BB$17,0))*INDEX($10:$13,MATCH($O570,$R$10:$R$13,0),COLUMN())</f>
        <v>8.7228549270000009E-7</v>
      </c>
      <c r="AV570" s="1050" cm="1">
        <f t="array" aca="1" ref="AV570" ca="1">INDEX(OFFSET($AK$19,MATCH($B570,$B$19:$B$150,0)-1,0,COUNTA($B$19:$B$24),COUNTA($AK$17:$BB$17)),MATCH($F570,$F$19:$F$24,0),MATCH(AV$17,$AK$17:$BB$17,0))*INDEX($10:$13,MATCH($O570,$R$10:$R$13,0),COLUMN())</f>
        <v>7.514968167000001E-4</v>
      </c>
      <c r="AW570" s="1050" cm="1">
        <f t="array" aca="1" ref="AW570" ca="1">INDEX(OFFSET($AK$19,MATCH($B570,$B$19:$B$150,0)-1,0,COUNTA($B$19:$B$24),COUNTA($AK$17:$BB$17)),MATCH($F570,$F$19:$F$24,0),MATCH(AW$17,$AK$17:$BB$17,0))*INDEX($10:$13,MATCH($O570,$R$10:$R$13,0),COLUMN())</f>
        <v>1.2506049795</v>
      </c>
      <c r="AX570" s="1050" cm="1">
        <f t="array" aca="1" ref="AX570" ca="1">INDEX(OFFSET($AK$19,MATCH($B570,$B$19:$B$150,0)-1,0,COUNTA($B$19:$B$24),COUNTA($AK$17:$BB$17)),MATCH($F570,$F$19:$F$24,0),MATCH(AX$17,$AK$17:$BB$17,0))*INDEX($10:$13,MATCH($O570,$R$10:$R$13,0),COLUMN())</f>
        <v>3.6867574745000004E-7</v>
      </c>
      <c r="AY570" s="1050" cm="1">
        <f t="array" aca="1" ref="AY570" ca="1">INDEX(OFFSET($AK$19,MATCH($B570,$B$19:$B$150,0)-1,0,COUNTA($B$19:$B$24),COUNTA($AK$17:$BB$17)),MATCH($F570,$F$19:$F$24,0),MATCH(AY$17,$AK$17:$BB$17,0))*INDEX($10:$13,MATCH($O570,$R$10:$R$13,0),COLUMN())</f>
        <v>-9.5017263618750008E-9</v>
      </c>
      <c r="AZ570" s="1050" cm="1">
        <f t="array" aca="1" ref="AZ570" ca="1">INDEX(OFFSET($AK$19,MATCH($B570,$B$19:$B$150,0)-1,0,COUNTA($B$19:$B$24),COUNTA($AK$17:$BB$17)),MATCH($F570,$F$19:$F$24,0),MATCH(AZ$17,$AK$17:$BB$17,0))*INDEX($10:$13,MATCH($O570,$R$10:$R$13,0),COLUMN())</f>
        <v>0</v>
      </c>
      <c r="BA570" s="1050" cm="1">
        <f t="array" aca="1" ref="BA570" ca="1">INDEX(OFFSET($AK$19,MATCH($B570,$B$19:$B$150,0)-1,0,COUNTA($B$19:$B$24),COUNTA($AK$17:$BB$17)),MATCH($F570,$F$19:$F$24,0),MATCH(BA$17,$AK$17:$BB$17,0))*INDEX($10:$13,MATCH($O570,$R$10:$R$13,0),COLUMN())</f>
        <v>0</v>
      </c>
      <c r="BB570" s="1051" cm="1">
        <f t="array" aca="1" ref="BB570" ca="1">INDEX(OFFSET($AK$19,MATCH($B570,$B$19:$B$150,0)-1,0,COUNTA($B$19:$B$24),COUNTA($AK$17:$BB$17)),MATCH($F570,$F$19:$F$24,0),MATCH(BB$17,$AK$17:$BB$17,0))*INDEX($10:$13,MATCH($O570,$R$10:$R$13,0),COLUMN())</f>
        <v>0</v>
      </c>
      <c r="BC570" s="1053">
        <f t="shared" ca="1" si="185"/>
        <v>1.2506053386740212</v>
      </c>
      <c r="BE570" s="1"/>
      <c r="BF570" s="1"/>
      <c r="BG570" s="1"/>
      <c r="BH570" s="1"/>
      <c r="BI570" s="1"/>
      <c r="BJ570" s="1"/>
      <c r="BK570" s="1"/>
      <c r="BL570" s="1"/>
      <c r="BM570" s="1"/>
      <c r="BN570" s="1"/>
      <c r="BO570" s="1"/>
      <c r="BP570" s="1"/>
      <c r="BQ570" s="1"/>
      <c r="BR570" s="1"/>
      <c r="BS570" s="1"/>
      <c r="BT570" s="1"/>
      <c r="BU570" s="1"/>
      <c r="BV570" s="1"/>
      <c r="BW570" s="1"/>
      <c r="BX570" s="1"/>
      <c r="BY570" s="1"/>
      <c r="BZ570" s="1"/>
    </row>
    <row r="571" spans="2:78" ht="12" customHeight="1" outlineLevel="1" x14ac:dyDescent="0.25">
      <c r="B571" s="104" t="s">
        <v>99</v>
      </c>
      <c r="C571" s="104" t="s">
        <v>121</v>
      </c>
      <c r="D571" s="2" t="s">
        <v>132</v>
      </c>
      <c r="E571" s="2" t="s">
        <v>99</v>
      </c>
      <c r="F571" s="105" t="s">
        <v>95</v>
      </c>
      <c r="G571" s="27" t="s">
        <v>1581</v>
      </c>
      <c r="H571" s="106" t="s">
        <v>128</v>
      </c>
      <c r="I571" s="107" t="s">
        <v>127</v>
      </c>
      <c r="J571" s="147">
        <v>3.72132342</v>
      </c>
      <c r="K571" s="148">
        <v>0.37839999999999996</v>
      </c>
      <c r="L571" s="149">
        <f t="shared" ca="1" si="186"/>
        <v>4.5616174117864734</v>
      </c>
      <c r="M571" s="148">
        <f t="shared" ca="1" si="187"/>
        <v>2.1045160286200013</v>
      </c>
      <c r="N571" s="148">
        <f t="shared" ca="1" si="184"/>
        <v>1.7261160286200015</v>
      </c>
      <c r="O571" s="1062" t="s">
        <v>1585</v>
      </c>
      <c r="P571" s="104"/>
      <c r="R571" s="119"/>
      <c r="S571" s="1072"/>
      <c r="T571" s="1072"/>
      <c r="U571" s="1072"/>
      <c r="V571" s="1072"/>
      <c r="W571" s="1072"/>
      <c r="X571" s="1072"/>
      <c r="Y571" s="1072"/>
      <c r="Z571" s="1072"/>
      <c r="AA571" s="1072"/>
      <c r="AB571" s="1072"/>
      <c r="AC571" s="1072"/>
      <c r="AD571" s="1072"/>
      <c r="AE571" s="1072"/>
      <c r="AF571" s="1072"/>
      <c r="AG571" s="1072"/>
      <c r="AH571" s="1072"/>
      <c r="AI571" s="1072"/>
      <c r="AJ571" s="1073"/>
      <c r="AK571" s="1052" cm="1">
        <f t="array" aca="1" ref="AK571" ca="1">INDEX(OFFSET($AK$19,MATCH($B571,$B$19:$B$150,0)-1,0,COUNTA($B$19:$B$24),COUNTA($AK$17:$BB$17)),MATCH($F571,$F$19:$F$24,0),MATCH(AK$17,$AK$17:$BB$17,0))*INDEX($10:$13,MATCH($O571,$R$10:$R$13,0),COLUMN())</f>
        <v>9.1327556495615997E-2</v>
      </c>
      <c r="AL571" s="1050" cm="1">
        <f t="array" aca="1" ref="AL571" ca="1">INDEX(OFFSET($AK$19,MATCH($B571,$B$19:$B$150,0)-1,0,COUNTA($B$19:$B$24),COUNTA($AK$17:$BB$17)),MATCH($F571,$F$19:$F$24,0),MATCH(AL$17,$AK$17:$BB$17,0))*INDEX($10:$13,MATCH($O571,$R$10:$R$13,0),COLUMN())</f>
        <v>6.993859907000001E-8</v>
      </c>
      <c r="AM571" s="1050" cm="1">
        <f t="array" aca="1" ref="AM571" ca="1">INDEX(OFFSET($AK$19,MATCH($B571,$B$19:$B$150,0)-1,0,COUNTA($B$19:$B$24),COUNTA($AK$17:$BB$17)),MATCH($F571,$F$19:$F$24,0),MATCH(AM$17,$AK$17:$BB$17,0))*INDEX($10:$13,MATCH($O571,$R$10:$R$13,0),COLUMN())</f>
        <v>1.1190786022000001E-4</v>
      </c>
      <c r="AN571" s="1050" cm="1">
        <f t="array" aca="1" ref="AN571" ca="1">INDEX(OFFSET($AK$19,MATCH($B571,$B$19:$B$150,0)-1,0,COUNTA($B$19:$B$24),COUNTA($AK$17:$BB$17)),MATCH($F571,$F$19:$F$24,0),MATCH(AN$17,$AK$17:$BB$17,0))*INDEX($10:$13,MATCH($O571,$R$10:$R$13,0),COLUMN())</f>
        <v>1.6841739328000002E-3</v>
      </c>
      <c r="AO571" s="1050" cm="1">
        <f t="array" aca="1" ref="AO571" ca="1">INDEX(OFFSET($AK$19,MATCH($B571,$B$19:$B$150,0)-1,0,COUNTA($B$19:$B$24),COUNTA($AK$17:$BB$17)),MATCH($F571,$F$19:$F$24,0),MATCH(AO$17,$AK$17:$BB$17,0))*INDEX($10:$13,MATCH($O571,$R$10:$R$13,0),COLUMN())</f>
        <v>5.3474689415999997E-2</v>
      </c>
      <c r="AP571" s="1050" cm="1">
        <f t="array" aca="1" ref="AP571" ca="1">INDEX(OFFSET($AK$19,MATCH($B571,$B$19:$B$150,0)-1,0,COUNTA($B$19:$B$24),COUNTA($AK$17:$BB$17)),MATCH($F571,$F$19:$F$24,0),MATCH(AP$17,$AK$17:$BB$17,0))*INDEX($10:$13,MATCH($O571,$R$10:$R$13,0),COLUMN())</f>
        <v>3.0518408133999999E-2</v>
      </c>
      <c r="AQ571" s="1050" cm="1">
        <f t="array" aca="1" ref="AQ571" ca="1">INDEX(OFFSET($AK$19,MATCH($B571,$B$19:$B$150,0)-1,0,COUNTA($B$19:$B$24),COUNTA($AK$17:$BB$17)),MATCH($F571,$F$19:$F$24,0),MATCH(AQ$17,$AK$17:$BB$17,0))*INDEX($10:$13,MATCH($O571,$R$10:$R$13,0),COLUMN())</f>
        <v>2.3307874459999996E-4</v>
      </c>
      <c r="AR571" s="1050" cm="1">
        <f t="array" aca="1" ref="AR571" ca="1">INDEX(OFFSET($AK$19,MATCH($B571,$B$19:$B$150,0)-1,0,COUNTA($B$19:$B$24),COUNTA($AK$17:$BB$17)),MATCH($F571,$F$19:$F$24,0),MATCH(AR$17,$AK$17:$BB$17,0))*INDEX($10:$13,MATCH($O571,$R$10:$R$13,0),COLUMN())</f>
        <v>1.6794282698999997E-2</v>
      </c>
      <c r="AS571" s="1050" cm="1">
        <f t="array" aca="1" ref="AS571" ca="1">INDEX(OFFSET($AK$19,MATCH($B571,$B$19:$B$150,0)-1,0,COUNTA($B$19:$B$24),COUNTA($AK$17:$BB$17)),MATCH($F571,$F$19:$F$24,0),MATCH(AS$17,$AK$17:$BB$17,0))*INDEX($10:$13,MATCH($O571,$R$10:$R$13,0),COLUMN())</f>
        <v>2.7568716824999998E-3</v>
      </c>
      <c r="AT571" s="1050" cm="1">
        <f t="array" aca="1" ref="AT571" ca="1">INDEX(OFFSET($AK$19,MATCH($B571,$B$19:$B$150,0)-1,0,COUNTA($B$19:$B$24),COUNTA($AK$17:$BB$17)),MATCH($F571,$F$19:$F$24,0),MATCH(AT$17,$AK$17:$BB$17,0))*INDEX($10:$13,MATCH($O571,$R$10:$R$13,0),COLUMN())</f>
        <v>6.9534503090000005E-6</v>
      </c>
      <c r="AU571" s="1050" cm="1">
        <f t="array" aca="1" ref="AU571" ca="1">INDEX(OFFSET($AK$19,MATCH($B571,$B$19:$B$150,0)-1,0,COUNTA($B$19:$B$24),COUNTA($AK$17:$BB$17)),MATCH($F571,$F$19:$F$24,0),MATCH(AU$17,$AK$17:$BB$17,0))*INDEX($10:$13,MATCH($O571,$R$10:$R$13,0),COLUMN())</f>
        <v>1.3599298953E-6</v>
      </c>
      <c r="AV571" s="1050" cm="1">
        <f t="array" aca="1" ref="AV571" ca="1">INDEX(OFFSET($AK$19,MATCH($B571,$B$19:$B$150,0)-1,0,COUNTA($B$19:$B$24),COUNTA($AK$17:$BB$17)),MATCH($F571,$F$19:$F$24,0),MATCH(AV$17,$AK$17:$BB$17,0))*INDEX($10:$13,MATCH($O571,$R$10:$R$13,0),COLUMN())</f>
        <v>6.5386450259999999E-3</v>
      </c>
      <c r="AW571" s="1050" cm="1">
        <f t="array" aca="1" ref="AW571" ca="1">INDEX(OFFSET($AK$19,MATCH($B571,$B$19:$B$150,0)-1,0,COUNTA($B$19:$B$24),COUNTA($AK$17:$BB$17)),MATCH($F571,$F$19:$F$24,0),MATCH(AW$17,$AK$17:$BB$17,0))*INDEX($10:$13,MATCH($O571,$R$10:$R$13,0),COLUMN())</f>
        <v>1.5226675940000001</v>
      </c>
      <c r="AX571" s="1050" cm="1">
        <f t="array" aca="1" ref="AX571" ca="1">INDEX(OFFSET($AK$19,MATCH($B571,$B$19:$B$150,0)-1,0,COUNTA($B$19:$B$24),COUNTA($AK$17:$BB$17)),MATCH($F571,$F$19:$F$24,0),MATCH(AX$17,$AK$17:$BB$17,0))*INDEX($10:$13,MATCH($O571,$R$10:$R$13,0),COLUMN())</f>
        <v>4.4887923960000005E-7</v>
      </c>
      <c r="AY571" s="1050" cm="1">
        <f t="array" aca="1" ref="AY571" ca="1">INDEX(OFFSET($AK$19,MATCH($B571,$B$19:$B$150,0)-1,0,COUNTA($B$19:$B$24),COUNTA($AK$17:$BB$17)),MATCH($F571,$F$19:$F$24,0),MATCH(AY$17,$AK$17:$BB$17,0))*INDEX($10:$13,MATCH($O571,$R$10:$R$13,0),COLUMN())</f>
        <v>-1.1568777395625001E-8</v>
      </c>
      <c r="AZ571" s="1050" cm="1">
        <f t="array" aca="1" ref="AZ571" ca="1">INDEX(OFFSET($AK$19,MATCH($B571,$B$19:$B$150,0)-1,0,COUNTA($B$19:$B$24),COUNTA($AK$17:$BB$17)),MATCH($F571,$F$19:$F$24,0),MATCH(AZ$17,$AK$17:$BB$17,0))*INDEX($10:$13,MATCH($O571,$R$10:$R$13,0),COLUMN())</f>
        <v>0</v>
      </c>
      <c r="BA571" s="1050" cm="1">
        <f t="array" aca="1" ref="BA571" ca="1">INDEX(OFFSET($AK$19,MATCH($B571,$B$19:$B$150,0)-1,0,COUNTA($B$19:$B$24),COUNTA($AK$17:$BB$17)),MATCH($F571,$F$19:$F$24,0),MATCH(BA$17,$AK$17:$BB$17,0))*INDEX($10:$13,MATCH($O571,$R$10:$R$13,0),COLUMN())</f>
        <v>0</v>
      </c>
      <c r="BB571" s="1051" cm="1">
        <f t="array" aca="1" ref="BB571" ca="1">INDEX(OFFSET($AK$19,MATCH($B571,$B$19:$B$150,0)-1,0,COUNTA($B$19:$B$24),COUNTA($AK$17:$BB$17)),MATCH($F571,$F$19:$F$24,0),MATCH(BB$17,$AK$17:$BB$17,0))*INDEX($10:$13,MATCH($O571,$R$10:$R$13,0),COLUMN())</f>
        <v>0</v>
      </c>
      <c r="BC571" s="1053">
        <f t="shared" ca="1" si="185"/>
        <v>1.5226680313104621</v>
      </c>
      <c r="BE571" s="1"/>
      <c r="BF571" s="1"/>
      <c r="BG571" s="1"/>
      <c r="BH571" s="1"/>
      <c r="BI571" s="1"/>
      <c r="BJ571" s="1"/>
      <c r="BK571" s="1"/>
      <c r="BL571" s="1"/>
      <c r="BM571" s="1"/>
      <c r="BN571" s="1"/>
      <c r="BO571" s="1"/>
      <c r="BP571" s="1"/>
      <c r="BQ571" s="1"/>
      <c r="BR571" s="1"/>
      <c r="BS571" s="1"/>
      <c r="BT571" s="1"/>
      <c r="BU571" s="1"/>
      <c r="BV571" s="1"/>
      <c r="BW571" s="1"/>
      <c r="BX571" s="1"/>
      <c r="BY571" s="1"/>
      <c r="BZ571" s="1"/>
    </row>
    <row r="572" spans="2:78" ht="12" customHeight="1" outlineLevel="1" x14ac:dyDescent="0.25">
      <c r="B572" s="104" t="s">
        <v>99</v>
      </c>
      <c r="C572" s="104" t="s">
        <v>121</v>
      </c>
      <c r="D572" s="2" t="s">
        <v>132</v>
      </c>
      <c r="E572" s="2" t="s">
        <v>99</v>
      </c>
      <c r="F572" s="105" t="s">
        <v>96</v>
      </c>
      <c r="G572" s="27" t="s">
        <v>1582</v>
      </c>
      <c r="H572" s="106" t="s">
        <v>128</v>
      </c>
      <c r="I572" s="107" t="s">
        <v>1577</v>
      </c>
      <c r="J572" s="147">
        <v>3.72132342</v>
      </c>
      <c r="K572" s="148">
        <v>0.37839999999999996</v>
      </c>
      <c r="L572" s="149">
        <f t="shared" ca="1" si="186"/>
        <v>4.7129140878238474</v>
      </c>
      <c r="M572" s="148">
        <f t="shared" ca="1" si="187"/>
        <v>2.1617666908325437</v>
      </c>
      <c r="N572" s="148">
        <f t="shared" ca="1" si="184"/>
        <v>1.7833666908325436</v>
      </c>
      <c r="O572" s="1062" t="s">
        <v>1585</v>
      </c>
      <c r="P572" s="104"/>
      <c r="R572" s="119"/>
      <c r="S572" s="1072"/>
      <c r="T572" s="1072"/>
      <c r="U572" s="1072"/>
      <c r="V572" s="1072"/>
      <c r="W572" s="1072"/>
      <c r="X572" s="1072"/>
      <c r="Y572" s="1072"/>
      <c r="Z572" s="1072"/>
      <c r="AA572" s="1072"/>
      <c r="AB572" s="1072"/>
      <c r="AC572" s="1072"/>
      <c r="AD572" s="1072"/>
      <c r="AE572" s="1072"/>
      <c r="AF572" s="1072"/>
      <c r="AG572" s="1072"/>
      <c r="AH572" s="1072"/>
      <c r="AI572" s="1072"/>
      <c r="AJ572" s="1073"/>
      <c r="AK572" s="1052" cm="1">
        <f t="array" aca="1" ref="AK572" ca="1">INDEX(OFFSET($AK$19,MATCH($B572,$B$19:$B$150,0)-1,0,COUNTA($B$19:$B$24),COUNTA($AK$17:$BB$17)),MATCH($F572,$F$19:$F$24,0),MATCH(AK$17,$AK$17:$BB$17,0))*INDEX($10:$13,MATCH($O572,$R$10:$R$13,0),COLUMN())</f>
        <v>0.100448207744064</v>
      </c>
      <c r="AL572" s="1050" cm="1">
        <f t="array" aca="1" ref="AL572" ca="1">INDEX(OFFSET($AK$19,MATCH($B572,$B$19:$B$150,0)-1,0,COUNTA($B$19:$B$24),COUNTA($AK$17:$BB$17)),MATCH($F572,$F$19:$F$24,0),MATCH(AL$17,$AK$17:$BB$17,0))*INDEX($10:$13,MATCH($O572,$R$10:$R$13,0),COLUMN())</f>
        <v>7.028552605000001E-8</v>
      </c>
      <c r="AM572" s="1050" cm="1">
        <f t="array" aca="1" ref="AM572" ca="1">INDEX(OFFSET($AK$19,MATCH($B572,$B$19:$B$150,0)-1,0,COUNTA($B$19:$B$24),COUNTA($AK$17:$BB$17)),MATCH($F572,$F$19:$F$24,0),MATCH(AM$17,$AK$17:$BB$17,0))*INDEX($10:$13,MATCH($O572,$R$10:$R$13,0),COLUMN())</f>
        <v>1.1246030458000001E-4</v>
      </c>
      <c r="AN572" s="1050" cm="1">
        <f t="array" aca="1" ref="AN572" ca="1">INDEX(OFFSET($AK$19,MATCH($B572,$B$19:$B$150,0)-1,0,COUNTA($B$19:$B$24),COUNTA($AK$17:$BB$17)),MATCH($F572,$F$19:$F$24,0),MATCH(AN$17,$AK$17:$BB$17,0))*INDEX($10:$13,MATCH($O572,$R$10:$R$13,0),COLUMN())</f>
        <v>1.7561849272E-3</v>
      </c>
      <c r="AO572" s="1050" cm="1">
        <f t="array" aca="1" ref="AO572" ca="1">INDEX(OFFSET($AK$19,MATCH($B572,$B$19:$B$150,0)-1,0,COUNTA($B$19:$B$24),COUNTA($AK$17:$BB$17)),MATCH($F572,$F$19:$F$24,0),MATCH(AO$17,$AK$17:$BB$17,0))*INDEX($10:$13,MATCH($O572,$R$10:$R$13,0),COLUMN())</f>
        <v>7.5713054959999998E-2</v>
      </c>
      <c r="AP572" s="1050" cm="1">
        <f t="array" aca="1" ref="AP572" ca="1">INDEX(OFFSET($AK$19,MATCH($B572,$B$19:$B$150,0)-1,0,COUNTA($B$19:$B$24),COUNTA($AK$17:$BB$17)),MATCH($F572,$F$19:$F$24,0),MATCH(AP$17,$AK$17:$BB$17,0))*INDEX($10:$13,MATCH($O572,$R$10:$R$13,0),COLUMN())</f>
        <v>4.6196763218000002E-2</v>
      </c>
      <c r="AQ572" s="1050" cm="1">
        <f t="array" aca="1" ref="AQ572" ca="1">INDEX(OFFSET($AK$19,MATCH($B572,$B$19:$B$150,0)-1,0,COUNTA($B$19:$B$24),COUNTA($AK$17:$BB$17)),MATCH($F572,$F$19:$F$24,0),MATCH(AQ$17,$AK$17:$BB$17,0))*INDEX($10:$13,MATCH($O572,$R$10:$R$13,0),COLUMN())</f>
        <v>3.5712382999999993E-4</v>
      </c>
      <c r="AR572" s="1050" cm="1">
        <f t="array" aca="1" ref="AR572" ca="1">INDEX(OFFSET($AK$19,MATCH($B572,$B$19:$B$150,0)-1,0,COUNTA($B$19:$B$24),COUNTA($AK$17:$BB$17)),MATCH($F572,$F$19:$F$24,0),MATCH(AR$17,$AK$17:$BB$17,0))*INDEX($10:$13,MATCH($O572,$R$10:$R$13,0),COLUMN())</f>
        <v>2.0463395699999998E-2</v>
      </c>
      <c r="AS572" s="1050" cm="1">
        <f t="array" aca="1" ref="AS572" ca="1">INDEX(OFFSET($AK$19,MATCH($B572,$B$19:$B$150,0)-1,0,COUNTA($B$19:$B$24),COUNTA($AK$17:$BB$17)),MATCH($F572,$F$19:$F$24,0),MATCH(AS$17,$AK$17:$BB$17,0))*INDEX($10:$13,MATCH($O572,$R$10:$R$13,0),COLUMN())</f>
        <v>4.6183470419999999E-3</v>
      </c>
      <c r="AT572" s="1050" cm="1">
        <f t="array" aca="1" ref="AT572" ca="1">INDEX(OFFSET($AK$19,MATCH($B572,$B$19:$B$150,0)-1,0,COUNTA($B$19:$B$24),COUNTA($AK$17:$BB$17)),MATCH($F572,$F$19:$F$24,0),MATCH(AT$17,$AK$17:$BB$17,0))*INDEX($10:$13,MATCH($O572,$R$10:$R$13,0),COLUMN())</f>
        <v>7.7908712649999997E-6</v>
      </c>
      <c r="AU572" s="1050" cm="1">
        <f t="array" aca="1" ref="AU572" ca="1">INDEX(OFFSET($AK$19,MATCH($B572,$B$19:$B$150,0)-1,0,COUNTA($B$19:$B$24),COUNTA($AK$17:$BB$17)),MATCH($F572,$F$19:$F$24,0),MATCH(AU$17,$AK$17:$BB$17,0))*INDEX($10:$13,MATCH($O572,$R$10:$R$13,0),COLUMN())</f>
        <v>1.4795184465000001E-6</v>
      </c>
      <c r="AV572" s="1050" cm="1">
        <f t="array" aca="1" ref="AV572" ca="1">INDEX(OFFSET($AK$19,MATCH($B572,$B$19:$B$150,0)-1,0,COUNTA($B$19:$B$24),COUNTA($AK$17:$BB$17)),MATCH($F572,$F$19:$F$24,0),MATCH(AV$17,$AK$17:$BB$17,0))*INDEX($10:$13,MATCH($O572,$R$10:$R$13,0),COLUMN())</f>
        <v>1.1023781121E-2</v>
      </c>
      <c r="AW572" s="1050" cm="1">
        <f t="array" aca="1" ref="AW572" ca="1">INDEX(OFFSET($AK$19,MATCH($B572,$B$19:$B$150,0)-1,0,COUNTA($B$19:$B$24),COUNTA($AK$17:$BB$17)),MATCH($F572,$F$19:$F$24,0),MATCH(AW$17,$AK$17:$BB$17,0))*INDEX($10:$13,MATCH($O572,$R$10:$R$13,0),COLUMN())</f>
        <v>1.5226675940000001</v>
      </c>
      <c r="AX572" s="1050" cm="1">
        <f t="array" aca="1" ref="AX572" ca="1">INDEX(OFFSET($AK$19,MATCH($B572,$B$19:$B$150,0)-1,0,COUNTA($B$19:$B$24),COUNTA($AK$17:$BB$17)),MATCH($F572,$F$19:$F$24,0),MATCH(AX$17,$AK$17:$BB$17,0))*INDEX($10:$13,MATCH($O572,$R$10:$R$13,0),COLUMN())</f>
        <v>4.4887923960000005E-7</v>
      </c>
      <c r="AY572" s="1050" cm="1">
        <f t="array" aca="1" ref="AY572" ca="1">INDEX(OFFSET($AK$19,MATCH($B572,$B$19:$B$150,0)-1,0,COUNTA($B$19:$B$24),COUNTA($AK$17:$BB$17)),MATCH($F572,$F$19:$F$24,0),MATCH(AY$17,$AK$17:$BB$17,0))*INDEX($10:$13,MATCH($O572,$R$10:$R$13,0),COLUMN())</f>
        <v>-1.1568777395625001E-8</v>
      </c>
      <c r="AZ572" s="1050" cm="1">
        <f t="array" aca="1" ref="AZ572" ca="1">INDEX(OFFSET($AK$19,MATCH($B572,$B$19:$B$150,0)-1,0,COUNTA($B$19:$B$24),COUNTA($AK$17:$BB$17)),MATCH($F572,$F$19:$F$24,0),MATCH(AZ$17,$AK$17:$BB$17,0))*INDEX($10:$13,MATCH($O572,$R$10:$R$13,0),COLUMN())</f>
        <v>0</v>
      </c>
      <c r="BA572" s="1050" cm="1">
        <f t="array" aca="1" ref="BA572" ca="1">INDEX(OFFSET($AK$19,MATCH($B572,$B$19:$B$150,0)-1,0,COUNTA($B$19:$B$24),COUNTA($AK$17:$BB$17)),MATCH($F572,$F$19:$F$24,0),MATCH(BA$17,$AK$17:$BB$17,0))*INDEX($10:$13,MATCH($O572,$R$10:$R$13,0),COLUMN())</f>
        <v>0</v>
      </c>
      <c r="BB572" s="1051" cm="1">
        <f t="array" aca="1" ref="BB572" ca="1">INDEX(OFFSET($AK$19,MATCH($B572,$B$19:$B$150,0)-1,0,COUNTA($B$19:$B$24),COUNTA($AK$17:$BB$17)),MATCH($F572,$F$19:$F$24,0),MATCH(BB$17,$AK$17:$BB$17,0))*INDEX($10:$13,MATCH($O572,$R$10:$R$13,0),COLUMN())</f>
        <v>0</v>
      </c>
      <c r="BC572" s="1053">
        <f t="shared" ca="1" si="185"/>
        <v>1.5226680313104621</v>
      </c>
      <c r="BE572" s="1"/>
      <c r="BF572" s="1"/>
      <c r="BG572" s="1"/>
      <c r="BH572" s="1"/>
      <c r="BI572" s="1"/>
      <c r="BJ572" s="1"/>
      <c r="BK572" s="1"/>
      <c r="BL572" s="1"/>
      <c r="BM572" s="1"/>
      <c r="BN572" s="1"/>
      <c r="BO572" s="1"/>
      <c r="BP572" s="1"/>
      <c r="BQ572" s="1"/>
      <c r="BR572" s="1"/>
      <c r="BS572" s="1"/>
      <c r="BT572" s="1"/>
      <c r="BU572" s="1"/>
      <c r="BV572" s="1"/>
      <c r="BW572" s="1"/>
      <c r="BX572" s="1"/>
      <c r="BY572" s="1"/>
      <c r="BZ572" s="1"/>
    </row>
    <row r="573" spans="2:78" ht="12" customHeight="1" outlineLevel="1" x14ac:dyDescent="0.25">
      <c r="B573" s="88" t="s">
        <v>100</v>
      </c>
      <c r="C573" s="88" t="s">
        <v>121</v>
      </c>
      <c r="D573" s="89" t="s">
        <v>132</v>
      </c>
      <c r="E573" s="89" t="s">
        <v>135</v>
      </c>
      <c r="F573" s="90" t="s">
        <v>92</v>
      </c>
      <c r="G573" s="18" t="s">
        <v>126</v>
      </c>
      <c r="H573" s="91" t="s">
        <v>127</v>
      </c>
      <c r="I573" s="92" t="s">
        <v>127</v>
      </c>
      <c r="J573" s="142">
        <v>3.7523941999999999</v>
      </c>
      <c r="K573" s="143">
        <v>0.19027961896782761</v>
      </c>
      <c r="L573" s="144">
        <f t="shared" ca="1" si="186"/>
        <v>7.0415970934818182</v>
      </c>
      <c r="M573" s="143">
        <f t="shared" ca="1" si="187"/>
        <v>1.5301520308405103</v>
      </c>
      <c r="N573" s="162">
        <f t="shared" ca="1" si="184"/>
        <v>1.3398724118726828</v>
      </c>
      <c r="O573" s="1060" t="s">
        <v>1585</v>
      </c>
      <c r="P573" s="88"/>
      <c r="Q573" s="89"/>
      <c r="R573" s="150"/>
      <c r="S573" s="1070"/>
      <c r="T573" s="1070"/>
      <c r="U573" s="1070"/>
      <c r="V573" s="1070"/>
      <c r="W573" s="1070"/>
      <c r="X573" s="1070"/>
      <c r="Y573" s="1070"/>
      <c r="Z573" s="1070"/>
      <c r="AA573" s="1070"/>
      <c r="AB573" s="1070"/>
      <c r="AC573" s="1070"/>
      <c r="AD573" s="1070"/>
      <c r="AE573" s="1070"/>
      <c r="AF573" s="1070"/>
      <c r="AG573" s="1070"/>
      <c r="AH573" s="1070"/>
      <c r="AI573" s="1070"/>
      <c r="AJ573" s="1071"/>
      <c r="AK573" s="1048" cm="1">
        <f t="array" aca="1" ref="AK573" ca="1">INDEX(OFFSET($AK$19,MATCH($B573,$B$19:$B$150,0)-1,0,COUNTA($B$19:$B$24),COUNTA($AK$17:$BB$17)),MATCH($F573,$F$19:$F$24,0),MATCH(AK$17,$AK$17:$BB$17,0))*INDEX($10:$13,MATCH($O573,$R$10:$R$13,0),COLUMN())</f>
        <v>0.13786385270649598</v>
      </c>
      <c r="AL573" s="1046" cm="1">
        <f t="array" aca="1" ref="AL573" ca="1">INDEX(OFFSET($AK$19,MATCH($B573,$B$19:$B$150,0)-1,0,COUNTA($B$19:$B$24),COUNTA($AK$17:$BB$17)),MATCH($F573,$F$19:$F$24,0),MATCH(AL$17,$AK$17:$BB$17,0))*INDEX($10:$13,MATCH($O573,$R$10:$R$13,0),COLUMN())</f>
        <v>8.7137405620000001E-8</v>
      </c>
      <c r="AM573" s="1046" cm="1">
        <f t="array" aca="1" ref="AM573" ca="1">INDEX(OFFSET($AK$19,MATCH($B573,$B$19:$B$150,0)-1,0,COUNTA($B$19:$B$24),COUNTA($AK$17:$BB$17)),MATCH($F573,$F$19:$F$24,0),MATCH(AM$17,$AK$17:$BB$17,0))*INDEX($10:$13,MATCH($O573,$R$10:$R$13,0),COLUMN())</f>
        <v>1.4194592048000001E-4</v>
      </c>
      <c r="AN573" s="1046" cm="1">
        <f t="array" aca="1" ref="AN573" ca="1">INDEX(OFFSET($AK$19,MATCH($B573,$B$19:$B$150,0)-1,0,COUNTA($B$19:$B$24),COUNTA($AK$17:$BB$17)),MATCH($F573,$F$19:$F$24,0),MATCH(AN$17,$AK$17:$BB$17,0))*INDEX($10:$13,MATCH($O573,$R$10:$R$13,0),COLUMN())</f>
        <v>1.0663207376000001E-3</v>
      </c>
      <c r="AO573" s="1046" cm="1">
        <f t="array" aca="1" ref="AO573" ca="1">INDEX(OFFSET($AK$19,MATCH($B573,$B$19:$B$150,0)-1,0,COUNTA($B$19:$B$24),COUNTA($AK$17:$BB$17)),MATCH($F573,$F$19:$F$24,0),MATCH(AO$17,$AK$17:$BB$17,0))*INDEX($10:$13,MATCH($O573,$R$10:$R$13,0),COLUMN())</f>
        <v>5.4971405644E-2</v>
      </c>
      <c r="AP573" s="1046" cm="1">
        <f t="array" aca="1" ref="AP573" ca="1">INDEX(OFFSET($AK$19,MATCH($B573,$B$19:$B$150,0)-1,0,COUNTA($B$19:$B$24),COUNTA($AK$17:$BB$17)),MATCH($F573,$F$19:$F$24,0),MATCH(AP$17,$AK$17:$BB$17,0))*INDEX($10:$13,MATCH($O573,$R$10:$R$13,0),COLUMN())</f>
        <v>3.4279118157999999E-2</v>
      </c>
      <c r="AQ573" s="1046" cm="1">
        <f t="array" aca="1" ref="AQ573" ca="1">INDEX(OFFSET($AK$19,MATCH($B573,$B$19:$B$150,0)-1,0,COUNTA($B$19:$B$24),COUNTA($AK$17:$BB$17)),MATCH($F573,$F$19:$F$24,0),MATCH(AQ$17,$AK$17:$BB$17,0))*INDEX($10:$13,MATCH($O573,$R$10:$R$13,0),COLUMN())</f>
        <v>2.6754017189999996E-4</v>
      </c>
      <c r="AR573" s="1046" cm="1">
        <f t="array" aca="1" ref="AR573" ca="1">INDEX(OFFSET($AK$19,MATCH($B573,$B$19:$B$150,0)-1,0,COUNTA($B$19:$B$24),COUNTA($AK$17:$BB$17)),MATCH($F573,$F$19:$F$24,0),MATCH(AR$17,$AK$17:$BB$17,0))*INDEX($10:$13,MATCH($O573,$R$10:$R$13,0),COLUMN())</f>
        <v>2.1698409355E-2</v>
      </c>
      <c r="AS573" s="1046" cm="1">
        <f t="array" aca="1" ref="AS573" ca="1">INDEX(OFFSET($AK$19,MATCH($B573,$B$19:$B$150,0)-1,0,COUNTA($B$19:$B$24),COUNTA($AK$17:$BB$17)),MATCH($F573,$F$19:$F$24,0),MATCH(AS$17,$AK$17:$BB$17,0))*INDEX($10:$13,MATCH($O573,$R$10:$R$13,0),COLUMN())</f>
        <v>0.14351484475000001</v>
      </c>
      <c r="AT573" s="1046" cm="1">
        <f t="array" aca="1" ref="AT573" ca="1">INDEX(OFFSET($AK$19,MATCH($B573,$B$19:$B$150,0)-1,0,COUNTA($B$19:$B$24),COUNTA($AK$17:$BB$17)),MATCH($F573,$F$19:$F$24,0),MATCH(AT$17,$AK$17:$BB$17,0))*INDEX($10:$13,MATCH($O573,$R$10:$R$13,0),COLUMN())</f>
        <v>1.5990874227999997E-4</v>
      </c>
      <c r="AU573" s="1046" cm="1">
        <f t="array" aca="1" ref="AU573" ca="1">INDEX(OFFSET($AK$19,MATCH($B573,$B$19:$B$150,0)-1,0,COUNTA($B$19:$B$24),COUNTA($AK$17:$BB$17)),MATCH($F573,$F$19:$F$24,0),MATCH(AU$17,$AK$17:$BB$17,0))*INDEX($10:$13,MATCH($O573,$R$10:$R$13,0),COLUMN())</f>
        <v>8.8218820710000009E-6</v>
      </c>
      <c r="AV573" s="1046" cm="1">
        <f t="array" aca="1" ref="AV573" ca="1">INDEX(OFFSET($AK$19,MATCH($B573,$B$19:$B$150,0)-1,0,COUNTA($B$19:$B$24),COUNTA($AK$17:$BB$17)),MATCH($F573,$F$19:$F$24,0),MATCH(AV$17,$AK$17:$BB$17,0))*INDEX($10:$13,MATCH($O573,$R$10:$R$13,0),COLUMN())</f>
        <v>7.2231676379999991E-3</v>
      </c>
      <c r="AW573" s="1046" cm="1">
        <f t="array" aca="1" ref="AW573" ca="1">INDEX(OFFSET($AK$19,MATCH($B573,$B$19:$B$150,0)-1,0,COUNTA($B$19:$B$24),COUNTA($AK$17:$BB$17)),MATCH($F573,$F$19:$F$24,0),MATCH(AW$17,$AK$17:$BB$17,0))*INDEX($10:$13,MATCH($O573,$R$10:$R$13,0),COLUMN())</f>
        <v>0.93867563900000006</v>
      </c>
      <c r="AX573" s="1046" cm="1">
        <f t="array" aca="1" ref="AX573" ca="1">INDEX(OFFSET($AK$19,MATCH($B573,$B$19:$B$150,0)-1,0,COUNTA($B$19:$B$24),COUNTA($AK$17:$BB$17)),MATCH($F573,$F$19:$F$24,0),MATCH(AX$17,$AK$17:$BB$17,0))*INDEX($10:$13,MATCH($O573,$R$10:$R$13,0),COLUMN())</f>
        <v>1.3866891345000001E-6</v>
      </c>
      <c r="AY573" s="1046" cm="1">
        <f t="array" aca="1" ref="AY573" ca="1">INDEX(OFFSET($AK$19,MATCH($B573,$B$19:$B$150,0)-1,0,COUNTA($B$19:$B$24),COUNTA($AK$17:$BB$17)),MATCH($F573,$F$19:$F$24,0),MATCH(AY$17,$AK$17:$BB$17,0))*INDEX($10:$13,MATCH($O573,$R$10:$R$13,0),COLUMN())</f>
        <v>-3.6659684437499999E-8</v>
      </c>
      <c r="AZ573" s="1046" cm="1">
        <f t="array" aca="1" ref="AZ573" ca="1">INDEX(OFFSET($AK$19,MATCH($B573,$B$19:$B$150,0)-1,0,COUNTA($B$19:$B$24),COUNTA($AK$17:$BB$17)),MATCH($F573,$F$19:$F$24,0),MATCH(AZ$17,$AK$17:$BB$17,0))*INDEX($10:$13,MATCH($O573,$R$10:$R$13,0),COLUMN())</f>
        <v>0</v>
      </c>
      <c r="BA573" s="1046" cm="1">
        <f t="array" aca="1" ref="BA573" ca="1">INDEX(OFFSET($AK$19,MATCH($B573,$B$19:$B$150,0)-1,0,COUNTA($B$19:$B$24),COUNTA($AK$17:$BB$17)),MATCH($F573,$F$19:$F$24,0),MATCH(BA$17,$AK$17:$BB$17,0))*INDEX($10:$13,MATCH($O573,$R$10:$R$13,0),COLUMN())</f>
        <v>0</v>
      </c>
      <c r="BB573" s="1047" cm="1">
        <f t="array" aca="1" ref="BB573" ca="1">INDEX(OFFSET($AK$19,MATCH($B573,$B$19:$B$150,0)-1,0,COUNTA($B$19:$B$24),COUNTA($AK$17:$BB$17)),MATCH($F573,$F$19:$F$24,0),MATCH(BB$17,$AK$17:$BB$17,0))*INDEX($10:$13,MATCH($O573,$R$10:$R$13,0),COLUMN())</f>
        <v>0</v>
      </c>
      <c r="BC573" s="1049">
        <f t="shared" ca="1" si="185"/>
        <v>0.93867698902945018</v>
      </c>
      <c r="BE573" s="1"/>
      <c r="BF573" s="1"/>
      <c r="BG573" s="1"/>
      <c r="BH573" s="1"/>
      <c r="BI573" s="1"/>
      <c r="BJ573" s="1"/>
      <c r="BK573" s="1"/>
      <c r="BL573" s="1"/>
      <c r="BM573" s="1"/>
      <c r="BN573" s="1"/>
      <c r="BO573" s="1"/>
      <c r="BP573" s="1"/>
      <c r="BQ573" s="1"/>
      <c r="BR573" s="1"/>
      <c r="BS573" s="1"/>
      <c r="BT573" s="1"/>
      <c r="BU573" s="1"/>
      <c r="BV573" s="1"/>
      <c r="BW573" s="1"/>
      <c r="BX573" s="1"/>
      <c r="BY573" s="1"/>
      <c r="BZ573" s="1"/>
    </row>
    <row r="574" spans="2:78" ht="12" customHeight="1" outlineLevel="1" x14ac:dyDescent="0.25">
      <c r="B574" s="104" t="s">
        <v>100</v>
      </c>
      <c r="C574" s="104" t="s">
        <v>121</v>
      </c>
      <c r="D574" s="2" t="s">
        <v>132</v>
      </c>
      <c r="E574" s="2" t="s">
        <v>135</v>
      </c>
      <c r="F574" s="105" t="s">
        <v>122</v>
      </c>
      <c r="G574" s="27" t="s">
        <v>1579</v>
      </c>
      <c r="H574" s="106" t="s">
        <v>128</v>
      </c>
      <c r="I574" s="107" t="s">
        <v>129</v>
      </c>
      <c r="J574" s="147">
        <v>3.7523941999999999</v>
      </c>
      <c r="K574" s="148">
        <v>0.4056506487491307</v>
      </c>
      <c r="L574" s="149">
        <f t="shared" ca="1" si="186"/>
        <v>3.5916004588881556</v>
      </c>
      <c r="M574" s="148">
        <f t="shared" ca="1" si="187"/>
        <v>1.8625857049447865</v>
      </c>
      <c r="N574" s="163">
        <f t="shared" ca="1" si="184"/>
        <v>1.4569350561956558</v>
      </c>
      <c r="O574" s="1061" t="s">
        <v>1585</v>
      </c>
      <c r="P574" s="104"/>
      <c r="R574" s="119"/>
      <c r="S574" s="1072"/>
      <c r="T574" s="1072"/>
      <c r="U574" s="1072"/>
      <c r="V574" s="1072"/>
      <c r="W574" s="1072"/>
      <c r="X574" s="1072"/>
      <c r="Y574" s="1072"/>
      <c r="Z574" s="1072"/>
      <c r="AA574" s="1072"/>
      <c r="AB574" s="1072"/>
      <c r="AC574" s="1072"/>
      <c r="AD574" s="1072"/>
      <c r="AE574" s="1072"/>
      <c r="AF574" s="1072"/>
      <c r="AG574" s="1072"/>
      <c r="AH574" s="1072"/>
      <c r="AI574" s="1072"/>
      <c r="AJ574" s="1073"/>
      <c r="AK574" s="1052" cm="1">
        <f t="array" aca="1" ref="AK574" ca="1">INDEX(OFFSET($AK$19,MATCH($B574,$B$19:$B$150,0)-1,0,COUNTA($B$19:$B$24),COUNTA($AK$17:$BB$17)),MATCH($F574,$F$19:$F$24,0),MATCH(AK$17,$AK$17:$BB$17,0))*INDEX($10:$13,MATCH($O574,$R$10:$R$13,0),COLUMN())</f>
        <v>7.997060013983999E-2</v>
      </c>
      <c r="AL574" s="1050" cm="1">
        <f t="array" aca="1" ref="AL574" ca="1">INDEX(OFFSET($AK$19,MATCH($B574,$B$19:$B$150,0)-1,0,COUNTA($B$19:$B$24),COUNTA($AK$17:$BB$17)),MATCH($F574,$F$19:$F$24,0),MATCH(AL$17,$AK$17:$BB$17,0))*INDEX($10:$13,MATCH($O574,$R$10:$R$13,0),COLUMN())</f>
        <v>6.2815787930000003E-8</v>
      </c>
      <c r="AM574" s="1050" cm="1">
        <f t="array" aca="1" ref="AM574" ca="1">INDEX(OFFSET($AK$19,MATCH($B574,$B$19:$B$150,0)-1,0,COUNTA($B$19:$B$24),COUNTA($AK$17:$BB$17)),MATCH($F574,$F$19:$F$24,0),MATCH(AM$17,$AK$17:$BB$17,0))*INDEX($10:$13,MATCH($O574,$R$10:$R$13,0),COLUMN())</f>
        <v>1.0049296114E-4</v>
      </c>
      <c r="AN574" s="1050" cm="1">
        <f t="array" aca="1" ref="AN574" ca="1">INDEX(OFFSET($AK$19,MATCH($B574,$B$19:$B$150,0)-1,0,COUNTA($B$19:$B$24),COUNTA($AK$17:$BB$17)),MATCH($F574,$F$19:$F$24,0),MATCH(AN$17,$AK$17:$BB$17,0))*INDEX($10:$13,MATCH($O574,$R$10:$R$13,0),COLUMN())</f>
        <v>1.3890747144E-3</v>
      </c>
      <c r="AO574" s="1050" cm="1">
        <f t="array" aca="1" ref="AO574" ca="1">INDEX(OFFSET($AK$19,MATCH($B574,$B$19:$B$150,0)-1,0,COUNTA($B$19:$B$24),COUNTA($AK$17:$BB$17)),MATCH($F574,$F$19:$F$24,0),MATCH(AO$17,$AK$17:$BB$17,0))*INDEX($10:$13,MATCH($O574,$R$10:$R$13,0),COLUMN())</f>
        <v>2.0153158827999999E-2</v>
      </c>
      <c r="AP574" s="1050" cm="1">
        <f t="array" aca="1" ref="AP574" ca="1">INDEX(OFFSET($AK$19,MATCH($B574,$B$19:$B$150,0)-1,0,COUNTA($B$19:$B$24),COUNTA($AK$17:$BB$17)),MATCH($F574,$F$19:$F$24,0),MATCH(AP$17,$AK$17:$BB$17,0))*INDEX($10:$13,MATCH($O574,$R$10:$R$13,0),COLUMN())</f>
        <v>7.9082318059999993E-3</v>
      </c>
      <c r="AQ574" s="1050" cm="1">
        <f t="array" aca="1" ref="AQ574" ca="1">INDEX(OFFSET($AK$19,MATCH($B574,$B$19:$B$150,0)-1,0,COUNTA($B$19:$B$24),COUNTA($AK$17:$BB$17)),MATCH($F574,$F$19:$F$24,0),MATCH(AQ$17,$AK$17:$BB$17,0))*INDEX($10:$13,MATCH($O574,$R$10:$R$13,0),COLUMN())</f>
        <v>5.1672617120000002E-5</v>
      </c>
      <c r="AR574" s="1050" cm="1">
        <f t="array" aca="1" ref="AR574" ca="1">INDEX(OFFSET($AK$19,MATCH($B574,$B$19:$B$150,0)-1,0,COUNTA($B$19:$B$24),COUNTA($AK$17:$BB$17)),MATCH($F574,$F$19:$F$24,0),MATCH(AR$17,$AK$17:$BB$17,0))*INDEX($10:$13,MATCH($O574,$R$10:$R$13,0),COLUMN())</f>
        <v>1.1163135075E-2</v>
      </c>
      <c r="AS574" s="1050" cm="1">
        <f t="array" aca="1" ref="AS574" ca="1">INDEX(OFFSET($AK$19,MATCH($B574,$B$19:$B$150,0)-1,0,COUNTA($B$19:$B$24),COUNTA($AK$17:$BB$17)),MATCH($F574,$F$19:$F$24,0),MATCH(AS$17,$AK$17:$BB$17,0))*INDEX($10:$13,MATCH($O574,$R$10:$R$13,0),COLUMN())</f>
        <v>-7.2504115414999995E-5</v>
      </c>
      <c r="AT574" s="1050" cm="1">
        <f t="array" aca="1" ref="AT574" ca="1">INDEX(OFFSET($AK$19,MATCH($B574,$B$19:$B$150,0)-1,0,COUNTA($B$19:$B$24),COUNTA($AK$17:$BB$17)),MATCH($F574,$F$19:$F$24,0),MATCH(AT$17,$AK$17:$BB$17,0))*INDEX($10:$13,MATCH($O574,$R$10:$R$13,0),COLUMN())</f>
        <v>4.3312682819999994E-6</v>
      </c>
      <c r="AU574" s="1050" cm="1">
        <f t="array" aca="1" ref="AU574" ca="1">INDEX(OFFSET($AK$19,MATCH($B574,$B$19:$B$150,0)-1,0,COUNTA($B$19:$B$24),COUNTA($AK$17:$BB$17)),MATCH($F574,$F$19:$F$24,0),MATCH(AU$17,$AK$17:$BB$17,0))*INDEX($10:$13,MATCH($O574,$R$10:$R$13,0),COLUMN())</f>
        <v>9.2615079510000001E-7</v>
      </c>
      <c r="AV574" s="1050" cm="1">
        <f t="array" aca="1" ref="AV574" ca="1">INDEX(OFFSET($AK$19,MATCH($B574,$B$19:$B$150,0)-1,0,COUNTA($B$19:$B$24),COUNTA($AK$17:$BB$17)),MATCH($F574,$F$19:$F$24,0),MATCH(AV$17,$AK$17:$BB$17,0))*INDEX($10:$13,MATCH($O574,$R$10:$R$13,0),COLUMN())</f>
        <v>5.7843839430000001E-4</v>
      </c>
      <c r="AW574" s="1050" cm="1">
        <f t="array" aca="1" ref="AW574" ca="1">INDEX(OFFSET($AK$19,MATCH($B574,$B$19:$B$150,0)-1,0,COUNTA($B$19:$B$24),COUNTA($AK$17:$BB$17)),MATCH($F574,$F$19:$F$24,0),MATCH(AW$17,$AK$17:$BB$17,0))*INDEX($10:$13,MATCH($O574,$R$10:$R$13,0),COLUMN())</f>
        <v>1.3356870485000001</v>
      </c>
      <c r="AX574" s="1050" cm="1">
        <f t="array" aca="1" ref="AX574" ca="1">INDEX(OFFSET($AK$19,MATCH($B574,$B$19:$B$150,0)-1,0,COUNTA($B$19:$B$24),COUNTA($AK$17:$BB$17)),MATCH($F574,$F$19:$F$24,0),MATCH(AX$17,$AK$17:$BB$17,0))*INDEX($10:$13,MATCH($O574,$R$10:$R$13,0),COLUMN())</f>
        <v>3.9727931985000004E-7</v>
      </c>
      <c r="AY574" s="1050" cm="1">
        <f t="array" aca="1" ref="AY574" ca="1">INDEX(OFFSET($AK$19,MATCH($B574,$B$19:$B$150,0)-1,0,COUNTA($B$19:$B$24),COUNTA($AK$17:$BB$17)),MATCH($F574,$F$19:$F$24,0),MATCH(AY$17,$AK$17:$BB$17,0))*INDEX($10:$13,MATCH($O574,$R$10:$R$13,0),COLUMN())</f>
        <v>-1.0238914199999999E-8</v>
      </c>
      <c r="AZ574" s="1050" cm="1">
        <f t="array" aca="1" ref="AZ574" ca="1">INDEX(OFFSET($AK$19,MATCH($B574,$B$19:$B$150,0)-1,0,COUNTA($B$19:$B$24),COUNTA($AK$17:$BB$17)),MATCH($F574,$F$19:$F$24,0),MATCH(AZ$17,$AK$17:$BB$17,0))*INDEX($10:$13,MATCH($O574,$R$10:$R$13,0),COLUMN())</f>
        <v>0</v>
      </c>
      <c r="BA574" s="1050" cm="1">
        <f t="array" aca="1" ref="BA574" ca="1">INDEX(OFFSET($AK$19,MATCH($B574,$B$19:$B$150,0)-1,0,COUNTA($B$19:$B$24),COUNTA($AK$17:$BB$17)),MATCH($F574,$F$19:$F$24,0),MATCH(BA$17,$AK$17:$BB$17,0))*INDEX($10:$13,MATCH($O574,$R$10:$R$13,0),COLUMN())</f>
        <v>0</v>
      </c>
      <c r="BB574" s="1051" cm="1">
        <f t="array" aca="1" ref="BB574" ca="1">INDEX(OFFSET($AK$19,MATCH($B574,$B$19:$B$150,0)-1,0,COUNTA($B$19:$B$24),COUNTA($AK$17:$BB$17)),MATCH($F574,$F$19:$F$24,0),MATCH(BB$17,$AK$17:$BB$17,0))*INDEX($10:$13,MATCH($O574,$R$10:$R$13,0),COLUMN())</f>
        <v>0</v>
      </c>
      <c r="BC574" s="1053">
        <f t="shared" ca="1" si="185"/>
        <v>1.3356874355404058</v>
      </c>
      <c r="BE574" s="1"/>
      <c r="BF574" s="1"/>
      <c r="BG574" s="1"/>
      <c r="BH574" s="1"/>
      <c r="BI574" s="1"/>
      <c r="BJ574" s="1"/>
      <c r="BK574" s="1"/>
      <c r="BL574" s="1"/>
      <c r="BM574" s="1"/>
      <c r="BN574" s="1"/>
      <c r="BO574" s="1"/>
      <c r="BP574" s="1"/>
      <c r="BQ574" s="1"/>
      <c r="BR574" s="1"/>
      <c r="BS574" s="1"/>
      <c r="BT574" s="1"/>
      <c r="BU574" s="1"/>
      <c r="BV574" s="1"/>
      <c r="BW574" s="1"/>
      <c r="BX574" s="1"/>
      <c r="BY574" s="1"/>
      <c r="BZ574" s="1"/>
    </row>
    <row r="575" spans="2:78" ht="12" customHeight="1" outlineLevel="1" x14ac:dyDescent="0.25">
      <c r="B575" s="104" t="s">
        <v>100</v>
      </c>
      <c r="C575" s="104" t="s">
        <v>121</v>
      </c>
      <c r="D575" s="2" t="s">
        <v>132</v>
      </c>
      <c r="E575" s="2" t="s">
        <v>135</v>
      </c>
      <c r="F575" s="105" t="s">
        <v>93</v>
      </c>
      <c r="G575" s="27" t="s">
        <v>1578</v>
      </c>
      <c r="H575" s="106" t="s">
        <v>130</v>
      </c>
      <c r="I575" s="107" t="s">
        <v>129</v>
      </c>
      <c r="J575" s="147">
        <v>3.7523941999999999</v>
      </c>
      <c r="K575" s="148">
        <v>0.4056506487491307</v>
      </c>
      <c r="L575" s="149">
        <f t="shared" ca="1" si="186"/>
        <v>4.5666678867491211</v>
      </c>
      <c r="M575" s="148">
        <f t="shared" ca="1" si="187"/>
        <v>2.2581224396307333</v>
      </c>
      <c r="N575" s="163">
        <f t="shared" ca="1" si="184"/>
        <v>1.8524717908816026</v>
      </c>
      <c r="O575" s="1061" t="s">
        <v>1585</v>
      </c>
      <c r="P575" s="104"/>
      <c r="R575" s="119"/>
      <c r="S575" s="1072"/>
      <c r="T575" s="1072"/>
      <c r="U575" s="1072"/>
      <c r="V575" s="1072"/>
      <c r="W575" s="1072"/>
      <c r="X575" s="1072"/>
      <c r="Y575" s="1072"/>
      <c r="Z575" s="1072"/>
      <c r="AA575" s="1072"/>
      <c r="AB575" s="1072"/>
      <c r="AC575" s="1072"/>
      <c r="AD575" s="1072"/>
      <c r="AE575" s="1072"/>
      <c r="AF575" s="1072"/>
      <c r="AG575" s="1072"/>
      <c r="AH575" s="1072"/>
      <c r="AI575" s="1072"/>
      <c r="AJ575" s="1073"/>
      <c r="AK575" s="1052" cm="1">
        <f t="array" aca="1" ref="AK575" ca="1">INDEX(OFFSET($AK$19,MATCH($B575,$B$19:$B$150,0)-1,0,COUNTA($B$19:$B$24),COUNTA($AK$17:$BB$17)),MATCH($F575,$F$19:$F$24,0),MATCH(AK$17,$AK$17:$BB$17,0))*INDEX($10:$13,MATCH($O575,$R$10:$R$13,0),COLUMN())</f>
        <v>0.10166171545420799</v>
      </c>
      <c r="AL575" s="1050" cm="1">
        <f t="array" aca="1" ref="AL575" ca="1">INDEX(OFFSET($AK$19,MATCH($B575,$B$19:$B$150,0)-1,0,COUNTA($B$19:$B$24),COUNTA($AK$17:$BB$17)),MATCH($F575,$F$19:$F$24,0),MATCH(AL$17,$AK$17:$BB$17,0))*INDEX($10:$13,MATCH($O575,$R$10:$R$13,0),COLUMN())</f>
        <v>7.9853853870000012E-8</v>
      </c>
      <c r="AM575" s="1050" cm="1">
        <f t="array" aca="1" ref="AM575" ca="1">INDEX(OFFSET($AK$19,MATCH($B575,$B$19:$B$150,0)-1,0,COUNTA($B$19:$B$24),COUNTA($AK$17:$BB$17)),MATCH($F575,$F$19:$F$24,0),MATCH(AM$17,$AK$17:$BB$17,0))*INDEX($10:$13,MATCH($O575,$R$10:$R$13,0),COLUMN())</f>
        <v>1.2775053069999999E-4</v>
      </c>
      <c r="AN575" s="1050" cm="1">
        <f t="array" aca="1" ref="AN575" ca="1">INDEX(OFFSET($AK$19,MATCH($B575,$B$19:$B$150,0)-1,0,COUNTA($B$19:$B$24),COUNTA($AK$17:$BB$17)),MATCH($F575,$F$19:$F$24,0),MATCH(AN$17,$AK$17:$BB$17,0))*INDEX($10:$13,MATCH($O575,$R$10:$R$13,0),COLUMN())</f>
        <v>1.7658453872E-3</v>
      </c>
      <c r="AO575" s="1050" cm="1">
        <f t="array" aca="1" ref="AO575" ca="1">INDEX(OFFSET($AK$19,MATCH($B575,$B$19:$B$150,0)-1,0,COUNTA($B$19:$B$24),COUNTA($AK$17:$BB$17)),MATCH($F575,$F$19:$F$24,0),MATCH(AO$17,$AK$17:$BB$17,0))*INDEX($10:$13,MATCH($O575,$R$10:$R$13,0),COLUMN())</f>
        <v>2.5619472983999997E-2</v>
      </c>
      <c r="AP575" s="1050" cm="1">
        <f t="array" aca="1" ref="AP575" ca="1">INDEX(OFFSET($AK$19,MATCH($B575,$B$19:$B$150,0)-1,0,COUNTA($B$19:$B$24),COUNTA($AK$17:$BB$17)),MATCH($F575,$F$19:$F$24,0),MATCH(AP$17,$AK$17:$BB$17,0))*INDEX($10:$13,MATCH($O575,$R$10:$R$13,0),COLUMN())</f>
        <v>1.0053249550000001E-2</v>
      </c>
      <c r="AQ575" s="1050" cm="1">
        <f t="array" aca="1" ref="AQ575" ca="1">INDEX(OFFSET($AK$19,MATCH($B575,$B$19:$B$150,0)-1,0,COUNTA($B$19:$B$24),COUNTA($AK$17:$BB$17)),MATCH($F575,$F$19:$F$24,0),MATCH(AQ$17,$AK$17:$BB$17,0))*INDEX($10:$13,MATCH($O575,$R$10:$R$13,0),COLUMN())</f>
        <v>6.5688224600000001E-5</v>
      </c>
      <c r="AR575" s="1050" cm="1">
        <f t="array" aca="1" ref="AR575" ca="1">INDEX(OFFSET($AK$19,MATCH($B575,$B$19:$B$150,0)-1,0,COUNTA($B$19:$B$24),COUNTA($AK$17:$BB$17)),MATCH($F575,$F$19:$F$24,0),MATCH(AR$17,$AK$17:$BB$17,0))*INDEX($10:$13,MATCH($O575,$R$10:$R$13,0),COLUMN())</f>
        <v>1.4191008372E-2</v>
      </c>
      <c r="AS575" s="1050" cm="1">
        <f t="array" aca="1" ref="AS575" ca="1">INDEX(OFFSET($AK$19,MATCH($B575,$B$19:$B$150,0)-1,0,COUNTA($B$19:$B$24),COUNTA($AK$17:$BB$17)),MATCH($F575,$F$19:$F$24,0),MATCH(AS$17,$AK$17:$BB$17,0))*INDEX($10:$13,MATCH($O575,$R$10:$R$13,0),COLUMN())</f>
        <v>5.1784075024999999E-6</v>
      </c>
      <c r="AT575" s="1050" cm="1">
        <f t="array" aca="1" ref="AT575" ca="1">INDEX(OFFSET($AK$19,MATCH($B575,$B$19:$B$150,0)-1,0,COUNTA($B$19:$B$24),COUNTA($AK$17:$BB$17)),MATCH($F575,$F$19:$F$24,0),MATCH(AT$17,$AK$17:$BB$17,0))*INDEX($10:$13,MATCH($O575,$R$10:$R$13,0),COLUMN())</f>
        <v>5.5392506E-6</v>
      </c>
      <c r="AU575" s="1050" cm="1">
        <f t="array" aca="1" ref="AU575" ca="1">INDEX(OFFSET($AK$19,MATCH($B575,$B$19:$B$150,0)-1,0,COUNTA($B$19:$B$24),COUNTA($AK$17:$BB$17)),MATCH($F575,$F$19:$F$24,0),MATCH(AU$17,$AK$17:$BB$17,0))*INDEX($10:$13,MATCH($O575,$R$10:$R$13,0),COLUMN())</f>
        <v>1.1808794412000002E-6</v>
      </c>
      <c r="AV575" s="1050" cm="1">
        <f t="array" aca="1" ref="AV575" ca="1">INDEX(OFFSET($AK$19,MATCH($B575,$B$19:$B$150,0)-1,0,COUNTA($B$19:$B$24),COUNTA($AK$17:$BB$17)),MATCH($F575,$F$19:$F$24,0),MATCH(AV$17,$AK$17:$BB$17,0))*INDEX($10:$13,MATCH($O575,$R$10:$R$13,0),COLUMN())</f>
        <v>9.9761746680000003E-4</v>
      </c>
      <c r="AW575" s="1050" cm="1">
        <f t="array" aca="1" ref="AW575" ca="1">INDEX(OFFSET($AK$19,MATCH($B575,$B$19:$B$150,0)-1,0,COUNTA($B$19:$B$24),COUNTA($AK$17:$BB$17)),MATCH($F575,$F$19:$F$24,0),MATCH(AW$17,$AK$17:$BB$17,0))*INDEX($10:$13,MATCH($O575,$R$10:$R$13,0),COLUMN())</f>
        <v>1.6979769725</v>
      </c>
      <c r="AX575" s="1050" cm="1">
        <f t="array" aca="1" ref="AX575" ca="1">INDEX(OFFSET($AK$19,MATCH($B575,$B$19:$B$150,0)-1,0,COUNTA($B$19:$B$24),COUNTA($AK$17:$BB$17)),MATCH($F575,$F$19:$F$24,0),MATCH(AX$17,$AK$17:$BB$17,0))*INDEX($10:$13,MATCH($O575,$R$10:$R$13,0),COLUMN())</f>
        <v>5.0503680000000001E-7</v>
      </c>
      <c r="AY575" s="1050" cm="1">
        <f t="array" aca="1" ref="AY575" ca="1">INDEX(OFFSET($AK$19,MATCH($B575,$B$19:$B$150,0)-1,0,COUNTA($B$19:$B$24),COUNTA($AK$17:$BB$17)),MATCH($F575,$F$19:$F$24,0),MATCH(AY$17,$AK$17:$BB$17,0))*INDEX($10:$13,MATCH($O575,$R$10:$R$13,0),COLUMN())</f>
        <v>-1.3016102850000001E-8</v>
      </c>
      <c r="AZ575" s="1050" cm="1">
        <f t="array" aca="1" ref="AZ575" ca="1">INDEX(OFFSET($AK$19,MATCH($B575,$B$19:$B$150,0)-1,0,COUNTA($B$19:$B$24),COUNTA($AK$17:$BB$17)),MATCH($F575,$F$19:$F$24,0),MATCH(AZ$17,$AK$17:$BB$17,0))*INDEX($10:$13,MATCH($O575,$R$10:$R$13,0),COLUMN())</f>
        <v>0</v>
      </c>
      <c r="BA575" s="1050" cm="1">
        <f t="array" aca="1" ref="BA575" ca="1">INDEX(OFFSET($AK$19,MATCH($B575,$B$19:$B$150,0)-1,0,COUNTA($B$19:$B$24),COUNTA($AK$17:$BB$17)),MATCH($F575,$F$19:$F$24,0),MATCH(BA$17,$AK$17:$BB$17,0))*INDEX($10:$13,MATCH($O575,$R$10:$R$13,0),COLUMN())</f>
        <v>0</v>
      </c>
      <c r="BB575" s="1051" cm="1">
        <f t="array" aca="1" ref="BB575" ca="1">INDEX(OFFSET($AK$19,MATCH($B575,$B$19:$B$150,0)-1,0,COUNTA($B$19:$B$24),COUNTA($AK$17:$BB$17)),MATCH($F575,$F$19:$F$24,0),MATCH(BB$17,$AK$17:$BB$17,0))*INDEX($10:$13,MATCH($O575,$R$10:$R$13,0),COLUMN())</f>
        <v>0</v>
      </c>
      <c r="BC575" s="1053">
        <f t="shared" ca="1" si="185"/>
        <v>1.6979774645206971</v>
      </c>
      <c r="BE575" s="1"/>
      <c r="BF575" s="1"/>
      <c r="BG575" s="1"/>
      <c r="BH575" s="1"/>
      <c r="BI575" s="1"/>
      <c r="BJ575" s="1"/>
      <c r="BK575" s="1"/>
      <c r="BL575" s="1"/>
      <c r="BM575" s="1"/>
      <c r="BN575" s="1"/>
      <c r="BO575" s="1"/>
      <c r="BP575" s="1"/>
      <c r="BQ575" s="1"/>
      <c r="BR575" s="1"/>
      <c r="BS575" s="1"/>
      <c r="BT575" s="1"/>
      <c r="BU575" s="1"/>
      <c r="BV575" s="1"/>
      <c r="BW575" s="1"/>
      <c r="BX575" s="1"/>
      <c r="BY575" s="1"/>
      <c r="BZ575" s="1"/>
    </row>
    <row r="576" spans="2:78" ht="12" customHeight="1" outlineLevel="1" x14ac:dyDescent="0.25">
      <c r="B576" s="104" t="s">
        <v>100</v>
      </c>
      <c r="C576" s="104" t="s">
        <v>121</v>
      </c>
      <c r="D576" s="2" t="s">
        <v>132</v>
      </c>
      <c r="E576" s="2" t="s">
        <v>135</v>
      </c>
      <c r="F576" s="105" t="s">
        <v>94</v>
      </c>
      <c r="G576" s="27" t="s">
        <v>1580</v>
      </c>
      <c r="H576" s="106" t="s">
        <v>131</v>
      </c>
      <c r="I576" s="107" t="s">
        <v>129</v>
      </c>
      <c r="J576" s="147">
        <v>3.7523941999999999</v>
      </c>
      <c r="K576" s="148">
        <v>0.4056506487491307</v>
      </c>
      <c r="L576" s="149">
        <f t="shared" ca="1" si="186"/>
        <v>2.959192861592546</v>
      </c>
      <c r="M576" s="148">
        <f t="shared" ca="1" si="187"/>
        <v>1.6060491528279435</v>
      </c>
      <c r="N576" s="148">
        <f t="shared" ca="1" si="184"/>
        <v>1.2003985040788128</v>
      </c>
      <c r="O576" s="1062" t="s">
        <v>1585</v>
      </c>
      <c r="P576" s="104"/>
      <c r="R576" s="119"/>
      <c r="S576" s="1072"/>
      <c r="T576" s="1072"/>
      <c r="U576" s="1072"/>
      <c r="V576" s="1072"/>
      <c r="W576" s="1072"/>
      <c r="X576" s="1072"/>
      <c r="Y576" s="1072"/>
      <c r="Z576" s="1072"/>
      <c r="AA576" s="1072"/>
      <c r="AB576" s="1072"/>
      <c r="AC576" s="1072"/>
      <c r="AD576" s="1072"/>
      <c r="AE576" s="1072"/>
      <c r="AF576" s="1072"/>
      <c r="AG576" s="1072"/>
      <c r="AH576" s="1072"/>
      <c r="AI576" s="1072"/>
      <c r="AJ576" s="1073"/>
      <c r="AK576" s="1052" cm="1">
        <f t="array" aca="1" ref="AK576" ca="1">INDEX(OFFSET($AK$19,MATCH($B576,$B$19:$B$150,0)-1,0,COUNTA($B$19:$B$24),COUNTA($AK$17:$BB$17)),MATCH($F576,$F$19:$F$24,0),MATCH(AK$17,$AK$17:$BB$17,0))*INDEX($10:$13,MATCH($O576,$R$10:$R$13,0),COLUMN())</f>
        <v>6.5902204553279997E-2</v>
      </c>
      <c r="AL576" s="1050" cm="1">
        <f t="array" aca="1" ref="AL576" ca="1">INDEX(OFFSET($AK$19,MATCH($B576,$B$19:$B$150,0)-1,0,COUNTA($B$19:$B$24),COUNTA($AK$17:$BB$17)),MATCH($F576,$F$19:$F$24,0),MATCH(AL$17,$AK$17:$BB$17,0))*INDEX($10:$13,MATCH($O576,$R$10:$R$13,0),COLUMN())</f>
        <v>5.1765258300000009E-8</v>
      </c>
      <c r="AM576" s="1050" cm="1">
        <f t="array" aca="1" ref="AM576" ca="1">INDEX(OFFSET($AK$19,MATCH($B576,$B$19:$B$150,0)-1,0,COUNTA($B$19:$B$24),COUNTA($AK$17:$BB$17)),MATCH($F576,$F$19:$F$24,0),MATCH(AM$17,$AK$17:$BB$17,0))*INDEX($10:$13,MATCH($O576,$R$10:$R$13,0),COLUMN())</f>
        <v>8.2814275179999999E-5</v>
      </c>
      <c r="AN576" s="1050" cm="1">
        <f t="array" aca="1" ref="AN576" ca="1">INDEX(OFFSET($AK$19,MATCH($B576,$B$19:$B$150,0)-1,0,COUNTA($B$19:$B$24),COUNTA($AK$17:$BB$17)),MATCH($F576,$F$19:$F$24,0),MATCH(AN$17,$AK$17:$BB$17,0))*INDEX($10:$13,MATCH($O576,$R$10:$R$13,0),COLUMN())</f>
        <v>1.1447092272E-3</v>
      </c>
      <c r="AO576" s="1050" cm="1">
        <f t="array" aca="1" ref="AO576" ca="1">INDEX(OFFSET($AK$19,MATCH($B576,$B$19:$B$150,0)-1,0,COUNTA($B$19:$B$24),COUNTA($AK$17:$BB$17)),MATCH($F576,$F$19:$F$24,0),MATCH(AO$17,$AK$17:$BB$17,0))*INDEX($10:$13,MATCH($O576,$R$10:$R$13,0),COLUMN())</f>
        <v>1.6607822579999997E-2</v>
      </c>
      <c r="AP576" s="1050" cm="1">
        <f t="array" aca="1" ref="AP576" ca="1">INDEX(OFFSET($AK$19,MATCH($B576,$B$19:$B$150,0)-1,0,COUNTA($B$19:$B$24),COUNTA($AK$17:$BB$17)),MATCH($F576,$F$19:$F$24,0),MATCH(AP$17,$AK$17:$BB$17,0))*INDEX($10:$13,MATCH($O576,$R$10:$R$13,0),COLUMN())</f>
        <v>6.5170185219999999E-3</v>
      </c>
      <c r="AQ576" s="1050" cm="1">
        <f t="array" aca="1" ref="AQ576" ca="1">INDEX(OFFSET($AK$19,MATCH($B576,$B$19:$B$150,0)-1,0,COUNTA($B$19:$B$24),COUNTA($AK$17:$BB$17)),MATCH($F576,$F$19:$F$24,0),MATCH(AQ$17,$AK$17:$BB$17,0))*INDEX($10:$13,MATCH($O576,$R$10:$R$13,0),COLUMN())</f>
        <v>4.2582388969999994E-5</v>
      </c>
      <c r="AR576" s="1050" cm="1">
        <f t="array" aca="1" ref="AR576" ca="1">INDEX(OFFSET($AK$19,MATCH($B576,$B$19:$B$150,0)-1,0,COUNTA($B$19:$B$24),COUNTA($AK$17:$BB$17)),MATCH($F576,$F$19:$F$24,0),MATCH(AR$17,$AK$17:$BB$17,0))*INDEX($10:$13,MATCH($O576,$R$10:$R$13,0),COLUMN())</f>
        <v>9.1993209099999994E-3</v>
      </c>
      <c r="AS576" s="1050" cm="1">
        <f t="array" aca="1" ref="AS576" ca="1">INDEX(OFFSET($AK$19,MATCH($B576,$B$19:$B$150,0)-1,0,COUNTA($B$19:$B$24),COUNTA($AK$17:$BB$17)),MATCH($F576,$F$19:$F$24,0),MATCH(AS$17,$AK$17:$BB$17,0))*INDEX($10:$13,MATCH($O576,$R$10:$R$13,0),COLUMN())</f>
        <v>-1.2285532670000001E-4</v>
      </c>
      <c r="AT576" s="1050" cm="1">
        <f t="array" aca="1" ref="AT576" ca="1">INDEX(OFFSET($AK$19,MATCH($B576,$B$19:$B$150,0)-1,0,COUNTA($B$19:$B$24),COUNTA($AK$17:$BB$17)),MATCH($F576,$F$19:$F$24,0),MATCH(AT$17,$AK$17:$BB$17,0))*INDEX($10:$13,MATCH($O576,$R$10:$R$13,0),COLUMN())</f>
        <v>3.5478077593999999E-6</v>
      </c>
      <c r="AU576" s="1050" cm="1">
        <f t="array" aca="1" ref="AU576" ca="1">INDEX(OFFSET($AK$19,MATCH($B576,$B$19:$B$150,0)-1,0,COUNTA($B$19:$B$24),COUNTA($AK$17:$BB$17)),MATCH($F576,$F$19:$F$24,0),MATCH(AU$17,$AK$17:$BB$17,0))*INDEX($10:$13,MATCH($O576,$R$10:$R$13,0),COLUMN())</f>
        <v>7.6094026155000002E-7</v>
      </c>
      <c r="AV576" s="1050" cm="1">
        <f t="array" aca="1" ref="AV576" ca="1">INDEX(OFFSET($AK$19,MATCH($B576,$B$19:$B$150,0)-1,0,COUNTA($B$19:$B$24),COUNTA($AK$17:$BB$17)),MATCH($F576,$F$19:$F$24,0),MATCH(AV$17,$AK$17:$BB$17,0))*INDEX($10:$13,MATCH($O576,$R$10:$R$13,0),COLUMN())</f>
        <v>3.0665398319999998E-4</v>
      </c>
      <c r="AW576" s="1050" cm="1">
        <f t="array" aca="1" ref="AW576" ca="1">INDEX(OFFSET($AK$19,MATCH($B576,$B$19:$B$150,0)-1,0,COUNTA($B$19:$B$24),COUNTA($AK$17:$BB$17)),MATCH($F576,$F$19:$F$24,0),MATCH(AW$17,$AK$17:$BB$17,0))*INDEX($10:$13,MATCH($O576,$R$10:$R$13,0),COLUMN())</f>
        <v>1.1007135535000001</v>
      </c>
      <c r="AX576" s="1050" cm="1">
        <f t="array" aca="1" ref="AX576" ca="1">INDEX(OFFSET($AK$19,MATCH($B576,$B$19:$B$150,0)-1,0,COUNTA($B$19:$B$24),COUNTA($AK$17:$BB$17)),MATCH($F576,$F$19:$F$24,0),MATCH(AX$17,$AK$17:$BB$17,0))*INDEX($10:$13,MATCH($O576,$R$10:$R$13,0),COLUMN())</f>
        <v>3.2739009190000002E-7</v>
      </c>
      <c r="AY576" s="1050" cm="1">
        <f t="array" aca="1" ref="AY576" ca="1">INDEX(OFFSET($AK$19,MATCH($B576,$B$19:$B$150,0)-1,0,COUNTA($B$19:$B$24),COUNTA($AK$17:$BB$17)),MATCH($F576,$F$19:$F$24,0),MATCH(AY$17,$AK$17:$BB$17,0))*INDEX($10:$13,MATCH($O576,$R$10:$R$13,0),COLUMN())</f>
        <v>-8.4376884618749999E-9</v>
      </c>
      <c r="AZ576" s="1050" cm="1">
        <f t="array" aca="1" ref="AZ576" ca="1">INDEX(OFFSET($AK$19,MATCH($B576,$B$19:$B$150,0)-1,0,COUNTA($B$19:$B$24),COUNTA($AK$17:$BB$17)),MATCH($F576,$F$19:$F$24,0),MATCH(AZ$17,$AK$17:$BB$17,0))*INDEX($10:$13,MATCH($O576,$R$10:$R$13,0),COLUMN())</f>
        <v>0</v>
      </c>
      <c r="BA576" s="1050" cm="1">
        <f t="array" aca="1" ref="BA576" ca="1">INDEX(OFFSET($AK$19,MATCH($B576,$B$19:$B$150,0)-1,0,COUNTA($B$19:$B$24),COUNTA($AK$17:$BB$17)),MATCH($F576,$F$19:$F$24,0),MATCH(BA$17,$AK$17:$BB$17,0))*INDEX($10:$13,MATCH($O576,$R$10:$R$13,0),COLUMN())</f>
        <v>0</v>
      </c>
      <c r="BB576" s="1051" cm="1">
        <f t="array" aca="1" ref="BB576" ca="1">INDEX(OFFSET($AK$19,MATCH($B576,$B$19:$B$150,0)-1,0,COUNTA($B$19:$B$24),COUNTA($AK$17:$BB$17)),MATCH($F576,$F$19:$F$24,0),MATCH(BB$17,$AK$17:$BB$17,0))*INDEX($10:$13,MATCH($O576,$R$10:$R$13,0),COLUMN())</f>
        <v>0</v>
      </c>
      <c r="BC576" s="1053">
        <f t="shared" ca="1" si="185"/>
        <v>1.1007138724524035</v>
      </c>
      <c r="BE576" s="1"/>
      <c r="BF576" s="1"/>
      <c r="BG576" s="1"/>
      <c r="BH576" s="1"/>
      <c r="BI576" s="1"/>
      <c r="BJ576" s="1"/>
      <c r="BK576" s="1"/>
      <c r="BL576" s="1"/>
      <c r="BM576" s="1"/>
      <c r="BN576" s="1"/>
      <c r="BO576" s="1"/>
      <c r="BP576" s="1"/>
      <c r="BQ576" s="1"/>
      <c r="BR576" s="1"/>
      <c r="BS576" s="1"/>
      <c r="BT576" s="1"/>
      <c r="BU576" s="1"/>
      <c r="BV576" s="1"/>
      <c r="BW576" s="1"/>
      <c r="BX576" s="1"/>
      <c r="BY576" s="1"/>
      <c r="BZ576" s="1"/>
    </row>
    <row r="577" spans="2:78" ht="12" customHeight="1" outlineLevel="1" x14ac:dyDescent="0.25">
      <c r="B577" s="104" t="s">
        <v>100</v>
      </c>
      <c r="C577" s="104" t="s">
        <v>121</v>
      </c>
      <c r="D577" s="2" t="s">
        <v>132</v>
      </c>
      <c r="E577" s="2" t="s">
        <v>135</v>
      </c>
      <c r="F577" s="105" t="s">
        <v>95</v>
      </c>
      <c r="G577" s="27" t="s">
        <v>1581</v>
      </c>
      <c r="H577" s="106" t="s">
        <v>128</v>
      </c>
      <c r="I577" s="107" t="s">
        <v>127</v>
      </c>
      <c r="J577" s="147">
        <v>3.7523941999999999</v>
      </c>
      <c r="K577" s="148">
        <v>0.4056506487491307</v>
      </c>
      <c r="L577" s="149">
        <f t="shared" ca="1" si="186"/>
        <v>3.7600960897104119</v>
      </c>
      <c r="M577" s="148">
        <f t="shared" ca="1" si="187"/>
        <v>1.9309360668992288</v>
      </c>
      <c r="N577" s="148">
        <f t="shared" ca="1" si="184"/>
        <v>1.5252854181500981</v>
      </c>
      <c r="O577" s="1062" t="s">
        <v>1585</v>
      </c>
      <c r="P577" s="104"/>
      <c r="R577" s="119"/>
      <c r="S577" s="1072"/>
      <c r="T577" s="1072"/>
      <c r="U577" s="1072"/>
      <c r="V577" s="1072"/>
      <c r="W577" s="1072"/>
      <c r="X577" s="1072"/>
      <c r="Y577" s="1072"/>
      <c r="Z577" s="1072"/>
      <c r="AA577" s="1072"/>
      <c r="AB577" s="1072"/>
      <c r="AC577" s="1072"/>
      <c r="AD577" s="1072"/>
      <c r="AE577" s="1072"/>
      <c r="AF577" s="1072"/>
      <c r="AG577" s="1072"/>
      <c r="AH577" s="1072"/>
      <c r="AI577" s="1072"/>
      <c r="AJ577" s="1073"/>
      <c r="AK577" s="1052" cm="1">
        <f t="array" aca="1" ref="AK577" ca="1">INDEX(OFFSET($AK$19,MATCH($B577,$B$19:$B$150,0)-1,0,COUNTA($B$19:$B$24),COUNTA($AK$17:$BB$17)),MATCH($F577,$F$19:$F$24,0),MATCH(AK$17,$AK$17:$BB$17,0))*INDEX($10:$13,MATCH($O577,$R$10:$R$13,0),COLUMN())</f>
        <v>9.1134038178047994E-2</v>
      </c>
      <c r="AL577" s="1050" cm="1">
        <f t="array" aca="1" ref="AL577" ca="1">INDEX(OFFSET($AK$19,MATCH($B577,$B$19:$B$150,0)-1,0,COUNTA($B$19:$B$24),COUNTA($AK$17:$BB$17)),MATCH($F577,$F$19:$F$24,0),MATCH(AL$17,$AK$17:$BB$17,0))*INDEX($10:$13,MATCH($O577,$R$10:$R$13,0),COLUMN())</f>
        <v>6.3282101590000012E-8</v>
      </c>
      <c r="AM577" s="1050" cm="1">
        <f t="array" aca="1" ref="AM577" ca="1">INDEX(OFFSET($AK$19,MATCH($B577,$B$19:$B$150,0)-1,0,COUNTA($B$19:$B$24),COUNTA($AK$17:$BB$17)),MATCH($F577,$F$19:$F$24,0),MATCH(AM$17,$AK$17:$BB$17,0))*INDEX($10:$13,MATCH($O577,$R$10:$R$13,0),COLUMN())</f>
        <v>1.0123551567999999E-4</v>
      </c>
      <c r="AN577" s="1050" cm="1">
        <f t="array" aca="1" ref="AN577" ca="1">INDEX(OFFSET($AK$19,MATCH($B577,$B$19:$B$150,0)-1,0,COUNTA($B$19:$B$24),COUNTA($AK$17:$BB$17)),MATCH($F577,$F$19:$F$24,0),MATCH(AN$17,$AK$17:$BB$17,0))*INDEX($10:$13,MATCH($O577,$R$10:$R$13,0),COLUMN())</f>
        <v>1.4858670312000001E-3</v>
      </c>
      <c r="AO577" s="1050" cm="1">
        <f t="array" aca="1" ref="AO577" ca="1">INDEX(OFFSET($AK$19,MATCH($B577,$B$19:$B$150,0)-1,0,COUNTA($B$19:$B$24),COUNTA($AK$17:$BB$17)),MATCH($F577,$F$19:$F$24,0),MATCH(AO$17,$AK$17:$BB$17,0))*INDEX($10:$13,MATCH($O577,$R$10:$R$13,0),COLUMN())</f>
        <v>4.6985300128E-2</v>
      </c>
      <c r="AP577" s="1050" cm="1">
        <f t="array" aca="1" ref="AP577" ca="1">INDEX(OFFSET($AK$19,MATCH($B577,$B$19:$B$150,0)-1,0,COUNTA($B$19:$B$24),COUNTA($AK$17:$BB$17)),MATCH($F577,$F$19:$F$24,0),MATCH(AP$17,$AK$17:$BB$17,0))*INDEX($10:$13,MATCH($O577,$R$10:$R$13,0),COLUMN())</f>
        <v>2.6787196332000003E-2</v>
      </c>
      <c r="AQ577" s="1050" cm="1">
        <f t="array" aca="1" ref="AQ577" ca="1">INDEX(OFFSET($AK$19,MATCH($B577,$B$19:$B$150,0)-1,0,COUNTA($B$19:$B$24),COUNTA($AK$17:$BB$17)),MATCH($F577,$F$19:$F$24,0),MATCH(AQ$17,$AK$17:$BB$17,0))*INDEX($10:$13,MATCH($O577,$R$10:$R$13,0),COLUMN())</f>
        <v>2.0446081881999998E-4</v>
      </c>
      <c r="AR577" s="1050" cm="1">
        <f t="array" aca="1" ref="AR577" ca="1">INDEX(OFFSET($AK$19,MATCH($B577,$B$19:$B$150,0)-1,0,COUNTA($B$19:$B$24),COUNTA($AK$17:$BB$17)),MATCH($F577,$F$19:$F$24,0),MATCH(AR$17,$AK$17:$BB$17,0))*INDEX($10:$13,MATCH($O577,$R$10:$R$13,0),COLUMN())</f>
        <v>1.5577711032999998E-2</v>
      </c>
      <c r="AS577" s="1050" cm="1">
        <f t="array" aca="1" ref="AS577" ca="1">INDEX(OFFSET($AK$19,MATCH($B577,$B$19:$B$150,0)-1,0,COUNTA($B$19:$B$24),COUNTA($AK$17:$BB$17)),MATCH($F577,$F$19:$F$24,0),MATCH(AS$17,$AK$17:$BB$17,0))*INDEX($10:$13,MATCH($O577,$R$10:$R$13,0),COLUMN())</f>
        <v>2.1777951075E-3</v>
      </c>
      <c r="AT577" s="1050" cm="1">
        <f t="array" aca="1" ref="AT577" ca="1">INDEX(OFFSET($AK$19,MATCH($B577,$B$19:$B$150,0)-1,0,COUNTA($B$19:$B$24),COUNTA($AK$17:$BB$17)),MATCH($F577,$F$19:$F$24,0),MATCH(AT$17,$AK$17:$BB$17,0))*INDEX($10:$13,MATCH($O577,$R$10:$R$13,0),COLUMN())</f>
        <v>6.0201630249999996E-6</v>
      </c>
      <c r="AU577" s="1050" cm="1">
        <f t="array" aca="1" ref="AU577" ca="1">INDEX(OFFSET($AK$19,MATCH($B577,$B$19:$B$150,0)-1,0,COUNTA($B$19:$B$24),COUNTA($AK$17:$BB$17)),MATCH($F577,$F$19:$F$24,0),MATCH(AU$17,$AK$17:$BB$17,0))*INDEX($10:$13,MATCH($O577,$R$10:$R$13,0),COLUMN())</f>
        <v>1.1850743178E-6</v>
      </c>
      <c r="AV577" s="1050" cm="1">
        <f t="array" aca="1" ref="AV577" ca="1">INDEX(OFFSET($AK$19,MATCH($B577,$B$19:$B$150,0)-1,0,COUNTA($B$19:$B$24),COUNTA($AK$17:$BB$17)),MATCH($F577,$F$19:$F$24,0),MATCH(AV$17,$AK$17:$BB$17,0))*INDEX($10:$13,MATCH($O577,$R$10:$R$13,0),COLUMN())</f>
        <v>5.1371099460000005E-3</v>
      </c>
      <c r="AW577" s="1050" cm="1">
        <f t="array" aca="1" ref="AW577" ca="1">INDEX(OFFSET($AK$19,MATCH($B577,$B$19:$B$150,0)-1,0,COUNTA($B$19:$B$24),COUNTA($AK$17:$BB$17)),MATCH($F577,$F$19:$F$24,0),MATCH(AW$17,$AK$17:$BB$17,0))*INDEX($10:$13,MATCH($O577,$R$10:$R$13,0),COLUMN())</f>
        <v>1.3356870485000001</v>
      </c>
      <c r="AX577" s="1050" cm="1">
        <f t="array" aca="1" ref="AX577" ca="1">INDEX(OFFSET($AK$19,MATCH($B577,$B$19:$B$150,0)-1,0,COUNTA($B$19:$B$24),COUNTA($AK$17:$BB$17)),MATCH($F577,$F$19:$F$24,0),MATCH(AX$17,$AK$17:$BB$17,0))*INDEX($10:$13,MATCH($O577,$R$10:$R$13,0),COLUMN())</f>
        <v>3.9727931985000004E-7</v>
      </c>
      <c r="AY577" s="1050" cm="1">
        <f t="array" aca="1" ref="AY577" ca="1">INDEX(OFFSET($AK$19,MATCH($B577,$B$19:$B$150,0)-1,0,COUNTA($B$19:$B$24),COUNTA($AK$17:$BB$17)),MATCH($F577,$F$19:$F$24,0),MATCH(AY$17,$AK$17:$BB$17,0))*INDEX($10:$13,MATCH($O577,$R$10:$R$13,0),COLUMN())</f>
        <v>-1.0238914199999999E-8</v>
      </c>
      <c r="AZ577" s="1050" cm="1">
        <f t="array" aca="1" ref="AZ577" ca="1">INDEX(OFFSET($AK$19,MATCH($B577,$B$19:$B$150,0)-1,0,COUNTA($B$19:$B$24),COUNTA($AK$17:$BB$17)),MATCH($F577,$F$19:$F$24,0),MATCH(AZ$17,$AK$17:$BB$17,0))*INDEX($10:$13,MATCH($O577,$R$10:$R$13,0),COLUMN())</f>
        <v>0</v>
      </c>
      <c r="BA577" s="1050" cm="1">
        <f t="array" aca="1" ref="BA577" ca="1">INDEX(OFFSET($AK$19,MATCH($B577,$B$19:$B$150,0)-1,0,COUNTA($B$19:$B$24),COUNTA($AK$17:$BB$17)),MATCH($F577,$F$19:$F$24,0),MATCH(BA$17,$AK$17:$BB$17,0))*INDEX($10:$13,MATCH($O577,$R$10:$R$13,0),COLUMN())</f>
        <v>0</v>
      </c>
      <c r="BB577" s="1051" cm="1">
        <f t="array" aca="1" ref="BB577" ca="1">INDEX(OFFSET($AK$19,MATCH($B577,$B$19:$B$150,0)-1,0,COUNTA($B$19:$B$24),COUNTA($AK$17:$BB$17)),MATCH($F577,$F$19:$F$24,0),MATCH(BB$17,$AK$17:$BB$17,0))*INDEX($10:$13,MATCH($O577,$R$10:$R$13,0),COLUMN())</f>
        <v>0</v>
      </c>
      <c r="BC577" s="1053">
        <f t="shared" ca="1" si="185"/>
        <v>1.3356874355404058</v>
      </c>
      <c r="BE577" s="1"/>
      <c r="BF577" s="1"/>
      <c r="BG577" s="1"/>
      <c r="BH577" s="1"/>
      <c r="BI577" s="1"/>
      <c r="BJ577" s="1"/>
      <c r="BK577" s="1"/>
      <c r="BL577" s="1"/>
      <c r="BM577" s="1"/>
      <c r="BN577" s="1"/>
      <c r="BO577" s="1"/>
      <c r="BP577" s="1"/>
      <c r="BQ577" s="1"/>
      <c r="BR577" s="1"/>
      <c r="BS577" s="1"/>
      <c r="BT577" s="1"/>
      <c r="BU577" s="1"/>
      <c r="BV577" s="1"/>
      <c r="BW577" s="1"/>
      <c r="BX577" s="1"/>
      <c r="BY577" s="1"/>
      <c r="BZ577" s="1"/>
    </row>
    <row r="578" spans="2:78" ht="12" customHeight="1" outlineLevel="1" x14ac:dyDescent="0.25">
      <c r="B578" s="104" t="s">
        <v>100</v>
      </c>
      <c r="C578" s="104" t="s">
        <v>121</v>
      </c>
      <c r="D578" s="2" t="s">
        <v>132</v>
      </c>
      <c r="E578" s="2" t="s">
        <v>135</v>
      </c>
      <c r="F578" s="105" t="s">
        <v>96</v>
      </c>
      <c r="G578" s="27" t="s">
        <v>1582</v>
      </c>
      <c r="H578" s="106" t="s">
        <v>128</v>
      </c>
      <c r="I578" s="107" t="s">
        <v>1577</v>
      </c>
      <c r="J578" s="147">
        <v>3.7523941999999999</v>
      </c>
      <c r="K578" s="148">
        <v>0.4056506487491307</v>
      </c>
      <c r="L578" s="149">
        <f t="shared" ca="1" si="186"/>
        <v>3.8837866909535332</v>
      </c>
      <c r="M578" s="148">
        <f t="shared" ca="1" si="187"/>
        <v>1.9811112395376711</v>
      </c>
      <c r="N578" s="148">
        <f t="shared" ca="1" si="184"/>
        <v>1.5754605907885404</v>
      </c>
      <c r="O578" s="1062" t="s">
        <v>1585</v>
      </c>
      <c r="P578" s="104"/>
      <c r="R578" s="119"/>
      <c r="S578" s="1072"/>
      <c r="T578" s="1072"/>
      <c r="U578" s="1072"/>
      <c r="V578" s="1072"/>
      <c r="W578" s="1072"/>
      <c r="X578" s="1072"/>
      <c r="Y578" s="1072"/>
      <c r="Z578" s="1072"/>
      <c r="AA578" s="1072"/>
      <c r="AB578" s="1072"/>
      <c r="AC578" s="1072"/>
      <c r="AD578" s="1072"/>
      <c r="AE578" s="1072"/>
      <c r="AF578" s="1072"/>
      <c r="AG578" s="1072"/>
      <c r="AH578" s="1072"/>
      <c r="AI578" s="1072"/>
      <c r="AJ578" s="1073"/>
      <c r="AK578" s="1052" cm="1">
        <f t="array" aca="1" ref="AK578" ca="1">INDEX(OFFSET($AK$19,MATCH($B578,$B$19:$B$150,0)-1,0,COUNTA($B$19:$B$24),COUNTA($AK$17:$BB$17)),MATCH($F578,$F$19:$F$24,0),MATCH(AK$17,$AK$17:$BB$17,0))*INDEX($10:$13,MATCH($O578,$R$10:$R$13,0),COLUMN())</f>
        <v>9.9134690463551986E-2</v>
      </c>
      <c r="AL578" s="1050" cm="1">
        <f t="array" aca="1" ref="AL578" ca="1">INDEX(OFFSET($AK$19,MATCH($B578,$B$19:$B$150,0)-1,0,COUNTA($B$19:$B$24),COUNTA($AK$17:$BB$17)),MATCH($F578,$F$19:$F$24,0),MATCH(AL$17,$AK$17:$BB$17,0))*INDEX($10:$13,MATCH($O578,$R$10:$R$13,0),COLUMN())</f>
        <v>6.3586427029999999E-8</v>
      </c>
      <c r="AM578" s="1050" cm="1">
        <f t="array" aca="1" ref="AM578" ca="1">INDEX(OFFSET($AK$19,MATCH($B578,$B$19:$B$150,0)-1,0,COUNTA($B$19:$B$24),COUNTA($AK$17:$BB$17)),MATCH($F578,$F$19:$F$24,0),MATCH(AM$17,$AK$17:$BB$17,0))*INDEX($10:$13,MATCH($O578,$R$10:$R$13,0),COLUMN())</f>
        <v>1.0172011694E-4</v>
      </c>
      <c r="AN578" s="1050" cm="1">
        <f t="array" aca="1" ref="AN578" ca="1">INDEX(OFFSET($AK$19,MATCH($B578,$B$19:$B$150,0)-1,0,COUNTA($B$19:$B$24),COUNTA($AK$17:$BB$17)),MATCH($F578,$F$19:$F$24,0),MATCH(AN$17,$AK$17:$BB$17,0))*INDEX($10:$13,MATCH($O578,$R$10:$R$13,0),COLUMN())</f>
        <v>1.5490352248000001E-3</v>
      </c>
      <c r="AO578" s="1050" cm="1">
        <f t="array" aca="1" ref="AO578" ca="1">INDEX(OFFSET($AK$19,MATCH($B578,$B$19:$B$150,0)-1,0,COUNTA($B$19:$B$24),COUNTA($AK$17:$BB$17)),MATCH($F578,$F$19:$F$24,0),MATCH(AO$17,$AK$17:$BB$17,0))*INDEX($10:$13,MATCH($O578,$R$10:$R$13,0),COLUMN())</f>
        <v>6.6492837919999992E-2</v>
      </c>
      <c r="AP578" s="1050" cm="1">
        <f t="array" aca="1" ref="AP578" ca="1">INDEX(OFFSET($AK$19,MATCH($B578,$B$19:$B$150,0)-1,0,COUNTA($B$19:$B$24),COUNTA($AK$17:$BB$17)),MATCH($F578,$F$19:$F$24,0),MATCH(AP$17,$AK$17:$BB$17,0))*INDEX($10:$13,MATCH($O578,$R$10:$R$13,0),COLUMN())</f>
        <v>4.0540280908000006E-2</v>
      </c>
      <c r="AQ578" s="1050" cm="1">
        <f t="array" aca="1" ref="AQ578" ca="1">INDEX(OFFSET($AK$19,MATCH($B578,$B$19:$B$150,0)-1,0,COUNTA($B$19:$B$24),COUNTA($AK$17:$BB$17)),MATCH($F578,$F$19:$F$24,0),MATCH(AQ$17,$AK$17:$BB$17,0))*INDEX($10:$13,MATCH($O578,$R$10:$R$13,0),COLUMN())</f>
        <v>3.132734091E-4</v>
      </c>
      <c r="AR578" s="1050" cm="1">
        <f t="array" aca="1" ref="AR578" ca="1">INDEX(OFFSET($AK$19,MATCH($B578,$B$19:$B$150,0)-1,0,COUNTA($B$19:$B$24),COUNTA($AK$17:$BB$17)),MATCH($F578,$F$19:$F$24,0),MATCH(AR$17,$AK$17:$BB$17,0))*INDEX($10:$13,MATCH($O578,$R$10:$R$13,0),COLUMN())</f>
        <v>1.8796264027999998E-2</v>
      </c>
      <c r="AS578" s="1050" cm="1">
        <f t="array" aca="1" ref="AS578" ca="1">INDEX(OFFSET($AK$19,MATCH($B578,$B$19:$B$150,0)-1,0,COUNTA($B$19:$B$24),COUNTA($AK$17:$BB$17)),MATCH($F578,$F$19:$F$24,0),MATCH(AS$17,$AK$17:$BB$17,0))*INDEX($10:$13,MATCH($O578,$R$10:$R$13,0),COLUMN())</f>
        <v>3.8033834549999995E-3</v>
      </c>
      <c r="AT578" s="1050" cm="1">
        <f t="array" aca="1" ref="AT578" ca="1">INDEX(OFFSET($AK$19,MATCH($B578,$B$19:$B$150,0)-1,0,COUNTA($B$19:$B$24),COUNTA($AK$17:$BB$17)),MATCH($F578,$F$19:$F$24,0),MATCH(AT$17,$AK$17:$BB$17,0))*INDEX($10:$13,MATCH($O578,$R$10:$R$13,0),COLUMN())</f>
        <v>6.7533646459999994E-6</v>
      </c>
      <c r="AU578" s="1050" cm="1">
        <f t="array" aca="1" ref="AU578" ca="1">INDEX(OFFSET($AK$19,MATCH($B578,$B$19:$B$150,0)-1,0,COUNTA($B$19:$B$24),COUNTA($AK$17:$BB$17)),MATCH($F578,$F$19:$F$24,0),MATCH(AU$17,$AK$17:$BB$17,0))*INDEX($10:$13,MATCH($O578,$R$10:$R$13,0),COLUMN())</f>
        <v>1.2898366695E-6</v>
      </c>
      <c r="AV578" s="1050" cm="1">
        <f t="array" aca="1" ref="AV578" ca="1">INDEX(OFFSET($AK$19,MATCH($B578,$B$19:$B$150,0)-1,0,COUNTA($B$19:$B$24),COUNTA($AK$17:$BB$17)),MATCH($F578,$F$19:$F$24,0),MATCH(AV$17,$AK$17:$BB$17,0))*INDEX($10:$13,MATCH($O578,$R$10:$R$13,0),COLUMN())</f>
        <v>9.0335629349999995E-3</v>
      </c>
      <c r="AW578" s="1050" cm="1">
        <f t="array" aca="1" ref="AW578" ca="1">INDEX(OFFSET($AK$19,MATCH($B578,$B$19:$B$150,0)-1,0,COUNTA($B$19:$B$24),COUNTA($AK$17:$BB$17)),MATCH($F578,$F$19:$F$24,0),MATCH(AW$17,$AK$17:$BB$17,0))*INDEX($10:$13,MATCH($O578,$R$10:$R$13,0),COLUMN())</f>
        <v>1.3356870485000001</v>
      </c>
      <c r="AX578" s="1050" cm="1">
        <f t="array" aca="1" ref="AX578" ca="1">INDEX(OFFSET($AK$19,MATCH($B578,$B$19:$B$150,0)-1,0,COUNTA($B$19:$B$24),COUNTA($AK$17:$BB$17)),MATCH($F578,$F$19:$F$24,0),MATCH(AX$17,$AK$17:$BB$17,0))*INDEX($10:$13,MATCH($O578,$R$10:$R$13,0),COLUMN())</f>
        <v>3.9727931985000004E-7</v>
      </c>
      <c r="AY578" s="1050" cm="1">
        <f t="array" aca="1" ref="AY578" ca="1">INDEX(OFFSET($AK$19,MATCH($B578,$B$19:$B$150,0)-1,0,COUNTA($B$19:$B$24),COUNTA($AK$17:$BB$17)),MATCH($F578,$F$19:$F$24,0),MATCH(AY$17,$AK$17:$BB$17,0))*INDEX($10:$13,MATCH($O578,$R$10:$R$13,0),COLUMN())</f>
        <v>-1.0238914199999999E-8</v>
      </c>
      <c r="AZ578" s="1050" cm="1">
        <f t="array" aca="1" ref="AZ578" ca="1">INDEX(OFFSET($AK$19,MATCH($B578,$B$19:$B$150,0)-1,0,COUNTA($B$19:$B$24),COUNTA($AK$17:$BB$17)),MATCH($F578,$F$19:$F$24,0),MATCH(AZ$17,$AK$17:$BB$17,0))*INDEX($10:$13,MATCH($O578,$R$10:$R$13,0),COLUMN())</f>
        <v>0</v>
      </c>
      <c r="BA578" s="1050" cm="1">
        <f t="array" aca="1" ref="BA578" ca="1">INDEX(OFFSET($AK$19,MATCH($B578,$B$19:$B$150,0)-1,0,COUNTA($B$19:$B$24),COUNTA($AK$17:$BB$17)),MATCH($F578,$F$19:$F$24,0),MATCH(BA$17,$AK$17:$BB$17,0))*INDEX($10:$13,MATCH($O578,$R$10:$R$13,0),COLUMN())</f>
        <v>0</v>
      </c>
      <c r="BB578" s="1051" cm="1">
        <f t="array" aca="1" ref="BB578" ca="1">INDEX(OFFSET($AK$19,MATCH($B578,$B$19:$B$150,0)-1,0,COUNTA($B$19:$B$24),COUNTA($AK$17:$BB$17)),MATCH($F578,$F$19:$F$24,0),MATCH(BB$17,$AK$17:$BB$17,0))*INDEX($10:$13,MATCH($O578,$R$10:$R$13,0),COLUMN())</f>
        <v>0</v>
      </c>
      <c r="BC578" s="1053">
        <f t="shared" ca="1" si="185"/>
        <v>1.3356874355404058</v>
      </c>
      <c r="BE578" s="1"/>
      <c r="BF578" s="1"/>
      <c r="BG578" s="1"/>
      <c r="BH578" s="1"/>
      <c r="BI578" s="1"/>
      <c r="BJ578" s="1"/>
      <c r="BK578" s="1"/>
      <c r="BL578" s="1"/>
      <c r="BM578" s="1"/>
      <c r="BN578" s="1"/>
      <c r="BO578" s="1"/>
      <c r="BP578" s="1"/>
      <c r="BQ578" s="1"/>
      <c r="BR578" s="1"/>
      <c r="BS578" s="1"/>
      <c r="BT578" s="1"/>
      <c r="BU578" s="1"/>
      <c r="BV578" s="1"/>
      <c r="BW578" s="1"/>
      <c r="BX578" s="1"/>
      <c r="BY578" s="1"/>
      <c r="BZ578" s="1"/>
    </row>
    <row r="579" spans="2:78" ht="12" customHeight="1" outlineLevel="1" x14ac:dyDescent="0.25">
      <c r="B579" s="88" t="s">
        <v>101</v>
      </c>
      <c r="C579" s="88" t="s">
        <v>121</v>
      </c>
      <c r="D579" s="89" t="s">
        <v>132</v>
      </c>
      <c r="E579" s="89" t="s">
        <v>136</v>
      </c>
      <c r="F579" s="90" t="s">
        <v>92</v>
      </c>
      <c r="G579" s="18" t="s">
        <v>126</v>
      </c>
      <c r="H579" s="91" t="s">
        <v>127</v>
      </c>
      <c r="I579" s="92" t="s">
        <v>127</v>
      </c>
      <c r="J579" s="142">
        <v>3.7906351599999999</v>
      </c>
      <c r="K579" s="143">
        <v>0.18195499999999998</v>
      </c>
      <c r="L579" s="144">
        <f t="shared" ca="1" si="186"/>
        <v>5.9614533686609423</v>
      </c>
      <c r="M579" s="143">
        <f t="shared" ca="1" si="187"/>
        <v>1.2666712476947017</v>
      </c>
      <c r="N579" s="143">
        <f t="shared" ca="1" si="184"/>
        <v>1.0847162476947017</v>
      </c>
      <c r="O579" s="1063" t="s">
        <v>1585</v>
      </c>
      <c r="P579" s="88"/>
      <c r="Q579" s="89"/>
      <c r="R579" s="150"/>
      <c r="S579" s="1070"/>
      <c r="T579" s="1070"/>
      <c r="U579" s="1070"/>
      <c r="V579" s="1070"/>
      <c r="W579" s="1070"/>
      <c r="X579" s="1070"/>
      <c r="Y579" s="1070"/>
      <c r="Z579" s="1070"/>
      <c r="AA579" s="1070"/>
      <c r="AB579" s="1070"/>
      <c r="AC579" s="1070"/>
      <c r="AD579" s="1070"/>
      <c r="AE579" s="1070"/>
      <c r="AF579" s="1070"/>
      <c r="AG579" s="1070"/>
      <c r="AH579" s="1070"/>
      <c r="AI579" s="1070"/>
      <c r="AJ579" s="1071"/>
      <c r="AK579" s="1048" cm="1">
        <f t="array" aca="1" ref="AK579" ca="1">INDEX(OFFSET($AK$19,MATCH($B579,$B$19:$B$150,0)-1,0,COUNTA($B$19:$B$24),COUNTA($AK$17:$BB$17)),MATCH($F579,$F$19:$F$24,0),MATCH(AK$17,$AK$17:$BB$17,0))*INDEX($10:$13,MATCH($O579,$R$10:$R$13,0),COLUMN())</f>
        <v>0.14224046060736001</v>
      </c>
      <c r="AL579" s="1046" cm="1">
        <f t="array" aca="1" ref="AL579" ca="1">INDEX(OFFSET($AK$19,MATCH($B579,$B$19:$B$150,0)-1,0,COUNTA($B$19:$B$24),COUNTA($AK$17:$BB$17)),MATCH($F579,$F$19:$F$24,0),MATCH(AL$17,$AK$17:$BB$17,0))*INDEX($10:$13,MATCH($O579,$R$10:$R$13,0),COLUMN())</f>
        <v>6.1166913650000004E-8</v>
      </c>
      <c r="AM579" s="1046" cm="1">
        <f t="array" aca="1" ref="AM579" ca="1">INDEX(OFFSET($AK$19,MATCH($B579,$B$19:$B$150,0)-1,0,COUNTA($B$19:$B$24),COUNTA($AK$17:$BB$17)),MATCH($F579,$F$19:$F$24,0),MATCH(AM$17,$AK$17:$BB$17,0))*INDEX($10:$13,MATCH($O579,$R$10:$R$13,0),COLUMN())</f>
        <v>1.0083828222E-4</v>
      </c>
      <c r="AN579" s="1046" cm="1">
        <f t="array" aca="1" ref="AN579" ca="1">INDEX(OFFSET($AK$19,MATCH($B579,$B$19:$B$150,0)-1,0,COUNTA($B$19:$B$24),COUNTA($AK$17:$BB$17)),MATCH($F579,$F$19:$F$24,0),MATCH(AN$17,$AK$17:$BB$17,0))*INDEX($10:$13,MATCH($O579,$R$10:$R$13,0),COLUMN())</f>
        <v>8.6799133280000005E-4</v>
      </c>
      <c r="AO579" s="1046" cm="1">
        <f t="array" aca="1" ref="AO579" ca="1">INDEX(OFFSET($AK$19,MATCH($B579,$B$19:$B$150,0)-1,0,COUNTA($B$19:$B$24),COUNTA($AK$17:$BB$17)),MATCH($F579,$F$19:$F$24,0),MATCH(AO$17,$AK$17:$BB$17,0))*INDEX($10:$13,MATCH($O579,$R$10:$R$13,0),COLUMN())</f>
        <v>5.1930420267999995E-2</v>
      </c>
      <c r="AP579" s="1046" cm="1">
        <f t="array" aca="1" ref="AP579" ca="1">INDEX(OFFSET($AK$19,MATCH($B579,$B$19:$B$150,0)-1,0,COUNTA($B$19:$B$24),COUNTA($AK$17:$BB$17)),MATCH($F579,$F$19:$F$24,0),MATCH(AP$17,$AK$17:$BB$17,0))*INDEX($10:$13,MATCH($O579,$R$10:$R$13,0),COLUMN())</f>
        <v>3.3081845905999996E-2</v>
      </c>
      <c r="AQ579" s="1046" cm="1">
        <f t="array" aca="1" ref="AQ579" ca="1">INDEX(OFFSET($AK$19,MATCH($B579,$B$19:$B$150,0)-1,0,COUNTA($B$19:$B$24),COUNTA($AK$17:$BB$17)),MATCH($F579,$F$19:$F$24,0),MATCH(AQ$17,$AK$17:$BB$17,0))*INDEX($10:$13,MATCH($O579,$R$10:$R$13,0),COLUMN())</f>
        <v>2.2655019359999997E-4</v>
      </c>
      <c r="AR579" s="1046" cm="1">
        <f t="array" aca="1" ref="AR579" ca="1">INDEX(OFFSET($AK$19,MATCH($B579,$B$19:$B$150,0)-1,0,COUNTA($B$19:$B$24),COUNTA($AK$17:$BB$17)),MATCH($F579,$F$19:$F$24,0),MATCH(AR$17,$AK$17:$BB$17,0))*INDEX($10:$13,MATCH($O579,$R$10:$R$13,0),COLUMN())</f>
        <v>2.4276135964999997E-2</v>
      </c>
      <c r="AS579" s="1046" cm="1">
        <f t="array" aca="1" ref="AS579" ca="1">INDEX(OFFSET($AK$19,MATCH($B579,$B$19:$B$150,0)-1,0,COUNTA($B$19:$B$24),COUNTA($AK$17:$BB$17)),MATCH($F579,$F$19:$F$24,0),MATCH(AS$17,$AK$17:$BB$17,0))*INDEX($10:$13,MATCH($O579,$R$10:$R$13,0),COLUMN())</f>
        <v>8.7694256470000009E-2</v>
      </c>
      <c r="AT579" s="1046" cm="1">
        <f t="array" aca="1" ref="AT579" ca="1">INDEX(OFFSET($AK$19,MATCH($B579,$B$19:$B$150,0)-1,0,COUNTA($B$19:$B$24),COUNTA($AK$17:$BB$17)),MATCH($F579,$F$19:$F$24,0),MATCH(AT$17,$AK$17:$BB$17,0))*INDEX($10:$13,MATCH($O579,$R$10:$R$13,0),COLUMN())</f>
        <v>9.785030928999999E-5</v>
      </c>
      <c r="AU579" s="1046" cm="1">
        <f t="array" aca="1" ref="AU579" ca="1">INDEX(OFFSET($AK$19,MATCH($B579,$B$19:$B$150,0)-1,0,COUNTA($B$19:$B$24),COUNTA($AK$17:$BB$17)),MATCH($F579,$F$19:$F$24,0),MATCH(AU$17,$AK$17:$BB$17,0))*INDEX($10:$13,MATCH($O579,$R$10:$R$13,0),COLUMN())</f>
        <v>4.9932663759000011E-6</v>
      </c>
      <c r="AV579" s="1046" cm="1">
        <f t="array" aca="1" ref="AV579" ca="1">INDEX(OFFSET($AK$19,MATCH($B579,$B$19:$B$150,0)-1,0,COUNTA($B$19:$B$24),COUNTA($AK$17:$BB$17)),MATCH($F579,$F$19:$F$24,0),MATCH(AV$17,$AK$17:$BB$17,0))*INDEX($10:$13,MATCH($O579,$R$10:$R$13,0),COLUMN())</f>
        <v>6.2757665459999999E-3</v>
      </c>
      <c r="AW579" s="1046" cm="1">
        <f t="array" aca="1" ref="AW579" ca="1">INDEX(OFFSET($AK$19,MATCH($B579,$B$19:$B$150,0)-1,0,COUNTA($B$19:$B$24),COUNTA($AK$17:$BB$17)),MATCH($F579,$F$19:$F$24,0),MATCH(AW$17,$AK$17:$BB$17,0))*INDEX($10:$13,MATCH($O579,$R$10:$R$13,0),COLUMN())</f>
        <v>0.73791768850000006</v>
      </c>
      <c r="AX579" s="1046" cm="1">
        <f t="array" aca="1" ref="AX579" ca="1">INDEX(OFFSET($AK$19,MATCH($B579,$B$19:$B$150,0)-1,0,COUNTA($B$19:$B$24),COUNTA($AK$17:$BB$17)),MATCH($F579,$F$19:$F$24,0),MATCH(AX$17,$AK$17:$BB$17,0))*INDEX($10:$13,MATCH($O579,$R$10:$R$13,0),COLUMN())</f>
        <v>1.4267738960000002E-6</v>
      </c>
      <c r="AY579" s="1046" cm="1">
        <f t="array" aca="1" ref="AY579" ca="1">INDEX(OFFSET($AK$19,MATCH($B579,$B$19:$B$150,0)-1,0,COUNTA($B$19:$B$24),COUNTA($AK$17:$BB$17)),MATCH($F579,$F$19:$F$24,0),MATCH(AY$17,$AK$17:$BB$17,0))*INDEX($10:$13,MATCH($O579,$R$10:$R$13,0),COLUMN())</f>
        <v>-3.789275379375E-8</v>
      </c>
      <c r="AZ579" s="1046" cm="1">
        <f t="array" aca="1" ref="AZ579" ca="1">INDEX(OFFSET($AK$19,MATCH($B579,$B$19:$B$150,0)-1,0,COUNTA($B$19:$B$24),COUNTA($AK$17:$BB$17)),MATCH($F579,$F$19:$F$24,0),MATCH(AZ$17,$AK$17:$BB$17,0))*INDEX($10:$13,MATCH($O579,$R$10:$R$13,0),COLUMN())</f>
        <v>0</v>
      </c>
      <c r="BA579" s="1046" cm="1">
        <f t="array" aca="1" ref="BA579" ca="1">INDEX(OFFSET($AK$19,MATCH($B579,$B$19:$B$150,0)-1,0,COUNTA($B$19:$B$24),COUNTA($AK$17:$BB$17)),MATCH($F579,$F$19:$F$24,0),MATCH(BA$17,$AK$17:$BB$17,0))*INDEX($10:$13,MATCH($O579,$R$10:$R$13,0),COLUMN())</f>
        <v>0</v>
      </c>
      <c r="BB579" s="1047" cm="1">
        <f t="array" aca="1" ref="BB579" ca="1">INDEX(OFFSET($AK$19,MATCH($B579,$B$19:$B$150,0)-1,0,COUNTA($B$19:$B$24),COUNTA($AK$17:$BB$17)),MATCH($F579,$F$19:$F$24,0),MATCH(BB$17,$AK$17:$BB$17,0))*INDEX($10:$13,MATCH($O579,$R$10:$R$13,0),COLUMN())</f>
        <v>0</v>
      </c>
      <c r="BC579" s="1049">
        <f t="shared" ca="1" si="185"/>
        <v>0.73791907738114226</v>
      </c>
      <c r="BE579" s="1"/>
      <c r="BF579" s="1"/>
      <c r="BG579" s="1"/>
      <c r="BH579" s="1"/>
      <c r="BI579" s="1"/>
      <c r="BJ579" s="1"/>
      <c r="BK579" s="1"/>
      <c r="BL579" s="1"/>
      <c r="BM579" s="1"/>
      <c r="BN579" s="1"/>
      <c r="BO579" s="1"/>
      <c r="BP579" s="1"/>
      <c r="BQ579" s="1"/>
      <c r="BR579" s="1"/>
      <c r="BS579" s="1"/>
      <c r="BT579" s="1"/>
      <c r="BU579" s="1"/>
      <c r="BV579" s="1"/>
      <c r="BW579" s="1"/>
      <c r="BX579" s="1"/>
      <c r="BY579" s="1"/>
      <c r="BZ579" s="1"/>
    </row>
    <row r="580" spans="2:78" ht="12" customHeight="1" outlineLevel="1" x14ac:dyDescent="0.25">
      <c r="B580" s="104" t="s">
        <v>101</v>
      </c>
      <c r="C580" s="104" t="s">
        <v>121</v>
      </c>
      <c r="D580" s="2" t="s">
        <v>132</v>
      </c>
      <c r="E580" s="2" t="s">
        <v>136</v>
      </c>
      <c r="F580" s="105" t="s">
        <v>122</v>
      </c>
      <c r="G580" s="27" t="s">
        <v>1579</v>
      </c>
      <c r="H580" s="106" t="s">
        <v>128</v>
      </c>
      <c r="I580" s="107" t="s">
        <v>129</v>
      </c>
      <c r="J580" s="147">
        <v>3.7906351599999999</v>
      </c>
      <c r="K580" s="148">
        <v>0.41675000000000001</v>
      </c>
      <c r="L580" s="149">
        <f t="shared" ca="1" si="186"/>
        <v>3.0518013028305</v>
      </c>
      <c r="M580" s="148">
        <f t="shared" ca="1" si="187"/>
        <v>1.6885881929546109</v>
      </c>
      <c r="N580" s="148">
        <f t="shared" ca="1" si="184"/>
        <v>1.271838192954611</v>
      </c>
      <c r="O580" s="1062" t="s">
        <v>1585</v>
      </c>
      <c r="P580" s="104"/>
      <c r="R580" s="119"/>
      <c r="S580" s="1072"/>
      <c r="T580" s="1072"/>
      <c r="U580" s="1072"/>
      <c r="V580" s="1072"/>
      <c r="W580" s="1072"/>
      <c r="X580" s="1072"/>
      <c r="Y580" s="1072"/>
      <c r="Z580" s="1072"/>
      <c r="AA580" s="1072"/>
      <c r="AB580" s="1072"/>
      <c r="AC580" s="1072"/>
      <c r="AD580" s="1072"/>
      <c r="AE580" s="1072"/>
      <c r="AF580" s="1072"/>
      <c r="AG580" s="1072"/>
      <c r="AH580" s="1072"/>
      <c r="AI580" s="1072"/>
      <c r="AJ580" s="1073"/>
      <c r="AK580" s="1052" cm="1">
        <f t="array" aca="1" ref="AK580" ca="1">INDEX(OFFSET($AK$19,MATCH($B580,$B$19:$B$150,0)-1,0,COUNTA($B$19:$B$24),COUNTA($AK$17:$BB$17)),MATCH($F580,$F$19:$F$24,0),MATCH(AK$17,$AK$17:$BB$17,0))*INDEX($10:$13,MATCH($O580,$R$10:$R$13,0),COLUMN())</f>
        <v>7.7650299863424005E-2</v>
      </c>
      <c r="AL580" s="1050" cm="1">
        <f t="array" aca="1" ref="AL580" ca="1">INDEX(OFFSET($AK$19,MATCH($B580,$B$19:$B$150,0)-1,0,COUNTA($B$19:$B$24),COUNTA($AK$17:$BB$17)),MATCH($F580,$F$19:$F$24,0),MATCH(AL$17,$AK$17:$BB$17,0))*INDEX($10:$13,MATCH($O580,$R$10:$R$13,0),COLUMN())</f>
        <v>5.3373386460000004E-8</v>
      </c>
      <c r="AM580" s="1050" cm="1">
        <f t="array" aca="1" ref="AM580" ca="1">INDEX(OFFSET($AK$19,MATCH($B580,$B$19:$B$150,0)-1,0,COUNTA($B$19:$B$24),COUNTA($AK$17:$BB$17)),MATCH($F580,$F$19:$F$24,0),MATCH(AM$17,$AK$17:$BB$17,0))*INDEX($10:$13,MATCH($O580,$R$10:$R$13,0),COLUMN())</f>
        <v>8.5410719419999997E-5</v>
      </c>
      <c r="AN580" s="1050" cm="1">
        <f t="array" aca="1" ref="AN580" ca="1">INDEX(OFFSET($AK$19,MATCH($B580,$B$19:$B$150,0)-1,0,COUNTA($B$19:$B$24),COUNTA($AK$17:$BB$17)),MATCH($F580,$F$19:$F$24,0),MATCH(AN$17,$AK$17:$BB$17,0))*INDEX($10:$13,MATCH($O580,$R$10:$R$13,0),COLUMN())</f>
        <v>1.213228656E-3</v>
      </c>
      <c r="AO580" s="1050" cm="1">
        <f t="array" aca="1" ref="AO580" ca="1">INDEX(OFFSET($AK$19,MATCH($B580,$B$19:$B$150,0)-1,0,COUNTA($B$19:$B$24),COUNTA($AK$17:$BB$17)),MATCH($F580,$F$19:$F$24,0),MATCH(AO$17,$AK$17:$BB$17,0))*INDEX($10:$13,MATCH($O580,$R$10:$R$13,0),COLUMN())</f>
        <v>1.7518721020000003E-2</v>
      </c>
      <c r="AP580" s="1050" cm="1">
        <f t="array" aca="1" ref="AP580" ca="1">INDEX(OFFSET($AK$19,MATCH($B580,$B$19:$B$150,0)-1,0,COUNTA($B$19:$B$24),COUNTA($AK$17:$BB$17)),MATCH($F580,$F$19:$F$24,0),MATCH(AP$17,$AK$17:$BB$17,0))*INDEX($10:$13,MATCH($O580,$R$10:$R$13,0),COLUMN())</f>
        <v>6.853775504E-3</v>
      </c>
      <c r="AQ580" s="1050" cm="1">
        <f t="array" aca="1" ref="AQ580" ca="1">INDEX(OFFSET($AK$19,MATCH($B580,$B$19:$B$150,0)-1,0,COUNTA($B$19:$B$24),COUNTA($AK$17:$BB$17)),MATCH($F580,$F$19:$F$24,0),MATCH(AQ$17,$AK$17:$BB$17,0))*INDEX($10:$13,MATCH($O580,$R$10:$R$13,0),COLUMN())</f>
        <v>4.4636733499999994E-5</v>
      </c>
      <c r="AR580" s="1050" cm="1">
        <f t="array" aca="1" ref="AR580" ca="1">INDEX(OFFSET($AK$19,MATCH($B580,$B$19:$B$150,0)-1,0,COUNTA($B$19:$B$24),COUNTA($AK$17:$BB$17)),MATCH($F580,$F$19:$F$24,0),MATCH(AR$17,$AK$17:$BB$17,0))*INDEX($10:$13,MATCH($O580,$R$10:$R$13,0),COLUMN())</f>
        <v>1.4320638770000001E-2</v>
      </c>
      <c r="AS580" s="1050" cm="1">
        <f t="array" aca="1" ref="AS580" ca="1">INDEX(OFFSET($AK$19,MATCH($B580,$B$19:$B$150,0)-1,0,COUNTA($B$19:$B$24),COUNTA($AK$17:$BB$17)),MATCH($F580,$F$19:$F$24,0),MATCH(AS$17,$AK$17:$BB$17,0))*INDEX($10:$13,MATCH($O580,$R$10:$R$13,0),COLUMN())</f>
        <v>-8.8390929239999996E-5</v>
      </c>
      <c r="AT580" s="1050" cm="1">
        <f t="array" aca="1" ref="AT580" ca="1">INDEX(OFFSET($AK$19,MATCH($B580,$B$19:$B$150,0)-1,0,COUNTA($B$19:$B$24),COUNTA($AK$17:$BB$17)),MATCH($F580,$F$19:$F$24,0),MATCH(AT$17,$AK$17:$BB$17,0))*INDEX($10:$13,MATCH($O580,$R$10:$R$13,0),COLUMN())</f>
        <v>3.7166092577999999E-6</v>
      </c>
      <c r="AU580" s="1050" cm="1">
        <f t="array" aca="1" ref="AU580" ca="1">INDEX(OFFSET($AK$19,MATCH($B580,$B$19:$B$150,0)-1,0,COUNTA($B$19:$B$24),COUNTA($AK$17:$BB$17)),MATCH($F580,$F$19:$F$24,0),MATCH(AU$17,$AK$17:$BB$17,0))*INDEX($10:$13,MATCH($O580,$R$10:$R$13,0),COLUMN())</f>
        <v>7.9833472640999997E-7</v>
      </c>
      <c r="AV580" s="1050" cm="1">
        <f t="array" aca="1" ref="AV580" ca="1">INDEX(OFFSET($AK$19,MATCH($B580,$B$19:$B$150,0)-1,0,COUNTA($B$19:$B$24),COUNTA($AK$17:$BB$17)),MATCH($F580,$F$19:$F$24,0),MATCH(AV$17,$AK$17:$BB$17,0))*INDEX($10:$13,MATCH($O580,$R$10:$R$13,0),COLUMN())</f>
        <v>5.5776021479999997E-4</v>
      </c>
      <c r="AW580" s="1050" cm="1">
        <f t="array" aca="1" ref="AW580" ca="1">INDEX(OFFSET($AK$19,MATCH($B580,$B$19:$B$150,0)-1,0,COUNTA($B$19:$B$24),COUNTA($AK$17:$BB$17)),MATCH($F580,$F$19:$F$24,0),MATCH(AW$17,$AK$17:$BB$17,0))*INDEX($10:$13,MATCH($O580,$R$10:$R$13,0),COLUMN())</f>
        <v>1.1536772055000002</v>
      </c>
      <c r="AX580" s="1050" cm="1">
        <f t="array" aca="1" ref="AX580" ca="1">INDEX(OFFSET($AK$19,MATCH($B580,$B$19:$B$150,0)-1,0,COUNTA($B$19:$B$24),COUNTA($AK$17:$BB$17)),MATCH($F580,$F$19:$F$24,0),MATCH(AX$17,$AK$17:$BB$17,0))*INDEX($10:$13,MATCH($O580,$R$10:$R$13,0),COLUMN())</f>
        <v>3.4754240144999999E-7</v>
      </c>
      <c r="AY580" s="1050" cm="1">
        <f t="array" aca="1" ref="AY580" ca="1">INDEX(OFFSET($AK$19,MATCH($B580,$B$19:$B$150,0)-1,0,COUNTA($B$19:$B$24),COUNTA($AK$17:$BB$17)),MATCH($F580,$F$19:$F$24,0),MATCH(AY$17,$AK$17:$BB$17,0))*INDEX($10:$13,MATCH($O580,$R$10:$R$13,0),COLUMN())</f>
        <v>-8.9570655656250007E-9</v>
      </c>
      <c r="AZ580" s="1050" cm="1">
        <f t="array" aca="1" ref="AZ580" ca="1">INDEX(OFFSET($AK$19,MATCH($B580,$B$19:$B$150,0)-1,0,COUNTA($B$19:$B$24),COUNTA($AK$17:$BB$17)),MATCH($F580,$F$19:$F$24,0),MATCH(AZ$17,$AK$17:$BB$17,0))*INDEX($10:$13,MATCH($O580,$R$10:$R$13,0),COLUMN())</f>
        <v>0</v>
      </c>
      <c r="BA580" s="1050" cm="1">
        <f t="array" aca="1" ref="BA580" ca="1">INDEX(OFFSET($AK$19,MATCH($B580,$B$19:$B$150,0)-1,0,COUNTA($B$19:$B$24),COUNTA($AK$17:$BB$17)),MATCH($F580,$F$19:$F$24,0),MATCH(BA$17,$AK$17:$BB$17,0))*INDEX($10:$13,MATCH($O580,$R$10:$R$13,0),COLUMN())</f>
        <v>0</v>
      </c>
      <c r="BB580" s="1051" cm="1">
        <f t="array" aca="1" ref="BB580" ca="1">INDEX(OFFSET($AK$19,MATCH($B580,$B$19:$B$150,0)-1,0,COUNTA($B$19:$B$24),COUNTA($AK$17:$BB$17)),MATCH($F580,$F$19:$F$24,0),MATCH(BB$17,$AK$17:$BB$17,0))*INDEX($10:$13,MATCH($O580,$R$10:$R$13,0),COLUMN())</f>
        <v>0</v>
      </c>
      <c r="BC580" s="1053">
        <f t="shared" ca="1" si="185"/>
        <v>1.1536775440853362</v>
      </c>
      <c r="BE580" s="1"/>
      <c r="BF580" s="1"/>
      <c r="BG580" s="1"/>
      <c r="BH580" s="1"/>
      <c r="BI580" s="1"/>
      <c r="BJ580" s="1"/>
      <c r="BK580" s="1"/>
      <c r="BL580" s="1"/>
      <c r="BM580" s="1"/>
      <c r="BN580" s="1"/>
      <c r="BO580" s="1"/>
      <c r="BP580" s="1"/>
      <c r="BQ580" s="1"/>
      <c r="BR580" s="1"/>
      <c r="BS580" s="1"/>
      <c r="BT580" s="1"/>
      <c r="BU580" s="1"/>
      <c r="BV580" s="1"/>
      <c r="BW580" s="1"/>
      <c r="BX580" s="1"/>
      <c r="BY580" s="1"/>
      <c r="BZ580" s="1"/>
    </row>
    <row r="581" spans="2:78" ht="12" customHeight="1" outlineLevel="1" x14ac:dyDescent="0.25">
      <c r="B581" s="104" t="s">
        <v>101</v>
      </c>
      <c r="C581" s="104" t="s">
        <v>121</v>
      </c>
      <c r="D581" s="2" t="s">
        <v>132</v>
      </c>
      <c r="E581" s="2" t="s">
        <v>136</v>
      </c>
      <c r="F581" s="105" t="s">
        <v>93</v>
      </c>
      <c r="G581" s="27" t="s">
        <v>1578</v>
      </c>
      <c r="H581" s="106" t="s">
        <v>130</v>
      </c>
      <c r="I581" s="107" t="s">
        <v>129</v>
      </c>
      <c r="J581" s="147">
        <v>3.7906351599999999</v>
      </c>
      <c r="K581" s="148">
        <v>0.41675000000000001</v>
      </c>
      <c r="L581" s="149">
        <f t="shared" ca="1" si="186"/>
        <v>3.8494983558542986</v>
      </c>
      <c r="M581" s="148">
        <f t="shared" ca="1" si="187"/>
        <v>2.0210284398022789</v>
      </c>
      <c r="N581" s="148">
        <f t="shared" ca="1" si="184"/>
        <v>1.6042784398022789</v>
      </c>
      <c r="O581" s="1062" t="s">
        <v>1585</v>
      </c>
      <c r="P581" s="104"/>
      <c r="R581" s="119"/>
      <c r="S581" s="1072"/>
      <c r="T581" s="1072"/>
      <c r="U581" s="1072"/>
      <c r="V581" s="1072"/>
      <c r="W581" s="1072"/>
      <c r="X581" s="1072"/>
      <c r="Y581" s="1072"/>
      <c r="Z581" s="1072"/>
      <c r="AA581" s="1072"/>
      <c r="AB581" s="1072"/>
      <c r="AC581" s="1072"/>
      <c r="AD581" s="1072"/>
      <c r="AE581" s="1072"/>
      <c r="AF581" s="1072"/>
      <c r="AG581" s="1072"/>
      <c r="AH581" s="1072"/>
      <c r="AI581" s="1072"/>
      <c r="AJ581" s="1073"/>
      <c r="AK581" s="1052" cm="1">
        <f t="array" aca="1" ref="AK581" ca="1">INDEX(OFFSET($AK$19,MATCH($B581,$B$19:$B$150,0)-1,0,COUNTA($B$19:$B$24),COUNTA($AK$17:$BB$17)),MATCH($F581,$F$19:$F$24,0),MATCH(AK$17,$AK$17:$BB$17,0))*INDEX($10:$13,MATCH($O581,$R$10:$R$13,0),COLUMN())</f>
        <v>9.7931423926463992E-2</v>
      </c>
      <c r="AL581" s="1050" cm="1">
        <f t="array" aca="1" ref="AL581" ca="1">INDEX(OFFSET($AK$19,MATCH($B581,$B$19:$B$150,0)-1,0,COUNTA($B$19:$B$24),COUNTA($AK$17:$BB$17)),MATCH($F581,$F$19:$F$24,0),MATCH(AL$17,$AK$17:$BB$17,0))*INDEX($10:$13,MATCH($O581,$R$10:$R$13,0),COLUMN())</f>
        <v>6.7313732740000008E-8</v>
      </c>
      <c r="AM581" s="1050" cm="1">
        <f t="array" aca="1" ref="AM581" ca="1">INDEX(OFFSET($AK$19,MATCH($B581,$B$19:$B$150,0)-1,0,COUNTA($B$19:$B$24),COUNTA($AK$17:$BB$17)),MATCH($F581,$F$19:$F$24,0),MATCH(AM$17,$AK$17:$BB$17,0))*INDEX($10:$13,MATCH($O581,$R$10:$R$13,0),COLUMN())</f>
        <v>1.0771875062E-4</v>
      </c>
      <c r="AN581" s="1050" cm="1">
        <f t="array" aca="1" ref="AN581" ca="1">INDEX(OFFSET($AK$19,MATCH($B581,$B$19:$B$150,0)-1,0,COUNTA($B$19:$B$24),COUNTA($AK$17:$BB$17)),MATCH($F581,$F$19:$F$24,0),MATCH(AN$17,$AK$17:$BB$17,0))*INDEX($10:$13,MATCH($O581,$R$10:$R$13,0),COLUMN())</f>
        <v>1.5301062616000002E-3</v>
      </c>
      <c r="AO581" s="1050" cm="1">
        <f t="array" aca="1" ref="AO581" ca="1">INDEX(OFFSET($AK$19,MATCH($B581,$B$19:$B$150,0)-1,0,COUNTA($B$19:$B$24),COUNTA($AK$17:$BB$17)),MATCH($F581,$F$19:$F$24,0),MATCH(AO$17,$AK$17:$BB$17,0))*INDEX($10:$13,MATCH($O581,$R$10:$R$13,0),COLUMN())</f>
        <v>2.2094354428E-2</v>
      </c>
      <c r="AP581" s="1050" cm="1">
        <f t="array" aca="1" ref="AP581" ca="1">INDEX(OFFSET($AK$19,MATCH($B581,$B$19:$B$150,0)-1,0,COUNTA($B$19:$B$24),COUNTA($AK$17:$BB$17)),MATCH($F581,$F$19:$F$24,0),MATCH(AP$17,$AK$17:$BB$17,0))*INDEX($10:$13,MATCH($O581,$R$10:$R$13,0),COLUMN())</f>
        <v>8.643881249999999E-3</v>
      </c>
      <c r="AQ581" s="1050" cm="1">
        <f t="array" aca="1" ref="AQ581" ca="1">INDEX(OFFSET($AK$19,MATCH($B581,$B$19:$B$150,0)-1,0,COUNTA($B$19:$B$24),COUNTA($AK$17:$BB$17)),MATCH($F581,$F$19:$F$24,0),MATCH(AQ$17,$AK$17:$BB$17,0))*INDEX($10:$13,MATCH($O581,$R$10:$R$13,0),COLUMN())</f>
        <v>5.629519457E-5</v>
      </c>
      <c r="AR581" s="1050" cm="1">
        <f t="array" aca="1" ref="AR581" ca="1">INDEX(OFFSET($AK$19,MATCH($B581,$B$19:$B$150,0)-1,0,COUNTA($B$19:$B$24),COUNTA($AK$17:$BB$17)),MATCH($F581,$F$19:$F$24,0),MATCH(AR$17,$AK$17:$BB$17,0))*INDEX($10:$13,MATCH($O581,$R$10:$R$13,0),COLUMN())</f>
        <v>1.8060980411999997E-2</v>
      </c>
      <c r="AS581" s="1050" cm="1">
        <f t="array" aca="1" ref="AS581" ca="1">INDEX(OFFSET($AK$19,MATCH($B581,$B$19:$B$150,0)-1,0,COUNTA($B$19:$B$24),COUNTA($AK$17:$BB$17)),MATCH($F581,$F$19:$F$24,0),MATCH(AS$17,$AK$17:$BB$17,0))*INDEX($10:$13,MATCH($O581,$R$10:$R$13,0),COLUMN())</f>
        <v>-3.7526531969999999E-5</v>
      </c>
      <c r="AT581" s="1050" cm="1">
        <f t="array" aca="1" ref="AT581" ca="1">INDEX(OFFSET($AK$19,MATCH($B581,$B$19:$B$150,0)-1,0,COUNTA($B$19:$B$24),COUNTA($AK$17:$BB$17)),MATCH($F581,$F$19:$F$24,0),MATCH(AT$17,$AK$17:$BB$17,0))*INDEX($10:$13,MATCH($O581,$R$10:$R$13,0),COLUMN())</f>
        <v>4.7136321569999997E-6</v>
      </c>
      <c r="AU581" s="1050" cm="1">
        <f t="array" aca="1" ref="AU581" ca="1">INDEX(OFFSET($AK$19,MATCH($B581,$B$19:$B$150,0)-1,0,COUNTA($B$19:$B$24),COUNTA($AK$17:$BB$17)),MATCH($F581,$F$19:$F$24,0),MATCH(AU$17,$AK$17:$BB$17,0))*INDEX($10:$13,MATCH($O581,$R$10:$R$13,0),COLUMN())</f>
        <v>1.0096745229E-6</v>
      </c>
      <c r="AV581" s="1050" cm="1">
        <f t="array" aca="1" ref="AV581" ca="1">INDEX(OFFSET($AK$19,MATCH($B581,$B$19:$B$150,0)-1,0,COUNTA($B$19:$B$24),COUNTA($AK$17:$BB$17)),MATCH($F581,$F$19:$F$24,0),MATCH(AV$17,$AK$17:$BB$17,0))*INDEX($10:$13,MATCH($O581,$R$10:$R$13,0),COLUMN())</f>
        <v>8.8409197169999991E-4</v>
      </c>
      <c r="AW581" s="1050" cm="1">
        <f t="array" aca="1" ref="AW581" ca="1">INDEX(OFFSET($AK$19,MATCH($B581,$B$19:$B$150,0)-1,0,COUNTA($B$19:$B$24),COUNTA($AK$17:$BB$17)),MATCH($F581,$F$19:$F$24,0),MATCH(AW$17,$AK$17:$BB$17,0))*INDEX($10:$13,MATCH($O581,$R$10:$R$13,0),COLUMN())</f>
        <v>1.4550008965000001</v>
      </c>
      <c r="AX581" s="1050" cm="1">
        <f t="array" aca="1" ref="AX581" ca="1">INDEX(OFFSET($AK$19,MATCH($B581,$B$19:$B$150,0)-1,0,COUNTA($B$19:$B$24),COUNTA($AK$17:$BB$17)),MATCH($F581,$F$19:$F$24,0),MATCH(AX$17,$AK$17:$BB$17,0))*INDEX($10:$13,MATCH($O581,$R$10:$R$13,0),COLUMN())</f>
        <v>4.3831540250000002E-7</v>
      </c>
      <c r="AY581" s="1050" cm="1">
        <f t="array" aca="1" ref="AY581" ca="1">INDEX(OFFSET($AK$19,MATCH($B581,$B$19:$B$150,0)-1,0,COUNTA($B$19:$B$24),COUNTA($AK$17:$BB$17)),MATCH($F581,$F$19:$F$24,0),MATCH(AY$17,$AK$17:$BB$17,0))*INDEX($10:$13,MATCH($O581,$R$10:$R$13,0),COLUMN())</f>
        <v>-1.1296520206874999E-8</v>
      </c>
      <c r="AZ581" s="1050" cm="1">
        <f t="array" aca="1" ref="AZ581" ca="1">INDEX(OFFSET($AK$19,MATCH($B581,$B$19:$B$150,0)-1,0,COUNTA($B$19:$B$24),COUNTA($AK$17:$BB$17)),MATCH($F581,$F$19:$F$24,0),MATCH(AZ$17,$AK$17:$BB$17,0))*INDEX($10:$13,MATCH($O581,$R$10:$R$13,0),COLUMN())</f>
        <v>0</v>
      </c>
      <c r="BA581" s="1050" cm="1">
        <f t="array" aca="1" ref="BA581" ca="1">INDEX(OFFSET($AK$19,MATCH($B581,$B$19:$B$150,0)-1,0,COUNTA($B$19:$B$24),COUNTA($AK$17:$BB$17)),MATCH($F581,$F$19:$F$24,0),MATCH(BA$17,$AK$17:$BB$17,0))*INDEX($10:$13,MATCH($O581,$R$10:$R$13,0),COLUMN())</f>
        <v>0</v>
      </c>
      <c r="BB581" s="1051" cm="1">
        <f t="array" aca="1" ref="BB581" ca="1">INDEX(OFFSET($AK$19,MATCH($B581,$B$19:$B$150,0)-1,0,COUNTA($B$19:$B$24),COUNTA($AK$17:$BB$17)),MATCH($F581,$F$19:$F$24,0),MATCH(BB$17,$AK$17:$BB$17,0))*INDEX($10:$13,MATCH($O581,$R$10:$R$13,0),COLUMN())</f>
        <v>0</v>
      </c>
      <c r="BC581" s="1053">
        <f t="shared" ca="1" si="185"/>
        <v>1.4550013235188823</v>
      </c>
      <c r="BE581" s="1"/>
      <c r="BF581" s="1"/>
      <c r="BG581" s="1"/>
      <c r="BH581" s="1"/>
      <c r="BI581" s="1"/>
      <c r="BJ581" s="1"/>
      <c r="BK581" s="1"/>
      <c r="BL581" s="1"/>
      <c r="BM581" s="1"/>
      <c r="BN581" s="1"/>
      <c r="BO581" s="1"/>
      <c r="BP581" s="1"/>
      <c r="BQ581" s="1"/>
      <c r="BR581" s="1"/>
      <c r="BS581" s="1"/>
      <c r="BT581" s="1"/>
      <c r="BU581" s="1"/>
      <c r="BV581" s="1"/>
      <c r="BW581" s="1"/>
      <c r="BX581" s="1"/>
      <c r="BY581" s="1"/>
      <c r="BZ581" s="1"/>
    </row>
    <row r="582" spans="2:78" ht="12" customHeight="1" outlineLevel="1" x14ac:dyDescent="0.25">
      <c r="B582" s="104" t="s">
        <v>101</v>
      </c>
      <c r="C582" s="104" t="s">
        <v>121</v>
      </c>
      <c r="D582" s="2" t="s">
        <v>132</v>
      </c>
      <c r="E582" s="2" t="s">
        <v>136</v>
      </c>
      <c r="F582" s="105" t="s">
        <v>94</v>
      </c>
      <c r="G582" s="27" t="s">
        <v>1580</v>
      </c>
      <c r="H582" s="106" t="s">
        <v>131</v>
      </c>
      <c r="I582" s="107" t="s">
        <v>129</v>
      </c>
      <c r="J582" s="147">
        <v>3.7906351599999999</v>
      </c>
      <c r="K582" s="148">
        <v>0.41675000000000001</v>
      </c>
      <c r="L582" s="149">
        <f t="shared" ca="1" si="186"/>
        <v>2.5276702374973676</v>
      </c>
      <c r="M582" s="148">
        <f t="shared" ca="1" si="187"/>
        <v>1.4701565714770279</v>
      </c>
      <c r="N582" s="148">
        <f t="shared" ca="1" si="184"/>
        <v>1.053406571477028</v>
      </c>
      <c r="O582" s="1062" t="s">
        <v>1585</v>
      </c>
      <c r="P582" s="104"/>
      <c r="R582" s="119"/>
      <c r="S582" s="1072"/>
      <c r="T582" s="1072"/>
      <c r="U582" s="1072"/>
      <c r="V582" s="1072"/>
      <c r="W582" s="1072"/>
      <c r="X582" s="1072"/>
      <c r="Y582" s="1072"/>
      <c r="Z582" s="1072"/>
      <c r="AA582" s="1072"/>
      <c r="AB582" s="1072"/>
      <c r="AC582" s="1072"/>
      <c r="AD582" s="1072"/>
      <c r="AE582" s="1072"/>
      <c r="AF582" s="1072"/>
      <c r="AG582" s="1072"/>
      <c r="AH582" s="1072"/>
      <c r="AI582" s="1072"/>
      <c r="AJ582" s="1073"/>
      <c r="AK582" s="1052" cm="1">
        <f t="array" aca="1" ref="AK582" ca="1">INDEX(OFFSET($AK$19,MATCH($B582,$B$19:$B$150,0)-1,0,COUNTA($B$19:$B$24),COUNTA($AK$17:$BB$17)),MATCH($F582,$F$19:$F$24,0),MATCH(AK$17,$AK$17:$BB$17,0))*INDEX($10:$13,MATCH($O582,$R$10:$R$13,0),COLUMN())</f>
        <v>6.4324475245439994E-2</v>
      </c>
      <c r="AL582" s="1050" cm="1">
        <f t="array" aca="1" ref="AL582" ca="1">INDEX(OFFSET($AK$19,MATCH($B582,$B$19:$B$150,0)-1,0,COUNTA($B$19:$B$24),COUNTA($AK$17:$BB$17)),MATCH($F582,$F$19:$F$24,0),MATCH(AL$17,$AK$17:$BB$17,0))*INDEX($10:$13,MATCH($O582,$R$10:$R$13,0),COLUMN())</f>
        <v>4.4213801268000001E-8</v>
      </c>
      <c r="AM582" s="1050" cm="1">
        <f t="array" aca="1" ref="AM582" ca="1">INDEX(OFFSET($AK$19,MATCH($B582,$B$19:$B$150,0)-1,0,COUNTA($B$19:$B$24),COUNTA($AK$17:$BB$17)),MATCH($F582,$F$19:$F$24,0),MATCH(AM$17,$AK$17:$BB$17,0))*INDEX($10:$13,MATCH($O582,$R$10:$R$13,0),COLUMN())</f>
        <v>7.0753099560000006E-5</v>
      </c>
      <c r="AN582" s="1050" cm="1">
        <f t="array" aca="1" ref="AN582" ca="1">INDEX(OFFSET($AK$19,MATCH($B582,$B$19:$B$150,0)-1,0,COUNTA($B$19:$B$24),COUNTA($AK$17:$BB$17)),MATCH($F582,$F$19:$F$24,0),MATCH(AN$17,$AK$17:$BB$17,0))*INDEX($10:$13,MATCH($O582,$R$10:$R$13,0),COLUMN())</f>
        <v>1.0050224624E-3</v>
      </c>
      <c r="AO582" s="1050" cm="1">
        <f t="array" aca="1" ref="AO582" ca="1">INDEX(OFFSET($AK$19,MATCH($B582,$B$19:$B$150,0)-1,0,COUNTA($B$19:$B$24),COUNTA($AK$17:$BB$17)),MATCH($F582,$F$19:$F$24,0),MATCH(AO$17,$AK$17:$BB$17,0))*INDEX($10:$13,MATCH($O582,$R$10:$R$13,0),COLUMN())</f>
        <v>1.4512274780000001E-2</v>
      </c>
      <c r="AP582" s="1050" cm="1">
        <f t="array" aca="1" ref="AP582" ca="1">INDEX(OFFSET($AK$19,MATCH($B582,$B$19:$B$150,0)-1,0,COUNTA($B$19:$B$24),COUNTA($AK$17:$BB$17)),MATCH($F582,$F$19:$F$24,0),MATCH(AP$17,$AK$17:$BB$17,0))*INDEX($10:$13,MATCH($O582,$R$10:$R$13,0),COLUMN())</f>
        <v>5.6775765639999996E-3</v>
      </c>
      <c r="AQ582" s="1050" cm="1">
        <f t="array" aca="1" ref="AQ582" ca="1">INDEX(OFFSET($AK$19,MATCH($B582,$B$19:$B$150,0)-1,0,COUNTA($B$19:$B$24),COUNTA($AK$17:$BB$17)),MATCH($F582,$F$19:$F$24,0),MATCH(AQ$17,$AK$17:$BB$17,0))*INDEX($10:$13,MATCH($O582,$R$10:$R$13,0),COLUMN())</f>
        <v>3.6976475559999996E-5</v>
      </c>
      <c r="AR582" s="1050" cm="1">
        <f t="array" aca="1" ref="AR582" ca="1">INDEX(OFFSET($AK$19,MATCH($B582,$B$19:$B$150,0)-1,0,COUNTA($B$19:$B$24),COUNTA($AK$17:$BB$17)),MATCH($F582,$F$19:$F$24,0),MATCH(AR$17,$AK$17:$BB$17,0))*INDEX($10:$13,MATCH($O582,$R$10:$R$13,0),COLUMN())</f>
        <v>1.1863026269E-2</v>
      </c>
      <c r="AS582" s="1050" cm="1">
        <f t="array" aca="1" ref="AS582" ca="1">INDEX(OFFSET($AK$19,MATCH($B582,$B$19:$B$150,0)-1,0,COUNTA($B$19:$B$24),COUNTA($AK$17:$BB$17)),MATCH($F582,$F$19:$F$24,0),MATCH(AS$17,$AK$17:$BB$17,0))*INDEX($10:$13,MATCH($O582,$R$10:$R$13,0),COLUMN())</f>
        <v>-1.2179512195000001E-4</v>
      </c>
      <c r="AT582" s="1050" cm="1">
        <f t="array" aca="1" ref="AT582" ca="1">INDEX(OFFSET($AK$19,MATCH($B582,$B$19:$B$150,0)-1,0,COUNTA($B$19:$B$24),COUNTA($AK$17:$BB$17)),MATCH($F582,$F$19:$F$24,0),MATCH(AT$17,$AK$17:$BB$17,0))*INDEX($10:$13,MATCH($O582,$R$10:$R$13,0),COLUMN())</f>
        <v>3.0615156347000003E-6</v>
      </c>
      <c r="AU582" s="1050" cm="1">
        <f t="array" aca="1" ref="AU582" ca="1">INDEX(OFFSET($AK$19,MATCH($B582,$B$19:$B$150,0)-1,0,COUNTA($B$19:$B$24),COUNTA($AK$17:$BB$17)),MATCH($F582,$F$19:$F$24,0),MATCH(AU$17,$AK$17:$BB$17,0))*INDEX($10:$13,MATCH($O582,$R$10:$R$13,0),COLUMN())</f>
        <v>6.5947339647000011E-7</v>
      </c>
      <c r="AV582" s="1050" cm="1">
        <f t="array" aca="1" ref="AV582" ca="1">INDEX(OFFSET($AK$19,MATCH($B582,$B$19:$B$150,0)-1,0,COUNTA($B$19:$B$24),COUNTA($AK$17:$BB$17)),MATCH($F582,$F$19:$F$24,0),MATCH(AV$17,$AK$17:$BB$17,0))*INDEX($10:$13,MATCH($O582,$R$10:$R$13,0),COLUMN())</f>
        <v>3.433825206E-4</v>
      </c>
      <c r="AW582" s="1050" cm="1">
        <f t="array" aca="1" ref="AW582" ca="1">INDEX(OFFSET($AK$19,MATCH($B582,$B$19:$B$150,0)-1,0,COUNTA($B$19:$B$24),COUNTA($AK$17:$BB$17)),MATCH($F582,$F$19:$F$24,0),MATCH(AW$17,$AK$17:$BB$17,0))*INDEX($10:$13,MATCH($O582,$R$10:$R$13,0),COLUMN())</f>
        <v>0.95569083350000006</v>
      </c>
      <c r="AX582" s="1050" cm="1">
        <f t="array" aca="1" ref="AX582" ca="1">INDEX(OFFSET($AK$19,MATCH($B582,$B$19:$B$150,0)-1,0,COUNTA($B$19:$B$24),COUNTA($AK$17:$BB$17)),MATCH($F582,$F$19:$F$24,0),MATCH(AX$17,$AK$17:$BB$17,0))*INDEX($10:$13,MATCH($O582,$R$10:$R$13,0),COLUMN())</f>
        <v>2.8789949940000005E-7</v>
      </c>
      <c r="AY582" s="1050" cm="1">
        <f t="array" aca="1" ref="AY582" ca="1">INDEX(OFFSET($AK$19,MATCH($B582,$B$19:$B$150,0)-1,0,COUNTA($B$19:$B$24),COUNTA($AK$17:$BB$17)),MATCH($F582,$F$19:$F$24,0),MATCH(AY$17,$AK$17:$BB$17,0))*INDEX($10:$13,MATCH($O582,$R$10:$R$13,0),COLUMN())</f>
        <v>-7.4199137493749999E-9</v>
      </c>
      <c r="AZ582" s="1050" cm="1">
        <f t="array" aca="1" ref="AZ582" ca="1">INDEX(OFFSET($AK$19,MATCH($B582,$B$19:$B$150,0)-1,0,COUNTA($B$19:$B$24),COUNTA($AK$17:$BB$17)),MATCH($F582,$F$19:$F$24,0),MATCH(AZ$17,$AK$17:$BB$17,0))*INDEX($10:$13,MATCH($O582,$R$10:$R$13,0),COLUMN())</f>
        <v>0</v>
      </c>
      <c r="BA582" s="1050" cm="1">
        <f t="array" aca="1" ref="BA582" ca="1">INDEX(OFFSET($AK$19,MATCH($B582,$B$19:$B$150,0)-1,0,COUNTA($B$19:$B$24),COUNTA($AK$17:$BB$17)),MATCH($F582,$F$19:$F$24,0),MATCH(BA$17,$AK$17:$BB$17,0))*INDEX($10:$13,MATCH($O582,$R$10:$R$13,0),COLUMN())</f>
        <v>0</v>
      </c>
      <c r="BB582" s="1051" cm="1">
        <f t="array" aca="1" ref="BB582" ca="1">INDEX(OFFSET($AK$19,MATCH($B582,$B$19:$B$150,0)-1,0,COUNTA($B$19:$B$24),COUNTA($AK$17:$BB$17)),MATCH($F582,$F$19:$F$24,0),MATCH(BB$17,$AK$17:$BB$17,0))*INDEX($10:$13,MATCH($O582,$R$10:$R$13,0),COLUMN())</f>
        <v>0</v>
      </c>
      <c r="BC582" s="1053">
        <f t="shared" ca="1" si="185"/>
        <v>0.95569111397958562</v>
      </c>
      <c r="BE582" s="1"/>
      <c r="BF582" s="1"/>
      <c r="BG582" s="1"/>
      <c r="BH582" s="1"/>
      <c r="BI582" s="1"/>
      <c r="BJ582" s="1"/>
      <c r="BK582" s="1"/>
      <c r="BL582" s="1"/>
      <c r="BM582" s="1"/>
      <c r="BN582" s="1"/>
      <c r="BO582" s="1"/>
      <c r="BP582" s="1"/>
      <c r="BQ582" s="1"/>
      <c r="BR582" s="1"/>
      <c r="BS582" s="1"/>
      <c r="BT582" s="1"/>
      <c r="BU582" s="1"/>
      <c r="BV582" s="1"/>
      <c r="BW582" s="1"/>
      <c r="BX582" s="1"/>
      <c r="BY582" s="1"/>
      <c r="BZ582" s="1"/>
    </row>
    <row r="583" spans="2:78" ht="12" customHeight="1" outlineLevel="1" x14ac:dyDescent="0.25">
      <c r="B583" s="104" t="s">
        <v>101</v>
      </c>
      <c r="C583" s="104" t="s">
        <v>121</v>
      </c>
      <c r="D583" s="2" t="s">
        <v>132</v>
      </c>
      <c r="E583" s="2" t="s">
        <v>136</v>
      </c>
      <c r="F583" s="105" t="s">
        <v>95</v>
      </c>
      <c r="G583" s="27" t="s">
        <v>1581</v>
      </c>
      <c r="H583" s="106" t="s">
        <v>128</v>
      </c>
      <c r="I583" s="107" t="s">
        <v>127</v>
      </c>
      <c r="J583" s="147">
        <v>3.7906351599999999</v>
      </c>
      <c r="K583" s="148">
        <v>0.41675000000000001</v>
      </c>
      <c r="L583" s="149">
        <f t="shared" ca="1" si="186"/>
        <v>3.1935346469759356</v>
      </c>
      <c r="M583" s="148">
        <f t="shared" ca="1" si="187"/>
        <v>1.7476555641272211</v>
      </c>
      <c r="N583" s="148">
        <f t="shared" ca="1" si="184"/>
        <v>1.3309055641272212</v>
      </c>
      <c r="O583" s="1062" t="s">
        <v>1585</v>
      </c>
      <c r="P583" s="104"/>
      <c r="R583" s="119"/>
      <c r="S583" s="1072"/>
      <c r="T583" s="1072"/>
      <c r="U583" s="1072"/>
      <c r="V583" s="1072"/>
      <c r="W583" s="1072"/>
      <c r="X583" s="1072"/>
      <c r="Y583" s="1072"/>
      <c r="Z583" s="1072"/>
      <c r="AA583" s="1072"/>
      <c r="AB583" s="1072"/>
      <c r="AC583" s="1072"/>
      <c r="AD583" s="1072"/>
      <c r="AE583" s="1072"/>
      <c r="AF583" s="1072"/>
      <c r="AG583" s="1072"/>
      <c r="AH583" s="1072"/>
      <c r="AI583" s="1072"/>
      <c r="AJ583" s="1073"/>
      <c r="AK583" s="1052" cm="1">
        <f t="array" aca="1" ref="AK583" ca="1">INDEX(OFFSET($AK$19,MATCH($B583,$B$19:$B$150,0)-1,0,COUNTA($B$19:$B$24),COUNTA($AK$17:$BB$17)),MATCH($F583,$F$19:$F$24,0),MATCH(AK$17,$AK$17:$BB$17,0))*INDEX($10:$13,MATCH($O583,$R$10:$R$13,0),COLUMN())</f>
        <v>8.7292530655295991E-2</v>
      </c>
      <c r="AL583" s="1050" cm="1">
        <f t="array" aca="1" ref="AL583" ca="1">INDEX(OFFSET($AK$19,MATCH($B583,$B$19:$B$150,0)-1,0,COUNTA($B$19:$B$24),COUNTA($AK$17:$BB$17)),MATCH($F583,$F$19:$F$24,0),MATCH(AL$17,$AK$17:$BB$17,0))*INDEX($10:$13,MATCH($O583,$R$10:$R$13,0),COLUMN())</f>
        <v>5.3776154270000005E-8</v>
      </c>
      <c r="AM583" s="1050" cm="1">
        <f t="array" aca="1" ref="AM583" ca="1">INDEX(OFFSET($AK$19,MATCH($B583,$B$19:$B$150,0)-1,0,COUNTA($B$19:$B$24),COUNTA($AK$17:$BB$17)),MATCH($F583,$F$19:$F$24,0),MATCH(AM$17,$AK$17:$BB$17,0))*INDEX($10:$13,MATCH($O583,$R$10:$R$13,0),COLUMN())</f>
        <v>8.6052086379999991E-5</v>
      </c>
      <c r="AN583" s="1050" cm="1">
        <f t="array" aca="1" ref="AN583" ca="1">INDEX(OFFSET($AK$19,MATCH($B583,$B$19:$B$150,0)-1,0,COUNTA($B$19:$B$24),COUNTA($AK$17:$BB$17)),MATCH($F583,$F$19:$F$24,0),MATCH(AN$17,$AK$17:$BB$17,0))*INDEX($10:$13,MATCH($O583,$R$10:$R$13,0),COLUMN())</f>
        <v>1.2968313744E-3</v>
      </c>
      <c r="AO583" s="1050" cm="1">
        <f t="array" aca="1" ref="AO583" ca="1">INDEX(OFFSET($AK$19,MATCH($B583,$B$19:$B$150,0)-1,0,COUNTA($B$19:$B$24),COUNTA($AK$17:$BB$17)),MATCH($F583,$F$19:$F$24,0),MATCH(AO$17,$AK$17:$BB$17,0))*INDEX($10:$13,MATCH($O583,$R$10:$R$13,0),COLUMN())</f>
        <v>4.0694531407999994E-2</v>
      </c>
      <c r="AP583" s="1050" cm="1">
        <f t="array" aca="1" ref="AP583" ca="1">INDEX(OFFSET($AK$19,MATCH($B583,$B$19:$B$150,0)-1,0,COUNTA($B$19:$B$24),COUNTA($AK$17:$BB$17)),MATCH($F583,$F$19:$F$24,0),MATCH(AP$17,$AK$17:$BB$17,0))*INDEX($10:$13,MATCH($O583,$R$10:$R$13,0),COLUMN())</f>
        <v>2.3160163056000004E-2</v>
      </c>
      <c r="AQ583" s="1050" cm="1">
        <f t="array" aca="1" ref="AQ583" ca="1">INDEX(OFFSET($AK$19,MATCH($B583,$B$19:$B$150,0)-1,0,COUNTA($B$19:$B$24),COUNTA($AK$17:$BB$17)),MATCH($F583,$F$19:$F$24,0),MATCH(AQ$17,$AK$17:$BB$17,0))*INDEX($10:$13,MATCH($O583,$R$10:$R$13,0),COLUMN())</f>
        <v>1.7660496807E-4</v>
      </c>
      <c r="AR583" s="1050" cm="1">
        <f t="array" aca="1" ref="AR583" ca="1">INDEX(OFFSET($AK$19,MATCH($B583,$B$19:$B$150,0)-1,0,COUNTA($B$19:$B$24),COUNTA($AK$17:$BB$17)),MATCH($F583,$F$19:$F$24,0),MATCH(AR$17,$AK$17:$BB$17,0))*INDEX($10:$13,MATCH($O583,$R$10:$R$13,0),COLUMN())</f>
        <v>1.8133654269999997E-2</v>
      </c>
      <c r="AS583" s="1050" cm="1">
        <f t="array" aca="1" ref="AS583" ca="1">INDEX(OFFSET($AK$19,MATCH($B583,$B$19:$B$150,0)-1,0,COUNTA($B$19:$B$24),COUNTA($AK$17:$BB$17)),MATCH($F583,$F$19:$F$24,0),MATCH(AS$17,$AK$17:$BB$17,0))*INDEX($10:$13,MATCH($O583,$R$10:$R$13,0),COLUMN())</f>
        <v>1.857130229E-3</v>
      </c>
      <c r="AT583" s="1050" cm="1">
        <f t="array" aca="1" ref="AT583" ca="1">INDEX(OFFSET($AK$19,MATCH($B583,$B$19:$B$150,0)-1,0,COUNTA($B$19:$B$24),COUNTA($AK$17:$BB$17)),MATCH($F583,$F$19:$F$24,0),MATCH(AT$17,$AK$17:$BB$17,0))*INDEX($10:$13,MATCH($O583,$R$10:$R$13,0),COLUMN())</f>
        <v>5.1807776419999996E-6</v>
      </c>
      <c r="AU583" s="1050" cm="1">
        <f t="array" aca="1" ref="AU583" ca="1">INDEX(OFFSET($AK$19,MATCH($B583,$B$19:$B$150,0)-1,0,COUNTA($B$19:$B$24),COUNTA($AK$17:$BB$17)),MATCH($F583,$F$19:$F$24,0),MATCH(AU$17,$AK$17:$BB$17,0))*INDEX($10:$13,MATCH($O583,$R$10:$R$13,0),COLUMN())</f>
        <v>1.0228199427E-6</v>
      </c>
      <c r="AV583" s="1050" cm="1">
        <f t="array" aca="1" ref="AV583" ca="1">INDEX(OFFSET($AK$19,MATCH($B583,$B$19:$B$150,0)-1,0,COUNTA($B$19:$B$24),COUNTA($AK$17:$BB$17)),MATCH($F583,$F$19:$F$24,0),MATCH(AV$17,$AK$17:$BB$17,0))*INDEX($10:$13,MATCH($O583,$R$10:$R$13,0),COLUMN())</f>
        <v>4.5242646209999998E-3</v>
      </c>
      <c r="AW583" s="1050" cm="1">
        <f t="array" aca="1" ref="AW583" ca="1">INDEX(OFFSET($AK$19,MATCH($B583,$B$19:$B$150,0)-1,0,COUNTA($B$19:$B$24),COUNTA($AK$17:$BB$17)),MATCH($F583,$F$19:$F$24,0),MATCH(AW$17,$AK$17:$BB$17,0))*INDEX($10:$13,MATCH($O583,$R$10:$R$13,0),COLUMN())</f>
        <v>1.1536772055000002</v>
      </c>
      <c r="AX583" s="1050" cm="1">
        <f t="array" aca="1" ref="AX583" ca="1">INDEX(OFFSET($AK$19,MATCH($B583,$B$19:$B$150,0)-1,0,COUNTA($B$19:$B$24),COUNTA($AK$17:$BB$17)),MATCH($F583,$F$19:$F$24,0),MATCH(AX$17,$AK$17:$BB$17,0))*INDEX($10:$13,MATCH($O583,$R$10:$R$13,0),COLUMN())</f>
        <v>3.4754240144999999E-7</v>
      </c>
      <c r="AY583" s="1050" cm="1">
        <f t="array" aca="1" ref="AY583" ca="1">INDEX(OFFSET($AK$19,MATCH($B583,$B$19:$B$150,0)-1,0,COUNTA($B$19:$B$24),COUNTA($AK$17:$BB$17)),MATCH($F583,$F$19:$F$24,0),MATCH(AY$17,$AK$17:$BB$17,0))*INDEX($10:$13,MATCH($O583,$R$10:$R$13,0),COLUMN())</f>
        <v>-8.9570655656250007E-9</v>
      </c>
      <c r="AZ583" s="1050" cm="1">
        <f t="array" aca="1" ref="AZ583" ca="1">INDEX(OFFSET($AK$19,MATCH($B583,$B$19:$B$150,0)-1,0,COUNTA($B$19:$B$24),COUNTA($AK$17:$BB$17)),MATCH($F583,$F$19:$F$24,0),MATCH(AZ$17,$AK$17:$BB$17,0))*INDEX($10:$13,MATCH($O583,$R$10:$R$13,0),COLUMN())</f>
        <v>0</v>
      </c>
      <c r="BA583" s="1050" cm="1">
        <f t="array" aca="1" ref="BA583" ca="1">INDEX(OFFSET($AK$19,MATCH($B583,$B$19:$B$150,0)-1,0,COUNTA($B$19:$B$24),COUNTA($AK$17:$BB$17)),MATCH($F583,$F$19:$F$24,0),MATCH(BA$17,$AK$17:$BB$17,0))*INDEX($10:$13,MATCH($O583,$R$10:$R$13,0),COLUMN())</f>
        <v>0</v>
      </c>
      <c r="BB583" s="1051" cm="1">
        <f t="array" aca="1" ref="BB583" ca="1">INDEX(OFFSET($AK$19,MATCH($B583,$B$19:$B$150,0)-1,0,COUNTA($B$19:$B$24),COUNTA($AK$17:$BB$17)),MATCH($F583,$F$19:$F$24,0),MATCH(BB$17,$AK$17:$BB$17,0))*INDEX($10:$13,MATCH($O583,$R$10:$R$13,0),COLUMN())</f>
        <v>0</v>
      </c>
      <c r="BC583" s="1053">
        <f t="shared" ca="1" si="185"/>
        <v>1.1536775440853362</v>
      </c>
      <c r="BE583" s="1"/>
      <c r="BF583" s="1"/>
      <c r="BG583" s="1"/>
      <c r="BH583" s="1"/>
      <c r="BI583" s="1"/>
      <c r="BJ583" s="1"/>
      <c r="BK583" s="1"/>
      <c r="BL583" s="1"/>
      <c r="BM583" s="1"/>
      <c r="BN583" s="1"/>
      <c r="BO583" s="1"/>
      <c r="BP583" s="1"/>
      <c r="BQ583" s="1"/>
      <c r="BR583" s="1"/>
      <c r="BS583" s="1"/>
      <c r="BT583" s="1"/>
      <c r="BU583" s="1"/>
      <c r="BV583" s="1"/>
      <c r="BW583" s="1"/>
      <c r="BX583" s="1"/>
      <c r="BY583" s="1"/>
      <c r="BZ583" s="1"/>
    </row>
    <row r="584" spans="2:78" ht="12" customHeight="1" outlineLevel="1" x14ac:dyDescent="0.25">
      <c r="B584" s="104" t="s">
        <v>101</v>
      </c>
      <c r="C584" s="104" t="s">
        <v>121</v>
      </c>
      <c r="D584" s="2" t="s">
        <v>132</v>
      </c>
      <c r="E584" s="2" t="s">
        <v>136</v>
      </c>
      <c r="F584" s="105" t="s">
        <v>96</v>
      </c>
      <c r="G584" s="27" t="s">
        <v>1582</v>
      </c>
      <c r="H584" s="106" t="s">
        <v>128</v>
      </c>
      <c r="I584" s="107" t="s">
        <v>1577</v>
      </c>
      <c r="J584" s="147">
        <v>3.7906351599999999</v>
      </c>
      <c r="K584" s="148">
        <v>0.41675000000000001</v>
      </c>
      <c r="L584" s="149">
        <f t="shared" ca="1" si="186"/>
        <v>3.2975302463855303</v>
      </c>
      <c r="M584" s="148">
        <f t="shared" ca="1" si="187"/>
        <v>1.7909957301811696</v>
      </c>
      <c r="N584" s="148">
        <f t="shared" ca="1" si="184"/>
        <v>1.3742457301811697</v>
      </c>
      <c r="O584" s="1062" t="s">
        <v>1585</v>
      </c>
      <c r="P584" s="104"/>
      <c r="R584" s="119"/>
      <c r="S584" s="1072"/>
      <c r="T584" s="1072"/>
      <c r="U584" s="1072"/>
      <c r="V584" s="1072"/>
      <c r="W584" s="1072"/>
      <c r="X584" s="1072"/>
      <c r="Y584" s="1072"/>
      <c r="Z584" s="1072"/>
      <c r="AA584" s="1072"/>
      <c r="AB584" s="1072"/>
      <c r="AC584" s="1072"/>
      <c r="AD584" s="1072"/>
      <c r="AE584" s="1072"/>
      <c r="AF584" s="1072"/>
      <c r="AG584" s="1072"/>
      <c r="AH584" s="1072"/>
      <c r="AI584" s="1072"/>
      <c r="AJ584" s="1073"/>
      <c r="AK584" s="1052" cm="1">
        <f t="array" aca="1" ref="AK584" ca="1">INDEX(OFFSET($AK$19,MATCH($B584,$B$19:$B$150,0)-1,0,COUNTA($B$19:$B$24),COUNTA($AK$17:$BB$17)),MATCH($F584,$F$19:$F$24,0),MATCH(AK$17,$AK$17:$BB$17,0))*INDEX($10:$13,MATCH($O584,$R$10:$R$13,0),COLUMN())</f>
        <v>9.4202960526720003E-2</v>
      </c>
      <c r="AL584" s="1050" cm="1">
        <f t="array" aca="1" ref="AL584" ca="1">INDEX(OFFSET($AK$19,MATCH($B584,$B$19:$B$150,0)-1,0,COUNTA($B$19:$B$24),COUNTA($AK$17:$BB$17)),MATCH($F584,$F$19:$F$24,0),MATCH(AL$17,$AK$17:$BB$17,0))*INDEX($10:$13,MATCH($O584,$R$10:$R$13,0),COLUMN())</f>
        <v>5.4039011530000008E-8</v>
      </c>
      <c r="AM584" s="1050" cm="1">
        <f t="array" aca="1" ref="AM584" ca="1">INDEX(OFFSET($AK$19,MATCH($B584,$B$19:$B$150,0)-1,0,COUNTA($B$19:$B$24),COUNTA($AK$17:$BB$17)),MATCH($F584,$F$19:$F$24,0),MATCH(AM$17,$AK$17:$BB$17,0))*INDEX($10:$13,MATCH($O584,$R$10:$R$13,0),COLUMN())</f>
        <v>8.6470656480000003E-5</v>
      </c>
      <c r="AN584" s="1050" cm="1">
        <f t="array" aca="1" ref="AN584" ca="1">INDEX(OFFSET($AK$19,MATCH($B584,$B$19:$B$150,0)-1,0,COUNTA($B$19:$B$24),COUNTA($AK$17:$BB$17)),MATCH($F584,$F$19:$F$24,0),MATCH(AN$17,$AK$17:$BB$17,0))*INDEX($10:$13,MATCH($O584,$R$10:$R$13,0),COLUMN())</f>
        <v>1.3513918456000001E-3</v>
      </c>
      <c r="AO584" s="1050" cm="1">
        <f t="array" aca="1" ref="AO584" ca="1">INDEX(OFFSET($AK$19,MATCH($B584,$B$19:$B$150,0)-1,0,COUNTA($B$19:$B$24),COUNTA($AK$17:$BB$17)),MATCH($F584,$F$19:$F$24,0),MATCH(AO$17,$AK$17:$BB$17,0))*INDEX($10:$13,MATCH($O584,$R$10:$R$13,0),COLUMN())</f>
        <v>5.7543841039999995E-2</v>
      </c>
      <c r="AP584" s="1050" cm="1">
        <f t="array" aca="1" ref="AP584" ca="1">INDEX(OFFSET($AK$19,MATCH($B584,$B$19:$B$150,0)-1,0,COUNTA($B$19:$B$24),COUNTA($AK$17:$BB$17)),MATCH($F584,$F$19:$F$24,0),MATCH(AP$17,$AK$17:$BB$17,0))*INDEX($10:$13,MATCH($O584,$R$10:$R$13,0),COLUMN())</f>
        <v>3.503915824E-2</v>
      </c>
      <c r="AQ584" s="1050" cm="1">
        <f t="array" aca="1" ref="AQ584" ca="1">INDEX(OFFSET($AK$19,MATCH($B584,$B$19:$B$150,0)-1,0,COUNTA($B$19:$B$24),COUNTA($AK$17:$BB$17)),MATCH($F584,$F$19:$F$24,0),MATCH(AQ$17,$AK$17:$BB$17,0))*INDEX($10:$13,MATCH($O584,$R$10:$R$13,0),COLUMN())</f>
        <v>2.7059000809999997E-4</v>
      </c>
      <c r="AR584" s="1050" cm="1">
        <f t="array" aca="1" ref="AR584" ca="1">INDEX(OFFSET($AK$19,MATCH($B584,$B$19:$B$150,0)-1,0,COUNTA($B$19:$B$24),COUNTA($AK$17:$BB$17)),MATCH($F584,$F$19:$F$24,0),MATCH(AR$17,$AK$17:$BB$17,0))*INDEX($10:$13,MATCH($O584,$R$10:$R$13,0),COLUMN())</f>
        <v>2.0913625113E-2</v>
      </c>
      <c r="AS584" s="1050" cm="1">
        <f t="array" aca="1" ref="AS584" ca="1">INDEX(OFFSET($AK$19,MATCH($B584,$B$19:$B$150,0)-1,0,COUNTA($B$19:$B$24),COUNTA($AK$17:$BB$17)),MATCH($F584,$F$19:$F$24,0),MATCH(AS$17,$AK$17:$BB$17,0))*INDEX($10:$13,MATCH($O584,$R$10:$R$13,0),COLUMN())</f>
        <v>3.2613371670000002E-3</v>
      </c>
      <c r="AT584" s="1050" cm="1">
        <f t="array" aca="1" ref="AT584" ca="1">INDEX(OFFSET($AK$19,MATCH($B584,$B$19:$B$150,0)-1,0,COUNTA($B$19:$B$24),COUNTA($AK$17:$BB$17)),MATCH($F584,$F$19:$F$24,0),MATCH(AT$17,$AK$17:$BB$17,0))*INDEX($10:$13,MATCH($O584,$R$10:$R$13,0),COLUMN())</f>
        <v>5.814069561E-6</v>
      </c>
      <c r="AU584" s="1050" cm="1">
        <f t="array" aca="1" ref="AU584" ca="1">INDEX(OFFSET($AK$19,MATCH($B584,$B$19:$B$150,0)-1,0,COUNTA($B$19:$B$24),COUNTA($AK$17:$BB$17)),MATCH($F584,$F$19:$F$24,0),MATCH(AU$17,$AK$17:$BB$17,0))*INDEX($10:$13,MATCH($O584,$R$10:$R$13,0),COLUMN())</f>
        <v>1.1132733609000002E-6</v>
      </c>
      <c r="AV584" s="1050" cm="1">
        <f t="array" aca="1" ref="AV584" ca="1">INDEX(OFFSET($AK$19,MATCH($B584,$B$19:$B$150,0)-1,0,COUNTA($B$19:$B$24),COUNTA($AK$17:$BB$17)),MATCH($F584,$F$19:$F$24,0),MATCH(AV$17,$AK$17:$BB$17,0))*INDEX($10:$13,MATCH($O584,$R$10:$R$13,0),COLUMN())</f>
        <v>7.8918301170000007E-3</v>
      </c>
      <c r="AW584" s="1050" cm="1">
        <f t="array" aca="1" ref="AW584" ca="1">INDEX(OFFSET($AK$19,MATCH($B584,$B$19:$B$150,0)-1,0,COUNTA($B$19:$B$24),COUNTA($AK$17:$BB$17)),MATCH($F584,$F$19:$F$24,0),MATCH(AW$17,$AK$17:$BB$17,0))*INDEX($10:$13,MATCH($O584,$R$10:$R$13,0),COLUMN())</f>
        <v>1.1536772055000002</v>
      </c>
      <c r="AX584" s="1050" cm="1">
        <f t="array" aca="1" ref="AX584" ca="1">INDEX(OFFSET($AK$19,MATCH($B584,$B$19:$B$150,0)-1,0,COUNTA($B$19:$B$24),COUNTA($AK$17:$BB$17)),MATCH($F584,$F$19:$F$24,0),MATCH(AX$17,$AK$17:$BB$17,0))*INDEX($10:$13,MATCH($O584,$R$10:$R$13,0),COLUMN())</f>
        <v>3.4754240144999999E-7</v>
      </c>
      <c r="AY584" s="1050" cm="1">
        <f t="array" aca="1" ref="AY584" ca="1">INDEX(OFFSET($AK$19,MATCH($B584,$B$19:$B$150,0)-1,0,COUNTA($B$19:$B$24),COUNTA($AK$17:$BB$17)),MATCH($F584,$F$19:$F$24,0),MATCH(AY$17,$AK$17:$BB$17,0))*INDEX($10:$13,MATCH($O584,$R$10:$R$13,0),COLUMN())</f>
        <v>-8.9570655656250007E-9</v>
      </c>
      <c r="AZ584" s="1050" cm="1">
        <f t="array" aca="1" ref="AZ584" ca="1">INDEX(OFFSET($AK$19,MATCH($B584,$B$19:$B$150,0)-1,0,COUNTA($B$19:$B$24),COUNTA($AK$17:$BB$17)),MATCH($F584,$F$19:$F$24,0),MATCH(AZ$17,$AK$17:$BB$17,0))*INDEX($10:$13,MATCH($O584,$R$10:$R$13,0),COLUMN())</f>
        <v>0</v>
      </c>
      <c r="BA584" s="1050" cm="1">
        <f t="array" aca="1" ref="BA584" ca="1">INDEX(OFFSET($AK$19,MATCH($B584,$B$19:$B$150,0)-1,0,COUNTA($B$19:$B$24),COUNTA($AK$17:$BB$17)),MATCH($F584,$F$19:$F$24,0),MATCH(BA$17,$AK$17:$BB$17,0))*INDEX($10:$13,MATCH($O584,$R$10:$R$13,0),COLUMN())</f>
        <v>0</v>
      </c>
      <c r="BB584" s="1051" cm="1">
        <f t="array" aca="1" ref="BB584" ca="1">INDEX(OFFSET($AK$19,MATCH($B584,$B$19:$B$150,0)-1,0,COUNTA($B$19:$B$24),COUNTA($AK$17:$BB$17)),MATCH($F584,$F$19:$F$24,0),MATCH(BB$17,$AK$17:$BB$17,0))*INDEX($10:$13,MATCH($O584,$R$10:$R$13,0),COLUMN())</f>
        <v>0</v>
      </c>
      <c r="BC584" s="1053">
        <f t="shared" ca="1" si="185"/>
        <v>1.1536775440853362</v>
      </c>
      <c r="BE584" s="1"/>
      <c r="BF584" s="1"/>
      <c r="BG584" s="1"/>
      <c r="BH584" s="1"/>
      <c r="BI584" s="1"/>
      <c r="BJ584" s="1"/>
      <c r="BK584" s="1"/>
      <c r="BL584" s="1"/>
      <c r="BM584" s="1"/>
      <c r="BN584" s="1"/>
      <c r="BO584" s="1"/>
      <c r="BP584" s="1"/>
      <c r="BQ584" s="1"/>
      <c r="BR584" s="1"/>
      <c r="BS584" s="1"/>
      <c r="BT584" s="1"/>
      <c r="BU584" s="1"/>
      <c r="BV584" s="1"/>
      <c r="BW584" s="1"/>
      <c r="BX584" s="1"/>
      <c r="BY584" s="1"/>
      <c r="BZ584" s="1"/>
    </row>
    <row r="585" spans="2:78" ht="12" customHeight="1" outlineLevel="1" x14ac:dyDescent="0.25">
      <c r="B585" s="88" t="s">
        <v>102</v>
      </c>
      <c r="C585" s="88" t="s">
        <v>121</v>
      </c>
      <c r="D585" s="89" t="s">
        <v>137</v>
      </c>
      <c r="E585" s="89" t="s">
        <v>138</v>
      </c>
      <c r="F585" s="90" t="s">
        <v>92</v>
      </c>
      <c r="G585" s="18" t="s">
        <v>126</v>
      </c>
      <c r="H585" s="91" t="s">
        <v>127</v>
      </c>
      <c r="I585" s="92" t="s">
        <v>127</v>
      </c>
      <c r="J585" s="142">
        <v>3.8814574399999997</v>
      </c>
      <c r="K585" s="143">
        <v>1.4249898934019873</v>
      </c>
      <c r="L585" s="144">
        <f t="shared" ca="1" si="186"/>
        <v>1.7211304002736882</v>
      </c>
      <c r="M585" s="143">
        <f t="shared" ca="1" si="187"/>
        <v>3.8775833190189104</v>
      </c>
      <c r="N585" s="143">
        <f t="shared" ca="1" si="184"/>
        <v>2.4525934256169228</v>
      </c>
      <c r="O585" s="1063" t="s">
        <v>1585</v>
      </c>
      <c r="P585" s="88"/>
      <c r="Q585" s="89"/>
      <c r="R585" s="150"/>
      <c r="S585" s="1070"/>
      <c r="T585" s="1070"/>
      <c r="U585" s="1070"/>
      <c r="V585" s="1070"/>
      <c r="W585" s="1070"/>
      <c r="X585" s="1070"/>
      <c r="Y585" s="1070"/>
      <c r="Z585" s="1070"/>
      <c r="AA585" s="1070"/>
      <c r="AB585" s="1070"/>
      <c r="AC585" s="1070"/>
      <c r="AD585" s="1070"/>
      <c r="AE585" s="1070"/>
      <c r="AF585" s="1070"/>
      <c r="AG585" s="1070"/>
      <c r="AH585" s="1070"/>
      <c r="AI585" s="1070"/>
      <c r="AJ585" s="1071"/>
      <c r="AK585" s="1048" cm="1">
        <f t="array" aca="1" ref="AK585" ca="1">INDEX(OFFSET($AK$19,MATCH($B585,$B$19:$B$150,0)-1,0,COUNTA($B$19:$B$24),COUNTA($AK$17:$BB$17)),MATCH($F585,$F$19:$F$24,0),MATCH(AK$17,$AK$17:$BB$17,0))*INDEX($10:$13,MATCH($O585,$R$10:$R$13,0),COLUMN())</f>
        <v>0.14873917777190401</v>
      </c>
      <c r="AL585" s="1046" cm="1">
        <f t="array" aca="1" ref="AL585" ca="1">INDEX(OFFSET($AK$19,MATCH($B585,$B$19:$B$150,0)-1,0,COUNTA($B$19:$B$24),COUNTA($AK$17:$BB$17)),MATCH($F585,$F$19:$F$24,0),MATCH(AL$17,$AK$17:$BB$17,0))*INDEX($10:$13,MATCH($O585,$R$10:$R$13,0),COLUMN())</f>
        <v>1.9536490881000002E-7</v>
      </c>
      <c r="AM585" s="1046" cm="1">
        <f t="array" aca="1" ref="AM585" ca="1">INDEX(OFFSET($AK$19,MATCH($B585,$B$19:$B$150,0)-1,0,COUNTA($B$19:$B$24),COUNTA($AK$17:$BB$17)),MATCH($F585,$F$19:$F$24,0),MATCH(AM$17,$AK$17:$BB$17,0))*INDEX($10:$13,MATCH($O585,$R$10:$R$13,0),COLUMN())</f>
        <v>3.1502681262000003E-4</v>
      </c>
      <c r="AN585" s="1046" cm="1">
        <f t="array" aca="1" ref="AN585" ca="1">INDEX(OFFSET($AK$19,MATCH($B585,$B$19:$B$150,0)-1,0,COUNTA($B$19:$B$24),COUNTA($AK$17:$BB$17)),MATCH($F585,$F$19:$F$24,0),MATCH(AN$17,$AK$17:$BB$17,0))*INDEX($10:$13,MATCH($O585,$R$10:$R$13,0),COLUMN())</f>
        <v>1.7205427839999999E-3</v>
      </c>
      <c r="AO585" s="1046" cm="1">
        <f t="array" aca="1" ref="AO585" ca="1">INDEX(OFFSET($AK$19,MATCH($B585,$B$19:$B$150,0)-1,0,COUNTA($B$19:$B$24),COUNTA($AK$17:$BB$17)),MATCH($F585,$F$19:$F$24,0),MATCH(AO$17,$AK$17:$BB$17,0))*INDEX($10:$13,MATCH($O585,$R$10:$R$13,0),COLUMN())</f>
        <v>7.1037358080000002E-2</v>
      </c>
      <c r="AP585" s="1046" cm="1">
        <f t="array" aca="1" ref="AP585" ca="1">INDEX(OFFSET($AK$19,MATCH($B585,$B$19:$B$150,0)-1,0,COUNTA($B$19:$B$24),COUNTA($AK$17:$BB$17)),MATCH($F585,$F$19:$F$24,0),MATCH(AP$17,$AK$17:$BB$17,0))*INDEX($10:$13,MATCH($O585,$R$10:$R$13,0),COLUMN())</f>
        <v>4.2302751138E-2</v>
      </c>
      <c r="AQ585" s="1046" cm="1">
        <f t="array" aca="1" ref="AQ585" ca="1">INDEX(OFFSET($AK$19,MATCH($B585,$B$19:$B$150,0)-1,0,COUNTA($B$19:$B$24),COUNTA($AK$17:$BB$17)),MATCH($F585,$F$19:$F$24,0),MATCH(AQ$17,$AK$17:$BB$17,0))*INDEX($10:$13,MATCH($O585,$R$10:$R$13,0),COLUMN())</f>
        <v>5.4805735019999998E-4</v>
      </c>
      <c r="AR585" s="1046" cm="1">
        <f t="array" aca="1" ref="AR585" ca="1">INDEX(OFFSET($AK$19,MATCH($B585,$B$19:$B$150,0)-1,0,COUNTA($B$19:$B$24),COUNTA($AK$17:$BB$17)),MATCH($F585,$F$19:$F$24,0),MATCH(AR$17,$AK$17:$BB$17,0))*INDEX($10:$13,MATCH($O585,$R$10:$R$13,0),COLUMN())</f>
        <v>2.4040986377000001E-2</v>
      </c>
      <c r="AS585" s="1046" cm="1">
        <f t="array" aca="1" ref="AS585" ca="1">INDEX(OFFSET($AK$19,MATCH($B585,$B$19:$B$150,0)-1,0,COUNTA($B$19:$B$24),COUNTA($AK$17:$BB$17)),MATCH($F585,$F$19:$F$24,0),MATCH(AS$17,$AK$17:$BB$17,0))*INDEX($10:$13,MATCH($O585,$R$10:$R$13,0),COLUMN())</f>
        <v>0.36194336214999995</v>
      </c>
      <c r="AT585" s="1046" cm="1">
        <f t="array" aca="1" ref="AT585" ca="1">INDEX(OFFSET($AK$19,MATCH($B585,$B$19:$B$150,0)-1,0,COUNTA($B$19:$B$24),COUNTA($AK$17:$BB$17)),MATCH($F585,$F$19:$F$24,0),MATCH(AT$17,$AK$17:$BB$17,0))*INDEX($10:$13,MATCH($O585,$R$10:$R$13,0),COLUMN())</f>
        <v>4.0247088350999996E-4</v>
      </c>
      <c r="AU585" s="1046" cm="1">
        <f t="array" aca="1" ref="AU585" ca="1">INDEX(OFFSET($AK$19,MATCH($B585,$B$19:$B$150,0)-1,0,COUNTA($B$19:$B$24),COUNTA($AK$17:$BB$17)),MATCH($F585,$F$19:$F$24,0),MATCH(AU$17,$AK$17:$BB$17,0))*INDEX($10:$13,MATCH($O585,$R$10:$R$13,0),COLUMN())</f>
        <v>2.3517524637E-5</v>
      </c>
      <c r="AV585" s="1046" cm="1">
        <f t="array" aca="1" ref="AV585" ca="1">INDEX(OFFSET($AK$19,MATCH($B585,$B$19:$B$150,0)-1,0,COUNTA($B$19:$B$24),COUNTA($AK$17:$BB$17)),MATCH($F585,$F$19:$F$24,0),MATCH(AV$17,$AK$17:$BB$17,0))*INDEX($10:$13,MATCH($O585,$R$10:$R$13,0),COLUMN())</f>
        <v>1.5001682129999999E-2</v>
      </c>
      <c r="AW585" s="1046" cm="1">
        <f t="array" aca="1" ref="AW585" ca="1">INDEX(OFFSET($AK$19,MATCH($B585,$B$19:$B$150,0)-1,0,COUNTA($B$19:$B$24),COUNTA($AK$17:$BB$17)),MATCH($F585,$F$19:$F$24,0),MATCH(AW$17,$AK$17:$BB$17,0))*INDEX($10:$13,MATCH($O585,$R$10:$R$13,0),COLUMN())</f>
        <v>1.7865165105</v>
      </c>
      <c r="AX585" s="1046" cm="1">
        <f t="array" aca="1" ref="AX585" ca="1">INDEX(OFFSET($AK$19,MATCH($B585,$B$19:$B$150,0)-1,0,COUNTA($B$19:$B$24),COUNTA($AK$17:$BB$17)),MATCH($F585,$F$19:$F$24,0),MATCH(AX$17,$AK$17:$BB$17,0))*INDEX($10:$13,MATCH($O585,$R$10:$R$13,0),COLUMN())</f>
        <v>1.835194597E-6</v>
      </c>
      <c r="AY585" s="1046" cm="1">
        <f t="array" aca="1" ref="AY585" ca="1">INDEX(OFFSET($AK$19,MATCH($B585,$B$19:$B$150,0)-1,0,COUNTA($B$19:$B$24),COUNTA($AK$17:$BB$17)),MATCH($F585,$F$19:$F$24,0),MATCH(AY$17,$AK$17:$BB$17,0))*INDEX($10:$13,MATCH($O585,$R$10:$R$13,0),COLUMN())</f>
        <v>-4.8444454406250004E-8</v>
      </c>
      <c r="AZ585" s="1046" cm="1">
        <f t="array" aca="1" ref="AZ585" ca="1">INDEX(OFFSET($AK$19,MATCH($B585,$B$19:$B$150,0)-1,0,COUNTA($B$19:$B$24),COUNTA($AK$17:$BB$17)),MATCH($F585,$F$19:$F$24,0),MATCH(AZ$17,$AK$17:$BB$17,0))*INDEX($10:$13,MATCH($O585,$R$10:$R$13,0),COLUMN())</f>
        <v>0</v>
      </c>
      <c r="BA585" s="1046" cm="1">
        <f t="array" aca="1" ref="BA585" ca="1">INDEX(OFFSET($AK$19,MATCH($B585,$B$19:$B$150,0)-1,0,COUNTA($B$19:$B$24),COUNTA($AK$17:$BB$17)),MATCH($F585,$F$19:$F$24,0),MATCH(BA$17,$AK$17:$BB$17,0))*INDEX($10:$13,MATCH($O585,$R$10:$R$13,0),COLUMN())</f>
        <v>0</v>
      </c>
      <c r="BB585" s="1047" cm="1">
        <f t="array" aca="1" ref="BB585" ca="1">INDEX(OFFSET($AK$19,MATCH($B585,$B$19:$B$150,0)-1,0,COUNTA($B$19:$B$24),COUNTA($AK$17:$BB$17)),MATCH($F585,$F$19:$F$24,0),MATCH(BB$17,$AK$17:$BB$17,0))*INDEX($10:$13,MATCH($O585,$R$10:$R$13,0),COLUMN())</f>
        <v>0</v>
      </c>
      <c r="BC585" s="1049">
        <f t="shared" ca="1" si="185"/>
        <v>1.7865182972501426</v>
      </c>
      <c r="BE585" s="1"/>
      <c r="BF585" s="1"/>
      <c r="BG585" s="1"/>
      <c r="BH585" s="1"/>
      <c r="BI585" s="1"/>
      <c r="BJ585" s="1"/>
      <c r="BK585" s="1"/>
      <c r="BL585" s="1"/>
      <c r="BM585" s="1"/>
      <c r="BN585" s="1"/>
      <c r="BO585" s="1"/>
      <c r="BP585" s="1"/>
      <c r="BQ585" s="1"/>
      <c r="BR585" s="1"/>
      <c r="BS585" s="1"/>
      <c r="BT585" s="1"/>
      <c r="BU585" s="1"/>
      <c r="BV585" s="1"/>
      <c r="BW585" s="1"/>
      <c r="BX585" s="1"/>
      <c r="BY585" s="1"/>
      <c r="BZ585" s="1"/>
    </row>
    <row r="586" spans="2:78" ht="12" customHeight="1" outlineLevel="1" x14ac:dyDescent="0.25">
      <c r="B586" s="104" t="s">
        <v>102</v>
      </c>
      <c r="C586" s="104" t="s">
        <v>121</v>
      </c>
      <c r="D586" s="2" t="s">
        <v>137</v>
      </c>
      <c r="E586" s="2" t="s">
        <v>138</v>
      </c>
      <c r="F586" s="105" t="s">
        <v>122</v>
      </c>
      <c r="G586" s="27" t="s">
        <v>1579</v>
      </c>
      <c r="H586" s="106" t="s">
        <v>128</v>
      </c>
      <c r="I586" s="107" t="s">
        <v>129</v>
      </c>
      <c r="J586" s="147">
        <v>3.8814574399999997</v>
      </c>
      <c r="K586" s="148">
        <v>3.49</v>
      </c>
      <c r="L586" s="149">
        <f t="shared" ca="1" si="186"/>
        <v>0.63157673319187502</v>
      </c>
      <c r="M586" s="148">
        <f t="shared" ca="1" si="187"/>
        <v>5.694202798839644</v>
      </c>
      <c r="N586" s="148">
        <f t="shared" ca="1" si="184"/>
        <v>2.2042027988396438</v>
      </c>
      <c r="O586" s="1062" t="s">
        <v>1585</v>
      </c>
      <c r="P586" s="104"/>
      <c r="R586" s="119"/>
      <c r="S586" s="1072"/>
      <c r="T586" s="1072"/>
      <c r="U586" s="1072"/>
      <c r="V586" s="1072"/>
      <c r="W586" s="1072"/>
      <c r="X586" s="1072"/>
      <c r="Y586" s="1072"/>
      <c r="Z586" s="1072"/>
      <c r="AA586" s="1072"/>
      <c r="AB586" s="1072"/>
      <c r="AC586" s="1072"/>
      <c r="AD586" s="1072"/>
      <c r="AE586" s="1072"/>
      <c r="AF586" s="1072"/>
      <c r="AG586" s="1072"/>
      <c r="AH586" s="1072"/>
      <c r="AI586" s="1072"/>
      <c r="AJ586" s="1073"/>
      <c r="AK586" s="1052" cm="1">
        <f t="array" aca="1" ref="AK586" ca="1">INDEX(OFFSET($AK$19,MATCH($B586,$B$19:$B$150,0)-1,0,COUNTA($B$19:$B$24),COUNTA($AK$17:$BB$17)),MATCH($F586,$F$19:$F$24,0),MATCH(AK$17,$AK$17:$BB$17,0))*INDEX($10:$13,MATCH($O586,$R$10:$R$13,0),COLUMN())</f>
        <v>0.10540622250528001</v>
      </c>
      <c r="AL586" s="1050" cm="1">
        <f t="array" aca="1" ref="AL586" ca="1">INDEX(OFFSET($AK$19,MATCH($B586,$B$19:$B$150,0)-1,0,COUNTA($B$19:$B$24),COUNTA($AK$17:$BB$17)),MATCH($F586,$F$19:$F$24,0),MATCH(AL$17,$AK$17:$BB$17,0))*INDEX($10:$13,MATCH($O586,$R$10:$R$13,0),COLUMN())</f>
        <v>8.2355119980000014E-8</v>
      </c>
      <c r="AM586" s="1050" cm="1">
        <f t="array" aca="1" ref="AM586" ca="1">INDEX(OFFSET($AK$19,MATCH($B586,$B$19:$B$150,0)-1,0,COUNTA($B$19:$B$24),COUNTA($AK$17:$BB$17)),MATCH($F586,$F$19:$F$24,0),MATCH(AM$17,$AK$17:$BB$17,0))*INDEX($10:$13,MATCH($O586,$R$10:$R$13,0),COLUMN())</f>
        <v>1.3170965548000001E-4</v>
      </c>
      <c r="AN586" s="1050" cm="1">
        <f t="array" aca="1" ref="AN586" ca="1">INDEX(OFFSET($AK$19,MATCH($B586,$B$19:$B$150,0)-1,0,COUNTA($B$19:$B$24),COUNTA($AK$17:$BB$17)),MATCH($F586,$F$19:$F$24,0),MATCH(AN$17,$AK$17:$BB$17,0))*INDEX($10:$13,MATCH($O586,$R$10:$R$13,0),COLUMN())</f>
        <v>1.7779159344E-3</v>
      </c>
      <c r="AO586" s="1050" cm="1">
        <f t="array" aca="1" ref="AO586" ca="1">INDEX(OFFSET($AK$19,MATCH($B586,$B$19:$B$150,0)-1,0,COUNTA($B$19:$B$24),COUNTA($AK$17:$BB$17)),MATCH($F586,$F$19:$F$24,0),MATCH(AO$17,$AK$17:$BB$17,0))*INDEX($10:$13,MATCH($O586,$R$10:$R$13,0),COLUMN())</f>
        <v>2.7870667960000001E-2</v>
      </c>
      <c r="AP586" s="1050" cm="1">
        <f t="array" aca="1" ref="AP586" ca="1">INDEX(OFFSET($AK$19,MATCH($B586,$B$19:$B$150,0)-1,0,COUNTA($B$19:$B$24),COUNTA($AK$17:$BB$17)),MATCH($F586,$F$19:$F$24,0),MATCH(AP$17,$AK$17:$BB$17,0))*INDEX($10:$13,MATCH($O586,$R$10:$R$13,0),COLUMN())</f>
        <v>1.1463590238000001E-2</v>
      </c>
      <c r="AQ586" s="1050" cm="1">
        <f t="array" aca="1" ref="AQ586" ca="1">INDEX(OFFSET($AK$19,MATCH($B586,$B$19:$B$150,0)-1,0,COUNTA($B$19:$B$24),COUNTA($AK$17:$BB$17)),MATCH($F586,$F$19:$F$24,0),MATCH(AQ$17,$AK$17:$BB$17,0))*INDEX($10:$13,MATCH($O586,$R$10:$R$13,0),COLUMN())</f>
        <v>7.8802676399999998E-5</v>
      </c>
      <c r="AR586" s="1050" cm="1">
        <f t="array" aca="1" ref="AR586" ca="1">INDEX(OFFSET($AK$19,MATCH($B586,$B$19:$B$150,0)-1,0,COUNTA($B$19:$B$24),COUNTA($AK$17:$BB$17)),MATCH($F586,$F$19:$F$24,0),MATCH(AR$17,$AK$17:$BB$17,0))*INDEX($10:$13,MATCH($O586,$R$10:$R$13,0),COLUMN())</f>
        <v>1.4887871359E-2</v>
      </c>
      <c r="AS586" s="1050" cm="1">
        <f t="array" aca="1" ref="AS586" ca="1">INDEX(OFFSET($AK$19,MATCH($B586,$B$19:$B$150,0)-1,0,COUNTA($B$19:$B$24),COUNTA($AK$17:$BB$17)),MATCH($F586,$F$19:$F$24,0),MATCH(AS$17,$AK$17:$BB$17,0))*INDEX($10:$13,MATCH($O586,$R$10:$R$13,0),COLUMN())</f>
        <v>1.1120599765000001E-4</v>
      </c>
      <c r="AT586" s="1050" cm="1">
        <f t="array" aca="1" ref="AT586" ca="1">INDEX(OFFSET($AK$19,MATCH($B586,$B$19:$B$150,0)-1,0,COUNTA($B$19:$B$24),COUNTA($AK$17:$BB$17)),MATCH($F586,$F$19:$F$24,0),MATCH(AT$17,$AK$17:$BB$17,0))*INDEX($10:$13,MATCH($O586,$R$10:$R$13,0),COLUMN())</f>
        <v>6.6191357539999998E-6</v>
      </c>
      <c r="AU586" s="1050" cm="1">
        <f t="array" aca="1" ref="AU586" ca="1">INDEX(OFFSET($AK$19,MATCH($B586,$B$19:$B$150,0)-1,0,COUNTA($B$19:$B$24),COUNTA($AK$17:$BB$17)),MATCH($F586,$F$19:$F$24,0),MATCH(AU$17,$AK$17:$BB$17,0))*INDEX($10:$13,MATCH($O586,$R$10:$R$13,0),COLUMN())</f>
        <v>1.3679165493000001E-6</v>
      </c>
      <c r="AV586" s="1050" cm="1">
        <f t="array" aca="1" ref="AV586" ca="1">INDEX(OFFSET($AK$19,MATCH($B586,$B$19:$B$150,0)-1,0,COUNTA($B$19:$B$24),COUNTA($AK$17:$BB$17)),MATCH($F586,$F$19:$F$24,0),MATCH(AV$17,$AK$17:$BB$17,0))*INDEX($10:$13,MATCH($O586,$R$10:$R$13,0),COLUMN())</f>
        <v>1.9157798609999999E-3</v>
      </c>
      <c r="AW586" s="1050" cm="1">
        <f t="array" aca="1" ref="AW586" ca="1">INDEX(OFFSET($AK$19,MATCH($B586,$B$19:$B$150,0)-1,0,COUNTA($B$19:$B$24),COUNTA($AK$17:$BB$17)),MATCH($F586,$F$19:$F$24,0),MATCH(AW$17,$AK$17:$BB$17,0))*INDEX($10:$13,MATCH($O586,$R$10:$R$13,0),COLUMN())</f>
        <v>2.0405504730000001</v>
      </c>
      <c r="AX586" s="1050" cm="1">
        <f t="array" aca="1" ref="AX586" ca="1">INDEX(OFFSET($AK$19,MATCH($B586,$B$19:$B$150,0)-1,0,COUNTA($B$19:$B$24),COUNTA($AK$17:$BB$17)),MATCH($F586,$F$19:$F$24,0),MATCH(AX$17,$AK$17:$BB$17,0))*INDEX($10:$13,MATCH($O586,$R$10:$R$13,0),COLUMN())</f>
        <v>5.0321413830000006E-7</v>
      </c>
      <c r="AY586" s="1050" cm="1">
        <f t="array" aca="1" ref="AY586" ca="1">INDEX(OFFSET($AK$19,MATCH($B586,$B$19:$B$150,0)-1,0,COUNTA($B$19:$B$24),COUNTA($AK$17:$BB$17)),MATCH($F586,$F$19:$F$24,0),MATCH(AY$17,$AK$17:$BB$17,0))*INDEX($10:$13,MATCH($O586,$R$10:$R$13,0),COLUMN())</f>
        <v>-1.296912811875E-8</v>
      </c>
      <c r="AZ586" s="1050" cm="1">
        <f t="array" aca="1" ref="AZ586" ca="1">INDEX(OFFSET($AK$19,MATCH($B586,$B$19:$B$150,0)-1,0,COUNTA($B$19:$B$24),COUNTA($AK$17:$BB$17)),MATCH($F586,$F$19:$F$24,0),MATCH(AZ$17,$AK$17:$BB$17,0))*INDEX($10:$13,MATCH($O586,$R$10:$R$13,0),COLUMN())</f>
        <v>0</v>
      </c>
      <c r="BA586" s="1050" cm="1">
        <f t="array" aca="1" ref="BA586" ca="1">INDEX(OFFSET($AK$19,MATCH($B586,$B$19:$B$150,0)-1,0,COUNTA($B$19:$B$24),COUNTA($AK$17:$BB$17)),MATCH($F586,$F$19:$F$24,0),MATCH(BA$17,$AK$17:$BB$17,0))*INDEX($10:$13,MATCH($O586,$R$10:$R$13,0),COLUMN())</f>
        <v>0</v>
      </c>
      <c r="BB586" s="1051" cm="1">
        <f t="array" aca="1" ref="BB586" ca="1">INDEX(OFFSET($AK$19,MATCH($B586,$B$19:$B$150,0)-1,0,COUNTA($B$19:$B$24),COUNTA($AK$17:$BB$17)),MATCH($F586,$F$19:$F$24,0),MATCH(BB$17,$AK$17:$BB$17,0))*INDEX($10:$13,MATCH($O586,$R$10:$R$13,0),COLUMN())</f>
        <v>0</v>
      </c>
      <c r="BC586" s="1053">
        <f t="shared" ca="1" si="185"/>
        <v>2.0405509632450105</v>
      </c>
      <c r="BE586" s="1"/>
      <c r="BF586" s="1"/>
      <c r="BG586" s="1"/>
      <c r="BH586" s="1"/>
      <c r="BI586" s="1"/>
      <c r="BJ586" s="1"/>
      <c r="BK586" s="1"/>
      <c r="BL586" s="1"/>
      <c r="BM586" s="1"/>
      <c r="BN586" s="1"/>
      <c r="BO586" s="1"/>
      <c r="BP586" s="1"/>
      <c r="BQ586" s="1"/>
      <c r="BR586" s="1"/>
      <c r="BS586" s="1"/>
      <c r="BT586" s="1"/>
      <c r="BU586" s="1"/>
      <c r="BV586" s="1"/>
      <c r="BW586" s="1"/>
      <c r="BX586" s="1"/>
      <c r="BY586" s="1"/>
      <c r="BZ586" s="1"/>
    </row>
    <row r="587" spans="2:78" ht="12" customHeight="1" outlineLevel="1" x14ac:dyDescent="0.25">
      <c r="B587" s="104" t="s">
        <v>102</v>
      </c>
      <c r="C587" s="104" t="s">
        <v>121</v>
      </c>
      <c r="D587" s="2" t="s">
        <v>137</v>
      </c>
      <c r="E587" s="2" t="s">
        <v>138</v>
      </c>
      <c r="F587" s="105" t="s">
        <v>93</v>
      </c>
      <c r="G587" s="27" t="s">
        <v>1578</v>
      </c>
      <c r="H587" s="106" t="s">
        <v>130</v>
      </c>
      <c r="I587" s="107" t="s">
        <v>129</v>
      </c>
      <c r="J587" s="147">
        <v>3.8814574399999997</v>
      </c>
      <c r="K587" s="148">
        <v>3.49</v>
      </c>
      <c r="L587" s="149">
        <f t="shared" ca="1" si="186"/>
        <v>0.8432656561725127</v>
      </c>
      <c r="M587" s="148">
        <f t="shared" ca="1" si="187"/>
        <v>6.4329971400420698</v>
      </c>
      <c r="N587" s="148">
        <f t="shared" ca="1" si="184"/>
        <v>2.9429971400420696</v>
      </c>
      <c r="O587" s="1062" t="s">
        <v>1585</v>
      </c>
      <c r="P587" s="104"/>
      <c r="R587" s="119"/>
      <c r="S587" s="1072"/>
      <c r="T587" s="1072"/>
      <c r="U587" s="1072"/>
      <c r="V587" s="1072"/>
      <c r="W587" s="1072"/>
      <c r="X587" s="1072"/>
      <c r="Y587" s="1072"/>
      <c r="Z587" s="1072"/>
      <c r="AA587" s="1072"/>
      <c r="AB587" s="1072"/>
      <c r="AC587" s="1072"/>
      <c r="AD587" s="1072"/>
      <c r="AE587" s="1072"/>
      <c r="AF587" s="1072"/>
      <c r="AG587" s="1072"/>
      <c r="AH587" s="1072"/>
      <c r="AI587" s="1072"/>
      <c r="AJ587" s="1073"/>
      <c r="AK587" s="1052" cm="1">
        <f t="array" aca="1" ref="AK587" ca="1">INDEX(OFFSET($AK$19,MATCH($B587,$B$19:$B$150,0)-1,0,COUNTA($B$19:$B$24),COUNTA($AK$17:$BB$17)),MATCH($F587,$F$19:$F$24,0),MATCH(AK$17,$AK$17:$BB$17,0))*INDEX($10:$13,MATCH($O587,$R$10:$R$13,0),COLUMN())</f>
        <v>0.140708931750336</v>
      </c>
      <c r="AL587" s="1050" cm="1">
        <f t="array" aca="1" ref="AL587" ca="1">INDEX(OFFSET($AK$19,MATCH($B587,$B$19:$B$150,0)-1,0,COUNTA($B$19:$B$24),COUNTA($AK$17:$BB$17)),MATCH($F587,$F$19:$F$24,0),MATCH(AL$17,$AK$17:$BB$17,0))*INDEX($10:$13,MATCH($O587,$R$10:$R$13,0),COLUMN())</f>
        <v>1.0993754692E-7</v>
      </c>
      <c r="AM587" s="1050" cm="1">
        <f t="array" aca="1" ref="AM587" ca="1">INDEX(OFFSET($AK$19,MATCH($B587,$B$19:$B$150,0)-1,0,COUNTA($B$19:$B$24),COUNTA($AK$17:$BB$17)),MATCH($F587,$F$19:$F$24,0),MATCH(AM$17,$AK$17:$BB$17,0))*INDEX($10:$13,MATCH($O587,$R$10:$R$13,0),COLUMN())</f>
        <v>1.758219268E-4</v>
      </c>
      <c r="AN587" s="1050" cm="1">
        <f t="array" aca="1" ref="AN587" ca="1">INDEX(OFFSET($AK$19,MATCH($B587,$B$19:$B$150,0)-1,0,COUNTA($B$19:$B$24),COUNTA($AK$17:$BB$17)),MATCH($F587,$F$19:$F$24,0),MATCH(AN$17,$AK$17:$BB$17,0))*INDEX($10:$13,MATCH($O587,$R$10:$R$13,0),COLUMN())</f>
        <v>2.3733766240000001E-3</v>
      </c>
      <c r="AO587" s="1050" cm="1">
        <f t="array" aca="1" ref="AO587" ca="1">INDEX(OFFSET($AK$19,MATCH($B587,$B$19:$B$150,0)-1,0,COUNTA($B$19:$B$24),COUNTA($AK$17:$BB$17)),MATCH($F587,$F$19:$F$24,0),MATCH(AO$17,$AK$17:$BB$17,0))*INDEX($10:$13,MATCH($O587,$R$10:$R$13,0),COLUMN())</f>
        <v>3.7205127976000001E-2</v>
      </c>
      <c r="AP587" s="1050" cm="1">
        <f t="array" aca="1" ref="AP587" ca="1">INDEX(OFFSET($AK$19,MATCH($B587,$B$19:$B$150,0)-1,0,COUNTA($B$19:$B$24),COUNTA($AK$17:$BB$17)),MATCH($F587,$F$19:$F$24,0),MATCH(AP$17,$AK$17:$BB$17,0))*INDEX($10:$13,MATCH($O587,$R$10:$R$13,0),COLUMN())</f>
        <v>1.5302982186000002E-2</v>
      </c>
      <c r="AQ587" s="1050" cm="1">
        <f t="array" aca="1" ref="AQ587" ca="1">INDEX(OFFSET($AK$19,MATCH($B587,$B$19:$B$150,0)-1,0,COUNTA($B$19:$B$24),COUNTA($AK$17:$BB$17)),MATCH($F587,$F$19:$F$24,0),MATCH(AQ$17,$AK$17:$BB$17,0))*INDEX($10:$13,MATCH($O587,$R$10:$R$13,0),COLUMN())</f>
        <v>1.0519531389E-4</v>
      </c>
      <c r="AR587" s="1050" cm="1">
        <f t="array" aca="1" ref="AR587" ca="1">INDEX(OFFSET($AK$19,MATCH($B587,$B$19:$B$150,0)-1,0,COUNTA($B$19:$B$24),COUNTA($AK$17:$BB$17)),MATCH($F587,$F$19:$F$24,0),MATCH(AR$17,$AK$17:$BB$17,0))*INDEX($10:$13,MATCH($O587,$R$10:$R$13,0),COLUMN())</f>
        <v>1.9874125651E-2</v>
      </c>
      <c r="AS587" s="1050" cm="1">
        <f t="array" aca="1" ref="AS587" ca="1">INDEX(OFFSET($AK$19,MATCH($B587,$B$19:$B$150,0)-1,0,COUNTA($B$19:$B$24),COUNTA($AK$17:$BB$17)),MATCH($F587,$F$19:$F$24,0),MATCH(AS$17,$AK$17:$BB$17,0))*INDEX($10:$13,MATCH($O587,$R$10:$R$13,0),COLUMN())</f>
        <v>3.3697786735000001E-4</v>
      </c>
      <c r="AT587" s="1050" cm="1">
        <f t="array" aca="1" ref="AT587" ca="1">INDEX(OFFSET($AK$19,MATCH($B587,$B$19:$B$150,0)-1,0,COUNTA($B$19:$B$24),COUNTA($AK$17:$BB$17)),MATCH($F587,$F$19:$F$24,0),MATCH(AT$17,$AK$17:$BB$17,0))*INDEX($10:$13,MATCH($O587,$R$10:$R$13,0),COLUMN())</f>
        <v>8.9052081250000005E-6</v>
      </c>
      <c r="AU587" s="1050" cm="1">
        <f t="array" aca="1" ref="AU587" ca="1">INDEX(OFFSET($AK$19,MATCH($B587,$B$19:$B$150,0)-1,0,COUNTA($B$19:$B$24),COUNTA($AK$17:$BB$17)),MATCH($F587,$F$19:$F$24,0),MATCH(AU$17,$AK$17:$BB$17,0))*INDEX($10:$13,MATCH($O587,$R$10:$R$13,0),COLUMN())</f>
        <v>1.8334218834000003E-6</v>
      </c>
      <c r="AV587" s="1050" cm="1">
        <f t="array" aca="1" ref="AV587" ca="1">INDEX(OFFSET($AK$19,MATCH($B587,$B$19:$B$150,0)-1,0,COUNTA($B$19:$B$24),COUNTA($AK$17:$BB$17)),MATCH($F587,$F$19:$F$24,0),MATCH(AV$17,$AK$17:$BB$17,0))*INDEX($10:$13,MATCH($O587,$R$10:$R$13,0),COLUMN())</f>
        <v>2.9303167410000002E-3</v>
      </c>
      <c r="AW587" s="1050" cm="1">
        <f t="array" aca="1" ref="AW587" ca="1">INDEX(OFFSET($AK$19,MATCH($B587,$B$19:$B$150,0)-1,0,COUNTA($B$19:$B$24),COUNTA($AK$17:$BB$17)),MATCH($F587,$F$19:$F$24,0),MATCH(AW$17,$AK$17:$BB$17,0))*INDEX($10:$13,MATCH($O587,$R$10:$R$13,0),COLUMN())</f>
        <v>2.7239727810000001</v>
      </c>
      <c r="AX587" s="1050" cm="1">
        <f t="array" aca="1" ref="AX587" ca="1">INDEX(OFFSET($AK$19,MATCH($B587,$B$19:$B$150,0)-1,0,COUNTA($B$19:$B$24),COUNTA($AK$17:$BB$17)),MATCH($F587,$F$19:$F$24,0),MATCH(AX$17,$AK$17:$BB$17,0))*INDEX($10:$13,MATCH($O587,$R$10:$R$13,0),COLUMN())</f>
        <v>6.7175089440000001E-7</v>
      </c>
      <c r="AY587" s="1050" cm="1">
        <f t="array" aca="1" ref="AY587" ca="1">INDEX(OFFSET($AK$19,MATCH($B587,$B$19:$B$150,0)-1,0,COUNTA($B$19:$B$24),COUNTA($AK$17:$BB$17)),MATCH($F587,$F$19:$F$24,0),MATCH(AY$17,$AK$17:$BB$17,0))*INDEX($10:$13,MATCH($O587,$R$10:$R$13,0),COLUMN())</f>
        <v>-1.7312755931250001E-8</v>
      </c>
      <c r="AZ587" s="1050" cm="1">
        <f t="array" aca="1" ref="AZ587" ca="1">INDEX(OFFSET($AK$19,MATCH($B587,$B$19:$B$150,0)-1,0,COUNTA($B$19:$B$24),COUNTA($AK$17:$BB$17)),MATCH($F587,$F$19:$F$24,0),MATCH(AZ$17,$AK$17:$BB$17,0))*INDEX($10:$13,MATCH($O587,$R$10:$R$13,0),COLUMN())</f>
        <v>0</v>
      </c>
      <c r="BA587" s="1050" cm="1">
        <f t="array" aca="1" ref="BA587" ca="1">INDEX(OFFSET($AK$19,MATCH($B587,$B$19:$B$150,0)-1,0,COUNTA($B$19:$B$24),COUNTA($AK$17:$BB$17)),MATCH($F587,$F$19:$F$24,0),MATCH(BA$17,$AK$17:$BB$17,0))*INDEX($10:$13,MATCH($O587,$R$10:$R$13,0),COLUMN())</f>
        <v>0</v>
      </c>
      <c r="BB587" s="1051" cm="1">
        <f t="array" aca="1" ref="BB587" ca="1">INDEX(OFFSET($AK$19,MATCH($B587,$B$19:$B$150,0)-1,0,COUNTA($B$19:$B$24),COUNTA($AK$17:$BB$17)),MATCH($F587,$F$19:$F$24,0),MATCH(BB$17,$AK$17:$BB$17,0))*INDEX($10:$13,MATCH($O587,$R$10:$R$13,0),COLUMN())</f>
        <v>0</v>
      </c>
      <c r="BC587" s="1053">
        <f t="shared" ca="1" si="185"/>
        <v>2.7239734354381384</v>
      </c>
      <c r="BE587" s="1"/>
      <c r="BF587" s="1"/>
      <c r="BG587" s="1"/>
      <c r="BH587" s="1"/>
      <c r="BI587" s="1"/>
      <c r="BJ587" s="1"/>
      <c r="BK587" s="1"/>
      <c r="BL587" s="1"/>
      <c r="BM587" s="1"/>
      <c r="BN587" s="1"/>
      <c r="BO587" s="1"/>
      <c r="BP587" s="1"/>
      <c r="BQ587" s="1"/>
      <c r="BR587" s="1"/>
      <c r="BS587" s="1"/>
      <c r="BT587" s="1"/>
      <c r="BU587" s="1"/>
      <c r="BV587" s="1"/>
      <c r="BW587" s="1"/>
      <c r="BX587" s="1"/>
      <c r="BY587" s="1"/>
      <c r="BZ587" s="1"/>
    </row>
    <row r="588" spans="2:78" ht="12" customHeight="1" outlineLevel="1" x14ac:dyDescent="0.25">
      <c r="B588" s="104" t="s">
        <v>102</v>
      </c>
      <c r="C588" s="104" t="s">
        <v>121</v>
      </c>
      <c r="D588" s="2" t="s">
        <v>137</v>
      </c>
      <c r="E588" s="2" t="s">
        <v>138</v>
      </c>
      <c r="F588" s="105" t="s">
        <v>94</v>
      </c>
      <c r="G588" s="27" t="s">
        <v>1580</v>
      </c>
      <c r="H588" s="106" t="s">
        <v>131</v>
      </c>
      <c r="I588" s="107" t="s">
        <v>129</v>
      </c>
      <c r="J588" s="147">
        <v>3.8814574399999997</v>
      </c>
      <c r="K588" s="148">
        <v>3.49</v>
      </c>
      <c r="L588" s="149">
        <f t="shared" ca="1" si="186"/>
        <v>0.50477161690366135</v>
      </c>
      <c r="M588" s="148">
        <f t="shared" ca="1" si="187"/>
        <v>5.251652942993779</v>
      </c>
      <c r="N588" s="148">
        <f t="shared" ca="1" si="184"/>
        <v>1.7616529429937784</v>
      </c>
      <c r="O588" s="1062" t="s">
        <v>1585</v>
      </c>
      <c r="P588" s="104"/>
      <c r="R588" s="119"/>
      <c r="S588" s="1072"/>
      <c r="T588" s="1072"/>
      <c r="U588" s="1072"/>
      <c r="V588" s="1072"/>
      <c r="W588" s="1072"/>
      <c r="X588" s="1072"/>
      <c r="Y588" s="1072"/>
      <c r="Z588" s="1072"/>
      <c r="AA588" s="1072"/>
      <c r="AB588" s="1072"/>
      <c r="AC588" s="1072"/>
      <c r="AD588" s="1072"/>
      <c r="AE588" s="1072"/>
      <c r="AF588" s="1072"/>
      <c r="AG588" s="1072"/>
      <c r="AH588" s="1072"/>
      <c r="AI588" s="1072"/>
      <c r="AJ588" s="1073"/>
      <c r="AK588" s="1052" cm="1">
        <f t="array" aca="1" ref="AK588" ca="1">INDEX(OFFSET($AK$19,MATCH($B588,$B$19:$B$150,0)-1,0,COUNTA($B$19:$B$24),COUNTA($AK$17:$BB$17)),MATCH($F588,$F$19:$F$24,0),MATCH(AK$17,$AK$17:$BB$17,0))*INDEX($10:$13,MATCH($O588,$R$10:$R$13,0),COLUMN())</f>
        <v>8.4259318958975996E-2</v>
      </c>
      <c r="AL588" s="1050" cm="1">
        <f t="array" aca="1" ref="AL588" ca="1">INDEX(OFFSET($AK$19,MATCH($B588,$B$19:$B$150,0)-1,0,COUNTA($B$19:$B$24),COUNTA($AK$17:$BB$17)),MATCH($F588,$F$19:$F$24,0),MATCH(AL$17,$AK$17:$BB$17,0))*INDEX($10:$13,MATCH($O588,$R$10:$R$13,0),COLUMN())</f>
        <v>6.5832796820000002E-8</v>
      </c>
      <c r="AM588" s="1050" cm="1">
        <f t="array" aca="1" ref="AM588" ca="1">INDEX(OFFSET($AK$19,MATCH($B588,$B$19:$B$150,0)-1,0,COUNTA($B$19:$B$24),COUNTA($AK$17:$BB$17)),MATCH($F588,$F$19:$F$24,0),MATCH(AM$17,$AK$17:$BB$17,0))*INDEX($10:$13,MATCH($O588,$R$10:$R$13,0),COLUMN())</f>
        <v>1.0528567998000001E-4</v>
      </c>
      <c r="AN588" s="1050" cm="1">
        <f t="array" aca="1" ref="AN588" ca="1">INDEX(OFFSET($AK$19,MATCH($B588,$B$19:$B$150,0)-1,0,COUNTA($B$19:$B$24),COUNTA($AK$17:$BB$17)),MATCH($F588,$F$19:$F$24,0),MATCH(AN$17,$AK$17:$BB$17,0))*INDEX($10:$13,MATCH($O588,$R$10:$R$13,0),COLUMN())</f>
        <v>1.4212252368000001E-3</v>
      </c>
      <c r="AO588" s="1050" cm="1">
        <f t="array" aca="1" ref="AO588" ca="1">INDEX(OFFSET($AK$19,MATCH($B588,$B$19:$B$150,0)-1,0,COUNTA($B$19:$B$24),COUNTA($AK$17:$BB$17)),MATCH($F588,$F$19:$F$24,0),MATCH(AO$17,$AK$17:$BB$17,0))*INDEX($10:$13,MATCH($O588,$R$10:$R$13,0),COLUMN())</f>
        <v>2.2279172991999999E-2</v>
      </c>
      <c r="AP588" s="1050" cm="1">
        <f t="array" aca="1" ref="AP588" ca="1">INDEX(OFFSET($AK$19,MATCH($B588,$B$19:$B$150,0)-1,0,COUNTA($B$19:$B$24),COUNTA($AK$17:$BB$17)),MATCH($F588,$F$19:$F$24,0),MATCH(AP$17,$AK$17:$BB$17,0))*INDEX($10:$13,MATCH($O588,$R$10:$R$13,0),COLUMN())</f>
        <v>9.1637313080000001E-3</v>
      </c>
      <c r="AQ588" s="1050" cm="1">
        <f t="array" aca="1" ref="AQ588" ca="1">INDEX(OFFSET($AK$19,MATCH($B588,$B$19:$B$150,0)-1,0,COUNTA($B$19:$B$24),COUNTA($AK$17:$BB$17)),MATCH($F588,$F$19:$F$24,0),MATCH(AQ$17,$AK$17:$BB$17,0))*INDEX($10:$13,MATCH($O588,$R$10:$R$13,0),COLUMN())</f>
        <v>6.2993054079999998E-5</v>
      </c>
      <c r="AR588" s="1050" cm="1">
        <f t="array" aca="1" ref="AR588" ca="1">INDEX(OFFSET($AK$19,MATCH($B588,$B$19:$B$150,0)-1,0,COUNTA($B$19:$B$24),COUNTA($AK$17:$BB$17)),MATCH($F588,$F$19:$F$24,0),MATCH(AR$17,$AK$17:$BB$17,0))*INDEX($10:$13,MATCH($O588,$R$10:$R$13,0),COLUMN())</f>
        <v>1.1901023315999999E-2</v>
      </c>
      <c r="AS588" s="1050" cm="1">
        <f t="array" aca="1" ref="AS588" ca="1">INDEX(OFFSET($AK$19,MATCH($B588,$B$19:$B$150,0)-1,0,COUNTA($B$19:$B$24),COUNTA($AK$17:$BB$17)),MATCH($F588,$F$19:$F$24,0),MATCH(AS$17,$AK$17:$BB$17,0))*INDEX($10:$13,MATCH($O588,$R$10:$R$13,0),COLUMN())</f>
        <v>-2.3998018935000001E-5</v>
      </c>
      <c r="AT588" s="1050" cm="1">
        <f t="array" aca="1" ref="AT588" ca="1">INDEX(OFFSET($AK$19,MATCH($B588,$B$19:$B$150,0)-1,0,COUNTA($B$19:$B$24),COUNTA($AK$17:$BB$17)),MATCH($F588,$F$19:$F$24,0),MATCH(AT$17,$AK$17:$BB$17,0))*INDEX($10:$13,MATCH($O588,$R$10:$R$13,0),COLUMN())</f>
        <v>5.2497542649999997E-6</v>
      </c>
      <c r="AU588" s="1050" cm="1">
        <f t="array" aca="1" ref="AU588" ca="1">INDEX(OFFSET($AK$19,MATCH($B588,$B$19:$B$150,0)-1,0,COUNTA($B$19:$B$24),COUNTA($AK$17:$BB$17)),MATCH($F588,$F$19:$F$24,0),MATCH(AU$17,$AK$17:$BB$17,0))*INDEX($10:$13,MATCH($O588,$R$10:$R$13,0),COLUMN())</f>
        <v>1.0890725940000002E-6</v>
      </c>
      <c r="AV588" s="1050" cm="1">
        <f t="array" aca="1" ref="AV588" ca="1">INDEX(OFFSET($AK$19,MATCH($B588,$B$19:$B$150,0)-1,0,COUNTA($B$19:$B$24),COUNTA($AK$17:$BB$17)),MATCH($F588,$F$19:$F$24,0),MATCH(AV$17,$AK$17:$BB$17,0))*INDEX($10:$13,MATCH($O588,$R$10:$R$13,0),COLUMN())</f>
        <v>1.3081289165999999E-3</v>
      </c>
      <c r="AW588" s="1050" cm="1">
        <f t="array" aca="1" ref="AW588" ca="1">INDEX(OFFSET($AK$19,MATCH($B588,$B$19:$B$150,0)-1,0,COUNTA($B$19:$B$24),COUNTA($AK$17:$BB$17)),MATCH($F588,$F$19:$F$24,0),MATCH(AW$17,$AK$17:$BB$17,0))*INDEX($10:$13,MATCH($O588,$R$10:$R$13,0),COLUMN())</f>
        <v>1.6311692650000003</v>
      </c>
      <c r="AX588" s="1050" cm="1">
        <f t="array" aca="1" ref="AX588" ca="1">INDEX(OFFSET($AK$19,MATCH($B588,$B$19:$B$150,0)-1,0,COUNTA($B$19:$B$24),COUNTA($AK$17:$BB$17)),MATCH($F588,$F$19:$F$24,0),MATCH(AX$17,$AK$17:$BB$17,0))*INDEX($10:$13,MATCH($O588,$R$10:$R$13,0),COLUMN())</f>
        <v>4.0225784505000006E-7</v>
      </c>
      <c r="AY588" s="1050" cm="1">
        <f t="array" aca="1" ref="AY588" ca="1">INDEX(OFFSET($AK$19,MATCH($B588,$B$19:$B$150,0)-1,0,COUNTA($B$19:$B$24),COUNTA($AK$17:$BB$17)),MATCH($F588,$F$19:$F$24,0),MATCH(AY$17,$AK$17:$BB$17,0))*INDEX($10:$13,MATCH($O588,$R$10:$R$13,0),COLUMN())</f>
        <v>-1.036722377625E-8</v>
      </c>
      <c r="AZ588" s="1050" cm="1">
        <f t="array" aca="1" ref="AZ588" ca="1">INDEX(OFFSET($AK$19,MATCH($B588,$B$19:$B$150,0)-1,0,COUNTA($B$19:$B$24),COUNTA($AK$17:$BB$17)),MATCH($F588,$F$19:$F$24,0),MATCH(AZ$17,$AK$17:$BB$17,0))*INDEX($10:$13,MATCH($O588,$R$10:$R$13,0),COLUMN())</f>
        <v>0</v>
      </c>
      <c r="BA588" s="1050" cm="1">
        <f t="array" aca="1" ref="BA588" ca="1">INDEX(OFFSET($AK$19,MATCH($B588,$B$19:$B$150,0)-1,0,COUNTA($B$19:$B$24),COUNTA($AK$17:$BB$17)),MATCH($F588,$F$19:$F$24,0),MATCH(BA$17,$AK$17:$BB$17,0))*INDEX($10:$13,MATCH($O588,$R$10:$R$13,0),COLUMN())</f>
        <v>0</v>
      </c>
      <c r="BB588" s="1051" cm="1">
        <f t="array" aca="1" ref="BB588" ca="1">INDEX(OFFSET($AK$19,MATCH($B588,$B$19:$B$150,0)-1,0,COUNTA($B$19:$B$24),COUNTA($AK$17:$BB$17)),MATCH($F588,$F$19:$F$24,0),MATCH(BB$17,$AK$17:$BB$17,0))*INDEX($10:$13,MATCH($O588,$R$10:$R$13,0),COLUMN())</f>
        <v>0</v>
      </c>
      <c r="BC588" s="1053">
        <f t="shared" ca="1" si="185"/>
        <v>1.6311696568906215</v>
      </c>
      <c r="BE588" s="1"/>
      <c r="BF588" s="1"/>
      <c r="BG588" s="1"/>
      <c r="BH588" s="1"/>
      <c r="BI588" s="1"/>
      <c r="BJ588" s="1"/>
      <c r="BK588" s="1"/>
      <c r="BL588" s="1"/>
      <c r="BM588" s="1"/>
      <c r="BN588" s="1"/>
      <c r="BO588" s="1"/>
      <c r="BP588" s="1"/>
      <c r="BQ588" s="1"/>
      <c r="BR588" s="1"/>
      <c r="BS588" s="1"/>
      <c r="BT588" s="1"/>
      <c r="BU588" s="1"/>
      <c r="BV588" s="1"/>
      <c r="BW588" s="1"/>
      <c r="BX588" s="1"/>
      <c r="BY588" s="1"/>
      <c r="BZ588" s="1"/>
    </row>
    <row r="589" spans="2:78" ht="12" customHeight="1" outlineLevel="1" x14ac:dyDescent="0.25">
      <c r="B589" s="104" t="s">
        <v>102</v>
      </c>
      <c r="C589" s="104" t="s">
        <v>121</v>
      </c>
      <c r="D589" s="2" t="s">
        <v>137</v>
      </c>
      <c r="E589" s="2" t="s">
        <v>138</v>
      </c>
      <c r="F589" s="105" t="s">
        <v>95</v>
      </c>
      <c r="G589" s="27" t="s">
        <v>1581</v>
      </c>
      <c r="H589" s="106" t="s">
        <v>128</v>
      </c>
      <c r="I589" s="107" t="s">
        <v>127</v>
      </c>
      <c r="J589" s="147">
        <v>3.8814574399999997</v>
      </c>
      <c r="K589" s="148">
        <v>3.49</v>
      </c>
      <c r="L589" s="149">
        <f t="shared" ca="1" si="186"/>
        <v>0.66170171392688615</v>
      </c>
      <c r="M589" s="148">
        <f t="shared" ca="1" si="187"/>
        <v>5.7993389816048335</v>
      </c>
      <c r="N589" s="148">
        <f t="shared" ca="1" si="184"/>
        <v>2.3093389816048329</v>
      </c>
      <c r="O589" s="1062" t="s">
        <v>1585</v>
      </c>
      <c r="P589" s="104"/>
      <c r="R589" s="119"/>
      <c r="S589" s="1072"/>
      <c r="T589" s="1072"/>
      <c r="U589" s="1072"/>
      <c r="V589" s="1072"/>
      <c r="W589" s="1072"/>
      <c r="X589" s="1072"/>
      <c r="Y589" s="1072"/>
      <c r="Z589" s="1072"/>
      <c r="AA589" s="1072"/>
      <c r="AB589" s="1072"/>
      <c r="AC589" s="1072"/>
      <c r="AD589" s="1072"/>
      <c r="AE589" s="1072"/>
      <c r="AF589" s="1072"/>
      <c r="AG589" s="1072"/>
      <c r="AH589" s="1072"/>
      <c r="AI589" s="1072"/>
      <c r="AJ589" s="1073"/>
      <c r="AK589" s="1052" cm="1">
        <f t="array" aca="1" ref="AK589" ca="1">INDEX(OFFSET($AK$19,MATCH($B589,$B$19:$B$150,0)-1,0,COUNTA($B$19:$B$24),COUNTA($AK$17:$BB$17)),MATCH($F589,$F$19:$F$24,0),MATCH(AK$17,$AK$17:$BB$17,0))*INDEX($10:$13,MATCH($O589,$R$10:$R$13,0),COLUMN())</f>
        <v>0.12246078474220801</v>
      </c>
      <c r="AL589" s="1050" cm="1">
        <f t="array" aca="1" ref="AL589" ca="1">INDEX(OFFSET($AK$19,MATCH($B589,$B$19:$B$150,0)-1,0,COUNTA($B$19:$B$24),COUNTA($AK$17:$BB$17)),MATCH($F589,$F$19:$F$24,0),MATCH(AL$17,$AK$17:$BB$17,0))*INDEX($10:$13,MATCH($O589,$R$10:$R$13,0),COLUMN())</f>
        <v>8.3067514430000005E-8</v>
      </c>
      <c r="AM589" s="1050" cm="1">
        <f t="array" aca="1" ref="AM589" ca="1">INDEX(OFFSET($AK$19,MATCH($B589,$B$19:$B$150,0)-1,0,COUNTA($B$19:$B$24),COUNTA($AK$17:$BB$17)),MATCH($F589,$F$19:$F$24,0),MATCH(AM$17,$AK$17:$BB$17,0))*INDEX($10:$13,MATCH($O589,$R$10:$R$13,0),COLUMN())</f>
        <v>1.3284406746000001E-4</v>
      </c>
      <c r="AN589" s="1050" cm="1">
        <f t="array" aca="1" ref="AN589" ca="1">INDEX(OFFSET($AK$19,MATCH($B589,$B$19:$B$150,0)-1,0,COUNTA($B$19:$B$24),COUNTA($AK$17:$BB$17)),MATCH($F589,$F$19:$F$24,0),MATCH(AN$17,$AK$17:$BB$17,0))*INDEX($10:$13,MATCH($O589,$R$10:$R$13,0),COLUMN())</f>
        <v>1.925787056E-3</v>
      </c>
      <c r="AO589" s="1050" cm="1">
        <f t="array" aca="1" ref="AO589" ca="1">INDEX(OFFSET($AK$19,MATCH($B589,$B$19:$B$150,0)-1,0,COUNTA($B$19:$B$24),COUNTA($AK$17:$BB$17)),MATCH($F589,$F$19:$F$24,0),MATCH(AO$17,$AK$17:$BB$17,0))*INDEX($10:$13,MATCH($O589,$R$10:$R$13,0),COLUMN())</f>
        <v>6.8862565479999999E-2</v>
      </c>
      <c r="AP589" s="1050" cm="1">
        <f t="array" aca="1" ref="AP589" ca="1">INDEX(OFFSET($AK$19,MATCH($B589,$B$19:$B$150,0)-1,0,COUNTA($B$19:$B$24),COUNTA($AK$17:$BB$17)),MATCH($F589,$F$19:$F$24,0),MATCH(AP$17,$AK$17:$BB$17,0))*INDEX($10:$13,MATCH($O589,$R$10:$R$13,0),COLUMN())</f>
        <v>4.0305291292000001E-2</v>
      </c>
      <c r="AQ589" s="1050" cm="1">
        <f t="array" aca="1" ref="AQ589" ca="1">INDEX(OFFSET($AK$19,MATCH($B589,$B$19:$B$150,0)-1,0,COUNTA($B$19:$B$24),COUNTA($AK$17:$BB$17)),MATCH($F589,$F$19:$F$24,0),MATCH(AQ$17,$AK$17:$BB$17,0))*INDEX($10:$13,MATCH($O589,$R$10:$R$13,0),COLUMN())</f>
        <v>3.1221969619999997E-4</v>
      </c>
      <c r="AR589" s="1050" cm="1">
        <f t="array" aca="1" ref="AR589" ca="1">INDEX(OFFSET($AK$19,MATCH($B589,$B$19:$B$150,0)-1,0,COUNTA($B$19:$B$24),COUNTA($AK$17:$BB$17)),MATCH($F589,$F$19:$F$24,0),MATCH(AR$17,$AK$17:$BB$17,0))*INDEX($10:$13,MATCH($O589,$R$10:$R$13,0),COLUMN())</f>
        <v>2.1632090470999999E-2</v>
      </c>
      <c r="AS589" s="1050" cm="1">
        <f t="array" aca="1" ref="AS589" ca="1">INDEX(OFFSET($AK$19,MATCH($B589,$B$19:$B$150,0)-1,0,COUNTA($B$19:$B$24),COUNTA($AK$17:$BB$17)),MATCH($F589,$F$19:$F$24,0),MATCH(AS$17,$AK$17:$BB$17,0))*INDEX($10:$13,MATCH($O589,$R$10:$R$13,0),COLUMN())</f>
        <v>3.6560753259999999E-3</v>
      </c>
      <c r="AT589" s="1050" cm="1">
        <f t="array" aca="1" ref="AT589" ca="1">INDEX(OFFSET($AK$19,MATCH($B589,$B$19:$B$150,0)-1,0,COUNTA($B$19:$B$24),COUNTA($AK$17:$BB$17)),MATCH($F589,$F$19:$F$24,0),MATCH(AT$17,$AK$17:$BB$17,0))*INDEX($10:$13,MATCH($O589,$R$10:$R$13,0),COLUMN())</f>
        <v>9.2393856649999991E-6</v>
      </c>
      <c r="AU589" s="1050" cm="1">
        <f t="array" aca="1" ref="AU589" ca="1">INDEX(OFFSET($AK$19,MATCH($B589,$B$19:$B$150,0)-1,0,COUNTA($B$19:$B$24),COUNTA($AK$17:$BB$17)),MATCH($F589,$F$19:$F$24,0),MATCH(AU$17,$AK$17:$BB$17,0))*INDEX($10:$13,MATCH($O589,$R$10:$R$13,0),COLUMN())</f>
        <v>1.7686247751000002E-6</v>
      </c>
      <c r="AV589" s="1050" cm="1">
        <f t="array" aca="1" ref="AV589" ca="1">INDEX(OFFSET($AK$19,MATCH($B589,$B$19:$B$150,0)-1,0,COUNTA($B$19:$B$24),COUNTA($AK$17:$BB$17)),MATCH($F589,$F$19:$F$24,0),MATCH(AV$17,$AK$17:$BB$17,0))*INDEX($10:$13,MATCH($O589,$R$10:$R$13,0),COLUMN())</f>
        <v>9.4892691510000005E-3</v>
      </c>
      <c r="AW589" s="1050" cm="1">
        <f t="array" aca="1" ref="AW589" ca="1">INDEX(OFFSET($AK$19,MATCH($B589,$B$19:$B$150,0)-1,0,COUNTA($B$19:$B$24),COUNTA($AK$17:$BB$17)),MATCH($F589,$F$19:$F$24,0),MATCH(AW$17,$AK$17:$BB$17,0))*INDEX($10:$13,MATCH($O589,$R$10:$R$13,0),COLUMN())</f>
        <v>2.0405504730000001</v>
      </c>
      <c r="AX589" s="1050" cm="1">
        <f t="array" aca="1" ref="AX589" ca="1">INDEX(OFFSET($AK$19,MATCH($B589,$B$19:$B$150,0)-1,0,COUNTA($B$19:$B$24),COUNTA($AK$17:$BB$17)),MATCH($F589,$F$19:$F$24,0),MATCH(AX$17,$AK$17:$BB$17,0))*INDEX($10:$13,MATCH($O589,$R$10:$R$13,0),COLUMN())</f>
        <v>5.0321413830000006E-7</v>
      </c>
      <c r="AY589" s="1050" cm="1">
        <f t="array" aca="1" ref="AY589" ca="1">INDEX(OFFSET($AK$19,MATCH($B589,$B$19:$B$150,0)-1,0,COUNTA($B$19:$B$24),COUNTA($AK$17:$BB$17)),MATCH($F589,$F$19:$F$24,0),MATCH(AY$17,$AK$17:$BB$17,0))*INDEX($10:$13,MATCH($O589,$R$10:$R$13,0),COLUMN())</f>
        <v>-1.296912811875E-8</v>
      </c>
      <c r="AZ589" s="1050" cm="1">
        <f t="array" aca="1" ref="AZ589" ca="1">INDEX(OFFSET($AK$19,MATCH($B589,$B$19:$B$150,0)-1,0,COUNTA($B$19:$B$24),COUNTA($AK$17:$BB$17)),MATCH($F589,$F$19:$F$24,0),MATCH(AZ$17,$AK$17:$BB$17,0))*INDEX($10:$13,MATCH($O589,$R$10:$R$13,0),COLUMN())</f>
        <v>0</v>
      </c>
      <c r="BA589" s="1050" cm="1">
        <f t="array" aca="1" ref="BA589" ca="1">INDEX(OFFSET($AK$19,MATCH($B589,$B$19:$B$150,0)-1,0,COUNTA($B$19:$B$24),COUNTA($AK$17:$BB$17)),MATCH($F589,$F$19:$F$24,0),MATCH(BA$17,$AK$17:$BB$17,0))*INDEX($10:$13,MATCH($O589,$R$10:$R$13,0),COLUMN())</f>
        <v>0</v>
      </c>
      <c r="BB589" s="1051" cm="1">
        <f t="array" aca="1" ref="BB589" ca="1">INDEX(OFFSET($AK$19,MATCH($B589,$B$19:$B$150,0)-1,0,COUNTA($B$19:$B$24),COUNTA($AK$17:$BB$17)),MATCH($F589,$F$19:$F$24,0),MATCH(BB$17,$AK$17:$BB$17,0))*INDEX($10:$13,MATCH($O589,$R$10:$R$13,0),COLUMN())</f>
        <v>0</v>
      </c>
      <c r="BC589" s="1053">
        <f t="shared" ca="1" si="185"/>
        <v>2.0405509632450105</v>
      </c>
      <c r="BE589" s="1"/>
      <c r="BF589" s="1"/>
      <c r="BG589" s="1"/>
      <c r="BH589" s="1"/>
      <c r="BI589" s="1"/>
      <c r="BJ589" s="1"/>
      <c r="BK589" s="1"/>
      <c r="BL589" s="1"/>
      <c r="BM589" s="1"/>
      <c r="BN589" s="1"/>
      <c r="BO589" s="1"/>
      <c r="BP589" s="1"/>
      <c r="BQ589" s="1"/>
      <c r="BR589" s="1"/>
      <c r="BS589" s="1"/>
      <c r="BT589" s="1"/>
      <c r="BU589" s="1"/>
      <c r="BV589" s="1"/>
      <c r="BW589" s="1"/>
      <c r="BX589" s="1"/>
      <c r="BY589" s="1"/>
      <c r="BZ589" s="1"/>
    </row>
    <row r="590" spans="2:78" ht="12" customHeight="1" outlineLevel="1" x14ac:dyDescent="0.25">
      <c r="B590" s="104" t="s">
        <v>102</v>
      </c>
      <c r="C590" s="104" t="s">
        <v>121</v>
      </c>
      <c r="D590" s="2" t="s">
        <v>137</v>
      </c>
      <c r="E590" s="2" t="s">
        <v>138</v>
      </c>
      <c r="F590" s="105" t="s">
        <v>96</v>
      </c>
      <c r="G590" s="27" t="s">
        <v>1582</v>
      </c>
      <c r="H590" s="106" t="s">
        <v>128</v>
      </c>
      <c r="I590" s="107" t="s">
        <v>1577</v>
      </c>
      <c r="J590" s="147">
        <v>3.8814574399999997</v>
      </c>
      <c r="K590" s="148">
        <v>3.49</v>
      </c>
      <c r="L590" s="149">
        <f t="shared" ca="1" si="186"/>
        <v>0.68370273402398896</v>
      </c>
      <c r="M590" s="148">
        <f t="shared" ca="1" si="187"/>
        <v>5.8761225417437224</v>
      </c>
      <c r="N590" s="148">
        <f t="shared" ca="1" si="184"/>
        <v>2.3861225417437217</v>
      </c>
      <c r="O590" s="1062" t="s">
        <v>1585</v>
      </c>
      <c r="P590" s="104"/>
      <c r="R590" s="119"/>
      <c r="S590" s="1072"/>
      <c r="T590" s="1072"/>
      <c r="U590" s="1072"/>
      <c r="V590" s="1072"/>
      <c r="W590" s="1072"/>
      <c r="X590" s="1072"/>
      <c r="Y590" s="1072"/>
      <c r="Z590" s="1072"/>
      <c r="AA590" s="1072"/>
      <c r="AB590" s="1072"/>
      <c r="AC590" s="1072"/>
      <c r="AD590" s="1072"/>
      <c r="AE590" s="1072"/>
      <c r="AF590" s="1072"/>
      <c r="AG590" s="1072"/>
      <c r="AH590" s="1072"/>
      <c r="AI590" s="1072"/>
      <c r="AJ590" s="1073"/>
      <c r="AK590" s="1052" cm="1">
        <f t="array" aca="1" ref="AK590" ca="1">INDEX(OFFSET($AK$19,MATCH($B590,$B$19:$B$150,0)-1,0,COUNTA($B$19:$B$24),COUNTA($AK$17:$BB$17)),MATCH($F590,$F$19:$F$24,0),MATCH(AK$17,$AK$17:$BB$17,0))*INDEX($10:$13,MATCH($O590,$R$10:$R$13,0),COLUMN())</f>
        <v>0.13468351326873601</v>
      </c>
      <c r="AL590" s="1050" cm="1">
        <f t="array" aca="1" ref="AL590" ca="1">INDEX(OFFSET($AK$19,MATCH($B590,$B$19:$B$150,0)-1,0,COUNTA($B$19:$B$24),COUNTA($AK$17:$BB$17)),MATCH($F590,$F$19:$F$24,0),MATCH(AL$17,$AK$17:$BB$17,0))*INDEX($10:$13,MATCH($O590,$R$10:$R$13,0),COLUMN())</f>
        <v>8.3532438810000002E-8</v>
      </c>
      <c r="AM590" s="1050" cm="1">
        <f t="array" aca="1" ref="AM590" ca="1">INDEX(OFFSET($AK$19,MATCH($B590,$B$19:$B$150,0)-1,0,COUNTA($B$19:$B$24),COUNTA($AK$17:$BB$17)),MATCH($F590,$F$19:$F$24,0),MATCH(AM$17,$AK$17:$BB$17,0))*INDEX($10:$13,MATCH($O590,$R$10:$R$13,0),COLUMN())</f>
        <v>1.3358440342E-4</v>
      </c>
      <c r="AN590" s="1050" cm="1">
        <f t="array" aca="1" ref="AN590" ca="1">INDEX(OFFSET($AK$19,MATCH($B590,$B$19:$B$150,0)-1,0,COUNTA($B$19:$B$24),COUNTA($AK$17:$BB$17)),MATCH($F590,$F$19:$F$24,0),MATCH(AN$17,$AK$17:$BB$17,0))*INDEX($10:$13,MATCH($O590,$R$10:$R$13,0),COLUMN())</f>
        <v>2.0222902720000002E-3</v>
      </c>
      <c r="AO590" s="1050" cm="1">
        <f t="array" aca="1" ref="AO590" ca="1">INDEX(OFFSET($AK$19,MATCH($B590,$B$19:$B$150,0)-1,0,COUNTA($B$19:$B$24),COUNTA($AK$17:$BB$17)),MATCH($F590,$F$19:$F$24,0),MATCH(AO$17,$AK$17:$BB$17,0))*INDEX($10:$13,MATCH($O590,$R$10:$R$13,0),COLUMN())</f>
        <v>9.866455364E-2</v>
      </c>
      <c r="AP590" s="1050" cm="1">
        <f t="array" aca="1" ref="AP590" ca="1">INDEX(OFFSET($AK$19,MATCH($B590,$B$19:$B$150,0)-1,0,COUNTA($B$19:$B$24),COUNTA($AK$17:$BB$17)),MATCH($F590,$F$19:$F$24,0),MATCH(AP$17,$AK$17:$BB$17,0))*INDEX($10:$13,MATCH($O590,$R$10:$R$13,0),COLUMN())</f>
        <v>6.1316104440000005E-2</v>
      </c>
      <c r="AQ590" s="1050" cm="1">
        <f t="array" aca="1" ref="AQ590" ca="1">INDEX(OFFSET($AK$19,MATCH($B590,$B$19:$B$150,0)-1,0,COUNTA($B$19:$B$24),COUNTA($AK$17:$BB$17)),MATCH($F590,$F$19:$F$24,0),MATCH(AQ$17,$AK$17:$BB$17,0))*INDEX($10:$13,MATCH($O590,$R$10:$R$13,0),COLUMN())</f>
        <v>4.7845446370000001E-4</v>
      </c>
      <c r="AR590" s="1050" cm="1">
        <f t="array" aca="1" ref="AR590" ca="1">INDEX(OFFSET($AK$19,MATCH($B590,$B$19:$B$150,0)-1,0,COUNTA($B$19:$B$24),COUNTA($AK$17:$BB$17)),MATCH($F590,$F$19:$F$24,0),MATCH(AR$17,$AK$17:$BB$17,0))*INDEX($10:$13,MATCH($O590,$R$10:$R$13,0),COLUMN())</f>
        <v>2.6549126425999995E-2</v>
      </c>
      <c r="AS590" s="1050" cm="1">
        <f t="array" aca="1" ref="AS590" ca="1">INDEX(OFFSET($AK$19,MATCH($B590,$B$19:$B$150,0)-1,0,COUNTA($B$19:$B$24),COUNTA($AK$17:$BB$17)),MATCH($F590,$F$19:$F$24,0),MATCH(AS$17,$AK$17:$BB$17,0))*INDEX($10:$13,MATCH($O590,$R$10:$R$13,0),COLUMN())</f>
        <v>6.1590984230000005E-3</v>
      </c>
      <c r="AT590" s="1050" cm="1">
        <f t="array" aca="1" ref="AT590" ca="1">INDEX(OFFSET($AK$19,MATCH($B590,$B$19:$B$150,0)-1,0,COUNTA($B$19:$B$24),COUNTA($AK$17:$BB$17)),MATCH($F590,$F$19:$F$24,0),MATCH(AT$17,$AK$17:$BB$17,0))*INDEX($10:$13,MATCH($O590,$R$10:$R$13,0),COLUMN())</f>
        <v>1.0365709906000001E-5</v>
      </c>
      <c r="AU590" s="1050" cm="1">
        <f t="array" aca="1" ref="AU590" ca="1">INDEX(OFFSET($AK$19,MATCH($B590,$B$19:$B$150,0)-1,0,COUNTA($B$19:$B$24),COUNTA($AK$17:$BB$17)),MATCH($F590,$F$19:$F$24,0),MATCH(AU$17,$AK$17:$BB$17,0))*INDEX($10:$13,MATCH($O590,$R$10:$R$13,0),COLUMN())</f>
        <v>1.9294395102000002E-6</v>
      </c>
      <c r="AV590" s="1050" cm="1">
        <f t="array" aca="1" ref="AV590" ca="1">INDEX(OFFSET($AK$19,MATCH($B590,$B$19:$B$150,0)-1,0,COUNTA($B$19:$B$24),COUNTA($AK$17:$BB$17)),MATCH($F590,$F$19:$F$24,0),MATCH(AV$17,$AK$17:$BB$17,0))*INDEX($10:$13,MATCH($O590,$R$10:$R$13,0),COLUMN())</f>
        <v>1.555247448E-2</v>
      </c>
      <c r="AW590" s="1050" cm="1">
        <f t="array" aca="1" ref="AW590" ca="1">INDEX(OFFSET($AK$19,MATCH($B590,$B$19:$B$150,0)-1,0,COUNTA($B$19:$B$24),COUNTA($AK$17:$BB$17)),MATCH($F590,$F$19:$F$24,0),MATCH(AW$17,$AK$17:$BB$17,0))*INDEX($10:$13,MATCH($O590,$R$10:$R$13,0),COLUMN())</f>
        <v>2.0405504730000001</v>
      </c>
      <c r="AX590" s="1050" cm="1">
        <f t="array" aca="1" ref="AX590" ca="1">INDEX(OFFSET($AK$19,MATCH($B590,$B$19:$B$150,0)-1,0,COUNTA($B$19:$B$24),COUNTA($AK$17:$BB$17)),MATCH($F590,$F$19:$F$24,0),MATCH(AX$17,$AK$17:$BB$17,0))*INDEX($10:$13,MATCH($O590,$R$10:$R$13,0),COLUMN())</f>
        <v>5.0321413830000006E-7</v>
      </c>
      <c r="AY590" s="1050" cm="1">
        <f t="array" aca="1" ref="AY590" ca="1">INDEX(OFFSET($AK$19,MATCH($B590,$B$19:$B$150,0)-1,0,COUNTA($B$19:$B$24),COUNTA($AK$17:$BB$17)),MATCH($F590,$F$19:$F$24,0),MATCH(AY$17,$AK$17:$BB$17,0))*INDEX($10:$13,MATCH($O590,$R$10:$R$13,0),COLUMN())</f>
        <v>-1.296912811875E-8</v>
      </c>
      <c r="AZ590" s="1050" cm="1">
        <f t="array" aca="1" ref="AZ590" ca="1">INDEX(OFFSET($AK$19,MATCH($B590,$B$19:$B$150,0)-1,0,COUNTA($B$19:$B$24),COUNTA($AK$17:$BB$17)),MATCH($F590,$F$19:$F$24,0),MATCH(AZ$17,$AK$17:$BB$17,0))*INDEX($10:$13,MATCH($O590,$R$10:$R$13,0),COLUMN())</f>
        <v>0</v>
      </c>
      <c r="BA590" s="1050" cm="1">
        <f t="array" aca="1" ref="BA590" ca="1">INDEX(OFFSET($AK$19,MATCH($B590,$B$19:$B$150,0)-1,0,COUNTA($B$19:$B$24),COUNTA($AK$17:$BB$17)),MATCH($F590,$F$19:$F$24,0),MATCH(BA$17,$AK$17:$BB$17,0))*INDEX($10:$13,MATCH($O590,$R$10:$R$13,0),COLUMN())</f>
        <v>0</v>
      </c>
      <c r="BB590" s="1051" cm="1">
        <f t="array" aca="1" ref="BB590" ca="1">INDEX(OFFSET($AK$19,MATCH($B590,$B$19:$B$150,0)-1,0,COUNTA($B$19:$B$24),COUNTA($AK$17:$BB$17)),MATCH($F590,$F$19:$F$24,0),MATCH(BB$17,$AK$17:$BB$17,0))*INDEX($10:$13,MATCH($O590,$R$10:$R$13,0),COLUMN())</f>
        <v>0</v>
      </c>
      <c r="BC590" s="1053">
        <f t="shared" ca="1" si="185"/>
        <v>2.0405509632450105</v>
      </c>
      <c r="BE590" s="1"/>
      <c r="BF590" s="1"/>
      <c r="BG590" s="1"/>
      <c r="BH590" s="1"/>
      <c r="BI590" s="1"/>
      <c r="BJ590" s="1"/>
      <c r="BK590" s="1"/>
      <c r="BL590" s="1"/>
      <c r="BM590" s="1"/>
      <c r="BN590" s="1"/>
      <c r="BO590" s="1"/>
      <c r="BP590" s="1"/>
      <c r="BQ590" s="1"/>
      <c r="BR590" s="1"/>
      <c r="BS590" s="1"/>
      <c r="BT590" s="1"/>
      <c r="BU590" s="1"/>
      <c r="BV590" s="1"/>
      <c r="BW590" s="1"/>
      <c r="BX590" s="1"/>
      <c r="BY590" s="1"/>
      <c r="BZ590" s="1"/>
    </row>
    <row r="591" spans="2:78" ht="12" customHeight="1" outlineLevel="1" x14ac:dyDescent="0.25">
      <c r="B591" s="88" t="s">
        <v>103</v>
      </c>
      <c r="C591" s="88" t="s">
        <v>121</v>
      </c>
      <c r="D591" s="89" t="s">
        <v>137</v>
      </c>
      <c r="E591" s="89" t="s">
        <v>139</v>
      </c>
      <c r="F591" s="90" t="s">
        <v>92</v>
      </c>
      <c r="G591" s="18" t="s">
        <v>126</v>
      </c>
      <c r="H591" s="91" t="s">
        <v>127</v>
      </c>
      <c r="I591" s="92" t="s">
        <v>127</v>
      </c>
      <c r="J591" s="142">
        <v>0.31070780000000003</v>
      </c>
      <c r="K591" s="143">
        <v>1.7680061710892687</v>
      </c>
      <c r="L591" s="144">
        <f t="shared" ca="1" si="186"/>
        <v>0.54896758497766218</v>
      </c>
      <c r="M591" s="143">
        <f t="shared" ca="1" si="187"/>
        <v>2.7385842490577481</v>
      </c>
      <c r="N591" s="143">
        <f t="shared" ca="1" si="184"/>
        <v>0.97057807796847928</v>
      </c>
      <c r="O591" s="1063" t="s">
        <v>1585</v>
      </c>
      <c r="P591" s="88"/>
      <c r="Q591" s="89"/>
      <c r="R591" s="150"/>
      <c r="S591" s="1070"/>
      <c r="T591" s="1070"/>
      <c r="U591" s="1070"/>
      <c r="V591" s="1070"/>
      <c r="W591" s="1070"/>
      <c r="X591" s="1070"/>
      <c r="Y591" s="1070"/>
      <c r="Z591" s="1070"/>
      <c r="AA591" s="1070"/>
      <c r="AB591" s="1070"/>
      <c r="AC591" s="1070"/>
      <c r="AD591" s="1070"/>
      <c r="AE591" s="1070"/>
      <c r="AF591" s="1070"/>
      <c r="AG591" s="1070"/>
      <c r="AH591" s="1070"/>
      <c r="AI591" s="1070"/>
      <c r="AJ591" s="1071"/>
      <c r="AK591" s="1048" cm="1">
        <f t="array" aca="1" ref="AK591" ca="1">INDEX(OFFSET($AK$19,MATCH($B591,$B$19:$B$150,0)-1,0,COUNTA($B$19:$B$24),COUNTA($AK$17:$BB$17)),MATCH($F591,$F$19:$F$24,0),MATCH(AK$17,$AK$17:$BB$17,0))*INDEX($10:$13,MATCH($O591,$R$10:$R$13,0),COLUMN())</f>
        <v>9.4569441690623993E-2</v>
      </c>
      <c r="AL591" s="1046" cm="1">
        <f t="array" aca="1" ref="AL591" ca="1">INDEX(OFFSET($AK$19,MATCH($B591,$B$19:$B$150,0)-1,0,COUNTA($B$19:$B$24),COUNTA($AK$17:$BB$17)),MATCH($F591,$F$19:$F$24,0),MATCH(AL$17,$AK$17:$BB$17,0))*INDEX($10:$13,MATCH($O591,$R$10:$R$13,0),COLUMN())</f>
        <v>9.5518054420000009E-8</v>
      </c>
      <c r="AM591" s="1046" cm="1">
        <f t="array" aca="1" ref="AM591" ca="1">INDEX(OFFSET($AK$19,MATCH($B591,$B$19:$B$150,0)-1,0,COUNTA($B$19:$B$24),COUNTA($AK$17:$BB$17)),MATCH($F591,$F$19:$F$24,0),MATCH(AM$17,$AK$17:$BB$17,0))*INDEX($10:$13,MATCH($O591,$R$10:$R$13,0),COLUMN())</f>
        <v>1.5492680215999999E-4</v>
      </c>
      <c r="AN591" s="1046" cm="1">
        <f t="array" aca="1" ref="AN591" ca="1">INDEX(OFFSET($AK$19,MATCH($B591,$B$19:$B$150,0)-1,0,COUNTA($B$19:$B$24),COUNTA($AK$17:$BB$17)),MATCH($F591,$F$19:$F$24,0),MATCH(AN$17,$AK$17:$BB$17,0))*INDEX($10:$13,MATCH($O591,$R$10:$R$13,0),COLUMN())</f>
        <v>6.7996848560000008E-4</v>
      </c>
      <c r="AO591" s="1046" cm="1">
        <f t="array" aca="1" ref="AO591" ca="1">INDEX(OFFSET($AK$19,MATCH($B591,$B$19:$B$150,0)-1,0,COUNTA($B$19:$B$24),COUNTA($AK$17:$BB$17)),MATCH($F591,$F$19:$F$24,0),MATCH(AO$17,$AK$17:$BB$17,0))*INDEX($10:$13,MATCH($O591,$R$10:$R$13,0),COLUMN())</f>
        <v>4.0773142611999998E-2</v>
      </c>
      <c r="AP591" s="1046" cm="1">
        <f t="array" aca="1" ref="AP591" ca="1">INDEX(OFFSET($AK$19,MATCH($B591,$B$19:$B$150,0)-1,0,COUNTA($B$19:$B$24),COUNTA($AK$17:$BB$17)),MATCH($F591,$F$19:$F$24,0),MATCH(AP$17,$AK$17:$BB$17,0))*INDEX($10:$13,MATCH($O591,$R$10:$R$13,0),COLUMN())</f>
        <v>2.5919514370000001E-2</v>
      </c>
      <c r="AQ591" s="1046" cm="1">
        <f t="array" aca="1" ref="AQ591" ca="1">INDEX(OFFSET($AK$19,MATCH($B591,$B$19:$B$150,0)-1,0,COUNTA($B$19:$B$24),COUNTA($AK$17:$BB$17)),MATCH($F591,$F$19:$F$24,0),MATCH(AQ$17,$AK$17:$BB$17,0))*INDEX($10:$13,MATCH($O591,$R$10:$R$13,0),COLUMN())</f>
        <v>1.4445230698999998E-4</v>
      </c>
      <c r="AR591" s="1046" cm="1">
        <f t="array" aca="1" ref="AR591" ca="1">INDEX(OFFSET($AK$19,MATCH($B591,$B$19:$B$150,0)-1,0,COUNTA($B$19:$B$24),COUNTA($AK$17:$BB$17)),MATCH($F591,$F$19:$F$24,0),MATCH(AR$17,$AK$17:$BB$17,0))*INDEX($10:$13,MATCH($O591,$R$10:$R$13,0),COLUMN())</f>
        <v>1.2749954728999998E-2</v>
      </c>
      <c r="AS591" s="1046" cm="1">
        <f t="array" aca="1" ref="AS591" ca="1">INDEX(OFFSET($AK$19,MATCH($B591,$B$19:$B$150,0)-1,0,COUNTA($B$19:$B$24),COUNTA($AK$17:$BB$17)),MATCH($F591,$F$19:$F$24,0),MATCH(AS$17,$AK$17:$BB$17,0))*INDEX($10:$13,MATCH($O591,$R$10:$R$13,0),COLUMN())</f>
        <v>0.1680360159</v>
      </c>
      <c r="AT591" s="1046" cm="1">
        <f t="array" aca="1" ref="AT591" ca="1">INDEX(OFFSET($AK$19,MATCH($B591,$B$19:$B$150,0)-1,0,COUNTA($B$19:$B$24),COUNTA($AK$17:$BB$17)),MATCH($F591,$F$19:$F$24,0),MATCH(AT$17,$AK$17:$BB$17,0))*INDEX($10:$13,MATCH($O591,$R$10:$R$13,0),COLUMN())</f>
        <v>1.8725590969E-4</v>
      </c>
      <c r="AU591" s="1046" cm="1">
        <f t="array" aca="1" ref="AU591" ca="1">INDEX(OFFSET($AK$19,MATCH($B591,$B$19:$B$150,0)-1,0,COUNTA($B$19:$B$24),COUNTA($AK$17:$BB$17)),MATCH($F591,$F$19:$F$24,0),MATCH(AU$17,$AK$17:$BB$17,0))*INDEX($10:$13,MATCH($O591,$R$10:$R$13,0),COLUMN())</f>
        <v>1.2516228486000002E-5</v>
      </c>
      <c r="AV591" s="1046" cm="1">
        <f t="array" aca="1" ref="AV591" ca="1">INDEX(OFFSET($AK$19,MATCH($B591,$B$19:$B$150,0)-1,0,COUNTA($B$19:$B$24),COUNTA($AK$17:$BB$17)),MATCH($F591,$F$19:$F$24,0),MATCH(AV$17,$AK$17:$BB$17,0))*INDEX($10:$13,MATCH($O591,$R$10:$R$13,0),COLUMN())</f>
        <v>6.6946375529999998E-3</v>
      </c>
      <c r="AW591" s="1046" cm="1">
        <f t="array" aca="1" ref="AW591" ca="1">INDEX(OFFSET($AK$19,MATCH($B591,$B$19:$B$150,0)-1,0,COUNTA($B$19:$B$24),COUNTA($AK$17:$BB$17)),MATCH($F591,$F$19:$F$24,0),MATCH(AW$17,$AK$17:$BB$17,0))*INDEX($10:$13,MATCH($O591,$R$10:$R$13,0),COLUMN())</f>
        <v>0.62065490175000004</v>
      </c>
      <c r="AX591" s="1046" cm="1">
        <f t="array" aca="1" ref="AX591" ca="1">INDEX(OFFSET($AK$19,MATCH($B591,$B$19:$B$150,0)-1,0,COUNTA($B$19:$B$24),COUNTA($AK$17:$BB$17)),MATCH($F591,$F$19:$F$24,0),MATCH(AX$17,$AK$17:$BB$17,0))*INDEX($10:$13,MATCH($O591,$R$10:$R$13,0),COLUMN())</f>
        <v>1.2868763460000001E-6</v>
      </c>
      <c r="AY591" s="1046" cm="1">
        <f t="array" aca="1" ref="AY591" ca="1">INDEX(OFFSET($AK$19,MATCH($B591,$B$19:$B$150,0)-1,0,COUNTA($B$19:$B$24),COUNTA($AK$17:$BB$17)),MATCH($F591,$F$19:$F$24,0),MATCH(AY$17,$AK$17:$BB$17,0))*INDEX($10:$13,MATCH($O591,$R$10:$R$13,0),COLUMN())</f>
        <v>-3.2763471225000004E-8</v>
      </c>
      <c r="AZ591" s="1046" cm="1">
        <f t="array" aca="1" ref="AZ591" ca="1">INDEX(OFFSET($AK$19,MATCH($B591,$B$19:$B$150,0)-1,0,COUNTA($B$19:$B$24),COUNTA($AK$17:$BB$17)),MATCH($F591,$F$19:$F$24,0),MATCH(AZ$17,$AK$17:$BB$17,0))*INDEX($10:$13,MATCH($O591,$R$10:$R$13,0),COLUMN())</f>
        <v>0</v>
      </c>
      <c r="BA591" s="1046" cm="1">
        <f t="array" aca="1" ref="BA591" ca="1">INDEX(OFFSET($AK$19,MATCH($B591,$B$19:$B$150,0)-1,0,COUNTA($B$19:$B$24),COUNTA($AK$17:$BB$17)),MATCH($F591,$F$19:$F$24,0),MATCH(BA$17,$AK$17:$BB$17,0))*INDEX($10:$13,MATCH($O591,$R$10:$R$13,0),COLUMN())</f>
        <v>0</v>
      </c>
      <c r="BB591" s="1047" cm="1">
        <f t="array" aca="1" ref="BB591" ca="1">INDEX(OFFSET($AK$19,MATCH($B591,$B$19:$B$150,0)-1,0,COUNTA($B$19:$B$24),COUNTA($AK$17:$BB$17)),MATCH($F591,$F$19:$F$24,0),MATCH(BB$17,$AK$17:$BB$17,0))*INDEX($10:$13,MATCH($O591,$R$10:$R$13,0),COLUMN())</f>
        <v>0</v>
      </c>
      <c r="BC591" s="1049">
        <f t="shared" ca="1" si="185"/>
        <v>0.62065615586287481</v>
      </c>
      <c r="BE591" s="1"/>
      <c r="BF591" s="1"/>
      <c r="BG591" s="1"/>
      <c r="BH591" s="1"/>
      <c r="BI591" s="1"/>
      <c r="BJ591" s="1"/>
      <c r="BK591" s="1"/>
      <c r="BL591" s="1"/>
      <c r="BM591" s="1"/>
      <c r="BN591" s="1"/>
      <c r="BO591" s="1"/>
      <c r="BP591" s="1"/>
      <c r="BQ591" s="1"/>
      <c r="BR591" s="1"/>
      <c r="BS591" s="1"/>
      <c r="BT591" s="1"/>
      <c r="BU591" s="1"/>
      <c r="BV591" s="1"/>
      <c r="BW591" s="1"/>
      <c r="BX591" s="1"/>
      <c r="BY591" s="1"/>
      <c r="BZ591" s="1"/>
    </row>
    <row r="592" spans="2:78" ht="12" customHeight="1" outlineLevel="1" x14ac:dyDescent="0.25">
      <c r="B592" s="104" t="s">
        <v>103</v>
      </c>
      <c r="C592" s="104" t="s">
        <v>121</v>
      </c>
      <c r="D592" s="2" t="s">
        <v>137</v>
      </c>
      <c r="E592" s="2" t="s">
        <v>139</v>
      </c>
      <c r="F592" s="105" t="s">
        <v>122</v>
      </c>
      <c r="G592" s="27" t="s">
        <v>1579</v>
      </c>
      <c r="H592" s="106" t="s">
        <v>128</v>
      </c>
      <c r="I592" s="107" t="s">
        <v>129</v>
      </c>
      <c r="J592" s="147">
        <v>0.31070780000000003</v>
      </c>
      <c r="K592" s="148">
        <v>4.28</v>
      </c>
      <c r="L592" s="149">
        <f t="shared" ca="1" si="186"/>
        <v>0.17556267960064581</v>
      </c>
      <c r="M592" s="148">
        <f t="shared" ca="1" si="187"/>
        <v>5.0314082686907646</v>
      </c>
      <c r="N592" s="148">
        <f t="shared" ca="1" si="184"/>
        <v>0.75140826869076416</v>
      </c>
      <c r="O592" s="1062" t="s">
        <v>1585</v>
      </c>
      <c r="P592" s="104"/>
      <c r="R592" s="119"/>
      <c r="S592" s="1072"/>
      <c r="T592" s="1072"/>
      <c r="U592" s="1072"/>
      <c r="V592" s="1072"/>
      <c r="W592" s="1072"/>
      <c r="X592" s="1072"/>
      <c r="Y592" s="1072"/>
      <c r="Z592" s="1072"/>
      <c r="AA592" s="1072"/>
      <c r="AB592" s="1072"/>
      <c r="AC592" s="1072"/>
      <c r="AD592" s="1072"/>
      <c r="AE592" s="1072"/>
      <c r="AF592" s="1072"/>
      <c r="AG592" s="1072"/>
      <c r="AH592" s="1072"/>
      <c r="AI592" s="1072"/>
      <c r="AJ592" s="1073"/>
      <c r="AK592" s="1052" cm="1">
        <f t="array" aca="1" ref="AK592" ca="1">INDEX(OFFSET($AK$19,MATCH($B592,$B$19:$B$150,0)-1,0,COUNTA($B$19:$B$24),COUNTA($AK$17:$BB$17)),MATCH($F592,$F$19:$F$24,0),MATCH(AK$17,$AK$17:$BB$17,0))*INDEX($10:$13,MATCH($O592,$R$10:$R$13,0),COLUMN())</f>
        <v>2.6667804768729601E-2</v>
      </c>
      <c r="AL592" s="1050" cm="1">
        <f t="array" aca="1" ref="AL592" ca="1">INDEX(OFFSET($AK$19,MATCH($B592,$B$19:$B$150,0)-1,0,COUNTA($B$19:$B$24),COUNTA($AK$17:$BB$17)),MATCH($F592,$F$19:$F$24,0),MATCH(AL$17,$AK$17:$BB$17,0))*INDEX($10:$13,MATCH($O592,$R$10:$R$13,0),COLUMN())</f>
        <v>3.1184178298000002E-8</v>
      </c>
      <c r="AM592" s="1050" cm="1">
        <f t="array" aca="1" ref="AM592" ca="1">INDEX(OFFSET($AK$19,MATCH($B592,$B$19:$B$150,0)-1,0,COUNTA($B$19:$B$24),COUNTA($AK$17:$BB$17)),MATCH($F592,$F$19:$F$24,0),MATCH(AM$17,$AK$17:$BB$17,0))*INDEX($10:$13,MATCH($O592,$R$10:$R$13,0),COLUMN())</f>
        <v>4.9870809793999999E-5</v>
      </c>
      <c r="AN592" s="1050" cm="1">
        <f t="array" aca="1" ref="AN592" ca="1">INDEX(OFFSET($AK$19,MATCH($B592,$B$19:$B$150,0)-1,0,COUNTA($B$19:$B$24),COUNTA($AK$17:$BB$17)),MATCH($F592,$F$19:$F$24,0),MATCH(AN$17,$AK$17:$BB$17,0))*INDEX($10:$13,MATCH($O592,$R$10:$R$13,0),COLUMN())</f>
        <v>6.6549039040000001E-4</v>
      </c>
      <c r="AO592" s="1050" cm="1">
        <f t="array" aca="1" ref="AO592" ca="1">INDEX(OFFSET($AK$19,MATCH($B592,$B$19:$B$150,0)-1,0,COUNTA($B$19:$B$24),COUNTA($AK$17:$BB$17)),MATCH($F592,$F$19:$F$24,0),MATCH(AO$17,$AK$17:$BB$17,0))*INDEX($10:$13,MATCH($O592,$R$10:$R$13,0),COLUMN())</f>
        <v>1.0077608932E-2</v>
      </c>
      <c r="AP592" s="1050" cm="1">
        <f t="array" aca="1" ref="AP592" ca="1">INDEX(OFFSET($AK$19,MATCH($B592,$B$19:$B$150,0)-1,0,COUNTA($B$19:$B$24),COUNTA($AK$17:$BB$17)),MATCH($F592,$F$19:$F$24,0),MATCH(AP$17,$AK$17:$BB$17,0))*INDEX($10:$13,MATCH($O592,$R$10:$R$13,0),COLUMN())</f>
        <v>4.0606219908000006E-3</v>
      </c>
      <c r="AQ592" s="1050" cm="1">
        <f t="array" aca="1" ref="AQ592" ca="1">INDEX(OFFSET($AK$19,MATCH($B592,$B$19:$B$150,0)-1,0,COUNTA($B$19:$B$24),COUNTA($AK$17:$BB$17)),MATCH($F592,$F$19:$F$24,0),MATCH(AQ$17,$AK$17:$BB$17,0))*INDEX($10:$13,MATCH($O592,$R$10:$R$13,0),COLUMN())</f>
        <v>2.7317897809999999E-5</v>
      </c>
      <c r="AR592" s="1050" cm="1">
        <f t="array" aca="1" ref="AR592" ca="1">INDEX(OFFSET($AK$19,MATCH($B592,$B$19:$B$150,0)-1,0,COUNTA($B$19:$B$24),COUNTA($AK$17:$BB$17)),MATCH($F592,$F$19:$F$24,0),MATCH(AR$17,$AK$17:$BB$17,0))*INDEX($10:$13,MATCH($O592,$R$10:$R$13,0),COLUMN())</f>
        <v>1.6592791396999997E-3</v>
      </c>
      <c r="AS592" s="1050" cm="1">
        <f t="array" aca="1" ref="AS592" ca="1">INDEX(OFFSET($AK$19,MATCH($B592,$B$19:$B$150,0)-1,0,COUNTA($B$19:$B$24),COUNTA($AK$17:$BB$17)),MATCH($F592,$F$19:$F$24,0),MATCH(AS$17,$AK$17:$BB$17,0))*INDEX($10:$13,MATCH($O592,$R$10:$R$13,0),COLUMN())</f>
        <v>2.5776879685000001E-4</v>
      </c>
      <c r="AT592" s="1050" cm="1">
        <f t="array" aca="1" ref="AT592" ca="1">INDEX(OFFSET($AK$19,MATCH($B592,$B$19:$B$150,0)-1,0,COUNTA($B$19:$B$24),COUNTA($AK$17:$BB$17)),MATCH($F592,$F$19:$F$24,0),MATCH(AT$17,$AK$17:$BB$17,0))*INDEX($10:$13,MATCH($O592,$R$10:$R$13,0),COLUMN())</f>
        <v>2.3699909910000002E-6</v>
      </c>
      <c r="AU592" s="1050" cm="1">
        <f t="array" aca="1" ref="AU592" ca="1">INDEX(OFFSET($AK$19,MATCH($B592,$B$19:$B$150,0)-1,0,COUNTA($B$19:$B$24),COUNTA($AK$17:$BB$17)),MATCH($F592,$F$19:$F$24,0),MATCH(AU$17,$AK$17:$BB$17,0))*INDEX($10:$13,MATCH($O592,$R$10:$R$13,0),COLUMN())</f>
        <v>4.8763502820000005E-7</v>
      </c>
      <c r="AV592" s="1050" cm="1">
        <f t="array" aca="1" ref="AV592" ca="1">INDEX(OFFSET($AK$19,MATCH($B592,$B$19:$B$150,0)-1,0,COUNTA($B$19:$B$24),COUNTA($AK$17:$BB$17)),MATCH($F592,$F$19:$F$24,0),MATCH(AV$17,$AK$17:$BB$17,0))*INDEX($10:$13,MATCH($O592,$R$10:$R$13,0),COLUMN())</f>
        <v>1.0779997193999999E-3</v>
      </c>
      <c r="AW592" s="1050" cm="1">
        <f t="array" aca="1" ref="AW592" ca="1">INDEX(OFFSET($AK$19,MATCH($B592,$B$19:$B$150,0)-1,0,COUNTA($B$19:$B$24),COUNTA($AK$17:$BB$17)),MATCH($F592,$F$19:$F$24,0),MATCH(AW$17,$AK$17:$BB$17,0))*INDEX($10:$13,MATCH($O592,$R$10:$R$13,0),COLUMN())</f>
        <v>0.70686143250000011</v>
      </c>
      <c r="AX592" s="1050" cm="1">
        <f t="array" aca="1" ref="AX592" ca="1">INDEX(OFFSET($AK$19,MATCH($B592,$B$19:$B$150,0)-1,0,COUNTA($B$19:$B$24),COUNTA($AK$17:$BB$17)),MATCH($F592,$F$19:$F$24,0),MATCH(AX$17,$AK$17:$BB$17,0))*INDEX($10:$13,MATCH($O592,$R$10:$R$13,0),COLUMN())</f>
        <v>1.8982742605000002E-7</v>
      </c>
      <c r="AY592" s="1050" cm="1">
        <f t="array" aca="1" ref="AY592" ca="1">INDEX(OFFSET($AK$19,MATCH($B592,$B$19:$B$150,0)-1,0,COUNTA($B$19:$B$24),COUNTA($AK$17:$BB$17)),MATCH($F592,$F$19:$F$24,0),MATCH(AY$17,$AK$17:$BB$17,0))*INDEX($10:$13,MATCH($O592,$R$10:$R$13,0),COLUMN())</f>
        <v>-4.8923431237500001E-9</v>
      </c>
      <c r="AZ592" s="1050" cm="1">
        <f t="array" aca="1" ref="AZ592" ca="1">INDEX(OFFSET($AK$19,MATCH($B592,$B$19:$B$150,0)-1,0,COUNTA($B$19:$B$24),COUNTA($AK$17:$BB$17)),MATCH($F592,$F$19:$F$24,0),MATCH(AZ$17,$AK$17:$BB$17,0))*INDEX($10:$13,MATCH($O592,$R$10:$R$13,0),COLUMN())</f>
        <v>0</v>
      </c>
      <c r="BA592" s="1050" cm="1">
        <f t="array" aca="1" ref="BA592" ca="1">INDEX(OFFSET($AK$19,MATCH($B592,$B$19:$B$150,0)-1,0,COUNTA($B$19:$B$24),COUNTA($AK$17:$BB$17)),MATCH($F592,$F$19:$F$24,0),MATCH(BA$17,$AK$17:$BB$17,0))*INDEX($10:$13,MATCH($O592,$R$10:$R$13,0),COLUMN())</f>
        <v>0</v>
      </c>
      <c r="BB592" s="1051" cm="1">
        <f t="array" aca="1" ref="BB592" ca="1">INDEX(OFFSET($AK$19,MATCH($B592,$B$19:$B$150,0)-1,0,COUNTA($B$19:$B$24),COUNTA($AK$17:$BB$17)),MATCH($F592,$F$19:$F$24,0),MATCH(BB$17,$AK$17:$BB$17,0))*INDEX($10:$13,MATCH($O592,$R$10:$R$13,0),COLUMN())</f>
        <v>0</v>
      </c>
      <c r="BC592" s="1053">
        <f t="shared" ca="1" si="185"/>
        <v>0.70686161743508302</v>
      </c>
      <c r="BE592" s="1"/>
      <c r="BF592" s="1"/>
      <c r="BG592" s="1"/>
      <c r="BH592" s="1"/>
      <c r="BI592" s="1"/>
      <c r="BJ592" s="1"/>
      <c r="BK592" s="1"/>
      <c r="BL592" s="1"/>
      <c r="BM592" s="1"/>
      <c r="BN592" s="1"/>
      <c r="BO592" s="1"/>
      <c r="BP592" s="1"/>
      <c r="BQ592" s="1"/>
      <c r="BR592" s="1"/>
      <c r="BS592" s="1"/>
      <c r="BT592" s="1"/>
      <c r="BU592" s="1"/>
      <c r="BV592" s="1"/>
      <c r="BW592" s="1"/>
      <c r="BX592" s="1"/>
      <c r="BY592" s="1"/>
      <c r="BZ592" s="1"/>
    </row>
    <row r="593" spans="2:78" ht="12" customHeight="1" outlineLevel="1" x14ac:dyDescent="0.25">
      <c r="B593" s="104" t="s">
        <v>103</v>
      </c>
      <c r="C593" s="104" t="s">
        <v>121</v>
      </c>
      <c r="D593" s="2" t="s">
        <v>137</v>
      </c>
      <c r="E593" s="2" t="s">
        <v>139</v>
      </c>
      <c r="F593" s="105" t="s">
        <v>93</v>
      </c>
      <c r="G593" s="27" t="s">
        <v>1578</v>
      </c>
      <c r="H593" s="106" t="s">
        <v>130</v>
      </c>
      <c r="I593" s="107" t="s">
        <v>129</v>
      </c>
      <c r="J593" s="147">
        <v>0.31070780000000003</v>
      </c>
      <c r="K593" s="148">
        <v>4.28</v>
      </c>
      <c r="L593" s="149">
        <f t="shared" ca="1" si="186"/>
        <v>0.2327827585238666</v>
      </c>
      <c r="M593" s="148">
        <f t="shared" ca="1" si="187"/>
        <v>5.2763102064821492</v>
      </c>
      <c r="N593" s="148">
        <f t="shared" ca="1" si="184"/>
        <v>0.99631020648214907</v>
      </c>
      <c r="O593" s="1062" t="s">
        <v>1585</v>
      </c>
      <c r="P593" s="104"/>
      <c r="R593" s="119"/>
      <c r="S593" s="1072"/>
      <c r="T593" s="1072"/>
      <c r="U593" s="1072"/>
      <c r="V593" s="1072"/>
      <c r="W593" s="1072"/>
      <c r="X593" s="1072"/>
      <c r="Y593" s="1072"/>
      <c r="Z593" s="1072"/>
      <c r="AA593" s="1072"/>
      <c r="AB593" s="1072"/>
      <c r="AC593" s="1072"/>
      <c r="AD593" s="1072"/>
      <c r="AE593" s="1072"/>
      <c r="AF593" s="1072"/>
      <c r="AG593" s="1072"/>
      <c r="AH593" s="1072"/>
      <c r="AI593" s="1072"/>
      <c r="AJ593" s="1073"/>
      <c r="AK593" s="1052" cm="1">
        <f t="array" aca="1" ref="AK593" ca="1">INDEX(OFFSET($AK$19,MATCH($B593,$B$19:$B$150,0)-1,0,COUNTA($B$19:$B$24),COUNTA($AK$17:$BB$17)),MATCH($F593,$F$19:$F$24,0),MATCH(AK$17,$AK$17:$BB$17,0))*INDEX($10:$13,MATCH($O593,$R$10:$R$13,0),COLUMN())</f>
        <v>3.5359093831334398E-2</v>
      </c>
      <c r="AL593" s="1050" cm="1">
        <f t="array" aca="1" ref="AL593" ca="1">INDEX(OFFSET($AK$19,MATCH($B593,$B$19:$B$150,0)-1,0,COUNTA($B$19:$B$24),COUNTA($AK$17:$BB$17)),MATCH($F593,$F$19:$F$24,0),MATCH(AL$17,$AK$17:$BB$17,0))*INDEX($10:$13,MATCH($O593,$R$10:$R$13,0),COLUMN())</f>
        <v>4.1347395814000002E-8</v>
      </c>
      <c r="AM593" s="1050" cm="1">
        <f t="array" aca="1" ref="AM593" ca="1">INDEX(OFFSET($AK$19,MATCH($B593,$B$19:$B$150,0)-1,0,COUNTA($B$19:$B$24),COUNTA($AK$17:$BB$17)),MATCH($F593,$F$19:$F$24,0),MATCH(AM$17,$AK$17:$BB$17,0))*INDEX($10:$13,MATCH($O593,$R$10:$R$13,0),COLUMN())</f>
        <v>6.6124178900000004E-5</v>
      </c>
      <c r="AN593" s="1050" cm="1">
        <f t="array" aca="1" ref="AN593" ca="1">INDEX(OFFSET($AK$19,MATCH($B593,$B$19:$B$150,0)-1,0,COUNTA($B$19:$B$24),COUNTA($AK$17:$BB$17)),MATCH($F593,$F$19:$F$24,0),MATCH(AN$17,$AK$17:$BB$17,0))*INDEX($10:$13,MATCH($O593,$R$10:$R$13,0),COLUMN())</f>
        <v>8.8237998560000003E-4</v>
      </c>
      <c r="AO593" s="1050" cm="1">
        <f t="array" aca="1" ref="AO593" ca="1">INDEX(OFFSET($AK$19,MATCH($B593,$B$19:$B$150,0)-1,0,COUNTA($B$19:$B$24),COUNTA($AK$17:$BB$17)),MATCH($F593,$F$19:$F$24,0),MATCH(AO$17,$AK$17:$BB$17,0))*INDEX($10:$13,MATCH($O593,$R$10:$R$13,0),COLUMN())</f>
        <v>1.3361996643999998E-2</v>
      </c>
      <c r="AP593" s="1050" cm="1">
        <f t="array" aca="1" ref="AP593" ca="1">INDEX(OFFSET($AK$19,MATCH($B593,$B$19:$B$150,0)-1,0,COUNTA($B$19:$B$24),COUNTA($AK$17:$BB$17)),MATCH($F593,$F$19:$F$24,0),MATCH(AP$17,$AK$17:$BB$17,0))*INDEX($10:$13,MATCH($O593,$R$10:$R$13,0),COLUMN())</f>
        <v>5.3840169850000001E-3</v>
      </c>
      <c r="AQ593" s="1050" cm="1">
        <f t="array" aca="1" ref="AQ593" ca="1">INDEX(OFFSET($AK$19,MATCH($B593,$B$19:$B$150,0)-1,0,COUNTA($B$19:$B$24),COUNTA($AK$17:$BB$17)),MATCH($F593,$F$19:$F$24,0),MATCH(AQ$17,$AK$17:$BB$17,0))*INDEX($10:$13,MATCH($O593,$R$10:$R$13,0),COLUMN())</f>
        <v>3.6221057579999997E-5</v>
      </c>
      <c r="AR593" s="1050" cm="1">
        <f t="array" aca="1" ref="AR593" ca="1">INDEX(OFFSET($AK$19,MATCH($B593,$B$19:$B$150,0)-1,0,COUNTA($B$19:$B$24),COUNTA($AK$17:$BB$17)),MATCH($F593,$F$19:$F$24,0),MATCH(AR$17,$AK$17:$BB$17,0))*INDEX($10:$13,MATCH($O593,$R$10:$R$13,0),COLUMN())</f>
        <v>2.2000538391E-3</v>
      </c>
      <c r="AS593" s="1050" cm="1">
        <f t="array" aca="1" ref="AS593" ca="1">INDEX(OFFSET($AK$19,MATCH($B593,$B$19:$B$150,0)-1,0,COUNTA($B$19:$B$24),COUNTA($AK$17:$BB$17)),MATCH($F593,$F$19:$F$24,0),MATCH(AS$17,$AK$17:$BB$17,0))*INDEX($10:$13,MATCH($O593,$R$10:$R$13,0),COLUMN())</f>
        <v>3.4354919635000002E-4</v>
      </c>
      <c r="AT593" s="1050" cm="1">
        <f t="array" aca="1" ref="AT593" ca="1">INDEX(OFFSET($AK$19,MATCH($B593,$B$19:$B$150,0)-1,0,COUNTA($B$19:$B$24),COUNTA($AK$17:$BB$17)),MATCH($F593,$F$19:$F$24,0),MATCH(AT$17,$AK$17:$BB$17,0))*INDEX($10:$13,MATCH($O593,$R$10:$R$13,0),COLUMN())</f>
        <v>3.1429926064999996E-6</v>
      </c>
      <c r="AU593" s="1050" cm="1">
        <f t="array" aca="1" ref="AU593" ca="1">INDEX(OFFSET($AK$19,MATCH($B593,$B$19:$B$150,0)-1,0,COUNTA($B$19:$B$24),COUNTA($AK$17:$BB$17)),MATCH($F593,$F$19:$F$24,0),MATCH(AU$17,$AK$17:$BB$17,0))*INDEX($10:$13,MATCH($O593,$R$10:$R$13,0),COLUMN())</f>
        <v>6.466265178300001E-7</v>
      </c>
      <c r="AV593" s="1050" cm="1">
        <f t="array" aca="1" ref="AV593" ca="1">INDEX(OFFSET($AK$19,MATCH($B593,$B$19:$B$150,0)-1,0,COUNTA($B$19:$B$24),COUNTA($AK$17:$BB$17)),MATCH($F593,$F$19:$F$24,0),MATCH(AV$17,$AK$17:$BB$17,0))*INDEX($10:$13,MATCH($O593,$R$10:$R$13,0),COLUMN())</f>
        <v>1.4384325905999998E-3</v>
      </c>
      <c r="AW593" s="1050" cm="1">
        <f t="array" aca="1" ref="AW593" ca="1">INDEX(OFFSET($AK$19,MATCH($B593,$B$19:$B$150,0)-1,0,COUNTA($B$19:$B$24),COUNTA($AK$17:$BB$17)),MATCH($F593,$F$19:$F$24,0),MATCH(AW$17,$AK$17:$BB$17,0))*INDEX($10:$13,MATCH($O593,$R$10:$R$13,0),COLUMN())</f>
        <v>0.93723426200000004</v>
      </c>
      <c r="AX593" s="1050" cm="1">
        <f t="array" aca="1" ref="AX593" ca="1">INDEX(OFFSET($AK$19,MATCH($B593,$B$19:$B$150,0)-1,0,COUNTA($B$19:$B$24),COUNTA($AK$17:$BB$17)),MATCH($F593,$F$19:$F$24,0),MATCH(AX$17,$AK$17:$BB$17,0))*INDEX($10:$13,MATCH($O593,$R$10:$R$13,0),COLUMN())</f>
        <v>2.5169396825000002E-7</v>
      </c>
      <c r="AY593" s="1050" cm="1">
        <f t="array" aca="1" ref="AY593" ca="1">INDEX(OFFSET($AK$19,MATCH($B593,$B$19:$B$150,0)-1,0,COUNTA($B$19:$B$24),COUNTA($AK$17:$BB$17)),MATCH($F593,$F$19:$F$24,0),MATCH(AY$17,$AK$17:$BB$17,0))*INDEX($10:$13,MATCH($O593,$R$10:$R$13,0),COLUMN())</f>
        <v>-6.4868037525000003E-9</v>
      </c>
      <c r="AZ593" s="1050" cm="1">
        <f t="array" aca="1" ref="AZ593" ca="1">INDEX(OFFSET($AK$19,MATCH($B593,$B$19:$B$150,0)-1,0,COUNTA($B$19:$B$24),COUNTA($AK$17:$BB$17)),MATCH($F593,$F$19:$F$24,0),MATCH(AZ$17,$AK$17:$BB$17,0))*INDEX($10:$13,MATCH($O593,$R$10:$R$13,0),COLUMN())</f>
        <v>0</v>
      </c>
      <c r="BA593" s="1050" cm="1">
        <f t="array" aca="1" ref="BA593" ca="1">INDEX(OFFSET($AK$19,MATCH($B593,$B$19:$B$150,0)-1,0,COUNTA($B$19:$B$24),COUNTA($AK$17:$BB$17)),MATCH($F593,$F$19:$F$24,0),MATCH(BA$17,$AK$17:$BB$17,0))*INDEX($10:$13,MATCH($O593,$R$10:$R$13,0),COLUMN())</f>
        <v>0</v>
      </c>
      <c r="BB593" s="1051" cm="1">
        <f t="array" aca="1" ref="BB593" ca="1">INDEX(OFFSET($AK$19,MATCH($B593,$B$19:$B$150,0)-1,0,COUNTA($B$19:$B$24),COUNTA($AK$17:$BB$17)),MATCH($F593,$F$19:$F$24,0),MATCH(BB$17,$AK$17:$BB$17,0))*INDEX($10:$13,MATCH($O593,$R$10:$R$13,0),COLUMN())</f>
        <v>0</v>
      </c>
      <c r="BC593" s="1053">
        <f t="shared" ca="1" si="185"/>
        <v>0.9372345072071645</v>
      </c>
      <c r="BE593" s="1"/>
      <c r="BF593" s="1"/>
      <c r="BG593" s="1"/>
      <c r="BH593" s="1"/>
      <c r="BI593" s="1"/>
      <c r="BJ593" s="1"/>
      <c r="BK593" s="1"/>
      <c r="BL593" s="1"/>
      <c r="BM593" s="1"/>
      <c r="BN593" s="1"/>
      <c r="BO593" s="1"/>
      <c r="BP593" s="1"/>
      <c r="BQ593" s="1"/>
      <c r="BR593" s="1"/>
      <c r="BS593" s="1"/>
      <c r="BT593" s="1"/>
      <c r="BU593" s="1"/>
      <c r="BV593" s="1"/>
      <c r="BW593" s="1"/>
      <c r="BX593" s="1"/>
      <c r="BY593" s="1"/>
      <c r="BZ593" s="1"/>
    </row>
    <row r="594" spans="2:78" ht="12" customHeight="1" outlineLevel="1" x14ac:dyDescent="0.25">
      <c r="B594" s="104" t="s">
        <v>103</v>
      </c>
      <c r="C594" s="104" t="s">
        <v>121</v>
      </c>
      <c r="D594" s="2" t="s">
        <v>137</v>
      </c>
      <c r="E594" s="2" t="s">
        <v>139</v>
      </c>
      <c r="F594" s="105" t="s">
        <v>94</v>
      </c>
      <c r="G594" s="27" t="s">
        <v>1580</v>
      </c>
      <c r="H594" s="106" t="s">
        <v>131</v>
      </c>
      <c r="I594" s="107" t="s">
        <v>129</v>
      </c>
      <c r="J594" s="147">
        <v>0.31070780000000003</v>
      </c>
      <c r="K594" s="148">
        <v>4.28</v>
      </c>
      <c r="L594" s="149">
        <f t="shared" ca="1" si="186"/>
        <v>0.1409217470208986</v>
      </c>
      <c r="M594" s="148">
        <f t="shared" ca="1" si="187"/>
        <v>4.8831450772494467</v>
      </c>
      <c r="N594" s="148">
        <f t="shared" ca="1" si="184"/>
        <v>0.6031450772494461</v>
      </c>
      <c r="O594" s="1062" t="s">
        <v>1585</v>
      </c>
      <c r="P594" s="104"/>
      <c r="R594" s="119"/>
      <c r="S594" s="1072"/>
      <c r="T594" s="1072"/>
      <c r="U594" s="1072"/>
      <c r="V594" s="1072"/>
      <c r="W594" s="1072"/>
      <c r="X594" s="1072"/>
      <c r="Y594" s="1072"/>
      <c r="Z594" s="1072"/>
      <c r="AA594" s="1072"/>
      <c r="AB594" s="1072"/>
      <c r="AC594" s="1072"/>
      <c r="AD594" s="1072"/>
      <c r="AE594" s="1072"/>
      <c r="AF594" s="1072"/>
      <c r="AG594" s="1072"/>
      <c r="AH594" s="1072"/>
      <c r="AI594" s="1072"/>
      <c r="AJ594" s="1073"/>
      <c r="AK594" s="1052" cm="1">
        <f t="array" aca="1" ref="AK594" ca="1">INDEX(OFFSET($AK$19,MATCH($B594,$B$19:$B$150,0)-1,0,COUNTA($B$19:$B$24),COUNTA($AK$17:$BB$17)),MATCH($F594,$F$19:$F$24,0),MATCH(AK$17,$AK$17:$BB$17,0))*INDEX($10:$13,MATCH($O594,$R$10:$R$13,0),COLUMN())</f>
        <v>2.1406113449798401E-2</v>
      </c>
      <c r="AL594" s="1050" cm="1">
        <f t="array" aca="1" ref="AL594" ca="1">INDEX(OFFSET($AK$19,MATCH($B594,$B$19:$B$150,0)-1,0,COUNTA($B$19:$B$24),COUNTA($AK$17:$BB$17)),MATCH($F594,$F$19:$F$24,0),MATCH(AL$17,$AK$17:$BB$17,0))*INDEX($10:$13,MATCH($O594,$R$10:$R$13,0),COLUMN())</f>
        <v>2.5031383933000003E-8</v>
      </c>
      <c r="AM594" s="1050" cm="1">
        <f t="array" aca="1" ref="AM594" ca="1">INDEX(OFFSET($AK$19,MATCH($B594,$B$19:$B$150,0)-1,0,COUNTA($B$19:$B$24),COUNTA($AK$17:$BB$17)),MATCH($F594,$F$19:$F$24,0),MATCH(AM$17,$AK$17:$BB$17,0))*INDEX($10:$13,MATCH($O594,$R$10:$R$13,0),COLUMN())</f>
        <v>4.0031049889999999E-5</v>
      </c>
      <c r="AN594" s="1050" cm="1">
        <f t="array" aca="1" ref="AN594" ca="1">INDEX(OFFSET($AK$19,MATCH($B594,$B$19:$B$150,0)-1,0,COUNTA($B$19:$B$24),COUNTA($AK$17:$BB$17)),MATCH($F594,$F$19:$F$24,0),MATCH(AN$17,$AK$17:$BB$17,0))*INDEX($10:$13,MATCH($O594,$R$10:$R$13,0),COLUMN())</f>
        <v>5.3418581920000011E-4</v>
      </c>
      <c r="AO594" s="1050" cm="1">
        <f t="array" aca="1" ref="AO594" ca="1">INDEX(OFFSET($AK$19,MATCH($B594,$B$19:$B$150,0)-1,0,COUNTA($B$19:$B$24),COUNTA($AK$17:$BB$17)),MATCH($F594,$F$19:$F$24,0),MATCH(AO$17,$AK$17:$BB$17,0))*INDEX($10:$13,MATCH($O594,$R$10:$R$13,0),COLUMN())</f>
        <v>8.0892463679999999E-3</v>
      </c>
      <c r="AP594" s="1050" cm="1">
        <f t="array" aca="1" ref="AP594" ca="1">INDEX(OFFSET($AK$19,MATCH($B594,$B$19:$B$150,0)-1,0,COUNTA($B$19:$B$24),COUNTA($AK$17:$BB$17)),MATCH($F594,$F$19:$F$24,0),MATCH(AP$17,$AK$17:$BB$17,0))*INDEX($10:$13,MATCH($O594,$R$10:$R$13,0),COLUMN())</f>
        <v>3.2594410101999998E-3</v>
      </c>
      <c r="AQ594" s="1050" cm="1">
        <f t="array" aca="1" ref="AQ594" ca="1">INDEX(OFFSET($AK$19,MATCH($B594,$B$19:$B$150,0)-1,0,COUNTA($B$19:$B$24),COUNTA($AK$17:$BB$17)),MATCH($F594,$F$19:$F$24,0),MATCH(AQ$17,$AK$17:$BB$17,0))*INDEX($10:$13,MATCH($O594,$R$10:$R$13,0),COLUMN())</f>
        <v>2.192794079E-5</v>
      </c>
      <c r="AR594" s="1050" cm="1">
        <f t="array" aca="1" ref="AR594" ca="1">INDEX(OFFSET($AK$19,MATCH($B594,$B$19:$B$150,0)-1,0,COUNTA($B$19:$B$24),COUNTA($AK$17:$BB$17)),MATCH($F594,$F$19:$F$24,0),MATCH(AR$17,$AK$17:$BB$17,0))*INDEX($10:$13,MATCH($O594,$R$10:$R$13,0),COLUMN())</f>
        <v>1.3318950688E-3</v>
      </c>
      <c r="AS594" s="1050" cm="1">
        <f t="array" aca="1" ref="AS594" ca="1">INDEX(OFFSET($AK$19,MATCH($B594,$B$19:$B$150,0)-1,0,COUNTA($B$19:$B$24),COUNTA($AK$17:$BB$17)),MATCH($F594,$F$19:$F$24,0),MATCH(AS$17,$AK$17:$BB$17,0))*INDEX($10:$13,MATCH($O594,$R$10:$R$13,0),COLUMN())</f>
        <v>2.0583749879999998E-4</v>
      </c>
      <c r="AT594" s="1050" cm="1">
        <f t="array" aca="1" ref="AT594" ca="1">INDEX(OFFSET($AK$19,MATCH($B594,$B$19:$B$150,0)-1,0,COUNTA($B$19:$B$24),COUNTA($AK$17:$BB$17)),MATCH($F594,$F$19:$F$24,0),MATCH(AT$17,$AK$17:$BB$17,0))*INDEX($10:$13,MATCH($O594,$R$10:$R$13,0),COLUMN())</f>
        <v>1.9020171583E-6</v>
      </c>
      <c r="AU594" s="1050" cm="1">
        <f t="array" aca="1" ref="AU594" ca="1">INDEX(OFFSET($AK$19,MATCH($B594,$B$19:$B$150,0)-1,0,COUNTA($B$19:$B$24),COUNTA($AK$17:$BB$17)),MATCH($F594,$F$19:$F$24,0),MATCH(AU$17,$AK$17:$BB$17,0))*INDEX($10:$13,MATCH($O594,$R$10:$R$13,0),COLUMN())</f>
        <v>3.9138186123000007E-7</v>
      </c>
      <c r="AV594" s="1050" cm="1">
        <f t="array" aca="1" ref="AV594" ca="1">INDEX(OFFSET($AK$19,MATCH($B594,$B$19:$B$150,0)-1,0,COUNTA($B$19:$B$24),COUNTA($AK$17:$BB$17)),MATCH($F594,$F$19:$F$24,0),MATCH(AV$17,$AK$17:$BB$17,0))*INDEX($10:$13,MATCH($O594,$R$10:$R$13,0),COLUMN())</f>
        <v>8.5979431709999989E-4</v>
      </c>
      <c r="AW594" s="1050" cm="1">
        <f t="array" aca="1" ref="AW594" ca="1">INDEX(OFFSET($AK$19,MATCH($B594,$B$19:$B$150,0)-1,0,COUNTA($B$19:$B$24),COUNTA($AK$17:$BB$17)),MATCH($F594,$F$19:$F$24,0),MATCH(AW$17,$AK$17:$BB$17,0))*INDEX($10:$13,MATCH($O594,$R$10:$R$13,0),COLUMN())</f>
        <v>0.56739413785000004</v>
      </c>
      <c r="AX594" s="1050" cm="1">
        <f t="array" aca="1" ref="AX594" ca="1">INDEX(OFFSET($AK$19,MATCH($B594,$B$19:$B$150,0)-1,0,COUNTA($B$19:$B$24),COUNTA($AK$17:$BB$17)),MATCH($F594,$F$19:$F$24,0),MATCH(AX$17,$AK$17:$BB$17,0))*INDEX($10:$13,MATCH($O594,$R$10:$R$13,0),COLUMN())</f>
        <v>1.523735235E-7</v>
      </c>
      <c r="AY594" s="1050" cm="1">
        <f t="array" aca="1" ref="AY594" ca="1">INDEX(OFFSET($AK$19,MATCH($B594,$B$19:$B$150,0)-1,0,COUNTA($B$19:$B$24),COUNTA($AK$17:$BB$17)),MATCH($F594,$F$19:$F$24,0),MATCH(AY$17,$AK$17:$BB$17,0))*INDEX($10:$13,MATCH($O594,$R$10:$R$13,0),COLUMN())</f>
        <v>-3.9270592762500002E-9</v>
      </c>
      <c r="AZ594" s="1050" cm="1">
        <f t="array" aca="1" ref="AZ594" ca="1">INDEX(OFFSET($AK$19,MATCH($B594,$B$19:$B$150,0)-1,0,COUNTA($B$19:$B$24),COUNTA($AK$17:$BB$17)),MATCH($F594,$F$19:$F$24,0),MATCH(AZ$17,$AK$17:$BB$17,0))*INDEX($10:$13,MATCH($O594,$R$10:$R$13,0),COLUMN())</f>
        <v>0</v>
      </c>
      <c r="BA594" s="1050" cm="1">
        <f t="array" aca="1" ref="BA594" ca="1">INDEX(OFFSET($AK$19,MATCH($B594,$B$19:$B$150,0)-1,0,COUNTA($B$19:$B$24),COUNTA($AK$17:$BB$17)),MATCH($F594,$F$19:$F$24,0),MATCH(BA$17,$AK$17:$BB$17,0))*INDEX($10:$13,MATCH($O594,$R$10:$R$13,0),COLUMN())</f>
        <v>0</v>
      </c>
      <c r="BB594" s="1051" cm="1">
        <f t="array" aca="1" ref="BB594" ca="1">INDEX(OFFSET($AK$19,MATCH($B594,$B$19:$B$150,0)-1,0,COUNTA($B$19:$B$24),COUNTA($AK$17:$BB$17)),MATCH($F594,$F$19:$F$24,0),MATCH(BB$17,$AK$17:$BB$17,0))*INDEX($10:$13,MATCH($O594,$R$10:$R$13,0),COLUMN())</f>
        <v>0</v>
      </c>
      <c r="BC594" s="1053">
        <f t="shared" ca="1" si="185"/>
        <v>0.56739428629646427</v>
      </c>
      <c r="BE594" s="1"/>
      <c r="BF594" s="1"/>
      <c r="BG594" s="1"/>
      <c r="BH594" s="1"/>
      <c r="BI594" s="1"/>
      <c r="BJ594" s="1"/>
      <c r="BK594" s="1"/>
      <c r="BL594" s="1"/>
      <c r="BM594" s="1"/>
      <c r="BN594" s="1"/>
      <c r="BO594" s="1"/>
      <c r="BP594" s="1"/>
      <c r="BQ594" s="1"/>
      <c r="BR594" s="1"/>
      <c r="BS594" s="1"/>
      <c r="BT594" s="1"/>
      <c r="BU594" s="1"/>
      <c r="BV594" s="1"/>
      <c r="BW594" s="1"/>
      <c r="BX594" s="1"/>
      <c r="BY594" s="1"/>
      <c r="BZ594" s="1"/>
    </row>
    <row r="595" spans="2:78" ht="12" customHeight="1" outlineLevel="1" x14ac:dyDescent="0.25">
      <c r="B595" s="104" t="s">
        <v>103</v>
      </c>
      <c r="C595" s="104" t="s">
        <v>121</v>
      </c>
      <c r="D595" s="2" t="s">
        <v>137</v>
      </c>
      <c r="E595" s="2" t="s">
        <v>139</v>
      </c>
      <c r="F595" s="105" t="s">
        <v>95</v>
      </c>
      <c r="G595" s="27" t="s">
        <v>1581</v>
      </c>
      <c r="H595" s="106" t="s">
        <v>128</v>
      </c>
      <c r="I595" s="107" t="s">
        <v>127</v>
      </c>
      <c r="J595" s="147">
        <v>0.31070780000000003</v>
      </c>
      <c r="K595" s="148">
        <v>4.28</v>
      </c>
      <c r="L595" s="149">
        <f t="shared" ca="1" si="186"/>
        <v>0.1841427368761685</v>
      </c>
      <c r="M595" s="148">
        <f t="shared" ca="1" si="187"/>
        <v>5.0681309138300019</v>
      </c>
      <c r="N595" s="148">
        <f t="shared" ca="1" si="184"/>
        <v>0.78813091383000122</v>
      </c>
      <c r="O595" s="1062" t="s">
        <v>1585</v>
      </c>
      <c r="P595" s="104"/>
      <c r="R595" s="119"/>
      <c r="S595" s="1072"/>
      <c r="T595" s="1072"/>
      <c r="U595" s="1072"/>
      <c r="V595" s="1072"/>
      <c r="W595" s="1072"/>
      <c r="X595" s="1072"/>
      <c r="Y595" s="1072"/>
      <c r="Z595" s="1072"/>
      <c r="AA595" s="1072"/>
      <c r="AB595" s="1072"/>
      <c r="AC595" s="1072"/>
      <c r="AD595" s="1072"/>
      <c r="AE595" s="1072"/>
      <c r="AF595" s="1072"/>
      <c r="AG595" s="1072"/>
      <c r="AH595" s="1072"/>
      <c r="AI595" s="1072"/>
      <c r="AJ595" s="1073"/>
      <c r="AK595" s="1052" cm="1">
        <f t="array" aca="1" ref="AK595" ca="1">INDEX(OFFSET($AK$19,MATCH($B595,$B$19:$B$150,0)-1,0,COUNTA($B$19:$B$24),COUNTA($AK$17:$BB$17)),MATCH($F595,$F$19:$F$24,0),MATCH(AK$17,$AK$17:$BB$17,0))*INDEX($10:$13,MATCH($O595,$R$10:$R$13,0),COLUMN())</f>
        <v>3.2575628551103998E-2</v>
      </c>
      <c r="AL595" s="1050" cm="1">
        <f t="array" aca="1" ref="AL595" ca="1">INDEX(OFFSET($AK$19,MATCH($B595,$B$19:$B$150,0)-1,0,COUNTA($B$19:$B$24),COUNTA($AK$17:$BB$17)),MATCH($F595,$F$19:$F$24,0),MATCH(AL$17,$AK$17:$BB$17,0))*INDEX($10:$13,MATCH($O595,$R$10:$R$13,0),COLUMN())</f>
        <v>3.1430956927000002E-8</v>
      </c>
      <c r="AM595" s="1050" cm="1">
        <f t="array" aca="1" ref="AM595" ca="1">INDEX(OFFSET($AK$19,MATCH($B595,$B$19:$B$150,0)-1,0,COUNTA($B$19:$B$24),COUNTA($AK$17:$BB$17)),MATCH($F595,$F$19:$F$24,0),MATCH(AM$17,$AK$17:$BB$17,0))*INDEX($10:$13,MATCH($O595,$R$10:$R$13,0),COLUMN())</f>
        <v>5.0263777719999996E-5</v>
      </c>
      <c r="AN595" s="1050" cm="1">
        <f t="array" aca="1" ref="AN595" ca="1">INDEX(OFFSET($AK$19,MATCH($B595,$B$19:$B$150,0)-1,0,COUNTA($B$19:$B$24),COUNTA($AK$17:$BB$17)),MATCH($F595,$F$19:$F$24,0),MATCH(AN$17,$AK$17:$BB$17,0))*INDEX($10:$13,MATCH($O595,$R$10:$R$13,0),COLUMN())</f>
        <v>7.1671404000000008E-4</v>
      </c>
      <c r="AO595" s="1050" cm="1">
        <f t="array" aca="1" ref="AO595" ca="1">INDEX(OFFSET($AK$19,MATCH($B595,$B$19:$B$150,0)-1,0,COUNTA($B$19:$B$24),COUNTA($AK$17:$BB$17)),MATCH($F595,$F$19:$F$24,0),MATCH(AO$17,$AK$17:$BB$17,0))*INDEX($10:$13,MATCH($O595,$R$10:$R$13,0),COLUMN())</f>
        <v>2.4277497932E-2</v>
      </c>
      <c r="AP595" s="1050" cm="1">
        <f t="array" aca="1" ref="AP595" ca="1">INDEX(OFFSET($AK$19,MATCH($B595,$B$19:$B$150,0)-1,0,COUNTA($B$19:$B$24),COUNTA($AK$17:$BB$17)),MATCH($F595,$F$19:$F$24,0),MATCH(AP$17,$AK$17:$BB$17,0))*INDEX($10:$13,MATCH($O595,$R$10:$R$13,0),COLUMN())</f>
        <v>1.4051594674E-2</v>
      </c>
      <c r="AQ595" s="1050" cm="1">
        <f t="array" aca="1" ref="AQ595" ca="1">INDEX(OFFSET($AK$19,MATCH($B595,$B$19:$B$150,0)-1,0,COUNTA($B$19:$B$24),COUNTA($AK$17:$BB$17)),MATCH($F595,$F$19:$F$24,0),MATCH(AQ$17,$AK$17:$BB$17,0))*INDEX($10:$13,MATCH($O595,$R$10:$R$13,0),COLUMN())</f>
        <v>1.0817523523999999E-4</v>
      </c>
      <c r="AR595" s="1050" cm="1">
        <f t="array" aca="1" ref="AR595" ca="1">INDEX(OFFSET($AK$19,MATCH($B595,$B$19:$B$150,0)-1,0,COUNTA($B$19:$B$24),COUNTA($AK$17:$BB$17)),MATCH($F595,$F$19:$F$24,0),MATCH(AR$17,$AK$17:$BB$17,0))*INDEX($10:$13,MATCH($O595,$R$10:$R$13,0),COLUMN())</f>
        <v>3.9955252280000006E-3</v>
      </c>
      <c r="AS595" s="1050" cm="1">
        <f t="array" aca="1" ref="AS595" ca="1">INDEX(OFFSET($AK$19,MATCH($B595,$B$19:$B$150,0)-1,0,COUNTA($B$19:$B$24),COUNTA($AK$17:$BB$17)),MATCH($F595,$F$19:$F$24,0),MATCH(AS$17,$AK$17:$BB$17,0))*INDEX($10:$13,MATCH($O595,$R$10:$R$13,0),COLUMN())</f>
        <v>1.5388431404999999E-3</v>
      </c>
      <c r="AT595" s="1050" cm="1">
        <f t="array" aca="1" ref="AT595" ca="1">INDEX(OFFSET($AK$19,MATCH($B595,$B$19:$B$150,0)-1,0,COUNTA($B$19:$B$24),COUNTA($AK$17:$BB$17)),MATCH($F595,$F$19:$F$24,0),MATCH(AT$17,$AK$17:$BB$17,0))*INDEX($10:$13,MATCH($O595,$R$10:$R$13,0),COLUMN())</f>
        <v>3.3001146191E-6</v>
      </c>
      <c r="AU595" s="1050" cm="1">
        <f t="array" aca="1" ref="AU595" ca="1">INDEX(OFFSET($AK$19,MATCH($B595,$B$19:$B$150,0)-1,0,COUNTA($B$19:$B$24),COUNTA($AK$17:$BB$17)),MATCH($F595,$F$19:$F$24,0),MATCH(AU$17,$AK$17:$BB$17,0))*INDEX($10:$13,MATCH($O595,$R$10:$R$13,0),COLUMN())</f>
        <v>6.2946277821000005E-7</v>
      </c>
      <c r="AV595" s="1050" cm="1">
        <f t="array" aca="1" ref="AV595" ca="1">INDEX(OFFSET($AK$19,MATCH($B595,$B$19:$B$150,0)-1,0,COUNTA($B$19:$B$24),COUNTA($AK$17:$BB$17)),MATCH($F595,$F$19:$F$24,0),MATCH(AV$17,$AK$17:$BB$17,0))*INDEX($10:$13,MATCH($O595,$R$10:$R$13,0),COLUMN())</f>
        <v>3.951092808E-3</v>
      </c>
      <c r="AW595" s="1050" cm="1">
        <f t="array" aca="1" ref="AW595" ca="1">INDEX(OFFSET($AK$19,MATCH($B595,$B$19:$B$150,0)-1,0,COUNTA($B$19:$B$24),COUNTA($AK$17:$BB$17)),MATCH($F595,$F$19:$F$24,0),MATCH(AW$17,$AK$17:$BB$17,0))*INDEX($10:$13,MATCH($O595,$R$10:$R$13,0),COLUMN())</f>
        <v>0.70686143250000011</v>
      </c>
      <c r="AX595" s="1050" cm="1">
        <f t="array" aca="1" ref="AX595" ca="1">INDEX(OFFSET($AK$19,MATCH($B595,$B$19:$B$150,0)-1,0,COUNTA($B$19:$B$24),COUNTA($AK$17:$BB$17)),MATCH($F595,$F$19:$F$24,0),MATCH(AX$17,$AK$17:$BB$17,0))*INDEX($10:$13,MATCH($O595,$R$10:$R$13,0),COLUMN())</f>
        <v>1.8982742605000002E-7</v>
      </c>
      <c r="AY595" s="1050" cm="1">
        <f t="array" aca="1" ref="AY595" ca="1">INDEX(OFFSET($AK$19,MATCH($B595,$B$19:$B$150,0)-1,0,COUNTA($B$19:$B$24),COUNTA($AK$17:$BB$17)),MATCH($F595,$F$19:$F$24,0),MATCH(AY$17,$AK$17:$BB$17,0))*INDEX($10:$13,MATCH($O595,$R$10:$R$13,0),COLUMN())</f>
        <v>-4.8923431237500001E-9</v>
      </c>
      <c r="AZ595" s="1050" cm="1">
        <f t="array" aca="1" ref="AZ595" ca="1">INDEX(OFFSET($AK$19,MATCH($B595,$B$19:$B$150,0)-1,0,COUNTA($B$19:$B$24),COUNTA($AK$17:$BB$17)),MATCH($F595,$F$19:$F$24,0),MATCH(AZ$17,$AK$17:$BB$17,0))*INDEX($10:$13,MATCH($O595,$R$10:$R$13,0),COLUMN())</f>
        <v>0</v>
      </c>
      <c r="BA595" s="1050" cm="1">
        <f t="array" aca="1" ref="BA595" ca="1">INDEX(OFFSET($AK$19,MATCH($B595,$B$19:$B$150,0)-1,0,COUNTA($B$19:$B$24),COUNTA($AK$17:$BB$17)),MATCH($F595,$F$19:$F$24,0),MATCH(BA$17,$AK$17:$BB$17,0))*INDEX($10:$13,MATCH($O595,$R$10:$R$13,0),COLUMN())</f>
        <v>0</v>
      </c>
      <c r="BB595" s="1051" cm="1">
        <f t="array" aca="1" ref="BB595" ca="1">INDEX(OFFSET($AK$19,MATCH($B595,$B$19:$B$150,0)-1,0,COUNTA($B$19:$B$24),COUNTA($AK$17:$BB$17)),MATCH($F595,$F$19:$F$24,0),MATCH(BB$17,$AK$17:$BB$17,0))*INDEX($10:$13,MATCH($O595,$R$10:$R$13,0),COLUMN())</f>
        <v>0</v>
      </c>
      <c r="BC595" s="1053">
        <f t="shared" ca="1" si="185"/>
        <v>0.70686161743508302</v>
      </c>
      <c r="BE595" s="1"/>
      <c r="BF595" s="1"/>
      <c r="BG595" s="1"/>
      <c r="BH595" s="1"/>
      <c r="BI595" s="1"/>
      <c r="BJ595" s="1"/>
      <c r="BK595" s="1"/>
      <c r="BL595" s="1"/>
      <c r="BM595" s="1"/>
      <c r="BN595" s="1"/>
      <c r="BO595" s="1"/>
      <c r="BP595" s="1"/>
      <c r="BQ595" s="1"/>
      <c r="BR595" s="1"/>
      <c r="BS595" s="1"/>
      <c r="BT595" s="1"/>
      <c r="BU595" s="1"/>
      <c r="BV595" s="1"/>
      <c r="BW595" s="1"/>
      <c r="BX595" s="1"/>
      <c r="BY595" s="1"/>
      <c r="BZ595" s="1"/>
    </row>
    <row r="596" spans="2:78" ht="12" customHeight="1" outlineLevel="1" x14ac:dyDescent="0.25">
      <c r="B596" s="104" t="s">
        <v>103</v>
      </c>
      <c r="C596" s="104" t="s">
        <v>121</v>
      </c>
      <c r="D596" s="2" t="s">
        <v>137</v>
      </c>
      <c r="E596" s="2" t="s">
        <v>139</v>
      </c>
      <c r="F596" s="105" t="s">
        <v>96</v>
      </c>
      <c r="G596" s="27" t="s">
        <v>1582</v>
      </c>
      <c r="H596" s="106" t="s">
        <v>128</v>
      </c>
      <c r="I596" s="107" t="s">
        <v>1577</v>
      </c>
      <c r="J596" s="147">
        <v>0.31070780000000003</v>
      </c>
      <c r="K596" s="148">
        <v>4.28</v>
      </c>
      <c r="L596" s="149">
        <f t="shared" ca="1" si="186"/>
        <v>0.19037054417352214</v>
      </c>
      <c r="M596" s="148">
        <f t="shared" ca="1" si="187"/>
        <v>5.0947859290626747</v>
      </c>
      <c r="N596" s="148">
        <f t="shared" ca="1" si="184"/>
        <v>0.81478592906267477</v>
      </c>
      <c r="O596" s="1062" t="s">
        <v>1585</v>
      </c>
      <c r="P596" s="104"/>
      <c r="R596" s="119"/>
      <c r="S596" s="1072"/>
      <c r="T596" s="1072"/>
      <c r="U596" s="1072"/>
      <c r="V596" s="1072"/>
      <c r="W596" s="1072"/>
      <c r="X596" s="1072"/>
      <c r="Y596" s="1072"/>
      <c r="Z596" s="1072"/>
      <c r="AA596" s="1072"/>
      <c r="AB596" s="1072"/>
      <c r="AC596" s="1072"/>
      <c r="AD596" s="1072"/>
      <c r="AE596" s="1072"/>
      <c r="AF596" s="1072"/>
      <c r="AG596" s="1072"/>
      <c r="AH596" s="1072"/>
      <c r="AI596" s="1072"/>
      <c r="AJ596" s="1073"/>
      <c r="AK596" s="1052" cm="1">
        <f t="array" aca="1" ref="AK596" ca="1">INDEX(OFFSET($AK$19,MATCH($B596,$B$19:$B$150,0)-1,0,COUNTA($B$19:$B$24),COUNTA($AK$17:$BB$17)),MATCH($F596,$F$19:$F$24,0),MATCH(AK$17,$AK$17:$BB$17,0))*INDEX($10:$13,MATCH($O596,$R$10:$R$13,0),COLUMN())</f>
        <v>3.6809668061759997E-2</v>
      </c>
      <c r="AL596" s="1050" cm="1">
        <f t="array" aca="1" ref="AL596" ca="1">INDEX(OFFSET($AK$19,MATCH($B596,$B$19:$B$150,0)-1,0,COUNTA($B$19:$B$24),COUNTA($AK$17:$BB$17)),MATCH($F596,$F$19:$F$24,0),MATCH(AL$17,$AK$17:$BB$17,0))*INDEX($10:$13,MATCH($O596,$R$10:$R$13,0),COLUMN())</f>
        <v>3.1592008754000002E-8</v>
      </c>
      <c r="AM596" s="1050" cm="1">
        <f t="array" aca="1" ref="AM596" ca="1">INDEX(OFFSET($AK$19,MATCH($B596,$B$19:$B$150,0)-1,0,COUNTA($B$19:$B$24),COUNTA($AK$17:$BB$17)),MATCH($F596,$F$19:$F$24,0),MATCH(AM$17,$AK$17:$BB$17,0))*INDEX($10:$13,MATCH($O596,$R$10:$R$13,0),COLUMN())</f>
        <v>5.0520235401999994E-5</v>
      </c>
      <c r="AN596" s="1050" cm="1">
        <f t="array" aca="1" ref="AN596" ca="1">INDEX(OFFSET($AK$19,MATCH($B596,$B$19:$B$150,0)-1,0,COUNTA($B$19:$B$24),COUNTA($AK$17:$BB$17)),MATCH($F596,$F$19:$F$24,0),MATCH(AN$17,$AK$17:$BB$17,0))*INDEX($10:$13,MATCH($O596,$R$10:$R$13,0),COLUMN())</f>
        <v>7.5014339920000009E-4</v>
      </c>
      <c r="AO596" s="1050" cm="1">
        <f t="array" aca="1" ref="AO596" ca="1">INDEX(OFFSET($AK$19,MATCH($B596,$B$19:$B$150,0)-1,0,COUNTA($B$19:$B$24),COUNTA($AK$17:$BB$17)),MATCH($F596,$F$19:$F$24,0),MATCH(AO$17,$AK$17:$BB$17,0))*INDEX($10:$13,MATCH($O596,$R$10:$R$13,0),COLUMN())</f>
        <v>3.4601120896000002E-2</v>
      </c>
      <c r="AP596" s="1050" cm="1">
        <f t="array" aca="1" ref="AP596" ca="1">INDEX(OFFSET($AK$19,MATCH($B596,$B$19:$B$150,0)-1,0,COUNTA($B$19:$B$24),COUNTA($AK$17:$BB$17)),MATCH($F596,$F$19:$F$24,0),MATCH(AP$17,$AK$17:$BB$17,0))*INDEX($10:$13,MATCH($O596,$R$10:$R$13,0),COLUMN())</f>
        <v>2.132989112E-2</v>
      </c>
      <c r="AQ596" s="1050" cm="1">
        <f t="array" aca="1" ref="AQ596" ca="1">INDEX(OFFSET($AK$19,MATCH($B596,$B$19:$B$150,0)-1,0,COUNTA($B$19:$B$24),COUNTA($AK$17:$BB$17)),MATCH($F596,$F$19:$F$24,0),MATCH(AQ$17,$AK$17:$BB$17,0))*INDEX($10:$13,MATCH($O596,$R$10:$R$13,0),COLUMN())</f>
        <v>1.6576015253999998E-4</v>
      </c>
      <c r="AR596" s="1050" cm="1">
        <f t="array" aca="1" ref="AR596" ca="1">INDEX(OFFSET($AK$19,MATCH($B596,$B$19:$B$150,0)-1,0,COUNTA($B$19:$B$24),COUNTA($AK$17:$BB$17)),MATCH($F596,$F$19:$F$24,0),MATCH(AR$17,$AK$17:$BB$17,0))*INDEX($10:$13,MATCH($O596,$R$10:$R$13,0),COLUMN())</f>
        <v>5.6988218459999998E-3</v>
      </c>
      <c r="AS596" s="1050" cm="1">
        <f t="array" aca="1" ref="AS596" ca="1">INDEX(OFFSET($AK$19,MATCH($B596,$B$19:$B$150,0)-1,0,COUNTA($B$19:$B$24),COUNTA($AK$17:$BB$17)),MATCH($F596,$F$19:$F$24,0),MATCH(AS$17,$AK$17:$BB$17,0))*INDEX($10:$13,MATCH($O596,$R$10:$R$13,0),COLUMN())</f>
        <v>2.4148939649999996E-3</v>
      </c>
      <c r="AT596" s="1050" cm="1">
        <f t="array" aca="1" ref="AT596" ca="1">INDEX(OFFSET($AK$19,MATCH($B596,$B$19:$B$150,0)-1,0,COUNTA($B$19:$B$24),COUNTA($AK$17:$BB$17)),MATCH($F596,$F$19:$F$24,0),MATCH(AT$17,$AK$17:$BB$17,0))*INDEX($10:$13,MATCH($O596,$R$10:$R$13,0),COLUMN())</f>
        <v>3.6930968702999997E-6</v>
      </c>
      <c r="AU596" s="1050" cm="1">
        <f t="array" aca="1" ref="AU596" ca="1">INDEX(OFFSET($AK$19,MATCH($B596,$B$19:$B$150,0)-1,0,COUNTA($B$19:$B$24),COUNTA($AK$17:$BB$17)),MATCH($F596,$F$19:$F$24,0),MATCH(AU$17,$AK$17:$BB$17,0))*INDEX($10:$13,MATCH($O596,$R$10:$R$13,0),COLUMN())</f>
        <v>6.855758106300001E-7</v>
      </c>
      <c r="AV596" s="1050" cm="1">
        <f t="array" aca="1" ref="AV596" ca="1">INDEX(OFFSET($AK$19,MATCH($B596,$B$19:$B$150,0)-1,0,COUNTA($B$19:$B$24),COUNTA($AK$17:$BB$17)),MATCH($F596,$F$19:$F$24,0),MATCH(AV$17,$AK$17:$BB$17,0))*INDEX($10:$13,MATCH($O596,$R$10:$R$13,0),COLUMN())</f>
        <v>6.0990816870000004E-3</v>
      </c>
      <c r="AW596" s="1050" cm="1">
        <f t="array" aca="1" ref="AW596" ca="1">INDEX(OFFSET($AK$19,MATCH($B596,$B$19:$B$150,0)-1,0,COUNTA($B$19:$B$24),COUNTA($AK$17:$BB$17)),MATCH($F596,$F$19:$F$24,0),MATCH(AW$17,$AK$17:$BB$17,0))*INDEX($10:$13,MATCH($O596,$R$10:$R$13,0),COLUMN())</f>
        <v>0.70686143250000011</v>
      </c>
      <c r="AX596" s="1050" cm="1">
        <f t="array" aca="1" ref="AX596" ca="1">INDEX(OFFSET($AK$19,MATCH($B596,$B$19:$B$150,0)-1,0,COUNTA($B$19:$B$24),COUNTA($AK$17:$BB$17)),MATCH($F596,$F$19:$F$24,0),MATCH(AX$17,$AK$17:$BB$17,0))*INDEX($10:$13,MATCH($O596,$R$10:$R$13,0),COLUMN())</f>
        <v>1.8982742605000002E-7</v>
      </c>
      <c r="AY596" s="1050" cm="1">
        <f t="array" aca="1" ref="AY596" ca="1">INDEX(OFFSET($AK$19,MATCH($B596,$B$19:$B$150,0)-1,0,COUNTA($B$19:$B$24),COUNTA($AK$17:$BB$17)),MATCH($F596,$F$19:$F$24,0),MATCH(AY$17,$AK$17:$BB$17,0))*INDEX($10:$13,MATCH($O596,$R$10:$R$13,0),COLUMN())</f>
        <v>-4.8923431237500001E-9</v>
      </c>
      <c r="AZ596" s="1050" cm="1">
        <f t="array" aca="1" ref="AZ596" ca="1">INDEX(OFFSET($AK$19,MATCH($B596,$B$19:$B$150,0)-1,0,COUNTA($B$19:$B$24),COUNTA($AK$17:$BB$17)),MATCH($F596,$F$19:$F$24,0),MATCH(AZ$17,$AK$17:$BB$17,0))*INDEX($10:$13,MATCH($O596,$R$10:$R$13,0),COLUMN())</f>
        <v>0</v>
      </c>
      <c r="BA596" s="1050" cm="1">
        <f t="array" aca="1" ref="BA596" ca="1">INDEX(OFFSET($AK$19,MATCH($B596,$B$19:$B$150,0)-1,0,COUNTA($B$19:$B$24),COUNTA($AK$17:$BB$17)),MATCH($F596,$F$19:$F$24,0),MATCH(BA$17,$AK$17:$BB$17,0))*INDEX($10:$13,MATCH($O596,$R$10:$R$13,0),COLUMN())</f>
        <v>0</v>
      </c>
      <c r="BB596" s="1051" cm="1">
        <f t="array" aca="1" ref="BB596" ca="1">INDEX(OFFSET($AK$19,MATCH($B596,$B$19:$B$150,0)-1,0,COUNTA($B$19:$B$24),COUNTA($AK$17:$BB$17)),MATCH($F596,$F$19:$F$24,0),MATCH(BB$17,$AK$17:$BB$17,0))*INDEX($10:$13,MATCH($O596,$R$10:$R$13,0),COLUMN())</f>
        <v>0</v>
      </c>
      <c r="BC596" s="1053">
        <f t="shared" ca="1" si="185"/>
        <v>0.70686161743508302</v>
      </c>
      <c r="BE596" s="1"/>
      <c r="BF596" s="1"/>
      <c r="BG596" s="1"/>
      <c r="BH596" s="1"/>
      <c r="BI596" s="1"/>
      <c r="BJ596" s="1"/>
      <c r="BK596" s="1"/>
      <c r="BL596" s="1"/>
      <c r="BM596" s="1"/>
      <c r="BN596" s="1"/>
      <c r="BO596" s="1"/>
      <c r="BP596" s="1"/>
      <c r="BQ596" s="1"/>
      <c r="BR596" s="1"/>
      <c r="BS596" s="1"/>
      <c r="BT596" s="1"/>
      <c r="BU596" s="1"/>
      <c r="BV596" s="1"/>
      <c r="BW596" s="1"/>
      <c r="BX596" s="1"/>
      <c r="BY596" s="1"/>
      <c r="BZ596" s="1"/>
    </row>
    <row r="597" spans="2:78" ht="12" customHeight="1" outlineLevel="1" x14ac:dyDescent="0.25">
      <c r="B597" s="88" t="s">
        <v>104</v>
      </c>
      <c r="C597" s="88" t="s">
        <v>121</v>
      </c>
      <c r="D597" s="89" t="s">
        <v>137</v>
      </c>
      <c r="E597" s="89" t="s">
        <v>140</v>
      </c>
      <c r="F597" s="90" t="s">
        <v>92</v>
      </c>
      <c r="G597" s="18" t="s">
        <v>126</v>
      </c>
      <c r="H597" s="91" t="s">
        <v>127</v>
      </c>
      <c r="I597" s="92" t="s">
        <v>127</v>
      </c>
      <c r="J597" s="142">
        <v>4.4622420200000006</v>
      </c>
      <c r="K597" s="143">
        <v>1.5016681086919641</v>
      </c>
      <c r="L597" s="144">
        <f t="shared" ca="1" si="186"/>
        <v>3.686193731589015</v>
      </c>
      <c r="M597" s="143">
        <f t="shared" ca="1" si="187"/>
        <v>7.0371076778794137</v>
      </c>
      <c r="N597" s="143">
        <f t="shared" ca="1" si="184"/>
        <v>5.5354395691874494</v>
      </c>
      <c r="O597" s="1063" t="s">
        <v>1585</v>
      </c>
      <c r="P597" s="88"/>
      <c r="Q597" s="89"/>
      <c r="R597" s="150"/>
      <c r="S597" s="1070"/>
      <c r="T597" s="1070"/>
      <c r="U597" s="1070"/>
      <c r="V597" s="1070"/>
      <c r="W597" s="1070"/>
      <c r="X597" s="1070"/>
      <c r="Y597" s="1070"/>
      <c r="Z597" s="1070"/>
      <c r="AA597" s="1070"/>
      <c r="AB597" s="1070"/>
      <c r="AC597" s="1070"/>
      <c r="AD597" s="1070"/>
      <c r="AE597" s="1070"/>
      <c r="AF597" s="1070"/>
      <c r="AG597" s="1070"/>
      <c r="AH597" s="1070"/>
      <c r="AI597" s="1070"/>
      <c r="AJ597" s="1071"/>
      <c r="AK597" s="1048" cm="1">
        <f t="array" aca="1" ref="AK597" ca="1">INDEX(OFFSET($AK$19,MATCH($B597,$B$19:$B$150,0)-1,0,COUNTA($B$19:$B$24),COUNTA($AK$17:$BB$17)),MATCH($F597,$F$19:$F$24,0),MATCH(AK$17,$AK$17:$BB$17,0))*INDEX($10:$13,MATCH($O597,$R$10:$R$13,0),COLUMN())</f>
        <v>0.30707277713222397</v>
      </c>
      <c r="AL597" s="1046" cm="1">
        <f t="array" aca="1" ref="AL597" ca="1">INDEX(OFFSET($AK$19,MATCH($B597,$B$19:$B$150,0)-1,0,COUNTA($B$19:$B$24),COUNTA($AK$17:$BB$17)),MATCH($F597,$F$19:$F$24,0),MATCH(AL$17,$AK$17:$BB$17,0))*INDEX($10:$13,MATCH($O597,$R$10:$R$13,0),COLUMN())</f>
        <v>4.3965004527000006E-7</v>
      </c>
      <c r="AM597" s="1046" cm="1">
        <f t="array" aca="1" ref="AM597" ca="1">INDEX(OFFSET($AK$19,MATCH($B597,$B$19:$B$150,0)-1,0,COUNTA($B$19:$B$24),COUNTA($AK$17:$BB$17)),MATCH($F597,$F$19:$F$24,0),MATCH(AM$17,$AK$17:$BB$17,0))*INDEX($10:$13,MATCH($O597,$R$10:$R$13,0),COLUMN())</f>
        <v>7.098858E-4</v>
      </c>
      <c r="AN597" s="1046" cm="1">
        <f t="array" aca="1" ref="AN597" ca="1">INDEX(OFFSET($AK$19,MATCH($B597,$B$19:$B$150,0)-1,0,COUNTA($B$19:$B$24),COUNTA($AK$17:$BB$17)),MATCH($F597,$F$19:$F$24,0),MATCH(AN$17,$AK$17:$BB$17,0))*INDEX($10:$13,MATCH($O597,$R$10:$R$13,0),COLUMN())</f>
        <v>3.9243615679999998E-3</v>
      </c>
      <c r="AO597" s="1046" cm="1">
        <f t="array" aca="1" ref="AO597" ca="1">INDEX(OFFSET($AK$19,MATCH($B597,$B$19:$B$150,0)-1,0,COUNTA($B$19:$B$24),COUNTA($AK$17:$BB$17)),MATCH($F597,$F$19:$F$24,0),MATCH(AO$17,$AK$17:$BB$17,0))*INDEX($10:$13,MATCH($O597,$R$10:$R$13,0),COLUMN())</f>
        <v>0.14222640471999998</v>
      </c>
      <c r="AP597" s="1046" cm="1">
        <f t="array" aca="1" ref="AP597" ca="1">INDEX(OFFSET($AK$19,MATCH($B597,$B$19:$B$150,0)-1,0,COUNTA($B$19:$B$24),COUNTA($AK$17:$BB$17)),MATCH($F597,$F$19:$F$24,0),MATCH(AP$17,$AK$17:$BB$17,0))*INDEX($10:$13,MATCH($O597,$R$10:$R$13,0),COLUMN())</f>
        <v>8.1935263700000011E-2</v>
      </c>
      <c r="AQ597" s="1046" cm="1">
        <f t="array" aca="1" ref="AQ597" ca="1">INDEX(OFFSET($AK$19,MATCH($B597,$B$19:$B$150,0)-1,0,COUNTA($B$19:$B$24),COUNTA($AK$17:$BB$17)),MATCH($F597,$F$19:$F$24,0),MATCH(AQ$17,$AK$17:$BB$17,0))*INDEX($10:$13,MATCH($O597,$R$10:$R$13,0),COLUMN())</f>
        <v>1.8152473691E-3</v>
      </c>
      <c r="AR597" s="1046" cm="1">
        <f t="array" aca="1" ref="AR597" ca="1">INDEX(OFFSET($AK$19,MATCH($B597,$B$19:$B$150,0)-1,0,COUNTA($B$19:$B$24),COUNTA($AK$17:$BB$17)),MATCH($F597,$F$19:$F$24,0),MATCH(AR$17,$AK$17:$BB$17,0))*INDEX($10:$13,MATCH($O597,$R$10:$R$13,0),COLUMN())</f>
        <v>3.1514768259999999E-2</v>
      </c>
      <c r="AS597" s="1046" cm="1">
        <f t="array" aca="1" ref="AS597" ca="1">INDEX(OFFSET($AK$19,MATCH($B597,$B$19:$B$150,0)-1,0,COUNTA($B$19:$B$24),COUNTA($AK$17:$BB$17)),MATCH($F597,$F$19:$F$24,0),MATCH(AS$17,$AK$17:$BB$17,0))*INDEX($10:$13,MATCH($O597,$R$10:$R$13,0),COLUMN())</f>
        <v>0.83026233119999993</v>
      </c>
      <c r="AT597" s="1046" cm="1">
        <f t="array" aca="1" ref="AT597" ca="1">INDEX(OFFSET($AK$19,MATCH($B597,$B$19:$B$150,0)-1,0,COUNTA($B$19:$B$24),COUNTA($AK$17:$BB$17)),MATCH($F597,$F$19:$F$24,0),MATCH(AT$17,$AK$17:$BB$17,0))*INDEX($10:$13,MATCH($O597,$R$10:$R$13,0),COLUMN())</f>
        <v>9.2234612499999993E-4</v>
      </c>
      <c r="AU597" s="1046" cm="1">
        <f t="array" aca="1" ref="AU597" ca="1">INDEX(OFFSET($AK$19,MATCH($B597,$B$19:$B$150,0)-1,0,COUNTA($B$19:$B$24),COUNTA($AK$17:$BB$17)),MATCH($F597,$F$19:$F$24,0),MATCH(AU$17,$AK$17:$BB$17,0))*INDEX($10:$13,MATCH($O597,$R$10:$R$13,0),COLUMN())</f>
        <v>5.3925876090000008E-5</v>
      </c>
      <c r="AV597" s="1046" cm="1">
        <f t="array" aca="1" ref="AV597" ca="1">INDEX(OFFSET($AK$19,MATCH($B597,$B$19:$B$150,0)-1,0,COUNTA($B$19:$B$24),COUNTA($AK$17:$BB$17)),MATCH($F597,$F$19:$F$24,0),MATCH(AV$17,$AK$17:$BB$17,0))*INDEX($10:$13,MATCH($O597,$R$10:$R$13,0),COLUMN())</f>
        <v>4.2576512579999996E-2</v>
      </c>
      <c r="AW597" s="1046" cm="1">
        <f t="array" aca="1" ref="AW597" ca="1">INDEX(OFFSET($AK$19,MATCH($B597,$B$19:$B$150,0)-1,0,COUNTA($B$19:$B$24),COUNTA($AK$17:$BB$17)),MATCH($F597,$F$19:$F$24,0),MATCH(AW$17,$AK$17:$BB$17,0))*INDEX($10:$13,MATCH($O597,$R$10:$R$13,0),COLUMN())</f>
        <v>4.0924211875000003</v>
      </c>
      <c r="AX597" s="1046" cm="1">
        <f t="array" aca="1" ref="AX597" ca="1">INDEX(OFFSET($AK$19,MATCH($B597,$B$19:$B$150,0)-1,0,COUNTA($B$19:$B$24),COUNTA($AK$17:$BB$17)),MATCH($F597,$F$19:$F$24,0),MATCH(AX$17,$AK$17:$BB$17,0))*INDEX($10:$13,MATCH($O597,$R$10:$R$13,0),COLUMN())</f>
        <v>4.2339455440000003E-6</v>
      </c>
      <c r="AY597" s="1046" cm="1">
        <f t="array" aca="1" ref="AY597" ca="1">INDEX(OFFSET($AK$19,MATCH($B597,$B$19:$B$150,0)-1,0,COUNTA($B$19:$B$24),COUNTA($AK$17:$BB$17)),MATCH($F597,$F$19:$F$24,0),MATCH(AY$17,$AK$17:$BB$17,0))*INDEX($10:$13,MATCH($O597,$R$10:$R$13,0),COLUMN())</f>
        <v>-1.1623855505625002E-7</v>
      </c>
      <c r="AZ597" s="1046" cm="1">
        <f t="array" aca="1" ref="AZ597" ca="1">INDEX(OFFSET($AK$19,MATCH($B597,$B$19:$B$150,0)-1,0,COUNTA($B$19:$B$24),COUNTA($AK$17:$BB$17)),MATCH($F597,$F$19:$F$24,0),MATCH(AZ$17,$AK$17:$BB$17,0))*INDEX($10:$13,MATCH($O597,$R$10:$R$13,0),COLUMN())</f>
        <v>0</v>
      </c>
      <c r="BA597" s="1046" cm="1">
        <f t="array" aca="1" ref="BA597" ca="1">INDEX(OFFSET($AK$19,MATCH($B597,$B$19:$B$150,0)-1,0,COUNTA($B$19:$B$24),COUNTA($AK$17:$BB$17)),MATCH($F597,$F$19:$F$24,0),MATCH(BA$17,$AK$17:$BB$17,0))*INDEX($10:$13,MATCH($O597,$R$10:$R$13,0),COLUMN())</f>
        <v>0</v>
      </c>
      <c r="BB597" s="1047" cm="1">
        <f t="array" aca="1" ref="BB597" ca="1">INDEX(OFFSET($AK$19,MATCH($B597,$B$19:$B$150,0)-1,0,COUNTA($B$19:$B$24),COUNTA($AK$17:$BB$17)),MATCH($F597,$F$19:$F$24,0),MATCH(BB$17,$AK$17:$BB$17,0))*INDEX($10:$13,MATCH($O597,$R$10:$R$13,0),COLUMN())</f>
        <v>0</v>
      </c>
      <c r="BC597" s="1049">
        <f t="shared" ca="1" si="185"/>
        <v>4.0924253052069899</v>
      </c>
      <c r="BE597" s="1"/>
      <c r="BF597" s="1"/>
      <c r="BG597" s="1"/>
      <c r="BH597" s="1"/>
      <c r="BI597" s="1"/>
      <c r="BJ597" s="1"/>
      <c r="BK597" s="1"/>
      <c r="BL597" s="1"/>
      <c r="BM597" s="1"/>
      <c r="BN597" s="1"/>
      <c r="BO597" s="1"/>
      <c r="BP597" s="1"/>
      <c r="BQ597" s="1"/>
      <c r="BR597" s="1"/>
      <c r="BS597" s="1"/>
      <c r="BT597" s="1"/>
      <c r="BU597" s="1"/>
      <c r="BV597" s="1"/>
      <c r="BW597" s="1"/>
      <c r="BX597" s="1"/>
      <c r="BY597" s="1"/>
      <c r="BZ597" s="1"/>
    </row>
    <row r="598" spans="2:78" ht="12" customHeight="1" outlineLevel="1" x14ac:dyDescent="0.25">
      <c r="B598" s="104" t="s">
        <v>104</v>
      </c>
      <c r="C598" s="104" t="s">
        <v>121</v>
      </c>
      <c r="D598" s="2" t="s">
        <v>137</v>
      </c>
      <c r="E598" s="2" t="s">
        <v>140</v>
      </c>
      <c r="F598" s="105" t="s">
        <v>122</v>
      </c>
      <c r="G598" s="27" t="s">
        <v>1579</v>
      </c>
      <c r="H598" s="106" t="s">
        <v>128</v>
      </c>
      <c r="I598" s="107" t="s">
        <v>129</v>
      </c>
      <c r="J598" s="147">
        <v>4.4622420200000006</v>
      </c>
      <c r="K598" s="148">
        <v>3.677795697780804</v>
      </c>
      <c r="L598" s="149">
        <f t="shared" ca="1" si="186"/>
        <v>1.383230179093544</v>
      </c>
      <c r="M598" s="148">
        <f t="shared" ca="1" si="187"/>
        <v>8.7650336994916103</v>
      </c>
      <c r="N598" s="148">
        <f t="shared" ca="1" si="184"/>
        <v>5.0872380017108068</v>
      </c>
      <c r="O598" s="1062" t="s">
        <v>1585</v>
      </c>
      <c r="P598" s="104"/>
      <c r="R598" s="119"/>
      <c r="S598" s="1072"/>
      <c r="T598" s="1072"/>
      <c r="U598" s="1072"/>
      <c r="V598" s="1072"/>
      <c r="W598" s="1072"/>
      <c r="X598" s="1072"/>
      <c r="Y598" s="1072"/>
      <c r="Z598" s="1072"/>
      <c r="AA598" s="1072"/>
      <c r="AB598" s="1072"/>
      <c r="AC598" s="1072"/>
      <c r="AD598" s="1072"/>
      <c r="AE598" s="1072"/>
      <c r="AF598" s="1072"/>
      <c r="AG598" s="1072"/>
      <c r="AH598" s="1072"/>
      <c r="AI598" s="1072"/>
      <c r="AJ598" s="1073"/>
      <c r="AK598" s="1052" cm="1">
        <f t="array" aca="1" ref="AK598" ca="1">INDEX(OFFSET($AK$19,MATCH($B598,$B$19:$B$150,0)-1,0,COUNTA($B$19:$B$24),COUNTA($AK$17:$BB$17)),MATCH($F598,$F$19:$F$24,0),MATCH(AK$17,$AK$17:$BB$17,0))*INDEX($10:$13,MATCH($O598,$R$10:$R$13,0),COLUMN())</f>
        <v>0.283132336782912</v>
      </c>
      <c r="AL598" s="1050" cm="1">
        <f t="array" aca="1" ref="AL598" ca="1">INDEX(OFFSET($AK$19,MATCH($B598,$B$19:$B$150,0)-1,0,COUNTA($B$19:$B$24),COUNTA($AK$17:$BB$17)),MATCH($F598,$F$19:$F$24,0),MATCH(AL$17,$AK$17:$BB$17,0))*INDEX($10:$13,MATCH($O598,$R$10:$R$13,0),COLUMN())</f>
        <v>1.8532656106E-7</v>
      </c>
      <c r="AM598" s="1050" cm="1">
        <f t="array" aca="1" ref="AM598" ca="1">INDEX(OFFSET($AK$19,MATCH($B598,$B$19:$B$150,0)-1,0,COUNTA($B$19:$B$24),COUNTA($AK$17:$BB$17)),MATCH($F598,$F$19:$F$24,0),MATCH(AM$17,$AK$17:$BB$17,0))*INDEX($10:$13,MATCH($O598,$R$10:$R$13,0),COLUMN())</f>
        <v>2.9636333428000001E-4</v>
      </c>
      <c r="AN598" s="1050" cm="1">
        <f t="array" aca="1" ref="AN598" ca="1">INDEX(OFFSET($AK$19,MATCH($B598,$B$19:$B$150,0)-1,0,COUNTA($B$19:$B$24),COUNTA($AK$17:$BB$17)),MATCH($F598,$F$19:$F$24,0),MATCH(AN$17,$AK$17:$BB$17,0))*INDEX($10:$13,MATCH($O598,$R$10:$R$13,0),COLUMN())</f>
        <v>3.9655554880000006E-3</v>
      </c>
      <c r="AO598" s="1050" cm="1">
        <f t="array" aca="1" ref="AO598" ca="1">INDEX(OFFSET($AK$19,MATCH($B598,$B$19:$B$150,0)-1,0,COUNTA($B$19:$B$24),COUNTA($AK$17:$BB$17)),MATCH($F598,$F$19:$F$24,0),MATCH(AO$17,$AK$17:$BB$17,0))*INDEX($10:$13,MATCH($O598,$R$10:$R$13,0),COLUMN())</f>
        <v>6.2992597519999999E-2</v>
      </c>
      <c r="AP598" s="1050" cm="1">
        <f t="array" aca="1" ref="AP598" ca="1">INDEX(OFFSET($AK$19,MATCH($B598,$B$19:$B$150,0)-1,0,COUNTA($B$19:$B$24),COUNTA($AK$17:$BB$17)),MATCH($F598,$F$19:$F$24,0),MATCH(AP$17,$AK$17:$BB$17,0))*INDEX($10:$13,MATCH($O598,$R$10:$R$13,0),COLUMN())</f>
        <v>2.6102953271999997E-2</v>
      </c>
      <c r="AQ598" s="1050" cm="1">
        <f t="array" aca="1" ref="AQ598" ca="1">INDEX(OFFSET($AK$19,MATCH($B598,$B$19:$B$150,0)-1,0,COUNTA($B$19:$B$24),COUNTA($AK$17:$BB$17)),MATCH($F598,$F$19:$F$24,0),MATCH(AQ$17,$AK$17:$BB$17,0))*INDEX($10:$13,MATCH($O598,$R$10:$R$13,0),COLUMN())</f>
        <v>1.8080088030999998E-4</v>
      </c>
      <c r="AR598" s="1050" cm="1">
        <f t="array" aca="1" ref="AR598" ca="1">INDEX(OFFSET($AK$19,MATCH($B598,$B$19:$B$150,0)-1,0,COUNTA($B$19:$B$24),COUNTA($AK$17:$BB$17)),MATCH($F598,$F$19:$F$24,0),MATCH(AR$17,$AK$17:$BB$17,0))*INDEX($10:$13,MATCH($O598,$R$10:$R$13,0),COLUMN())</f>
        <v>2.0555670021999997E-2</v>
      </c>
      <c r="AS598" s="1050" cm="1">
        <f t="array" aca="1" ref="AS598" ca="1">INDEX(OFFSET($AK$19,MATCH($B598,$B$19:$B$150,0)-1,0,COUNTA($B$19:$B$24),COUNTA($AK$17:$BB$17)),MATCH($F598,$F$19:$F$24,0),MATCH(AS$17,$AK$17:$BB$17,0))*INDEX($10:$13,MATCH($O598,$R$10:$R$13,0),COLUMN())</f>
        <v>1.0716199149999998E-3</v>
      </c>
      <c r="AT598" s="1050" cm="1">
        <f t="array" aca="1" ref="AT598" ca="1">INDEX(OFFSET($AK$19,MATCH($B598,$B$19:$B$150,0)-1,0,COUNTA($B$19:$B$24),COUNTA($AK$17:$BB$17)),MATCH($F598,$F$19:$F$24,0),MATCH(AT$17,$AK$17:$BB$17,0))*INDEX($10:$13,MATCH($O598,$R$10:$R$13,0),COLUMN())</f>
        <v>1.5460146829999999E-5</v>
      </c>
      <c r="AU598" s="1050" cm="1">
        <f t="array" aca="1" ref="AU598" ca="1">INDEX(OFFSET($AK$19,MATCH($B598,$B$19:$B$150,0)-1,0,COUNTA($B$19:$B$24),COUNTA($AK$17:$BB$17)),MATCH($F598,$F$19:$F$24,0),MATCH(AU$17,$AK$17:$BB$17,0))*INDEX($10:$13,MATCH($O598,$R$10:$R$13,0),COLUMN())</f>
        <v>3.1509693629999999E-6</v>
      </c>
      <c r="AV598" s="1050" cm="1">
        <f t="array" aca="1" ref="AV598" ca="1">INDEX(OFFSET($AK$19,MATCH($B598,$B$19:$B$150,0)-1,0,COUNTA($B$19:$B$24),COUNTA($AK$17:$BB$17)),MATCH($F598,$F$19:$F$24,0),MATCH(AV$17,$AK$17:$BB$17,0))*INDEX($10:$13,MATCH($O598,$R$10:$R$13,0),COLUMN())</f>
        <v>5.9949154619999999E-3</v>
      </c>
      <c r="AW598" s="1050" cm="1">
        <f t="array" aca="1" ref="AW598" ca="1">INDEX(OFFSET($AK$19,MATCH($B598,$B$19:$B$150,0)-1,0,COUNTA($B$19:$B$24),COUNTA($AK$17:$BB$17)),MATCH($F598,$F$19:$F$24,0),MATCH(AW$17,$AK$17:$BB$17,0))*INDEX($10:$13,MATCH($O598,$R$10:$R$13,0),COLUMN())</f>
        <v>4.6829253005000009</v>
      </c>
      <c r="AX598" s="1050" cm="1">
        <f t="array" aca="1" ref="AX598" ca="1">INDEX(OFFSET($AK$19,MATCH($B598,$B$19:$B$150,0)-1,0,COUNTA($B$19:$B$24),COUNTA($AK$17:$BB$17)),MATCH($F598,$F$19:$F$24,0),MATCH(AX$17,$AK$17:$BB$17,0))*INDEX($10:$13,MATCH($O598,$R$10:$R$13,0),COLUMN())</f>
        <v>1.1209821555000001E-6</v>
      </c>
      <c r="AY598" s="1050" cm="1">
        <f t="array" aca="1" ref="AY598" ca="1">INDEX(OFFSET($AK$19,MATCH($B598,$B$19:$B$150,0)-1,0,COUNTA($B$19:$B$24),COUNTA($AK$17:$BB$17)),MATCH($F598,$F$19:$F$24,0),MATCH(AY$17,$AK$17:$BB$17,0))*INDEX($10:$13,MATCH($O598,$R$10:$R$13,0),COLUMN())</f>
        <v>-2.8890605381250003E-8</v>
      </c>
      <c r="AZ598" s="1050" cm="1">
        <f t="array" aca="1" ref="AZ598" ca="1">INDEX(OFFSET($AK$19,MATCH($B598,$B$19:$B$150,0)-1,0,COUNTA($B$19:$B$24),COUNTA($AK$17:$BB$17)),MATCH($F598,$F$19:$F$24,0),MATCH(AZ$17,$AK$17:$BB$17,0))*INDEX($10:$13,MATCH($O598,$R$10:$R$13,0),COLUMN())</f>
        <v>0</v>
      </c>
      <c r="BA598" s="1050" cm="1">
        <f t="array" aca="1" ref="BA598" ca="1">INDEX(OFFSET($AK$19,MATCH($B598,$B$19:$B$150,0)-1,0,COUNTA($B$19:$B$24),COUNTA($AK$17:$BB$17)),MATCH($F598,$F$19:$F$24,0),MATCH(BA$17,$AK$17:$BB$17,0))*INDEX($10:$13,MATCH($O598,$R$10:$R$13,0),COLUMN())</f>
        <v>0</v>
      </c>
      <c r="BB598" s="1051" cm="1">
        <f t="array" aca="1" ref="BB598" ca="1">INDEX(OFFSET($AK$19,MATCH($B598,$B$19:$B$150,0)-1,0,COUNTA($B$19:$B$24),COUNTA($AK$17:$BB$17)),MATCH($F598,$F$19:$F$24,0),MATCH(BB$17,$AK$17:$BB$17,0))*INDEX($10:$13,MATCH($O598,$R$10:$R$13,0),COLUMN())</f>
        <v>0</v>
      </c>
      <c r="BC598" s="1053">
        <f t="shared" ca="1" si="185"/>
        <v>4.6829263925915505</v>
      </c>
      <c r="BE598" s="1"/>
      <c r="BF598" s="1"/>
      <c r="BG598" s="1"/>
      <c r="BH598" s="1"/>
      <c r="BI598" s="1"/>
      <c r="BJ598" s="1"/>
      <c r="BK598" s="1"/>
      <c r="BL598" s="1"/>
      <c r="BM598" s="1"/>
      <c r="BN598" s="1"/>
      <c r="BO598" s="1"/>
      <c r="BP598" s="1"/>
      <c r="BQ598" s="1"/>
      <c r="BR598" s="1"/>
      <c r="BS598" s="1"/>
      <c r="BT598" s="1"/>
      <c r="BU598" s="1"/>
      <c r="BV598" s="1"/>
      <c r="BW598" s="1"/>
      <c r="BX598" s="1"/>
      <c r="BY598" s="1"/>
      <c r="BZ598" s="1"/>
    </row>
    <row r="599" spans="2:78" ht="12" customHeight="1" outlineLevel="1" x14ac:dyDescent="0.25">
      <c r="B599" s="104" t="s">
        <v>104</v>
      </c>
      <c r="C599" s="104" t="s">
        <v>121</v>
      </c>
      <c r="D599" s="2" t="s">
        <v>137</v>
      </c>
      <c r="E599" s="2" t="s">
        <v>140</v>
      </c>
      <c r="F599" s="105" t="s">
        <v>93</v>
      </c>
      <c r="G599" s="27" t="s">
        <v>1578</v>
      </c>
      <c r="H599" s="106" t="s">
        <v>130</v>
      </c>
      <c r="I599" s="107" t="s">
        <v>129</v>
      </c>
      <c r="J599" s="147">
        <v>4.4622420200000006</v>
      </c>
      <c r="K599" s="148">
        <v>3.677795697780804</v>
      </c>
      <c r="L599" s="149">
        <f t="shared" ca="1" si="186"/>
        <v>1.8554713888851297</v>
      </c>
      <c r="M599" s="148">
        <f t="shared" ca="1" si="187"/>
        <v>10.501840389177907</v>
      </c>
      <c r="N599" s="148">
        <f t="shared" ca="1" si="184"/>
        <v>6.8240446913971029</v>
      </c>
      <c r="O599" s="1062" t="s">
        <v>1585</v>
      </c>
      <c r="P599" s="104"/>
      <c r="R599" s="119"/>
      <c r="S599" s="1072"/>
      <c r="T599" s="1072"/>
      <c r="U599" s="1072"/>
      <c r="V599" s="1072"/>
      <c r="W599" s="1072"/>
      <c r="X599" s="1072"/>
      <c r="Y599" s="1072"/>
      <c r="Z599" s="1072"/>
      <c r="AA599" s="1072"/>
      <c r="AB599" s="1072"/>
      <c r="AC599" s="1072"/>
      <c r="AD599" s="1072"/>
      <c r="AE599" s="1072"/>
      <c r="AF599" s="1072"/>
      <c r="AG599" s="1072"/>
      <c r="AH599" s="1072"/>
      <c r="AI599" s="1072"/>
      <c r="AJ599" s="1073"/>
      <c r="AK599" s="1052" cm="1">
        <f t="array" aca="1" ref="AK599" ca="1">INDEX(OFFSET($AK$19,MATCH($B599,$B$19:$B$150,0)-1,0,COUNTA($B$19:$B$24),COUNTA($AK$17:$BB$17)),MATCH($F599,$F$19:$F$24,0),MATCH(AK$17,$AK$17:$BB$17,0))*INDEX($10:$13,MATCH($O599,$R$10:$R$13,0),COLUMN())</f>
        <v>0.37964017549823997</v>
      </c>
      <c r="AL599" s="1050" cm="1">
        <f t="array" aca="1" ref="AL599" ca="1">INDEX(OFFSET($AK$19,MATCH($B599,$B$19:$B$150,0)-1,0,COUNTA($B$19:$B$24),COUNTA($AK$17:$BB$17)),MATCH($F599,$F$19:$F$24,0),MATCH(AL$17,$AK$17:$BB$17,0))*INDEX($10:$13,MATCH($O599,$R$10:$R$13,0),COLUMN())</f>
        <v>2.4839173846E-7</v>
      </c>
      <c r="AM599" s="1050" cm="1">
        <f t="array" aca="1" ref="AM599" ca="1">INDEX(OFFSET($AK$19,MATCH($B599,$B$19:$B$150,0)-1,0,COUNTA($B$19:$B$24),COUNTA($AK$17:$BB$17)),MATCH($F599,$F$19:$F$24,0),MATCH(AM$17,$AK$17:$BB$17,0))*INDEX($10:$13,MATCH($O599,$R$10:$R$13,0),COLUMN())</f>
        <v>3.9721197984000001E-4</v>
      </c>
      <c r="AN599" s="1050" cm="1">
        <f t="array" aca="1" ref="AN599" ca="1">INDEX(OFFSET($AK$19,MATCH($B599,$B$19:$B$150,0)-1,0,COUNTA($B$19:$B$24),COUNTA($AK$17:$BB$17)),MATCH($F599,$F$19:$F$24,0),MATCH(AN$17,$AK$17:$BB$17,0))*INDEX($10:$13,MATCH($O599,$R$10:$R$13,0),COLUMN())</f>
        <v>5.3133082000000002E-3</v>
      </c>
      <c r="AO599" s="1050" cm="1">
        <f t="array" aca="1" ref="AO599" ca="1">INDEX(OFFSET($AK$19,MATCH($B599,$B$19:$B$150,0)-1,0,COUNTA($B$19:$B$24),COUNTA($AK$17:$BB$17)),MATCH($F599,$F$19:$F$24,0),MATCH(AO$17,$AK$17:$BB$17,0))*INDEX($10:$13,MATCH($O599,$R$10:$R$13,0),COLUMN())</f>
        <v>8.4444642040000004E-2</v>
      </c>
      <c r="AP599" s="1050" cm="1">
        <f t="array" aca="1" ref="AP599" ca="1">INDEX(OFFSET($AK$19,MATCH($B599,$B$19:$B$150,0)-1,0,COUNTA($B$19:$B$24),COUNTA($AK$17:$BB$17)),MATCH($F599,$F$19:$F$24,0),MATCH(AP$17,$AK$17:$BB$17,0))*INDEX($10:$13,MATCH($O599,$R$10:$R$13,0),COLUMN())</f>
        <v>3.5002285038E-2</v>
      </c>
      <c r="AQ599" s="1050" cm="1">
        <f t="array" aca="1" ref="AQ599" ca="1">INDEX(OFFSET($AK$19,MATCH($B599,$B$19:$B$150,0)-1,0,COUNTA($B$19:$B$24),COUNTA($AK$17:$BB$17)),MATCH($F599,$F$19:$F$24,0),MATCH(AQ$17,$AK$17:$BB$17,0))*INDEX($10:$13,MATCH($O599,$R$10:$R$13,0),COLUMN())</f>
        <v>2.4251147850000001E-4</v>
      </c>
      <c r="AR599" s="1050" cm="1">
        <f t="array" aca="1" ref="AR599" ca="1">INDEX(OFFSET($AK$19,MATCH($B599,$B$19:$B$150,0)-1,0,COUNTA($B$19:$B$24),COUNTA($AK$17:$BB$17)),MATCH($F599,$F$19:$F$24,0),MATCH(AR$17,$AK$17:$BB$17,0))*INDEX($10:$13,MATCH($O599,$R$10:$R$13,0),COLUMN())</f>
        <v>2.7571609833999998E-2</v>
      </c>
      <c r="AS599" s="1050" cm="1">
        <f t="array" aca="1" ref="AS599" ca="1">INDEX(OFFSET($AK$19,MATCH($B599,$B$19:$B$150,0)-1,0,COUNTA($B$19:$B$24),COUNTA($AK$17:$BB$17)),MATCH($F599,$F$19:$F$24,0),MATCH(AS$17,$AK$17:$BB$17,0))*INDEX($10:$13,MATCH($O599,$R$10:$R$13,0),COLUMN())</f>
        <v>1.6308829195E-3</v>
      </c>
      <c r="AT599" s="1050" cm="1">
        <f t="array" aca="1" ref="AT599" ca="1">INDEX(OFFSET($AK$19,MATCH($B599,$B$19:$B$150,0)-1,0,COUNTA($B$19:$B$24),COUNTA($AK$17:$BB$17)),MATCH($F599,$F$19:$F$24,0),MATCH(AT$17,$AK$17:$BB$17,0))*INDEX($10:$13,MATCH($O599,$R$10:$R$13,0),COLUMN())</f>
        <v>2.0807624692000002E-5</v>
      </c>
      <c r="AU599" s="1050" cm="1">
        <f t="array" aca="1" ref="AU599" ca="1">INDEX(OFFSET($AK$19,MATCH($B599,$B$19:$B$150,0)-1,0,COUNTA($B$19:$B$24),COUNTA($AK$17:$BB$17)),MATCH($F599,$F$19:$F$24,0),MATCH(AU$17,$AK$17:$BB$17,0))*INDEX($10:$13,MATCH($O599,$R$10:$R$13,0),COLUMN())</f>
        <v>4.2332282748000009E-6</v>
      </c>
      <c r="AV599" s="1050" cm="1">
        <f t="array" aca="1" ref="AV599" ca="1">INDEX(OFFSET($AK$19,MATCH($B599,$B$19:$B$150,0)-1,0,COUNTA($B$19:$B$24),COUNTA($AK$17:$BB$17)),MATCH($F599,$F$19:$F$24,0),MATCH(AV$17,$AK$17:$BB$17,0))*INDEX($10:$13,MATCH($O599,$R$10:$R$13,0),COLUMN())</f>
        <v>8.4227875470000001E-3</v>
      </c>
      <c r="AW599" s="1050" cm="1">
        <f t="array" aca="1" ref="AW599" ca="1">INDEX(OFFSET($AK$19,MATCH($B599,$B$19:$B$150,0)-1,0,COUNTA($B$19:$B$24),COUNTA($AK$17:$BB$17)),MATCH($F599,$F$19:$F$24,0),MATCH(AW$17,$AK$17:$BB$17,0))*INDEX($10:$13,MATCH($O599,$R$10:$R$13,0),COLUMN())</f>
        <v>6.2813525244999999</v>
      </c>
      <c r="AX599" s="1050" cm="1">
        <f t="array" aca="1" ref="AX599" ca="1">INDEX(OFFSET($AK$19,MATCH($B599,$B$19:$B$150,0)-1,0,COUNTA($B$19:$B$24),COUNTA($AK$17:$BB$17)),MATCH($F599,$F$19:$F$24,0),MATCH(AX$17,$AK$17:$BB$17,0))*INDEX($10:$13,MATCH($O599,$R$10:$R$13,0),COLUMN())</f>
        <v>1.5018231810000001E-6</v>
      </c>
      <c r="AY599" s="1050" cm="1">
        <f t="array" aca="1" ref="AY599" ca="1">INDEX(OFFSET($AK$19,MATCH($B599,$B$19:$B$150,0)-1,0,COUNTA($B$19:$B$24),COUNTA($AK$17:$BB$17)),MATCH($F599,$F$19:$F$24,0),MATCH(AY$17,$AK$17:$BB$17,0))*INDEX($10:$13,MATCH($O599,$R$10:$R$13,0),COLUMN())</f>
        <v>-3.8705863349999998E-8</v>
      </c>
      <c r="AZ599" s="1050" cm="1">
        <f t="array" aca="1" ref="AZ599" ca="1">INDEX(OFFSET($AK$19,MATCH($B599,$B$19:$B$150,0)-1,0,COUNTA($B$19:$B$24),COUNTA($AK$17:$BB$17)),MATCH($F599,$F$19:$F$24,0),MATCH(AZ$17,$AK$17:$BB$17,0))*INDEX($10:$13,MATCH($O599,$R$10:$R$13,0),COLUMN())</f>
        <v>0</v>
      </c>
      <c r="BA599" s="1050" cm="1">
        <f t="array" aca="1" ref="BA599" ca="1">INDEX(OFFSET($AK$19,MATCH($B599,$B$19:$B$150,0)-1,0,COUNTA($B$19:$B$24),COUNTA($AK$17:$BB$17)),MATCH($F599,$F$19:$F$24,0),MATCH(BA$17,$AK$17:$BB$17,0))*INDEX($10:$13,MATCH($O599,$R$10:$R$13,0),COLUMN())</f>
        <v>0</v>
      </c>
      <c r="BB599" s="1051" cm="1">
        <f t="array" aca="1" ref="BB599" ca="1">INDEX(OFFSET($AK$19,MATCH($B599,$B$19:$B$150,0)-1,0,COUNTA($B$19:$B$24),COUNTA($AK$17:$BB$17)),MATCH($F599,$F$19:$F$24,0),MATCH(BB$17,$AK$17:$BB$17,0))*INDEX($10:$13,MATCH($O599,$R$10:$R$13,0),COLUMN())</f>
        <v>0</v>
      </c>
      <c r="BC599" s="1053">
        <f t="shared" ca="1" si="185"/>
        <v>6.2813539876173179</v>
      </c>
      <c r="BE599" s="1"/>
      <c r="BF599" s="1"/>
      <c r="BG599" s="1"/>
      <c r="BH599" s="1"/>
      <c r="BI599" s="1"/>
      <c r="BJ599" s="1"/>
      <c r="BK599" s="1"/>
      <c r="BL599" s="1"/>
      <c r="BM599" s="1"/>
      <c r="BN599" s="1"/>
      <c r="BO599" s="1"/>
      <c r="BP599" s="1"/>
      <c r="BQ599" s="1"/>
      <c r="BR599" s="1"/>
      <c r="BS599" s="1"/>
      <c r="BT599" s="1"/>
      <c r="BU599" s="1"/>
      <c r="BV599" s="1"/>
      <c r="BW599" s="1"/>
      <c r="BX599" s="1"/>
      <c r="BY599" s="1"/>
      <c r="BZ599" s="1"/>
    </row>
    <row r="600" spans="2:78" ht="12" customHeight="1" outlineLevel="1" x14ac:dyDescent="0.25">
      <c r="B600" s="104" t="s">
        <v>104</v>
      </c>
      <c r="C600" s="104" t="s">
        <v>121</v>
      </c>
      <c r="D600" s="2" t="s">
        <v>137</v>
      </c>
      <c r="E600" s="2" t="s">
        <v>140</v>
      </c>
      <c r="F600" s="105" t="s">
        <v>94</v>
      </c>
      <c r="G600" s="27" t="s">
        <v>1580</v>
      </c>
      <c r="H600" s="106" t="s">
        <v>131</v>
      </c>
      <c r="I600" s="107" t="s">
        <v>129</v>
      </c>
      <c r="J600" s="147">
        <v>4.4622420200000006</v>
      </c>
      <c r="K600" s="148">
        <v>3.677795697780804</v>
      </c>
      <c r="L600" s="149">
        <f t="shared" ca="1" si="186"/>
        <v>1.1023847457078599</v>
      </c>
      <c r="M600" s="148">
        <f t="shared" ca="1" si="187"/>
        <v>7.7321415728443572</v>
      </c>
      <c r="N600" s="148">
        <f t="shared" ca="1" si="184"/>
        <v>4.0543458750635528</v>
      </c>
      <c r="O600" s="1062" t="s">
        <v>1585</v>
      </c>
      <c r="P600" s="104"/>
      <c r="R600" s="119"/>
      <c r="S600" s="1072"/>
      <c r="T600" s="1072"/>
      <c r="U600" s="1072"/>
      <c r="V600" s="1072"/>
      <c r="W600" s="1072"/>
      <c r="X600" s="1072"/>
      <c r="Y600" s="1072"/>
      <c r="Z600" s="1072"/>
      <c r="AA600" s="1072"/>
      <c r="AB600" s="1072"/>
      <c r="AC600" s="1072"/>
      <c r="AD600" s="1072"/>
      <c r="AE600" s="1072"/>
      <c r="AF600" s="1072"/>
      <c r="AG600" s="1072"/>
      <c r="AH600" s="1072"/>
      <c r="AI600" s="1072"/>
      <c r="AJ600" s="1073"/>
      <c r="AK600" s="1052" cm="1">
        <f t="array" aca="1" ref="AK600" ca="1">INDEX(OFFSET($AK$19,MATCH($B600,$B$19:$B$150,0)-1,0,COUNTA($B$19:$B$24),COUNTA($AK$17:$BB$17)),MATCH($F600,$F$19:$F$24,0),MATCH(AK$17,$AK$17:$BB$17,0))*INDEX($10:$13,MATCH($O600,$R$10:$R$13,0),COLUMN())</f>
        <v>0.22571055842745599</v>
      </c>
      <c r="AL600" s="1050" cm="1">
        <f t="array" aca="1" ref="AL600" ca="1">INDEX(OFFSET($AK$19,MATCH($B600,$B$19:$B$150,0)-1,0,COUNTA($B$19:$B$24),COUNTA($AK$17:$BB$17)),MATCH($F600,$F$19:$F$24,0),MATCH(AL$17,$AK$17:$BB$17,0))*INDEX($10:$13,MATCH($O600,$R$10:$R$13,0),COLUMN())</f>
        <v>1.4777925369000001E-7</v>
      </c>
      <c r="AM600" s="1050" cm="1">
        <f t="array" aca="1" ref="AM600" ca="1">INDEX(OFFSET($AK$19,MATCH($B600,$B$19:$B$150,0)-1,0,COUNTA($B$19:$B$24),COUNTA($AK$17:$BB$17)),MATCH($F600,$F$19:$F$24,0),MATCH(AM$17,$AK$17:$BB$17,0))*INDEX($10:$13,MATCH($O600,$R$10:$R$13,0),COLUMN())</f>
        <v>2.3632043863999996E-4</v>
      </c>
      <c r="AN600" s="1050" cm="1">
        <f t="array" aca="1" ref="AN600" ca="1">INDEX(OFFSET($AK$19,MATCH($B600,$B$19:$B$150,0)-1,0,COUNTA($B$19:$B$24),COUNTA($AK$17:$BB$17)),MATCH($F600,$F$19:$F$24,0),MATCH(AN$17,$AK$17:$BB$17,0))*INDEX($10:$13,MATCH($O600,$R$10:$R$13,0),COLUMN())</f>
        <v>3.1627550240000001E-3</v>
      </c>
      <c r="AO600" s="1050" cm="1">
        <f t="array" aca="1" ref="AO600" ca="1">INDEX(OFFSET($AK$19,MATCH($B600,$B$19:$B$150,0)-1,0,COUNTA($B$19:$B$24),COUNTA($AK$17:$BB$17)),MATCH($F600,$F$19:$F$24,0),MATCH(AO$17,$AK$17:$BB$17,0))*INDEX($10:$13,MATCH($O600,$R$10:$R$13,0),COLUMN())</f>
        <v>5.0224298447999999E-2</v>
      </c>
      <c r="AP600" s="1050" cm="1">
        <f t="array" aca="1" ref="AP600" ca="1">INDEX(OFFSET($AK$19,MATCH($B600,$B$19:$B$150,0)-1,0,COUNTA($B$19:$B$24),COUNTA($AK$17:$BB$17)),MATCH($F600,$F$19:$F$24,0),MATCH(AP$17,$AK$17:$BB$17,0))*INDEX($10:$13,MATCH($O600,$R$10:$R$13,0),COLUMN())</f>
        <v>2.0808326081999999E-2</v>
      </c>
      <c r="AQ600" s="1050" cm="1">
        <f t="array" aca="1" ref="AQ600" ca="1">INDEX(OFFSET($AK$19,MATCH($B600,$B$19:$B$150,0)-1,0,COUNTA($B$19:$B$24),COUNTA($AK$17:$BB$17)),MATCH($F600,$F$19:$F$24,0),MATCH(AQ$17,$AK$17:$BB$17,0))*INDEX($10:$13,MATCH($O600,$R$10:$R$13,0),COLUMN())</f>
        <v>1.441021968E-4</v>
      </c>
      <c r="AR600" s="1050" cm="1">
        <f t="array" aca="1" ref="AR600" ca="1">INDEX(OFFSET($AK$19,MATCH($B600,$B$19:$B$150,0)-1,0,COUNTA($B$19:$B$24),COUNTA($AK$17:$BB$17)),MATCH($F600,$F$19:$F$24,0),MATCH(AR$17,$AK$17:$BB$17,0))*INDEX($10:$13,MATCH($O600,$R$10:$R$13,0),COLUMN())</f>
        <v>1.6383341293999997E-2</v>
      </c>
      <c r="AS600" s="1050" cm="1">
        <f t="array" aca="1" ref="AS600" ca="1">INDEX(OFFSET($AK$19,MATCH($B600,$B$19:$B$150,0)-1,0,COUNTA($B$19:$B$24),COUNTA($AK$17:$BB$17)),MATCH($F600,$F$19:$F$24,0),MATCH(AS$17,$AK$17:$BB$17,0))*INDEX($10:$13,MATCH($O600,$R$10:$R$13,0),COLUMN())</f>
        <v>7.3912581689999999E-4</v>
      </c>
      <c r="AT600" s="1050" cm="1">
        <f t="array" aca="1" ref="AT600" ca="1">INDEX(OFFSET($AK$19,MATCH($B600,$B$19:$B$150,0)-1,0,COUNTA($B$19:$B$24),COUNTA($AK$17:$BB$17)),MATCH($F600,$F$19:$F$24,0),MATCH(AT$17,$AK$17:$BB$17,0))*INDEX($10:$13,MATCH($O600,$R$10:$R$13,0),COLUMN())</f>
        <v>1.2279998822999999E-5</v>
      </c>
      <c r="AU600" s="1050" cm="1">
        <f t="array" aca="1" ref="AU600" ca="1">INDEX(OFFSET($AK$19,MATCH($B600,$B$19:$B$150,0)-1,0,COUNTA($B$19:$B$24),COUNTA($AK$17:$BB$17)),MATCH($F600,$F$19:$F$24,0),MATCH(AU$17,$AK$17:$BB$17,0))*INDEX($10:$13,MATCH($O600,$R$10:$R$13,0),COLUMN())</f>
        <v>2.5071871302000002E-6</v>
      </c>
      <c r="AV600" s="1050" cm="1">
        <f t="array" aca="1" ref="AV600" ca="1">INDEX(OFFSET($AK$19,MATCH($B600,$B$19:$B$150,0)-1,0,COUNTA($B$19:$B$24),COUNTA($AK$17:$BB$17)),MATCH($F600,$F$19:$F$24,0),MATCH(AV$17,$AK$17:$BB$17,0))*INDEX($10:$13,MATCH($O600,$R$10:$R$13,0),COLUMN())</f>
        <v>4.551192315E-3</v>
      </c>
      <c r="AW600" s="1050" cm="1">
        <f t="array" aca="1" ref="AW600" ca="1">INDEX(OFFSET($AK$19,MATCH($B600,$B$19:$B$150,0)-1,0,COUNTA($B$19:$B$24),COUNTA($AK$17:$BB$17)),MATCH($F600,$F$19:$F$24,0),MATCH(AW$17,$AK$17:$BB$17,0))*INDEX($10:$13,MATCH($O600,$R$10:$R$13,0),COLUMN())</f>
        <v>3.7323700490000005</v>
      </c>
      <c r="AX600" s="1050" cm="1">
        <f t="array" aca="1" ref="AX600" ca="1">INDEX(OFFSET($AK$19,MATCH($B600,$B$19:$B$150,0)-1,0,COUNTA($B$19:$B$24),COUNTA($AK$17:$BB$17)),MATCH($F600,$F$19:$F$24,0),MATCH(AX$17,$AK$17:$BB$17,0))*INDEX($10:$13,MATCH($O600,$R$10:$R$13,0),COLUMN())</f>
        <v>8.9409878450000003E-7</v>
      </c>
      <c r="AY600" s="1050" cm="1">
        <f t="array" aca="1" ref="AY600" ca="1">INDEX(OFFSET($AK$19,MATCH($B600,$B$19:$B$150,0)-1,0,COUNTA($B$19:$B$24),COUNTA($AK$17:$BB$17)),MATCH($F600,$F$19:$F$24,0),MATCH(AY$17,$AK$17:$BB$17,0))*INDEX($10:$13,MATCH($O600,$R$10:$R$13,0),COLUMN())</f>
        <v>-2.3043234915000001E-8</v>
      </c>
      <c r="AZ600" s="1050" cm="1">
        <f t="array" aca="1" ref="AZ600" ca="1">INDEX(OFFSET($AK$19,MATCH($B600,$B$19:$B$150,0)-1,0,COUNTA($B$19:$B$24),COUNTA($AK$17:$BB$17)),MATCH($F600,$F$19:$F$24,0),MATCH(AZ$17,$AK$17:$BB$17,0))*INDEX($10:$13,MATCH($O600,$R$10:$R$13,0),COLUMN())</f>
        <v>0</v>
      </c>
      <c r="BA600" s="1050" cm="1">
        <f t="array" aca="1" ref="BA600" ca="1">INDEX(OFFSET($AK$19,MATCH($B600,$B$19:$B$150,0)-1,0,COUNTA($B$19:$B$24),COUNTA($AK$17:$BB$17)),MATCH($F600,$F$19:$F$24,0),MATCH(BA$17,$AK$17:$BB$17,0))*INDEX($10:$13,MATCH($O600,$R$10:$R$13,0),COLUMN())</f>
        <v>0</v>
      </c>
      <c r="BB600" s="1051" cm="1">
        <f t="array" aca="1" ref="BB600" ca="1">INDEX(OFFSET($AK$19,MATCH($B600,$B$19:$B$150,0)-1,0,COUNTA($B$19:$B$24),COUNTA($AK$17:$BB$17)),MATCH($F600,$F$19:$F$24,0),MATCH(BB$17,$AK$17:$BB$17,0))*INDEX($10:$13,MATCH($O600,$R$10:$R$13,0),COLUMN())</f>
        <v>0</v>
      </c>
      <c r="BC600" s="1053">
        <f t="shared" ca="1" si="185"/>
        <v>3.7323709200555499</v>
      </c>
      <c r="BE600" s="1"/>
      <c r="BF600" s="1"/>
      <c r="BG600" s="1"/>
      <c r="BH600" s="1"/>
      <c r="BI600" s="1"/>
      <c r="BJ600" s="1"/>
      <c r="BK600" s="1"/>
      <c r="BL600" s="1"/>
      <c r="BM600" s="1"/>
      <c r="BN600" s="1"/>
      <c r="BO600" s="1"/>
      <c r="BP600" s="1"/>
      <c r="BQ600" s="1"/>
      <c r="BR600" s="1"/>
      <c r="BS600" s="1"/>
      <c r="BT600" s="1"/>
      <c r="BU600" s="1"/>
      <c r="BV600" s="1"/>
      <c r="BW600" s="1"/>
      <c r="BX600" s="1"/>
      <c r="BY600" s="1"/>
      <c r="BZ600" s="1"/>
    </row>
    <row r="601" spans="2:78" ht="12" customHeight="1" outlineLevel="1" x14ac:dyDescent="0.25">
      <c r="B601" s="104" t="s">
        <v>104</v>
      </c>
      <c r="C601" s="104" t="s">
        <v>121</v>
      </c>
      <c r="D601" s="2" t="s">
        <v>137</v>
      </c>
      <c r="E601" s="2" t="s">
        <v>140</v>
      </c>
      <c r="F601" s="105" t="s">
        <v>95</v>
      </c>
      <c r="G601" s="27" t="s">
        <v>1581</v>
      </c>
      <c r="H601" s="106" t="s">
        <v>128</v>
      </c>
      <c r="I601" s="107" t="s">
        <v>127</v>
      </c>
      <c r="J601" s="147">
        <v>4.4622420200000006</v>
      </c>
      <c r="K601" s="148">
        <v>3.677795697780804</v>
      </c>
      <c r="L601" s="149">
        <f t="shared" ca="1" si="186"/>
        <v>1.4491471664465103</v>
      </c>
      <c r="M601" s="148">
        <f t="shared" ca="1" si="187"/>
        <v>9.0074629119890215</v>
      </c>
      <c r="N601" s="148">
        <f t="shared" ca="1" si="184"/>
        <v>5.329667214208218</v>
      </c>
      <c r="O601" s="1062" t="s">
        <v>1585</v>
      </c>
      <c r="P601" s="104"/>
      <c r="R601" s="119"/>
      <c r="S601" s="1072"/>
      <c r="T601" s="1072"/>
      <c r="U601" s="1072"/>
      <c r="V601" s="1072"/>
      <c r="W601" s="1072"/>
      <c r="X601" s="1072"/>
      <c r="Y601" s="1072"/>
      <c r="Z601" s="1072"/>
      <c r="AA601" s="1072"/>
      <c r="AB601" s="1072"/>
      <c r="AC601" s="1072"/>
      <c r="AD601" s="1072"/>
      <c r="AE601" s="1072"/>
      <c r="AF601" s="1072"/>
      <c r="AG601" s="1072"/>
      <c r="AH601" s="1072"/>
      <c r="AI601" s="1072"/>
      <c r="AJ601" s="1073"/>
      <c r="AK601" s="1052" cm="1">
        <f t="array" aca="1" ref="AK601" ca="1">INDEX(OFFSET($AK$19,MATCH($B601,$B$19:$B$150,0)-1,0,COUNTA($B$19:$B$24),COUNTA($AK$17:$BB$17)),MATCH($F601,$F$19:$F$24,0),MATCH(AK$17,$AK$17:$BB$17,0))*INDEX($10:$13,MATCH($O601,$R$10:$R$13,0),COLUMN())</f>
        <v>0.32227140919852804</v>
      </c>
      <c r="AL601" s="1050" cm="1">
        <f t="array" aca="1" ref="AL601" ca="1">INDEX(OFFSET($AK$19,MATCH($B601,$B$19:$B$150,0)-1,0,COUNTA($B$19:$B$24),COUNTA($AK$17:$BB$17)),MATCH($F601,$F$19:$F$24,0),MATCH(AL$17,$AK$17:$BB$17,0))*INDEX($10:$13,MATCH($O601,$R$10:$R$13,0),COLUMN())</f>
        <v>1.8696145571000002E-7</v>
      </c>
      <c r="AM601" s="1050" cm="1">
        <f t="array" aca="1" ref="AM601" ca="1">INDEX(OFFSET($AK$19,MATCH($B601,$B$19:$B$150,0)-1,0,COUNTA($B$19:$B$24),COUNTA($AK$17:$BB$17)),MATCH($F601,$F$19:$F$24,0),MATCH(AM$17,$AK$17:$BB$17,0))*INDEX($10:$13,MATCH($O601,$R$10:$R$13,0),COLUMN())</f>
        <v>2.9896672728000001E-4</v>
      </c>
      <c r="AN601" s="1050" cm="1">
        <f t="array" aca="1" ref="AN601" ca="1">INDEX(OFFSET($AK$19,MATCH($B601,$B$19:$B$150,0)-1,0,COUNTA($B$19:$B$24),COUNTA($AK$17:$BB$17)),MATCH($F601,$F$19:$F$24,0),MATCH(AN$17,$AK$17:$BB$17,0))*INDEX($10:$13,MATCH($O601,$R$10:$R$13,0),COLUMN())</f>
        <v>4.3049098160000002E-3</v>
      </c>
      <c r="AO601" s="1050" cm="1">
        <f t="array" aca="1" ref="AO601" ca="1">INDEX(OFFSET($AK$19,MATCH($B601,$B$19:$B$150,0)-1,0,COUNTA($B$19:$B$24),COUNTA($AK$17:$BB$17)),MATCH($F601,$F$19:$F$24,0),MATCH(AO$17,$AK$17:$BB$17,0))*INDEX($10:$13,MATCH($O601,$R$10:$R$13,0),COLUMN())</f>
        <v>0.15706623776</v>
      </c>
      <c r="AP601" s="1050" cm="1">
        <f t="array" aca="1" ref="AP601" ca="1">INDEX(OFFSET($AK$19,MATCH($B601,$B$19:$B$150,0)-1,0,COUNTA($B$19:$B$24),COUNTA($AK$17:$BB$17)),MATCH($F601,$F$19:$F$24,0),MATCH(AP$17,$AK$17:$BB$17,0))*INDEX($10:$13,MATCH($O601,$R$10:$R$13,0),COLUMN())</f>
        <v>9.2292707120000012E-2</v>
      </c>
      <c r="AQ601" s="1050" cm="1">
        <f t="array" aca="1" ref="AQ601" ca="1">INDEX(OFFSET($AK$19,MATCH($B601,$B$19:$B$150,0)-1,0,COUNTA($B$19:$B$24),COUNTA($AK$17:$BB$17)),MATCH($F601,$F$19:$F$24,0),MATCH(AQ$17,$AK$17:$BB$17,0))*INDEX($10:$13,MATCH($O601,$R$10:$R$13,0),COLUMN())</f>
        <v>7.1647717039999997E-4</v>
      </c>
      <c r="AR601" s="1050" cm="1">
        <f t="array" aca="1" ref="AR601" ca="1">INDEX(OFFSET($AK$19,MATCH($B601,$B$19:$B$150,0)-1,0,COUNTA($B$19:$B$24),COUNTA($AK$17:$BB$17)),MATCH($F601,$F$19:$F$24,0),MATCH(AR$17,$AK$17:$BB$17,0))*INDEX($10:$13,MATCH($O601,$R$10:$R$13,0),COLUMN())</f>
        <v>3.6033197069999995E-2</v>
      </c>
      <c r="AS601" s="1050" cm="1">
        <f t="array" aca="1" ref="AS601" ca="1">INDEX(OFFSET($AK$19,MATCH($B601,$B$19:$B$150,0)-1,0,COUNTA($B$19:$B$24),COUNTA($AK$17:$BB$17)),MATCH($F601,$F$19:$F$24,0),MATCH(AS$17,$AK$17:$BB$17,0))*INDEX($10:$13,MATCH($O601,$R$10:$R$13,0),COLUMN())</f>
        <v>9.402983064500001E-3</v>
      </c>
      <c r="AT601" s="1050" cm="1">
        <f t="array" aca="1" ref="AT601" ca="1">INDEX(OFFSET($AK$19,MATCH($B601,$B$19:$B$150,0)-1,0,COUNTA($B$19:$B$24),COUNTA($AK$17:$BB$17)),MATCH($F601,$F$19:$F$24,0),MATCH(AT$17,$AK$17:$BB$17,0))*INDEX($10:$13,MATCH($O601,$R$10:$R$13,0),COLUMN())</f>
        <v>2.1540102792E-5</v>
      </c>
      <c r="AU601" s="1050" cm="1">
        <f t="array" aca="1" ref="AU601" ca="1">INDEX(OFFSET($AK$19,MATCH($B601,$B$19:$B$150,0)-1,0,COUNTA($B$19:$B$24),COUNTA($AK$17:$BB$17)),MATCH($F601,$F$19:$F$24,0),MATCH(AU$17,$AK$17:$BB$17,0))*INDEX($10:$13,MATCH($O601,$R$10:$R$13,0),COLUMN())</f>
        <v>4.0790157120000005E-6</v>
      </c>
      <c r="AV601" s="1050" cm="1">
        <f t="array" aca="1" ref="AV601" ca="1">INDEX(OFFSET($AK$19,MATCH($B601,$B$19:$B$150,0)-1,0,COUNTA($B$19:$B$24),COUNTA($AK$17:$BB$17)),MATCH($F601,$F$19:$F$24,0),MATCH(AV$17,$AK$17:$BB$17,0))*INDEX($10:$13,MATCH($O601,$R$10:$R$13,0),COLUMN())</f>
        <v>2.432812761E-2</v>
      </c>
      <c r="AW601" s="1050" cm="1">
        <f t="array" aca="1" ref="AW601" ca="1">INDEX(OFFSET($AK$19,MATCH($B601,$B$19:$B$150,0)-1,0,COUNTA($B$19:$B$24),COUNTA($AK$17:$BB$17)),MATCH($F601,$F$19:$F$24,0),MATCH(AW$17,$AK$17:$BB$17,0))*INDEX($10:$13,MATCH($O601,$R$10:$R$13,0),COLUMN())</f>
        <v>4.6829253005000009</v>
      </c>
      <c r="AX601" s="1050" cm="1">
        <f t="array" aca="1" ref="AX601" ca="1">INDEX(OFFSET($AK$19,MATCH($B601,$B$19:$B$150,0)-1,0,COUNTA($B$19:$B$24),COUNTA($AK$17:$BB$17)),MATCH($F601,$F$19:$F$24,0),MATCH(AX$17,$AK$17:$BB$17,0))*INDEX($10:$13,MATCH($O601,$R$10:$R$13,0),COLUMN())</f>
        <v>1.1209821555000001E-6</v>
      </c>
      <c r="AY601" s="1050" cm="1">
        <f t="array" aca="1" ref="AY601" ca="1">INDEX(OFFSET($AK$19,MATCH($B601,$B$19:$B$150,0)-1,0,COUNTA($B$19:$B$24),COUNTA($AK$17:$BB$17)),MATCH($F601,$F$19:$F$24,0),MATCH(AY$17,$AK$17:$BB$17,0))*INDEX($10:$13,MATCH($O601,$R$10:$R$13,0),COLUMN())</f>
        <v>-2.8890605381250003E-8</v>
      </c>
      <c r="AZ601" s="1050" cm="1">
        <f t="array" aca="1" ref="AZ601" ca="1">INDEX(OFFSET($AK$19,MATCH($B601,$B$19:$B$150,0)-1,0,COUNTA($B$19:$B$24),COUNTA($AK$17:$BB$17)),MATCH($F601,$F$19:$F$24,0),MATCH(AZ$17,$AK$17:$BB$17,0))*INDEX($10:$13,MATCH($O601,$R$10:$R$13,0),COLUMN())</f>
        <v>0</v>
      </c>
      <c r="BA601" s="1050" cm="1">
        <f t="array" aca="1" ref="BA601" ca="1">INDEX(OFFSET($AK$19,MATCH($B601,$B$19:$B$150,0)-1,0,COUNTA($B$19:$B$24),COUNTA($AK$17:$BB$17)),MATCH($F601,$F$19:$F$24,0),MATCH(BA$17,$AK$17:$BB$17,0))*INDEX($10:$13,MATCH($O601,$R$10:$R$13,0),COLUMN())</f>
        <v>0</v>
      </c>
      <c r="BB601" s="1051" cm="1">
        <f t="array" aca="1" ref="BB601" ca="1">INDEX(OFFSET($AK$19,MATCH($B601,$B$19:$B$150,0)-1,0,COUNTA($B$19:$B$24),COUNTA($AK$17:$BB$17)),MATCH($F601,$F$19:$F$24,0),MATCH(BB$17,$AK$17:$BB$17,0))*INDEX($10:$13,MATCH($O601,$R$10:$R$13,0),COLUMN())</f>
        <v>0</v>
      </c>
      <c r="BC601" s="1053">
        <f t="shared" ca="1" si="185"/>
        <v>4.6829263925915505</v>
      </c>
      <c r="BE601" s="1"/>
      <c r="BF601" s="1"/>
      <c r="BG601" s="1"/>
      <c r="BH601" s="1"/>
      <c r="BI601" s="1"/>
      <c r="BJ601" s="1"/>
      <c r="BK601" s="1"/>
      <c r="BL601" s="1"/>
      <c r="BM601" s="1"/>
      <c r="BN601" s="1"/>
      <c r="BO601" s="1"/>
      <c r="BP601" s="1"/>
      <c r="BQ601" s="1"/>
      <c r="BR601" s="1"/>
      <c r="BS601" s="1"/>
      <c r="BT601" s="1"/>
      <c r="BU601" s="1"/>
      <c r="BV601" s="1"/>
      <c r="BW601" s="1"/>
      <c r="BX601" s="1"/>
      <c r="BY601" s="1"/>
      <c r="BZ601" s="1"/>
    </row>
    <row r="602" spans="2:78" ht="12" customHeight="1" outlineLevel="1" x14ac:dyDescent="0.25">
      <c r="B602" s="104" t="s">
        <v>104</v>
      </c>
      <c r="C602" s="104" t="s">
        <v>121</v>
      </c>
      <c r="D602" s="2" t="s">
        <v>137</v>
      </c>
      <c r="E602" s="2" t="s">
        <v>140</v>
      </c>
      <c r="F602" s="105" t="s">
        <v>96</v>
      </c>
      <c r="G602" s="27" t="s">
        <v>1582</v>
      </c>
      <c r="H602" s="106" t="s">
        <v>128</v>
      </c>
      <c r="I602" s="107" t="s">
        <v>1577</v>
      </c>
      <c r="J602" s="147">
        <v>4.4622420200000006</v>
      </c>
      <c r="K602" s="148">
        <v>3.677795697780804</v>
      </c>
      <c r="L602" s="149">
        <f t="shared" ca="1" si="186"/>
        <v>1.4971211832988773</v>
      </c>
      <c r="M602" s="148">
        <f t="shared" ca="1" si="187"/>
        <v>9.1839015447739207</v>
      </c>
      <c r="N602" s="148">
        <f t="shared" ca="1" si="184"/>
        <v>5.5061058469931172</v>
      </c>
      <c r="O602" s="1062" t="s">
        <v>1585</v>
      </c>
      <c r="P602" s="104"/>
      <c r="R602" s="119"/>
      <c r="S602" s="1072"/>
      <c r="T602" s="1072"/>
      <c r="U602" s="1072"/>
      <c r="V602" s="1072"/>
      <c r="W602" s="1072"/>
      <c r="X602" s="1072"/>
      <c r="Y602" s="1072"/>
      <c r="Z602" s="1072"/>
      <c r="AA602" s="1072"/>
      <c r="AB602" s="1072"/>
      <c r="AC602" s="1072"/>
      <c r="AD602" s="1072"/>
      <c r="AE602" s="1072"/>
      <c r="AF602" s="1072"/>
      <c r="AG602" s="1072"/>
      <c r="AH602" s="1072"/>
      <c r="AI602" s="1072"/>
      <c r="AJ602" s="1073"/>
      <c r="AK602" s="1052" cm="1">
        <f t="array" aca="1" ref="AK602" ca="1">INDEX(OFFSET($AK$19,MATCH($B602,$B$19:$B$150,0)-1,0,COUNTA($B$19:$B$24),COUNTA($AK$17:$BB$17)),MATCH($F602,$F$19:$F$24,0),MATCH(AK$17,$AK$17:$BB$17,0))*INDEX($10:$13,MATCH($O602,$R$10:$R$13,0),COLUMN())</f>
        <v>0.35032174088601598</v>
      </c>
      <c r="AL602" s="1050" cm="1">
        <f t="array" aca="1" ref="AL602" ca="1">INDEX(OFFSET($AK$19,MATCH($B602,$B$19:$B$150,0)-1,0,COUNTA($B$19:$B$24),COUNTA($AK$17:$BB$17)),MATCH($F602,$F$19:$F$24,0),MATCH(AL$17,$AK$17:$BB$17,0))*INDEX($10:$13,MATCH($O602,$R$10:$R$13,0),COLUMN())</f>
        <v>1.8802841817999998E-7</v>
      </c>
      <c r="AM602" s="1050" cm="1">
        <f t="array" aca="1" ref="AM602" ca="1">INDEX(OFFSET($AK$19,MATCH($B602,$B$19:$B$150,0)-1,0,COUNTA($B$19:$B$24),COUNTA($AK$17:$BB$17)),MATCH($F602,$F$19:$F$24,0),MATCH(AM$17,$AK$17:$BB$17,0))*INDEX($10:$13,MATCH($O602,$R$10:$R$13,0),COLUMN())</f>
        <v>3.0066574694000001E-4</v>
      </c>
      <c r="AN602" s="1050" cm="1">
        <f t="array" aca="1" ref="AN602" ca="1">INDEX(OFFSET($AK$19,MATCH($B602,$B$19:$B$150,0)-1,0,COUNTA($B$19:$B$24),COUNTA($AK$17:$BB$17)),MATCH($F602,$F$19:$F$24,0),MATCH(AN$17,$AK$17:$BB$17,0))*INDEX($10:$13,MATCH($O602,$R$10:$R$13,0),COLUMN())</f>
        <v>4.5263779200000005E-3</v>
      </c>
      <c r="AO602" s="1050" cm="1">
        <f t="array" aca="1" ref="AO602" ca="1">INDEX(OFFSET($AK$19,MATCH($B602,$B$19:$B$150,0)-1,0,COUNTA($B$19:$B$24),COUNTA($AK$17:$BB$17)),MATCH($F602,$F$19:$F$24,0),MATCH(AO$17,$AK$17:$BB$17,0))*INDEX($10:$13,MATCH($O602,$R$10:$R$13,0),COLUMN())</f>
        <v>0.22545978515999998</v>
      </c>
      <c r="AP602" s="1050" cm="1">
        <f t="array" aca="1" ref="AP602" ca="1">INDEX(OFFSET($AK$19,MATCH($B602,$B$19:$B$150,0)-1,0,COUNTA($B$19:$B$24),COUNTA($AK$17:$BB$17)),MATCH($F602,$F$19:$F$24,0),MATCH(AP$17,$AK$17:$BB$17,0))*INDEX($10:$13,MATCH($O602,$R$10:$R$13,0),COLUMN())</f>
        <v>0.14051110178000001</v>
      </c>
      <c r="AQ602" s="1050" cm="1">
        <f t="array" aca="1" ref="AQ602" ca="1">INDEX(OFFSET($AK$19,MATCH($B602,$B$19:$B$150,0)-1,0,COUNTA($B$19:$B$24),COUNTA($AK$17:$BB$17)),MATCH($F602,$F$19:$F$24,0),MATCH(AQ$17,$AK$17:$BB$17,0))*INDEX($10:$13,MATCH($O602,$R$10:$R$13,0),COLUMN())</f>
        <v>1.0979747286999999E-3</v>
      </c>
      <c r="AR602" s="1050" cm="1">
        <f t="array" aca="1" ref="AR602" ca="1">INDEX(OFFSET($AK$19,MATCH($B602,$B$19:$B$150,0)-1,0,COUNTA($B$19:$B$24),COUNTA($AK$17:$BB$17)),MATCH($F602,$F$19:$F$24,0),MATCH(AR$17,$AK$17:$BB$17,0))*INDEX($10:$13,MATCH($O602,$R$10:$R$13,0),COLUMN())</f>
        <v>4.7317461979999996E-2</v>
      </c>
      <c r="AS602" s="1050" cm="1">
        <f t="array" aca="1" ref="AS602" ca="1">INDEX(OFFSET($AK$19,MATCH($B602,$B$19:$B$150,0)-1,0,COUNTA($B$19:$B$24),COUNTA($AK$17:$BB$17)),MATCH($F602,$F$19:$F$24,0),MATCH(AS$17,$AK$17:$BB$17,0))*INDEX($10:$13,MATCH($O602,$R$10:$R$13,0),COLUMN())</f>
        <v>1.5180600344999998E-2</v>
      </c>
      <c r="AT602" s="1050" cm="1">
        <f t="array" aca="1" ref="AT602" ca="1">INDEX(OFFSET($AK$19,MATCH($B602,$B$19:$B$150,0)-1,0,COUNTA($B$19:$B$24),COUNTA($AK$17:$BB$17)),MATCH($F602,$F$19:$F$24,0),MATCH(AT$17,$AK$17:$BB$17,0))*INDEX($10:$13,MATCH($O602,$R$10:$R$13,0),COLUMN())</f>
        <v>2.4134457685999997E-5</v>
      </c>
      <c r="AU602" s="1050" cm="1">
        <f t="array" aca="1" ref="AU602" ca="1">INDEX(OFFSET($AK$19,MATCH($B602,$B$19:$B$150,0)-1,0,COUNTA($B$19:$B$24),COUNTA($AK$17:$BB$17)),MATCH($F602,$F$19:$F$24,0),MATCH(AU$17,$AK$17:$BB$17,0))*INDEX($10:$13,MATCH($O602,$R$10:$R$13,0),COLUMN())</f>
        <v>4.4494288065000008E-6</v>
      </c>
      <c r="AV602" s="1050" cm="1">
        <f t="array" aca="1" ref="AV602" ca="1">INDEX(OFFSET($AK$19,MATCH($B602,$B$19:$B$150,0)-1,0,COUNTA($B$19:$B$24),COUNTA($AK$17:$BB$17)),MATCH($F602,$F$19:$F$24,0),MATCH(AV$17,$AK$17:$BB$17,0))*INDEX($10:$13,MATCH($O602,$R$10:$R$13,0),COLUMN())</f>
        <v>3.8434973940000006E-2</v>
      </c>
      <c r="AW602" s="1050" cm="1">
        <f t="array" aca="1" ref="AW602" ca="1">INDEX(OFFSET($AK$19,MATCH($B602,$B$19:$B$150,0)-1,0,COUNTA($B$19:$B$24),COUNTA($AK$17:$BB$17)),MATCH($F602,$F$19:$F$24,0),MATCH(AW$17,$AK$17:$BB$17,0))*INDEX($10:$13,MATCH($O602,$R$10:$R$13,0),COLUMN())</f>
        <v>4.6829253005000009</v>
      </c>
      <c r="AX602" s="1050" cm="1">
        <f t="array" aca="1" ref="AX602" ca="1">INDEX(OFFSET($AK$19,MATCH($B602,$B$19:$B$150,0)-1,0,COUNTA($B$19:$B$24),COUNTA($AK$17:$BB$17)),MATCH($F602,$F$19:$F$24,0),MATCH(AX$17,$AK$17:$BB$17,0))*INDEX($10:$13,MATCH($O602,$R$10:$R$13,0),COLUMN())</f>
        <v>1.1209821555000001E-6</v>
      </c>
      <c r="AY602" s="1050" cm="1">
        <f t="array" aca="1" ref="AY602" ca="1">INDEX(OFFSET($AK$19,MATCH($B602,$B$19:$B$150,0)-1,0,COUNTA($B$19:$B$24),COUNTA($AK$17:$BB$17)),MATCH($F602,$F$19:$F$24,0),MATCH(AY$17,$AK$17:$BB$17,0))*INDEX($10:$13,MATCH($O602,$R$10:$R$13,0),COLUMN())</f>
        <v>-2.8890605381250003E-8</v>
      </c>
      <c r="AZ602" s="1050" cm="1">
        <f t="array" aca="1" ref="AZ602" ca="1">INDEX(OFFSET($AK$19,MATCH($B602,$B$19:$B$150,0)-1,0,COUNTA($B$19:$B$24),COUNTA($AK$17:$BB$17)),MATCH($F602,$F$19:$F$24,0),MATCH(AZ$17,$AK$17:$BB$17,0))*INDEX($10:$13,MATCH($O602,$R$10:$R$13,0),COLUMN())</f>
        <v>0</v>
      </c>
      <c r="BA602" s="1050" cm="1">
        <f t="array" aca="1" ref="BA602" ca="1">INDEX(OFFSET($AK$19,MATCH($B602,$B$19:$B$150,0)-1,0,COUNTA($B$19:$B$24),COUNTA($AK$17:$BB$17)),MATCH($F602,$F$19:$F$24,0),MATCH(BA$17,$AK$17:$BB$17,0))*INDEX($10:$13,MATCH($O602,$R$10:$R$13,0),COLUMN())</f>
        <v>0</v>
      </c>
      <c r="BB602" s="1051" cm="1">
        <f t="array" aca="1" ref="BB602" ca="1">INDEX(OFFSET($AK$19,MATCH($B602,$B$19:$B$150,0)-1,0,COUNTA($B$19:$B$24),COUNTA($AK$17:$BB$17)),MATCH($F602,$F$19:$F$24,0),MATCH(BB$17,$AK$17:$BB$17,0))*INDEX($10:$13,MATCH($O602,$R$10:$R$13,0),COLUMN())</f>
        <v>0</v>
      </c>
      <c r="BC602" s="1053">
        <f t="shared" ca="1" si="185"/>
        <v>4.6829263925915505</v>
      </c>
      <c r="BE602" s="1"/>
      <c r="BF602" s="1"/>
      <c r="BG602" s="1"/>
      <c r="BH602" s="1"/>
      <c r="BI602" s="1"/>
      <c r="BJ602" s="1"/>
      <c r="BK602" s="1"/>
      <c r="BL602" s="1"/>
      <c r="BM602" s="1"/>
      <c r="BN602" s="1"/>
      <c r="BO602" s="1"/>
      <c r="BP602" s="1"/>
      <c r="BQ602" s="1"/>
      <c r="BR602" s="1"/>
      <c r="BS602" s="1"/>
      <c r="BT602" s="1"/>
      <c r="BU602" s="1"/>
      <c r="BV602" s="1"/>
      <c r="BW602" s="1"/>
      <c r="BX602" s="1"/>
      <c r="BY602" s="1"/>
      <c r="BZ602" s="1"/>
    </row>
    <row r="603" spans="2:78" ht="12" customHeight="1" outlineLevel="1" x14ac:dyDescent="0.25">
      <c r="B603" s="88" t="s">
        <v>105</v>
      </c>
      <c r="C603" s="88" t="s">
        <v>121</v>
      </c>
      <c r="D603" s="89" t="s">
        <v>137</v>
      </c>
      <c r="E603" s="89" t="s">
        <v>141</v>
      </c>
      <c r="F603" s="90" t="s">
        <v>92</v>
      </c>
      <c r="G603" s="18" t="s">
        <v>126</v>
      </c>
      <c r="H603" s="91" t="s">
        <v>127</v>
      </c>
      <c r="I603" s="92" t="s">
        <v>127</v>
      </c>
      <c r="J603" s="142">
        <v>0.81023034000000005</v>
      </c>
      <c r="K603" s="143">
        <v>1.2070093457943925</v>
      </c>
      <c r="L603" s="144">
        <f t="shared" ca="1" si="186"/>
        <v>1.2987827697284231</v>
      </c>
      <c r="M603" s="143">
        <f t="shared" ca="1" si="187"/>
        <v>2.7746522870133257</v>
      </c>
      <c r="N603" s="162">
        <f t="shared" ca="1" si="184"/>
        <v>1.567642941218933</v>
      </c>
      <c r="O603" s="1060" t="s">
        <v>1585</v>
      </c>
      <c r="P603" s="88"/>
      <c r="Q603" s="89"/>
      <c r="R603" s="150"/>
      <c r="S603" s="1070"/>
      <c r="T603" s="1070"/>
      <c r="U603" s="1070"/>
      <c r="V603" s="1070"/>
      <c r="W603" s="1070"/>
      <c r="X603" s="1070"/>
      <c r="Y603" s="1070"/>
      <c r="Z603" s="1070"/>
      <c r="AA603" s="1070"/>
      <c r="AB603" s="1070"/>
      <c r="AC603" s="1070"/>
      <c r="AD603" s="1070"/>
      <c r="AE603" s="1070"/>
      <c r="AF603" s="1070"/>
      <c r="AG603" s="1070"/>
      <c r="AH603" s="1070"/>
      <c r="AI603" s="1070"/>
      <c r="AJ603" s="1071"/>
      <c r="AK603" s="1048" cm="1">
        <f t="array" aca="1" ref="AK603" ca="1">INDEX(OFFSET($AK$19,MATCH($B603,$B$19:$B$150,0)-1,0,COUNTA($B$19:$B$24),COUNTA($AK$17:$BB$17)),MATCH($F603,$F$19:$F$24,0),MATCH(AK$17,$AK$17:$BB$17,0))*INDEX($10:$13,MATCH($O603,$R$10:$R$13,0),COLUMN())</f>
        <v>9.3298059104256009E-2</v>
      </c>
      <c r="AL603" s="1046" cm="1">
        <f t="array" aca="1" ref="AL603" ca="1">INDEX(OFFSET($AK$19,MATCH($B603,$B$19:$B$150,0)-1,0,COUNTA($B$19:$B$24),COUNTA($AK$17:$BB$17)),MATCH($F603,$F$19:$F$24,0),MATCH(AL$17,$AK$17:$BB$17,0))*INDEX($10:$13,MATCH($O603,$R$10:$R$13,0),COLUMN())</f>
        <v>1.127570267E-7</v>
      </c>
      <c r="AM603" s="1046" cm="1">
        <f t="array" aca="1" ref="AM603" ca="1">INDEX(OFFSET($AK$19,MATCH($B603,$B$19:$B$150,0)-1,0,COUNTA($B$19:$B$24),COUNTA($AK$17:$BB$17)),MATCH($F603,$F$19:$F$24,0),MATCH(AM$17,$AK$17:$BB$17,0))*INDEX($10:$13,MATCH($O603,$R$10:$R$13,0),COLUMN())</f>
        <v>1.8208625785999999E-4</v>
      </c>
      <c r="AN603" s="1046" cm="1">
        <f t="array" aca="1" ref="AN603" ca="1">INDEX(OFFSET($AK$19,MATCH($B603,$B$19:$B$150,0)-1,0,COUNTA($B$19:$B$24),COUNTA($AK$17:$BB$17)),MATCH($F603,$F$19:$F$24,0),MATCH(AN$17,$AK$17:$BB$17,0))*INDEX($10:$13,MATCH($O603,$R$10:$R$13,0),COLUMN())</f>
        <v>1.1728158712000002E-3</v>
      </c>
      <c r="AO603" s="1046" cm="1">
        <f t="array" aca="1" ref="AO603" ca="1">INDEX(OFFSET($AK$19,MATCH($B603,$B$19:$B$150,0)-1,0,COUNTA($B$19:$B$24),COUNTA($AK$17:$BB$17)),MATCH($F603,$F$19:$F$24,0),MATCH(AO$17,$AK$17:$BB$17,0))*INDEX($10:$13,MATCH($O603,$R$10:$R$13,0),COLUMN())</f>
        <v>4.7870781039999998E-2</v>
      </c>
      <c r="AP603" s="1046" cm="1">
        <f t="array" aca="1" ref="AP603" ca="1">INDEX(OFFSET($AK$19,MATCH($B603,$B$19:$B$150,0)-1,0,COUNTA($B$19:$B$24),COUNTA($AK$17:$BB$17)),MATCH($F603,$F$19:$F$24,0),MATCH(AP$17,$AK$17:$BB$17,0))*INDEX($10:$13,MATCH($O603,$R$10:$R$13,0),COLUMN())</f>
        <v>2.8489857908000002E-2</v>
      </c>
      <c r="AQ603" s="1046" cm="1">
        <f t="array" aca="1" ref="AQ603" ca="1">INDEX(OFFSET($AK$19,MATCH($B603,$B$19:$B$150,0)-1,0,COUNTA($B$19:$B$24),COUNTA($AK$17:$BB$17)),MATCH($F603,$F$19:$F$24,0),MATCH(AQ$17,$AK$17:$BB$17,0))*INDEX($10:$13,MATCH($O603,$R$10:$R$13,0),COLUMN())</f>
        <v>3.6949482329999995E-4</v>
      </c>
      <c r="AR603" s="1046" cm="1">
        <f t="array" aca="1" ref="AR603" ca="1">INDEX(OFFSET($AK$19,MATCH($B603,$B$19:$B$150,0)-1,0,COUNTA($B$19:$B$24),COUNTA($AK$17:$BB$17)),MATCH($F603,$F$19:$F$24,0),MATCH(AR$17,$AK$17:$BB$17,0))*INDEX($10:$13,MATCH($O603,$R$10:$R$13,0),COLUMN())</f>
        <v>1.0485519255999999E-2</v>
      </c>
      <c r="AS603" s="1046" cm="1">
        <f t="array" aca="1" ref="AS603" ca="1">INDEX(OFFSET($AK$19,MATCH($B603,$B$19:$B$150,0)-1,0,COUNTA($B$19:$B$24),COUNTA($AK$17:$BB$17)),MATCH($F603,$F$19:$F$24,0),MATCH(AS$17,$AK$17:$BB$17,0))*INDEX($10:$13,MATCH($O603,$R$10:$R$13,0),COLUMN())</f>
        <v>0.17004844970000002</v>
      </c>
      <c r="AT603" s="1046" cm="1">
        <f t="array" aca="1" ref="AT603" ca="1">INDEX(OFFSET($AK$19,MATCH($B603,$B$19:$B$150,0)-1,0,COUNTA($B$19:$B$24),COUNTA($AK$17:$BB$17)),MATCH($F603,$F$19:$F$24,0),MATCH(AT$17,$AK$17:$BB$17,0))*INDEX($10:$13,MATCH($O603,$R$10:$R$13,0),COLUMN())</f>
        <v>1.8997566562E-4</v>
      </c>
      <c r="AU603" s="1046" cm="1">
        <f t="array" aca="1" ref="AU603" ca="1">INDEX(OFFSET($AK$19,MATCH($B603,$B$19:$B$150,0)-1,0,COUNTA($B$19:$B$24),COUNTA($AK$17:$BB$17)),MATCH($F603,$F$19:$F$24,0),MATCH(AU$17,$AK$17:$BB$17,0))*INDEX($10:$13,MATCH($O603,$R$10:$R$13,0),COLUMN())</f>
        <v>1.1836715895000002E-5</v>
      </c>
      <c r="AV603" s="1046" cm="1">
        <f t="array" aca="1" ref="AV603" ca="1">INDEX(OFFSET($AK$19,MATCH($B603,$B$19:$B$150,0)-1,0,COUNTA($B$19:$B$24),COUNTA($AK$17:$BB$17)),MATCH($F603,$F$19:$F$24,0),MATCH(AV$17,$AK$17:$BB$17,0))*INDEX($10:$13,MATCH($O603,$R$10:$R$13,0),COLUMN())</f>
        <v>1.0843605108000001E-2</v>
      </c>
      <c r="AW603" s="1046" cm="1">
        <f t="array" aca="1" ref="AW603" ca="1">INDEX(OFFSET($AK$19,MATCH($B603,$B$19:$B$150,0)-1,0,COUNTA($B$19:$B$24),COUNTA($AK$17:$BB$17)),MATCH($F603,$F$19:$F$24,0),MATCH(AW$17,$AK$17:$BB$17,0))*INDEX($10:$13,MATCH($O603,$R$10:$R$13,0),COLUMN())</f>
        <v>1.2046792230000001</v>
      </c>
      <c r="AX603" s="1046" cm="1">
        <f t="array" aca="1" ref="AX603" ca="1">INDEX(OFFSET($AK$19,MATCH($B603,$B$19:$B$150,0)-1,0,COUNTA($B$19:$B$24),COUNTA($AK$17:$BB$17)),MATCH($F603,$F$19:$F$24,0),MATCH(AX$17,$AK$17:$BB$17,0))*INDEX($10:$13,MATCH($O603,$R$10:$R$13,0),COLUMN())</f>
        <v>1.1549373315000001E-6</v>
      </c>
      <c r="AY603" s="1046" cm="1">
        <f t="array" aca="1" ref="AY603" ca="1">INDEX(OFFSET($AK$19,MATCH($B603,$B$19:$B$150,0)-1,0,COUNTA($B$19:$B$24),COUNTA($AK$17:$BB$17)),MATCH($F603,$F$19:$F$24,0),MATCH(AY$17,$AK$17:$BB$17,0))*INDEX($10:$13,MATCH($O603,$R$10:$R$13,0),COLUMN())</f>
        <v>-3.0925556287500002E-8</v>
      </c>
      <c r="AZ603" s="1046" cm="1">
        <f t="array" aca="1" ref="AZ603" ca="1">INDEX(OFFSET($AK$19,MATCH($B603,$B$19:$B$150,0)-1,0,COUNTA($B$19:$B$24),COUNTA($AK$17:$BB$17)),MATCH($F603,$F$19:$F$24,0),MATCH(AZ$17,$AK$17:$BB$17,0))*INDEX($10:$13,MATCH($O603,$R$10:$R$13,0),COLUMN())</f>
        <v>0</v>
      </c>
      <c r="BA603" s="1046" cm="1">
        <f t="array" aca="1" ref="BA603" ca="1">INDEX(OFFSET($AK$19,MATCH($B603,$B$19:$B$150,0)-1,0,COUNTA($B$19:$B$24),COUNTA($AK$17:$BB$17)),MATCH($F603,$F$19:$F$24,0),MATCH(BA$17,$AK$17:$BB$17,0))*INDEX($10:$13,MATCH($O603,$R$10:$R$13,0),COLUMN())</f>
        <v>0</v>
      </c>
      <c r="BB603" s="1047" cm="1">
        <f t="array" aca="1" ref="BB603" ca="1">INDEX(OFFSET($AK$19,MATCH($B603,$B$19:$B$150,0)-1,0,COUNTA($B$19:$B$24),COUNTA($AK$17:$BB$17)),MATCH($F603,$F$19:$F$24,0),MATCH(BB$17,$AK$17:$BB$17,0))*INDEX($10:$13,MATCH($O603,$R$10:$R$13,0),COLUMN())</f>
        <v>0</v>
      </c>
      <c r="BC603" s="1049">
        <f t="shared" ref="BC603:BC653" ca="1" si="188">SUM(AW603:AY603)</f>
        <v>1.2046803470117753</v>
      </c>
      <c r="BE603" s="1"/>
      <c r="BF603" s="1"/>
      <c r="BG603" s="1"/>
      <c r="BH603" s="1"/>
      <c r="BI603" s="1"/>
      <c r="BJ603" s="1"/>
      <c r="BK603" s="1"/>
      <c r="BL603" s="1"/>
      <c r="BM603" s="1"/>
      <c r="BN603" s="1"/>
      <c r="BO603" s="1"/>
      <c r="BP603" s="1"/>
      <c r="BQ603" s="1"/>
      <c r="BR603" s="1"/>
      <c r="BS603" s="1"/>
      <c r="BT603" s="1"/>
      <c r="BU603" s="1"/>
      <c r="BV603" s="1"/>
      <c r="BW603" s="1"/>
      <c r="BX603" s="1"/>
      <c r="BY603" s="1"/>
      <c r="BZ603" s="1"/>
    </row>
    <row r="604" spans="2:78" ht="12" customHeight="1" outlineLevel="1" x14ac:dyDescent="0.25">
      <c r="B604" s="104" t="s">
        <v>105</v>
      </c>
      <c r="C604" s="104" t="s">
        <v>121</v>
      </c>
      <c r="D604" s="2" t="s">
        <v>137</v>
      </c>
      <c r="E604" s="2" t="s">
        <v>141</v>
      </c>
      <c r="F604" s="105" t="s">
        <v>122</v>
      </c>
      <c r="G604" s="27" t="s">
        <v>1579</v>
      </c>
      <c r="H604" s="106" t="s">
        <v>128</v>
      </c>
      <c r="I604" s="107" t="s">
        <v>129</v>
      </c>
      <c r="J604" s="147">
        <v>0.81023034000000005</v>
      </c>
      <c r="K604" s="148">
        <v>3.15</v>
      </c>
      <c r="L604" s="149">
        <f t="shared" ca="1" si="186"/>
        <v>0.46834486804796976</v>
      </c>
      <c r="M604" s="148">
        <f t="shared" ca="1" si="187"/>
        <v>4.6252863343511041</v>
      </c>
      <c r="N604" s="163">
        <f t="shared" ca="1" si="184"/>
        <v>1.4752863343511047</v>
      </c>
      <c r="O604" s="1061" t="s">
        <v>1585</v>
      </c>
      <c r="P604" s="104"/>
      <c r="R604" s="119"/>
      <c r="S604" s="1072"/>
      <c r="T604" s="1072"/>
      <c r="U604" s="1072"/>
      <c r="V604" s="1072"/>
      <c r="W604" s="1072"/>
      <c r="X604" s="1072"/>
      <c r="Y604" s="1072"/>
      <c r="Z604" s="1072"/>
      <c r="AA604" s="1072"/>
      <c r="AB604" s="1072"/>
      <c r="AC604" s="1072"/>
      <c r="AD604" s="1072"/>
      <c r="AE604" s="1072"/>
      <c r="AF604" s="1072"/>
      <c r="AG604" s="1072"/>
      <c r="AH604" s="1072"/>
      <c r="AI604" s="1072"/>
      <c r="AJ604" s="1073"/>
      <c r="AK604" s="1052" cm="1">
        <f t="array" aca="1" ref="AK604" ca="1">INDEX(OFFSET($AK$19,MATCH($B604,$B$19:$B$150,0)-1,0,COUNTA($B$19:$B$24),COUNTA($AK$17:$BB$17)),MATCH($F604,$F$19:$F$24,0),MATCH(AK$17,$AK$17:$BB$17,0))*INDEX($10:$13,MATCH($O604,$R$10:$R$13,0),COLUMN())</f>
        <v>6.4571517494592001E-2</v>
      </c>
      <c r="AL604" s="1050" cm="1">
        <f t="array" aca="1" ref="AL604" ca="1">INDEX(OFFSET($AK$19,MATCH($B604,$B$19:$B$150,0)-1,0,COUNTA($B$19:$B$24),COUNTA($AK$17:$BB$17)),MATCH($F604,$F$19:$F$24,0),MATCH(AL$17,$AK$17:$BB$17,0))*INDEX($10:$13,MATCH($O604,$R$10:$R$13,0),COLUMN())</f>
        <v>5.826605131000001E-8</v>
      </c>
      <c r="AM604" s="1050" cm="1">
        <f t="array" aca="1" ref="AM604" ca="1">INDEX(OFFSET($AK$19,MATCH($B604,$B$19:$B$150,0)-1,0,COUNTA($B$19:$B$24),COUNTA($AK$17:$BB$17)),MATCH($F604,$F$19:$F$24,0),MATCH(AM$17,$AK$17:$BB$17,0))*INDEX($10:$13,MATCH($O604,$R$10:$R$13,0),COLUMN())</f>
        <v>9.3165774779999997E-5</v>
      </c>
      <c r="AN604" s="1050" cm="1">
        <f t="array" aca="1" ref="AN604" ca="1">INDEX(OFFSET($AK$19,MATCH($B604,$B$19:$B$150,0)-1,0,COUNTA($B$19:$B$24),COUNTA($AK$17:$BB$17)),MATCH($F604,$F$19:$F$24,0),MATCH(AN$17,$AK$17:$BB$17,0))*INDEX($10:$13,MATCH($O604,$R$10:$R$13,0),COLUMN())</f>
        <v>1.2308132048000002E-3</v>
      </c>
      <c r="AO604" s="1050" cm="1">
        <f t="array" aca="1" ref="AO604" ca="1">INDEX(OFFSET($AK$19,MATCH($B604,$B$19:$B$150,0)-1,0,COUNTA($B$19:$B$24),COUNTA($AK$17:$BB$17)),MATCH($F604,$F$19:$F$24,0),MATCH(AO$17,$AK$17:$BB$17,0))*INDEX($10:$13,MATCH($O604,$R$10:$R$13,0),COLUMN())</f>
        <v>1.9068375432E-2</v>
      </c>
      <c r="AP604" s="1050" cm="1">
        <f t="array" aca="1" ref="AP604" ca="1">INDEX(OFFSET($AK$19,MATCH($B604,$B$19:$B$150,0)-1,0,COUNTA($B$19:$B$24),COUNTA($AK$17:$BB$17)),MATCH($F604,$F$19:$F$24,0),MATCH(AP$17,$AK$17:$BB$17,0))*INDEX($10:$13,MATCH($O604,$R$10:$R$13,0),COLUMN())</f>
        <v>7.7900357240000004E-3</v>
      </c>
      <c r="AQ604" s="1050" cm="1">
        <f t="array" aca="1" ref="AQ604" ca="1">INDEX(OFFSET($AK$19,MATCH($B604,$B$19:$B$150,0)-1,0,COUNTA($B$19:$B$24),COUNTA($AK$17:$BB$17)),MATCH($F604,$F$19:$F$24,0),MATCH(AQ$17,$AK$17:$BB$17,0))*INDEX($10:$13,MATCH($O604,$R$10:$R$13,0),COLUMN())</f>
        <v>5.3166186949999995E-5</v>
      </c>
      <c r="AR604" s="1050" cm="1">
        <f t="array" aca="1" ref="AR604" ca="1">INDEX(OFFSET($AK$19,MATCH($B604,$B$19:$B$150,0)-1,0,COUNTA($B$19:$B$24),COUNTA($AK$17:$BB$17)),MATCH($F604,$F$19:$F$24,0),MATCH(AR$17,$AK$17:$BB$17,0))*INDEX($10:$13,MATCH($O604,$R$10:$R$13,0),COLUMN())</f>
        <v>3.4986890439999995E-3</v>
      </c>
      <c r="AS604" s="1050" cm="1">
        <f t="array" aca="1" ref="AS604" ca="1">INDEX(OFFSET($AK$19,MATCH($B604,$B$19:$B$150,0)-1,0,COUNTA($B$19:$B$24),COUNTA($AK$17:$BB$17)),MATCH($F604,$F$19:$F$24,0),MATCH(AS$17,$AK$17:$BB$17,0))*INDEX($10:$13,MATCH($O604,$R$10:$R$13,0),COLUMN())</f>
        <v>5.0123785619999998E-4</v>
      </c>
      <c r="AT604" s="1050" cm="1">
        <f t="array" aca="1" ref="AT604" ca="1">INDEX(OFFSET($AK$19,MATCH($B604,$B$19:$B$150,0)-1,0,COUNTA($B$19:$B$24),COUNTA($AK$17:$BB$17)),MATCH($F604,$F$19:$F$24,0),MATCH(AT$17,$AK$17:$BB$17,0))*INDEX($10:$13,MATCH($O604,$R$10:$R$13,0),COLUMN())</f>
        <v>4.6088107740000001E-6</v>
      </c>
      <c r="AU604" s="1050" cm="1">
        <f t="array" aca="1" ref="AU604" ca="1">INDEX(OFFSET($AK$19,MATCH($B604,$B$19:$B$150,0)-1,0,COUNTA($B$19:$B$24),COUNTA($AK$17:$BB$17)),MATCH($F604,$F$19:$F$24,0),MATCH(AU$17,$AK$17:$BB$17,0))*INDEX($10:$13,MATCH($O604,$R$10:$R$13,0),COLUMN())</f>
        <v>9.4144487760000008E-7</v>
      </c>
      <c r="AV604" s="1050" cm="1">
        <f t="array" aca="1" ref="AV604" ca="1">INDEX(OFFSET($AK$19,MATCH($B604,$B$19:$B$150,0)-1,0,COUNTA($B$19:$B$24),COUNTA($AK$17:$BB$17)),MATCH($F604,$F$19:$F$24,0),MATCH(AV$17,$AK$17:$BB$17,0))*INDEX($10:$13,MATCH($O604,$R$10:$R$13,0),COLUMN())</f>
        <v>2.0931588809999999E-3</v>
      </c>
      <c r="AW604" s="1050" cm="1">
        <f t="array" aca="1" ref="AW604" ca="1">INDEX(OFFSET($AK$19,MATCH($B604,$B$19:$B$150,0)-1,0,COUNTA($B$19:$B$24),COUNTA($AK$17:$BB$17)),MATCH($F604,$F$19:$F$24,0),MATCH(AW$17,$AK$17:$BB$17,0))*INDEX($10:$13,MATCH($O604,$R$10:$R$13,0),COLUMN())</f>
        <v>1.3763802270000001</v>
      </c>
      <c r="AX604" s="1050" cm="1">
        <f t="array" aca="1" ref="AX604" ca="1">INDEX(OFFSET($AK$19,MATCH($B604,$B$19:$B$150,0)-1,0,COUNTA($B$19:$B$24),COUNTA($AK$17:$BB$17)),MATCH($F604,$F$19:$F$24,0),MATCH(AX$17,$AK$17:$BB$17,0))*INDEX($10:$13,MATCH($O604,$R$10:$R$13,0),COLUMN())</f>
        <v>3.4820522800000007E-7</v>
      </c>
      <c r="AY604" s="1050" cm="1">
        <f t="array" aca="1" ref="AY604" ca="1">INDEX(OFFSET($AK$19,MATCH($B604,$B$19:$B$150,0)-1,0,COUNTA($B$19:$B$24),COUNTA($AK$17:$BB$17)),MATCH($F604,$F$19:$F$24,0),MATCH(AY$17,$AK$17:$BB$17,0))*INDEX($10:$13,MATCH($O604,$R$10:$R$13,0),COLUMN())</f>
        <v>-8.9741482668750006E-9</v>
      </c>
      <c r="AZ604" s="1050" cm="1">
        <f t="array" aca="1" ref="AZ604" ca="1">INDEX(OFFSET($AK$19,MATCH($B604,$B$19:$B$150,0)-1,0,COUNTA($B$19:$B$24),COUNTA($AK$17:$BB$17)),MATCH($F604,$F$19:$F$24,0),MATCH(AZ$17,$AK$17:$BB$17,0))*INDEX($10:$13,MATCH($O604,$R$10:$R$13,0),COLUMN())</f>
        <v>0</v>
      </c>
      <c r="BA604" s="1050" cm="1">
        <f t="array" aca="1" ref="BA604" ca="1">INDEX(OFFSET($AK$19,MATCH($B604,$B$19:$B$150,0)-1,0,COUNTA($B$19:$B$24),COUNTA($AK$17:$BB$17)),MATCH($F604,$F$19:$F$24,0),MATCH(BA$17,$AK$17:$BB$17,0))*INDEX($10:$13,MATCH($O604,$R$10:$R$13,0),COLUMN())</f>
        <v>0</v>
      </c>
      <c r="BB604" s="1051" cm="1">
        <f t="array" aca="1" ref="BB604" ca="1">INDEX(OFFSET($AK$19,MATCH($B604,$B$19:$B$150,0)-1,0,COUNTA($B$19:$B$24),COUNTA($AK$17:$BB$17)),MATCH($F604,$F$19:$F$24,0),MATCH(BB$17,$AK$17:$BB$17,0))*INDEX($10:$13,MATCH($O604,$R$10:$R$13,0),COLUMN())</f>
        <v>0</v>
      </c>
      <c r="BC604" s="1053">
        <f t="shared" ca="1" si="188"/>
        <v>1.3763805662310797</v>
      </c>
      <c r="BE604" s="1"/>
      <c r="BF604" s="1"/>
      <c r="BG604" s="1"/>
      <c r="BH604" s="1"/>
      <c r="BI604" s="1"/>
      <c r="BJ604" s="1"/>
      <c r="BK604" s="1"/>
      <c r="BL604" s="1"/>
      <c r="BM604" s="1"/>
      <c r="BN604" s="1"/>
      <c r="BO604" s="1"/>
      <c r="BP604" s="1"/>
      <c r="BQ604" s="1"/>
      <c r="BR604" s="1"/>
      <c r="BS604" s="1"/>
      <c r="BT604" s="1"/>
      <c r="BU604" s="1"/>
      <c r="BV604" s="1"/>
      <c r="BW604" s="1"/>
      <c r="BX604" s="1"/>
      <c r="BY604" s="1"/>
      <c r="BZ604" s="1"/>
    </row>
    <row r="605" spans="2:78" ht="12" customHeight="1" outlineLevel="1" x14ac:dyDescent="0.25">
      <c r="B605" s="104" t="s">
        <v>105</v>
      </c>
      <c r="C605" s="104" t="s">
        <v>121</v>
      </c>
      <c r="D605" s="2" t="s">
        <v>137</v>
      </c>
      <c r="E605" s="2" t="s">
        <v>141</v>
      </c>
      <c r="F605" s="105" t="s">
        <v>93</v>
      </c>
      <c r="G605" s="27" t="s">
        <v>1578</v>
      </c>
      <c r="H605" s="106" t="s">
        <v>130</v>
      </c>
      <c r="I605" s="107" t="s">
        <v>129</v>
      </c>
      <c r="J605" s="147">
        <v>0.81023034000000005</v>
      </c>
      <c r="K605" s="148">
        <v>3.15</v>
      </c>
      <c r="L605" s="149">
        <f t="shared" ca="1" si="186"/>
        <v>0.62543899298653072</v>
      </c>
      <c r="M605" s="148">
        <f t="shared" ca="1" si="187"/>
        <v>5.1201328279075717</v>
      </c>
      <c r="N605" s="163">
        <f t="shared" ref="N605:N668" ca="1" si="189">SUMIFS($S605:$BB605,$S$14:$BB$14,$D$13)</f>
        <v>1.9701328279075716</v>
      </c>
      <c r="O605" s="1061" t="s">
        <v>1585</v>
      </c>
      <c r="P605" s="104"/>
      <c r="R605" s="119"/>
      <c r="S605" s="1072"/>
      <c r="T605" s="1072"/>
      <c r="U605" s="1072"/>
      <c r="V605" s="1072"/>
      <c r="W605" s="1072"/>
      <c r="X605" s="1072"/>
      <c r="Y605" s="1072"/>
      <c r="Z605" s="1072"/>
      <c r="AA605" s="1072"/>
      <c r="AB605" s="1072"/>
      <c r="AC605" s="1072"/>
      <c r="AD605" s="1072"/>
      <c r="AE605" s="1072"/>
      <c r="AF605" s="1072"/>
      <c r="AG605" s="1072"/>
      <c r="AH605" s="1072"/>
      <c r="AI605" s="1072"/>
      <c r="AJ605" s="1073"/>
      <c r="AK605" s="1052" cm="1">
        <f t="array" aca="1" ref="AK605" ca="1">INDEX(OFFSET($AK$19,MATCH($B605,$B$19:$B$150,0)-1,0,COUNTA($B$19:$B$24),COUNTA($AK$17:$BB$17)),MATCH($F605,$F$19:$F$24,0),MATCH(AK$17,$AK$17:$BB$17,0))*INDEX($10:$13,MATCH($O605,$R$10:$R$13,0),COLUMN())</f>
        <v>8.6229327973056005E-2</v>
      </c>
      <c r="AL605" s="1050" cm="1">
        <f t="array" aca="1" ref="AL605" ca="1">INDEX(OFFSET($AK$19,MATCH($B605,$B$19:$B$150,0)-1,0,COUNTA($B$19:$B$24),COUNTA($AK$17:$BB$17)),MATCH($F605,$F$19:$F$24,0),MATCH(AL$17,$AK$17:$BB$17,0))*INDEX($10:$13,MATCH($O605,$R$10:$R$13,0),COLUMN())</f>
        <v>7.7808957100000003E-8</v>
      </c>
      <c r="AM605" s="1050" cm="1">
        <f t="array" aca="1" ref="AM605" ca="1">INDEX(OFFSET($AK$19,MATCH($B605,$B$19:$B$150,0)-1,0,COUNTA($B$19:$B$24),COUNTA($AK$17:$BB$17)),MATCH($F605,$F$19:$F$24,0),MATCH(AM$17,$AK$17:$BB$17,0))*INDEX($10:$13,MATCH($O605,$R$10:$R$13,0),COLUMN())</f>
        <v>1.2441432457999999E-4</v>
      </c>
      <c r="AN605" s="1050" cm="1">
        <f t="array" aca="1" ref="AN605" ca="1">INDEX(OFFSET($AK$19,MATCH($B605,$B$19:$B$150,0)-1,0,COUNTA($B$19:$B$24),COUNTA($AK$17:$BB$17)),MATCH($F605,$F$19:$F$24,0),MATCH(AN$17,$AK$17:$BB$17,0))*INDEX($10:$13,MATCH($O605,$R$10:$R$13,0),COLUMN())</f>
        <v>1.6436379048E-3</v>
      </c>
      <c r="AO605" s="1050" cm="1">
        <f t="array" aca="1" ref="AO605" ca="1">INDEX(OFFSET($AK$19,MATCH($B605,$B$19:$B$150,0)-1,0,COUNTA($B$19:$B$24),COUNTA($AK$17:$BB$17)),MATCH($F605,$F$19:$F$24,0),MATCH(AO$17,$AK$17:$BB$17,0))*INDEX($10:$13,MATCH($O605,$R$10:$R$13,0),COLUMN())</f>
        <v>2.5464062575999997E-2</v>
      </c>
      <c r="AP605" s="1050" cm="1">
        <f t="array" aca="1" ref="AP605" ca="1">INDEX(OFFSET($AK$19,MATCH($B605,$B$19:$B$150,0)-1,0,COUNTA($B$19:$B$24),COUNTA($AK$17:$BB$17)),MATCH($F605,$F$19:$F$24,0),MATCH(AP$17,$AK$17:$BB$17,0))*INDEX($10:$13,MATCH($O605,$R$10:$R$13,0),COLUMN())</f>
        <v>1.0402876240000001E-2</v>
      </c>
      <c r="AQ605" s="1050" cm="1">
        <f t="array" aca="1" ref="AQ605" ca="1">INDEX(OFFSET($AK$19,MATCH($B605,$B$19:$B$150,0)-1,0,COUNTA($B$19:$B$24),COUNTA($AK$17:$BB$17)),MATCH($F605,$F$19:$F$24,0),MATCH(AQ$17,$AK$17:$BB$17,0))*INDEX($10:$13,MATCH($O605,$R$10:$R$13,0),COLUMN())</f>
        <v>7.0998556550000002E-5</v>
      </c>
      <c r="AR605" s="1050" cm="1">
        <f t="array" aca="1" ref="AR605" ca="1">INDEX(OFFSET($AK$19,MATCH($B605,$B$19:$B$150,0)-1,0,COUNTA($B$19:$B$24),COUNTA($AK$17:$BB$17)),MATCH($F605,$F$19:$F$24,0),MATCH(AR$17,$AK$17:$BB$17,0))*INDEX($10:$13,MATCH($O605,$R$10:$R$13,0),COLUMN())</f>
        <v>4.6721778799999995E-3</v>
      </c>
      <c r="AS605" s="1050" cm="1">
        <f t="array" aca="1" ref="AS605" ca="1">INDEX(OFFSET($AK$19,MATCH($B605,$B$19:$B$150,0)-1,0,COUNTA($B$19:$B$24),COUNTA($AK$17:$BB$17)),MATCH($F605,$F$19:$F$24,0),MATCH(AS$17,$AK$17:$BB$17,0))*INDEX($10:$13,MATCH($O605,$R$10:$R$13,0),COLUMN())</f>
        <v>6.7318948349999995E-4</v>
      </c>
      <c r="AT605" s="1050" cm="1">
        <f t="array" aca="1" ref="AT605" ca="1">INDEX(OFFSET($AK$19,MATCH($B605,$B$19:$B$150,0)-1,0,COUNTA($B$19:$B$24),COUNTA($AK$17:$BB$17)),MATCH($F605,$F$19:$F$24,0),MATCH(AT$17,$AK$17:$BB$17,0))*INDEX($10:$13,MATCH($O605,$R$10:$R$13,0),COLUMN())</f>
        <v>6.1559399819999994E-6</v>
      </c>
      <c r="AU605" s="1050" cm="1">
        <f t="array" aca="1" ref="AU605" ca="1">INDEX(OFFSET($AK$19,MATCH($B605,$B$19:$B$150,0)-1,0,COUNTA($B$19:$B$24),COUNTA($AK$17:$BB$17)),MATCH($F605,$F$19:$F$24,0),MATCH(AU$17,$AK$17:$BB$17,0))*INDEX($10:$13,MATCH($O605,$R$10:$R$13,0),COLUMN())</f>
        <v>1.2573572193E-6</v>
      </c>
      <c r="AV605" s="1050" cm="1">
        <f t="array" aca="1" ref="AV605" ca="1">INDEX(OFFSET($AK$19,MATCH($B605,$B$19:$B$150,0)-1,0,COUNTA($B$19:$B$24),COUNTA($AK$17:$BB$17)),MATCH($F605,$F$19:$F$24,0),MATCH(AV$17,$AK$17:$BB$17,0))*INDEX($10:$13,MATCH($O605,$R$10:$R$13,0),COLUMN())</f>
        <v>2.8149348509999999E-3</v>
      </c>
      <c r="AW605" s="1050" cm="1">
        <f t="array" aca="1" ref="AW605" ca="1">INDEX(OFFSET($AK$19,MATCH($B605,$B$19:$B$150,0)-1,0,COUNTA($B$19:$B$24),COUNTA($AK$17:$BB$17)),MATCH($F605,$F$19:$F$24,0),MATCH(AW$17,$AK$17:$BB$17,0))*INDEX($10:$13,MATCH($O605,$R$10:$R$13,0),COLUMN())</f>
        <v>1.8380292640000002</v>
      </c>
      <c r="AX605" s="1050" cm="1">
        <f t="array" aca="1" ref="AX605" ca="1">INDEX(OFFSET($AK$19,MATCH($B605,$B$19:$B$150,0)-1,0,COUNTA($B$19:$B$24),COUNTA($AK$17:$BB$17)),MATCH($F605,$F$19:$F$24,0),MATCH(AX$17,$AK$17:$BB$17,0))*INDEX($10:$13,MATCH($O605,$R$10:$R$13,0),COLUMN())</f>
        <v>4.6499607715000001E-7</v>
      </c>
      <c r="AY605" s="1050" cm="1">
        <f t="array" aca="1" ref="AY605" ca="1">INDEX(OFFSET($AK$19,MATCH($B605,$B$19:$B$150,0)-1,0,COUNTA($B$19:$B$24),COUNTA($AK$17:$BB$17)),MATCH($F605,$F$19:$F$24,0),MATCH(AY$17,$AK$17:$BB$17,0))*INDEX($10:$13,MATCH($O605,$R$10:$R$13,0),COLUMN())</f>
        <v>-1.198415017875E-8</v>
      </c>
      <c r="AZ605" s="1050" cm="1">
        <f t="array" aca="1" ref="AZ605" ca="1">INDEX(OFFSET($AK$19,MATCH($B605,$B$19:$B$150,0)-1,0,COUNTA($B$19:$B$24),COUNTA($AK$17:$BB$17)),MATCH($F605,$F$19:$F$24,0),MATCH(AZ$17,$AK$17:$BB$17,0))*INDEX($10:$13,MATCH($O605,$R$10:$R$13,0),COLUMN())</f>
        <v>0</v>
      </c>
      <c r="BA605" s="1050" cm="1">
        <f t="array" aca="1" ref="BA605" ca="1">INDEX(OFFSET($AK$19,MATCH($B605,$B$19:$B$150,0)-1,0,COUNTA($B$19:$B$24),COUNTA($AK$17:$BB$17)),MATCH($F605,$F$19:$F$24,0),MATCH(BA$17,$AK$17:$BB$17,0))*INDEX($10:$13,MATCH($O605,$R$10:$R$13,0),COLUMN())</f>
        <v>0</v>
      </c>
      <c r="BB605" s="1051" cm="1">
        <f t="array" aca="1" ref="BB605" ca="1">INDEX(OFFSET($AK$19,MATCH($B605,$B$19:$B$150,0)-1,0,COUNTA($B$19:$B$24),COUNTA($AK$17:$BB$17)),MATCH($F605,$F$19:$F$24,0),MATCH(BB$17,$AK$17:$BB$17,0))*INDEX($10:$13,MATCH($O605,$R$10:$R$13,0),COLUMN())</f>
        <v>0</v>
      </c>
      <c r="BC605" s="1053">
        <f t="shared" ca="1" si="188"/>
        <v>1.8380297170119273</v>
      </c>
      <c r="BE605" s="1"/>
      <c r="BF605" s="1"/>
      <c r="BG605" s="1"/>
      <c r="BH605" s="1"/>
      <c r="BI605" s="1"/>
      <c r="BJ605" s="1"/>
      <c r="BK605" s="1"/>
      <c r="BL605" s="1"/>
      <c r="BM605" s="1"/>
      <c r="BN605" s="1"/>
      <c r="BO605" s="1"/>
      <c r="BP605" s="1"/>
      <c r="BQ605" s="1"/>
      <c r="BR605" s="1"/>
      <c r="BS605" s="1"/>
      <c r="BT605" s="1"/>
      <c r="BU605" s="1"/>
      <c r="BV605" s="1"/>
      <c r="BW605" s="1"/>
      <c r="BX605" s="1"/>
      <c r="BY605" s="1"/>
      <c r="BZ605" s="1"/>
    </row>
    <row r="606" spans="2:78" ht="12" customHeight="1" outlineLevel="1" x14ac:dyDescent="0.25">
      <c r="B606" s="104" t="s">
        <v>105</v>
      </c>
      <c r="C606" s="104" t="s">
        <v>121</v>
      </c>
      <c r="D606" s="2" t="s">
        <v>137</v>
      </c>
      <c r="E606" s="2" t="s">
        <v>141</v>
      </c>
      <c r="F606" s="105" t="s">
        <v>94</v>
      </c>
      <c r="G606" s="27" t="s">
        <v>1580</v>
      </c>
      <c r="H606" s="106" t="s">
        <v>131</v>
      </c>
      <c r="I606" s="107" t="s">
        <v>129</v>
      </c>
      <c r="J606" s="147">
        <v>0.81023034000000005</v>
      </c>
      <c r="K606" s="148">
        <v>3.15</v>
      </c>
      <c r="L606" s="149">
        <f t="shared" ca="1" si="186"/>
        <v>0.37429560070538814</v>
      </c>
      <c r="M606" s="148">
        <f t="shared" ca="1" si="187"/>
        <v>4.3290311422219725</v>
      </c>
      <c r="N606" s="148">
        <f t="shared" ca="1" si="189"/>
        <v>1.1790311422219726</v>
      </c>
      <c r="O606" s="1062" t="s">
        <v>1585</v>
      </c>
      <c r="P606" s="104"/>
      <c r="R606" s="119"/>
      <c r="S606" s="1072"/>
      <c r="T606" s="1072"/>
      <c r="U606" s="1072"/>
      <c r="V606" s="1072"/>
      <c r="W606" s="1072"/>
      <c r="X606" s="1072"/>
      <c r="Y606" s="1072"/>
      <c r="Z606" s="1072"/>
      <c r="AA606" s="1072"/>
      <c r="AB606" s="1072"/>
      <c r="AC606" s="1072"/>
      <c r="AD606" s="1072"/>
      <c r="AE606" s="1072"/>
      <c r="AF606" s="1072"/>
      <c r="AG606" s="1072"/>
      <c r="AH606" s="1072"/>
      <c r="AI606" s="1072"/>
      <c r="AJ606" s="1073"/>
      <c r="AK606" s="1052" cm="1">
        <f t="array" aca="1" ref="AK606" ca="1">INDEX(OFFSET($AK$19,MATCH($B606,$B$19:$B$150,0)-1,0,COUNTA($B$19:$B$24),COUNTA($AK$17:$BB$17)),MATCH($F606,$F$19:$F$24,0),MATCH(AK$17,$AK$17:$BB$17,0))*INDEX($10:$13,MATCH($O606,$R$10:$R$13,0),COLUMN())</f>
        <v>5.1605398998143995E-2</v>
      </c>
      <c r="AL606" s="1050" cm="1">
        <f t="array" aca="1" ref="AL606" ca="1">INDEX(OFFSET($AK$19,MATCH($B606,$B$19:$B$150,0)-1,0,COUNTA($B$19:$B$24),COUNTA($AK$17:$BB$17)),MATCH($F606,$F$19:$F$24,0),MATCH(AL$17,$AK$17:$BB$17,0))*INDEX($10:$13,MATCH($O606,$R$10:$R$13,0),COLUMN())</f>
        <v>4.6566088120000001E-8</v>
      </c>
      <c r="AM606" s="1050" cm="1">
        <f t="array" aca="1" ref="AM606" ca="1">INDEX(OFFSET($AK$19,MATCH($B606,$B$19:$B$150,0)-1,0,COUNTA($B$19:$B$24),COUNTA($AK$17:$BB$17)),MATCH($F606,$F$19:$F$24,0),MATCH(AM$17,$AK$17:$BB$17,0))*INDEX($10:$13,MATCH($O606,$R$10:$R$13,0),COLUMN())</f>
        <v>7.4457859060000011E-5</v>
      </c>
      <c r="AN606" s="1050" cm="1">
        <f t="array" aca="1" ref="AN606" ca="1">INDEX(OFFSET($AK$19,MATCH($B606,$B$19:$B$150,0)-1,0,COUNTA($B$19:$B$24),COUNTA($AK$17:$BB$17)),MATCH($F606,$F$19:$F$24,0),MATCH(AN$17,$AK$17:$BB$17,0))*INDEX($10:$13,MATCH($O606,$R$10:$R$13,0),COLUMN())</f>
        <v>9.8366291439999989E-4</v>
      </c>
      <c r="AO606" s="1050" cm="1">
        <f t="array" aca="1" ref="AO606" ca="1">INDEX(OFFSET($AK$19,MATCH($B606,$B$19:$B$150,0)-1,0,COUNTA($B$19:$B$24),COUNTA($AK$17:$BB$17)),MATCH($F606,$F$19:$F$24,0),MATCH(AO$17,$AK$17:$BB$17,0))*INDEX($10:$13,MATCH($O606,$R$10:$R$13,0),COLUMN())</f>
        <v>1.5239398971999999E-2</v>
      </c>
      <c r="AP606" s="1050" cm="1">
        <f t="array" aca="1" ref="AP606" ca="1">INDEX(OFFSET($AK$19,MATCH($B606,$B$19:$B$150,0)-1,0,COUNTA($B$19:$B$24),COUNTA($AK$17:$BB$17)),MATCH($F606,$F$19:$F$24,0),MATCH(AP$17,$AK$17:$BB$17,0))*INDEX($10:$13,MATCH($O606,$R$10:$R$13,0),COLUMN())</f>
        <v>6.2257775619999995E-3</v>
      </c>
      <c r="AQ606" s="1050" cm="1">
        <f t="array" aca="1" ref="AQ606" ca="1">INDEX(OFFSET($AK$19,MATCH($B606,$B$19:$B$150,0)-1,0,COUNTA($B$19:$B$24),COUNTA($AK$17:$BB$17)),MATCH($F606,$F$19:$F$24,0),MATCH(AQ$17,$AK$17:$BB$17,0))*INDEX($10:$13,MATCH($O606,$R$10:$R$13,0),COLUMN())</f>
        <v>4.2490287469999995E-5</v>
      </c>
      <c r="AR606" s="1050" cm="1">
        <f t="array" aca="1" ref="AR606" ca="1">INDEX(OFFSET($AK$19,MATCH($B606,$B$19:$B$150,0)-1,0,COUNTA($B$19:$B$24),COUNTA($AK$17:$BB$17)),MATCH($F606,$F$19:$F$24,0),MATCH(AR$17,$AK$17:$BB$17,0))*INDEX($10:$13,MATCH($O606,$R$10:$R$13,0),COLUMN())</f>
        <v>2.7961438381999999E-3</v>
      </c>
      <c r="AS606" s="1050" cm="1">
        <f t="array" aca="1" ref="AS606" ca="1">INDEX(OFFSET($AK$19,MATCH($B606,$B$19:$B$150,0)-1,0,COUNTA($B$19:$B$24),COUNTA($AK$17:$BB$17)),MATCH($F606,$F$19:$F$24,0),MATCH(AS$17,$AK$17:$BB$17,0))*INDEX($10:$13,MATCH($O606,$R$10:$R$13,0),COLUMN())</f>
        <v>3.9829452119999998E-4</v>
      </c>
      <c r="AT606" s="1050" cm="1">
        <f t="array" aca="1" ref="AT606" ca="1">INDEX(OFFSET($AK$19,MATCH($B606,$B$19:$B$150,0)-1,0,COUNTA($B$19:$B$24),COUNTA($AK$17:$BB$17)),MATCH($F606,$F$19:$F$24,0),MATCH(AT$17,$AK$17:$BB$17,0))*INDEX($10:$13,MATCH($O606,$R$10:$R$13,0),COLUMN())</f>
        <v>3.6825746091000001E-6</v>
      </c>
      <c r="AU606" s="1050" cm="1">
        <f t="array" aca="1" ref="AU606" ca="1">INDEX(OFFSET($AK$19,MATCH($B606,$B$19:$B$150,0)-1,0,COUNTA($B$19:$B$24),COUNTA($AK$17:$BB$17)),MATCH($F606,$F$19:$F$24,0),MATCH(AU$17,$AK$17:$BB$17,0))*INDEX($10:$13,MATCH($O606,$R$10:$R$13,0),COLUMN())</f>
        <v>7.5231414792000002E-7</v>
      </c>
      <c r="AV606" s="1050" cm="1">
        <f t="array" aca="1" ref="AV606" ca="1">INDEX(OFFSET($AK$19,MATCH($B606,$B$19:$B$150,0)-1,0,COUNTA($B$19:$B$24),COUNTA($AK$17:$BB$17)),MATCH($F606,$F$19:$F$24,0),MATCH(AV$17,$AK$17:$BB$17,0))*INDEX($10:$13,MATCH($O606,$R$10:$R$13,0),COLUMN())</f>
        <v>1.661049702E-3</v>
      </c>
      <c r="AW606" s="1050" cm="1">
        <f t="array" aca="1" ref="AW606" ca="1">INDEX(OFFSET($AK$19,MATCH($B606,$B$19:$B$150,0)-1,0,COUNTA($B$19:$B$24),COUNTA($AK$17:$BB$17)),MATCH($F606,$F$19:$F$24,0),MATCH(AW$17,$AK$17:$BB$17,0))*INDEX($10:$13,MATCH($O606,$R$10:$R$13,0),COLUMN())</f>
        <v>1.099999715</v>
      </c>
      <c r="AX606" s="1050" cm="1">
        <f t="array" aca="1" ref="AX606" ca="1">INDEX(OFFSET($AK$19,MATCH($B606,$B$19:$B$150,0)-1,0,COUNTA($B$19:$B$24),COUNTA($AK$17:$BB$17)),MATCH($F606,$F$19:$F$24,0),MATCH(AX$17,$AK$17:$BB$17,0))*INDEX($10:$13,MATCH($O606,$R$10:$R$13,0),COLUMN())</f>
        <v>2.782847709E-7</v>
      </c>
      <c r="AY606" s="1050" cm="1">
        <f t="array" aca="1" ref="AY606" ca="1">INDEX(OFFSET($AK$19,MATCH($B606,$B$19:$B$150,0)-1,0,COUNTA($B$19:$B$24),COUNTA($AK$17:$BB$17)),MATCH($F606,$F$19:$F$24,0),MATCH(AY$17,$AK$17:$BB$17,0))*INDEX($10:$13,MATCH($O606,$R$10:$R$13,0),COLUMN())</f>
        <v>-7.1721174825000006E-9</v>
      </c>
      <c r="AZ606" s="1050" cm="1">
        <f t="array" aca="1" ref="AZ606" ca="1">INDEX(OFFSET($AK$19,MATCH($B606,$B$19:$B$150,0)-1,0,COUNTA($B$19:$B$24),COUNTA($AK$17:$BB$17)),MATCH($F606,$F$19:$F$24,0),MATCH(AZ$17,$AK$17:$BB$17,0))*INDEX($10:$13,MATCH($O606,$R$10:$R$13,0),COLUMN())</f>
        <v>0</v>
      </c>
      <c r="BA606" s="1050" cm="1">
        <f t="array" aca="1" ref="BA606" ca="1">INDEX(OFFSET($AK$19,MATCH($B606,$B$19:$B$150,0)-1,0,COUNTA($B$19:$B$24),COUNTA($AK$17:$BB$17)),MATCH($F606,$F$19:$F$24,0),MATCH(BA$17,$AK$17:$BB$17,0))*INDEX($10:$13,MATCH($O606,$R$10:$R$13,0),COLUMN())</f>
        <v>0</v>
      </c>
      <c r="BB606" s="1051" cm="1">
        <f t="array" aca="1" ref="BB606" ca="1">INDEX(OFFSET($AK$19,MATCH($B606,$B$19:$B$150,0)-1,0,COUNTA($B$19:$B$24),COUNTA($AK$17:$BB$17)),MATCH($F606,$F$19:$F$24,0),MATCH(BB$17,$AK$17:$BB$17,0))*INDEX($10:$13,MATCH($O606,$R$10:$R$13,0),COLUMN())</f>
        <v>0</v>
      </c>
      <c r="BC606" s="1053">
        <f t="shared" ca="1" si="188"/>
        <v>1.0999999861126535</v>
      </c>
      <c r="BE606" s="1"/>
      <c r="BF606" s="1"/>
      <c r="BG606" s="1"/>
      <c r="BH606" s="1"/>
      <c r="BI606" s="1"/>
      <c r="BJ606" s="1"/>
      <c r="BK606" s="1"/>
      <c r="BL606" s="1"/>
      <c r="BM606" s="1"/>
      <c r="BN606" s="1"/>
      <c r="BO606" s="1"/>
      <c r="BP606" s="1"/>
      <c r="BQ606" s="1"/>
      <c r="BR606" s="1"/>
      <c r="BS606" s="1"/>
      <c r="BT606" s="1"/>
      <c r="BU606" s="1"/>
      <c r="BV606" s="1"/>
      <c r="BW606" s="1"/>
      <c r="BX606" s="1"/>
      <c r="BY606" s="1"/>
      <c r="BZ606" s="1"/>
    </row>
    <row r="607" spans="2:78" ht="12" customHeight="1" outlineLevel="1" x14ac:dyDescent="0.25">
      <c r="B607" s="104" t="s">
        <v>105</v>
      </c>
      <c r="C607" s="104" t="s">
        <v>121</v>
      </c>
      <c r="D607" s="2" t="s">
        <v>137</v>
      </c>
      <c r="E607" s="2" t="s">
        <v>141</v>
      </c>
      <c r="F607" s="105" t="s">
        <v>95</v>
      </c>
      <c r="G607" s="27" t="s">
        <v>1581</v>
      </c>
      <c r="H607" s="106" t="s">
        <v>128</v>
      </c>
      <c r="I607" s="107" t="s">
        <v>127</v>
      </c>
      <c r="J607" s="147">
        <v>0.81023034000000005</v>
      </c>
      <c r="K607" s="148">
        <v>3.15</v>
      </c>
      <c r="L607" s="149">
        <f t="shared" ca="1" si="186"/>
        <v>0.49104382202131575</v>
      </c>
      <c r="M607" s="148">
        <f t="shared" ca="1" si="187"/>
        <v>4.696788039367144</v>
      </c>
      <c r="N607" s="148">
        <f t="shared" ca="1" si="189"/>
        <v>1.5467880393671445</v>
      </c>
      <c r="O607" s="1062" t="s">
        <v>1585</v>
      </c>
      <c r="P607" s="104"/>
      <c r="R607" s="119"/>
      <c r="S607" s="1072"/>
      <c r="T607" s="1072"/>
      <c r="U607" s="1072"/>
      <c r="V607" s="1072"/>
      <c r="W607" s="1072"/>
      <c r="X607" s="1072"/>
      <c r="Y607" s="1072"/>
      <c r="Z607" s="1072"/>
      <c r="AA607" s="1072"/>
      <c r="AB607" s="1072"/>
      <c r="AC607" s="1072"/>
      <c r="AD607" s="1072"/>
      <c r="AE607" s="1072"/>
      <c r="AF607" s="1072"/>
      <c r="AG607" s="1072"/>
      <c r="AH607" s="1072"/>
      <c r="AI607" s="1072"/>
      <c r="AJ607" s="1073"/>
      <c r="AK607" s="1052" cm="1">
        <f t="array" aca="1" ref="AK607" ca="1">INDEX(OFFSET($AK$19,MATCH($B607,$B$19:$B$150,0)-1,0,COUNTA($B$19:$B$24),COUNTA($AK$17:$BB$17)),MATCH($F607,$F$19:$F$24,0),MATCH(AK$17,$AK$17:$BB$17,0))*INDEX($10:$13,MATCH($O607,$R$10:$R$13,0),COLUMN())</f>
        <v>7.6075064122176003E-2</v>
      </c>
      <c r="AL607" s="1050" cm="1">
        <f t="array" aca="1" ref="AL607" ca="1">INDEX(OFFSET($AK$19,MATCH($B607,$B$19:$B$150,0)-1,0,COUNTA($B$19:$B$24),COUNTA($AK$17:$BB$17)),MATCH($F607,$F$19:$F$24,0),MATCH(AL$17,$AK$17:$BB$17,0))*INDEX($10:$13,MATCH($O607,$R$10:$R$13,0),COLUMN())</f>
        <v>5.8746573099999998E-8</v>
      </c>
      <c r="AM607" s="1050" cm="1">
        <f t="array" aca="1" ref="AM607" ca="1">INDEX(OFFSET($AK$19,MATCH($B607,$B$19:$B$150,0)-1,0,COUNTA($B$19:$B$24),COUNTA($AK$17:$BB$17)),MATCH($F607,$F$19:$F$24,0),MATCH(AM$17,$AK$17:$BB$17,0))*INDEX($10:$13,MATCH($O607,$R$10:$R$13,0),COLUMN())</f>
        <v>9.3930951659999994E-5</v>
      </c>
      <c r="AN607" s="1050" cm="1">
        <f t="array" aca="1" ref="AN607" ca="1">INDEX(OFFSET($AK$19,MATCH($B607,$B$19:$B$150,0)-1,0,COUNTA($B$19:$B$24),COUNTA($AK$17:$BB$17)),MATCH($F607,$F$19:$F$24,0),MATCH(AN$17,$AK$17:$BB$17,0))*INDEX($10:$13,MATCH($O607,$R$10:$R$13,0),COLUMN())</f>
        <v>1.3305543976000001E-3</v>
      </c>
      <c r="AO607" s="1050" cm="1">
        <f t="array" aca="1" ref="AO607" ca="1">INDEX(OFFSET($AK$19,MATCH($B607,$B$19:$B$150,0)-1,0,COUNTA($B$19:$B$24),COUNTA($AK$17:$BB$17)),MATCH($F607,$F$19:$F$24,0),MATCH(AO$17,$AK$17:$BB$17,0))*INDEX($10:$13,MATCH($O607,$R$10:$R$13,0),COLUMN())</f>
        <v>4.6717992075999998E-2</v>
      </c>
      <c r="AP607" s="1050" cm="1">
        <f t="array" aca="1" ref="AP607" ca="1">INDEX(OFFSET($AK$19,MATCH($B607,$B$19:$B$150,0)-1,0,COUNTA($B$19:$B$24),COUNTA($AK$17:$BB$17)),MATCH($F607,$F$19:$F$24,0),MATCH(AP$17,$AK$17:$BB$17,0))*INDEX($10:$13,MATCH($O607,$R$10:$R$13,0),COLUMN())</f>
        <v>2.7244171148000002E-2</v>
      </c>
      <c r="AQ607" s="1050" cm="1">
        <f t="array" aca="1" ref="AQ607" ca="1">INDEX(OFFSET($AK$19,MATCH($B607,$B$19:$B$150,0)-1,0,COUNTA($B$19:$B$24),COUNTA($AK$17:$BB$17)),MATCH($F607,$F$19:$F$24,0),MATCH(AQ$17,$AK$17:$BB$17,0))*INDEX($10:$13,MATCH($O607,$R$10:$R$13,0),COLUMN())</f>
        <v>2.1060927230999999E-4</v>
      </c>
      <c r="AR607" s="1050" cm="1">
        <f t="array" aca="1" ref="AR607" ca="1">INDEX(OFFSET($AK$19,MATCH($B607,$B$19:$B$150,0)-1,0,COUNTA($B$19:$B$24),COUNTA($AK$17:$BB$17)),MATCH($F607,$F$19:$F$24,0),MATCH(AR$17,$AK$17:$BB$17,0))*INDEX($10:$13,MATCH($O607,$R$10:$R$13,0),COLUMN())</f>
        <v>8.0477603729999982E-3</v>
      </c>
      <c r="AS607" s="1050" cm="1">
        <f t="array" aca="1" ref="AS607" ca="1">INDEX(OFFSET($AK$19,MATCH($B607,$B$19:$B$150,0)-1,0,COUNTA($B$19:$B$24),COUNTA($AK$17:$BB$17)),MATCH($F607,$F$19:$F$24,0),MATCH(AS$17,$AK$17:$BB$17,0))*INDEX($10:$13,MATCH($O607,$R$10:$R$13,0),COLUMN())</f>
        <v>2.9953711114999999E-3</v>
      </c>
      <c r="AT607" s="1050" cm="1">
        <f t="array" aca="1" ref="AT607" ca="1">INDEX(OFFSET($AK$19,MATCH($B607,$B$19:$B$150,0)-1,0,COUNTA($B$19:$B$24),COUNTA($AK$17:$BB$17)),MATCH($F607,$F$19:$F$24,0),MATCH(AT$17,$AK$17:$BB$17,0))*INDEX($10:$13,MATCH($O607,$R$10:$R$13,0),COLUMN())</f>
        <v>6.4192619529999992E-6</v>
      </c>
      <c r="AU607" s="1050" cm="1">
        <f t="array" aca="1" ref="AU607" ca="1">INDEX(OFFSET($AK$19,MATCH($B607,$B$19:$B$150,0)-1,0,COUNTA($B$19:$B$24),COUNTA($AK$17:$BB$17)),MATCH($F607,$F$19:$F$24,0),MATCH(AU$17,$AK$17:$BB$17,0))*INDEX($10:$13,MATCH($O607,$R$10:$R$13,0),COLUMN())</f>
        <v>1.2175022925000002E-6</v>
      </c>
      <c r="AV607" s="1050" cm="1">
        <f t="array" aca="1" ref="AV607" ca="1">INDEX(OFFSET($AK$19,MATCH($B607,$B$19:$B$150,0)-1,0,COUNTA($B$19:$B$24),COUNTA($AK$17:$BB$17)),MATCH($F607,$F$19:$F$24,0),MATCH(AV$17,$AK$17:$BB$17,0))*INDEX($10:$13,MATCH($O607,$R$10:$R$13,0),COLUMN())</f>
        <v>7.6843241729999999E-3</v>
      </c>
      <c r="AW607" s="1050" cm="1">
        <f t="array" aca="1" ref="AW607" ca="1">INDEX(OFFSET($AK$19,MATCH($B607,$B$19:$B$150,0)-1,0,COUNTA($B$19:$B$24),COUNTA($AK$17:$BB$17)),MATCH($F607,$F$19:$F$24,0),MATCH(AW$17,$AK$17:$BB$17,0))*INDEX($10:$13,MATCH($O607,$R$10:$R$13,0),COLUMN())</f>
        <v>1.3763802270000001</v>
      </c>
      <c r="AX607" s="1050" cm="1">
        <f t="array" aca="1" ref="AX607" ca="1">INDEX(OFFSET($AK$19,MATCH($B607,$B$19:$B$150,0)-1,0,COUNTA($B$19:$B$24),COUNTA($AK$17:$BB$17)),MATCH($F607,$F$19:$F$24,0),MATCH(AX$17,$AK$17:$BB$17,0))*INDEX($10:$13,MATCH($O607,$R$10:$R$13,0),COLUMN())</f>
        <v>3.4820522800000007E-7</v>
      </c>
      <c r="AY607" s="1050" cm="1">
        <f t="array" aca="1" ref="AY607" ca="1">INDEX(OFFSET($AK$19,MATCH($B607,$B$19:$B$150,0)-1,0,COUNTA($B$19:$B$24),COUNTA($AK$17:$BB$17)),MATCH($F607,$F$19:$F$24,0),MATCH(AY$17,$AK$17:$BB$17,0))*INDEX($10:$13,MATCH($O607,$R$10:$R$13,0),COLUMN())</f>
        <v>-8.9741482668750006E-9</v>
      </c>
      <c r="AZ607" s="1050" cm="1">
        <f t="array" aca="1" ref="AZ607" ca="1">INDEX(OFFSET($AK$19,MATCH($B607,$B$19:$B$150,0)-1,0,COUNTA($B$19:$B$24),COUNTA($AK$17:$BB$17)),MATCH($F607,$F$19:$F$24,0),MATCH(AZ$17,$AK$17:$BB$17,0))*INDEX($10:$13,MATCH($O607,$R$10:$R$13,0),COLUMN())</f>
        <v>0</v>
      </c>
      <c r="BA607" s="1050" cm="1">
        <f t="array" aca="1" ref="BA607" ca="1">INDEX(OFFSET($AK$19,MATCH($B607,$B$19:$B$150,0)-1,0,COUNTA($B$19:$B$24),COUNTA($AK$17:$BB$17)),MATCH($F607,$F$19:$F$24,0),MATCH(BA$17,$AK$17:$BB$17,0))*INDEX($10:$13,MATCH($O607,$R$10:$R$13,0),COLUMN())</f>
        <v>0</v>
      </c>
      <c r="BB607" s="1051" cm="1">
        <f t="array" aca="1" ref="BB607" ca="1">INDEX(OFFSET($AK$19,MATCH($B607,$B$19:$B$150,0)-1,0,COUNTA($B$19:$B$24),COUNTA($AK$17:$BB$17)),MATCH($F607,$F$19:$F$24,0),MATCH(BB$17,$AK$17:$BB$17,0))*INDEX($10:$13,MATCH($O607,$R$10:$R$13,0),COLUMN())</f>
        <v>0</v>
      </c>
      <c r="BC607" s="1053">
        <f t="shared" ca="1" si="188"/>
        <v>1.3763805662310797</v>
      </c>
      <c r="BE607" s="1"/>
      <c r="BF607" s="1"/>
      <c r="BG607" s="1"/>
      <c r="BH607" s="1"/>
      <c r="BI607" s="1"/>
      <c r="BJ607" s="1"/>
      <c r="BK607" s="1"/>
      <c r="BL607" s="1"/>
      <c r="BM607" s="1"/>
      <c r="BN607" s="1"/>
      <c r="BO607" s="1"/>
      <c r="BP607" s="1"/>
      <c r="BQ607" s="1"/>
      <c r="BR607" s="1"/>
      <c r="BS607" s="1"/>
      <c r="BT607" s="1"/>
      <c r="BU607" s="1"/>
      <c r="BV607" s="1"/>
      <c r="BW607" s="1"/>
      <c r="BX607" s="1"/>
      <c r="BY607" s="1"/>
      <c r="BZ607" s="1"/>
    </row>
    <row r="608" spans="2:78" ht="12" customHeight="1" outlineLevel="1" x14ac:dyDescent="0.25">
      <c r="B608" s="104" t="s">
        <v>105</v>
      </c>
      <c r="C608" s="104" t="s">
        <v>121</v>
      </c>
      <c r="D608" s="2" t="s">
        <v>137</v>
      </c>
      <c r="E608" s="2" t="s">
        <v>141</v>
      </c>
      <c r="F608" s="105" t="s">
        <v>96</v>
      </c>
      <c r="G608" s="27" t="s">
        <v>1582</v>
      </c>
      <c r="H608" s="106" t="s">
        <v>128</v>
      </c>
      <c r="I608" s="107" t="s">
        <v>1577</v>
      </c>
      <c r="J608" s="147">
        <v>0.81023034000000005</v>
      </c>
      <c r="K608" s="148">
        <v>3.15</v>
      </c>
      <c r="L608" s="149">
        <f t="shared" ca="1" si="186"/>
        <v>0.50752021288319904</v>
      </c>
      <c r="M608" s="148">
        <f t="shared" ca="1" si="187"/>
        <v>4.7486886705820766</v>
      </c>
      <c r="N608" s="148">
        <f t="shared" ca="1" si="189"/>
        <v>1.5986886705820771</v>
      </c>
      <c r="O608" s="1062" t="s">
        <v>1585</v>
      </c>
      <c r="P608" s="104"/>
      <c r="R608" s="119"/>
      <c r="S608" s="1072"/>
      <c r="T608" s="1072"/>
      <c r="U608" s="1072"/>
      <c r="V608" s="1072"/>
      <c r="W608" s="1072"/>
      <c r="X608" s="1072"/>
      <c r="Y608" s="1072"/>
      <c r="Z608" s="1072"/>
      <c r="AA608" s="1072"/>
      <c r="AB608" s="1072"/>
      <c r="AC608" s="1072"/>
      <c r="AD608" s="1072"/>
      <c r="AE608" s="1072"/>
      <c r="AF608" s="1072"/>
      <c r="AG608" s="1072"/>
      <c r="AH608" s="1072"/>
      <c r="AI608" s="1072"/>
      <c r="AJ608" s="1073"/>
      <c r="AK608" s="1052" cm="1">
        <f t="array" aca="1" ref="AK608" ca="1">INDEX(OFFSET($AK$19,MATCH($B608,$B$19:$B$150,0)-1,0,COUNTA($B$19:$B$24),COUNTA($AK$17:$BB$17)),MATCH($F608,$F$19:$F$24,0),MATCH(AK$17,$AK$17:$BB$17,0))*INDEX($10:$13,MATCH($O608,$R$10:$R$13,0),COLUMN())</f>
        <v>8.4319464370175998E-2</v>
      </c>
      <c r="AL608" s="1050" cm="1">
        <f t="array" aca="1" ref="AL608" ca="1">INDEX(OFFSET($AK$19,MATCH($B608,$B$19:$B$150,0)-1,0,COUNTA($B$19:$B$24),COUNTA($AK$17:$BB$17)),MATCH($F608,$F$19:$F$24,0),MATCH(AL$17,$AK$17:$BB$17,0))*INDEX($10:$13,MATCH($O608,$R$10:$R$13,0),COLUMN())</f>
        <v>5.9060166500000009E-8</v>
      </c>
      <c r="AM608" s="1050" cm="1">
        <f t="array" aca="1" ref="AM608" ca="1">INDEX(OFFSET($AK$19,MATCH($B608,$B$19:$B$150,0)-1,0,COUNTA($B$19:$B$24),COUNTA($AK$17:$BB$17)),MATCH($F608,$F$19:$F$24,0),MATCH(AM$17,$AK$17:$BB$17,0))*INDEX($10:$13,MATCH($O608,$R$10:$R$13,0),COLUMN())</f>
        <v>9.4430317540000007E-5</v>
      </c>
      <c r="AN608" s="1050" cm="1">
        <f t="array" aca="1" ref="AN608" ca="1">INDEX(OFFSET($AK$19,MATCH($B608,$B$19:$B$150,0)-1,0,COUNTA($B$19:$B$24),COUNTA($AK$17:$BB$17)),MATCH($F608,$F$19:$F$24,0),MATCH(AN$17,$AK$17:$BB$17,0))*INDEX($10:$13,MATCH($O608,$R$10:$R$13,0),COLUMN())</f>
        <v>1.3956471024E-3</v>
      </c>
      <c r="AO608" s="1050" cm="1">
        <f t="array" aca="1" ref="AO608" ca="1">INDEX(OFFSET($AK$19,MATCH($B608,$B$19:$B$150,0)-1,0,COUNTA($B$19:$B$24),COUNTA($AK$17:$BB$17)),MATCH($F608,$F$19:$F$24,0),MATCH(AO$17,$AK$17:$BB$17,0))*INDEX($10:$13,MATCH($O608,$R$10:$R$13,0),COLUMN())</f>
        <v>6.6819855600000005E-2</v>
      </c>
      <c r="AP608" s="1050" cm="1">
        <f t="array" aca="1" ref="AP608" ca="1">INDEX(OFFSET($AK$19,MATCH($B608,$B$19:$B$150,0)-1,0,COUNTA($B$19:$B$24),COUNTA($AK$17:$BB$17)),MATCH($F608,$F$19:$F$24,0),MATCH(AP$17,$AK$17:$BB$17,0))*INDEX($10:$13,MATCH($O608,$R$10:$R$13,0),COLUMN())</f>
        <v>4.1416260429999997E-2</v>
      </c>
      <c r="AQ608" s="1050" cm="1">
        <f t="array" aca="1" ref="AQ608" ca="1">INDEX(OFFSET($AK$19,MATCH($B608,$B$19:$B$150,0)-1,0,COUNTA($B$19:$B$24),COUNTA($AK$17:$BB$17)),MATCH($F608,$F$19:$F$24,0),MATCH(AQ$17,$AK$17:$BB$17,0))*INDEX($10:$13,MATCH($O608,$R$10:$R$13,0),COLUMN())</f>
        <v>3.2273697009999996E-4</v>
      </c>
      <c r="AR608" s="1050" cm="1">
        <f t="array" aca="1" ref="AR608" ca="1">INDEX(OFFSET($AK$19,MATCH($B608,$B$19:$B$150,0)-1,0,COUNTA($B$19:$B$24),COUNTA($AK$17:$BB$17)),MATCH($F608,$F$19:$F$24,0),MATCH(AR$17,$AK$17:$BB$17,0))*INDEX($10:$13,MATCH($O608,$R$10:$R$13,0),COLUMN())</f>
        <v>1.1364370735E-2</v>
      </c>
      <c r="AS608" s="1050" cm="1">
        <f t="array" aca="1" ref="AS608" ca="1">INDEX(OFFSET($AK$19,MATCH($B608,$B$19:$B$150,0)-1,0,COUNTA($B$19:$B$24),COUNTA($AK$17:$BB$17)),MATCH($F608,$F$19:$F$24,0),MATCH(AS$17,$AK$17:$BB$17,0))*INDEX($10:$13,MATCH($O608,$R$10:$R$13,0),COLUMN())</f>
        <v>4.7011262450000002E-3</v>
      </c>
      <c r="AT608" s="1050" cm="1">
        <f t="array" aca="1" ref="AT608" ca="1">INDEX(OFFSET($AK$19,MATCH($B608,$B$19:$B$150,0)-1,0,COUNTA($B$19:$B$24),COUNTA($AK$17:$BB$17)),MATCH($F608,$F$19:$F$24,0),MATCH(AT$17,$AK$17:$BB$17,0))*INDEX($10:$13,MATCH($O608,$R$10:$R$13,0),COLUMN())</f>
        <v>7.1844113820000002E-6</v>
      </c>
      <c r="AU608" s="1050" cm="1">
        <f t="array" aca="1" ref="AU608" ca="1">INDEX(OFFSET($AK$19,MATCH($B608,$B$19:$B$150,0)-1,0,COUNTA($B$19:$B$24),COUNTA($AK$17:$BB$17)),MATCH($F608,$F$19:$F$24,0),MATCH(AU$17,$AK$17:$BB$17,0))*INDEX($10:$13,MATCH($O608,$R$10:$R$13,0),COLUMN())</f>
        <v>1.3267552329E-6</v>
      </c>
      <c r="AV608" s="1050" cm="1">
        <f t="array" aca="1" ref="AV608" ca="1">INDEX(OFFSET($AK$19,MATCH($B608,$B$19:$B$150,0)-1,0,COUNTA($B$19:$B$24),COUNTA($AK$17:$BB$17)),MATCH($F608,$F$19:$F$24,0),MATCH(AV$17,$AK$17:$BB$17,0))*INDEX($10:$13,MATCH($O608,$R$10:$R$13,0),COLUMN())</f>
        <v>1.1865642353999999E-2</v>
      </c>
      <c r="AW608" s="1050" cm="1">
        <f t="array" aca="1" ref="AW608" ca="1">INDEX(OFFSET($AK$19,MATCH($B608,$B$19:$B$150,0)-1,0,COUNTA($B$19:$B$24),COUNTA($AK$17:$BB$17)),MATCH($F608,$F$19:$F$24,0),MATCH(AW$17,$AK$17:$BB$17,0))*INDEX($10:$13,MATCH($O608,$R$10:$R$13,0),COLUMN())</f>
        <v>1.3763802270000001</v>
      </c>
      <c r="AX608" s="1050" cm="1">
        <f t="array" aca="1" ref="AX608" ca="1">INDEX(OFFSET($AK$19,MATCH($B608,$B$19:$B$150,0)-1,0,COUNTA($B$19:$B$24),COUNTA($AK$17:$BB$17)),MATCH($F608,$F$19:$F$24,0),MATCH(AX$17,$AK$17:$BB$17,0))*INDEX($10:$13,MATCH($O608,$R$10:$R$13,0),COLUMN())</f>
        <v>3.4820522800000007E-7</v>
      </c>
      <c r="AY608" s="1050" cm="1">
        <f t="array" aca="1" ref="AY608" ca="1">INDEX(OFFSET($AK$19,MATCH($B608,$B$19:$B$150,0)-1,0,COUNTA($B$19:$B$24),COUNTA($AK$17:$BB$17)),MATCH($F608,$F$19:$F$24,0),MATCH(AY$17,$AK$17:$BB$17,0))*INDEX($10:$13,MATCH($O608,$R$10:$R$13,0),COLUMN())</f>
        <v>-8.9741482668750006E-9</v>
      </c>
      <c r="AZ608" s="1050" cm="1">
        <f t="array" aca="1" ref="AZ608" ca="1">INDEX(OFFSET($AK$19,MATCH($B608,$B$19:$B$150,0)-1,0,COUNTA($B$19:$B$24),COUNTA($AK$17:$BB$17)),MATCH($F608,$F$19:$F$24,0),MATCH(AZ$17,$AK$17:$BB$17,0))*INDEX($10:$13,MATCH($O608,$R$10:$R$13,0),COLUMN())</f>
        <v>0</v>
      </c>
      <c r="BA608" s="1050" cm="1">
        <f t="array" aca="1" ref="BA608" ca="1">INDEX(OFFSET($AK$19,MATCH($B608,$B$19:$B$150,0)-1,0,COUNTA($B$19:$B$24),COUNTA($AK$17:$BB$17)),MATCH($F608,$F$19:$F$24,0),MATCH(BA$17,$AK$17:$BB$17,0))*INDEX($10:$13,MATCH($O608,$R$10:$R$13,0),COLUMN())</f>
        <v>0</v>
      </c>
      <c r="BB608" s="1051" cm="1">
        <f t="array" aca="1" ref="BB608" ca="1">INDEX(OFFSET($AK$19,MATCH($B608,$B$19:$B$150,0)-1,0,COUNTA($B$19:$B$24),COUNTA($AK$17:$BB$17)),MATCH($F608,$F$19:$F$24,0),MATCH(BB$17,$AK$17:$BB$17,0))*INDEX($10:$13,MATCH($O608,$R$10:$R$13,0),COLUMN())</f>
        <v>0</v>
      </c>
      <c r="BC608" s="1053">
        <f t="shared" ca="1" si="188"/>
        <v>1.3763805662310797</v>
      </c>
      <c r="BE608" s="1"/>
      <c r="BF608" s="1"/>
      <c r="BG608" s="1"/>
      <c r="BH608" s="1"/>
      <c r="BI608" s="1"/>
      <c r="BJ608" s="1"/>
      <c r="BK608" s="1"/>
      <c r="BL608" s="1"/>
      <c r="BM608" s="1"/>
      <c r="BN608" s="1"/>
      <c r="BO608" s="1"/>
      <c r="BP608" s="1"/>
      <c r="BQ608" s="1"/>
      <c r="BR608" s="1"/>
      <c r="BS608" s="1"/>
      <c r="BT608" s="1"/>
      <c r="BU608" s="1"/>
      <c r="BV608" s="1"/>
      <c r="BW608" s="1"/>
      <c r="BX608" s="1"/>
      <c r="BY608" s="1"/>
      <c r="BZ608" s="1"/>
    </row>
    <row r="609" spans="2:78" ht="12" customHeight="1" outlineLevel="1" x14ac:dyDescent="0.25">
      <c r="B609" s="88" t="s">
        <v>106</v>
      </c>
      <c r="C609" s="88" t="s">
        <v>121</v>
      </c>
      <c r="D609" s="89" t="s">
        <v>137</v>
      </c>
      <c r="E609" s="89" t="s">
        <v>142</v>
      </c>
      <c r="F609" s="90" t="s">
        <v>92</v>
      </c>
      <c r="G609" s="18" t="s">
        <v>126</v>
      </c>
      <c r="H609" s="91" t="s">
        <v>127</v>
      </c>
      <c r="I609" s="92" t="s">
        <v>127</v>
      </c>
      <c r="J609" s="142">
        <v>4.9808850400000004</v>
      </c>
      <c r="K609" s="143">
        <v>0.32371000000000005</v>
      </c>
      <c r="L609" s="144">
        <f t="shared" ca="1" si="186"/>
        <v>12.156676809405873</v>
      </c>
      <c r="M609" s="143">
        <f t="shared" ca="1" si="187"/>
        <v>4.2589478499727758</v>
      </c>
      <c r="N609" s="143">
        <f t="shared" ca="1" si="189"/>
        <v>3.9352378499727756</v>
      </c>
      <c r="O609" s="1063" t="s">
        <v>1585</v>
      </c>
      <c r="P609" s="88"/>
      <c r="Q609" s="89"/>
      <c r="R609" s="150"/>
      <c r="S609" s="1070"/>
      <c r="T609" s="1070"/>
      <c r="U609" s="1070"/>
      <c r="V609" s="1070"/>
      <c r="W609" s="1070"/>
      <c r="X609" s="1070"/>
      <c r="Y609" s="1070"/>
      <c r="Z609" s="1070"/>
      <c r="AA609" s="1070"/>
      <c r="AB609" s="1070"/>
      <c r="AC609" s="1070"/>
      <c r="AD609" s="1070"/>
      <c r="AE609" s="1070"/>
      <c r="AF609" s="1070"/>
      <c r="AG609" s="1070"/>
      <c r="AH609" s="1070"/>
      <c r="AI609" s="1070"/>
      <c r="AJ609" s="1071"/>
      <c r="AK609" s="1048" cm="1">
        <f t="array" aca="1" ref="AK609" ca="1">INDEX(OFFSET($AK$19,MATCH($B609,$B$19:$B$150,0)-1,0,COUNTA($B$19:$B$24),COUNTA($AK$17:$BB$17)),MATCH($F609,$F$19:$F$24,0),MATCH(AK$17,$AK$17:$BB$17,0))*INDEX($10:$13,MATCH($O609,$R$10:$R$13,0),COLUMN())</f>
        <v>0.33862518416044801</v>
      </c>
      <c r="AL609" s="1046" cm="1">
        <f t="array" aca="1" ref="AL609" ca="1">INDEX(OFFSET($AK$19,MATCH($B609,$B$19:$B$150,0)-1,0,COUNTA($B$19:$B$24),COUNTA($AK$17:$BB$17)),MATCH($F609,$F$19:$F$24,0),MATCH(AL$17,$AK$17:$BB$17,0))*INDEX($10:$13,MATCH($O609,$R$10:$R$13,0),COLUMN())</f>
        <v>3.0633097536000002E-7</v>
      </c>
      <c r="AM609" s="1046" cm="1">
        <f t="array" aca="1" ref="AM609" ca="1">INDEX(OFFSET($AK$19,MATCH($B609,$B$19:$B$150,0)-1,0,COUNTA($B$19:$B$24),COUNTA($AK$17:$BB$17)),MATCH($F609,$F$19:$F$24,0),MATCH(AM$17,$AK$17:$BB$17,0))*INDEX($10:$13,MATCH($O609,$R$10:$R$13,0),COLUMN())</f>
        <v>4.9550635211999998E-4</v>
      </c>
      <c r="AN609" s="1046" cm="1">
        <f t="array" aca="1" ref="AN609" ca="1">INDEX(OFFSET($AK$19,MATCH($B609,$B$19:$B$150,0)-1,0,COUNTA($B$19:$B$24),COUNTA($AK$17:$BB$17)),MATCH($F609,$F$19:$F$24,0),MATCH(AN$17,$AK$17:$BB$17,0))*INDEX($10:$13,MATCH($O609,$R$10:$R$13,0),COLUMN())</f>
        <v>3.1036420800000003E-3</v>
      </c>
      <c r="AO609" s="1046" cm="1">
        <f t="array" aca="1" ref="AO609" ca="1">INDEX(OFFSET($AK$19,MATCH($B609,$B$19:$B$150,0)-1,0,COUNTA($B$19:$B$24),COUNTA($AK$17:$BB$17)),MATCH($F609,$F$19:$F$24,0),MATCH(AO$17,$AK$17:$BB$17,0))*INDEX($10:$13,MATCH($O609,$R$10:$R$13,0),COLUMN())</f>
        <v>0.13778431088000001</v>
      </c>
      <c r="AP609" s="1046" cm="1">
        <f t="array" aca="1" ref="AP609" ca="1">INDEX(OFFSET($AK$19,MATCH($B609,$B$19:$B$150,0)-1,0,COUNTA($B$19:$B$24),COUNTA($AK$17:$BB$17)),MATCH($F609,$F$19:$F$24,0),MATCH(AP$17,$AK$17:$BB$17,0))*INDEX($10:$13,MATCH($O609,$R$10:$R$13,0),COLUMN())</f>
        <v>8.3412948200000003E-2</v>
      </c>
      <c r="AQ609" s="1046" cm="1">
        <f t="array" aca="1" ref="AQ609" ca="1">INDEX(OFFSET($AK$19,MATCH($B609,$B$19:$B$150,0)-1,0,COUNTA($B$19:$B$24),COUNTA($AK$17:$BB$17)),MATCH($F609,$F$19:$F$24,0),MATCH(AQ$17,$AK$17:$BB$17,0))*INDEX($10:$13,MATCH($O609,$R$10:$R$13,0),COLUMN())</f>
        <v>9.4569733689999988E-4</v>
      </c>
      <c r="AR609" s="1046" cm="1">
        <f t="array" aca="1" ref="AR609" ca="1">INDEX(OFFSET($AK$19,MATCH($B609,$B$19:$B$150,0)-1,0,COUNTA($B$19:$B$24),COUNTA($AK$17:$BB$17)),MATCH($F609,$F$19:$F$24,0),MATCH(AR$17,$AK$17:$BB$17,0))*INDEX($10:$13,MATCH($O609,$R$10:$R$13,0),COLUMN())</f>
        <v>3.9988644349999998E-2</v>
      </c>
      <c r="AS609" s="1046" cm="1">
        <f t="array" aca="1" ref="AS609" ca="1">INDEX(OFFSET($AK$19,MATCH($B609,$B$19:$B$150,0)-1,0,COUNTA($B$19:$B$24),COUNTA($AK$17:$BB$17)),MATCH($F609,$F$19:$F$24,0),MATCH(AS$17,$AK$17:$BB$17,0))*INDEX($10:$13,MATCH($O609,$R$10:$R$13,0),COLUMN())</f>
        <v>0.2252634127</v>
      </c>
      <c r="AT609" s="1046" cm="1">
        <f t="array" aca="1" ref="AT609" ca="1">INDEX(OFFSET($AK$19,MATCH($B609,$B$19:$B$150,0)-1,0,COUNTA($B$19:$B$24),COUNTA($AK$17:$BB$17)),MATCH($F609,$F$19:$F$24,0),MATCH(AT$17,$AK$17:$BB$17,0))*INDEX($10:$13,MATCH($O609,$R$10:$R$13,0),COLUMN())</f>
        <v>2.5750890716999997E-4</v>
      </c>
      <c r="AU609" s="1046" cm="1">
        <f t="array" aca="1" ref="AU609" ca="1">INDEX(OFFSET($AK$19,MATCH($B609,$B$19:$B$150,0)-1,0,COUNTA($B$19:$B$24),COUNTA($AK$17:$BB$17)),MATCH($F609,$F$19:$F$24,0),MATCH(AU$17,$AK$17:$BB$17,0))*INDEX($10:$13,MATCH($O609,$R$10:$R$13,0),COLUMN())</f>
        <v>1.8282491397000001E-5</v>
      </c>
      <c r="AV609" s="1046" cm="1">
        <f t="array" aca="1" ref="AV609" ca="1">INDEX(OFFSET($AK$19,MATCH($B609,$B$19:$B$150,0)-1,0,COUNTA($B$19:$B$24),COUNTA($AK$17:$BB$17)),MATCH($F609,$F$19:$F$24,0),MATCH(AV$17,$AK$17:$BB$17,0))*INDEX($10:$13,MATCH($O609,$R$10:$R$13,0),COLUMN())</f>
        <v>2.2768725600000001E-2</v>
      </c>
      <c r="AW609" s="1046" cm="1">
        <f t="array" aca="1" ref="AW609" ca="1">INDEX(OFFSET($AK$19,MATCH($B609,$B$19:$B$150,0)-1,0,COUNTA($B$19:$B$24),COUNTA($AK$17:$BB$17)),MATCH($F609,$F$19:$F$24,0),MATCH(AW$17,$AK$17:$BB$17,0))*INDEX($10:$13,MATCH($O609,$R$10:$R$13,0),COLUMN())</f>
        <v>3.0825702810000002</v>
      </c>
      <c r="AX609" s="1046" cm="1">
        <f t="array" aca="1" ref="AX609" ca="1">INDEX(OFFSET($AK$19,MATCH($B609,$B$19:$B$150,0)-1,0,COUNTA($B$19:$B$24),COUNTA($AK$17:$BB$17)),MATCH($F609,$F$19:$F$24,0),MATCH(AX$17,$AK$17:$BB$17,0))*INDEX($10:$13,MATCH($O609,$R$10:$R$13,0),COLUMN())</f>
        <v>3.4921964449999999E-6</v>
      </c>
      <c r="AY609" s="1046" cm="1">
        <f t="array" aca="1" ref="AY609" ca="1">INDEX(OFFSET($AK$19,MATCH($B609,$B$19:$B$150,0)-1,0,COUNTA($B$19:$B$24),COUNTA($AK$17:$BB$17)),MATCH($F609,$F$19:$F$24,0),MATCH(AY$17,$AK$17:$BB$17,0))*INDEX($10:$13,MATCH($O609,$R$10:$R$13,0),COLUMN())</f>
        <v>-9.2612679862499991E-8</v>
      </c>
      <c r="AZ609" s="1046" cm="1">
        <f t="array" aca="1" ref="AZ609" ca="1">INDEX(OFFSET($AK$19,MATCH($B609,$B$19:$B$150,0)-1,0,COUNTA($B$19:$B$24),COUNTA($AK$17:$BB$17)),MATCH($F609,$F$19:$F$24,0),MATCH(AZ$17,$AK$17:$BB$17,0))*INDEX($10:$13,MATCH($O609,$R$10:$R$13,0),COLUMN())</f>
        <v>0</v>
      </c>
      <c r="BA609" s="1046" cm="1">
        <f t="array" aca="1" ref="BA609" ca="1">INDEX(OFFSET($AK$19,MATCH($B609,$B$19:$B$150,0)-1,0,COUNTA($B$19:$B$24),COUNTA($AK$17:$BB$17)),MATCH($F609,$F$19:$F$24,0),MATCH(BA$17,$AK$17:$BB$17,0))*INDEX($10:$13,MATCH($O609,$R$10:$R$13,0),COLUMN())</f>
        <v>0</v>
      </c>
      <c r="BB609" s="1047" cm="1">
        <f t="array" aca="1" ref="BB609" ca="1">INDEX(OFFSET($AK$19,MATCH($B609,$B$19:$B$150,0)-1,0,COUNTA($B$19:$B$24),COUNTA($AK$17:$BB$17)),MATCH($F609,$F$19:$F$24,0),MATCH(BB$17,$AK$17:$BB$17,0))*INDEX($10:$13,MATCH($O609,$R$10:$R$13,0),COLUMN())</f>
        <v>0</v>
      </c>
      <c r="BC609" s="1049">
        <f t="shared" ca="1" si="188"/>
        <v>3.0825736805837654</v>
      </c>
      <c r="BE609" s="1"/>
      <c r="BF609" s="1"/>
      <c r="BG609" s="1"/>
      <c r="BH609" s="1"/>
      <c r="BI609" s="1"/>
      <c r="BJ609" s="1"/>
      <c r="BK609" s="1"/>
      <c r="BL609" s="1"/>
      <c r="BM609" s="1"/>
      <c r="BN609" s="1"/>
      <c r="BO609" s="1"/>
      <c r="BP609" s="1"/>
      <c r="BQ609" s="1"/>
      <c r="BR609" s="1"/>
      <c r="BS609" s="1"/>
      <c r="BT609" s="1"/>
      <c r="BU609" s="1"/>
      <c r="BV609" s="1"/>
      <c r="BW609" s="1"/>
      <c r="BX609" s="1"/>
      <c r="BY609" s="1"/>
      <c r="BZ609" s="1"/>
    </row>
    <row r="610" spans="2:78" ht="12" customHeight="1" outlineLevel="1" x14ac:dyDescent="0.25">
      <c r="B610" s="104" t="s">
        <v>106</v>
      </c>
      <c r="C610" s="104" t="s">
        <v>121</v>
      </c>
      <c r="D610" s="2" t="s">
        <v>137</v>
      </c>
      <c r="E610" s="2" t="s">
        <v>142</v>
      </c>
      <c r="F610" s="105" t="s">
        <v>122</v>
      </c>
      <c r="G610" s="27" t="s">
        <v>1579</v>
      </c>
      <c r="H610" s="106" t="s">
        <v>128</v>
      </c>
      <c r="I610" s="107" t="s">
        <v>129</v>
      </c>
      <c r="J610" s="147">
        <v>4.9808850400000004</v>
      </c>
      <c r="K610" s="148">
        <v>0.70413000000000003</v>
      </c>
      <c r="L610" s="149">
        <f t="shared" ca="1" si="186"/>
        <v>5.4709744551863801</v>
      </c>
      <c r="M610" s="148">
        <f t="shared" ca="1" si="187"/>
        <v>4.5564072431303861</v>
      </c>
      <c r="N610" s="148">
        <f t="shared" ca="1" si="189"/>
        <v>3.852277243130386</v>
      </c>
      <c r="O610" s="1062" t="s">
        <v>1585</v>
      </c>
      <c r="P610" s="104"/>
      <c r="R610" s="119"/>
      <c r="S610" s="1072"/>
      <c r="T610" s="1072"/>
      <c r="U610" s="1072"/>
      <c r="V610" s="1072"/>
      <c r="W610" s="1072"/>
      <c r="X610" s="1072"/>
      <c r="Y610" s="1072"/>
      <c r="Z610" s="1072"/>
      <c r="AA610" s="1072"/>
      <c r="AB610" s="1072"/>
      <c r="AC610" s="1072"/>
      <c r="AD610" s="1072"/>
      <c r="AE610" s="1072"/>
      <c r="AF610" s="1072"/>
      <c r="AG610" s="1072"/>
      <c r="AH610" s="1072"/>
      <c r="AI610" s="1072"/>
      <c r="AJ610" s="1073"/>
      <c r="AK610" s="1052" cm="1">
        <f t="array" aca="1" ref="AK610" ca="1">INDEX(OFFSET($AK$19,MATCH($B610,$B$19:$B$150,0)-1,0,COUNTA($B$19:$B$24),COUNTA($AK$17:$BB$17)),MATCH($F610,$F$19:$F$24,0),MATCH(AK$17,$AK$17:$BB$17,0))*INDEX($10:$13,MATCH($O610,$R$10:$R$13,0),COLUMN())</f>
        <v>0.22525159226803199</v>
      </c>
      <c r="AL610" s="1050" cm="1">
        <f t="array" aca="1" ref="AL610" ca="1">INDEX(OFFSET($AK$19,MATCH($B610,$B$19:$B$150,0)-1,0,COUNTA($B$19:$B$24),COUNTA($AK$17:$BB$17)),MATCH($F610,$F$19:$F$24,0),MATCH(AL$17,$AK$17:$BB$17,0))*INDEX($10:$13,MATCH($O610,$R$10:$R$13,0),COLUMN())</f>
        <v>1.4796212681000002E-7</v>
      </c>
      <c r="AM610" s="1050" cm="1">
        <f t="array" aca="1" ref="AM610" ca="1">INDEX(OFFSET($AK$19,MATCH($B610,$B$19:$B$150,0)-1,0,COUNTA($B$19:$B$24),COUNTA($AK$17:$BB$17)),MATCH($F610,$F$19:$F$24,0),MATCH(AM$17,$AK$17:$BB$17,0))*INDEX($10:$13,MATCH($O610,$R$10:$R$13,0),COLUMN())</f>
        <v>2.3667437689999998E-4</v>
      </c>
      <c r="AN610" s="1050" cm="1">
        <f t="array" aca="1" ref="AN610" ca="1">INDEX(OFFSET($AK$19,MATCH($B610,$B$19:$B$150,0)-1,0,COUNTA($B$19:$B$24),COUNTA($AK$17:$BB$17)),MATCH($F610,$F$19:$F$24,0),MATCH(AN$17,$AK$17:$BB$17,0))*INDEX($10:$13,MATCH($O610,$R$10:$R$13,0),COLUMN())</f>
        <v>3.2373123760000002E-3</v>
      </c>
      <c r="AO610" s="1050" cm="1">
        <f t="array" aca="1" ref="AO610" ca="1">INDEX(OFFSET($AK$19,MATCH($B610,$B$19:$B$150,0)-1,0,COUNTA($B$19:$B$24),COUNTA($AK$17:$BB$17)),MATCH($F610,$F$19:$F$24,0),MATCH(AO$17,$AK$17:$BB$17,0))*INDEX($10:$13,MATCH($O610,$R$10:$R$13,0),COLUMN())</f>
        <v>4.9617719971999999E-2</v>
      </c>
      <c r="AP610" s="1050" cm="1">
        <f t="array" aca="1" ref="AP610" ca="1">INDEX(OFFSET($AK$19,MATCH($B610,$B$19:$B$150,0)-1,0,COUNTA($B$19:$B$24),COUNTA($AK$17:$BB$17)),MATCH($F610,$F$19:$F$24,0),MATCH(AP$17,$AK$17:$BB$17,0))*INDEX($10:$13,MATCH($O610,$R$10:$R$13,0),COLUMN())</f>
        <v>2.0141211880000003E-2</v>
      </c>
      <c r="AQ610" s="1050" cm="1">
        <f t="array" aca="1" ref="AQ610" ca="1">INDEX(OFFSET($AK$19,MATCH($B610,$B$19:$B$150,0)-1,0,COUNTA($B$19:$B$24),COUNTA($AK$17:$BB$17)),MATCH($F610,$F$19:$F$24,0),MATCH(AQ$17,$AK$17:$BB$17,0))*INDEX($10:$13,MATCH($O610,$R$10:$R$13,0),COLUMN())</f>
        <v>1.3658077052999999E-4</v>
      </c>
      <c r="AR610" s="1050" cm="1">
        <f t="array" aca="1" ref="AR610" ca="1">INDEX(OFFSET($AK$19,MATCH($B610,$B$19:$B$150,0)-1,0,COUNTA($B$19:$B$24),COUNTA($AK$17:$BB$17)),MATCH($F610,$F$19:$F$24,0),MATCH(AR$17,$AK$17:$BB$17,0))*INDEX($10:$13,MATCH($O610,$R$10:$R$13,0),COLUMN())</f>
        <v>1.5974496650999998E-2</v>
      </c>
      <c r="AS610" s="1050" cm="1">
        <f t="array" aca="1" ref="AS610" ca="1">INDEX(OFFSET($AK$19,MATCH($B610,$B$19:$B$150,0)-1,0,COUNTA($B$19:$B$24),COUNTA($AK$17:$BB$17)),MATCH($F610,$F$19:$F$24,0),MATCH(AS$17,$AK$17:$BB$17,0))*INDEX($10:$13,MATCH($O610,$R$10:$R$13,0),COLUMN())</f>
        <v>-3.6461573610000001E-6</v>
      </c>
      <c r="AT610" s="1050" cm="1">
        <f t="array" aca="1" ref="AT610" ca="1">INDEX(OFFSET($AK$19,MATCH($B610,$B$19:$B$150,0)-1,0,COUNTA($B$19:$B$24),COUNTA($AK$17:$BB$17)),MATCH($F610,$F$19:$F$24,0),MATCH(AT$17,$AK$17:$BB$17,0))*INDEX($10:$13,MATCH($O610,$R$10:$R$13,0),COLUMN())</f>
        <v>1.1415309837E-5</v>
      </c>
      <c r="AU610" s="1050" cm="1">
        <f t="array" aca="1" ref="AU610" ca="1">INDEX(OFFSET($AK$19,MATCH($B610,$B$19:$B$150,0)-1,0,COUNTA($B$19:$B$24),COUNTA($AK$17:$BB$17)),MATCH($F610,$F$19:$F$24,0),MATCH(AU$17,$AK$17:$BB$17,0))*INDEX($10:$13,MATCH($O610,$R$10:$R$13,0),COLUMN())</f>
        <v>2.3859827505000002E-6</v>
      </c>
      <c r="AV610" s="1050" cm="1">
        <f t="array" aca="1" ref="AV610" ca="1">INDEX(OFFSET($AK$19,MATCH($B610,$B$19:$B$150,0)-1,0,COUNTA($B$19:$B$24),COUNTA($AK$17:$BB$17)),MATCH($F610,$F$19:$F$24,0),MATCH(AV$17,$AK$17:$BB$17,0))*INDEX($10:$13,MATCH($O610,$R$10:$R$13,0),COLUMN())</f>
        <v>2.6329450230000002E-3</v>
      </c>
      <c r="AW610" s="1050" cm="1">
        <f t="array" aca="1" ref="AW610" ca="1">INDEX(OFFSET($AK$19,MATCH($B610,$B$19:$B$150,0)-1,0,COUNTA($B$19:$B$24),COUNTA($AK$17:$BB$17)),MATCH($F610,$F$19:$F$24,0),MATCH(AW$17,$AK$17:$BB$17,0))*INDEX($10:$13,MATCH($O610,$R$10:$R$13,0),COLUMN())</f>
        <v>3.5350375095</v>
      </c>
      <c r="AX610" s="1050" cm="1">
        <f t="array" aca="1" ref="AX610" ca="1">INDEX(OFFSET($AK$19,MATCH($B610,$B$19:$B$150,0)-1,0,COUNTA($B$19:$B$24),COUNTA($AK$17:$BB$17)),MATCH($F610,$F$19:$F$24,0),MATCH(AX$17,$AK$17:$BB$17,0))*INDEX($10:$13,MATCH($O610,$R$10:$R$13,0),COLUMN())</f>
        <v>9.2095085299999997E-7</v>
      </c>
      <c r="AY610" s="1050" cm="1">
        <f t="array" aca="1" ref="AY610" ca="1">INDEX(OFFSET($AK$19,MATCH($B610,$B$19:$B$150,0)-1,0,COUNTA($B$19:$B$24),COUNTA($AK$17:$BB$17)),MATCH($F610,$F$19:$F$24,0),MATCH(AY$17,$AK$17:$BB$17,0))*INDEX($10:$13,MATCH($O610,$R$10:$R$13,0),COLUMN())</f>
        <v>-2.3735282109375E-8</v>
      </c>
      <c r="AZ610" s="1050" cm="1">
        <f t="array" aca="1" ref="AZ610" ca="1">INDEX(OFFSET($AK$19,MATCH($B610,$B$19:$B$150,0)-1,0,COUNTA($B$19:$B$24),COUNTA($AK$17:$BB$17)),MATCH($F610,$F$19:$F$24,0),MATCH(AZ$17,$AK$17:$BB$17,0))*INDEX($10:$13,MATCH($O610,$R$10:$R$13,0),COLUMN())</f>
        <v>0</v>
      </c>
      <c r="BA610" s="1050" cm="1">
        <f t="array" aca="1" ref="BA610" ca="1">INDEX(OFFSET($AK$19,MATCH($B610,$B$19:$B$150,0)-1,0,COUNTA($B$19:$B$24),COUNTA($AK$17:$BB$17)),MATCH($F610,$F$19:$F$24,0),MATCH(BA$17,$AK$17:$BB$17,0))*INDEX($10:$13,MATCH($O610,$R$10:$R$13,0),COLUMN())</f>
        <v>0</v>
      </c>
      <c r="BB610" s="1051" cm="1">
        <f t="array" aca="1" ref="BB610" ca="1">INDEX(OFFSET($AK$19,MATCH($B610,$B$19:$B$150,0)-1,0,COUNTA($B$19:$B$24),COUNTA($AK$17:$BB$17)),MATCH($F610,$F$19:$F$24,0),MATCH(BB$17,$AK$17:$BB$17,0))*INDEX($10:$13,MATCH($O610,$R$10:$R$13,0),COLUMN())</f>
        <v>0</v>
      </c>
      <c r="BC610" s="1053">
        <f t="shared" ca="1" si="188"/>
        <v>3.5350384067155707</v>
      </c>
      <c r="BE610" s="1"/>
      <c r="BF610" s="1"/>
      <c r="BG610" s="1"/>
      <c r="BH610" s="1"/>
      <c r="BI610" s="1"/>
      <c r="BJ610" s="1"/>
      <c r="BK610" s="1"/>
      <c r="BL610" s="1"/>
      <c r="BM610" s="1"/>
      <c r="BN610" s="1"/>
      <c r="BO610" s="1"/>
      <c r="BP610" s="1"/>
      <c r="BQ610" s="1"/>
      <c r="BR610" s="1"/>
      <c r="BS610" s="1"/>
      <c r="BT610" s="1"/>
      <c r="BU610" s="1"/>
      <c r="BV610" s="1"/>
      <c r="BW610" s="1"/>
      <c r="BX610" s="1"/>
      <c r="BY610" s="1"/>
      <c r="BZ610" s="1"/>
    </row>
    <row r="611" spans="2:78" ht="12" customHeight="1" outlineLevel="1" x14ac:dyDescent="0.25">
      <c r="B611" s="104" t="s">
        <v>106</v>
      </c>
      <c r="C611" s="104" t="s">
        <v>121</v>
      </c>
      <c r="D611" s="2" t="s">
        <v>137</v>
      </c>
      <c r="E611" s="2" t="s">
        <v>142</v>
      </c>
      <c r="F611" s="105" t="s">
        <v>93</v>
      </c>
      <c r="G611" s="27" t="s">
        <v>1578</v>
      </c>
      <c r="H611" s="106" t="s">
        <v>130</v>
      </c>
      <c r="I611" s="107" t="s">
        <v>129</v>
      </c>
      <c r="J611" s="147">
        <v>4.9808850400000004</v>
      </c>
      <c r="K611" s="148">
        <v>0.70413000000000003</v>
      </c>
      <c r="L611" s="149">
        <f t="shared" ca="1" si="186"/>
        <v>7.3786419043826772</v>
      </c>
      <c r="M611" s="148">
        <f t="shared" ca="1" si="187"/>
        <v>5.8996531241329748</v>
      </c>
      <c r="N611" s="148">
        <f t="shared" ca="1" si="189"/>
        <v>5.1955231241329747</v>
      </c>
      <c r="O611" s="1062" t="s">
        <v>1585</v>
      </c>
      <c r="P611" s="104"/>
      <c r="R611" s="119"/>
      <c r="S611" s="1072"/>
      <c r="T611" s="1072"/>
      <c r="U611" s="1072"/>
      <c r="V611" s="1072"/>
      <c r="W611" s="1072"/>
      <c r="X611" s="1072"/>
      <c r="Y611" s="1072"/>
      <c r="Z611" s="1072"/>
      <c r="AA611" s="1072"/>
      <c r="AB611" s="1072"/>
      <c r="AC611" s="1072"/>
      <c r="AD611" s="1072"/>
      <c r="AE611" s="1072"/>
      <c r="AF611" s="1072"/>
      <c r="AG611" s="1072"/>
      <c r="AH611" s="1072"/>
      <c r="AI611" s="1072"/>
      <c r="AJ611" s="1073"/>
      <c r="AK611" s="1052" cm="1">
        <f t="array" aca="1" ref="AK611" ca="1">INDEX(OFFSET($AK$19,MATCH($B611,$B$19:$B$150,0)-1,0,COUNTA($B$19:$B$24),COUNTA($AK$17:$BB$17)),MATCH($F611,$F$19:$F$24,0),MATCH(AK$17,$AK$17:$BB$17,0))*INDEX($10:$13,MATCH($O611,$R$10:$R$13,0),COLUMN())</f>
        <v>0.30374002300684799</v>
      </c>
      <c r="AL611" s="1050" cm="1">
        <f t="array" aca="1" ref="AL611" ca="1">INDEX(OFFSET($AK$19,MATCH($B611,$B$19:$B$150,0)-1,0,COUNTA($B$19:$B$24),COUNTA($AK$17:$BB$17)),MATCH($F611,$F$19:$F$24,0),MATCH(AL$17,$AK$17:$BB$17,0))*INDEX($10:$13,MATCH($O611,$R$10:$R$13,0),COLUMN())</f>
        <v>1.9951920790000002E-7</v>
      </c>
      <c r="AM611" s="1050" cm="1">
        <f t="array" aca="1" ref="AM611" ca="1">INDEX(OFFSET($AK$19,MATCH($B611,$B$19:$B$150,0)-1,0,COUNTA($B$19:$B$24),COUNTA($AK$17:$BB$17)),MATCH($F611,$F$19:$F$24,0),MATCH(AM$17,$AK$17:$BB$17,0))*INDEX($10:$13,MATCH($O611,$R$10:$R$13,0),COLUMN())</f>
        <v>3.1914304994000003E-4</v>
      </c>
      <c r="AN611" s="1050" cm="1">
        <f t="array" aca="1" ref="AN611" ca="1">INDEX(OFFSET($AK$19,MATCH($B611,$B$19:$B$150,0)-1,0,COUNTA($B$19:$B$24),COUNTA($AK$17:$BB$17)),MATCH($F611,$F$19:$F$24,0),MATCH(AN$17,$AK$17:$BB$17,0))*INDEX($10:$13,MATCH($O611,$R$10:$R$13,0),COLUMN())</f>
        <v>4.3653468240000002E-3</v>
      </c>
      <c r="AO611" s="1050" cm="1">
        <f t="array" aca="1" ref="AO611" ca="1">INDEX(OFFSET($AK$19,MATCH($B611,$B$19:$B$150,0)-1,0,COUNTA($B$19:$B$24),COUNTA($AK$17:$BB$17)),MATCH($F611,$F$19:$F$24,0),MATCH(AO$17,$AK$17:$BB$17,0))*INDEX($10:$13,MATCH($O611,$R$10:$R$13,0),COLUMN())</f>
        <v>6.6906910119999996E-2</v>
      </c>
      <c r="AP611" s="1050" cm="1">
        <f t="array" aca="1" ref="AP611" ca="1">INDEX(OFFSET($AK$19,MATCH($B611,$B$19:$B$150,0)-1,0,COUNTA($B$19:$B$24),COUNTA($AK$17:$BB$17)),MATCH($F611,$F$19:$F$24,0),MATCH(AP$17,$AK$17:$BB$17,0))*INDEX($10:$13,MATCH($O611,$R$10:$R$13,0),COLUMN())</f>
        <v>2.7159373593999999E-2</v>
      </c>
      <c r="AQ611" s="1050" cm="1">
        <f t="array" aca="1" ref="AQ611" ca="1">INDEX(OFFSET($AK$19,MATCH($B611,$B$19:$B$150,0)-1,0,COUNTA($B$19:$B$24),COUNTA($AK$17:$BB$17)),MATCH($F611,$F$19:$F$24,0),MATCH(AQ$17,$AK$17:$BB$17,0))*INDEX($10:$13,MATCH($O611,$R$10:$R$13,0),COLUMN())</f>
        <v>1.8417204418999999E-4</v>
      </c>
      <c r="AR611" s="1050" cm="1">
        <f t="array" aca="1" ref="AR611" ca="1">INDEX(OFFSET($AK$19,MATCH($B611,$B$19:$B$150,0)-1,0,COUNTA($B$19:$B$24),COUNTA($AK$17:$BB$17)),MATCH($F611,$F$19:$F$24,0),MATCH(AR$17,$AK$17:$BB$17,0))*INDEX($10:$13,MATCH($O611,$R$10:$R$13,0),COLUMN())</f>
        <v>2.1540775272999999E-2</v>
      </c>
      <c r="AS611" s="1050" cm="1">
        <f t="array" aca="1" ref="AS611" ca="1">INDEX(OFFSET($AK$19,MATCH($B611,$B$19:$B$150,0)-1,0,COUNTA($B$19:$B$24),COUNTA($AK$17:$BB$17)),MATCH($F611,$F$19:$F$24,0),MATCH(AS$17,$AK$17:$BB$17,0))*INDEX($10:$13,MATCH($O611,$R$10:$R$13,0),COLUMN())</f>
        <v>2.8253207114999995E-4</v>
      </c>
      <c r="AT611" s="1050" cm="1">
        <f t="array" aca="1" ref="AT611" ca="1">INDEX(OFFSET($AK$19,MATCH($B611,$B$19:$B$150,0)-1,0,COUNTA($B$19:$B$24),COUNTA($AK$17:$BB$17)),MATCH($F611,$F$19:$F$24,0),MATCH(AT$17,$AK$17:$BB$17,0))*INDEX($10:$13,MATCH($O611,$R$10:$R$13,0),COLUMN())</f>
        <v>1.5498828413999999E-5</v>
      </c>
      <c r="AU611" s="1050" cm="1">
        <f t="array" aca="1" ref="AU611" ca="1">INDEX(OFFSET($AK$19,MATCH($B611,$B$19:$B$150,0)-1,0,COUNTA($B$19:$B$24),COUNTA($AK$17:$BB$17)),MATCH($F611,$F$19:$F$24,0),MATCH(AU$17,$AK$17:$BB$17,0))*INDEX($10:$13,MATCH($O611,$R$10:$R$13,0),COLUMN())</f>
        <v>3.2283298413000007E-6</v>
      </c>
      <c r="AV611" s="1050" cm="1">
        <f t="array" aca="1" ref="AV611" ca="1">INDEX(OFFSET($AK$19,MATCH($B611,$B$19:$B$150,0)-1,0,COUNTA($B$19:$B$24),COUNTA($AK$17:$BB$17)),MATCH($F611,$F$19:$F$24,0),MATCH(AV$17,$AK$17:$BB$17,0))*INDEX($10:$13,MATCH($O611,$R$10:$R$13,0),COLUMN())</f>
        <v>4.1910231239999998E-3</v>
      </c>
      <c r="AW611" s="1050" cm="1">
        <f t="array" aca="1" ref="AW611" ca="1">INDEX(OFFSET($AK$19,MATCH($B611,$B$19:$B$150,0)-1,0,COUNTA($B$19:$B$24),COUNTA($AK$17:$BB$17)),MATCH($F611,$F$19:$F$24,0),MATCH(AW$17,$AK$17:$BB$17,0))*INDEX($10:$13,MATCH($O611,$R$10:$R$13,0),COLUMN())</f>
        <v>4.7668136885000001</v>
      </c>
      <c r="AX611" s="1050" cm="1">
        <f t="array" aca="1" ref="AX611" ca="1">INDEX(OFFSET($AK$19,MATCH($B611,$B$19:$B$150,0)-1,0,COUNTA($B$19:$B$24),COUNTA($AK$17:$BB$17)),MATCH($F611,$F$19:$F$24,0),MATCH(AX$17,$AK$17:$BB$17,0))*INDEX($10:$13,MATCH($O611,$R$10:$R$13,0),COLUMN())</f>
        <v>1.241854173E-6</v>
      </c>
      <c r="AY611" s="1050" cm="1">
        <f t="array" aca="1" ref="AY611" ca="1">INDEX(OFFSET($AK$19,MATCH($B611,$B$19:$B$150,0)-1,0,COUNTA($B$19:$B$24),COUNTA($AK$17:$BB$17)),MATCH($F611,$F$19:$F$24,0),MATCH(AY$17,$AK$17:$BB$17,0))*INDEX($10:$13,MATCH($O611,$R$10:$R$13,0),COLUMN())</f>
        <v>-3.2005790156249999E-8</v>
      </c>
      <c r="AZ611" s="1050" cm="1">
        <f t="array" aca="1" ref="AZ611" ca="1">INDEX(OFFSET($AK$19,MATCH($B611,$B$19:$B$150,0)-1,0,COUNTA($B$19:$B$24),COUNTA($AK$17:$BB$17)),MATCH($F611,$F$19:$F$24,0),MATCH(AZ$17,$AK$17:$BB$17,0))*INDEX($10:$13,MATCH($O611,$R$10:$R$13,0),COLUMN())</f>
        <v>0</v>
      </c>
      <c r="BA611" s="1050" cm="1">
        <f t="array" aca="1" ref="BA611" ca="1">INDEX(OFFSET($AK$19,MATCH($B611,$B$19:$B$150,0)-1,0,COUNTA($B$19:$B$24),COUNTA($AK$17:$BB$17)),MATCH($F611,$F$19:$F$24,0),MATCH(BA$17,$AK$17:$BB$17,0))*INDEX($10:$13,MATCH($O611,$R$10:$R$13,0),COLUMN())</f>
        <v>0</v>
      </c>
      <c r="BB611" s="1051" cm="1">
        <f t="array" aca="1" ref="BB611" ca="1">INDEX(OFFSET($AK$19,MATCH($B611,$B$19:$B$150,0)-1,0,COUNTA($B$19:$B$24),COUNTA($AK$17:$BB$17)),MATCH($F611,$F$19:$F$24,0),MATCH(BB$17,$AK$17:$BB$17,0))*INDEX($10:$13,MATCH($O611,$R$10:$R$13,0),COLUMN())</f>
        <v>0</v>
      </c>
      <c r="BC611" s="1053">
        <f t="shared" ca="1" si="188"/>
        <v>4.7668148983483833</v>
      </c>
      <c r="BE611" s="1"/>
      <c r="BF611" s="1"/>
      <c r="BG611" s="1"/>
      <c r="BH611" s="1"/>
      <c r="BI611" s="1"/>
      <c r="BJ611" s="1"/>
      <c r="BK611" s="1"/>
      <c r="BL611" s="1"/>
      <c r="BM611" s="1"/>
      <c r="BN611" s="1"/>
      <c r="BO611" s="1"/>
      <c r="BP611" s="1"/>
      <c r="BQ611" s="1"/>
      <c r="BR611" s="1"/>
      <c r="BS611" s="1"/>
      <c r="BT611" s="1"/>
      <c r="BU611" s="1"/>
      <c r="BV611" s="1"/>
      <c r="BW611" s="1"/>
      <c r="BX611" s="1"/>
      <c r="BY611" s="1"/>
      <c r="BZ611" s="1"/>
    </row>
    <row r="612" spans="2:78" ht="12" customHeight="1" outlineLevel="1" x14ac:dyDescent="0.25">
      <c r="B612" s="104" t="s">
        <v>106</v>
      </c>
      <c r="C612" s="104" t="s">
        <v>121</v>
      </c>
      <c r="D612" s="2" t="s">
        <v>137</v>
      </c>
      <c r="E612" s="2" t="s">
        <v>142</v>
      </c>
      <c r="F612" s="105" t="s">
        <v>94</v>
      </c>
      <c r="G612" s="27" t="s">
        <v>1580</v>
      </c>
      <c r="H612" s="106" t="s">
        <v>131</v>
      </c>
      <c r="I612" s="107" t="s">
        <v>129</v>
      </c>
      <c r="J612" s="147">
        <v>4.9808850400000004</v>
      </c>
      <c r="K612" s="148">
        <v>0.70413000000000003</v>
      </c>
      <c r="L612" s="149">
        <f t="shared" ca="1" si="186"/>
        <v>4.3453452888483053</v>
      </c>
      <c r="M612" s="148">
        <f t="shared" ca="1" si="187"/>
        <v>3.7638179782367573</v>
      </c>
      <c r="N612" s="148">
        <f t="shared" ca="1" si="189"/>
        <v>3.0596879782367572</v>
      </c>
      <c r="O612" s="1062" t="s">
        <v>1585</v>
      </c>
      <c r="P612" s="104"/>
      <c r="R612" s="119"/>
      <c r="S612" s="1072"/>
      <c r="T612" s="1072"/>
      <c r="U612" s="1072"/>
      <c r="V612" s="1072"/>
      <c r="W612" s="1072"/>
      <c r="X612" s="1072"/>
      <c r="Y612" s="1072"/>
      <c r="Z612" s="1072"/>
      <c r="AA612" s="1072"/>
      <c r="AB612" s="1072"/>
      <c r="AC612" s="1072"/>
      <c r="AD612" s="1072"/>
      <c r="AE612" s="1072"/>
      <c r="AF612" s="1072"/>
      <c r="AG612" s="1072"/>
      <c r="AH612" s="1072"/>
      <c r="AI612" s="1072"/>
      <c r="AJ612" s="1073"/>
      <c r="AK612" s="1052" cm="1">
        <f t="array" aca="1" ref="AK612" ca="1">INDEX(OFFSET($AK$19,MATCH($B612,$B$19:$B$150,0)-1,0,COUNTA($B$19:$B$24),COUNTA($AK$17:$BB$17)),MATCH($F612,$F$19:$F$24,0),MATCH(AK$17,$AK$17:$BB$17,0))*INDEX($10:$13,MATCH($O612,$R$10:$R$13,0),COLUMN())</f>
        <v>0.17893903333055999</v>
      </c>
      <c r="AL612" s="1050" cm="1">
        <f t="array" aca="1" ref="AL612" ca="1">INDEX(OFFSET($AK$19,MATCH($B612,$B$19:$B$150,0)-1,0,COUNTA($B$19:$B$24),COUNTA($AK$17:$BB$17)),MATCH($F612,$F$19:$F$24,0),MATCH(AL$17,$AK$17:$BB$17,0))*INDEX($10:$13,MATCH($O612,$R$10:$R$13,0),COLUMN())</f>
        <v>1.1754056452000001E-7</v>
      </c>
      <c r="AM612" s="1050" cm="1">
        <f t="array" aca="1" ref="AM612" ca="1">INDEX(OFFSET($AK$19,MATCH($B612,$B$19:$B$150,0)-1,0,COUNTA($B$19:$B$24),COUNTA($AK$17:$BB$17)),MATCH($F612,$F$19:$F$24,0),MATCH(AM$17,$AK$17:$BB$17,0))*INDEX($10:$13,MATCH($O612,$R$10:$R$13,0),COLUMN())</f>
        <v>1.8801325113999999E-4</v>
      </c>
      <c r="AN612" s="1050" cm="1">
        <f t="array" aca="1" ref="AN612" ca="1">INDEX(OFFSET($AK$19,MATCH($B612,$B$19:$B$150,0)-1,0,COUNTA($B$19:$B$24),COUNTA($AK$17:$BB$17)),MATCH($F612,$F$19:$F$24,0),MATCH(AN$17,$AK$17:$BB$17,0))*INDEX($10:$13,MATCH($O612,$R$10:$R$13,0),COLUMN())</f>
        <v>2.5717089360000004E-3</v>
      </c>
      <c r="AO612" s="1050" cm="1">
        <f t="array" aca="1" ref="AO612" ca="1">INDEX(OFFSET($AK$19,MATCH($B612,$B$19:$B$150,0)-1,0,COUNTA($B$19:$B$24),COUNTA($AK$17:$BB$17)),MATCH($F612,$F$19:$F$24,0),MATCH(AO$17,$AK$17:$BB$17,0))*INDEX($10:$13,MATCH($O612,$R$10:$R$13,0),COLUMN())</f>
        <v>3.9416133396000003E-2</v>
      </c>
      <c r="AP612" s="1050" cm="1">
        <f t="array" aca="1" ref="AP612" ca="1">INDEX(OFFSET($AK$19,MATCH($B612,$B$19:$B$150,0)-1,0,COUNTA($B$19:$B$24),COUNTA($AK$17:$BB$17)),MATCH($F612,$F$19:$F$24,0),MATCH(AP$17,$AK$17:$BB$17,0))*INDEX($10:$13,MATCH($O612,$R$10:$R$13,0),COLUMN())</f>
        <v>1.6000104575999999E-2</v>
      </c>
      <c r="AQ612" s="1050" cm="1">
        <f t="array" aca="1" ref="AQ612" ca="1">INDEX(OFFSET($AK$19,MATCH($B612,$B$19:$B$150,0)-1,0,COUNTA($B$19:$B$24),COUNTA($AK$17:$BB$17)),MATCH($F612,$F$19:$F$24,0),MATCH(AQ$17,$AK$17:$BB$17,0))*INDEX($10:$13,MATCH($O612,$R$10:$R$13,0),COLUMN())</f>
        <v>1.0849925949999999E-4</v>
      </c>
      <c r="AR612" s="1050" cm="1">
        <f t="array" aca="1" ref="AR612" ca="1">INDEX(OFFSET($AK$19,MATCH($B612,$B$19:$B$150,0)-1,0,COUNTA($B$19:$B$24),COUNTA($AK$17:$BB$17)),MATCH($F612,$F$19:$F$24,0),MATCH(AR$17,$AK$17:$BB$17,0))*INDEX($10:$13,MATCH($O612,$R$10:$R$13,0),COLUMN())</f>
        <v>1.2690081008999999E-2</v>
      </c>
      <c r="AS612" s="1050" cm="1">
        <f t="array" aca="1" ref="AS612" ca="1">INDEX(OFFSET($AK$19,MATCH($B612,$B$19:$B$150,0)-1,0,COUNTA($B$19:$B$24),COUNTA($AK$17:$BB$17)),MATCH($F612,$F$19:$F$24,0),MATCH(AS$17,$AK$17:$BB$17,0))*INDEX($10:$13,MATCH($O612,$R$10:$R$13,0),COLUMN())</f>
        <v>-1.7223797664999997E-4</v>
      </c>
      <c r="AT612" s="1050" cm="1">
        <f t="array" aca="1" ref="AT612" ca="1">INDEX(OFFSET($AK$19,MATCH($B612,$B$19:$B$150,0)-1,0,COUNTA($B$19:$B$24),COUNTA($AK$17:$BB$17)),MATCH($F612,$F$19:$F$24,0),MATCH(AT$17,$AK$17:$BB$17,0))*INDEX($10:$13,MATCH($O612,$R$10:$R$13,0),COLUMN())</f>
        <v>9.0059047429999987E-6</v>
      </c>
      <c r="AU612" s="1050" cm="1">
        <f t="array" aca="1" ref="AU612" ca="1">INDEX(OFFSET($AK$19,MATCH($B612,$B$19:$B$150,0)-1,0,COUNTA($B$19:$B$24),COUNTA($AK$17:$BB$17)),MATCH($F612,$F$19:$F$24,0),MATCH(AU$17,$AK$17:$BB$17,0))*INDEX($10:$13,MATCH($O612,$R$10:$R$13,0),COLUMN())</f>
        <v>1.8889611858000001E-6</v>
      </c>
      <c r="AV612" s="1050" cm="1">
        <f t="array" aca="1" ref="AV612" ca="1">INDEX(OFFSET($AK$19,MATCH($B612,$B$19:$B$150,0)-1,0,COUNTA($B$19:$B$24),COUNTA($AK$17:$BB$17)),MATCH($F612,$F$19:$F$24,0),MATCH(AV$17,$AK$17:$BB$17,0))*INDEX($10:$13,MATCH($O612,$R$10:$R$13,0),COLUMN())</f>
        <v>1.7141918040000001E-3</v>
      </c>
      <c r="AW612" s="1050" cm="1">
        <f t="array" aca="1" ref="AW612" ca="1">INDEX(OFFSET($AK$19,MATCH($B612,$B$19:$B$150,0)-1,0,COUNTA($B$19:$B$24),COUNTA($AK$17:$BB$17)),MATCH($F612,$F$19:$F$24,0),MATCH(AW$17,$AK$17:$BB$17,0))*INDEX($10:$13,MATCH($O612,$R$10:$R$13,0),COLUMN())</f>
        <v>2.8082207255000005</v>
      </c>
      <c r="AX612" s="1050" cm="1">
        <f t="array" aca="1" ref="AX612" ca="1">INDEX(OFFSET($AK$19,MATCH($B612,$B$19:$B$150,0)-1,0,COUNTA($B$19:$B$24),COUNTA($AK$17:$BB$17)),MATCH($F612,$F$19:$F$24,0),MATCH(AX$17,$AK$17:$BB$17,0))*INDEX($10:$13,MATCH($O612,$R$10:$R$13,0),COLUMN())</f>
        <v>7.3159993350000014E-7</v>
      </c>
      <c r="AY612" s="1050" cm="1">
        <f t="array" aca="1" ref="AY612" ca="1">INDEX(OFFSET($AK$19,MATCH($B612,$B$19:$B$150,0)-1,0,COUNTA($B$19:$B$24),COUNTA($AK$17:$BB$17)),MATCH($F612,$F$19:$F$24,0),MATCH(AY$17,$AK$17:$BB$17,0))*INDEX($10:$13,MATCH($O612,$R$10:$R$13,0),COLUMN())</f>
        <v>-1.8855220179375002E-8</v>
      </c>
      <c r="AZ612" s="1050" cm="1">
        <f t="array" aca="1" ref="AZ612" ca="1">INDEX(OFFSET($AK$19,MATCH($B612,$B$19:$B$150,0)-1,0,COUNTA($B$19:$B$24),COUNTA($AK$17:$BB$17)),MATCH($F612,$F$19:$F$24,0),MATCH(AZ$17,$AK$17:$BB$17,0))*INDEX($10:$13,MATCH($O612,$R$10:$R$13,0),COLUMN())</f>
        <v>0</v>
      </c>
      <c r="BA612" s="1050" cm="1">
        <f t="array" aca="1" ref="BA612" ca="1">INDEX(OFFSET($AK$19,MATCH($B612,$B$19:$B$150,0)-1,0,COUNTA($B$19:$B$24),COUNTA($AK$17:$BB$17)),MATCH($F612,$F$19:$F$24,0),MATCH(BA$17,$AK$17:$BB$17,0))*INDEX($10:$13,MATCH($O612,$R$10:$R$13,0),COLUMN())</f>
        <v>0</v>
      </c>
      <c r="BB612" s="1051" cm="1">
        <f t="array" aca="1" ref="BB612" ca="1">INDEX(OFFSET($AK$19,MATCH($B612,$B$19:$B$150,0)-1,0,COUNTA($B$19:$B$24),COUNTA($AK$17:$BB$17)),MATCH($F612,$F$19:$F$24,0),MATCH(BB$17,$AK$17:$BB$17,0))*INDEX($10:$13,MATCH($O612,$R$10:$R$13,0),COLUMN())</f>
        <v>0</v>
      </c>
      <c r="BC612" s="1053">
        <f t="shared" ca="1" si="188"/>
        <v>2.8082214382447139</v>
      </c>
      <c r="BE612" s="1"/>
      <c r="BF612" s="1"/>
      <c r="BG612" s="1"/>
      <c r="BH612" s="1"/>
      <c r="BI612" s="1"/>
      <c r="BJ612" s="1"/>
      <c r="BK612" s="1"/>
      <c r="BL612" s="1"/>
      <c r="BM612" s="1"/>
      <c r="BN612" s="1"/>
      <c r="BO612" s="1"/>
      <c r="BP612" s="1"/>
      <c r="BQ612" s="1"/>
      <c r="BR612" s="1"/>
      <c r="BS612" s="1"/>
      <c r="BT612" s="1"/>
      <c r="BU612" s="1"/>
      <c r="BV612" s="1"/>
      <c r="BW612" s="1"/>
      <c r="BX612" s="1"/>
      <c r="BY612" s="1"/>
      <c r="BZ612" s="1"/>
    </row>
    <row r="613" spans="2:78" ht="12" customHeight="1" outlineLevel="1" x14ac:dyDescent="0.25">
      <c r="B613" s="104" t="s">
        <v>106</v>
      </c>
      <c r="C613" s="104" t="s">
        <v>121</v>
      </c>
      <c r="D613" s="2" t="s">
        <v>137</v>
      </c>
      <c r="E613" s="2" t="s">
        <v>142</v>
      </c>
      <c r="F613" s="105" t="s">
        <v>95</v>
      </c>
      <c r="G613" s="27" t="s">
        <v>1581</v>
      </c>
      <c r="H613" s="106" t="s">
        <v>128</v>
      </c>
      <c r="I613" s="107" t="s">
        <v>127</v>
      </c>
      <c r="J613" s="147">
        <v>4.9808850400000004</v>
      </c>
      <c r="K613" s="148">
        <v>0.70413000000000003</v>
      </c>
      <c r="L613" s="149">
        <f t="shared" ca="1" si="186"/>
        <v>5.728998019165978</v>
      </c>
      <c r="M613" s="148">
        <f t="shared" ca="1" si="187"/>
        <v>4.7380893752353401</v>
      </c>
      <c r="N613" s="148">
        <f t="shared" ca="1" si="189"/>
        <v>4.03395937523534</v>
      </c>
      <c r="O613" s="1062" t="s">
        <v>1585</v>
      </c>
      <c r="P613" s="104"/>
      <c r="R613" s="119"/>
      <c r="S613" s="1072"/>
      <c r="T613" s="1072"/>
      <c r="U613" s="1072"/>
      <c r="V613" s="1072"/>
      <c r="W613" s="1072"/>
      <c r="X613" s="1072"/>
      <c r="Y613" s="1072"/>
      <c r="Z613" s="1072"/>
      <c r="AA613" s="1072"/>
      <c r="AB613" s="1072"/>
      <c r="AC613" s="1072"/>
      <c r="AD613" s="1072"/>
      <c r="AE613" s="1072"/>
      <c r="AF613" s="1072"/>
      <c r="AG613" s="1072"/>
      <c r="AH613" s="1072"/>
      <c r="AI613" s="1072"/>
      <c r="AJ613" s="1073"/>
      <c r="AK613" s="1052" cm="1">
        <f t="array" aca="1" ref="AK613" ca="1">INDEX(OFFSET($AK$19,MATCH($B613,$B$19:$B$150,0)-1,0,COUNTA($B$19:$B$24),COUNTA($AK$17:$BB$17)),MATCH($F613,$F$19:$F$24,0),MATCH(AK$17,$AK$17:$BB$17,0))*INDEX($10:$13,MATCH($O613,$R$10:$R$13,0),COLUMN())</f>
        <v>0.25479681712742402</v>
      </c>
      <c r="AL613" s="1050" cm="1">
        <f t="array" aca="1" ref="AL613" ca="1">INDEX(OFFSET($AK$19,MATCH($B613,$B$19:$B$150,0)-1,0,COUNTA($B$19:$B$24),COUNTA($AK$17:$BB$17)),MATCH($F613,$F$19:$F$24,0),MATCH(AL$17,$AK$17:$BB$17,0))*INDEX($10:$13,MATCH($O613,$R$10:$R$13,0),COLUMN())</f>
        <v>1.4919627359E-7</v>
      </c>
      <c r="AM613" s="1050" cm="1">
        <f t="array" aca="1" ref="AM613" ca="1">INDEX(OFFSET($AK$19,MATCH($B613,$B$19:$B$150,0)-1,0,COUNTA($B$19:$B$24),COUNTA($AK$17:$BB$17)),MATCH($F613,$F$19:$F$24,0),MATCH(AM$17,$AK$17:$BB$17,0))*INDEX($10:$13,MATCH($O613,$R$10:$R$13,0),COLUMN())</f>
        <v>2.3863962615999998E-4</v>
      </c>
      <c r="AN613" s="1050" cm="1">
        <f t="array" aca="1" ref="AN613" ca="1">INDEX(OFFSET($AK$19,MATCH($B613,$B$19:$B$150,0)-1,0,COUNTA($B$19:$B$24),COUNTA($AK$17:$BB$17)),MATCH($F613,$F$19:$F$24,0),MATCH(AN$17,$AK$17:$BB$17,0))*INDEX($10:$13,MATCH($O613,$R$10:$R$13,0),COLUMN())</f>
        <v>3.4934834320000004E-3</v>
      </c>
      <c r="AO613" s="1050" cm="1">
        <f t="array" aca="1" ref="AO613" ca="1">INDEX(OFFSET($AK$19,MATCH($B613,$B$19:$B$150,0)-1,0,COUNTA($B$19:$B$24),COUNTA($AK$17:$BB$17)),MATCH($F613,$F$19:$F$24,0),MATCH(AO$17,$AK$17:$BB$17,0))*INDEX($10:$13,MATCH($O613,$R$10:$R$13,0),COLUMN())</f>
        <v>0.12063184035999999</v>
      </c>
      <c r="AP613" s="1050" cm="1">
        <f t="array" aca="1" ref="AP613" ca="1">INDEX(OFFSET($AK$19,MATCH($B613,$B$19:$B$150,0)-1,0,COUNTA($B$19:$B$24),COUNTA($AK$17:$BB$17)),MATCH($F613,$F$19:$F$24,0),MATCH(AP$17,$AK$17:$BB$17,0))*INDEX($10:$13,MATCH($O613,$R$10:$R$13,0),COLUMN())</f>
        <v>7.0106401400000004E-2</v>
      </c>
      <c r="AQ613" s="1050" cm="1">
        <f t="array" aca="1" ref="AQ613" ca="1">INDEX(OFFSET($AK$19,MATCH($B613,$B$19:$B$150,0)-1,0,COUNTA($B$19:$B$24),COUNTA($AK$17:$BB$17)),MATCH($F613,$F$19:$F$24,0),MATCH(AQ$17,$AK$17:$BB$17,0))*INDEX($10:$13,MATCH($O613,$R$10:$R$13,0),COLUMN())</f>
        <v>5.4095101789999997E-4</v>
      </c>
      <c r="AR613" s="1050" cm="1">
        <f t="array" aca="1" ref="AR613" ca="1">INDEX(OFFSET($AK$19,MATCH($B613,$B$19:$B$150,0)-1,0,COUNTA($B$19:$B$24),COUNTA($AK$17:$BB$17)),MATCH($F613,$F$19:$F$24,0),MATCH(AR$17,$AK$17:$BB$17,0))*INDEX($10:$13,MATCH($O613,$R$10:$R$13,0),COLUMN())</f>
        <v>2.7658141540999999E-2</v>
      </c>
      <c r="AS613" s="1050" cm="1">
        <f t="array" aca="1" ref="AS613" ca="1">INDEX(OFFSET($AK$19,MATCH($B613,$B$19:$B$150,0)-1,0,COUNTA($B$19:$B$24),COUNTA($AK$17:$BB$17)),MATCH($F613,$F$19:$F$24,0),MATCH(AS$17,$AK$17:$BB$17,0))*INDEX($10:$13,MATCH($O613,$R$10:$R$13,0),COLUMN())</f>
        <v>6.1046415159999989E-3</v>
      </c>
      <c r="AT613" s="1050" cm="1">
        <f t="array" aca="1" ref="AT613" ca="1">INDEX(OFFSET($AK$19,MATCH($B613,$B$19:$B$150,0)-1,0,COUNTA($B$19:$B$24),COUNTA($AK$17:$BB$17)),MATCH($F613,$F$19:$F$24,0),MATCH(AT$17,$AK$17:$BB$17,0))*INDEX($10:$13,MATCH($O613,$R$10:$R$13,0),COLUMN())</f>
        <v>1.5941290339999999E-5</v>
      </c>
      <c r="AU613" s="1050" cm="1">
        <f t="array" aca="1" ref="AU613" ca="1">INDEX(OFFSET($AK$19,MATCH($B613,$B$19:$B$150,0)-1,0,COUNTA($B$19:$B$24),COUNTA($AK$17:$BB$17)),MATCH($F613,$F$19:$F$24,0),MATCH(AU$17,$AK$17:$BB$17,0))*INDEX($10:$13,MATCH($O613,$R$10:$R$13,0),COLUMN())</f>
        <v>3.0789626715000005E-6</v>
      </c>
      <c r="AV613" s="1050" cm="1">
        <f t="array" aca="1" ref="AV613" ca="1">INDEX(OFFSET($AK$19,MATCH($B613,$B$19:$B$150,0)-1,0,COUNTA($B$19:$B$24),COUNTA($AK$17:$BB$17)),MATCH($F613,$F$19:$F$24,0),MATCH(AV$17,$AK$17:$BB$17,0))*INDEX($10:$13,MATCH($O613,$R$10:$R$13,0),COLUMN())</f>
        <v>1.5330883049999999E-2</v>
      </c>
      <c r="AW613" s="1050" cm="1">
        <f t="array" aca="1" ref="AW613" ca="1">INDEX(OFFSET($AK$19,MATCH($B613,$B$19:$B$150,0)-1,0,COUNTA($B$19:$B$24),COUNTA($AK$17:$BB$17)),MATCH($F613,$F$19:$F$24,0),MATCH(AW$17,$AK$17:$BB$17,0))*INDEX($10:$13,MATCH($O613,$R$10:$R$13,0),COLUMN())</f>
        <v>3.5350375095</v>
      </c>
      <c r="AX613" s="1050" cm="1">
        <f t="array" aca="1" ref="AX613" ca="1">INDEX(OFFSET($AK$19,MATCH($B613,$B$19:$B$150,0)-1,0,COUNTA($B$19:$B$24),COUNTA($AK$17:$BB$17)),MATCH($F613,$F$19:$F$24,0),MATCH(AX$17,$AK$17:$BB$17,0))*INDEX($10:$13,MATCH($O613,$R$10:$R$13,0),COLUMN())</f>
        <v>9.2095085299999997E-7</v>
      </c>
      <c r="AY613" s="1050" cm="1">
        <f t="array" aca="1" ref="AY613" ca="1">INDEX(OFFSET($AK$19,MATCH($B613,$B$19:$B$150,0)-1,0,COUNTA($B$19:$B$24),COUNTA($AK$17:$BB$17)),MATCH($F613,$F$19:$F$24,0),MATCH(AY$17,$AK$17:$BB$17,0))*INDEX($10:$13,MATCH($O613,$R$10:$R$13,0),COLUMN())</f>
        <v>-2.3735282109375E-8</v>
      </c>
      <c r="AZ613" s="1050" cm="1">
        <f t="array" aca="1" ref="AZ613" ca="1">INDEX(OFFSET($AK$19,MATCH($B613,$B$19:$B$150,0)-1,0,COUNTA($B$19:$B$24),COUNTA($AK$17:$BB$17)),MATCH($F613,$F$19:$F$24,0),MATCH(AZ$17,$AK$17:$BB$17,0))*INDEX($10:$13,MATCH($O613,$R$10:$R$13,0),COLUMN())</f>
        <v>0</v>
      </c>
      <c r="BA613" s="1050" cm="1">
        <f t="array" aca="1" ref="BA613" ca="1">INDEX(OFFSET($AK$19,MATCH($B613,$B$19:$B$150,0)-1,0,COUNTA($B$19:$B$24),COUNTA($AK$17:$BB$17)),MATCH($F613,$F$19:$F$24,0),MATCH(BA$17,$AK$17:$BB$17,0))*INDEX($10:$13,MATCH($O613,$R$10:$R$13,0),COLUMN())</f>
        <v>0</v>
      </c>
      <c r="BB613" s="1051" cm="1">
        <f t="array" aca="1" ref="BB613" ca="1">INDEX(OFFSET($AK$19,MATCH($B613,$B$19:$B$150,0)-1,0,COUNTA($B$19:$B$24),COUNTA($AK$17:$BB$17)),MATCH($F613,$F$19:$F$24,0),MATCH(BB$17,$AK$17:$BB$17,0))*INDEX($10:$13,MATCH($O613,$R$10:$R$13,0),COLUMN())</f>
        <v>0</v>
      </c>
      <c r="BC613" s="1053">
        <f t="shared" ca="1" si="188"/>
        <v>3.5350384067155707</v>
      </c>
      <c r="BE613" s="1"/>
      <c r="BF613" s="1"/>
      <c r="BG613" s="1"/>
      <c r="BH613" s="1"/>
      <c r="BI613" s="1"/>
      <c r="BJ613" s="1"/>
      <c r="BK613" s="1"/>
      <c r="BL613" s="1"/>
      <c r="BM613" s="1"/>
      <c r="BN613" s="1"/>
      <c r="BO613" s="1"/>
      <c r="BP613" s="1"/>
      <c r="BQ613" s="1"/>
      <c r="BR613" s="1"/>
      <c r="BS613" s="1"/>
      <c r="BT613" s="1"/>
      <c r="BU613" s="1"/>
      <c r="BV613" s="1"/>
      <c r="BW613" s="1"/>
      <c r="BX613" s="1"/>
      <c r="BY613" s="1"/>
      <c r="BZ613" s="1"/>
    </row>
    <row r="614" spans="2:78" ht="12" customHeight="1" outlineLevel="1" x14ac:dyDescent="0.25">
      <c r="B614" s="104" t="s">
        <v>106</v>
      </c>
      <c r="C614" s="104" t="s">
        <v>121</v>
      </c>
      <c r="D614" s="2" t="s">
        <v>137</v>
      </c>
      <c r="E614" s="2" t="s">
        <v>142</v>
      </c>
      <c r="F614" s="105" t="s">
        <v>96</v>
      </c>
      <c r="G614" s="27" t="s">
        <v>1582</v>
      </c>
      <c r="H614" s="106" t="s">
        <v>128</v>
      </c>
      <c r="I614" s="107" t="s">
        <v>1577</v>
      </c>
      <c r="J614" s="147">
        <v>4.9808850400000004</v>
      </c>
      <c r="K614" s="148">
        <v>0.70413000000000003</v>
      </c>
      <c r="L614" s="149">
        <f t="shared" ca="1" si="186"/>
        <v>5.9176655268680962</v>
      </c>
      <c r="M614" s="148">
        <f t="shared" ca="1" si="187"/>
        <v>4.870935827433633</v>
      </c>
      <c r="N614" s="148">
        <f t="shared" ca="1" si="189"/>
        <v>4.1668058274336328</v>
      </c>
      <c r="O614" s="1062" t="s">
        <v>1585</v>
      </c>
      <c r="P614" s="104"/>
      <c r="R614" s="119"/>
      <c r="S614" s="1072"/>
      <c r="T614" s="1072"/>
      <c r="U614" s="1072"/>
      <c r="V614" s="1072"/>
      <c r="W614" s="1072"/>
      <c r="X614" s="1072"/>
      <c r="Y614" s="1072"/>
      <c r="Z614" s="1072"/>
      <c r="AA614" s="1072"/>
      <c r="AB614" s="1072"/>
      <c r="AC614" s="1072"/>
      <c r="AD614" s="1072"/>
      <c r="AE614" s="1072"/>
      <c r="AF614" s="1072"/>
      <c r="AG614" s="1072"/>
      <c r="AH614" s="1072"/>
      <c r="AI614" s="1072"/>
      <c r="AJ614" s="1073"/>
      <c r="AK614" s="1052" cm="1">
        <f t="array" aca="1" ref="AK614" ca="1">INDEX(OFFSET($AK$19,MATCH($B614,$B$19:$B$150,0)-1,0,COUNTA($B$19:$B$24),COUNTA($AK$17:$BB$17)),MATCH($F614,$F$19:$F$24,0),MATCH(AK$17,$AK$17:$BB$17,0))*INDEX($10:$13,MATCH($O614,$R$10:$R$13,0),COLUMN())</f>
        <v>0.27597139487539196</v>
      </c>
      <c r="AL614" s="1050" cm="1">
        <f t="array" aca="1" ref="AL614" ca="1">INDEX(OFFSET($AK$19,MATCH($B614,$B$19:$B$150,0)-1,0,COUNTA($B$19:$B$24),COUNTA($AK$17:$BB$17)),MATCH($F614,$F$19:$F$24,0),MATCH(AL$17,$AK$17:$BB$17,0))*INDEX($10:$13,MATCH($O614,$R$10:$R$13,0),COLUMN())</f>
        <v>1.5000169953000002E-7</v>
      </c>
      <c r="AM614" s="1050" cm="1">
        <f t="array" aca="1" ref="AM614" ca="1">INDEX(OFFSET($AK$19,MATCH($B614,$B$19:$B$150,0)-1,0,COUNTA($B$19:$B$24),COUNTA($AK$17:$BB$17)),MATCH($F614,$F$19:$F$24,0),MATCH(AM$17,$AK$17:$BB$17,0))*INDEX($10:$13,MATCH($O614,$R$10:$R$13,0),COLUMN())</f>
        <v>2.3992217469999996E-4</v>
      </c>
      <c r="AN614" s="1050" cm="1">
        <f t="array" aca="1" ref="AN614" ca="1">INDEX(OFFSET($AK$19,MATCH($B614,$B$19:$B$150,0)-1,0,COUNTA($B$19:$B$24),COUNTA($AK$17:$BB$17)),MATCH($F614,$F$19:$F$24,0),MATCH(AN$17,$AK$17:$BB$17,0))*INDEX($10:$13,MATCH($O614,$R$10:$R$13,0),COLUMN())</f>
        <v>3.6606649120000004E-3</v>
      </c>
      <c r="AO614" s="1050" cm="1">
        <f t="array" aca="1" ref="AO614" ca="1">INDEX(OFFSET($AK$19,MATCH($B614,$B$19:$B$150,0)-1,0,COUNTA($B$19:$B$24),COUNTA($AK$17:$BB$17)),MATCH($F614,$F$19:$F$24,0),MATCH(AO$17,$AK$17:$BB$17,0))*INDEX($10:$13,MATCH($O614,$R$10:$R$13,0),COLUMN())</f>
        <v>0.17226062483999999</v>
      </c>
      <c r="AP614" s="1050" cm="1">
        <f t="array" aca="1" ref="AP614" ca="1">INDEX(OFFSET($AK$19,MATCH($B614,$B$19:$B$150,0)-1,0,COUNTA($B$19:$B$24),COUNTA($AK$17:$BB$17)),MATCH($F614,$F$19:$F$24,0),MATCH(AP$17,$AK$17:$BB$17,0))*INDEX($10:$13,MATCH($O614,$R$10:$R$13,0),COLUMN())</f>
        <v>0.10650540294000001</v>
      </c>
      <c r="AQ614" s="1050" cm="1">
        <f t="array" aca="1" ref="AQ614" ca="1">INDEX(OFFSET($AK$19,MATCH($B614,$B$19:$B$150,0)-1,0,COUNTA($B$19:$B$24),COUNTA($AK$17:$BB$17)),MATCH($F614,$F$19:$F$24,0),MATCH(AQ$17,$AK$17:$BB$17,0))*INDEX($10:$13,MATCH($O614,$R$10:$R$13,0),COLUMN())</f>
        <v>8.2893510639999997E-4</v>
      </c>
      <c r="AR614" s="1050" cm="1">
        <f t="array" aca="1" ref="AR614" ca="1">INDEX(OFFSET($AK$19,MATCH($B614,$B$19:$B$150,0)-1,0,COUNTA($B$19:$B$24),COUNTA($AK$17:$BB$17)),MATCH($F614,$F$19:$F$24,0),MATCH(AR$17,$AK$17:$BB$17,0))*INDEX($10:$13,MATCH($O614,$R$10:$R$13,0),COLUMN())</f>
        <v>3.6176384579999998E-2</v>
      </c>
      <c r="AS614" s="1050" cm="1">
        <f t="array" aca="1" ref="AS614" ca="1">INDEX(OFFSET($AK$19,MATCH($B614,$B$19:$B$150,0)-1,0,COUNTA($B$19:$B$24),COUNTA($AK$17:$BB$17)),MATCH($F614,$F$19:$F$24,0),MATCH(AS$17,$AK$17:$BB$17,0))*INDEX($10:$13,MATCH($O614,$R$10:$R$13,0),COLUMN())</f>
        <v>1.0437691385E-2</v>
      </c>
      <c r="AT614" s="1050" cm="1">
        <f t="array" aca="1" ref="AT614" ca="1">INDEX(OFFSET($AK$19,MATCH($B614,$B$19:$B$150,0)-1,0,COUNTA($B$19:$B$24),COUNTA($AK$17:$BB$17)),MATCH($F614,$F$19:$F$24,0),MATCH(AT$17,$AK$17:$BB$17,0))*INDEX($10:$13,MATCH($O614,$R$10:$R$13,0),COLUMN())</f>
        <v>1.7891891912999998E-5</v>
      </c>
      <c r="AU614" s="1050" cm="1">
        <f t="array" aca="1" ref="AU614" ca="1">INDEX(OFFSET($AK$19,MATCH($B614,$B$19:$B$150,0)-1,0,COUNTA($B$19:$B$24),COUNTA($AK$17:$BB$17)),MATCH($F614,$F$19:$F$24,0),MATCH(AU$17,$AK$17:$BB$17,0))*INDEX($10:$13,MATCH($O614,$R$10:$R$13,0),COLUMN())</f>
        <v>3.3577109577000002E-6</v>
      </c>
      <c r="AV614" s="1050" cm="1">
        <f t="array" aca="1" ref="AV614" ca="1">INDEX(OFFSET($AK$19,MATCH($B614,$B$19:$B$150,0)-1,0,COUNTA($B$19:$B$24),COUNTA($AK$17:$BB$17)),MATCH($F614,$F$19:$F$24,0),MATCH(AV$17,$AK$17:$BB$17,0))*INDEX($10:$13,MATCH($O614,$R$10:$R$13,0),COLUMN())</f>
        <v>2.5665000300000001E-2</v>
      </c>
      <c r="AW614" s="1050" cm="1">
        <f t="array" aca="1" ref="AW614" ca="1">INDEX(OFFSET($AK$19,MATCH($B614,$B$19:$B$150,0)-1,0,COUNTA($B$19:$B$24),COUNTA($AK$17:$BB$17)),MATCH($F614,$F$19:$F$24,0),MATCH(AW$17,$AK$17:$BB$17,0))*INDEX($10:$13,MATCH($O614,$R$10:$R$13,0),COLUMN())</f>
        <v>3.5350375095</v>
      </c>
      <c r="AX614" s="1050" cm="1">
        <f t="array" aca="1" ref="AX614" ca="1">INDEX(OFFSET($AK$19,MATCH($B614,$B$19:$B$150,0)-1,0,COUNTA($B$19:$B$24),COUNTA($AK$17:$BB$17)),MATCH($F614,$F$19:$F$24,0),MATCH(AX$17,$AK$17:$BB$17,0))*INDEX($10:$13,MATCH($O614,$R$10:$R$13,0),COLUMN())</f>
        <v>9.2095085299999997E-7</v>
      </c>
      <c r="AY614" s="1050" cm="1">
        <f t="array" aca="1" ref="AY614" ca="1">INDEX(OFFSET($AK$19,MATCH($B614,$B$19:$B$150,0)-1,0,COUNTA($B$19:$B$24),COUNTA($AK$17:$BB$17)),MATCH($F614,$F$19:$F$24,0),MATCH(AY$17,$AK$17:$BB$17,0))*INDEX($10:$13,MATCH($O614,$R$10:$R$13,0),COLUMN())</f>
        <v>-2.3735282109375E-8</v>
      </c>
      <c r="AZ614" s="1050" cm="1">
        <f t="array" aca="1" ref="AZ614" ca="1">INDEX(OFFSET($AK$19,MATCH($B614,$B$19:$B$150,0)-1,0,COUNTA($B$19:$B$24),COUNTA($AK$17:$BB$17)),MATCH($F614,$F$19:$F$24,0),MATCH(AZ$17,$AK$17:$BB$17,0))*INDEX($10:$13,MATCH($O614,$R$10:$R$13,0),COLUMN())</f>
        <v>0</v>
      </c>
      <c r="BA614" s="1050" cm="1">
        <f t="array" aca="1" ref="BA614" ca="1">INDEX(OFFSET($AK$19,MATCH($B614,$B$19:$B$150,0)-1,0,COUNTA($B$19:$B$24),COUNTA($AK$17:$BB$17)),MATCH($F614,$F$19:$F$24,0),MATCH(BA$17,$AK$17:$BB$17,0))*INDEX($10:$13,MATCH($O614,$R$10:$R$13,0),COLUMN())</f>
        <v>0</v>
      </c>
      <c r="BB614" s="1051" cm="1">
        <f t="array" aca="1" ref="BB614" ca="1">INDEX(OFFSET($AK$19,MATCH($B614,$B$19:$B$150,0)-1,0,COUNTA($B$19:$B$24),COUNTA($AK$17:$BB$17)),MATCH($F614,$F$19:$F$24,0),MATCH(BB$17,$AK$17:$BB$17,0))*INDEX($10:$13,MATCH($O614,$R$10:$R$13,0),COLUMN())</f>
        <v>0</v>
      </c>
      <c r="BC614" s="1053">
        <f t="shared" ca="1" si="188"/>
        <v>3.5350384067155707</v>
      </c>
      <c r="BE614" s="1"/>
      <c r="BF614" s="1"/>
      <c r="BG614" s="1"/>
      <c r="BH614" s="1"/>
      <c r="BI614" s="1"/>
      <c r="BJ614" s="1"/>
      <c r="BK614" s="1"/>
      <c r="BL614" s="1"/>
      <c r="BM614" s="1"/>
      <c r="BN614" s="1"/>
      <c r="BO614" s="1"/>
      <c r="BP614" s="1"/>
      <c r="BQ614" s="1"/>
      <c r="BR614" s="1"/>
      <c r="BS614" s="1"/>
      <c r="BT614" s="1"/>
      <c r="BU614" s="1"/>
      <c r="BV614" s="1"/>
      <c r="BW614" s="1"/>
      <c r="BX614" s="1"/>
      <c r="BY614" s="1"/>
      <c r="BZ614" s="1"/>
    </row>
    <row r="615" spans="2:78" ht="12" customHeight="1" outlineLevel="1" x14ac:dyDescent="0.25">
      <c r="B615" s="88" t="s">
        <v>107</v>
      </c>
      <c r="C615" s="88" t="s">
        <v>121</v>
      </c>
      <c r="D615" s="89" t="s">
        <v>143</v>
      </c>
      <c r="E615" s="89" t="s">
        <v>144</v>
      </c>
      <c r="F615" s="90" t="s">
        <v>92</v>
      </c>
      <c r="G615" s="18" t="s">
        <v>126</v>
      </c>
      <c r="H615" s="91" t="s">
        <v>127</v>
      </c>
      <c r="I615" s="92" t="s">
        <v>127</v>
      </c>
      <c r="J615" s="142">
        <v>5.9321289200000002</v>
      </c>
      <c r="K615" s="143">
        <v>0.33</v>
      </c>
      <c r="L615" s="144">
        <f t="shared" ref="L615:L668" ca="1" si="190">IFERROR(N615/K615,"?")</f>
        <v>19.040316832026832</v>
      </c>
      <c r="M615" s="143">
        <f t="shared" ref="M615:M668" ca="1" si="191">IFERROR(K615+N615,"?")</f>
        <v>6.6133045545688551</v>
      </c>
      <c r="N615" s="143">
        <f t="shared" ca="1" si="189"/>
        <v>6.2833045545688551</v>
      </c>
      <c r="O615" s="1063" t="s">
        <v>1585</v>
      </c>
      <c r="P615" s="88"/>
      <c r="Q615" s="89"/>
      <c r="R615" s="150"/>
      <c r="S615" s="1070"/>
      <c r="T615" s="1070"/>
      <c r="U615" s="1070"/>
      <c r="V615" s="1070"/>
      <c r="W615" s="1070"/>
      <c r="X615" s="1070"/>
      <c r="Y615" s="1070"/>
      <c r="Z615" s="1070"/>
      <c r="AA615" s="1070"/>
      <c r="AB615" s="1070"/>
      <c r="AC615" s="1070"/>
      <c r="AD615" s="1070"/>
      <c r="AE615" s="1070"/>
      <c r="AF615" s="1070"/>
      <c r="AG615" s="1070"/>
      <c r="AH615" s="1070"/>
      <c r="AI615" s="1070"/>
      <c r="AJ615" s="1071"/>
      <c r="AK615" s="1048" cm="1">
        <f t="array" aca="1" ref="AK615" ca="1">INDEX(OFFSET($AK$19,MATCH($B615,$B$19:$B$150,0)-1,0,COUNTA($B$19:$B$24),COUNTA($AK$17:$BB$17)),MATCH($F615,$F$19:$F$24,0),MATCH(AK$17,$AK$17:$BB$17,0))*INDEX($10:$13,MATCH($O615,$R$10:$R$13,0),COLUMN())</f>
        <v>0.41322219216959999</v>
      </c>
      <c r="AL615" s="1046" cm="1">
        <f t="array" aca="1" ref="AL615" ca="1">INDEX(OFFSET($AK$19,MATCH($B615,$B$19:$B$150,0)-1,0,COUNTA($B$19:$B$24),COUNTA($AK$17:$BB$17)),MATCH($F615,$F$19:$F$24,0),MATCH(AL$17,$AK$17:$BB$17,0))*INDEX($10:$13,MATCH($O615,$R$10:$R$13,0),COLUMN())</f>
        <v>5.9245004720000004E-7</v>
      </c>
      <c r="AM615" s="1046" cm="1">
        <f t="array" aca="1" ref="AM615" ca="1">INDEX(OFFSET($AK$19,MATCH($B615,$B$19:$B$150,0)-1,0,COUNTA($B$19:$B$24),COUNTA($AK$17:$BB$17)),MATCH($F615,$F$19:$F$24,0),MATCH(AM$17,$AK$17:$BB$17,0))*INDEX($10:$13,MATCH($O615,$R$10:$R$13,0),COLUMN())</f>
        <v>9.5567408559999985E-4</v>
      </c>
      <c r="AN615" s="1046" cm="1">
        <f t="array" aca="1" ref="AN615" ca="1">INDEX(OFFSET($AK$19,MATCH($B615,$B$19:$B$150,0)-1,0,COUNTA($B$19:$B$24),COUNTA($AK$17:$BB$17)),MATCH($F615,$F$19:$F$24,0),MATCH(AN$17,$AK$17:$BB$17,0))*INDEX($10:$13,MATCH($O615,$R$10:$R$13,0),COLUMN())</f>
        <v>5.0272218720000001E-3</v>
      </c>
      <c r="AO615" s="1046" cm="1">
        <f t="array" aca="1" ref="AO615" ca="1">INDEX(OFFSET($AK$19,MATCH($B615,$B$19:$B$150,0)-1,0,COUNTA($B$19:$B$24),COUNTA($AK$17:$BB$17)),MATCH($F615,$F$19:$F$24,0),MATCH(AO$17,$AK$17:$BB$17,0))*INDEX($10:$13,MATCH($O615,$R$10:$R$13,0),COLUMN())</f>
        <v>0.20848395444000001</v>
      </c>
      <c r="AP615" s="1046" cm="1">
        <f t="array" aca="1" ref="AP615" ca="1">INDEX(OFFSET($AK$19,MATCH($B615,$B$19:$B$150,0)-1,0,COUNTA($B$19:$B$24),COUNTA($AK$17:$BB$17)),MATCH($F615,$F$19:$F$24,0),MATCH(AP$17,$AK$17:$BB$17,0))*INDEX($10:$13,MATCH($O615,$R$10:$R$13,0),COLUMN())</f>
        <v>0.12462064612</v>
      </c>
      <c r="AQ615" s="1046" cm="1">
        <f t="array" aca="1" ref="AQ615" ca="1">INDEX(OFFSET($AK$19,MATCH($B615,$B$19:$B$150,0)-1,0,COUNTA($B$19:$B$24),COUNTA($AK$17:$BB$17)),MATCH($F615,$F$19:$F$24,0),MATCH(AQ$17,$AK$17:$BB$17,0))*INDEX($10:$13,MATCH($O615,$R$10:$R$13,0),COLUMN())</f>
        <v>1.4009386355999999E-3</v>
      </c>
      <c r="AR615" s="1046" cm="1">
        <f t="array" aca="1" ref="AR615" ca="1">INDEX(OFFSET($AK$19,MATCH($B615,$B$19:$B$150,0)-1,0,COUNTA($B$19:$B$24),COUNTA($AK$17:$BB$17)),MATCH($F615,$F$19:$F$24,0),MATCH(AR$17,$AK$17:$BB$17,0))*INDEX($10:$13,MATCH($O615,$R$10:$R$13,0),COLUMN())</f>
        <v>5.7485096940000001E-2</v>
      </c>
      <c r="AS615" s="1046" cm="1">
        <f t="array" aca="1" ref="AS615" ca="1">INDEX(OFFSET($AK$19,MATCH($B615,$B$19:$B$150,0)-1,0,COUNTA($B$19:$B$24),COUNTA($AK$17:$BB$17)),MATCH($F615,$F$19:$F$24,0),MATCH(AS$17,$AK$17:$BB$17,0))*INDEX($10:$13,MATCH($O615,$R$10:$R$13,0),COLUMN())</f>
        <v>0.86666126274999999</v>
      </c>
      <c r="AT615" s="1046" cm="1">
        <f t="array" aca="1" ref="AT615" ca="1">INDEX(OFFSET($AK$19,MATCH($B615,$B$19:$B$150,0)-1,0,COUNTA($B$19:$B$24),COUNTA($AK$17:$BB$17)),MATCH($F615,$F$19:$F$24,0),MATCH(AT$17,$AK$17:$BB$17,0))*INDEX($10:$13,MATCH($O615,$R$10:$R$13,0),COLUMN())</f>
        <v>9.7021151769999996E-4</v>
      </c>
      <c r="AU615" s="1046" cm="1">
        <f t="array" aca="1" ref="AU615" ca="1">INDEX(OFFSET($AK$19,MATCH($B615,$B$19:$B$150,0)-1,0,COUNTA($B$19:$B$24),COUNTA($AK$17:$BB$17)),MATCH($F615,$F$19:$F$24,0),MATCH(AU$17,$AK$17:$BB$17,0))*INDEX($10:$13,MATCH($O615,$R$10:$R$13,0),COLUMN())</f>
        <v>6.5727920934000015E-5</v>
      </c>
      <c r="AV615" s="1046" cm="1">
        <f t="array" aca="1" ref="AV615" ca="1">INDEX(OFFSET($AK$19,MATCH($B615,$B$19:$B$150,0)-1,0,COUNTA($B$19:$B$24),COUNTA($AK$17:$BB$17)),MATCH($F615,$F$19:$F$24,0),MATCH(AV$17,$AK$17:$BB$17,0))*INDEX($10:$13,MATCH($O615,$R$10:$R$13,0),COLUMN())</f>
        <v>4.0093708140000003E-2</v>
      </c>
      <c r="AW615" s="1046" cm="1">
        <f t="array" aca="1" ref="AW615" ca="1">INDEX(OFFSET($AK$19,MATCH($B615,$B$19:$B$150,0)-1,0,COUNTA($B$19:$B$24),COUNTA($AK$17:$BB$17)),MATCH($F615,$F$19:$F$24,0),MATCH(AW$17,$AK$17:$BB$17,0))*INDEX($10:$13,MATCH($O615,$R$10:$R$13,0),COLUMN())</f>
        <v>4.5643117279999998</v>
      </c>
      <c r="AX615" s="1046" cm="1">
        <f t="array" aca="1" ref="AX615" ca="1">INDEX(OFFSET($AK$19,MATCH($B615,$B$19:$B$150,0)-1,0,COUNTA($B$19:$B$24),COUNTA($AK$17:$BB$17)),MATCH($F615,$F$19:$F$24,0),MATCH(AX$17,$AK$17:$BB$17,0))*INDEX($10:$13,MATCH($O615,$R$10:$R$13,0),COLUMN())</f>
        <v>5.7496792940000007E-6</v>
      </c>
      <c r="AY615" s="1046" cm="1">
        <f t="array" aca="1" ref="AY615" ca="1">INDEX(OFFSET($AK$19,MATCH($B615,$B$19:$B$150,0)-1,0,COUNTA($B$19:$B$24),COUNTA($AK$17:$BB$17)),MATCH($F615,$F$19:$F$24,0),MATCH(AY$17,$AK$17:$BB$17,0))*INDEX($10:$13,MATCH($O615,$R$10:$R$13,0),COLUMN())</f>
        <v>-1.5015191951249999E-7</v>
      </c>
      <c r="AZ615" s="1046" cm="1">
        <f t="array" aca="1" ref="AZ615" ca="1">INDEX(OFFSET($AK$19,MATCH($B615,$B$19:$B$150,0)-1,0,COUNTA($B$19:$B$24),COUNTA($AK$17:$BB$17)),MATCH($F615,$F$19:$F$24,0),MATCH(AZ$17,$AK$17:$BB$17,0))*INDEX($10:$13,MATCH($O615,$R$10:$R$13,0),COLUMN())</f>
        <v>0</v>
      </c>
      <c r="BA615" s="1046" cm="1">
        <f t="array" aca="1" ref="BA615" ca="1">INDEX(OFFSET($AK$19,MATCH($B615,$B$19:$B$150,0)-1,0,COUNTA($B$19:$B$24),COUNTA($AK$17:$BB$17)),MATCH($F615,$F$19:$F$24,0),MATCH(BA$17,$AK$17:$BB$17,0))*INDEX($10:$13,MATCH($O615,$R$10:$R$13,0),COLUMN())</f>
        <v>0</v>
      </c>
      <c r="BB615" s="1047" cm="1">
        <f t="array" aca="1" ref="BB615" ca="1">INDEX(OFFSET($AK$19,MATCH($B615,$B$19:$B$150,0)-1,0,COUNTA($B$19:$B$24),COUNTA($AK$17:$BB$17)),MATCH($F615,$F$19:$F$24,0),MATCH(BB$17,$AK$17:$BB$17,0))*INDEX($10:$13,MATCH($O615,$R$10:$R$13,0),COLUMN())</f>
        <v>0</v>
      </c>
      <c r="BC615" s="1049">
        <f t="shared" ca="1" si="188"/>
        <v>4.5643173275273741</v>
      </c>
      <c r="BE615" s="1"/>
      <c r="BF615" s="1"/>
      <c r="BG615" s="1"/>
      <c r="BH615" s="1"/>
      <c r="BI615" s="1"/>
      <c r="BJ615" s="1"/>
      <c r="BK615" s="1"/>
      <c r="BL615" s="1"/>
      <c r="BM615" s="1"/>
      <c r="BN615" s="1"/>
      <c r="BO615" s="1"/>
      <c r="BP615" s="1"/>
      <c r="BQ615" s="1"/>
      <c r="BR615" s="1"/>
      <c r="BS615" s="1"/>
      <c r="BT615" s="1"/>
      <c r="BU615" s="1"/>
      <c r="BV615" s="1"/>
      <c r="BW615" s="1"/>
      <c r="BX615" s="1"/>
      <c r="BY615" s="1"/>
      <c r="BZ615" s="1"/>
    </row>
    <row r="616" spans="2:78" ht="12" customHeight="1" outlineLevel="1" x14ac:dyDescent="0.25">
      <c r="B616" s="104" t="s">
        <v>107</v>
      </c>
      <c r="C616" s="104" t="s">
        <v>121</v>
      </c>
      <c r="D616" s="2" t="s">
        <v>143</v>
      </c>
      <c r="E616" s="2" t="s">
        <v>144</v>
      </c>
      <c r="F616" s="105" t="s">
        <v>122</v>
      </c>
      <c r="G616" s="27" t="s">
        <v>1579</v>
      </c>
      <c r="H616" s="106" t="s">
        <v>128</v>
      </c>
      <c r="I616" s="107" t="s">
        <v>129</v>
      </c>
      <c r="J616" s="147">
        <v>5.9321289200000002</v>
      </c>
      <c r="K616" s="148">
        <v>3</v>
      </c>
      <c r="L616" s="149">
        <f t="shared" ca="1" si="190"/>
        <v>2.3816881915459147</v>
      </c>
      <c r="M616" s="148">
        <f t="shared" ca="1" si="191"/>
        <v>10.145064574637743</v>
      </c>
      <c r="N616" s="148">
        <f t="shared" ca="1" si="189"/>
        <v>7.1450645746377441</v>
      </c>
      <c r="O616" s="1062" t="s">
        <v>1585</v>
      </c>
      <c r="P616" s="104"/>
      <c r="R616" s="119"/>
      <c r="S616" s="1072"/>
      <c r="T616" s="1072"/>
      <c r="U616" s="1072"/>
      <c r="V616" s="1072"/>
      <c r="W616" s="1072"/>
      <c r="X616" s="1072"/>
      <c r="Y616" s="1072"/>
      <c r="Z616" s="1072"/>
      <c r="AA616" s="1072"/>
      <c r="AB616" s="1072"/>
      <c r="AC616" s="1072"/>
      <c r="AD616" s="1072"/>
      <c r="AE616" s="1072"/>
      <c r="AF616" s="1072"/>
      <c r="AG616" s="1072"/>
      <c r="AH616" s="1072"/>
      <c r="AI616" s="1072"/>
      <c r="AJ616" s="1073"/>
      <c r="AK616" s="1052" cm="1">
        <f t="array" aca="1" ref="AK616" ca="1">INDEX(OFFSET($AK$19,MATCH($B616,$B$19:$B$150,0)-1,0,COUNTA($B$19:$B$24),COUNTA($AK$17:$BB$17)),MATCH($F616,$F$19:$F$24,0),MATCH(AK$17,$AK$17:$BB$17,0))*INDEX($10:$13,MATCH($O616,$R$10:$R$13,0),COLUMN())</f>
        <v>0.287384222479104</v>
      </c>
      <c r="AL616" s="1050" cm="1">
        <f t="array" aca="1" ref="AL616" ca="1">INDEX(OFFSET($AK$19,MATCH($B616,$B$19:$B$150,0)-1,0,COUNTA($B$19:$B$24),COUNTA($AK$17:$BB$17)),MATCH($F616,$F$19:$F$24,0),MATCH(AL$17,$AK$17:$BB$17,0))*INDEX($10:$13,MATCH($O616,$R$10:$R$13,0),COLUMN())</f>
        <v>3.0357824500000001E-7</v>
      </c>
      <c r="AM616" s="1050" cm="1">
        <f t="array" aca="1" ref="AM616" ca="1">INDEX(OFFSET($AK$19,MATCH($B616,$B$19:$B$150,0)-1,0,COUNTA($B$19:$B$24),COUNTA($AK$17:$BB$17)),MATCH($F616,$F$19:$F$24,0),MATCH(AM$17,$AK$17:$BB$17,0))*INDEX($10:$13,MATCH($O616,$R$10:$R$13,0),COLUMN())</f>
        <v>4.8566531130000003E-4</v>
      </c>
      <c r="AN616" s="1050" cm="1">
        <f t="array" aca="1" ref="AN616" ca="1">INDEX(OFFSET($AK$19,MATCH($B616,$B$19:$B$150,0)-1,0,COUNTA($B$19:$B$24),COUNTA($AK$17:$BB$17)),MATCH($F616,$F$19:$F$24,0),MATCH(AN$17,$AK$17:$BB$17,0))*INDEX($10:$13,MATCH($O616,$R$10:$R$13,0),COLUMN())</f>
        <v>6.6877146000000002E-3</v>
      </c>
      <c r="AO616" s="1050" cm="1">
        <f t="array" aca="1" ref="AO616" ca="1">INDEX(OFFSET($AK$19,MATCH($B616,$B$19:$B$150,0)-1,0,COUNTA($B$19:$B$24),COUNTA($AK$17:$BB$17)),MATCH($F616,$F$19:$F$24,0),MATCH(AO$17,$AK$17:$BB$17,0))*INDEX($10:$13,MATCH($O616,$R$10:$R$13,0),COLUMN())</f>
        <v>9.8591898479999995E-2</v>
      </c>
      <c r="AP616" s="1050" cm="1">
        <f t="array" aca="1" ref="AP616" ca="1">INDEX(OFFSET($AK$19,MATCH($B616,$B$19:$B$150,0)-1,0,COUNTA($B$19:$B$24),COUNTA($AK$17:$BB$17)),MATCH($F616,$F$19:$F$24,0),MATCH(AP$17,$AK$17:$BB$17,0))*INDEX($10:$13,MATCH($O616,$R$10:$R$13,0),COLUMN())</f>
        <v>3.9070764353999997E-2</v>
      </c>
      <c r="AQ616" s="1050" cm="1">
        <f t="array" aca="1" ref="AQ616" ca="1">INDEX(OFFSET($AK$19,MATCH($B616,$B$19:$B$150,0)-1,0,COUNTA($B$19:$B$24),COUNTA($AK$17:$BB$17)),MATCH($F616,$F$19:$F$24,0),MATCH(AQ$17,$AK$17:$BB$17,0))*INDEX($10:$13,MATCH($O616,$R$10:$R$13,0),COLUMN())</f>
        <v>2.5818624649999997E-4</v>
      </c>
      <c r="AR616" s="1050" cm="1">
        <f t="array" aca="1" ref="AR616" ca="1">INDEX(OFFSET($AK$19,MATCH($B616,$B$19:$B$150,0)-1,0,COUNTA($B$19:$B$24),COUNTA($AK$17:$BB$17)),MATCH($F616,$F$19:$F$24,0),MATCH(AR$17,$AK$17:$BB$17,0))*INDEX($10:$13,MATCH($O616,$R$10:$R$13,0),COLUMN())</f>
        <v>2.7638808225999997E-2</v>
      </c>
      <c r="AS616" s="1050" cm="1">
        <f t="array" aca="1" ref="AS616" ca="1">INDEX(OFFSET($AK$19,MATCH($B616,$B$19:$B$150,0)-1,0,COUNTA($B$19:$B$24),COUNTA($AK$17:$BB$17)),MATCH($F616,$F$19:$F$24,0),MATCH(AS$17,$AK$17:$BB$17,0))*INDEX($10:$13,MATCH($O616,$R$10:$R$13,0),COLUMN())</f>
        <v>1.0687785839999999E-3</v>
      </c>
      <c r="AT616" s="1050" cm="1">
        <f t="array" aca="1" ref="AT616" ca="1">INDEX(OFFSET($AK$19,MATCH($B616,$B$19:$B$150,0)-1,0,COUNTA($B$19:$B$24),COUNTA($AK$17:$BB$17)),MATCH($F616,$F$19:$F$24,0),MATCH(AT$17,$AK$17:$BB$17,0))*INDEX($10:$13,MATCH($O616,$R$10:$R$13,0),COLUMN())</f>
        <v>2.1974880834999998E-5</v>
      </c>
      <c r="AU616" s="1050" cm="1">
        <f t="array" aca="1" ref="AU616" ca="1">INDEX(OFFSET($AK$19,MATCH($B616,$B$19:$B$150,0)-1,0,COUNTA($B$19:$B$24),COUNTA($AK$17:$BB$17)),MATCH($F616,$F$19:$F$24,0),MATCH(AU$17,$AK$17:$BB$17,0))*INDEX($10:$13,MATCH($O616,$R$10:$R$13,0),COLUMN())</f>
        <v>4.6176465555000002E-6</v>
      </c>
      <c r="AV616" s="1050" cm="1">
        <f t="array" aca="1" ref="AV616" ca="1">INDEX(OFFSET($AK$19,MATCH($B616,$B$19:$B$150,0)-1,0,COUNTA($B$19:$B$24),COUNTA($AK$17:$BB$17)),MATCH($F616,$F$19:$F$24,0),MATCH(AV$17,$AK$17:$BB$17,0))*INDEX($10:$13,MATCH($O616,$R$10:$R$13,0),COLUMN())</f>
        <v>7.3778737410000001E-3</v>
      </c>
      <c r="AW616" s="1050" cm="1">
        <f t="array" aca="1" ref="AW616" ca="1">INDEX(OFFSET($AK$19,MATCH($B616,$B$19:$B$150,0)-1,0,COUNTA($B$19:$B$24),COUNTA($AK$17:$BB$17)),MATCH($F616,$F$19:$F$24,0),MATCH(AW$17,$AK$17:$BB$17,0))*INDEX($10:$13,MATCH($O616,$R$10:$R$13,0),COLUMN())</f>
        <v>6.6764718955000006</v>
      </c>
      <c r="AX616" s="1050" cm="1">
        <f t="array" aca="1" ref="AX616" ca="1">INDEX(OFFSET($AK$19,MATCH($B616,$B$19:$B$150,0)-1,0,COUNTA($B$19:$B$24),COUNTA($AK$17:$BB$17)),MATCH($F616,$F$19:$F$24,0),MATCH(AX$17,$AK$17:$BB$17,0))*INDEX($10:$13,MATCH($O616,$R$10:$R$13,0),COLUMN())</f>
        <v>1.9205066205000001E-6</v>
      </c>
      <c r="AY616" s="1050" cm="1">
        <f t="array" aca="1" ref="AY616" ca="1">INDEX(OFFSET($AK$19,MATCH($B616,$B$19:$B$150,0)-1,0,COUNTA($B$19:$B$24),COUNTA($AK$17:$BB$17)),MATCH($F616,$F$19:$F$24,0),MATCH(AY$17,$AK$17:$BB$17,0))*INDEX($10:$13,MATCH($O616,$R$10:$R$13,0),COLUMN())</f>
        <v>-4.9496416612499995E-8</v>
      </c>
      <c r="AZ616" s="1050" cm="1">
        <f t="array" aca="1" ref="AZ616" ca="1">INDEX(OFFSET($AK$19,MATCH($B616,$B$19:$B$150,0)-1,0,COUNTA($B$19:$B$24),COUNTA($AK$17:$BB$17)),MATCH($F616,$F$19:$F$24,0),MATCH(AZ$17,$AK$17:$BB$17,0))*INDEX($10:$13,MATCH($O616,$R$10:$R$13,0),COLUMN())</f>
        <v>0</v>
      </c>
      <c r="BA616" s="1050" cm="1">
        <f t="array" aca="1" ref="BA616" ca="1">INDEX(OFFSET($AK$19,MATCH($B616,$B$19:$B$150,0)-1,0,COUNTA($B$19:$B$24),COUNTA($AK$17:$BB$17)),MATCH($F616,$F$19:$F$24,0),MATCH(BA$17,$AK$17:$BB$17,0))*INDEX($10:$13,MATCH($O616,$R$10:$R$13,0),COLUMN())</f>
        <v>0</v>
      </c>
      <c r="BB616" s="1051" cm="1">
        <f t="array" aca="1" ref="BB616" ca="1">INDEX(OFFSET($AK$19,MATCH($B616,$B$19:$B$150,0)-1,0,COUNTA($B$19:$B$24),COUNTA($AK$17:$BB$17)),MATCH($F616,$F$19:$F$24,0),MATCH(BB$17,$AK$17:$BB$17,0))*INDEX($10:$13,MATCH($O616,$R$10:$R$13,0),COLUMN())</f>
        <v>0</v>
      </c>
      <c r="BC616" s="1053">
        <f t="shared" ca="1" si="188"/>
        <v>6.6764737665102043</v>
      </c>
      <c r="BE616" s="1"/>
      <c r="BF616" s="1"/>
      <c r="BG616" s="1"/>
      <c r="BH616" s="1"/>
      <c r="BI616" s="1"/>
      <c r="BJ616" s="1"/>
      <c r="BK616" s="1"/>
      <c r="BL616" s="1"/>
      <c r="BM616" s="1"/>
      <c r="BN616" s="1"/>
      <c r="BO616" s="1"/>
      <c r="BP616" s="1"/>
      <c r="BQ616" s="1"/>
      <c r="BR616" s="1"/>
      <c r="BS616" s="1"/>
      <c r="BT616" s="1"/>
      <c r="BU616" s="1"/>
      <c r="BV616" s="1"/>
      <c r="BW616" s="1"/>
      <c r="BX616" s="1"/>
      <c r="BY616" s="1"/>
      <c r="BZ616" s="1"/>
    </row>
    <row r="617" spans="2:78" ht="12" customHeight="1" outlineLevel="1" x14ac:dyDescent="0.25">
      <c r="B617" s="104" t="s">
        <v>107</v>
      </c>
      <c r="C617" s="104" t="s">
        <v>121</v>
      </c>
      <c r="D617" s="2" t="s">
        <v>143</v>
      </c>
      <c r="E617" s="2" t="s">
        <v>144</v>
      </c>
      <c r="F617" s="105" t="s">
        <v>93</v>
      </c>
      <c r="G617" s="27" t="s">
        <v>1578</v>
      </c>
      <c r="H617" s="106" t="s">
        <v>130</v>
      </c>
      <c r="I617" s="107" t="s">
        <v>129</v>
      </c>
      <c r="J617" s="147">
        <v>5.9321289200000002</v>
      </c>
      <c r="K617" s="148">
        <v>3</v>
      </c>
      <c r="L617" s="149">
        <f t="shared" ca="1" si="190"/>
        <v>2.985984093650917</v>
      </c>
      <c r="M617" s="148">
        <f t="shared" ca="1" si="191"/>
        <v>11.957952280952751</v>
      </c>
      <c r="N617" s="148">
        <f t="shared" ca="1" si="189"/>
        <v>8.9579522809527514</v>
      </c>
      <c r="O617" s="1062" t="s">
        <v>1585</v>
      </c>
      <c r="P617" s="104"/>
      <c r="R617" s="119"/>
      <c r="S617" s="1072"/>
      <c r="T617" s="1072"/>
      <c r="U617" s="1072"/>
      <c r="V617" s="1072"/>
      <c r="W617" s="1072"/>
      <c r="X617" s="1072"/>
      <c r="Y617" s="1072"/>
      <c r="Z617" s="1072"/>
      <c r="AA617" s="1072"/>
      <c r="AB617" s="1072"/>
      <c r="AC617" s="1072"/>
      <c r="AD617" s="1072"/>
      <c r="AE617" s="1072"/>
      <c r="AF617" s="1072"/>
      <c r="AG617" s="1072"/>
      <c r="AH617" s="1072"/>
      <c r="AI617" s="1072"/>
      <c r="AJ617" s="1073"/>
      <c r="AK617" s="1052" cm="1">
        <f t="array" aca="1" ref="AK617" ca="1">INDEX(OFFSET($AK$19,MATCH($B617,$B$19:$B$150,0)-1,0,COUNTA($B$19:$B$24),COUNTA($AK$17:$BB$17)),MATCH($F617,$F$19:$F$24,0),MATCH(AK$17,$AK$17:$BB$17,0))*INDEX($10:$13,MATCH($O617,$R$10:$R$13,0),COLUMN())</f>
        <v>0.36022082731814398</v>
      </c>
      <c r="AL617" s="1050" cm="1">
        <f t="array" aca="1" ref="AL617" ca="1">INDEX(OFFSET($AK$19,MATCH($B617,$B$19:$B$150,0)-1,0,COUNTA($B$19:$B$24),COUNTA($AK$17:$BB$17)),MATCH($F617,$F$19:$F$24,0),MATCH(AL$17,$AK$17:$BB$17,0))*INDEX($10:$13,MATCH($O617,$R$10:$R$13,0),COLUMN())</f>
        <v>3.8056362411999998E-7</v>
      </c>
      <c r="AM617" s="1050" cm="1">
        <f t="array" aca="1" ref="AM617" ca="1">INDEX(OFFSET($AK$19,MATCH($B617,$B$19:$B$150,0)-1,0,COUNTA($B$19:$B$24),COUNTA($AK$17:$BB$17)),MATCH($F617,$F$19:$F$24,0),MATCH(AM$17,$AK$17:$BB$17,0))*INDEX($10:$13,MATCH($O617,$R$10:$R$13,0),COLUMN())</f>
        <v>6.0882684980000004E-4</v>
      </c>
      <c r="AN617" s="1050" cm="1">
        <f t="array" aca="1" ref="AN617" ca="1">INDEX(OFFSET($AK$19,MATCH($B617,$B$19:$B$150,0)-1,0,COUNTA($B$19:$B$24),COUNTA($AK$17:$BB$17)),MATCH($F617,$F$19:$F$24,0),MATCH(AN$17,$AK$17:$BB$17,0))*INDEX($10:$13,MATCH($O617,$R$10:$R$13,0),COLUMN())</f>
        <v>8.3810364239999997E-3</v>
      </c>
      <c r="AO617" s="1050" cm="1">
        <f t="array" aca="1" ref="AO617" ca="1">INDEX(OFFSET($AK$19,MATCH($B617,$B$19:$B$150,0)-1,0,COUNTA($B$19:$B$24),COUNTA($AK$17:$BB$17)),MATCH($F617,$F$19:$F$24,0),MATCH(AO$17,$AK$17:$BB$17,0))*INDEX($10:$13,MATCH($O617,$R$10:$R$13,0),COLUMN())</f>
        <v>0.12357570011999999</v>
      </c>
      <c r="AP617" s="1050" cm="1">
        <f t="array" aca="1" ref="AP617" ca="1">INDEX(OFFSET($AK$19,MATCH($B617,$B$19:$B$150,0)-1,0,COUNTA($B$19:$B$24),COUNTA($AK$17:$BB$17)),MATCH($F617,$F$19:$F$24,0),MATCH(AP$17,$AK$17:$BB$17,0))*INDEX($10:$13,MATCH($O617,$R$10:$R$13,0),COLUMN())</f>
        <v>4.8975473429999999E-2</v>
      </c>
      <c r="AQ617" s="1050" cm="1">
        <f t="array" aca="1" ref="AQ617" ca="1">INDEX(OFFSET($AK$19,MATCH($B617,$B$19:$B$150,0)-1,0,COUNTA($B$19:$B$24),COUNTA($AK$17:$BB$17)),MATCH($F617,$F$19:$F$24,0),MATCH(AQ$17,$AK$17:$BB$17,0))*INDEX($10:$13,MATCH($O617,$R$10:$R$13,0),COLUMN())</f>
        <v>3.2367157349999997E-4</v>
      </c>
      <c r="AR617" s="1050" cm="1">
        <f t="array" aca="1" ref="AR617" ca="1">INDEX(OFFSET($AK$19,MATCH($B617,$B$19:$B$150,0)-1,0,COUNTA($B$19:$B$24),COUNTA($AK$17:$BB$17)),MATCH($F617,$F$19:$F$24,0),MATCH(AR$17,$AK$17:$BB$17,0))*INDEX($10:$13,MATCH($O617,$R$10:$R$13,0),COLUMN())</f>
        <v>3.4648932959999997E-2</v>
      </c>
      <c r="AS617" s="1050" cm="1">
        <f t="array" aca="1" ref="AS617" ca="1">INDEX(OFFSET($AK$19,MATCH($B617,$B$19:$B$150,0)-1,0,COUNTA($B$19:$B$24),COUNTA($AK$17:$BB$17)),MATCH($F617,$F$19:$F$24,0),MATCH(AS$17,$AK$17:$BB$17,0))*INDEX($10:$13,MATCH($O617,$R$10:$R$13,0),COLUMN())</f>
        <v>1.557405367E-3</v>
      </c>
      <c r="AT617" s="1050" cm="1">
        <f t="array" aca="1" ref="AT617" ca="1">INDEX(OFFSET($AK$19,MATCH($B617,$B$19:$B$150,0)-1,0,COUNTA($B$19:$B$24),COUNTA($AK$17:$BB$17)),MATCH($F617,$F$19:$F$24,0),MATCH(AT$17,$AK$17:$BB$17,0))*INDEX($10:$13,MATCH($O617,$R$10:$R$13,0),COLUMN())</f>
        <v>2.7628217894999997E-5</v>
      </c>
      <c r="AU617" s="1050" cm="1">
        <f t="array" aca="1" ref="AU617" ca="1">INDEX(OFFSET($AK$19,MATCH($B617,$B$19:$B$150,0)-1,0,COUNTA($B$19:$B$24),COUNTA($AK$17:$BB$17)),MATCH($F617,$F$19:$F$24,0),MATCH(AU$17,$AK$17:$BB$17,0))*INDEX($10:$13,MATCH($O617,$R$10:$R$13,0),COLUMN())</f>
        <v>5.7960965205000005E-6</v>
      </c>
      <c r="AV617" s="1050" cm="1">
        <f t="array" aca="1" ref="AV617" ca="1">INDEX(OFFSET($AK$19,MATCH($B617,$B$19:$B$150,0)-1,0,COUNTA($B$19:$B$24),COUNTA($AK$17:$BB$17)),MATCH($F617,$F$19:$F$24,0),MATCH(AV$17,$AK$17:$BB$17,0))*INDEX($10:$13,MATCH($O617,$R$10:$R$13,0),COLUMN())</f>
        <v>9.731871458999999E-3</v>
      </c>
      <c r="AW617" s="1050" cm="1">
        <f t="array" aca="1" ref="AW617" ca="1">INDEX(OFFSET($AK$19,MATCH($B617,$B$19:$B$150,0)-1,0,COUNTA($B$19:$B$24),COUNTA($AK$17:$BB$17)),MATCH($F617,$F$19:$F$24,0),MATCH(AW$17,$AK$17:$BB$17,0))*INDEX($10:$13,MATCH($O617,$R$10:$R$13,0),COLUMN())</f>
        <v>8.369892385</v>
      </c>
      <c r="AX617" s="1050" cm="1">
        <f t="array" aca="1" ref="AX617" ca="1">INDEX(OFFSET($AK$19,MATCH($B617,$B$19:$B$150,0)-1,0,COUNTA($B$19:$B$24),COUNTA($AK$17:$BB$17)),MATCH($F617,$F$19:$F$24,0),MATCH(AX$17,$AK$17:$BB$17,0))*INDEX($10:$13,MATCH($O617,$R$10:$R$13,0),COLUMN())</f>
        <v>2.4076239575000002E-6</v>
      </c>
      <c r="AY617" s="1050" cm="1">
        <f t="array" aca="1" ref="AY617" ca="1">INDEX(OFFSET($AK$19,MATCH($B617,$B$19:$B$150,0)-1,0,COUNTA($B$19:$B$24),COUNTA($AK$17:$BB$17)),MATCH($F617,$F$19:$F$24,0),MATCH(AY$17,$AK$17:$BB$17,0))*INDEX($10:$13,MATCH($O617,$R$10:$R$13,0),COLUMN())</f>
        <v>-6.2050689037500002E-8</v>
      </c>
      <c r="AZ617" s="1050" cm="1">
        <f t="array" aca="1" ref="AZ617" ca="1">INDEX(OFFSET($AK$19,MATCH($B617,$B$19:$B$150,0)-1,0,COUNTA($B$19:$B$24),COUNTA($AK$17:$BB$17)),MATCH($F617,$F$19:$F$24,0),MATCH(AZ$17,$AK$17:$BB$17,0))*INDEX($10:$13,MATCH($O617,$R$10:$R$13,0),COLUMN())</f>
        <v>0</v>
      </c>
      <c r="BA617" s="1050" cm="1">
        <f t="array" aca="1" ref="BA617" ca="1">INDEX(OFFSET($AK$19,MATCH($B617,$B$19:$B$150,0)-1,0,COUNTA($B$19:$B$24),COUNTA($AK$17:$BB$17)),MATCH($F617,$F$19:$F$24,0),MATCH(BA$17,$AK$17:$BB$17,0))*INDEX($10:$13,MATCH($O617,$R$10:$R$13,0),COLUMN())</f>
        <v>0</v>
      </c>
      <c r="BB617" s="1051" cm="1">
        <f t="array" aca="1" ref="BB617" ca="1">INDEX(OFFSET($AK$19,MATCH($B617,$B$19:$B$150,0)-1,0,COUNTA($B$19:$B$24),COUNTA($AK$17:$BB$17)),MATCH($F617,$F$19:$F$24,0),MATCH(BB$17,$AK$17:$BB$17,0))*INDEX($10:$13,MATCH($O617,$R$10:$R$13,0),COLUMN())</f>
        <v>0</v>
      </c>
      <c r="BC617" s="1053">
        <f t="shared" ca="1" si="188"/>
        <v>8.369894730573268</v>
      </c>
      <c r="BE617" s="1"/>
      <c r="BF617" s="1"/>
      <c r="BG617" s="1"/>
      <c r="BH617" s="1"/>
      <c r="BI617" s="1"/>
      <c r="BJ617" s="1"/>
      <c r="BK617" s="1"/>
      <c r="BL617" s="1"/>
      <c r="BM617" s="1"/>
      <c r="BN617" s="1"/>
      <c r="BO617" s="1"/>
      <c r="BP617" s="1"/>
      <c r="BQ617" s="1"/>
      <c r="BR617" s="1"/>
      <c r="BS617" s="1"/>
      <c r="BT617" s="1"/>
      <c r="BU617" s="1"/>
      <c r="BV617" s="1"/>
      <c r="BW617" s="1"/>
      <c r="BX617" s="1"/>
      <c r="BY617" s="1"/>
      <c r="BZ617" s="1"/>
    </row>
    <row r="618" spans="2:78" ht="12" customHeight="1" outlineLevel="1" x14ac:dyDescent="0.25">
      <c r="B618" s="104" t="s">
        <v>107</v>
      </c>
      <c r="C618" s="104" t="s">
        <v>121</v>
      </c>
      <c r="D618" s="2" t="s">
        <v>143</v>
      </c>
      <c r="E618" s="2" t="s">
        <v>144</v>
      </c>
      <c r="F618" s="105" t="s">
        <v>94</v>
      </c>
      <c r="G618" s="27" t="s">
        <v>1580</v>
      </c>
      <c r="H618" s="106" t="s">
        <v>131</v>
      </c>
      <c r="I618" s="107" t="s">
        <v>129</v>
      </c>
      <c r="J618" s="147">
        <v>5.9321289200000002</v>
      </c>
      <c r="K618" s="148">
        <v>3</v>
      </c>
      <c r="L618" s="149">
        <f t="shared" ca="1" si="190"/>
        <v>1.9803182448426311</v>
      </c>
      <c r="M618" s="148">
        <f t="shared" ca="1" si="191"/>
        <v>8.9409547345278924</v>
      </c>
      <c r="N618" s="148">
        <f t="shared" ca="1" si="189"/>
        <v>5.9409547345278932</v>
      </c>
      <c r="O618" s="1062" t="s">
        <v>1585</v>
      </c>
      <c r="P618" s="104"/>
      <c r="R618" s="119"/>
      <c r="S618" s="1072"/>
      <c r="T618" s="1072"/>
      <c r="U618" s="1072"/>
      <c r="V618" s="1072"/>
      <c r="W618" s="1072"/>
      <c r="X618" s="1072"/>
      <c r="Y618" s="1072"/>
      <c r="Z618" s="1072"/>
      <c r="AA618" s="1072"/>
      <c r="AB618" s="1072"/>
      <c r="AC618" s="1072"/>
      <c r="AD618" s="1072"/>
      <c r="AE618" s="1072"/>
      <c r="AF618" s="1072"/>
      <c r="AG618" s="1072"/>
      <c r="AH618" s="1072"/>
      <c r="AI618" s="1072"/>
      <c r="AJ618" s="1073"/>
      <c r="AK618" s="1052" cm="1">
        <f t="array" aca="1" ref="AK618" ca="1">INDEX(OFFSET($AK$19,MATCH($B618,$B$19:$B$150,0)-1,0,COUNTA($B$19:$B$24),COUNTA($AK$17:$BB$17)),MATCH($F618,$F$19:$F$24,0),MATCH(AK$17,$AK$17:$BB$17,0))*INDEX($10:$13,MATCH($O618,$R$10:$R$13,0),COLUMN())</f>
        <v>0.23899598507289602</v>
      </c>
      <c r="AL618" s="1050" cm="1">
        <f t="array" aca="1" ref="AL618" ca="1">INDEX(OFFSET($AK$19,MATCH($B618,$B$19:$B$150,0)-1,0,COUNTA($B$19:$B$24),COUNTA($AK$17:$BB$17)),MATCH($F618,$F$19:$F$24,0),MATCH(AL$17,$AK$17:$BB$17,0))*INDEX($10:$13,MATCH($O618,$R$10:$R$13,0),COLUMN())</f>
        <v>2.5244283781E-7</v>
      </c>
      <c r="AM618" s="1050" cm="1">
        <f t="array" aca="1" ref="AM618" ca="1">INDEX(OFFSET($AK$19,MATCH($B618,$B$19:$B$150,0)-1,0,COUNTA($B$19:$B$24),COUNTA($AK$17:$BB$17)),MATCH($F618,$F$19:$F$24,0),MATCH(AM$17,$AK$17:$BB$17,0))*INDEX($10:$13,MATCH($O618,$R$10:$R$13,0),COLUMN())</f>
        <v>4.0385869602000004E-4</v>
      </c>
      <c r="AN618" s="1050" cm="1">
        <f t="array" aca="1" ref="AN618" ca="1">INDEX(OFFSET($AK$19,MATCH($B618,$B$19:$B$150,0)-1,0,COUNTA($B$19:$B$24),COUNTA($AK$17:$BB$17)),MATCH($F618,$F$19:$F$24,0),MATCH(AN$17,$AK$17:$BB$17,0))*INDEX($10:$13,MATCH($O618,$R$10:$R$13,0),COLUMN())</f>
        <v>5.5624375760000002E-3</v>
      </c>
      <c r="AO618" s="1050" cm="1">
        <f t="array" aca="1" ref="AO618" ca="1">INDEX(OFFSET($AK$19,MATCH($B618,$B$19:$B$150,0)-1,0,COUNTA($B$19:$B$24),COUNTA($AK$17:$BB$17)),MATCH($F618,$F$19:$F$24,0),MATCH(AO$17,$AK$17:$BB$17,0))*INDEX($10:$13,MATCH($O618,$R$10:$R$13,0),COLUMN())</f>
        <v>8.1993362400000006E-2</v>
      </c>
      <c r="AP618" s="1050" cm="1">
        <f t="array" aca="1" ref="AP618" ca="1">INDEX(OFFSET($AK$19,MATCH($B618,$B$19:$B$150,0)-1,0,COUNTA($B$19:$B$24),COUNTA($AK$17:$BB$17)),MATCH($F618,$F$19:$F$24,0),MATCH(AP$17,$AK$17:$BB$17,0))*INDEX($10:$13,MATCH($O618,$R$10:$R$13,0),COLUMN())</f>
        <v>3.2491151326000001E-2</v>
      </c>
      <c r="AQ618" s="1050" cm="1">
        <f t="array" aca="1" ref="AQ618" ca="1">INDEX(OFFSET($AK$19,MATCH($B618,$B$19:$B$150,0)-1,0,COUNTA($B$19:$B$24),COUNTA($AK$17:$BB$17)),MATCH($F618,$F$19:$F$24,0),MATCH(AQ$17,$AK$17:$BB$17,0))*INDEX($10:$13,MATCH($O618,$R$10:$R$13,0),COLUMN())</f>
        <v>2.1469167709999999E-4</v>
      </c>
      <c r="AR618" s="1050" cm="1">
        <f t="array" aca="1" ref="AR618" ca="1">INDEX(OFFSET($AK$19,MATCH($B618,$B$19:$B$150,0)-1,0,COUNTA($B$19:$B$24),COUNTA($AK$17:$BB$17)),MATCH($F618,$F$19:$F$24,0),MATCH(AR$17,$AK$17:$BB$17,0))*INDEX($10:$13,MATCH($O618,$R$10:$R$13,0),COLUMN())</f>
        <v>2.2982752896999997E-2</v>
      </c>
      <c r="AS618" s="1050" cm="1">
        <f t="array" aca="1" ref="AS618" ca="1">INDEX(OFFSET($AK$19,MATCH($B618,$B$19:$B$150,0)-1,0,COUNTA($B$19:$B$24),COUNTA($AK$17:$BB$17)),MATCH($F618,$F$19:$F$24,0),MATCH(AS$17,$AK$17:$BB$17,0))*INDEX($10:$13,MATCH($O618,$R$10:$R$13,0),COLUMN())</f>
        <v>7.4440373255000008E-4</v>
      </c>
      <c r="AT618" s="1050" cm="1">
        <f t="array" aca="1" ref="AT618" ca="1">INDEX(OFFSET($AK$19,MATCH($B618,$B$19:$B$150,0)-1,0,COUNTA($B$19:$B$24),COUNTA($AK$17:$BB$17)),MATCH($F618,$F$19:$F$24,0),MATCH(AT$17,$AK$17:$BB$17,0))*INDEX($10:$13,MATCH($O618,$R$10:$R$13,0),COLUMN())</f>
        <v>1.8219966355000001E-5</v>
      </c>
      <c r="AU618" s="1050" cm="1">
        <f t="array" aca="1" ref="AU618" ca="1">INDEX(OFFSET($AK$19,MATCH($B618,$B$19:$B$150,0)-1,0,COUNTA($B$19:$B$24),COUNTA($AK$17:$BB$17)),MATCH($F618,$F$19:$F$24,0),MATCH(AU$17,$AK$17:$BB$17,0))*INDEX($10:$13,MATCH($O618,$R$10:$R$13,0),COLUMN())</f>
        <v>3.8347275528000005E-6</v>
      </c>
      <c r="AV618" s="1050" cm="1">
        <f t="array" aca="1" ref="AV618" ca="1">INDEX(OFFSET($AK$19,MATCH($B618,$B$19:$B$150,0)-1,0,COUNTA($B$19:$B$24),COUNTA($AK$17:$BB$17)),MATCH($F618,$F$19:$F$24,0),MATCH(AV$17,$AK$17:$BB$17,0))*INDEX($10:$13,MATCH($O618,$R$10:$R$13,0),COLUMN())</f>
        <v>5.8146452009999999E-3</v>
      </c>
      <c r="AW618" s="1050" cm="1">
        <f t="array" aca="1" ref="AW618" ca="1">INDEX(OFFSET($AK$19,MATCH($B618,$B$19:$B$150,0)-1,0,COUNTA($B$19:$B$24),COUNTA($AK$17:$BB$17)),MATCH($F618,$F$19:$F$24,0),MATCH(AW$17,$AK$17:$BB$17,0))*INDEX($10:$13,MATCH($O618,$R$10:$R$13,0),COLUMN())</f>
        <v>5.5517275830000008</v>
      </c>
      <c r="AX618" s="1050" cm="1">
        <f t="array" aca="1" ref="AX618" ca="1">INDEX(OFFSET($AK$19,MATCH($B618,$B$19:$B$150,0)-1,0,COUNTA($B$19:$B$24),COUNTA($AK$17:$BB$17)),MATCH($F618,$F$19:$F$24,0),MATCH(AX$17,$AK$17:$BB$17,0))*INDEX($10:$13,MATCH($O618,$R$10:$R$13,0),COLUMN())</f>
        <v>1.5969706400000001E-6</v>
      </c>
      <c r="AY618" s="1050" cm="1">
        <f t="array" aca="1" ref="AY618" ca="1">INDEX(OFFSET($AK$19,MATCH($B618,$B$19:$B$150,0)-1,0,COUNTA($B$19:$B$24),COUNTA($AK$17:$BB$17)),MATCH($F618,$F$19:$F$24,0),MATCH(AY$17,$AK$17:$BB$17,0))*INDEX($10:$13,MATCH($O618,$R$10:$R$13,0),COLUMN())</f>
        <v>-4.1158058887500002E-8</v>
      </c>
      <c r="AZ618" s="1050" cm="1">
        <f t="array" aca="1" ref="AZ618" ca="1">INDEX(OFFSET($AK$19,MATCH($B618,$B$19:$B$150,0)-1,0,COUNTA($B$19:$B$24),COUNTA($AK$17:$BB$17)),MATCH($F618,$F$19:$F$24,0),MATCH(AZ$17,$AK$17:$BB$17,0))*INDEX($10:$13,MATCH($O618,$R$10:$R$13,0),COLUMN())</f>
        <v>0</v>
      </c>
      <c r="BA618" s="1050" cm="1">
        <f t="array" aca="1" ref="BA618" ca="1">INDEX(OFFSET($AK$19,MATCH($B618,$B$19:$B$150,0)-1,0,COUNTA($B$19:$B$24),COUNTA($AK$17:$BB$17)),MATCH($F618,$F$19:$F$24,0),MATCH(BA$17,$AK$17:$BB$17,0))*INDEX($10:$13,MATCH($O618,$R$10:$R$13,0),COLUMN())</f>
        <v>0</v>
      </c>
      <c r="BB618" s="1051" cm="1">
        <f t="array" aca="1" ref="BB618" ca="1">INDEX(OFFSET($AK$19,MATCH($B618,$B$19:$B$150,0)-1,0,COUNTA($B$19:$B$24),COUNTA($AK$17:$BB$17)),MATCH($F618,$F$19:$F$24,0),MATCH(BB$17,$AK$17:$BB$17,0))*INDEX($10:$13,MATCH($O618,$R$10:$R$13,0),COLUMN())</f>
        <v>0</v>
      </c>
      <c r="BC618" s="1053">
        <f t="shared" ca="1" si="188"/>
        <v>5.5517291388125818</v>
      </c>
      <c r="BE618" s="1"/>
      <c r="BF618" s="1"/>
      <c r="BG618" s="1"/>
      <c r="BH618" s="1"/>
      <c r="BI618" s="1"/>
      <c r="BJ618" s="1"/>
      <c r="BK618" s="1"/>
      <c r="BL618" s="1"/>
      <c r="BM618" s="1"/>
      <c r="BN618" s="1"/>
      <c r="BO618" s="1"/>
      <c r="BP618" s="1"/>
      <c r="BQ618" s="1"/>
      <c r="BR618" s="1"/>
      <c r="BS618" s="1"/>
      <c r="BT618" s="1"/>
      <c r="BU618" s="1"/>
      <c r="BV618" s="1"/>
      <c r="BW618" s="1"/>
      <c r="BX618" s="1"/>
      <c r="BY618" s="1"/>
      <c r="BZ618" s="1"/>
    </row>
    <row r="619" spans="2:78" ht="12" customHeight="1" outlineLevel="1" x14ac:dyDescent="0.25">
      <c r="B619" s="104" t="s">
        <v>107</v>
      </c>
      <c r="C619" s="104" t="s">
        <v>121</v>
      </c>
      <c r="D619" s="2" t="s">
        <v>143</v>
      </c>
      <c r="E619" s="2" t="s">
        <v>144</v>
      </c>
      <c r="F619" s="105" t="s">
        <v>95</v>
      </c>
      <c r="G619" s="27" t="s">
        <v>1581</v>
      </c>
      <c r="H619" s="106" t="s">
        <v>128</v>
      </c>
      <c r="I619" s="107" t="s">
        <v>127</v>
      </c>
      <c r="J619" s="147">
        <v>5.9321289200000002</v>
      </c>
      <c r="K619" s="148">
        <v>3</v>
      </c>
      <c r="L619" s="149">
        <f t="shared" ca="1" si="190"/>
        <v>2.4963304703782345</v>
      </c>
      <c r="M619" s="148">
        <f t="shared" ca="1" si="191"/>
        <v>10.488991411134704</v>
      </c>
      <c r="N619" s="148">
        <f t="shared" ca="1" si="189"/>
        <v>7.4889914111347036</v>
      </c>
      <c r="O619" s="1062" t="s">
        <v>1585</v>
      </c>
      <c r="P619" s="104"/>
      <c r="R619" s="119"/>
      <c r="S619" s="1072"/>
      <c r="T619" s="1072"/>
      <c r="U619" s="1072"/>
      <c r="V619" s="1072"/>
      <c r="W619" s="1072"/>
      <c r="X619" s="1072"/>
      <c r="Y619" s="1072"/>
      <c r="Z619" s="1072"/>
      <c r="AA619" s="1072"/>
      <c r="AB619" s="1072"/>
      <c r="AC619" s="1072"/>
      <c r="AD619" s="1072"/>
      <c r="AE619" s="1072"/>
      <c r="AF619" s="1072"/>
      <c r="AG619" s="1072"/>
      <c r="AH619" s="1072"/>
      <c r="AI619" s="1072"/>
      <c r="AJ619" s="1073"/>
      <c r="AK619" s="1052" cm="1">
        <f t="array" aca="1" ref="AK619" ca="1">INDEX(OFFSET($AK$19,MATCH($B619,$B$19:$B$150,0)-1,0,COUNTA($B$19:$B$24),COUNTA($AK$17:$BB$17)),MATCH($F619,$F$19:$F$24,0),MATCH(AK$17,$AK$17:$BB$17,0))*INDEX($10:$13,MATCH($O619,$R$10:$R$13,0),COLUMN())</f>
        <v>0.34263938031033597</v>
      </c>
      <c r="AL619" s="1050" cm="1">
        <f t="array" aca="1" ref="AL619" ca="1">INDEX(OFFSET($AK$19,MATCH($B619,$B$19:$B$150,0)-1,0,COUNTA($B$19:$B$24),COUNTA($AK$17:$BB$17)),MATCH($F619,$F$19:$F$24,0),MATCH(AL$17,$AK$17:$BB$17,0))*INDEX($10:$13,MATCH($O619,$R$10:$R$13,0),COLUMN())</f>
        <v>3.0576947774000004E-7</v>
      </c>
      <c r="AM619" s="1050" cm="1">
        <f t="array" aca="1" ref="AM619" ca="1">INDEX(OFFSET($AK$19,MATCH($B619,$B$19:$B$150,0)-1,0,COUNTA($B$19:$B$24),COUNTA($AK$17:$BB$17)),MATCH($F619,$F$19:$F$24,0),MATCH(AM$17,$AK$17:$BB$17,0))*INDEX($10:$13,MATCH($O619,$R$10:$R$13,0),COLUMN())</f>
        <v>4.8915461139999996E-4</v>
      </c>
      <c r="AN619" s="1050" cm="1">
        <f t="array" aca="1" ref="AN619" ca="1">INDEX(OFFSET($AK$19,MATCH($B619,$B$19:$B$150,0)-1,0,COUNTA($B$19:$B$24),COUNTA($AK$17:$BB$17)),MATCH($F619,$F$19:$F$24,0),MATCH(AN$17,$AK$17:$BB$17,0))*INDEX($10:$13,MATCH($O619,$R$10:$R$13,0),COLUMN())</f>
        <v>7.1425475120000005E-3</v>
      </c>
      <c r="AO619" s="1050" cm="1">
        <f t="array" aca="1" ref="AO619" ca="1">INDEX(OFFSET($AK$19,MATCH($B619,$B$19:$B$150,0)-1,0,COUNTA($B$19:$B$24),COUNTA($AK$17:$BB$17)),MATCH($F619,$F$19:$F$24,0),MATCH(AO$17,$AK$17:$BB$17,0))*INDEX($10:$13,MATCH($O619,$R$10:$R$13,0),COLUMN())</f>
        <v>0.23248670907999999</v>
      </c>
      <c r="AP619" s="1050" cm="1">
        <f t="array" aca="1" ref="AP619" ca="1">INDEX(OFFSET($AK$19,MATCH($B619,$B$19:$B$150,0)-1,0,COUNTA($B$19:$B$24),COUNTA($AK$17:$BB$17)),MATCH($F619,$F$19:$F$24,0),MATCH(AP$17,$AK$17:$BB$17,0))*INDEX($10:$13,MATCH($O619,$R$10:$R$13,0),COLUMN())</f>
        <v>0.13338674657999999</v>
      </c>
      <c r="AQ619" s="1050" cm="1">
        <f t="array" aca="1" ref="AQ619" ca="1">INDEX(OFFSET($AK$19,MATCH($B619,$B$19:$B$150,0)-1,0,COUNTA($B$19:$B$24),COUNTA($AK$17:$BB$17)),MATCH($F619,$F$19:$F$24,0),MATCH(AQ$17,$AK$17:$BB$17,0))*INDEX($10:$13,MATCH($O619,$R$10:$R$13,0),COLUMN())</f>
        <v>1.0218925385999998E-3</v>
      </c>
      <c r="AR619" s="1050" cm="1">
        <f t="array" aca="1" ref="AR619" ca="1">INDEX(OFFSET($AK$19,MATCH($B619,$B$19:$B$150,0)-1,0,COUNTA($B$19:$B$24),COUNTA($AK$17:$BB$17)),MATCH($F619,$F$19:$F$24,0),MATCH(AR$17,$AK$17:$BB$17,0))*INDEX($10:$13,MATCH($O619,$R$10:$R$13,0),COLUMN())</f>
        <v>4.9703385559999994E-2</v>
      </c>
      <c r="AS619" s="1050" cm="1">
        <f t="array" aca="1" ref="AS619" ca="1">INDEX(OFFSET($AK$19,MATCH($B619,$B$19:$B$150,0)-1,0,COUNTA($B$19:$B$24),COUNTA($AK$17:$BB$17)),MATCH($F619,$F$19:$F$24,0),MATCH(AS$17,$AK$17:$BB$17,0))*INDEX($10:$13,MATCH($O619,$R$10:$R$13,0),COLUMN())</f>
        <v>1.2850112015E-2</v>
      </c>
      <c r="AT619" s="1050" cm="1">
        <f t="array" aca="1" ref="AT619" ca="1">INDEX(OFFSET($AK$19,MATCH($B619,$B$19:$B$150,0)-1,0,COUNTA($B$19:$B$24),COUNTA($AK$17:$BB$17)),MATCH($F619,$F$19:$F$24,0),MATCH(AT$17,$AK$17:$BB$17,0))*INDEX($10:$13,MATCH($O619,$R$10:$R$13,0),COLUMN())</f>
        <v>3.0618265565000001E-5</v>
      </c>
      <c r="AU619" s="1050" cm="1">
        <f t="array" aca="1" ref="AU619" ca="1">INDEX(OFFSET($AK$19,MATCH($B619,$B$19:$B$150,0)-1,0,COUNTA($B$19:$B$24),COUNTA($AK$17:$BB$17)),MATCH($F619,$F$19:$F$24,0),MATCH(AU$17,$AK$17:$BB$17,0))*INDEX($10:$13,MATCH($O619,$R$10:$R$13,0),COLUMN())</f>
        <v>5.9290121205000004E-6</v>
      </c>
      <c r="AV619" s="1050" cm="1">
        <f t="array" aca="1" ref="AV619" ca="1">INDEX(OFFSET($AK$19,MATCH($B619,$B$19:$B$150,0)-1,0,COUNTA($B$19:$B$24),COUNTA($AK$17:$BB$17)),MATCH($F619,$F$19:$F$24,0),MATCH(AV$17,$AK$17:$BB$17,0))*INDEX($10:$13,MATCH($O619,$R$10:$R$13,0),COLUMN())</f>
        <v>3.2760863369999997E-2</v>
      </c>
      <c r="AW619" s="1050" cm="1">
        <f t="array" aca="1" ref="AW619" ca="1">INDEX(OFFSET($AK$19,MATCH($B619,$B$19:$B$150,0)-1,0,COUNTA($B$19:$B$24),COUNTA($AK$17:$BB$17)),MATCH($F619,$F$19:$F$24,0),MATCH(AW$17,$AK$17:$BB$17,0))*INDEX($10:$13,MATCH($O619,$R$10:$R$13,0),COLUMN())</f>
        <v>6.6764718955000006</v>
      </c>
      <c r="AX619" s="1050" cm="1">
        <f t="array" aca="1" ref="AX619" ca="1">INDEX(OFFSET($AK$19,MATCH($B619,$B$19:$B$150,0)-1,0,COUNTA($B$19:$B$24),COUNTA($AK$17:$BB$17)),MATCH($F619,$F$19:$F$24,0),MATCH(AX$17,$AK$17:$BB$17,0))*INDEX($10:$13,MATCH($O619,$R$10:$R$13,0),COLUMN())</f>
        <v>1.9205066205000001E-6</v>
      </c>
      <c r="AY619" s="1050" cm="1">
        <f t="array" aca="1" ref="AY619" ca="1">INDEX(OFFSET($AK$19,MATCH($B619,$B$19:$B$150,0)-1,0,COUNTA($B$19:$B$24),COUNTA($AK$17:$BB$17)),MATCH($F619,$F$19:$F$24,0),MATCH(AY$17,$AK$17:$BB$17,0))*INDEX($10:$13,MATCH($O619,$R$10:$R$13,0),COLUMN())</f>
        <v>-4.9496416612499995E-8</v>
      </c>
      <c r="AZ619" s="1050" cm="1">
        <f t="array" aca="1" ref="AZ619" ca="1">INDEX(OFFSET($AK$19,MATCH($B619,$B$19:$B$150,0)-1,0,COUNTA($B$19:$B$24),COUNTA($AK$17:$BB$17)),MATCH($F619,$F$19:$F$24,0),MATCH(AZ$17,$AK$17:$BB$17,0))*INDEX($10:$13,MATCH($O619,$R$10:$R$13,0),COLUMN())</f>
        <v>0</v>
      </c>
      <c r="BA619" s="1050" cm="1">
        <f t="array" aca="1" ref="BA619" ca="1">INDEX(OFFSET($AK$19,MATCH($B619,$B$19:$B$150,0)-1,0,COUNTA($B$19:$B$24),COUNTA($AK$17:$BB$17)),MATCH($F619,$F$19:$F$24,0),MATCH(BA$17,$AK$17:$BB$17,0))*INDEX($10:$13,MATCH($O619,$R$10:$R$13,0),COLUMN())</f>
        <v>0</v>
      </c>
      <c r="BB619" s="1051" cm="1">
        <f t="array" aca="1" ref="BB619" ca="1">INDEX(OFFSET($AK$19,MATCH($B619,$B$19:$B$150,0)-1,0,COUNTA($B$19:$B$24),COUNTA($AK$17:$BB$17)),MATCH($F619,$F$19:$F$24,0),MATCH(BB$17,$AK$17:$BB$17,0))*INDEX($10:$13,MATCH($O619,$R$10:$R$13,0),COLUMN())</f>
        <v>0</v>
      </c>
      <c r="BC619" s="1053">
        <f t="shared" ca="1" si="188"/>
        <v>6.6764737665102043</v>
      </c>
      <c r="BE619" s="1"/>
      <c r="BF619" s="1"/>
      <c r="BG619" s="1"/>
      <c r="BH619" s="1"/>
      <c r="BI619" s="1"/>
      <c r="BJ619" s="1"/>
      <c r="BK619" s="1"/>
      <c r="BL619" s="1"/>
      <c r="BM619" s="1"/>
      <c r="BN619" s="1"/>
      <c r="BO619" s="1"/>
      <c r="BP619" s="1"/>
      <c r="BQ619" s="1"/>
      <c r="BR619" s="1"/>
      <c r="BS619" s="1"/>
      <c r="BT619" s="1"/>
      <c r="BU619" s="1"/>
      <c r="BV619" s="1"/>
      <c r="BW619" s="1"/>
      <c r="BX619" s="1"/>
      <c r="BY619" s="1"/>
      <c r="BZ619" s="1"/>
    </row>
    <row r="620" spans="2:78" ht="12" customHeight="1" outlineLevel="1" x14ac:dyDescent="0.25">
      <c r="B620" s="104" t="s">
        <v>107</v>
      </c>
      <c r="C620" s="104" t="s">
        <v>121</v>
      </c>
      <c r="D620" s="2" t="s">
        <v>143</v>
      </c>
      <c r="E620" s="2" t="s">
        <v>144</v>
      </c>
      <c r="F620" s="105" t="s">
        <v>96</v>
      </c>
      <c r="G620" s="27" t="s">
        <v>1582</v>
      </c>
      <c r="H620" s="106" t="s">
        <v>128</v>
      </c>
      <c r="I620" s="107" t="s">
        <v>1577</v>
      </c>
      <c r="J620" s="147">
        <v>5.9321289200000002</v>
      </c>
      <c r="K620" s="148">
        <v>3</v>
      </c>
      <c r="L620" s="149">
        <f t="shared" ca="1" si="190"/>
        <v>2.5799076826711684</v>
      </c>
      <c r="M620" s="148">
        <f t="shared" ca="1" si="191"/>
        <v>10.739723048013506</v>
      </c>
      <c r="N620" s="148">
        <f t="shared" ca="1" si="189"/>
        <v>7.7397230480135049</v>
      </c>
      <c r="O620" s="1062" t="s">
        <v>1585</v>
      </c>
      <c r="P620" s="104"/>
      <c r="R620" s="119"/>
      <c r="S620" s="1072"/>
      <c r="T620" s="1072"/>
      <c r="U620" s="1072"/>
      <c r="V620" s="1072"/>
      <c r="W620" s="1072"/>
      <c r="X620" s="1072"/>
      <c r="Y620" s="1072"/>
      <c r="Z620" s="1072"/>
      <c r="AA620" s="1072"/>
      <c r="AB620" s="1072"/>
      <c r="AC620" s="1072"/>
      <c r="AD620" s="1072"/>
      <c r="AE620" s="1072"/>
      <c r="AF620" s="1072"/>
      <c r="AG620" s="1072"/>
      <c r="AH620" s="1072"/>
      <c r="AI620" s="1072"/>
      <c r="AJ620" s="1073"/>
      <c r="AK620" s="1052" cm="1">
        <f t="array" aca="1" ref="AK620" ca="1">INDEX(OFFSET($AK$19,MATCH($B620,$B$19:$B$150,0)-1,0,COUNTA($B$19:$B$24),COUNTA($AK$17:$BB$17)),MATCH($F620,$F$19:$F$24,0),MATCH(AK$17,$AK$17:$BB$17,0))*INDEX($10:$13,MATCH($O620,$R$10:$R$13,0),COLUMN())</f>
        <v>0.38227480044671996</v>
      </c>
      <c r="AL620" s="1050" cm="1">
        <f t="array" aca="1" ref="AL620" ca="1">INDEX(OFFSET($AK$19,MATCH($B620,$B$19:$B$150,0)-1,0,COUNTA($B$19:$B$24),COUNTA($AK$17:$BB$17)),MATCH($F620,$F$19:$F$24,0),MATCH(AL$17,$AK$17:$BB$17,0))*INDEX($10:$13,MATCH($O620,$R$10:$R$13,0),COLUMN())</f>
        <v>3.0719951300000003E-7</v>
      </c>
      <c r="AM620" s="1050" cm="1">
        <f t="array" aca="1" ref="AM620" ca="1">INDEX(OFFSET($AK$19,MATCH($B620,$B$19:$B$150,0)-1,0,COUNTA($B$19:$B$24),COUNTA($AK$17:$BB$17)),MATCH($F620,$F$19:$F$24,0),MATCH(AM$17,$AK$17:$BB$17,0))*INDEX($10:$13,MATCH($O620,$R$10:$R$13,0),COLUMN())</f>
        <v>4.914317834399999E-4</v>
      </c>
      <c r="AN620" s="1050" cm="1">
        <f t="array" aca="1" ref="AN620" ca="1">INDEX(OFFSET($AK$19,MATCH($B620,$B$19:$B$150,0)-1,0,COUNTA($B$19:$B$24),COUNTA($AK$17:$BB$17)),MATCH($F620,$F$19:$F$24,0),MATCH(AN$17,$AK$17:$BB$17,0))*INDEX($10:$13,MATCH($O620,$R$10:$R$13,0),COLUMN())</f>
        <v>7.4393785200000014E-3</v>
      </c>
      <c r="AO620" s="1050" cm="1">
        <f t="array" aca="1" ref="AO620" ca="1">INDEX(OFFSET($AK$19,MATCH($B620,$B$19:$B$150,0)-1,0,COUNTA($B$19:$B$24),COUNTA($AK$17:$BB$17)),MATCH($F620,$F$19:$F$24,0),MATCH(AO$17,$AK$17:$BB$17,0))*INDEX($10:$13,MATCH($O620,$R$10:$R$13,0),COLUMN())</f>
        <v>0.32984794548000002</v>
      </c>
      <c r="AP620" s="1050" cm="1">
        <f t="array" aca="1" ref="AP620" ca="1">INDEX(OFFSET($AK$19,MATCH($B620,$B$19:$B$150,0)-1,0,COUNTA($B$19:$B$24),COUNTA($AK$17:$BB$17)),MATCH($F620,$F$19:$F$24,0),MATCH(AP$17,$AK$17:$BB$17,0))*INDEX($10:$13,MATCH($O620,$R$10:$R$13,0),COLUMN())</f>
        <v>0.20209860888</v>
      </c>
      <c r="AQ620" s="1050" cm="1">
        <f t="array" aca="1" ref="AQ620" ca="1">INDEX(OFFSET($AK$19,MATCH($B620,$B$19:$B$150,0)-1,0,COUNTA($B$19:$B$24),COUNTA($AK$17:$BB$17)),MATCH($F620,$F$19:$F$24,0),MATCH(AQ$17,$AK$17:$BB$17,0))*INDEX($10:$13,MATCH($O620,$R$10:$R$13,0),COLUMN())</f>
        <v>1.5657889054999999E-3</v>
      </c>
      <c r="AR620" s="1050" cm="1">
        <f t="array" aca="1" ref="AR620" ca="1">INDEX(OFFSET($AK$19,MATCH($B620,$B$19:$B$150,0)-1,0,COUNTA($B$19:$B$24),COUNTA($AK$17:$BB$17)),MATCH($F620,$F$19:$F$24,0),MATCH(AR$17,$AK$17:$BB$17,0))*INDEX($10:$13,MATCH($O620,$R$10:$R$13,0),COLUMN())</f>
        <v>6.5790236869999991E-2</v>
      </c>
      <c r="AS620" s="1050" cm="1">
        <f t="array" aca="1" ref="AS620" ca="1">INDEX(OFFSET($AK$19,MATCH($B620,$B$19:$B$150,0)-1,0,COUNTA($B$19:$B$24),COUNTA($AK$17:$BB$17)),MATCH($F620,$F$19:$F$24,0),MATCH(AS$17,$AK$17:$BB$17,0))*INDEX($10:$13,MATCH($O620,$R$10:$R$13,0),COLUMN())</f>
        <v>2.1073015140000002E-2</v>
      </c>
      <c r="AT620" s="1050" cm="1">
        <f t="array" aca="1" ref="AT620" ca="1">INDEX(OFFSET($AK$19,MATCH($B620,$B$19:$B$150,0)-1,0,COUNTA($B$19:$B$24),COUNTA($AK$17:$BB$17)),MATCH($F620,$F$19:$F$24,0),MATCH(AT$17,$AK$17:$BB$17,0))*INDEX($10:$13,MATCH($O620,$R$10:$R$13,0),COLUMN())</f>
        <v>3.4310522063000003E-5</v>
      </c>
      <c r="AU620" s="1050" cm="1">
        <f t="array" aca="1" ref="AU620" ca="1">INDEX(OFFSET($AK$19,MATCH($B620,$B$19:$B$150,0)-1,0,COUNTA($B$19:$B$24),COUNTA($AK$17:$BB$17)),MATCH($F620,$F$19:$F$24,0),MATCH(AU$17,$AK$17:$BB$17,0))*INDEX($10:$13,MATCH($O620,$R$10:$R$13,0),COLUMN())</f>
        <v>6.450146064900001E-6</v>
      </c>
      <c r="AV620" s="1050" cm="1">
        <f t="array" aca="1" ref="AV620" ca="1">INDEX(OFFSET($AK$19,MATCH($B620,$B$19:$B$150,0)-1,0,COUNTA($B$19:$B$24),COUNTA($AK$17:$BB$17)),MATCH($F620,$F$19:$F$24,0),MATCH(AV$17,$AK$17:$BB$17,0))*INDEX($10:$13,MATCH($O620,$R$10:$R$13,0),COLUMN())</f>
        <v>5.2627007609999998E-2</v>
      </c>
      <c r="AW620" s="1050" cm="1">
        <f t="array" aca="1" ref="AW620" ca="1">INDEX(OFFSET($AK$19,MATCH($B620,$B$19:$B$150,0)-1,0,COUNTA($B$19:$B$24),COUNTA($AK$17:$BB$17)),MATCH($F620,$F$19:$F$24,0),MATCH(AW$17,$AK$17:$BB$17,0))*INDEX($10:$13,MATCH($O620,$R$10:$R$13,0),COLUMN())</f>
        <v>6.6764718955000006</v>
      </c>
      <c r="AX620" s="1050" cm="1">
        <f t="array" aca="1" ref="AX620" ca="1">INDEX(OFFSET($AK$19,MATCH($B620,$B$19:$B$150,0)-1,0,COUNTA($B$19:$B$24),COUNTA($AK$17:$BB$17)),MATCH($F620,$F$19:$F$24,0),MATCH(AX$17,$AK$17:$BB$17,0))*INDEX($10:$13,MATCH($O620,$R$10:$R$13,0),COLUMN())</f>
        <v>1.9205066205000001E-6</v>
      </c>
      <c r="AY620" s="1050" cm="1">
        <f t="array" aca="1" ref="AY620" ca="1">INDEX(OFFSET($AK$19,MATCH($B620,$B$19:$B$150,0)-1,0,COUNTA($B$19:$B$24),COUNTA($AK$17:$BB$17)),MATCH($F620,$F$19:$F$24,0),MATCH(AY$17,$AK$17:$BB$17,0))*INDEX($10:$13,MATCH($O620,$R$10:$R$13,0),COLUMN())</f>
        <v>-4.9496416612499995E-8</v>
      </c>
      <c r="AZ620" s="1050" cm="1">
        <f t="array" aca="1" ref="AZ620" ca="1">INDEX(OFFSET($AK$19,MATCH($B620,$B$19:$B$150,0)-1,0,COUNTA($B$19:$B$24),COUNTA($AK$17:$BB$17)),MATCH($F620,$F$19:$F$24,0),MATCH(AZ$17,$AK$17:$BB$17,0))*INDEX($10:$13,MATCH($O620,$R$10:$R$13,0),COLUMN())</f>
        <v>0</v>
      </c>
      <c r="BA620" s="1050" cm="1">
        <f t="array" aca="1" ref="BA620" ca="1">INDEX(OFFSET($AK$19,MATCH($B620,$B$19:$B$150,0)-1,0,COUNTA($B$19:$B$24),COUNTA($AK$17:$BB$17)),MATCH($F620,$F$19:$F$24,0),MATCH(BA$17,$AK$17:$BB$17,0))*INDEX($10:$13,MATCH($O620,$R$10:$R$13,0),COLUMN())</f>
        <v>0</v>
      </c>
      <c r="BB620" s="1051" cm="1">
        <f t="array" aca="1" ref="BB620" ca="1">INDEX(OFFSET($AK$19,MATCH($B620,$B$19:$B$150,0)-1,0,COUNTA($B$19:$B$24),COUNTA($AK$17:$BB$17)),MATCH($F620,$F$19:$F$24,0),MATCH(BB$17,$AK$17:$BB$17,0))*INDEX($10:$13,MATCH($O620,$R$10:$R$13,0),COLUMN())</f>
        <v>0</v>
      </c>
      <c r="BC620" s="1053">
        <f t="shared" ca="1" si="188"/>
        <v>6.6764737665102043</v>
      </c>
      <c r="BE620" s="1"/>
      <c r="BF620" s="1"/>
      <c r="BG620" s="1"/>
      <c r="BH620" s="1"/>
      <c r="BI620" s="1"/>
      <c r="BJ620" s="1"/>
      <c r="BK620" s="1"/>
      <c r="BL620" s="1"/>
      <c r="BM620" s="1"/>
      <c r="BN620" s="1"/>
      <c r="BO620" s="1"/>
      <c r="BP620" s="1"/>
      <c r="BQ620" s="1"/>
      <c r="BR620" s="1"/>
      <c r="BS620" s="1"/>
      <c r="BT620" s="1"/>
      <c r="BU620" s="1"/>
      <c r="BV620" s="1"/>
      <c r="BW620" s="1"/>
      <c r="BX620" s="1"/>
      <c r="BY620" s="1"/>
      <c r="BZ620" s="1"/>
    </row>
    <row r="621" spans="2:78" ht="12" customHeight="1" outlineLevel="1" x14ac:dyDescent="0.25">
      <c r="B621" s="88" t="s">
        <v>108</v>
      </c>
      <c r="C621" s="88" t="s">
        <v>121</v>
      </c>
      <c r="D621" s="89" t="s">
        <v>143</v>
      </c>
      <c r="E621" s="89" t="s">
        <v>145</v>
      </c>
      <c r="F621" s="90" t="s">
        <v>92</v>
      </c>
      <c r="G621" s="18" t="s">
        <v>126</v>
      </c>
      <c r="H621" s="91" t="s">
        <v>127</v>
      </c>
      <c r="I621" s="92" t="s">
        <v>127</v>
      </c>
      <c r="J621" s="142">
        <v>5.0812675600000006</v>
      </c>
      <c r="K621" s="143">
        <v>0.7434325684016676</v>
      </c>
      <c r="L621" s="144">
        <f t="shared" ca="1" si="190"/>
        <v>10.283532559157702</v>
      </c>
      <c r="M621" s="143">
        <f t="shared" ca="1" si="191"/>
        <v>8.3885455910984525</v>
      </c>
      <c r="N621" s="143">
        <f t="shared" ca="1" si="189"/>
        <v>7.6451130226967843</v>
      </c>
      <c r="O621" s="1063" t="s">
        <v>1585</v>
      </c>
      <c r="P621" s="88"/>
      <c r="Q621" s="89"/>
      <c r="R621" s="150"/>
      <c r="S621" s="1070"/>
      <c r="T621" s="1070"/>
      <c r="U621" s="1070"/>
      <c r="V621" s="1070"/>
      <c r="W621" s="1070"/>
      <c r="X621" s="1070"/>
      <c r="Y621" s="1070"/>
      <c r="Z621" s="1070"/>
      <c r="AA621" s="1070"/>
      <c r="AB621" s="1070"/>
      <c r="AC621" s="1070"/>
      <c r="AD621" s="1070"/>
      <c r="AE621" s="1070"/>
      <c r="AF621" s="1070"/>
      <c r="AG621" s="1070"/>
      <c r="AH621" s="1070"/>
      <c r="AI621" s="1070"/>
      <c r="AJ621" s="1071"/>
      <c r="AK621" s="1048" cm="1">
        <f t="array" aca="1" ref="AK621" ca="1">INDEX(OFFSET($AK$19,MATCH($B621,$B$19:$B$150,0)-1,0,COUNTA($B$19:$B$24),COUNTA($AK$17:$BB$17)),MATCH($F621,$F$19:$F$24,0),MATCH(AK$17,$AK$17:$BB$17,0))*INDEX($10:$13,MATCH($O621,$R$10:$R$13,0),COLUMN())</f>
        <v>0.71015533413120002</v>
      </c>
      <c r="AL621" s="1046" cm="1">
        <f t="array" aca="1" ref="AL621" ca="1">INDEX(OFFSET($AK$19,MATCH($B621,$B$19:$B$150,0)-1,0,COUNTA($B$19:$B$24),COUNTA($AK$17:$BB$17)),MATCH($F621,$F$19:$F$24,0),MATCH(AL$17,$AK$17:$BB$17,0))*INDEX($10:$13,MATCH($O621,$R$10:$R$13,0),COLUMN())</f>
        <v>7.6677388540000002E-7</v>
      </c>
      <c r="AM621" s="1046" cm="1">
        <f t="array" aca="1" ref="AM621" ca="1">INDEX(OFFSET($AK$19,MATCH($B621,$B$19:$B$150,0)-1,0,COUNTA($B$19:$B$24),COUNTA($AK$17:$BB$17)),MATCH($F621,$F$19:$F$24,0),MATCH(AM$17,$AK$17:$BB$17,0))*INDEX($10:$13,MATCH($O621,$R$10:$R$13,0),COLUMN())</f>
        <v>1.2601119986E-3</v>
      </c>
      <c r="AN621" s="1046" cm="1">
        <f t="array" aca="1" ref="AN621" ca="1">INDEX(OFFSET($AK$19,MATCH($B621,$B$19:$B$150,0)-1,0,COUNTA($B$19:$B$24),COUNTA($AK$17:$BB$17)),MATCH($F621,$F$19:$F$24,0),MATCH(AN$17,$AK$17:$BB$17,0))*INDEX($10:$13,MATCH($O621,$R$10:$R$13,0),COLUMN())</f>
        <v>6.6941310479999997E-3</v>
      </c>
      <c r="AO621" s="1046" cm="1">
        <f t="array" aca="1" ref="AO621" ca="1">INDEX(OFFSET($AK$19,MATCH($B621,$B$19:$B$150,0)-1,0,COUNTA($B$19:$B$24),COUNTA($AK$17:$BB$17)),MATCH($F621,$F$19:$F$24,0),MATCH(AO$17,$AK$17:$BB$17,0))*INDEX($10:$13,MATCH($O621,$R$10:$R$13,0),COLUMN())</f>
        <v>0.30215851375999997</v>
      </c>
      <c r="AP621" s="1046" cm="1">
        <f t="array" aca="1" ref="AP621" ca="1">INDEX(OFFSET($AK$19,MATCH($B621,$B$19:$B$150,0)-1,0,COUNTA($B$19:$B$24),COUNTA($AK$17:$BB$17)),MATCH($F621,$F$19:$F$24,0),MATCH(AP$17,$AK$17:$BB$17,0))*INDEX($10:$13,MATCH($O621,$R$10:$R$13,0),COLUMN())</f>
        <v>0.18100098152000002</v>
      </c>
      <c r="AQ621" s="1046" cm="1">
        <f t="array" aca="1" ref="AQ621" ca="1">INDEX(OFFSET($AK$19,MATCH($B621,$B$19:$B$150,0)-1,0,COUNTA($B$19:$B$24),COUNTA($AK$17:$BB$17)),MATCH($F621,$F$19:$F$24,0),MATCH(AQ$17,$AK$17:$BB$17,0))*INDEX($10:$13,MATCH($O621,$R$10:$R$13,0),COLUMN())</f>
        <v>4.2643254029999999E-3</v>
      </c>
      <c r="AR621" s="1046" cm="1">
        <f t="array" aca="1" ref="AR621" ca="1">INDEX(OFFSET($AK$19,MATCH($B621,$B$19:$B$150,0)-1,0,COUNTA($B$19:$B$24),COUNTA($AK$17:$BB$17)),MATCH($F621,$F$19:$F$24,0),MATCH(AR$17,$AK$17:$BB$17,0))*INDEX($10:$13,MATCH($O621,$R$10:$R$13,0),COLUMN())</f>
        <v>9.4670931540000003E-2</v>
      </c>
      <c r="AS621" s="1046" cm="1">
        <f t="array" aca="1" ref="AS621" ca="1">INDEX(OFFSET($AK$19,MATCH($B621,$B$19:$B$150,0)-1,0,COUNTA($B$19:$B$24),COUNTA($AK$17:$BB$17)),MATCH($F621,$F$19:$F$24,0),MATCH(AS$17,$AK$17:$BB$17,0))*INDEX($10:$13,MATCH($O621,$R$10:$R$13,0),COLUMN())</f>
        <v>1.0001284179999999</v>
      </c>
      <c r="AT621" s="1046" cm="1">
        <f t="array" aca="1" ref="AT621" ca="1">INDEX(OFFSET($AK$19,MATCH($B621,$B$19:$B$150,0)-1,0,COUNTA($B$19:$B$24),COUNTA($AK$17:$BB$17)),MATCH($F621,$F$19:$F$24,0),MATCH(AT$17,$AK$17:$BB$17,0))*INDEX($10:$13,MATCH($O621,$R$10:$R$13,0),COLUMN())</f>
        <v>1.1190198282000001E-3</v>
      </c>
      <c r="AU621" s="1046" cm="1">
        <f t="array" aca="1" ref="AU621" ca="1">INDEX(OFFSET($AK$19,MATCH($B621,$B$19:$B$150,0)-1,0,COUNTA($B$19:$B$24),COUNTA($AK$17:$BB$17)),MATCH($F621,$F$19:$F$24,0),MATCH(AU$17,$AK$17:$BB$17,0))*INDEX($10:$13,MATCH($O621,$R$10:$R$13,0),COLUMN())</f>
        <v>7.6255429887000015E-5</v>
      </c>
      <c r="AV621" s="1046" cm="1">
        <f t="array" aca="1" ref="AV621" ca="1">INDEX(OFFSET($AK$19,MATCH($B621,$B$19:$B$150,0)-1,0,COUNTA($B$19:$B$24),COUNTA($AK$17:$BB$17)),MATCH($F621,$F$19:$F$24,0),MATCH(AV$17,$AK$17:$BB$17,0))*INDEX($10:$13,MATCH($O621,$R$10:$R$13,0),COLUMN())</f>
        <v>8.6348574809999995E-2</v>
      </c>
      <c r="AW621" s="1046" cm="1">
        <f t="array" aca="1" ref="AW621" ca="1">INDEX(OFFSET($AK$19,MATCH($B621,$B$19:$B$150,0)-1,0,COUNTA($B$19:$B$24),COUNTA($AK$17:$BB$17)),MATCH($F621,$F$19:$F$24,0),MATCH(AW$17,$AK$17:$BB$17,0))*INDEX($10:$13,MATCH($O621,$R$10:$R$13,0),COLUMN())</f>
        <v>5.2572212860000009</v>
      </c>
      <c r="AX621" s="1046" cm="1">
        <f t="array" aca="1" ref="AX621" ca="1">INDEX(OFFSET($AK$19,MATCH($B621,$B$19:$B$150,0)-1,0,COUNTA($B$19:$B$24),COUNTA($AK$17:$BB$17)),MATCH($F621,$F$19:$F$24,0),MATCH(AX$17,$AK$17:$BB$17,0))*INDEX($10:$13,MATCH($O621,$R$10:$R$13,0),COLUMN())</f>
        <v>1.4786668930000002E-5</v>
      </c>
      <c r="AY621" s="1046" cm="1">
        <f t="array" aca="1" ref="AY621" ca="1">INDEX(OFFSET($AK$19,MATCH($B621,$B$19:$B$150,0)-1,0,COUNTA($B$19:$B$24),COUNTA($AK$17:$BB$17)),MATCH($F621,$F$19:$F$24,0),MATCH(AY$17,$AK$17:$BB$17,0))*INDEX($10:$13,MATCH($O621,$R$10:$R$13,0),COLUMN())</f>
        <v>-4.1421491906250002E-7</v>
      </c>
      <c r="AZ621" s="1046" cm="1">
        <f t="array" aca="1" ref="AZ621" ca="1">INDEX(OFFSET($AK$19,MATCH($B621,$B$19:$B$150,0)-1,0,COUNTA($B$19:$B$24),COUNTA($AK$17:$BB$17)),MATCH($F621,$F$19:$F$24,0),MATCH(AZ$17,$AK$17:$BB$17,0))*INDEX($10:$13,MATCH($O621,$R$10:$R$13,0),COLUMN())</f>
        <v>0</v>
      </c>
      <c r="BA621" s="1046" cm="1">
        <f t="array" aca="1" ref="BA621" ca="1">INDEX(OFFSET($AK$19,MATCH($B621,$B$19:$B$150,0)-1,0,COUNTA($B$19:$B$24),COUNTA($AK$17:$BB$17)),MATCH($F621,$F$19:$F$24,0),MATCH(BA$17,$AK$17:$BB$17,0))*INDEX($10:$13,MATCH($O621,$R$10:$R$13,0),COLUMN())</f>
        <v>0</v>
      </c>
      <c r="BB621" s="1047" cm="1">
        <f t="array" aca="1" ref="BB621" ca="1">INDEX(OFFSET($AK$19,MATCH($B621,$B$19:$B$150,0)-1,0,COUNTA($B$19:$B$24),COUNTA($AK$17:$BB$17)),MATCH($F621,$F$19:$F$24,0),MATCH(BB$17,$AK$17:$BB$17,0))*INDEX($10:$13,MATCH($O621,$R$10:$R$13,0),COLUMN())</f>
        <v>0</v>
      </c>
      <c r="BC621" s="1049">
        <f t="shared" ca="1" si="188"/>
        <v>5.2572356584540119</v>
      </c>
      <c r="BE621" s="1"/>
      <c r="BF621" s="1"/>
      <c r="BG621" s="1"/>
      <c r="BH621" s="1"/>
      <c r="BI621" s="1"/>
      <c r="BJ621" s="1"/>
      <c r="BK621" s="1"/>
      <c r="BL621" s="1"/>
      <c r="BM621" s="1"/>
      <c r="BN621" s="1"/>
      <c r="BO621" s="1"/>
      <c r="BP621" s="1"/>
      <c r="BQ621" s="1"/>
      <c r="BR621" s="1"/>
      <c r="BS621" s="1"/>
      <c r="BT621" s="1"/>
      <c r="BU621" s="1"/>
      <c r="BV621" s="1"/>
      <c r="BW621" s="1"/>
      <c r="BX621" s="1"/>
      <c r="BY621" s="1"/>
      <c r="BZ621" s="1"/>
    </row>
    <row r="622" spans="2:78" ht="12" customHeight="1" outlineLevel="1" x14ac:dyDescent="0.25">
      <c r="B622" s="104" t="s">
        <v>108</v>
      </c>
      <c r="C622" s="104" t="s">
        <v>121</v>
      </c>
      <c r="D622" s="2" t="s">
        <v>143</v>
      </c>
      <c r="E622" s="2" t="s">
        <v>145</v>
      </c>
      <c r="F622" s="105" t="s">
        <v>122</v>
      </c>
      <c r="G622" s="27" t="s">
        <v>1579</v>
      </c>
      <c r="H622" s="106" t="s">
        <v>128</v>
      </c>
      <c r="I622" s="107" t="s">
        <v>129</v>
      </c>
      <c r="J622" s="147">
        <v>5.0812675600000006</v>
      </c>
      <c r="K622" s="148">
        <v>3.5</v>
      </c>
      <c r="L622" s="149">
        <f t="shared" ca="1" si="190"/>
        <v>2.329176869052465</v>
      </c>
      <c r="M622" s="148">
        <f t="shared" ca="1" si="191"/>
        <v>11.652119041683628</v>
      </c>
      <c r="N622" s="148">
        <f t="shared" ca="1" si="189"/>
        <v>8.152119041683628</v>
      </c>
      <c r="O622" s="1062" t="s">
        <v>1585</v>
      </c>
      <c r="P622" s="104"/>
      <c r="R622" s="119"/>
      <c r="S622" s="1072"/>
      <c r="T622" s="1072"/>
      <c r="U622" s="1072"/>
      <c r="V622" s="1072"/>
      <c r="W622" s="1072"/>
      <c r="X622" s="1072"/>
      <c r="Y622" s="1072"/>
      <c r="Z622" s="1072"/>
      <c r="AA622" s="1072"/>
      <c r="AB622" s="1072"/>
      <c r="AC622" s="1072"/>
      <c r="AD622" s="1072"/>
      <c r="AE622" s="1072"/>
      <c r="AF622" s="1072"/>
      <c r="AG622" s="1072"/>
      <c r="AH622" s="1072"/>
      <c r="AI622" s="1072"/>
      <c r="AJ622" s="1073"/>
      <c r="AK622" s="1052" cm="1">
        <f t="array" aca="1" ref="AK622" ca="1">INDEX(OFFSET($AK$19,MATCH($B622,$B$19:$B$150,0)-1,0,COUNTA($B$19:$B$24),COUNTA($AK$17:$BB$17)),MATCH($F622,$F$19:$F$24,0),MATCH(AK$17,$AK$17:$BB$17,0))*INDEX($10:$13,MATCH($O622,$R$10:$R$13,0),COLUMN())</f>
        <v>0.32331286081382399</v>
      </c>
      <c r="AL622" s="1050" cm="1">
        <f t="array" aca="1" ref="AL622" ca="1">INDEX(OFFSET($AK$19,MATCH($B622,$B$19:$B$150,0)-1,0,COUNTA($B$19:$B$24),COUNTA($AK$17:$BB$17)),MATCH($F622,$F$19:$F$24,0),MATCH(AL$17,$AK$17:$BB$17,0))*INDEX($10:$13,MATCH($O622,$R$10:$R$13,0),COLUMN())</f>
        <v>3.4153369907000006E-7</v>
      </c>
      <c r="AM622" s="1050" cm="1">
        <f t="array" aca="1" ref="AM622" ca="1">INDEX(OFFSET($AK$19,MATCH($B622,$B$19:$B$150,0)-1,0,COUNTA($B$19:$B$24),COUNTA($AK$17:$BB$17)),MATCH($F622,$F$19:$F$24,0),MATCH(AM$17,$AK$17:$BB$17,0))*INDEX($10:$13,MATCH($O622,$R$10:$R$13,0),COLUMN())</f>
        <v>5.4646862972000004E-4</v>
      </c>
      <c r="AN622" s="1050" cm="1">
        <f t="array" aca="1" ref="AN622" ca="1">INDEX(OFFSET($AK$19,MATCH($B622,$B$19:$B$150,0)-1,0,COUNTA($B$19:$B$24),COUNTA($AK$17:$BB$17)),MATCH($F622,$F$19:$F$24,0),MATCH(AN$17,$AK$17:$BB$17,0))*INDEX($10:$13,MATCH($O622,$R$10:$R$13,0),COLUMN())</f>
        <v>7.6484614000000006E-3</v>
      </c>
      <c r="AO622" s="1050" cm="1">
        <f t="array" aca="1" ref="AO622" ca="1">INDEX(OFFSET($AK$19,MATCH($B622,$B$19:$B$150,0)-1,0,COUNTA($B$19:$B$24),COUNTA($AK$17:$BB$17)),MATCH($F622,$F$19:$F$24,0),MATCH(AO$17,$AK$17:$BB$17,0))*INDEX($10:$13,MATCH($O622,$R$10:$R$13,0),COLUMN())</f>
        <v>0.11265498751999999</v>
      </c>
      <c r="AP622" s="1050" cm="1">
        <f t="array" aca="1" ref="AP622" ca="1">INDEX(OFFSET($AK$19,MATCH($B622,$B$19:$B$150,0)-1,0,COUNTA($B$19:$B$24),COUNTA($AK$17:$BB$17)),MATCH($F622,$F$19:$F$24,0),MATCH(AP$17,$AK$17:$BB$17,0))*INDEX($10:$13,MATCH($O622,$R$10:$R$13,0),COLUMN())</f>
        <v>4.4624133350000005E-2</v>
      </c>
      <c r="AQ622" s="1050" cm="1">
        <f t="array" aca="1" ref="AQ622" ca="1">INDEX(OFFSET($AK$19,MATCH($B622,$B$19:$B$150,0)-1,0,COUNTA($B$19:$B$24),COUNTA($AK$17:$BB$17)),MATCH($F622,$F$19:$F$24,0),MATCH(AQ$17,$AK$17:$BB$17,0))*INDEX($10:$13,MATCH($O622,$R$10:$R$13,0),COLUMN())</f>
        <v>2.947511539E-4</v>
      </c>
      <c r="AR622" s="1050" cm="1">
        <f t="array" aca="1" ref="AR622" ca="1">INDEX(OFFSET($AK$19,MATCH($B622,$B$19:$B$150,0)-1,0,COUNTA($B$19:$B$24),COUNTA($AK$17:$BB$17)),MATCH($F622,$F$19:$F$24,0),MATCH(AR$17,$AK$17:$BB$17,0))*INDEX($10:$13,MATCH($O622,$R$10:$R$13,0),COLUMN())</f>
        <v>2.9364631196E-2</v>
      </c>
      <c r="AS622" s="1050" cm="1">
        <f t="array" aca="1" ref="AS622" ca="1">INDEX(OFFSET($AK$19,MATCH($B622,$B$19:$B$150,0)-1,0,COUNTA($B$19:$B$24),COUNTA($AK$17:$BB$17)),MATCH($F622,$F$19:$F$24,0),MATCH(AS$17,$AK$17:$BB$17,0))*INDEX($10:$13,MATCH($O622,$R$10:$R$13,0),COLUMN())</f>
        <v>1.886223386E-3</v>
      </c>
      <c r="AT622" s="1050" cm="1">
        <f t="array" aca="1" ref="AT622" ca="1">INDEX(OFFSET($AK$19,MATCH($B622,$B$19:$B$150,0)-1,0,COUNTA($B$19:$B$24),COUNTA($AK$17:$BB$17)),MATCH($F622,$F$19:$F$24,0),MATCH(AT$17,$AK$17:$BB$17,0))*INDEX($10:$13,MATCH($O622,$R$10:$R$13,0),COLUMN())</f>
        <v>2.5291815620000001E-5</v>
      </c>
      <c r="AU622" s="1050" cm="1">
        <f t="array" aca="1" ref="AU622" ca="1">INDEX(OFFSET($AK$19,MATCH($B622,$B$19:$B$150,0)-1,0,COUNTA($B$19:$B$24),COUNTA($AK$17:$BB$17)),MATCH($F622,$F$19:$F$24,0),MATCH(AU$17,$AK$17:$BB$17,0))*INDEX($10:$13,MATCH($O622,$R$10:$R$13,0),COLUMN())</f>
        <v>5.2938457983000008E-6</v>
      </c>
      <c r="AV622" s="1050" cm="1">
        <f t="array" aca="1" ref="AV622" ca="1">INDEX(OFFSET($AK$19,MATCH($B622,$B$19:$B$150,0)-1,0,COUNTA($B$19:$B$24),COUNTA($AK$17:$BB$17)),MATCH($F622,$F$19:$F$24,0),MATCH(AV$17,$AK$17:$BB$17,0))*INDEX($10:$13,MATCH($O622,$R$10:$R$13,0),COLUMN())</f>
        <v>9.8728536149999997E-3</v>
      </c>
      <c r="AW622" s="1050" cm="1">
        <f t="array" aca="1" ref="AW622" ca="1">INDEX(OFFSET($AK$19,MATCH($B622,$B$19:$B$150,0)-1,0,COUNTA($B$19:$B$24),COUNTA($AK$17:$BB$17)),MATCH($F622,$F$19:$F$24,0),MATCH(AW$17,$AK$17:$BB$17,0))*INDEX($10:$13,MATCH($O622,$R$10:$R$13,0),COLUMN())</f>
        <v>7.6218806050000003</v>
      </c>
      <c r="AX622" s="1050" cm="1">
        <f t="array" aca="1" ref="AX622" ca="1">INDEX(OFFSET($AK$19,MATCH($B622,$B$19:$B$150,0)-1,0,COUNTA($B$19:$B$24),COUNTA($AK$17:$BB$17)),MATCH($F622,$F$19:$F$24,0),MATCH(AX$17,$AK$17:$BB$17,0))*INDEX($10:$13,MATCH($O622,$R$10:$R$13,0),COLUMN())</f>
        <v>2.1949947515E-6</v>
      </c>
      <c r="AY622" s="1050" cm="1">
        <f t="array" aca="1" ref="AY622" ca="1">INDEX(OFFSET($AK$19,MATCH($B622,$B$19:$B$150,0)-1,0,COUNTA($B$19:$B$24),COUNTA($AK$17:$BB$17)),MATCH($F622,$F$19:$F$24,0),MATCH(AY$17,$AK$17:$BB$17,0))*INDEX($10:$13,MATCH($O622,$R$10:$R$13,0),COLUMN())</f>
        <v>-5.6570684756250003E-8</v>
      </c>
      <c r="AZ622" s="1050" cm="1">
        <f t="array" aca="1" ref="AZ622" ca="1">INDEX(OFFSET($AK$19,MATCH($B622,$B$19:$B$150,0)-1,0,COUNTA($B$19:$B$24),COUNTA($AK$17:$BB$17)),MATCH($F622,$F$19:$F$24,0),MATCH(AZ$17,$AK$17:$BB$17,0))*INDEX($10:$13,MATCH($O622,$R$10:$R$13,0),COLUMN())</f>
        <v>0</v>
      </c>
      <c r="BA622" s="1050" cm="1">
        <f t="array" aca="1" ref="BA622" ca="1">INDEX(OFFSET($AK$19,MATCH($B622,$B$19:$B$150,0)-1,0,COUNTA($B$19:$B$24),COUNTA($AK$17:$BB$17)),MATCH($F622,$F$19:$F$24,0),MATCH(BA$17,$AK$17:$BB$17,0))*INDEX($10:$13,MATCH($O622,$R$10:$R$13,0),COLUMN())</f>
        <v>0</v>
      </c>
      <c r="BB622" s="1051" cm="1">
        <f t="array" aca="1" ref="BB622" ca="1">INDEX(OFFSET($AK$19,MATCH($B622,$B$19:$B$150,0)-1,0,COUNTA($B$19:$B$24),COUNTA($AK$17:$BB$17)),MATCH($F622,$F$19:$F$24,0),MATCH(BB$17,$AK$17:$BB$17,0))*INDEX($10:$13,MATCH($O622,$R$10:$R$13,0),COLUMN())</f>
        <v>0</v>
      </c>
      <c r="BC622" s="1053">
        <f t="shared" ca="1" si="188"/>
        <v>7.6218827434240666</v>
      </c>
      <c r="BE622" s="1"/>
      <c r="BF622" s="1"/>
      <c r="BG622" s="1"/>
      <c r="BH622" s="1"/>
      <c r="BI622" s="1"/>
      <c r="BJ622" s="1"/>
      <c r="BK622" s="1"/>
      <c r="BL622" s="1"/>
      <c r="BM622" s="1"/>
      <c r="BN622" s="1"/>
      <c r="BO622" s="1"/>
      <c r="BP622" s="1"/>
      <c r="BQ622" s="1"/>
      <c r="BR622" s="1"/>
      <c r="BS622" s="1"/>
      <c r="BT622" s="1"/>
      <c r="BU622" s="1"/>
      <c r="BV622" s="1"/>
      <c r="BW622" s="1"/>
      <c r="BX622" s="1"/>
      <c r="BY622" s="1"/>
      <c r="BZ622" s="1"/>
    </row>
    <row r="623" spans="2:78" ht="12" customHeight="1" outlineLevel="1" x14ac:dyDescent="0.25">
      <c r="B623" s="104" t="s">
        <v>108</v>
      </c>
      <c r="C623" s="104" t="s">
        <v>121</v>
      </c>
      <c r="D623" s="2" t="s">
        <v>143</v>
      </c>
      <c r="E623" s="2" t="s">
        <v>145</v>
      </c>
      <c r="F623" s="105" t="s">
        <v>93</v>
      </c>
      <c r="G623" s="27" t="s">
        <v>1578</v>
      </c>
      <c r="H623" s="106" t="s">
        <v>130</v>
      </c>
      <c r="I623" s="107" t="s">
        <v>129</v>
      </c>
      <c r="J623" s="147">
        <v>5.0812675600000006</v>
      </c>
      <c r="K623" s="148">
        <v>3.5</v>
      </c>
      <c r="L623" s="149">
        <f t="shared" ca="1" si="190"/>
        <v>2.9005549048101327</v>
      </c>
      <c r="M623" s="148">
        <f t="shared" ca="1" si="191"/>
        <v>13.651942166835465</v>
      </c>
      <c r="N623" s="148">
        <f t="shared" ca="1" si="189"/>
        <v>10.151942166835465</v>
      </c>
      <c r="O623" s="1062" t="s">
        <v>1585</v>
      </c>
      <c r="P623" s="104"/>
      <c r="R623" s="119"/>
      <c r="S623" s="1072"/>
      <c r="T623" s="1072"/>
      <c r="U623" s="1072"/>
      <c r="V623" s="1072"/>
      <c r="W623" s="1072"/>
      <c r="X623" s="1072"/>
      <c r="Y623" s="1072"/>
      <c r="Z623" s="1072"/>
      <c r="AA623" s="1072"/>
      <c r="AB623" s="1072"/>
      <c r="AC623" s="1072"/>
      <c r="AD623" s="1072"/>
      <c r="AE623" s="1072"/>
      <c r="AF623" s="1072"/>
      <c r="AG623" s="1072"/>
      <c r="AH623" s="1072"/>
      <c r="AI623" s="1072"/>
      <c r="AJ623" s="1073"/>
      <c r="AK623" s="1052" cm="1">
        <f t="array" aca="1" ref="AK623" ca="1">INDEX(OFFSET($AK$19,MATCH($B623,$B$19:$B$150,0)-1,0,COUNTA($B$19:$B$24),COUNTA($AK$17:$BB$17)),MATCH($F623,$F$19:$F$24,0),MATCH(AK$17,$AK$17:$BB$17,0))*INDEX($10:$13,MATCH($O623,$R$10:$R$13,0),COLUMN())</f>
        <v>0.40259619816959996</v>
      </c>
      <c r="AL623" s="1050" cm="1">
        <f t="array" aca="1" ref="AL623" ca="1">INDEX(OFFSET($AK$19,MATCH($B623,$B$19:$B$150,0)-1,0,COUNTA($B$19:$B$24),COUNTA($AK$17:$BB$17)),MATCH($F623,$F$19:$F$24,0),MATCH(AL$17,$AK$17:$BB$17,0))*INDEX($10:$13,MATCH($O623,$R$10:$R$13,0),COLUMN())</f>
        <v>4.2528517798000001E-7</v>
      </c>
      <c r="AM623" s="1050" cm="1">
        <f t="array" aca="1" ref="AM623" ca="1">INDEX(OFFSET($AK$19,MATCH($B623,$B$19:$B$150,0)-1,0,COUNTA($B$19:$B$24),COUNTA($AK$17:$BB$17)),MATCH($F623,$F$19:$F$24,0),MATCH(AM$17,$AK$17:$BB$17,0))*INDEX($10:$13,MATCH($O623,$R$10:$R$13,0),COLUMN())</f>
        <v>6.8047460520000006E-4</v>
      </c>
      <c r="AN623" s="1050" cm="1">
        <f t="array" aca="1" ref="AN623" ca="1">INDEX(OFFSET($AK$19,MATCH($B623,$B$19:$B$150,0)-1,0,COUNTA($B$19:$B$24),COUNTA($AK$17:$BB$17)),MATCH($F623,$F$19:$F$24,0),MATCH(AN$17,$AK$17:$BB$17,0))*INDEX($10:$13,MATCH($O623,$R$10:$R$13,0),COLUMN())</f>
        <v>9.5240300720000007E-3</v>
      </c>
      <c r="AO623" s="1050" cm="1">
        <f t="array" aca="1" ref="AO623" ca="1">INDEX(OFFSET($AK$19,MATCH($B623,$B$19:$B$150,0)-1,0,COUNTA($B$19:$B$24),COUNTA($AK$17:$BB$17)),MATCH($F623,$F$19:$F$24,0),MATCH(AO$17,$AK$17:$BB$17,0))*INDEX($10:$13,MATCH($O623,$R$10:$R$13,0),COLUMN())</f>
        <v>0.14028043148</v>
      </c>
      <c r="AP623" s="1050" cm="1">
        <f t="array" aca="1" ref="AP623" ca="1">INDEX(OFFSET($AK$19,MATCH($B623,$B$19:$B$150,0)-1,0,COUNTA($B$19:$B$24),COUNTA($AK$17:$BB$17)),MATCH($F623,$F$19:$F$24,0),MATCH(AP$17,$AK$17:$BB$17,0))*INDEX($10:$13,MATCH($O623,$R$10:$R$13,0),COLUMN())</f>
        <v>5.5566939064000002E-2</v>
      </c>
      <c r="AQ623" s="1050" cm="1">
        <f t="array" aca="1" ref="AQ623" ca="1">INDEX(OFFSET($AK$19,MATCH($B623,$B$19:$B$150,0)-1,0,COUNTA($B$19:$B$24),COUNTA($AK$17:$BB$17)),MATCH($F623,$F$19:$F$24,0),MATCH(AQ$17,$AK$17:$BB$17,0))*INDEX($10:$13,MATCH($O623,$R$10:$R$13,0),COLUMN())</f>
        <v>3.6703053320000001E-4</v>
      </c>
      <c r="AR623" s="1050" cm="1">
        <f t="array" aca="1" ref="AR623" ca="1">INDEX(OFFSET($AK$19,MATCH($B623,$B$19:$B$150,0)-1,0,COUNTA($B$19:$B$24),COUNTA($AK$17:$BB$17)),MATCH($F623,$F$19:$F$24,0),MATCH(AR$17,$AK$17:$BB$17,0))*INDEX($10:$13,MATCH($O623,$R$10:$R$13,0),COLUMN())</f>
        <v>3.656547668E-2</v>
      </c>
      <c r="AS623" s="1050" cm="1">
        <f t="array" aca="1" ref="AS623" ca="1">INDEX(OFFSET($AK$19,MATCH($B623,$B$19:$B$150,0)-1,0,COUNTA($B$19:$B$24),COUNTA($AK$17:$BB$17)),MATCH($F623,$F$19:$F$24,0),MATCH(AS$17,$AK$17:$BB$17,0))*INDEX($10:$13,MATCH($O623,$R$10:$R$13,0),COLUMN())</f>
        <v>2.5809201475000001E-3</v>
      </c>
      <c r="AT623" s="1050" cm="1">
        <f t="array" aca="1" ref="AT623" ca="1">INDEX(OFFSET($AK$19,MATCH($B623,$B$19:$B$150,0)-1,0,COUNTA($B$19:$B$24),COUNTA($AK$17:$BB$17)),MATCH($F623,$F$19:$F$24,0),MATCH(AT$17,$AK$17:$BB$17,0))*INDEX($10:$13,MATCH($O623,$R$10:$R$13,0),COLUMN())</f>
        <v>3.1579539900999996E-5</v>
      </c>
      <c r="AU623" s="1050" cm="1">
        <f t="array" aca="1" ref="AU623" ca="1">INDEX(OFFSET($AK$19,MATCH($B623,$B$19:$B$150,0)-1,0,COUNTA($B$19:$B$24),COUNTA($AK$17:$BB$17)),MATCH($F623,$F$19:$F$24,0),MATCH(AU$17,$AK$17:$BB$17,0))*INDEX($10:$13,MATCH($O623,$R$10:$R$13,0),COLUMN())</f>
        <v>6.6008718530999999E-6</v>
      </c>
      <c r="AV623" s="1050" cm="1">
        <f t="array" aca="1" ref="AV623" ca="1">INDEX(OFFSET($AK$19,MATCH($B623,$B$19:$B$150,0)-1,0,COUNTA($B$19:$B$24),COUNTA($AK$17:$BB$17)),MATCH($F623,$F$19:$F$24,0),MATCH(AV$17,$AK$17:$BB$17,0))*INDEX($10:$13,MATCH($O623,$R$10:$R$13,0),COLUMN())</f>
        <v>1.2808207575000001E-2</v>
      </c>
      <c r="AW623" s="1050" cm="1">
        <f t="array" aca="1" ref="AW623" ca="1">INDEX(OFFSET($AK$19,MATCH($B623,$B$19:$B$150,0)-1,0,COUNTA($B$19:$B$24),COUNTA($AK$17:$BB$17)),MATCH($F623,$F$19:$F$24,0),MATCH(AW$17,$AK$17:$BB$17,0))*INDEX($10:$13,MATCH($O623,$R$10:$R$13,0),COLUMN())</f>
        <v>9.4909311899999995</v>
      </c>
      <c r="AX623" s="1050" cm="1">
        <f t="array" aca="1" ref="AX623" ca="1">INDEX(OFFSET($AK$19,MATCH($B623,$B$19:$B$150,0)-1,0,COUNTA($B$19:$B$24),COUNTA($AK$17:$BB$17)),MATCH($F623,$F$19:$F$24,0),MATCH(AX$17,$AK$17:$BB$17,0))*INDEX($10:$13,MATCH($O623,$R$10:$R$13,0),COLUMN())</f>
        <v>2.7332550789999999E-6</v>
      </c>
      <c r="AY623" s="1050" cm="1">
        <f t="array" aca="1" ref="AY623" ca="1">INDEX(OFFSET($AK$19,MATCH($B623,$B$19:$B$150,0)-1,0,COUNTA($B$19:$B$24),COUNTA($AK$17:$BB$17)),MATCH($F623,$F$19:$F$24,0),MATCH(AY$17,$AK$17:$BB$17,0))*INDEX($10:$13,MATCH($O623,$R$10:$R$13,0),COLUMN())</f>
        <v>-7.0443044456250001E-8</v>
      </c>
      <c r="AZ623" s="1050" cm="1">
        <f t="array" aca="1" ref="AZ623" ca="1">INDEX(OFFSET($AK$19,MATCH($B623,$B$19:$B$150,0)-1,0,COUNTA($B$19:$B$24),COUNTA($AK$17:$BB$17)),MATCH($F623,$F$19:$F$24,0),MATCH(AZ$17,$AK$17:$BB$17,0))*INDEX($10:$13,MATCH($O623,$R$10:$R$13,0),COLUMN())</f>
        <v>0</v>
      </c>
      <c r="BA623" s="1050" cm="1">
        <f t="array" aca="1" ref="BA623" ca="1">INDEX(OFFSET($AK$19,MATCH($B623,$B$19:$B$150,0)-1,0,COUNTA($B$19:$B$24),COUNTA($AK$17:$BB$17)),MATCH($F623,$F$19:$F$24,0),MATCH(BA$17,$AK$17:$BB$17,0))*INDEX($10:$13,MATCH($O623,$R$10:$R$13,0),COLUMN())</f>
        <v>0</v>
      </c>
      <c r="BB623" s="1051" cm="1">
        <f t="array" aca="1" ref="BB623" ca="1">INDEX(OFFSET($AK$19,MATCH($B623,$B$19:$B$150,0)-1,0,COUNTA($B$19:$B$24),COUNTA($AK$17:$BB$17)),MATCH($F623,$F$19:$F$24,0),MATCH(BB$17,$AK$17:$BB$17,0))*INDEX($10:$13,MATCH($O623,$R$10:$R$13,0),COLUMN())</f>
        <v>0</v>
      </c>
      <c r="BC623" s="1053">
        <f t="shared" ca="1" si="188"/>
        <v>9.4909338528120326</v>
      </c>
      <c r="BE623" s="1"/>
      <c r="BF623" s="1"/>
      <c r="BG623" s="1"/>
      <c r="BH623" s="1"/>
      <c r="BI623" s="1"/>
      <c r="BJ623" s="1"/>
      <c r="BK623" s="1"/>
      <c r="BL623" s="1"/>
      <c r="BM623" s="1"/>
      <c r="BN623" s="1"/>
      <c r="BO623" s="1"/>
      <c r="BP623" s="1"/>
      <c r="BQ623" s="1"/>
      <c r="BR623" s="1"/>
      <c r="BS623" s="1"/>
      <c r="BT623" s="1"/>
      <c r="BU623" s="1"/>
      <c r="BV623" s="1"/>
      <c r="BW623" s="1"/>
      <c r="BX623" s="1"/>
      <c r="BY623" s="1"/>
      <c r="BZ623" s="1"/>
    </row>
    <row r="624" spans="2:78" ht="12" customHeight="1" outlineLevel="1" x14ac:dyDescent="0.25">
      <c r="B624" s="104" t="s">
        <v>108</v>
      </c>
      <c r="C624" s="104" t="s">
        <v>121</v>
      </c>
      <c r="D624" s="2" t="s">
        <v>143</v>
      </c>
      <c r="E624" s="2" t="s">
        <v>145</v>
      </c>
      <c r="F624" s="105" t="s">
        <v>94</v>
      </c>
      <c r="G624" s="27" t="s">
        <v>1580</v>
      </c>
      <c r="H624" s="106" t="s">
        <v>131</v>
      </c>
      <c r="I624" s="107" t="s">
        <v>129</v>
      </c>
      <c r="J624" s="147">
        <v>5.0812675600000006</v>
      </c>
      <c r="K624" s="148">
        <v>3.5</v>
      </c>
      <c r="L624" s="149">
        <f t="shared" ca="1" si="190"/>
        <v>1.9456971777897969</v>
      </c>
      <c r="M624" s="148">
        <f t="shared" ca="1" si="191"/>
        <v>10.30994012226429</v>
      </c>
      <c r="N624" s="148">
        <f t="shared" ca="1" si="189"/>
        <v>6.8099401222642895</v>
      </c>
      <c r="O624" s="1062" t="s">
        <v>1585</v>
      </c>
      <c r="P624" s="104"/>
      <c r="R624" s="119"/>
      <c r="S624" s="1072"/>
      <c r="T624" s="1072"/>
      <c r="U624" s="1072"/>
      <c r="V624" s="1072"/>
      <c r="W624" s="1072"/>
      <c r="X624" s="1072"/>
      <c r="Y624" s="1072"/>
      <c r="Z624" s="1072"/>
      <c r="AA624" s="1072"/>
      <c r="AB624" s="1072"/>
      <c r="AC624" s="1072"/>
      <c r="AD624" s="1072"/>
      <c r="AE624" s="1072"/>
      <c r="AF624" s="1072"/>
      <c r="AG624" s="1072"/>
      <c r="AH624" s="1072"/>
      <c r="AI624" s="1072"/>
      <c r="AJ624" s="1073"/>
      <c r="AK624" s="1052" cm="1">
        <f t="array" aca="1" ref="AK624" ca="1">INDEX(OFFSET($AK$19,MATCH($B624,$B$19:$B$150,0)-1,0,COUNTA($B$19:$B$24),COUNTA($AK$17:$BB$17)),MATCH($F624,$F$19:$F$24,0),MATCH(AK$17,$AK$17:$BB$17,0))*INDEX($10:$13,MATCH($O624,$R$10:$R$13,0),COLUMN())</f>
        <v>0.27010193764972801</v>
      </c>
      <c r="AL624" s="1050" cm="1">
        <f t="array" aca="1" ref="AL624" ca="1">INDEX(OFFSET($AK$19,MATCH($B624,$B$19:$B$150,0)-1,0,COUNTA($B$19:$B$24),COUNTA($AK$17:$BB$17)),MATCH($F624,$F$19:$F$24,0),MATCH(AL$17,$AK$17:$BB$17,0))*INDEX($10:$13,MATCH($O624,$R$10:$R$13,0),COLUMN())</f>
        <v>2.8532398324000002E-7</v>
      </c>
      <c r="AM624" s="1050" cm="1">
        <f t="array" aca="1" ref="AM624" ca="1">INDEX(OFFSET($AK$19,MATCH($B624,$B$19:$B$150,0)-1,0,COUNTA($B$19:$B$24),COUNTA($AK$17:$BB$17)),MATCH($F624,$F$19:$F$24,0),MATCH(AM$17,$AK$17:$BB$17,0))*INDEX($10:$13,MATCH($O624,$R$10:$R$13,0),COLUMN())</f>
        <v>4.5653066160000001E-4</v>
      </c>
      <c r="AN624" s="1050" cm="1">
        <f t="array" aca="1" ref="AN624" ca="1">INDEX(OFFSET($AK$19,MATCH($B624,$B$19:$B$150,0)-1,0,COUNTA($B$19:$B$24),COUNTA($AK$17:$BB$17)),MATCH($F624,$F$19:$F$24,0),MATCH(AN$17,$AK$17:$BB$17,0))*INDEX($10:$13,MATCH($O624,$R$10:$R$13,0),COLUMN())</f>
        <v>6.3896754480000009E-3</v>
      </c>
      <c r="AO624" s="1050" cm="1">
        <f t="array" aca="1" ref="AO624" ca="1">INDEX(OFFSET($AK$19,MATCH($B624,$B$19:$B$150,0)-1,0,COUNTA($B$19:$B$24),COUNTA($AK$17:$BB$17)),MATCH($F624,$F$19:$F$24,0),MATCH(AO$17,$AK$17:$BB$17,0))*INDEX($10:$13,MATCH($O624,$R$10:$R$13,0),COLUMN())</f>
        <v>9.4114192799999996E-2</v>
      </c>
      <c r="AP624" s="1050" cm="1">
        <f t="array" aca="1" ref="AP624" ca="1">INDEX(OFFSET($AK$19,MATCH($B624,$B$19:$B$150,0)-1,0,COUNTA($B$19:$B$24),COUNTA($AK$17:$BB$17)),MATCH($F624,$F$19:$F$24,0),MATCH(AP$17,$AK$17:$BB$17,0))*INDEX($10:$13,MATCH($O624,$R$10:$R$13,0),COLUMN())</f>
        <v>3.7279880357999999E-2</v>
      </c>
      <c r="AQ624" s="1050" cm="1">
        <f t="array" aca="1" ref="AQ624" ca="1">INDEX(OFFSET($AK$19,MATCH($B624,$B$19:$B$150,0)-1,0,COUNTA($B$19:$B$24),COUNTA($AK$17:$BB$17)),MATCH($F624,$F$19:$F$24,0),MATCH(AQ$17,$AK$17:$BB$17,0))*INDEX($10:$13,MATCH($O624,$R$10:$R$13,0),COLUMN())</f>
        <v>2.4624092459999997E-4</v>
      </c>
      <c r="AR624" s="1050" cm="1">
        <f t="array" aca="1" ref="AR624" ca="1">INDEX(OFFSET($AK$19,MATCH($B624,$B$19:$B$150,0)-1,0,COUNTA($B$19:$B$24),COUNTA($AK$17:$BB$17)),MATCH($F624,$F$19:$F$24,0),MATCH(AR$17,$AK$17:$BB$17,0))*INDEX($10:$13,MATCH($O624,$R$10:$R$13,0),COLUMN())</f>
        <v>2.4531791648999997E-2</v>
      </c>
      <c r="AS624" s="1050" cm="1">
        <f t="array" aca="1" ref="AS624" ca="1">INDEX(OFFSET($AK$19,MATCH($B624,$B$19:$B$150,0)-1,0,COUNTA($B$19:$B$24),COUNTA($AK$17:$BB$17)),MATCH($F624,$F$19:$F$24,0),MATCH(AS$17,$AK$17:$BB$17,0))*INDEX($10:$13,MATCH($O624,$R$10:$R$13,0),COLUMN())</f>
        <v>1.4200359865E-3</v>
      </c>
      <c r="AT624" s="1050" cm="1">
        <f t="array" aca="1" ref="AT624" ca="1">INDEX(OFFSET($AK$19,MATCH($B624,$B$19:$B$150,0)-1,0,COUNTA($B$19:$B$24),COUNTA($AK$17:$BB$17)),MATCH($F624,$F$19:$F$24,0),MATCH(AT$17,$AK$17:$BB$17,0))*INDEX($10:$13,MATCH($O624,$R$10:$R$13,0),COLUMN())</f>
        <v>2.1071837464999999E-5</v>
      </c>
      <c r="AU624" s="1050" cm="1">
        <f t="array" aca="1" ref="AU624" ca="1">INDEX(OFFSET($AK$19,MATCH($B624,$B$19:$B$150,0)-1,0,COUNTA($B$19:$B$24),COUNTA($AK$17:$BB$17)),MATCH($F624,$F$19:$F$24,0),MATCH(AU$17,$AK$17:$BB$17,0))*INDEX($10:$13,MATCH($O624,$R$10:$R$13,0),COLUMN())</f>
        <v>4.4166388293000008E-6</v>
      </c>
      <c r="AV624" s="1050" cm="1">
        <f t="array" aca="1" ref="AV624" ca="1">INDEX(OFFSET($AK$19,MATCH($B624,$B$19:$B$150,0)-1,0,COUNTA($B$19:$B$24),COUNTA($AK$17:$BB$17)),MATCH($F624,$F$19:$F$24,0),MATCH(AV$17,$AK$17:$BB$17,0))*INDEX($10:$13,MATCH($O624,$R$10:$R$13,0),COLUMN())</f>
        <v>7.9029220050000001E-3</v>
      </c>
      <c r="AW624" s="1050" cm="1">
        <f t="array" aca="1" ref="AW624" ca="1">INDEX(OFFSET($AK$19,MATCH($B624,$B$19:$B$150,0)-1,0,COUNTA($B$19:$B$24),COUNTA($AK$17:$BB$17)),MATCH($F624,$F$19:$F$24,0),MATCH(AW$17,$AK$17:$BB$17,0))*INDEX($10:$13,MATCH($O624,$R$10:$R$13,0),COLUMN())</f>
        <v>6.3674693545000007</v>
      </c>
      <c r="AX624" s="1050" cm="1">
        <f t="array" aca="1" ref="AX624" ca="1">INDEX(OFFSET($AK$19,MATCH($B624,$B$19:$B$150,0)-1,0,COUNTA($B$19:$B$24),COUNTA($AK$17:$BB$17)),MATCH($F624,$F$19:$F$24,0),MATCH(AX$17,$AK$17:$BB$17,0))*INDEX($10:$13,MATCH($O624,$R$10:$R$13,0),COLUMN())</f>
        <v>1.8337418490000002E-6</v>
      </c>
      <c r="AY624" s="1050" cm="1">
        <f t="array" aca="1" ref="AY624" ca="1">INDEX(OFFSET($AK$19,MATCH($B624,$B$19:$B$150,0)-1,0,COUNTA($B$19:$B$24),COUNTA($AK$17:$BB$17)),MATCH($F624,$F$19:$F$24,0),MATCH(AY$17,$AK$17:$BB$17,0))*INDEX($10:$13,MATCH($O624,$R$10:$R$13,0),COLUMN())</f>
        <v>-4.7260265793750005E-8</v>
      </c>
      <c r="AZ624" s="1050" cm="1">
        <f t="array" aca="1" ref="AZ624" ca="1">INDEX(OFFSET($AK$19,MATCH($B624,$B$19:$B$150,0)-1,0,COUNTA($B$19:$B$24),COUNTA($AK$17:$BB$17)),MATCH($F624,$F$19:$F$24,0),MATCH(AZ$17,$AK$17:$BB$17,0))*INDEX($10:$13,MATCH($O624,$R$10:$R$13,0),COLUMN())</f>
        <v>0</v>
      </c>
      <c r="BA624" s="1050" cm="1">
        <f t="array" aca="1" ref="BA624" ca="1">INDEX(OFFSET($AK$19,MATCH($B624,$B$19:$B$150,0)-1,0,COUNTA($B$19:$B$24),COUNTA($AK$17:$BB$17)),MATCH($F624,$F$19:$F$24,0),MATCH(BA$17,$AK$17:$BB$17,0))*INDEX($10:$13,MATCH($O624,$R$10:$R$13,0),COLUMN())</f>
        <v>0</v>
      </c>
      <c r="BB624" s="1051" cm="1">
        <f t="array" aca="1" ref="BB624" ca="1">INDEX(OFFSET($AK$19,MATCH($B624,$B$19:$B$150,0)-1,0,COUNTA($B$19:$B$24),COUNTA($AK$17:$BB$17)),MATCH($F624,$F$19:$F$24,0),MATCH(BB$17,$AK$17:$BB$17,0))*INDEX($10:$13,MATCH($O624,$R$10:$R$13,0),COLUMN())</f>
        <v>0</v>
      </c>
      <c r="BC624" s="1053">
        <f t="shared" ca="1" si="188"/>
        <v>6.3674711409815838</v>
      </c>
      <c r="BE624" s="1"/>
      <c r="BF624" s="1"/>
      <c r="BG624" s="1"/>
      <c r="BH624" s="1"/>
      <c r="BI624" s="1"/>
      <c r="BJ624" s="1"/>
      <c r="BK624" s="1"/>
      <c r="BL624" s="1"/>
      <c r="BM624" s="1"/>
      <c r="BN624" s="1"/>
      <c r="BO624" s="1"/>
      <c r="BP624" s="1"/>
      <c r="BQ624" s="1"/>
      <c r="BR624" s="1"/>
      <c r="BS624" s="1"/>
      <c r="BT624" s="1"/>
      <c r="BU624" s="1"/>
      <c r="BV624" s="1"/>
      <c r="BW624" s="1"/>
      <c r="BX624" s="1"/>
      <c r="BY624" s="1"/>
      <c r="BZ624" s="1"/>
    </row>
    <row r="625" spans="2:78" ht="12" customHeight="1" outlineLevel="1" x14ac:dyDescent="0.25">
      <c r="B625" s="104" t="s">
        <v>108</v>
      </c>
      <c r="C625" s="104" t="s">
        <v>121</v>
      </c>
      <c r="D625" s="2" t="s">
        <v>143</v>
      </c>
      <c r="E625" s="2" t="s">
        <v>145</v>
      </c>
      <c r="F625" s="105" t="s">
        <v>95</v>
      </c>
      <c r="G625" s="27" t="s">
        <v>1581</v>
      </c>
      <c r="H625" s="106" t="s">
        <v>128</v>
      </c>
      <c r="I625" s="107" t="s">
        <v>127</v>
      </c>
      <c r="J625" s="147">
        <v>5.0812675600000006</v>
      </c>
      <c r="K625" s="148">
        <v>3.5</v>
      </c>
      <c r="L625" s="149">
        <f t="shared" ca="1" si="190"/>
        <v>2.4419374744957927</v>
      </c>
      <c r="M625" s="148">
        <f t="shared" ca="1" si="191"/>
        <v>12.046781160735275</v>
      </c>
      <c r="N625" s="148">
        <f t="shared" ca="1" si="189"/>
        <v>8.5467811607352751</v>
      </c>
      <c r="O625" s="1062" t="s">
        <v>1585</v>
      </c>
      <c r="P625" s="104"/>
      <c r="R625" s="119"/>
      <c r="S625" s="1072"/>
      <c r="T625" s="1072"/>
      <c r="U625" s="1072"/>
      <c r="V625" s="1072"/>
      <c r="W625" s="1072"/>
      <c r="X625" s="1072"/>
      <c r="Y625" s="1072"/>
      <c r="Z625" s="1072"/>
      <c r="AA625" s="1072"/>
      <c r="AB625" s="1072"/>
      <c r="AC625" s="1072"/>
      <c r="AD625" s="1072"/>
      <c r="AE625" s="1072"/>
      <c r="AF625" s="1072"/>
      <c r="AG625" s="1072"/>
      <c r="AH625" s="1072"/>
      <c r="AI625" s="1072"/>
      <c r="AJ625" s="1073"/>
      <c r="AK625" s="1052" cm="1">
        <f t="array" aca="1" ref="AK625" ca="1">INDEX(OFFSET($AK$19,MATCH($B625,$B$19:$B$150,0)-1,0,COUNTA($B$19:$B$24),COUNTA($AK$17:$BB$17)),MATCH($F625,$F$19:$F$24,0),MATCH(AK$17,$AK$17:$BB$17,0))*INDEX($10:$13,MATCH($O625,$R$10:$R$13,0),COLUMN())</f>
        <v>0.38701520947583995</v>
      </c>
      <c r="AL625" s="1050" cm="1">
        <f t="array" aca="1" ref="AL625" ca="1">INDEX(OFFSET($AK$19,MATCH($B625,$B$19:$B$150,0)-1,0,COUNTA($B$19:$B$24),COUNTA($AK$17:$BB$17)),MATCH($F625,$F$19:$F$24,0),MATCH(AL$17,$AK$17:$BB$17,0))*INDEX($10:$13,MATCH($O625,$R$10:$R$13,0),COLUMN())</f>
        <v>3.4419464097999998E-7</v>
      </c>
      <c r="AM625" s="1050" cm="1">
        <f t="array" aca="1" ref="AM625" ca="1">INDEX(OFFSET($AK$19,MATCH($B625,$B$19:$B$150,0)-1,0,COUNTA($B$19:$B$24),COUNTA($AK$17:$BB$17)),MATCH($F625,$F$19:$F$24,0),MATCH(AM$17,$AK$17:$BB$17,0))*INDEX($10:$13,MATCH($O625,$R$10:$R$13,0),COLUMN())</f>
        <v>5.5070589027999997E-4</v>
      </c>
      <c r="AN625" s="1050" cm="1">
        <f t="array" aca="1" ref="AN625" ca="1">INDEX(OFFSET($AK$19,MATCH($B625,$B$19:$B$150,0)-1,0,COUNTA($B$19:$B$24),COUNTA($AK$17:$BB$17)),MATCH($F625,$F$19:$F$24,0),MATCH(AN$17,$AK$17:$BB$17,0))*INDEX($10:$13,MATCH($O625,$R$10:$R$13,0),COLUMN())</f>
        <v>8.2007909440000009E-3</v>
      </c>
      <c r="AO625" s="1050" cm="1">
        <f t="array" aca="1" ref="AO625" ca="1">INDEX(OFFSET($AK$19,MATCH($B625,$B$19:$B$150,0)-1,0,COUNTA($B$19:$B$24),COUNTA($AK$17:$BB$17)),MATCH($F625,$F$19:$F$24,0),MATCH(AO$17,$AK$17:$BB$17,0))*INDEX($10:$13,MATCH($O625,$R$10:$R$13,0),COLUMN())</f>
        <v>0.26576823855999998</v>
      </c>
      <c r="AP625" s="1050" cm="1">
        <f t="array" aca="1" ref="AP625" ca="1">INDEX(OFFSET($AK$19,MATCH($B625,$B$19:$B$150,0)-1,0,COUNTA($B$19:$B$24),COUNTA($AK$17:$BB$17)),MATCH($F625,$F$19:$F$24,0),MATCH(AP$17,$AK$17:$BB$17,0))*INDEX($10:$13,MATCH($O625,$R$10:$R$13,0),COLUMN())</f>
        <v>0.1523538707</v>
      </c>
      <c r="AQ625" s="1050" cm="1">
        <f t="array" aca="1" ref="AQ625" ca="1">INDEX(OFFSET($AK$19,MATCH($B625,$B$19:$B$150,0)-1,0,COUNTA($B$19:$B$24),COUNTA($AK$17:$BB$17)),MATCH($F625,$F$19:$F$24,0),MATCH(AQ$17,$AK$17:$BB$17,0))*INDEX($10:$13,MATCH($O625,$R$10:$R$13,0),COLUMN())</f>
        <v>1.1666121635999999E-3</v>
      </c>
      <c r="AR625" s="1050" cm="1">
        <f t="array" aca="1" ref="AR625" ca="1">INDEX(OFFSET($AK$19,MATCH($B625,$B$19:$B$150,0)-1,0,COUNTA($B$19:$B$24),COUNTA($AK$17:$BB$17)),MATCH($F625,$F$19:$F$24,0),MATCH(AR$17,$AK$17:$BB$17,0))*INDEX($10:$13,MATCH($O625,$R$10:$R$13,0),COLUMN())</f>
        <v>5.4555688419999998E-2</v>
      </c>
      <c r="AS625" s="1050" cm="1">
        <f t="array" aca="1" ref="AS625" ca="1">INDEX(OFFSET($AK$19,MATCH($B625,$B$19:$B$150,0)-1,0,COUNTA($B$19:$B$24),COUNTA($AK$17:$BB$17)),MATCH($F625,$F$19:$F$24,0),MATCH(AS$17,$AK$17:$BB$17,0))*INDEX($10:$13,MATCH($O625,$R$10:$R$13,0),COLUMN())</f>
        <v>1.5493609704999998E-2</v>
      </c>
      <c r="AT625" s="1050" cm="1">
        <f t="array" aca="1" ref="AT625" ca="1">INDEX(OFFSET($AK$19,MATCH($B625,$B$19:$B$150,0)-1,0,COUNTA($B$19:$B$24),COUNTA($AK$17:$BB$17)),MATCH($F625,$F$19:$F$24,0),MATCH(AT$17,$AK$17:$BB$17,0))*INDEX($10:$13,MATCH($O625,$R$10:$R$13,0),COLUMN())</f>
        <v>3.5238894394E-5</v>
      </c>
      <c r="AU625" s="1050" cm="1">
        <f t="array" aca="1" ref="AU625" ca="1">INDEX(OFFSET($AK$19,MATCH($B625,$B$19:$B$150,0)-1,0,COUNTA($B$19:$B$24),COUNTA($AK$17:$BB$17)),MATCH($F625,$F$19:$F$24,0),MATCH(AU$17,$AK$17:$BB$17,0))*INDEX($10:$13,MATCH($O625,$R$10:$R$13,0),COLUMN())</f>
        <v>6.8126934519000005E-6</v>
      </c>
      <c r="AV625" s="1050" cm="1">
        <f t="array" aca="1" ref="AV625" ca="1">INDEX(OFFSET($AK$19,MATCH($B625,$B$19:$B$150,0)-1,0,COUNTA($B$19:$B$24),COUNTA($AK$17:$BB$17)),MATCH($F625,$F$19:$F$24,0),MATCH(AV$17,$AK$17:$BB$17,0))*INDEX($10:$13,MATCH($O625,$R$10:$R$13,0),COLUMN())</f>
        <v>3.9751295669999999E-2</v>
      </c>
      <c r="AW625" s="1050" cm="1">
        <f t="array" aca="1" ref="AW625" ca="1">INDEX(OFFSET($AK$19,MATCH($B625,$B$19:$B$150,0)-1,0,COUNTA($B$19:$B$24),COUNTA($AK$17:$BB$17)),MATCH($F625,$F$19:$F$24,0),MATCH(AW$17,$AK$17:$BB$17,0))*INDEX($10:$13,MATCH($O625,$R$10:$R$13,0),COLUMN())</f>
        <v>7.6218806050000003</v>
      </c>
      <c r="AX625" s="1050" cm="1">
        <f t="array" aca="1" ref="AX625" ca="1">INDEX(OFFSET($AK$19,MATCH($B625,$B$19:$B$150,0)-1,0,COUNTA($B$19:$B$24),COUNTA($AK$17:$BB$17)),MATCH($F625,$F$19:$F$24,0),MATCH(AX$17,$AK$17:$BB$17,0))*INDEX($10:$13,MATCH($O625,$R$10:$R$13,0),COLUMN())</f>
        <v>2.1949947515E-6</v>
      </c>
      <c r="AY625" s="1050" cm="1">
        <f t="array" aca="1" ref="AY625" ca="1">INDEX(OFFSET($AK$19,MATCH($B625,$B$19:$B$150,0)-1,0,COUNTA($B$19:$B$24),COUNTA($AK$17:$BB$17)),MATCH($F625,$F$19:$F$24,0),MATCH(AY$17,$AK$17:$BB$17,0))*INDEX($10:$13,MATCH($O625,$R$10:$R$13,0),COLUMN())</f>
        <v>-5.6570684756250003E-8</v>
      </c>
      <c r="AZ625" s="1050" cm="1">
        <f t="array" aca="1" ref="AZ625" ca="1">INDEX(OFFSET($AK$19,MATCH($B625,$B$19:$B$150,0)-1,0,COUNTA($B$19:$B$24),COUNTA($AK$17:$BB$17)),MATCH($F625,$F$19:$F$24,0),MATCH(AZ$17,$AK$17:$BB$17,0))*INDEX($10:$13,MATCH($O625,$R$10:$R$13,0),COLUMN())</f>
        <v>0</v>
      </c>
      <c r="BA625" s="1050" cm="1">
        <f t="array" aca="1" ref="BA625" ca="1">INDEX(OFFSET($AK$19,MATCH($B625,$B$19:$B$150,0)-1,0,COUNTA($B$19:$B$24),COUNTA($AK$17:$BB$17)),MATCH($F625,$F$19:$F$24,0),MATCH(BA$17,$AK$17:$BB$17,0))*INDEX($10:$13,MATCH($O625,$R$10:$R$13,0),COLUMN())</f>
        <v>0</v>
      </c>
      <c r="BB625" s="1051" cm="1">
        <f t="array" aca="1" ref="BB625" ca="1">INDEX(OFFSET($AK$19,MATCH($B625,$B$19:$B$150,0)-1,0,COUNTA($B$19:$B$24),COUNTA($AK$17:$BB$17)),MATCH($F625,$F$19:$F$24,0),MATCH(BB$17,$AK$17:$BB$17,0))*INDEX($10:$13,MATCH($O625,$R$10:$R$13,0),COLUMN())</f>
        <v>0</v>
      </c>
      <c r="BC625" s="1053">
        <f t="shared" ca="1" si="188"/>
        <v>7.6218827434240666</v>
      </c>
      <c r="BE625" s="1"/>
      <c r="BF625" s="1"/>
      <c r="BG625" s="1"/>
      <c r="BH625" s="1"/>
      <c r="BI625" s="1"/>
      <c r="BJ625" s="1"/>
      <c r="BK625" s="1"/>
      <c r="BL625" s="1"/>
      <c r="BM625" s="1"/>
      <c r="BN625" s="1"/>
      <c r="BO625" s="1"/>
      <c r="BP625" s="1"/>
      <c r="BQ625" s="1"/>
      <c r="BR625" s="1"/>
      <c r="BS625" s="1"/>
      <c r="BT625" s="1"/>
      <c r="BU625" s="1"/>
      <c r="BV625" s="1"/>
      <c r="BW625" s="1"/>
      <c r="BX625" s="1"/>
      <c r="BY625" s="1"/>
      <c r="BZ625" s="1"/>
    </row>
    <row r="626" spans="2:78" ht="12" customHeight="1" outlineLevel="1" x14ac:dyDescent="0.25">
      <c r="B626" s="104" t="s">
        <v>108</v>
      </c>
      <c r="C626" s="104" t="s">
        <v>121</v>
      </c>
      <c r="D626" s="2" t="s">
        <v>143</v>
      </c>
      <c r="E626" s="2" t="s">
        <v>145</v>
      </c>
      <c r="F626" s="105" t="s">
        <v>96</v>
      </c>
      <c r="G626" s="27" t="s">
        <v>1582</v>
      </c>
      <c r="H626" s="106" t="s">
        <v>128</v>
      </c>
      <c r="I626" s="107" t="s">
        <v>1577</v>
      </c>
      <c r="J626" s="147">
        <v>5.0812675600000006</v>
      </c>
      <c r="K626" s="148">
        <v>3.5</v>
      </c>
      <c r="L626" s="149">
        <f t="shared" ca="1" si="190"/>
        <v>2.523974005942395</v>
      </c>
      <c r="M626" s="148">
        <f t="shared" ca="1" si="191"/>
        <v>12.333909020798382</v>
      </c>
      <c r="N626" s="148">
        <f t="shared" ca="1" si="189"/>
        <v>8.8339090207983819</v>
      </c>
      <c r="O626" s="1062" t="s">
        <v>1585</v>
      </c>
      <c r="P626" s="104"/>
      <c r="R626" s="119"/>
      <c r="S626" s="1072"/>
      <c r="T626" s="1072"/>
      <c r="U626" s="1072"/>
      <c r="V626" s="1072"/>
      <c r="W626" s="1072"/>
      <c r="X626" s="1072"/>
      <c r="Y626" s="1072"/>
      <c r="Z626" s="1072"/>
      <c r="AA626" s="1072"/>
      <c r="AB626" s="1072"/>
      <c r="AC626" s="1072"/>
      <c r="AD626" s="1072"/>
      <c r="AE626" s="1072"/>
      <c r="AF626" s="1072"/>
      <c r="AG626" s="1072"/>
      <c r="AH626" s="1072"/>
      <c r="AI626" s="1072"/>
      <c r="AJ626" s="1073"/>
      <c r="AK626" s="1052" cm="1">
        <f t="array" aca="1" ref="AK626" ca="1">INDEX(OFFSET($AK$19,MATCH($B626,$B$19:$B$150,0)-1,0,COUNTA($B$19:$B$24),COUNTA($AK$17:$BB$17)),MATCH($F626,$F$19:$F$24,0),MATCH(AK$17,$AK$17:$BB$17,0))*INDEX($10:$13,MATCH($O626,$R$10:$R$13,0),COLUMN())</f>
        <v>0.43266963502079997</v>
      </c>
      <c r="AL626" s="1050" cm="1">
        <f t="array" aca="1" ref="AL626" ca="1">INDEX(OFFSET($AK$19,MATCH($B626,$B$19:$B$150,0)-1,0,COUNTA($B$19:$B$24),COUNTA($AK$17:$BB$17)),MATCH($F626,$F$19:$F$24,0),MATCH(AL$17,$AK$17:$BB$17,0))*INDEX($10:$13,MATCH($O626,$R$10:$R$13,0),COLUMN())</f>
        <v>3.4593121355999999E-7</v>
      </c>
      <c r="AM626" s="1050" cm="1">
        <f t="array" aca="1" ref="AM626" ca="1">INDEX(OFFSET($AK$19,MATCH($B626,$B$19:$B$150,0)-1,0,COUNTA($B$19:$B$24),COUNTA($AK$17:$BB$17)),MATCH($F626,$F$19:$F$24,0),MATCH(AM$17,$AK$17:$BB$17,0))*INDEX($10:$13,MATCH($O626,$R$10:$R$13,0),COLUMN())</f>
        <v>5.5347119178000002E-4</v>
      </c>
      <c r="AN626" s="1050" cm="1">
        <f t="array" aca="1" ref="AN626" ca="1">INDEX(OFFSET($AK$19,MATCH($B626,$B$19:$B$150,0)-1,0,COUNTA($B$19:$B$24),COUNTA($AK$17:$BB$17)),MATCH($F626,$F$19:$F$24,0),MATCH(AN$17,$AK$17:$BB$17,0))*INDEX($10:$13,MATCH($O626,$R$10:$R$13,0),COLUMN())</f>
        <v>8.5612498880000016E-3</v>
      </c>
      <c r="AO626" s="1050" cm="1">
        <f t="array" aca="1" ref="AO626" ca="1">INDEX(OFFSET($AK$19,MATCH($B626,$B$19:$B$150,0)-1,0,COUNTA($B$19:$B$24),COUNTA($AK$17:$BB$17)),MATCH($F626,$F$19:$F$24,0),MATCH(AO$17,$AK$17:$BB$17,0))*INDEX($10:$13,MATCH($O626,$R$10:$R$13,0),COLUMN())</f>
        <v>0.37708484059999997</v>
      </c>
      <c r="AP626" s="1050" cm="1">
        <f t="array" aca="1" ref="AP626" ca="1">INDEX(OFFSET($AK$19,MATCH($B626,$B$19:$B$150,0)-1,0,COUNTA($B$19:$B$24),COUNTA($AK$17:$BB$17)),MATCH($F626,$F$19:$F$24,0),MATCH(AP$17,$AK$17:$BB$17,0))*INDEX($10:$13,MATCH($O626,$R$10:$R$13,0),COLUMN())</f>
        <v>0.23083361384000003</v>
      </c>
      <c r="AQ626" s="1050" cm="1">
        <f t="array" aca="1" ref="AQ626" ca="1">INDEX(OFFSET($AK$19,MATCH($B626,$B$19:$B$150,0)-1,0,COUNTA($B$19:$B$24),COUNTA($AK$17:$BB$17)),MATCH($F626,$F$19:$F$24,0),MATCH(AQ$17,$AK$17:$BB$17,0))*INDEX($10:$13,MATCH($O626,$R$10:$R$13,0),COLUMN())</f>
        <v>1.7875334897E-3</v>
      </c>
      <c r="AR626" s="1050" cm="1">
        <f t="array" aca="1" ref="AR626" ca="1">INDEX(OFFSET($AK$19,MATCH($B626,$B$19:$B$150,0)-1,0,COUNTA($B$19:$B$24),COUNTA($AK$17:$BB$17)),MATCH($F626,$F$19:$F$24,0),MATCH(AR$17,$AK$17:$BB$17,0))*INDEX($10:$13,MATCH($O626,$R$10:$R$13,0),COLUMN())</f>
        <v>7.2921840069999994E-2</v>
      </c>
      <c r="AS626" s="1050" cm="1">
        <f t="array" aca="1" ref="AS626" ca="1">INDEX(OFFSET($AK$19,MATCH($B626,$B$19:$B$150,0)-1,0,COUNTA($B$19:$B$24),COUNTA($AK$17:$BB$17)),MATCH($F626,$F$19:$F$24,0),MATCH(AS$17,$AK$17:$BB$17,0))*INDEX($10:$13,MATCH($O626,$R$10:$R$13,0),COLUMN())</f>
        <v>2.490729312E-2</v>
      </c>
      <c r="AT626" s="1050" cm="1">
        <f t="array" aca="1" ref="AT626" ca="1">INDEX(OFFSET($AK$19,MATCH($B626,$B$19:$B$150,0)-1,0,COUNTA($B$19:$B$24),COUNTA($AK$17:$BB$17)),MATCH($F626,$F$19:$F$24,0),MATCH(AT$17,$AK$17:$BB$17,0))*INDEX($10:$13,MATCH($O626,$R$10:$R$13,0),COLUMN())</f>
        <v>3.9466641913E-5</v>
      </c>
      <c r="AU626" s="1050" cm="1">
        <f t="array" aca="1" ref="AU626" ca="1">INDEX(OFFSET($AK$19,MATCH($B626,$B$19:$B$150,0)-1,0,COUNTA($B$19:$B$24),COUNTA($AK$17:$BB$17)),MATCH($F626,$F$19:$F$24,0),MATCH(AU$17,$AK$17:$BB$17,0))*INDEX($10:$13,MATCH($O626,$R$10:$R$13,0),COLUMN())</f>
        <v>7.4165409081000005E-6</v>
      </c>
      <c r="AV626" s="1050" cm="1">
        <f t="array" aca="1" ref="AV626" ca="1">INDEX(OFFSET($AK$19,MATCH($B626,$B$19:$B$150,0)-1,0,COUNTA($B$19:$B$24),COUNTA($AK$17:$BB$17)),MATCH($F626,$F$19:$F$24,0),MATCH(AV$17,$AK$17:$BB$17,0))*INDEX($10:$13,MATCH($O626,$R$10:$R$13,0),COLUMN())</f>
        <v>6.2659571040000001E-2</v>
      </c>
      <c r="AW626" s="1050" cm="1">
        <f t="array" aca="1" ref="AW626" ca="1">INDEX(OFFSET($AK$19,MATCH($B626,$B$19:$B$150,0)-1,0,COUNTA($B$19:$B$24),COUNTA($AK$17:$BB$17)),MATCH($F626,$F$19:$F$24,0),MATCH(AW$17,$AK$17:$BB$17,0))*INDEX($10:$13,MATCH($O626,$R$10:$R$13,0),COLUMN())</f>
        <v>7.6218806050000003</v>
      </c>
      <c r="AX626" s="1050" cm="1">
        <f t="array" aca="1" ref="AX626" ca="1">INDEX(OFFSET($AK$19,MATCH($B626,$B$19:$B$150,0)-1,0,COUNTA($B$19:$B$24),COUNTA($AK$17:$BB$17)),MATCH($F626,$F$19:$F$24,0),MATCH(AX$17,$AK$17:$BB$17,0))*INDEX($10:$13,MATCH($O626,$R$10:$R$13,0),COLUMN())</f>
        <v>2.1949947515E-6</v>
      </c>
      <c r="AY626" s="1050" cm="1">
        <f t="array" aca="1" ref="AY626" ca="1">INDEX(OFFSET($AK$19,MATCH($B626,$B$19:$B$150,0)-1,0,COUNTA($B$19:$B$24),COUNTA($AK$17:$BB$17)),MATCH($F626,$F$19:$F$24,0),MATCH(AY$17,$AK$17:$BB$17,0))*INDEX($10:$13,MATCH($O626,$R$10:$R$13,0),COLUMN())</f>
        <v>-5.6570684756250003E-8</v>
      </c>
      <c r="AZ626" s="1050" cm="1">
        <f t="array" aca="1" ref="AZ626" ca="1">INDEX(OFFSET($AK$19,MATCH($B626,$B$19:$B$150,0)-1,0,COUNTA($B$19:$B$24),COUNTA($AK$17:$BB$17)),MATCH($F626,$F$19:$F$24,0),MATCH(AZ$17,$AK$17:$BB$17,0))*INDEX($10:$13,MATCH($O626,$R$10:$R$13,0),COLUMN())</f>
        <v>0</v>
      </c>
      <c r="BA626" s="1050" cm="1">
        <f t="array" aca="1" ref="BA626" ca="1">INDEX(OFFSET($AK$19,MATCH($B626,$B$19:$B$150,0)-1,0,COUNTA($B$19:$B$24),COUNTA($AK$17:$BB$17)),MATCH($F626,$F$19:$F$24,0),MATCH(BA$17,$AK$17:$BB$17,0))*INDEX($10:$13,MATCH($O626,$R$10:$R$13,0),COLUMN())</f>
        <v>0</v>
      </c>
      <c r="BB626" s="1051" cm="1">
        <f t="array" aca="1" ref="BB626" ca="1">INDEX(OFFSET($AK$19,MATCH($B626,$B$19:$B$150,0)-1,0,COUNTA($B$19:$B$24),COUNTA($AK$17:$BB$17)),MATCH($F626,$F$19:$F$24,0),MATCH(BB$17,$AK$17:$BB$17,0))*INDEX($10:$13,MATCH($O626,$R$10:$R$13,0),COLUMN())</f>
        <v>0</v>
      </c>
      <c r="BC626" s="1053">
        <f t="shared" ca="1" si="188"/>
        <v>7.6218827434240666</v>
      </c>
      <c r="BE626" s="1"/>
      <c r="BF626" s="1"/>
      <c r="BG626" s="1"/>
      <c r="BH626" s="1"/>
      <c r="BI626" s="1"/>
      <c r="BJ626" s="1"/>
      <c r="BK626" s="1"/>
      <c r="BL626" s="1"/>
      <c r="BM626" s="1"/>
      <c r="BN626" s="1"/>
      <c r="BO626" s="1"/>
      <c r="BP626" s="1"/>
      <c r="BQ626" s="1"/>
      <c r="BR626" s="1"/>
      <c r="BS626" s="1"/>
      <c r="BT626" s="1"/>
      <c r="BU626" s="1"/>
      <c r="BV626" s="1"/>
      <c r="BW626" s="1"/>
      <c r="BX626" s="1"/>
      <c r="BY626" s="1"/>
      <c r="BZ626" s="1"/>
    </row>
    <row r="627" spans="2:78" ht="12" customHeight="1" outlineLevel="1" x14ac:dyDescent="0.25">
      <c r="B627" s="88" t="s">
        <v>109</v>
      </c>
      <c r="C627" s="88" t="s">
        <v>121</v>
      </c>
      <c r="D627" s="89" t="s">
        <v>143</v>
      </c>
      <c r="E627" s="89" t="s">
        <v>146</v>
      </c>
      <c r="F627" s="90" t="s">
        <v>92</v>
      </c>
      <c r="G627" s="18" t="s">
        <v>126</v>
      </c>
      <c r="H627" s="91" t="s">
        <v>127</v>
      </c>
      <c r="I627" s="92" t="s">
        <v>127</v>
      </c>
      <c r="J627" s="142">
        <v>6.4197011599999998</v>
      </c>
      <c r="K627" s="143">
        <v>0.35311999999999999</v>
      </c>
      <c r="L627" s="144">
        <f t="shared" ca="1" si="190"/>
        <v>7.2854515102641768</v>
      </c>
      <c r="M627" s="143">
        <f t="shared" ca="1" si="191"/>
        <v>2.9257586373044862</v>
      </c>
      <c r="N627" s="162">
        <f t="shared" ca="1" si="189"/>
        <v>2.5726386373044861</v>
      </c>
      <c r="O627" s="1060" t="s">
        <v>1585</v>
      </c>
      <c r="P627" s="88"/>
      <c r="Q627" s="89"/>
      <c r="R627" s="150"/>
      <c r="S627" s="1070"/>
      <c r="T627" s="1070"/>
      <c r="U627" s="1070"/>
      <c r="V627" s="1070"/>
      <c r="W627" s="1070"/>
      <c r="X627" s="1070"/>
      <c r="Y627" s="1070"/>
      <c r="Z627" s="1070"/>
      <c r="AA627" s="1070"/>
      <c r="AB627" s="1070"/>
      <c r="AC627" s="1070"/>
      <c r="AD627" s="1070"/>
      <c r="AE627" s="1070"/>
      <c r="AF627" s="1070"/>
      <c r="AG627" s="1070"/>
      <c r="AH627" s="1070"/>
      <c r="AI627" s="1070"/>
      <c r="AJ627" s="1071"/>
      <c r="AK627" s="1048" cm="1">
        <f t="array" aca="1" ref="AK627" ca="1">INDEX(OFFSET($AK$19,MATCH($B627,$B$19:$B$150,0)-1,0,COUNTA($B$19:$B$24),COUNTA($AK$17:$BB$17)),MATCH($F627,$F$19:$F$24,0),MATCH(AK$17,$AK$17:$BB$17,0))*INDEX($10:$13,MATCH($O627,$R$10:$R$13,0),COLUMN())</f>
        <v>0.33715625771865598</v>
      </c>
      <c r="AL627" s="1046" cm="1">
        <f t="array" aca="1" ref="AL627" ca="1">INDEX(OFFSET($AK$19,MATCH($B627,$B$19:$B$150,0)-1,0,COUNTA($B$19:$B$24),COUNTA($AK$17:$BB$17)),MATCH($F627,$F$19:$F$24,0),MATCH(AL$17,$AK$17:$BB$17,0))*INDEX($10:$13,MATCH($O627,$R$10:$R$13,0),COLUMN())</f>
        <v>2.2574414376000002E-7</v>
      </c>
      <c r="AM627" s="1046" cm="1">
        <f t="array" aca="1" ref="AM627" ca="1">INDEX(OFFSET($AK$19,MATCH($B627,$B$19:$B$150,0)-1,0,COUNTA($B$19:$B$24),COUNTA($AK$17:$BB$17)),MATCH($F627,$F$19:$F$24,0),MATCH(AM$17,$AK$17:$BB$17,0))*INDEX($10:$13,MATCH($O627,$R$10:$R$13,0),COLUMN())</f>
        <v>3.7012992328E-4</v>
      </c>
      <c r="AN627" s="1046" cm="1">
        <f t="array" aca="1" ref="AN627" ca="1">INDEX(OFFSET($AK$19,MATCH($B627,$B$19:$B$150,0)-1,0,COUNTA($B$19:$B$24),COUNTA($AK$17:$BB$17)),MATCH($F627,$F$19:$F$24,0),MATCH(AN$17,$AK$17:$BB$17,0))*INDEX($10:$13,MATCH($O627,$R$10:$R$13,0),COLUMN())</f>
        <v>2.0260992560000002E-3</v>
      </c>
      <c r="AO627" s="1046" cm="1">
        <f t="array" aca="1" ref="AO627" ca="1">INDEX(OFFSET($AK$19,MATCH($B627,$B$19:$B$150,0)-1,0,COUNTA($B$19:$B$24),COUNTA($AK$17:$BB$17)),MATCH($F627,$F$19:$F$24,0),MATCH(AO$17,$AK$17:$BB$17,0))*INDEX($10:$13,MATCH($O627,$R$10:$R$13,0),COLUMN())</f>
        <v>0.12295616523999998</v>
      </c>
      <c r="AP627" s="1046" cm="1">
        <f t="array" aca="1" ref="AP627" ca="1">INDEX(OFFSET($AK$19,MATCH($B627,$B$19:$B$150,0)-1,0,COUNTA($B$19:$B$24),COUNTA($AK$17:$BB$17)),MATCH($F627,$F$19:$F$24,0),MATCH(AP$17,$AK$17:$BB$17,0))*INDEX($10:$13,MATCH($O627,$R$10:$R$13,0),COLUMN())</f>
        <v>7.8198435479999995E-2</v>
      </c>
      <c r="AQ627" s="1046" cm="1">
        <f t="array" aca="1" ref="AQ627" ca="1">INDEX(OFFSET($AK$19,MATCH($B627,$B$19:$B$150,0)-1,0,COUNTA($B$19:$B$24),COUNTA($AK$17:$BB$17)),MATCH($F627,$F$19:$F$24,0),MATCH(AQ$17,$AK$17:$BB$17,0))*INDEX($10:$13,MATCH($O627,$R$10:$R$13,0),COLUMN())</f>
        <v>6.4072479439999995E-4</v>
      </c>
      <c r="AR627" s="1046" cm="1">
        <f t="array" aca="1" ref="AR627" ca="1">INDEX(OFFSET($AK$19,MATCH($B627,$B$19:$B$150,0)-1,0,COUNTA($B$19:$B$24),COUNTA($AK$17:$BB$17)),MATCH($F627,$F$19:$F$24,0),MATCH(AR$17,$AK$17:$BB$17,0))*INDEX($10:$13,MATCH($O627,$R$10:$R$13,0),COLUMN())</f>
        <v>5.222220566E-2</v>
      </c>
      <c r="AS627" s="1046" cm="1">
        <f t="array" aca="1" ref="AS627" ca="1">INDEX(OFFSET($AK$19,MATCH($B627,$B$19:$B$150,0)-1,0,COUNTA($B$19:$B$24),COUNTA($AK$17:$BB$17)),MATCH($F627,$F$19:$F$24,0),MATCH(AS$17,$AK$17:$BB$17,0))*INDEX($10:$13,MATCH($O627,$R$10:$R$13,0),COLUMN())</f>
        <v>0.30795817165</v>
      </c>
      <c r="AT627" s="1046" cm="1">
        <f t="array" aca="1" ref="AT627" ca="1">INDEX(OFFSET($AK$19,MATCH($B627,$B$19:$B$150,0)-1,0,COUNTA($B$19:$B$24),COUNTA($AK$17:$BB$17)),MATCH($F627,$F$19:$F$24,0),MATCH(AT$17,$AK$17:$BB$17,0))*INDEX($10:$13,MATCH($O627,$R$10:$R$13,0),COLUMN())</f>
        <v>3.4440419644999996E-4</v>
      </c>
      <c r="AU627" s="1046" cm="1">
        <f t="array" aca="1" ref="AU627" ca="1">INDEX(OFFSET($AK$19,MATCH($B627,$B$19:$B$150,0)-1,0,COUNTA($B$19:$B$24),COUNTA($AK$17:$BB$17)),MATCH($F627,$F$19:$F$24,0),MATCH(AU$17,$AK$17:$BB$17,0))*INDEX($10:$13,MATCH($O627,$R$10:$R$13,0),COLUMN())</f>
        <v>2.2246365204E-5</v>
      </c>
      <c r="AV627" s="1046" cm="1">
        <f t="array" aca="1" ref="AV627" ca="1">INDEX(OFFSET($AK$19,MATCH($B627,$B$19:$B$150,0)-1,0,COUNTA($B$19:$B$24),COUNTA($AK$17:$BB$17)),MATCH($F627,$F$19:$F$24,0),MATCH(AV$17,$AK$17:$BB$17,0))*INDEX($10:$13,MATCH($O627,$R$10:$R$13,0),COLUMN())</f>
        <v>1.7594083529999999E-2</v>
      </c>
      <c r="AW627" s="1046" cm="1">
        <f t="array" aca="1" ref="AW627" ca="1">INDEX(OFFSET($AK$19,MATCH($B627,$B$19:$B$150,0)-1,0,COUNTA($B$19:$B$24),COUNTA($AK$17:$BB$17)),MATCH($F627,$F$19:$F$24,0),MATCH(AW$17,$AK$17:$BB$17,0))*INDEX($10:$13,MATCH($O627,$R$10:$R$13,0),COLUMN())</f>
        <v>1.6531451610000001</v>
      </c>
      <c r="AX627" s="1046" cm="1">
        <f t="array" aca="1" ref="AX627" ca="1">INDEX(OFFSET($AK$19,MATCH($B627,$B$19:$B$150,0)-1,0,COUNTA($B$19:$B$24),COUNTA($AK$17:$BB$17)),MATCH($F627,$F$19:$F$24,0),MATCH(AX$17,$AK$17:$BB$17,0))*INDEX($10:$13,MATCH($O627,$R$10:$R$13,0),COLUMN())</f>
        <v>4.443876672E-6</v>
      </c>
      <c r="AY627" s="1046" cm="1">
        <f t="array" aca="1" ref="AY627" ca="1">INDEX(OFFSET($AK$19,MATCH($B627,$B$19:$B$150,0)-1,0,COUNTA($B$19:$B$24),COUNTA($AK$17:$BB$17)),MATCH($F627,$F$19:$F$24,0),MATCH(AY$17,$AK$17:$BB$17,0))*INDEX($10:$13,MATCH($O627,$R$10:$R$13,0),COLUMN())</f>
        <v>-1.171303197375E-7</v>
      </c>
      <c r="AZ627" s="1046" cm="1">
        <f t="array" aca="1" ref="AZ627" ca="1">INDEX(OFFSET($AK$19,MATCH($B627,$B$19:$B$150,0)-1,0,COUNTA($B$19:$B$24),COUNTA($AK$17:$BB$17)),MATCH($F627,$F$19:$F$24,0),MATCH(AZ$17,$AK$17:$BB$17,0))*INDEX($10:$13,MATCH($O627,$R$10:$R$13,0),COLUMN())</f>
        <v>0</v>
      </c>
      <c r="BA627" s="1046" cm="1">
        <f t="array" aca="1" ref="BA627" ca="1">INDEX(OFFSET($AK$19,MATCH($B627,$B$19:$B$150,0)-1,0,COUNTA($B$19:$B$24),COUNTA($AK$17:$BB$17)),MATCH($F627,$F$19:$F$24,0),MATCH(BA$17,$AK$17:$BB$17,0))*INDEX($10:$13,MATCH($O627,$R$10:$R$13,0),COLUMN())</f>
        <v>0</v>
      </c>
      <c r="BB627" s="1047" cm="1">
        <f t="array" aca="1" ref="BB627" ca="1">INDEX(OFFSET($AK$19,MATCH($B627,$B$19:$B$150,0)-1,0,COUNTA($B$19:$B$24),COUNTA($AK$17:$BB$17)),MATCH($F627,$F$19:$F$24,0),MATCH(BB$17,$AK$17:$BB$17,0))*INDEX($10:$13,MATCH($O627,$R$10:$R$13,0),COLUMN())</f>
        <v>0</v>
      </c>
      <c r="BC627" s="1049">
        <f t="shared" ca="1" si="188"/>
        <v>1.6531494877463524</v>
      </c>
      <c r="BE627" s="1"/>
      <c r="BF627" s="1"/>
      <c r="BG627" s="1"/>
      <c r="BH627" s="1"/>
      <c r="BI627" s="1"/>
      <c r="BJ627" s="1"/>
      <c r="BK627" s="1"/>
      <c r="BL627" s="1"/>
      <c r="BM627" s="1"/>
      <c r="BN627" s="1"/>
      <c r="BO627" s="1"/>
      <c r="BP627" s="1"/>
      <c r="BQ627" s="1"/>
      <c r="BR627" s="1"/>
      <c r="BS627" s="1"/>
      <c r="BT627" s="1"/>
      <c r="BU627" s="1"/>
      <c r="BV627" s="1"/>
      <c r="BW627" s="1"/>
      <c r="BX627" s="1"/>
      <c r="BY627" s="1"/>
      <c r="BZ627" s="1"/>
    </row>
    <row r="628" spans="2:78" ht="12" customHeight="1" outlineLevel="1" x14ac:dyDescent="0.25">
      <c r="B628" s="104" t="s">
        <v>109</v>
      </c>
      <c r="C628" s="104" t="s">
        <v>121</v>
      </c>
      <c r="D628" s="2" t="s">
        <v>143</v>
      </c>
      <c r="E628" s="2" t="s">
        <v>146</v>
      </c>
      <c r="F628" s="105" t="s">
        <v>122</v>
      </c>
      <c r="G628" s="27" t="s">
        <v>1579</v>
      </c>
      <c r="H628" s="106" t="s">
        <v>128</v>
      </c>
      <c r="I628" s="107" t="s">
        <v>129</v>
      </c>
      <c r="J628" s="147">
        <v>6.4197011599999998</v>
      </c>
      <c r="K628" s="148">
        <v>0.91249000000000002</v>
      </c>
      <c r="L628" s="149">
        <f t="shared" ca="1" si="190"/>
        <v>2.8564182941629901</v>
      </c>
      <c r="M628" s="148">
        <f t="shared" ca="1" si="191"/>
        <v>3.5189431292407871</v>
      </c>
      <c r="N628" s="163">
        <f t="shared" ca="1" si="189"/>
        <v>2.6064531292407871</v>
      </c>
      <c r="O628" s="1061" t="s">
        <v>1585</v>
      </c>
      <c r="P628" s="104"/>
      <c r="R628" s="119"/>
      <c r="S628" s="1072"/>
      <c r="T628" s="1072"/>
      <c r="U628" s="1072"/>
      <c r="V628" s="1072"/>
      <c r="W628" s="1072"/>
      <c r="X628" s="1072"/>
      <c r="Y628" s="1072"/>
      <c r="Z628" s="1072"/>
      <c r="AA628" s="1072"/>
      <c r="AB628" s="1072"/>
      <c r="AC628" s="1072"/>
      <c r="AD628" s="1072"/>
      <c r="AE628" s="1072"/>
      <c r="AF628" s="1072"/>
      <c r="AG628" s="1072"/>
      <c r="AH628" s="1072"/>
      <c r="AI628" s="1072"/>
      <c r="AJ628" s="1073"/>
      <c r="AK628" s="1052" cm="1">
        <f t="array" aca="1" ref="AK628" ca="1">INDEX(OFFSET($AK$19,MATCH($B628,$B$19:$B$150,0)-1,0,COUNTA($B$19:$B$24),COUNTA($AK$17:$BB$17)),MATCH($F628,$F$19:$F$24,0),MATCH(AK$17,$AK$17:$BB$17,0))*INDEX($10:$13,MATCH($O628,$R$10:$R$13,0),COLUMN())</f>
        <v>0.146795303675712</v>
      </c>
      <c r="AL628" s="1050" cm="1">
        <f t="array" aca="1" ref="AL628" ca="1">INDEX(OFFSET($AK$19,MATCH($B628,$B$19:$B$150,0)-1,0,COUNTA($B$19:$B$24),COUNTA($AK$17:$BB$17)),MATCH($F628,$F$19:$F$24,0),MATCH(AL$17,$AK$17:$BB$17,0))*INDEX($10:$13,MATCH($O628,$R$10:$R$13,0),COLUMN())</f>
        <v>1.0873143252000001E-7</v>
      </c>
      <c r="AM628" s="1050" cm="1">
        <f t="array" aca="1" ref="AM628" ca="1">INDEX(OFFSET($AK$19,MATCH($B628,$B$19:$B$150,0)-1,0,COUNTA($B$19:$B$24),COUNTA($AK$17:$BB$17)),MATCH($F628,$F$19:$F$24,0),MATCH(AM$17,$AK$17:$BB$17,0))*INDEX($10:$13,MATCH($O628,$R$10:$R$13,0),COLUMN())</f>
        <v>1.7398813587999999E-4</v>
      </c>
      <c r="AN628" s="1050" cm="1">
        <f t="array" aca="1" ref="AN628" ca="1">INDEX(OFFSET($AK$19,MATCH($B628,$B$19:$B$150,0)-1,0,COUNTA($B$19:$B$24),COUNTA($AK$17:$BB$17)),MATCH($F628,$F$19:$F$24,0),MATCH(AN$17,$AK$17:$BB$17,0))*INDEX($10:$13,MATCH($O628,$R$10:$R$13,0),COLUMN())</f>
        <v>2.4503011360000001E-3</v>
      </c>
      <c r="AO628" s="1050" cm="1">
        <f t="array" aca="1" ref="AO628" ca="1">INDEX(OFFSET($AK$19,MATCH($B628,$B$19:$B$150,0)-1,0,COUNTA($B$19:$B$24),COUNTA($AK$17:$BB$17)),MATCH($F628,$F$19:$F$24,0),MATCH(AO$17,$AK$17:$BB$17,0))*INDEX($10:$13,MATCH($O628,$R$10:$R$13,0),COLUMN())</f>
        <v>3.5723310011999999E-2</v>
      </c>
      <c r="AP628" s="1050" cm="1">
        <f t="array" aca="1" ref="AP628" ca="1">INDEX(OFFSET($AK$19,MATCH($B628,$B$19:$B$150,0)-1,0,COUNTA($B$19:$B$24),COUNTA($AK$17:$BB$17)),MATCH($F628,$F$19:$F$24,0),MATCH(AP$17,$AK$17:$BB$17,0))*INDEX($10:$13,MATCH($O628,$R$10:$R$13,0),COLUMN())</f>
        <v>1.4058565529999999E-2</v>
      </c>
      <c r="AQ628" s="1050" cm="1">
        <f t="array" aca="1" ref="AQ628" ca="1">INDEX(OFFSET($AK$19,MATCH($B628,$B$19:$B$150,0)-1,0,COUNTA($B$19:$B$24),COUNTA($AK$17:$BB$17)),MATCH($F628,$F$19:$F$24,0),MATCH(AQ$17,$AK$17:$BB$17,0))*INDEX($10:$13,MATCH($O628,$R$10:$R$13,0),COLUMN())</f>
        <v>9.2188491079999994E-5</v>
      </c>
      <c r="AR628" s="1050" cm="1">
        <f t="array" aca="1" ref="AR628" ca="1">INDEX(OFFSET($AK$19,MATCH($B628,$B$19:$B$150,0)-1,0,COUNTA($B$19:$B$24),COUNTA($AK$17:$BB$17)),MATCH($F628,$F$19:$F$24,0),MATCH(AR$17,$AK$17:$BB$17,0))*INDEX($10:$13,MATCH($O628,$R$10:$R$13,0),COLUMN())</f>
        <v>2.2395347914999999E-2</v>
      </c>
      <c r="AS628" s="1050" cm="1">
        <f t="array" aca="1" ref="AS628" ca="1">INDEX(OFFSET($AK$19,MATCH($B628,$B$19:$B$150,0)-1,0,COUNTA($B$19:$B$24),COUNTA($AK$17:$BB$17)),MATCH($F628,$F$19:$F$24,0),MATCH(AS$17,$AK$17:$BB$17,0))*INDEX($10:$13,MATCH($O628,$R$10:$R$13,0),COLUMN())</f>
        <v>1.48710178E-4</v>
      </c>
      <c r="AT628" s="1050" cm="1">
        <f t="array" aca="1" ref="AT628" ca="1">INDEX(OFFSET($AK$19,MATCH($B628,$B$19:$B$150,0)-1,0,COUNTA($B$19:$B$24),COUNTA($AK$17:$BB$17)),MATCH($F628,$F$19:$F$24,0),MATCH(AT$17,$AK$17:$BB$17,0))*INDEX($10:$13,MATCH($O628,$R$10:$R$13,0),COLUMN())</f>
        <v>7.7877714539999994E-6</v>
      </c>
      <c r="AU628" s="1050" cm="1">
        <f t="array" aca="1" ref="AU628" ca="1">INDEX(OFFSET($AK$19,MATCH($B628,$B$19:$B$150,0)-1,0,COUNTA($B$19:$B$24),COUNTA($AK$17:$BB$17)),MATCH($F628,$F$19:$F$24,0),MATCH(AU$17,$AK$17:$BB$17,0))*INDEX($10:$13,MATCH($O628,$R$10:$R$13,0),COLUMN())</f>
        <v>1.6494770718000002E-6</v>
      </c>
      <c r="AV628" s="1050" cm="1">
        <f t="array" aca="1" ref="AV628" ca="1">INDEX(OFFSET($AK$19,MATCH($B628,$B$19:$B$150,0)-1,0,COUNTA($B$19:$B$24),COUNTA($AK$17:$BB$17)),MATCH($F628,$F$19:$F$24,0),MATCH(AV$17,$AK$17:$BB$17,0))*INDEX($10:$13,MATCH($O628,$R$10:$R$13,0),COLUMN())</f>
        <v>1.3421535309E-3</v>
      </c>
      <c r="AW628" s="1050" cm="1">
        <f t="array" aca="1" ref="AW628" ca="1">INDEX(OFFSET($AK$19,MATCH($B628,$B$19:$B$150,0)-1,0,COUNTA($B$19:$B$24),COUNTA($AK$17:$BB$17)),MATCH($F628,$F$19:$F$24,0),MATCH(AW$17,$AK$17:$BB$17,0))*INDEX($10:$13,MATCH($O628,$R$10:$R$13,0),COLUMN())</f>
        <v>2.3832630285</v>
      </c>
      <c r="AX628" s="1050" cm="1">
        <f t="array" aca="1" ref="AX628" ca="1">INDEX(OFFSET($AK$19,MATCH($B628,$B$19:$B$150,0)-1,0,COUNTA($B$19:$B$24),COUNTA($AK$17:$BB$17)),MATCH($F628,$F$19:$F$24,0),MATCH(AX$17,$AK$17:$BB$17,0))*INDEX($10:$13,MATCH($O628,$R$10:$R$13,0),COLUMN())</f>
        <v>7.0430809500000012E-7</v>
      </c>
      <c r="AY628" s="1050" cm="1">
        <f t="array" aca="1" ref="AY628" ca="1">INDEX(OFFSET($AK$19,MATCH($B628,$B$19:$B$150,0)-1,0,COUNTA($B$19:$B$24),COUNTA($AK$17:$BB$17)),MATCH($F628,$F$19:$F$24,0),MATCH(AY$17,$AK$17:$BB$17,0))*INDEX($10:$13,MATCH($O628,$R$10:$R$13,0),COLUMN())</f>
        <v>-1.815183811875E-8</v>
      </c>
      <c r="AZ628" s="1050" cm="1">
        <f t="array" aca="1" ref="AZ628" ca="1">INDEX(OFFSET($AK$19,MATCH($B628,$B$19:$B$150,0)-1,0,COUNTA($B$19:$B$24),COUNTA($AK$17:$BB$17)),MATCH($F628,$F$19:$F$24,0),MATCH(AZ$17,$AK$17:$BB$17,0))*INDEX($10:$13,MATCH($O628,$R$10:$R$13,0),COLUMN())</f>
        <v>0</v>
      </c>
      <c r="BA628" s="1050" cm="1">
        <f t="array" aca="1" ref="BA628" ca="1">INDEX(OFFSET($AK$19,MATCH($B628,$B$19:$B$150,0)-1,0,COUNTA($B$19:$B$24),COUNTA($AK$17:$BB$17)),MATCH($F628,$F$19:$F$24,0),MATCH(BA$17,$AK$17:$BB$17,0))*INDEX($10:$13,MATCH($O628,$R$10:$R$13,0),COLUMN())</f>
        <v>0</v>
      </c>
      <c r="BB628" s="1051" cm="1">
        <f t="array" aca="1" ref="BB628" ca="1">INDEX(OFFSET($AK$19,MATCH($B628,$B$19:$B$150,0)-1,0,COUNTA($B$19:$B$24),COUNTA($AK$17:$BB$17)),MATCH($F628,$F$19:$F$24,0),MATCH(BB$17,$AK$17:$BB$17,0))*INDEX($10:$13,MATCH($O628,$R$10:$R$13,0),COLUMN())</f>
        <v>0</v>
      </c>
      <c r="BC628" s="1053">
        <f t="shared" ca="1" si="188"/>
        <v>2.3832637146562567</v>
      </c>
      <c r="BE628" s="1"/>
      <c r="BF628" s="1"/>
      <c r="BG628" s="1"/>
      <c r="BH628" s="1"/>
      <c r="BI628" s="1"/>
      <c r="BJ628" s="1"/>
      <c r="BK628" s="1"/>
      <c r="BL628" s="1"/>
      <c r="BM628" s="1"/>
      <c r="BN628" s="1"/>
      <c r="BO628" s="1"/>
      <c r="BP628" s="1"/>
      <c r="BQ628" s="1"/>
      <c r="BR628" s="1"/>
      <c r="BS628" s="1"/>
      <c r="BT628" s="1"/>
      <c r="BU628" s="1"/>
      <c r="BV628" s="1"/>
      <c r="BW628" s="1"/>
      <c r="BX628" s="1"/>
      <c r="BY628" s="1"/>
      <c r="BZ628" s="1"/>
    </row>
    <row r="629" spans="2:78" ht="12" customHeight="1" outlineLevel="1" x14ac:dyDescent="0.25">
      <c r="B629" s="104" t="s">
        <v>109</v>
      </c>
      <c r="C629" s="104" t="s">
        <v>121</v>
      </c>
      <c r="D629" s="2" t="s">
        <v>143</v>
      </c>
      <c r="E629" s="2" t="s">
        <v>146</v>
      </c>
      <c r="F629" s="105" t="s">
        <v>93</v>
      </c>
      <c r="G629" s="27" t="s">
        <v>1578</v>
      </c>
      <c r="H629" s="106" t="s">
        <v>130</v>
      </c>
      <c r="I629" s="107" t="s">
        <v>129</v>
      </c>
      <c r="J629" s="147">
        <v>6.4197011599999998</v>
      </c>
      <c r="K629" s="148">
        <v>0.91249000000000002</v>
      </c>
      <c r="L629" s="149">
        <f t="shared" ca="1" si="190"/>
        <v>3.5418788529955365</v>
      </c>
      <c r="M629" s="148">
        <f t="shared" ca="1" si="191"/>
        <v>4.1444190345698972</v>
      </c>
      <c r="N629" s="163">
        <f t="shared" ca="1" si="189"/>
        <v>3.2319290345698972</v>
      </c>
      <c r="O629" s="1061" t="s">
        <v>1585</v>
      </c>
      <c r="P629" s="104"/>
      <c r="R629" s="119"/>
      <c r="S629" s="1072"/>
      <c r="T629" s="1072"/>
      <c r="U629" s="1072"/>
      <c r="V629" s="1072"/>
      <c r="W629" s="1072"/>
      <c r="X629" s="1072"/>
      <c r="Y629" s="1072"/>
      <c r="Z629" s="1072"/>
      <c r="AA629" s="1072"/>
      <c r="AB629" s="1072"/>
      <c r="AC629" s="1072"/>
      <c r="AD629" s="1072"/>
      <c r="AE629" s="1072"/>
      <c r="AF629" s="1072"/>
      <c r="AG629" s="1072"/>
      <c r="AH629" s="1072"/>
      <c r="AI629" s="1072"/>
      <c r="AJ629" s="1073"/>
      <c r="AK629" s="1052" cm="1">
        <f t="array" aca="1" ref="AK629" ca="1">INDEX(OFFSET($AK$19,MATCH($B629,$B$19:$B$150,0)-1,0,COUNTA($B$19:$B$24),COUNTA($AK$17:$BB$17)),MATCH($F629,$F$19:$F$24,0),MATCH(AK$17,$AK$17:$BB$17,0))*INDEX($10:$13,MATCH($O629,$R$10:$R$13,0),COLUMN())</f>
        <v>0.18199584981561601</v>
      </c>
      <c r="AL629" s="1050" cm="1">
        <f t="array" aca="1" ref="AL629" ca="1">INDEX(OFFSET($AK$19,MATCH($B629,$B$19:$B$150,0)-1,0,COUNTA($B$19:$B$24),COUNTA($AK$17:$BB$17)),MATCH($F629,$F$19:$F$24,0),MATCH(AL$17,$AK$17:$BB$17,0))*INDEX($10:$13,MATCH($O629,$R$10:$R$13,0),COLUMN())</f>
        <v>1.3480451642E-7</v>
      </c>
      <c r="AM629" s="1050" cm="1">
        <f t="array" aca="1" ref="AM629" ca="1">INDEX(OFFSET($AK$19,MATCH($B629,$B$19:$B$150,0)-1,0,COUNTA($B$19:$B$24),COUNTA($AK$17:$BB$17)),MATCH($F629,$F$19:$F$24,0),MATCH(AM$17,$AK$17:$BB$17,0))*INDEX($10:$13,MATCH($O629,$R$10:$R$13,0),COLUMN())</f>
        <v>2.1570934606000001E-4</v>
      </c>
      <c r="AN629" s="1050" cm="1">
        <f t="array" aca="1" ref="AN629" ca="1">INDEX(OFFSET($AK$19,MATCH($B629,$B$19:$B$150,0)-1,0,COUNTA($B$19:$B$24),COUNTA($AK$17:$BB$17)),MATCH($F629,$F$19:$F$24,0),MATCH(AN$17,$AK$17:$BB$17,0))*INDEX($10:$13,MATCH($O629,$R$10:$R$13,0),COLUMN())</f>
        <v>3.0378670479999999E-3</v>
      </c>
      <c r="AO629" s="1050" cm="1">
        <f t="array" aca="1" ref="AO629" ca="1">INDEX(OFFSET($AK$19,MATCH($B629,$B$19:$B$150,0)-1,0,COUNTA($B$19:$B$24),COUNTA($AK$17:$BB$17)),MATCH($F629,$F$19:$F$24,0),MATCH(AO$17,$AK$17:$BB$17,0))*INDEX($10:$13,MATCH($O629,$R$10:$R$13,0),COLUMN())</f>
        <v>4.4289524912E-2</v>
      </c>
      <c r="AP629" s="1050" cm="1">
        <f t="array" aca="1" ref="AP629" ca="1">INDEX(OFFSET($AK$19,MATCH($B629,$B$19:$B$150,0)-1,0,COUNTA($B$19:$B$24),COUNTA($AK$17:$BB$17)),MATCH($F629,$F$19:$F$24,0),MATCH(AP$17,$AK$17:$BB$17,0))*INDEX($10:$13,MATCH($O629,$R$10:$R$13,0),COLUMN())</f>
        <v>1.7429717564E-2</v>
      </c>
      <c r="AQ629" s="1050" cm="1">
        <f t="array" aca="1" ref="AQ629" ca="1">INDEX(OFFSET($AK$19,MATCH($B629,$B$19:$B$150,0)-1,0,COUNTA($B$19:$B$24),COUNTA($AK$17:$BB$17)),MATCH($F629,$F$19:$F$24,0),MATCH(AQ$17,$AK$17:$BB$17,0))*INDEX($10:$13,MATCH($O629,$R$10:$R$13,0),COLUMN())</f>
        <v>1.1429468466999999E-4</v>
      </c>
      <c r="AR629" s="1050" cm="1">
        <f t="array" aca="1" ref="AR629" ca="1">INDEX(OFFSET($AK$19,MATCH($B629,$B$19:$B$150,0)-1,0,COUNTA($B$19:$B$24),COUNTA($AK$17:$BB$17)),MATCH($F629,$F$19:$F$24,0),MATCH(AR$17,$AK$17:$BB$17,0))*INDEX($10:$13,MATCH($O629,$R$10:$R$13,0),COLUMN())</f>
        <v>2.7765605103E-2</v>
      </c>
      <c r="AS629" s="1050" cm="1">
        <f t="array" aca="1" ref="AS629" ca="1">INDEX(OFFSET($AK$19,MATCH($B629,$B$19:$B$150,0)-1,0,COUNTA($B$19:$B$24),COUNTA($AK$17:$BB$17)),MATCH($F629,$F$19:$F$24,0),MATCH(AS$17,$AK$17:$BB$17,0))*INDEX($10:$13,MATCH($O629,$R$10:$R$13,0),COLUMN())</f>
        <v>2.9387070164999999E-4</v>
      </c>
      <c r="AT629" s="1050" cm="1">
        <f t="array" aca="1" ref="AT629" ca="1">INDEX(OFFSET($AK$19,MATCH($B629,$B$19:$B$150,0)-1,0,COUNTA($B$19:$B$24),COUNTA($AK$17:$BB$17)),MATCH($F629,$F$19:$F$24,0),MATCH(AT$17,$AK$17:$BB$17,0))*INDEX($10:$13,MATCH($O629,$R$10:$R$13,0),COLUMN())</f>
        <v>9.6900431329999984E-6</v>
      </c>
      <c r="AU629" s="1050" cm="1">
        <f t="array" aca="1" ref="AU629" ca="1">INDEX(OFFSET($AK$19,MATCH($B629,$B$19:$B$150,0)-1,0,COUNTA($B$19:$B$24),COUNTA($AK$17:$BB$17)),MATCH($F629,$F$19:$F$24,0),MATCH(AU$17,$AK$17:$BB$17,0))*INDEX($10:$13,MATCH($O629,$R$10:$R$13,0),COLUMN())</f>
        <v>2.0487572919E-6</v>
      </c>
      <c r="AV629" s="1050" cm="1">
        <f t="array" aca="1" ref="AV629" ca="1">INDEX(OFFSET($AK$19,MATCH($B629,$B$19:$B$150,0)-1,0,COUNTA($B$19:$B$24),COUNTA($AK$17:$BB$17)),MATCH($F629,$F$19:$F$24,0),MATCH(AV$17,$AK$17:$BB$17,0))*INDEX($10:$13,MATCH($O629,$R$10:$R$13,0),COLUMN())</f>
        <v>2.0200690979999998E-3</v>
      </c>
      <c r="AW629" s="1050" cm="1">
        <f t="array" aca="1" ref="AW629" ca="1">INDEX(OFFSET($AK$19,MATCH($B629,$B$19:$B$150,0)-1,0,COUNTA($B$19:$B$24),COUNTA($AK$17:$BB$17)),MATCH($F629,$F$19:$F$24,0),MATCH(AW$17,$AK$17:$BB$17,0))*INDEX($10:$13,MATCH($O629,$R$10:$R$13,0),COLUMN())</f>
        <v>2.9547538020000004</v>
      </c>
      <c r="AX629" s="1050" cm="1">
        <f t="array" aca="1" ref="AX629" ca="1">INDEX(OFFSET($AK$19,MATCH($B629,$B$19:$B$150,0)-1,0,COUNTA($B$19:$B$24),COUNTA($AK$17:$BB$17)),MATCH($F629,$F$19:$F$24,0),MATCH(AX$17,$AK$17:$BB$17,0))*INDEX($10:$13,MATCH($O629,$R$10:$R$13,0),COLUMN())</f>
        <v>8.7319648900000014E-7</v>
      </c>
      <c r="AY629" s="1050" cm="1">
        <f t="array" aca="1" ref="AY629" ca="1">INDEX(OFFSET($AK$19,MATCH($B629,$B$19:$B$150,0)-1,0,COUNTA($B$19:$B$24),COUNTA($AK$17:$BB$17)),MATCH($F629,$F$19:$F$24,0),MATCH(AY$17,$AK$17:$BB$17,0))*INDEX($10:$13,MATCH($O629,$R$10:$R$13,0),COLUMN())</f>
        <v>-2.2504529508750002E-8</v>
      </c>
      <c r="AZ629" s="1050" cm="1">
        <f t="array" aca="1" ref="AZ629" ca="1">INDEX(OFFSET($AK$19,MATCH($B629,$B$19:$B$150,0)-1,0,COUNTA($B$19:$B$24),COUNTA($AK$17:$BB$17)),MATCH($F629,$F$19:$F$24,0),MATCH(AZ$17,$AK$17:$BB$17,0))*INDEX($10:$13,MATCH($O629,$R$10:$R$13,0),COLUMN())</f>
        <v>0</v>
      </c>
      <c r="BA629" s="1050" cm="1">
        <f t="array" aca="1" ref="BA629" ca="1">INDEX(OFFSET($AK$19,MATCH($B629,$B$19:$B$150,0)-1,0,COUNTA($B$19:$B$24),COUNTA($AK$17:$BB$17)),MATCH($F629,$F$19:$F$24,0),MATCH(BA$17,$AK$17:$BB$17,0))*INDEX($10:$13,MATCH($O629,$R$10:$R$13,0),COLUMN())</f>
        <v>0</v>
      </c>
      <c r="BB629" s="1051" cm="1">
        <f t="array" aca="1" ref="BB629" ca="1">INDEX(OFFSET($AK$19,MATCH($B629,$B$19:$B$150,0)-1,0,COUNTA($B$19:$B$24),COUNTA($AK$17:$BB$17)),MATCH($F629,$F$19:$F$24,0),MATCH(BB$17,$AK$17:$BB$17,0))*INDEX($10:$13,MATCH($O629,$R$10:$R$13,0),COLUMN())</f>
        <v>0</v>
      </c>
      <c r="BC629" s="1053">
        <f t="shared" ca="1" si="188"/>
        <v>2.9547546526919599</v>
      </c>
      <c r="BE629" s="1"/>
      <c r="BF629" s="1"/>
      <c r="BG629" s="1"/>
      <c r="BH629" s="1"/>
      <c r="BI629" s="1"/>
      <c r="BJ629" s="1"/>
      <c r="BK629" s="1"/>
      <c r="BL629" s="1"/>
      <c r="BM629" s="1"/>
      <c r="BN629" s="1"/>
      <c r="BO629" s="1"/>
      <c r="BP629" s="1"/>
      <c r="BQ629" s="1"/>
      <c r="BR629" s="1"/>
      <c r="BS629" s="1"/>
      <c r="BT629" s="1"/>
      <c r="BU629" s="1"/>
      <c r="BV629" s="1"/>
      <c r="BW629" s="1"/>
      <c r="BX629" s="1"/>
      <c r="BY629" s="1"/>
      <c r="BZ629" s="1"/>
    </row>
    <row r="630" spans="2:78" ht="12" customHeight="1" outlineLevel="1" x14ac:dyDescent="0.25">
      <c r="B630" s="104" t="s">
        <v>109</v>
      </c>
      <c r="C630" s="104" t="s">
        <v>121</v>
      </c>
      <c r="D630" s="2" t="s">
        <v>143</v>
      </c>
      <c r="E630" s="2" t="s">
        <v>146</v>
      </c>
      <c r="F630" s="105" t="s">
        <v>94</v>
      </c>
      <c r="G630" s="27" t="s">
        <v>1580</v>
      </c>
      <c r="H630" s="106" t="s">
        <v>131</v>
      </c>
      <c r="I630" s="107" t="s">
        <v>129</v>
      </c>
      <c r="J630" s="147">
        <v>6.4197011599999998</v>
      </c>
      <c r="K630" s="148">
        <v>0.91249000000000002</v>
      </c>
      <c r="L630" s="149">
        <f t="shared" ca="1" si="190"/>
        <v>2.393116345538254</v>
      </c>
      <c r="M630" s="148">
        <f t="shared" ca="1" si="191"/>
        <v>3.0961847341402016</v>
      </c>
      <c r="N630" s="148">
        <f t="shared" ca="1" si="189"/>
        <v>2.1836947341402015</v>
      </c>
      <c r="O630" s="1062" t="s">
        <v>1585</v>
      </c>
      <c r="P630" s="104"/>
      <c r="R630" s="119"/>
      <c r="S630" s="1072"/>
      <c r="T630" s="1072"/>
      <c r="U630" s="1072"/>
      <c r="V630" s="1072"/>
      <c r="W630" s="1072"/>
      <c r="X630" s="1072"/>
      <c r="Y630" s="1072"/>
      <c r="Z630" s="1072"/>
      <c r="AA630" s="1072"/>
      <c r="AB630" s="1072"/>
      <c r="AC630" s="1072"/>
      <c r="AD630" s="1072"/>
      <c r="AE630" s="1072"/>
      <c r="AF630" s="1072"/>
      <c r="AG630" s="1072"/>
      <c r="AH630" s="1072"/>
      <c r="AI630" s="1072"/>
      <c r="AJ630" s="1073"/>
      <c r="AK630" s="1052" cm="1">
        <f t="array" aca="1" ref="AK630" ca="1">INDEX(OFFSET($AK$19,MATCH($B630,$B$19:$B$150,0)-1,0,COUNTA($B$19:$B$24),COUNTA($AK$17:$BB$17)),MATCH($F630,$F$19:$F$24,0),MATCH(AK$17,$AK$17:$BB$17,0))*INDEX($10:$13,MATCH($O630,$R$10:$R$13,0),COLUMN())</f>
        <v>0.12300329269497601</v>
      </c>
      <c r="AL630" s="1050" cm="1">
        <f t="array" aca="1" ref="AL630" ca="1">INDEX(OFFSET($AK$19,MATCH($B630,$B$19:$B$150,0)-1,0,COUNTA($B$19:$B$24),COUNTA($AK$17:$BB$17)),MATCH($F630,$F$19:$F$24,0),MATCH(AL$17,$AK$17:$BB$17,0))*INDEX($10:$13,MATCH($O630,$R$10:$R$13,0),COLUMN())</f>
        <v>9.1108667070000002E-8</v>
      </c>
      <c r="AM630" s="1050" cm="1">
        <f t="array" aca="1" ref="AM630" ca="1">INDEX(OFFSET($AK$19,MATCH($B630,$B$19:$B$150,0)-1,0,COUNTA($B$19:$B$24),COUNTA($AK$17:$BB$17)),MATCH($F630,$F$19:$F$24,0),MATCH(AM$17,$AK$17:$BB$17,0))*INDEX($10:$13,MATCH($O630,$R$10:$R$13,0),COLUMN())</f>
        <v>1.4578881798E-4</v>
      </c>
      <c r="AN630" s="1050" cm="1">
        <f t="array" aca="1" ref="AN630" ca="1">INDEX(OFFSET($AK$19,MATCH($B630,$B$19:$B$150,0)-1,0,COUNTA($B$19:$B$24),COUNTA($AK$17:$BB$17)),MATCH($F630,$F$19:$F$24,0),MATCH(AN$17,$AK$17:$BB$17,0))*INDEX($10:$13,MATCH($O630,$R$10:$R$13,0),COLUMN())</f>
        <v>2.0531658400000001E-3</v>
      </c>
      <c r="AO630" s="1050" cm="1">
        <f t="array" aca="1" ref="AO630" ca="1">INDEX(OFFSET($AK$19,MATCH($B630,$B$19:$B$150,0)-1,0,COUNTA($B$19:$B$24),COUNTA($AK$17:$BB$17)),MATCH($F630,$F$19:$F$24,0),MATCH(AO$17,$AK$17:$BB$17,0))*INDEX($10:$13,MATCH($O630,$R$10:$R$13,0),COLUMN())</f>
        <v>2.9933415540000001E-2</v>
      </c>
      <c r="AP630" s="1050" cm="1">
        <f t="array" aca="1" ref="AP630" ca="1">INDEX(OFFSET($AK$19,MATCH($B630,$B$19:$B$150,0)-1,0,COUNTA($B$19:$B$24),COUNTA($AK$17:$BB$17)),MATCH($F630,$F$19:$F$24,0),MATCH(AP$17,$AK$17:$BB$17,0))*INDEX($10:$13,MATCH($O630,$R$10:$R$13,0),COLUMN())</f>
        <v>1.1780008576000001E-2</v>
      </c>
      <c r="AQ630" s="1050" cm="1">
        <f t="array" aca="1" ref="AQ630" ca="1">INDEX(OFFSET($AK$19,MATCH($B630,$B$19:$B$150,0)-1,0,COUNTA($B$19:$B$24),COUNTA($AK$17:$BB$17)),MATCH($F630,$F$19:$F$24,0),MATCH(AQ$17,$AK$17:$BB$17,0))*INDEX($10:$13,MATCH($O630,$R$10:$R$13,0),COLUMN())</f>
        <v>7.7246939640000003E-5</v>
      </c>
      <c r="AR630" s="1050" cm="1">
        <f t="array" aca="1" ref="AR630" ca="1">INDEX(OFFSET($AK$19,MATCH($B630,$B$19:$B$150,0)-1,0,COUNTA($B$19:$B$24),COUNTA($AK$17:$BB$17)),MATCH($F630,$F$19:$F$24,0),MATCH(AR$17,$AK$17:$BB$17,0))*INDEX($10:$13,MATCH($O630,$R$10:$R$13,0),COLUMN())</f>
        <v>1.8765597562000001E-2</v>
      </c>
      <c r="AS630" s="1050" cm="1">
        <f t="array" aca="1" ref="AS630" ca="1">INDEX(OFFSET($AK$19,MATCH($B630,$B$19:$B$150,0)-1,0,COUNTA($B$19:$B$24),COUNTA($AK$17:$BB$17)),MATCH($F630,$F$19:$F$24,0),MATCH(AS$17,$AK$17:$BB$17,0))*INDEX($10:$13,MATCH($O630,$R$10:$R$13,0),COLUMN())</f>
        <v>5.0600840819999994E-5</v>
      </c>
      <c r="AT630" s="1050" cm="1">
        <f t="array" aca="1" ref="AT630" ca="1">INDEX(OFFSET($AK$19,MATCH($B630,$B$19:$B$150,0)-1,0,COUNTA($B$19:$B$24),COUNTA($AK$17:$BB$17)),MATCH($F630,$F$19:$F$24,0),MATCH(AT$17,$AK$17:$BB$17,0))*INDEX($10:$13,MATCH($O630,$R$10:$R$13,0),COLUMN())</f>
        <v>6.5020296469999994E-6</v>
      </c>
      <c r="AU630" s="1050" cm="1">
        <f t="array" aca="1" ref="AU630" ca="1">INDEX(OFFSET($AK$19,MATCH($B630,$B$19:$B$150,0)-1,0,COUNTA($B$19:$B$24),COUNTA($AK$17:$BB$17)),MATCH($F630,$F$19:$F$24,0),MATCH(AU$17,$AK$17:$BB$17,0))*INDEX($10:$13,MATCH($O630,$R$10:$R$13,0),COLUMN())</f>
        <v>1.3796041662000001E-6</v>
      </c>
      <c r="AV630" s="1050" cm="1">
        <f t="array" aca="1" ref="AV630" ca="1">INDEX(OFFSET($AK$19,MATCH($B630,$B$19:$B$150,0)-1,0,COUNTA($B$19:$B$24),COUNTA($AK$17:$BB$17)),MATCH($F630,$F$19:$F$24,0),MATCH(AV$17,$AK$17:$BB$17,0))*INDEX($10:$13,MATCH($O630,$R$10:$R$13,0),COLUMN())</f>
        <v>8.8396563959999993E-4</v>
      </c>
      <c r="AW630" s="1050" cm="1">
        <f t="array" aca="1" ref="AW630" ca="1">INDEX(OFFSET($AK$19,MATCH($B630,$B$19:$B$150,0)-1,0,COUNTA($B$19:$B$24),COUNTA($AK$17:$BB$17)),MATCH($F630,$F$19:$F$24,0),MATCH(AW$17,$AK$17:$BB$17,0))*INDEX($10:$13,MATCH($O630,$R$10:$R$13,0),COLUMN())</f>
        <v>1.996993104</v>
      </c>
      <c r="AX630" s="1050" cm="1">
        <f t="array" aca="1" ref="AX630" ca="1">INDEX(OFFSET($AK$19,MATCH($B630,$B$19:$B$150,0)-1,0,COUNTA($B$19:$B$24),COUNTA($AK$17:$BB$17)),MATCH($F630,$F$19:$F$24,0),MATCH(AX$17,$AK$17:$BB$17,0))*INDEX($10:$13,MATCH($O630,$R$10:$R$13,0),COLUMN())</f>
        <v>5.9015656455000005E-7</v>
      </c>
      <c r="AY630" s="1050" cm="1">
        <f t="array" aca="1" ref="AY630" ca="1">INDEX(OFFSET($AK$19,MATCH($B630,$B$19:$B$150,0)-1,0,COUNTA($B$19:$B$24),COUNTA($AK$17:$BB$17)),MATCH($F630,$F$19:$F$24,0),MATCH(AY$17,$AK$17:$BB$17,0))*INDEX($10:$13,MATCH($O630,$R$10:$R$13,0),COLUMN())</f>
        <v>-1.5209859018750001E-8</v>
      </c>
      <c r="AZ630" s="1050" cm="1">
        <f t="array" aca="1" ref="AZ630" ca="1">INDEX(OFFSET($AK$19,MATCH($B630,$B$19:$B$150,0)-1,0,COUNTA($B$19:$B$24),COUNTA($AK$17:$BB$17)),MATCH($F630,$F$19:$F$24,0),MATCH(AZ$17,$AK$17:$BB$17,0))*INDEX($10:$13,MATCH($O630,$R$10:$R$13,0),COLUMN())</f>
        <v>0</v>
      </c>
      <c r="BA630" s="1050" cm="1">
        <f t="array" aca="1" ref="BA630" ca="1">INDEX(OFFSET($AK$19,MATCH($B630,$B$19:$B$150,0)-1,0,COUNTA($B$19:$B$24),COUNTA($AK$17:$BB$17)),MATCH($F630,$F$19:$F$24,0),MATCH(BA$17,$AK$17:$BB$17,0))*INDEX($10:$13,MATCH($O630,$R$10:$R$13,0),COLUMN())</f>
        <v>0</v>
      </c>
      <c r="BB630" s="1051" cm="1">
        <f t="array" aca="1" ref="BB630" ca="1">INDEX(OFFSET($AK$19,MATCH($B630,$B$19:$B$150,0)-1,0,COUNTA($B$19:$B$24),COUNTA($AK$17:$BB$17)),MATCH($F630,$F$19:$F$24,0),MATCH(BB$17,$AK$17:$BB$17,0))*INDEX($10:$13,MATCH($O630,$R$10:$R$13,0),COLUMN())</f>
        <v>0</v>
      </c>
      <c r="BC630" s="1053">
        <f t="shared" ca="1" si="188"/>
        <v>1.9969936789467055</v>
      </c>
      <c r="BE630" s="1"/>
      <c r="BF630" s="1"/>
      <c r="BG630" s="1"/>
      <c r="BH630" s="1"/>
      <c r="BI630" s="1"/>
      <c r="BJ630" s="1"/>
      <c r="BK630" s="1"/>
      <c r="BL630" s="1"/>
      <c r="BM630" s="1"/>
      <c r="BN630" s="1"/>
      <c r="BO630" s="1"/>
      <c r="BP630" s="1"/>
      <c r="BQ630" s="1"/>
      <c r="BR630" s="1"/>
      <c r="BS630" s="1"/>
      <c r="BT630" s="1"/>
      <c r="BU630" s="1"/>
      <c r="BV630" s="1"/>
      <c r="BW630" s="1"/>
      <c r="BX630" s="1"/>
      <c r="BY630" s="1"/>
      <c r="BZ630" s="1"/>
    </row>
    <row r="631" spans="2:78" ht="12" customHeight="1" outlineLevel="1" x14ac:dyDescent="0.25">
      <c r="B631" s="104" t="s">
        <v>109</v>
      </c>
      <c r="C631" s="104" t="s">
        <v>121</v>
      </c>
      <c r="D631" s="2" t="s">
        <v>143</v>
      </c>
      <c r="E631" s="2" t="s">
        <v>146</v>
      </c>
      <c r="F631" s="105" t="s">
        <v>95</v>
      </c>
      <c r="G631" s="27" t="s">
        <v>1581</v>
      </c>
      <c r="H631" s="106" t="s">
        <v>128</v>
      </c>
      <c r="I631" s="107" t="s">
        <v>127</v>
      </c>
      <c r="J631" s="147">
        <v>6.4197011599999998</v>
      </c>
      <c r="K631" s="148">
        <v>0.91249000000000002</v>
      </c>
      <c r="L631" s="149">
        <f t="shared" ca="1" si="190"/>
        <v>2.9902960218687253</v>
      </c>
      <c r="M631" s="148">
        <f t="shared" ca="1" si="191"/>
        <v>3.6411052169949931</v>
      </c>
      <c r="N631" s="148">
        <f t="shared" ca="1" si="189"/>
        <v>2.7286152169949931</v>
      </c>
      <c r="O631" s="1062" t="s">
        <v>1585</v>
      </c>
      <c r="P631" s="104"/>
      <c r="R631" s="119"/>
      <c r="S631" s="1072"/>
      <c r="T631" s="1072"/>
      <c r="U631" s="1072"/>
      <c r="V631" s="1072"/>
      <c r="W631" s="1072"/>
      <c r="X631" s="1072"/>
      <c r="Y631" s="1072"/>
      <c r="Z631" s="1072"/>
      <c r="AA631" s="1072"/>
      <c r="AB631" s="1072"/>
      <c r="AC631" s="1072"/>
      <c r="AD631" s="1072"/>
      <c r="AE631" s="1072"/>
      <c r="AF631" s="1072"/>
      <c r="AG631" s="1072"/>
      <c r="AH631" s="1072"/>
      <c r="AI631" s="1072"/>
      <c r="AJ631" s="1073"/>
      <c r="AK631" s="1052" cm="1">
        <f t="array" aca="1" ref="AK631" ca="1">INDEX(OFFSET($AK$19,MATCH($B631,$B$19:$B$150,0)-1,0,COUNTA($B$19:$B$24),COUNTA($AK$17:$BB$17)),MATCH($F631,$F$19:$F$24,0),MATCH(AK$17,$AK$17:$BB$17,0))*INDEX($10:$13,MATCH($O631,$R$10:$R$13,0),COLUMN())</f>
        <v>0.16671419514431998</v>
      </c>
      <c r="AL631" s="1050" cm="1">
        <f t="array" aca="1" ref="AL631" ca="1">INDEX(OFFSET($AK$19,MATCH($B631,$B$19:$B$150,0)-1,0,COUNTA($B$19:$B$24),COUNTA($AK$17:$BB$17)),MATCH($F631,$F$19:$F$24,0),MATCH(AL$17,$AK$17:$BB$17,0))*INDEX($10:$13,MATCH($O631,$R$10:$R$13,0),COLUMN())</f>
        <v>1.0956347414E-7</v>
      </c>
      <c r="AM631" s="1050" cm="1">
        <f t="array" aca="1" ref="AM631" ca="1">INDEX(OFFSET($AK$19,MATCH($B631,$B$19:$B$150,0)-1,0,COUNTA($B$19:$B$24),COUNTA($AK$17:$BB$17)),MATCH($F631,$F$19:$F$24,0),MATCH(AM$17,$AK$17:$BB$17,0))*INDEX($10:$13,MATCH($O631,$R$10:$R$13,0),COLUMN())</f>
        <v>1.7531307066000001E-4</v>
      </c>
      <c r="AN631" s="1050" cm="1">
        <f t="array" aca="1" ref="AN631" ca="1">INDEX(OFFSET($AK$19,MATCH($B631,$B$19:$B$150,0)-1,0,COUNTA($B$19:$B$24),COUNTA($AK$17:$BB$17)),MATCH($F631,$F$19:$F$24,0),MATCH(AN$17,$AK$17:$BB$17,0))*INDEX($10:$13,MATCH($O631,$R$10:$R$13,0),COLUMN())</f>
        <v>2.6230074000000003E-3</v>
      </c>
      <c r="AO631" s="1050" cm="1">
        <f t="array" aca="1" ref="AO631" ca="1">INDEX(OFFSET($AK$19,MATCH($B631,$B$19:$B$150,0)-1,0,COUNTA($B$19:$B$24),COUNTA($AK$17:$BB$17)),MATCH($F631,$F$19:$F$24,0),MATCH(AO$17,$AK$17:$BB$17,0))*INDEX($10:$13,MATCH($O631,$R$10:$R$13,0),COLUMN())</f>
        <v>8.3599833280000008E-2</v>
      </c>
      <c r="AP631" s="1050" cm="1">
        <f t="array" aca="1" ref="AP631" ca="1">INDEX(OFFSET($AK$19,MATCH($B631,$B$19:$B$150,0)-1,0,COUNTA($B$19:$B$24),COUNTA($AK$17:$BB$17)),MATCH($F631,$F$19:$F$24,0),MATCH(AP$17,$AK$17:$BB$17,0))*INDEX($10:$13,MATCH($O631,$R$10:$R$13,0),COLUMN())</f>
        <v>4.7744253630000004E-2</v>
      </c>
      <c r="AQ631" s="1050" cm="1">
        <f t="array" aca="1" ref="AQ631" ca="1">INDEX(OFFSET($AK$19,MATCH($B631,$B$19:$B$150,0)-1,0,COUNTA($B$19:$B$24),COUNTA($AK$17:$BB$17)),MATCH($F631,$F$19:$F$24,0),MATCH(AQ$17,$AK$17:$BB$17,0))*INDEX($10:$13,MATCH($O631,$R$10:$R$13,0),COLUMN())</f>
        <v>3.648080913E-4</v>
      </c>
      <c r="AR631" s="1050" cm="1">
        <f t="array" aca="1" ref="AR631" ca="1">INDEX(OFFSET($AK$19,MATCH($B631,$B$19:$B$150,0)-1,0,COUNTA($B$19:$B$24),COUNTA($AK$17:$BB$17)),MATCH($F631,$F$19:$F$24,0),MATCH(AR$17,$AK$17:$BB$17,0))*INDEX($10:$13,MATCH($O631,$R$10:$R$13,0),COLUMN())</f>
        <v>3.027226417E-2</v>
      </c>
      <c r="AS631" s="1050" cm="1">
        <f t="array" aca="1" ref="AS631" ca="1">INDEX(OFFSET($AK$19,MATCH($B631,$B$19:$B$150,0)-1,0,COUNTA($B$19:$B$24),COUNTA($AK$17:$BB$17)),MATCH($F631,$F$19:$F$24,0),MATCH(AS$17,$AK$17:$BB$17,0))*INDEX($10:$13,MATCH($O631,$R$10:$R$13,0),COLUMN())</f>
        <v>4.208439883E-3</v>
      </c>
      <c r="AT631" s="1050" cm="1">
        <f t="array" aca="1" ref="AT631" ca="1">INDEX(OFFSET($AK$19,MATCH($B631,$B$19:$B$150,0)-1,0,COUNTA($B$19:$B$24),COUNTA($AK$17:$BB$17)),MATCH($F631,$F$19:$F$24,0),MATCH(AT$17,$AK$17:$BB$17,0))*INDEX($10:$13,MATCH($O631,$R$10:$R$13,0),COLUMN())</f>
        <v>1.0856645693999999E-5</v>
      </c>
      <c r="AU631" s="1050" cm="1">
        <f t="array" aca="1" ref="AU631" ca="1">INDEX(OFFSET($AK$19,MATCH($B631,$B$19:$B$150,0)-1,0,COUNTA($B$19:$B$24),COUNTA($AK$17:$BB$17)),MATCH($F631,$F$19:$F$24,0),MATCH(AU$17,$AK$17:$BB$17,0))*INDEX($10:$13,MATCH($O631,$R$10:$R$13,0),COLUMN())</f>
        <v>2.1197682881999999E-6</v>
      </c>
      <c r="AV631" s="1050" cm="1">
        <f t="array" aca="1" ref="AV631" ca="1">INDEX(OFFSET($AK$19,MATCH($B631,$B$19:$B$150,0)-1,0,COUNTA($B$19:$B$24),COUNTA($AK$17:$BB$17)),MATCH($F631,$F$19:$F$24,0),MATCH(AV$17,$AK$17:$BB$17,0))*INDEX($10:$13,MATCH($O631,$R$10:$R$13,0),COLUMN())</f>
        <v>9.6363016919999989E-3</v>
      </c>
      <c r="AW631" s="1050" cm="1">
        <f t="array" aca="1" ref="AW631" ca="1">INDEX(OFFSET($AK$19,MATCH($B631,$B$19:$B$150,0)-1,0,COUNTA($B$19:$B$24),COUNTA($AK$17:$BB$17)),MATCH($F631,$F$19:$F$24,0),MATCH(AW$17,$AK$17:$BB$17,0))*INDEX($10:$13,MATCH($O631,$R$10:$R$13,0),COLUMN())</f>
        <v>2.3832630285</v>
      </c>
      <c r="AX631" s="1050" cm="1">
        <f t="array" aca="1" ref="AX631" ca="1">INDEX(OFFSET($AK$19,MATCH($B631,$B$19:$B$150,0)-1,0,COUNTA($B$19:$B$24),COUNTA($AK$17:$BB$17)),MATCH($F631,$F$19:$F$24,0),MATCH(AX$17,$AK$17:$BB$17,0))*INDEX($10:$13,MATCH($O631,$R$10:$R$13,0),COLUMN())</f>
        <v>7.0430809500000012E-7</v>
      </c>
      <c r="AY631" s="1050" cm="1">
        <f t="array" aca="1" ref="AY631" ca="1">INDEX(OFFSET($AK$19,MATCH($B631,$B$19:$B$150,0)-1,0,COUNTA($B$19:$B$24),COUNTA($AK$17:$BB$17)),MATCH($F631,$F$19:$F$24,0),MATCH(AY$17,$AK$17:$BB$17,0))*INDEX($10:$13,MATCH($O631,$R$10:$R$13,0),COLUMN())</f>
        <v>-1.815183811875E-8</v>
      </c>
      <c r="AZ631" s="1050" cm="1">
        <f t="array" aca="1" ref="AZ631" ca="1">INDEX(OFFSET($AK$19,MATCH($B631,$B$19:$B$150,0)-1,0,COUNTA($B$19:$B$24),COUNTA($AK$17:$BB$17)),MATCH($F631,$F$19:$F$24,0),MATCH(AZ$17,$AK$17:$BB$17,0))*INDEX($10:$13,MATCH($O631,$R$10:$R$13,0),COLUMN())</f>
        <v>0</v>
      </c>
      <c r="BA631" s="1050" cm="1">
        <f t="array" aca="1" ref="BA631" ca="1">INDEX(OFFSET($AK$19,MATCH($B631,$B$19:$B$150,0)-1,0,COUNTA($B$19:$B$24),COUNTA($AK$17:$BB$17)),MATCH($F631,$F$19:$F$24,0),MATCH(BA$17,$AK$17:$BB$17,0))*INDEX($10:$13,MATCH($O631,$R$10:$R$13,0),COLUMN())</f>
        <v>0</v>
      </c>
      <c r="BB631" s="1051" cm="1">
        <f t="array" aca="1" ref="BB631" ca="1">INDEX(OFFSET($AK$19,MATCH($B631,$B$19:$B$150,0)-1,0,COUNTA($B$19:$B$24),COUNTA($AK$17:$BB$17)),MATCH($F631,$F$19:$F$24,0),MATCH(BB$17,$AK$17:$BB$17,0))*INDEX($10:$13,MATCH($O631,$R$10:$R$13,0),COLUMN())</f>
        <v>0</v>
      </c>
      <c r="BC631" s="1053">
        <f t="shared" ca="1" si="188"/>
        <v>2.3832637146562567</v>
      </c>
      <c r="BE631" s="1"/>
      <c r="BF631" s="1"/>
      <c r="BG631" s="1"/>
      <c r="BH631" s="1"/>
      <c r="BI631" s="1"/>
      <c r="BJ631" s="1"/>
      <c r="BK631" s="1"/>
      <c r="BL631" s="1"/>
      <c r="BM631" s="1"/>
      <c r="BN631" s="1"/>
      <c r="BO631" s="1"/>
      <c r="BP631" s="1"/>
      <c r="BQ631" s="1"/>
      <c r="BR631" s="1"/>
      <c r="BS631" s="1"/>
      <c r="BT631" s="1"/>
      <c r="BU631" s="1"/>
      <c r="BV631" s="1"/>
      <c r="BW631" s="1"/>
      <c r="BX631" s="1"/>
      <c r="BY631" s="1"/>
      <c r="BZ631" s="1"/>
    </row>
    <row r="632" spans="2:78" ht="12" customHeight="1" outlineLevel="1" x14ac:dyDescent="0.25">
      <c r="B632" s="104" t="s">
        <v>109</v>
      </c>
      <c r="C632" s="104" t="s">
        <v>121</v>
      </c>
      <c r="D632" s="2" t="s">
        <v>143</v>
      </c>
      <c r="E632" s="2" t="s">
        <v>146</v>
      </c>
      <c r="F632" s="105" t="s">
        <v>96</v>
      </c>
      <c r="G632" s="27" t="s">
        <v>1582</v>
      </c>
      <c r="H632" s="106" t="s">
        <v>128</v>
      </c>
      <c r="I632" s="107" t="s">
        <v>1577</v>
      </c>
      <c r="J632" s="147">
        <v>6.4197011599999998</v>
      </c>
      <c r="K632" s="148">
        <v>0.91249000000000002</v>
      </c>
      <c r="L632" s="149">
        <f t="shared" ca="1" si="190"/>
        <v>3.088452168792104</v>
      </c>
      <c r="M632" s="148">
        <f t="shared" ca="1" si="191"/>
        <v>3.7306717195011072</v>
      </c>
      <c r="N632" s="148">
        <f t="shared" ca="1" si="189"/>
        <v>2.8181817195011072</v>
      </c>
      <c r="O632" s="1062" t="s">
        <v>1585</v>
      </c>
      <c r="P632" s="104"/>
      <c r="R632" s="119"/>
      <c r="S632" s="1072"/>
      <c r="T632" s="1072"/>
      <c r="U632" s="1072"/>
      <c r="V632" s="1072"/>
      <c r="W632" s="1072"/>
      <c r="X632" s="1072"/>
      <c r="Y632" s="1072"/>
      <c r="Z632" s="1072"/>
      <c r="AA632" s="1072"/>
      <c r="AB632" s="1072"/>
      <c r="AC632" s="1072"/>
      <c r="AD632" s="1072"/>
      <c r="AE632" s="1072"/>
      <c r="AF632" s="1072"/>
      <c r="AG632" s="1072"/>
      <c r="AH632" s="1072"/>
      <c r="AI632" s="1072"/>
      <c r="AJ632" s="1073"/>
      <c r="AK632" s="1052" cm="1">
        <f t="array" aca="1" ref="AK632" ca="1">INDEX(OFFSET($AK$19,MATCH($B632,$B$19:$B$150,0)-1,0,COUNTA($B$19:$B$24),COUNTA($AK$17:$BB$17)),MATCH($F632,$F$19:$F$24,0),MATCH(AK$17,$AK$17:$BB$17,0))*INDEX($10:$13,MATCH($O632,$R$10:$R$13,0),COLUMN())</f>
        <v>0.18098973591456</v>
      </c>
      <c r="AL632" s="1050" cm="1">
        <f t="array" aca="1" ref="AL632" ca="1">INDEX(OFFSET($AK$19,MATCH($B632,$B$19:$B$150,0)-1,0,COUNTA($B$19:$B$24),COUNTA($AK$17:$BB$17)),MATCH($F632,$F$19:$F$24,0),MATCH(AL$17,$AK$17:$BB$17,0))*INDEX($10:$13,MATCH($O632,$R$10:$R$13,0),COLUMN())</f>
        <v>1.1010648154E-7</v>
      </c>
      <c r="AM632" s="1050" cm="1">
        <f t="array" aca="1" ref="AM632" ca="1">INDEX(OFFSET($AK$19,MATCH($B632,$B$19:$B$150,0)-1,0,COUNTA($B$19:$B$24),COUNTA($AK$17:$BB$17)),MATCH($F632,$F$19:$F$24,0),MATCH(AM$17,$AK$17:$BB$17,0))*INDEX($10:$13,MATCH($O632,$R$10:$R$13,0),COLUMN())</f>
        <v>1.7617774875999998E-4</v>
      </c>
      <c r="AN632" s="1050" cm="1">
        <f t="array" aca="1" ref="AN632" ca="1">INDEX(OFFSET($AK$19,MATCH($B632,$B$19:$B$150,0)-1,0,COUNTA($B$19:$B$24),COUNTA($AK$17:$BB$17)),MATCH($F632,$F$19:$F$24,0),MATCH(AN$17,$AK$17:$BB$17,0))*INDEX($10:$13,MATCH($O632,$R$10:$R$13,0),COLUMN())</f>
        <v>2.7357182560000001E-3</v>
      </c>
      <c r="AO632" s="1050" cm="1">
        <f t="array" aca="1" ref="AO632" ca="1">INDEX(OFFSET($AK$19,MATCH($B632,$B$19:$B$150,0)-1,0,COUNTA($B$19:$B$24),COUNTA($AK$17:$BB$17)),MATCH($F632,$F$19:$F$24,0),MATCH(AO$17,$AK$17:$BB$17,0))*INDEX($10:$13,MATCH($O632,$R$10:$R$13,0),COLUMN())</f>
        <v>0.11840708488000001</v>
      </c>
      <c r="AP632" s="1050" cm="1">
        <f t="array" aca="1" ref="AP632" ca="1">INDEX(OFFSET($AK$19,MATCH($B632,$B$19:$B$150,0)-1,0,COUNTA($B$19:$B$24),COUNTA($AK$17:$BB$17)),MATCH($F632,$F$19:$F$24,0),MATCH(AP$17,$AK$17:$BB$17,0))*INDEX($10:$13,MATCH($O632,$R$10:$R$13,0),COLUMN())</f>
        <v>7.2283848679999999E-2</v>
      </c>
      <c r="AQ632" s="1050" cm="1">
        <f t="array" aca="1" ref="AQ632" ca="1">INDEX(OFFSET($AK$19,MATCH($B632,$B$19:$B$150,0)-1,0,COUNTA($B$19:$B$24),COUNTA($AK$17:$BB$17)),MATCH($F632,$F$19:$F$24,0),MATCH(AQ$17,$AK$17:$BB$17,0))*INDEX($10:$13,MATCH($O632,$R$10:$R$13,0),COLUMN())</f>
        <v>5.5896210449999989E-4</v>
      </c>
      <c r="AR632" s="1050" cm="1">
        <f t="array" aca="1" ref="AR632" ca="1">INDEX(OFFSET($AK$19,MATCH($B632,$B$19:$B$150,0)-1,0,COUNTA($B$19:$B$24),COUNTA($AK$17:$BB$17)),MATCH($F632,$F$19:$F$24,0),MATCH(AR$17,$AK$17:$BB$17,0))*INDEX($10:$13,MATCH($O632,$R$10:$R$13,0),COLUMN())</f>
        <v>3.6015121749999997E-2</v>
      </c>
      <c r="AS632" s="1050" cm="1">
        <f t="array" aca="1" ref="AS632" ca="1">INDEX(OFFSET($AK$19,MATCH($B632,$B$19:$B$150,0)-1,0,COUNTA($B$19:$B$24),COUNTA($AK$17:$BB$17)),MATCH($F632,$F$19:$F$24,0),MATCH(AS$17,$AK$17:$BB$17,0))*INDEX($10:$13,MATCH($O632,$R$10:$R$13,0),COLUMN())</f>
        <v>7.1165125130000003E-3</v>
      </c>
      <c r="AT632" s="1050" cm="1">
        <f t="array" aca="1" ref="AT632" ca="1">INDEX(OFFSET($AK$19,MATCH($B632,$B$19:$B$150,0)-1,0,COUNTA($B$19:$B$24),COUNTA($AK$17:$BB$17)),MATCH($F632,$F$19:$F$24,0),MATCH(AT$17,$AK$17:$BB$17,0))*INDEX($10:$13,MATCH($O632,$R$10:$R$13,0),COLUMN())</f>
        <v>1.2170119745999998E-5</v>
      </c>
      <c r="AU632" s="1050" cm="1">
        <f t="array" aca="1" ref="AU632" ca="1">INDEX(OFFSET($AK$19,MATCH($B632,$B$19:$B$150,0)-1,0,COUNTA($B$19:$B$24),COUNTA($AK$17:$BB$17)),MATCH($F632,$F$19:$F$24,0),MATCH(AU$17,$AK$17:$BB$17,0))*INDEX($10:$13,MATCH($O632,$R$10:$R$13,0),COLUMN())</f>
        <v>2.3074118028000001E-6</v>
      </c>
      <c r="AV632" s="1050" cm="1">
        <f t="array" aca="1" ref="AV632" ca="1">INDEX(OFFSET($AK$19,MATCH($B632,$B$19:$B$150,0)-1,0,COUNTA($B$19:$B$24),COUNTA($AK$17:$BB$17)),MATCH($F632,$F$19:$F$24,0),MATCH(AV$17,$AK$17:$BB$17,0))*INDEX($10:$13,MATCH($O632,$R$10:$R$13,0),COLUMN())</f>
        <v>1.6620255359999999E-2</v>
      </c>
      <c r="AW632" s="1050" cm="1">
        <f t="array" aca="1" ref="AW632" ca="1">INDEX(OFFSET($AK$19,MATCH($B632,$B$19:$B$150,0)-1,0,COUNTA($B$19:$B$24),COUNTA($AK$17:$BB$17)),MATCH($F632,$F$19:$F$24,0),MATCH(AW$17,$AK$17:$BB$17,0))*INDEX($10:$13,MATCH($O632,$R$10:$R$13,0),COLUMN())</f>
        <v>2.3832630285</v>
      </c>
      <c r="AX632" s="1050" cm="1">
        <f t="array" aca="1" ref="AX632" ca="1">INDEX(OFFSET($AK$19,MATCH($B632,$B$19:$B$150,0)-1,0,COUNTA($B$19:$B$24),COUNTA($AK$17:$BB$17)),MATCH($F632,$F$19:$F$24,0),MATCH(AX$17,$AK$17:$BB$17,0))*INDEX($10:$13,MATCH($O632,$R$10:$R$13,0),COLUMN())</f>
        <v>7.0430809500000012E-7</v>
      </c>
      <c r="AY632" s="1050" cm="1">
        <f t="array" aca="1" ref="AY632" ca="1">INDEX(OFFSET($AK$19,MATCH($B632,$B$19:$B$150,0)-1,0,COUNTA($B$19:$B$24),COUNTA($AK$17:$BB$17)),MATCH($F632,$F$19:$F$24,0),MATCH(AY$17,$AK$17:$BB$17,0))*INDEX($10:$13,MATCH($O632,$R$10:$R$13,0),COLUMN())</f>
        <v>-1.815183811875E-8</v>
      </c>
      <c r="AZ632" s="1050" cm="1">
        <f t="array" aca="1" ref="AZ632" ca="1">INDEX(OFFSET($AK$19,MATCH($B632,$B$19:$B$150,0)-1,0,COUNTA($B$19:$B$24),COUNTA($AK$17:$BB$17)),MATCH($F632,$F$19:$F$24,0),MATCH(AZ$17,$AK$17:$BB$17,0))*INDEX($10:$13,MATCH($O632,$R$10:$R$13,0),COLUMN())</f>
        <v>0</v>
      </c>
      <c r="BA632" s="1050" cm="1">
        <f t="array" aca="1" ref="BA632" ca="1">INDEX(OFFSET($AK$19,MATCH($B632,$B$19:$B$150,0)-1,0,COUNTA($B$19:$B$24),COUNTA($AK$17:$BB$17)),MATCH($F632,$F$19:$F$24,0),MATCH(BA$17,$AK$17:$BB$17,0))*INDEX($10:$13,MATCH($O632,$R$10:$R$13,0),COLUMN())</f>
        <v>0</v>
      </c>
      <c r="BB632" s="1051" cm="1">
        <f t="array" aca="1" ref="BB632" ca="1">INDEX(OFFSET($AK$19,MATCH($B632,$B$19:$B$150,0)-1,0,COUNTA($B$19:$B$24),COUNTA($AK$17:$BB$17)),MATCH($F632,$F$19:$F$24,0),MATCH(BB$17,$AK$17:$BB$17,0))*INDEX($10:$13,MATCH($O632,$R$10:$R$13,0),COLUMN())</f>
        <v>0</v>
      </c>
      <c r="BC632" s="1053">
        <f t="shared" ca="1" si="188"/>
        <v>2.3832637146562567</v>
      </c>
      <c r="BE632" s="1"/>
      <c r="BF632" s="1"/>
      <c r="BG632" s="1"/>
      <c r="BH632" s="1"/>
      <c r="BI632" s="1"/>
      <c r="BJ632" s="1"/>
      <c r="BK632" s="1"/>
      <c r="BL632" s="1"/>
      <c r="BM632" s="1"/>
      <c r="BN632" s="1"/>
      <c r="BO632" s="1"/>
      <c r="BP632" s="1"/>
      <c r="BQ632" s="1"/>
      <c r="BR632" s="1"/>
      <c r="BS632" s="1"/>
      <c r="BT632" s="1"/>
      <c r="BU632" s="1"/>
      <c r="BV632" s="1"/>
      <c r="BW632" s="1"/>
      <c r="BX632" s="1"/>
      <c r="BY632" s="1"/>
      <c r="BZ632" s="1"/>
    </row>
    <row r="633" spans="2:78" ht="12" customHeight="1" outlineLevel="1" x14ac:dyDescent="0.25">
      <c r="B633" s="88" t="s">
        <v>110</v>
      </c>
      <c r="C633" s="88" t="s">
        <v>121</v>
      </c>
      <c r="D633" s="89" t="s">
        <v>143</v>
      </c>
      <c r="E633" s="89" t="s">
        <v>147</v>
      </c>
      <c r="F633" s="90" t="s">
        <v>92</v>
      </c>
      <c r="G633" s="18" t="s">
        <v>126</v>
      </c>
      <c r="H633" s="91" t="s">
        <v>127</v>
      </c>
      <c r="I633" s="92" t="s">
        <v>127</v>
      </c>
      <c r="J633" s="142">
        <v>6.3623397199999996</v>
      </c>
      <c r="K633" s="143">
        <v>0.29699999999999999</v>
      </c>
      <c r="L633" s="144">
        <f t="shared" ca="1" si="190"/>
        <v>15.081864705400832</v>
      </c>
      <c r="M633" s="143">
        <f t="shared" ca="1" si="191"/>
        <v>4.7763138175040467</v>
      </c>
      <c r="N633" s="143">
        <f t="shared" ca="1" si="189"/>
        <v>4.479313817504047</v>
      </c>
      <c r="O633" s="1063" t="s">
        <v>1585</v>
      </c>
      <c r="P633" s="88"/>
      <c r="Q633" s="89"/>
      <c r="R633" s="150"/>
      <c r="S633" s="1070"/>
      <c r="T633" s="1070"/>
      <c r="U633" s="1070"/>
      <c r="V633" s="1070"/>
      <c r="W633" s="1070"/>
      <c r="X633" s="1070"/>
      <c r="Y633" s="1070"/>
      <c r="Z633" s="1070"/>
      <c r="AA633" s="1070"/>
      <c r="AB633" s="1070"/>
      <c r="AC633" s="1070"/>
      <c r="AD633" s="1070"/>
      <c r="AE633" s="1070"/>
      <c r="AF633" s="1070"/>
      <c r="AG633" s="1070"/>
      <c r="AH633" s="1070"/>
      <c r="AI633" s="1070"/>
      <c r="AJ633" s="1071"/>
      <c r="AK633" s="1048" cm="1">
        <f t="array" aca="1" ref="AK633" ca="1">INDEX(OFFSET($AK$19,MATCH($B633,$B$19:$B$150,0)-1,0,COUNTA($B$19:$B$24),COUNTA($AK$17:$BB$17)),MATCH($F633,$F$19:$F$24,0),MATCH(AK$17,$AK$17:$BB$17,0))*INDEX($10:$13,MATCH($O633,$R$10:$R$13,0),COLUMN())</f>
        <v>0.30633073632076802</v>
      </c>
      <c r="AL633" s="1046" cm="1">
        <f t="array" aca="1" ref="AL633" ca="1">INDEX(OFFSET($AK$19,MATCH($B633,$B$19:$B$150,0)-1,0,COUNTA($B$19:$B$24),COUNTA($AK$17:$BB$17)),MATCH($F633,$F$19:$F$24,0),MATCH(AL$17,$AK$17:$BB$17,0))*INDEX($10:$13,MATCH($O633,$R$10:$R$13,0),COLUMN())</f>
        <v>4.2975152581000005E-7</v>
      </c>
      <c r="AM633" s="1046" cm="1">
        <f t="array" aca="1" ref="AM633" ca="1">INDEX(OFFSET($AK$19,MATCH($B633,$B$19:$B$150,0)-1,0,COUNTA($B$19:$B$24),COUNTA($AK$17:$BB$17)),MATCH($F633,$F$19:$F$24,0),MATCH(AM$17,$AK$17:$BB$17,0))*INDEX($10:$13,MATCH($O633,$R$10:$R$13,0),COLUMN())</f>
        <v>6.9302985440000003E-4</v>
      </c>
      <c r="AN633" s="1046" cm="1">
        <f t="array" aca="1" ref="AN633" ca="1">INDEX(OFFSET($AK$19,MATCH($B633,$B$19:$B$150,0)-1,0,COUNTA($B$19:$B$24),COUNTA($AK$17:$BB$17)),MATCH($F633,$F$19:$F$24,0),MATCH(AN$17,$AK$17:$BB$17,0))*INDEX($10:$13,MATCH($O633,$R$10:$R$13,0),COLUMN())</f>
        <v>3.310791856E-3</v>
      </c>
      <c r="AO633" s="1046" cm="1">
        <f t="array" aca="1" ref="AO633" ca="1">INDEX(OFFSET($AK$19,MATCH($B633,$B$19:$B$150,0)-1,0,COUNTA($B$19:$B$24),COUNTA($AK$17:$BB$17)),MATCH($F633,$F$19:$F$24,0),MATCH(AO$17,$AK$17:$BB$17,0))*INDEX($10:$13,MATCH($O633,$R$10:$R$13,0),COLUMN())</f>
        <v>0.14562713611999997</v>
      </c>
      <c r="AP633" s="1046" cm="1">
        <f t="array" aca="1" ref="AP633" ca="1">INDEX(OFFSET($AK$19,MATCH($B633,$B$19:$B$150,0)-1,0,COUNTA($B$19:$B$24),COUNTA($AK$17:$BB$17)),MATCH($F633,$F$19:$F$24,0),MATCH(AP$17,$AK$17:$BB$17,0))*INDEX($10:$13,MATCH($O633,$R$10:$R$13,0),COLUMN())</f>
        <v>8.7837330579999998E-2</v>
      </c>
      <c r="AQ633" s="1046" cm="1">
        <f t="array" aca="1" ref="AQ633" ca="1">INDEX(OFFSET($AK$19,MATCH($B633,$B$19:$B$150,0)-1,0,COUNTA($B$19:$B$24),COUNTA($AK$17:$BB$17)),MATCH($F633,$F$19:$F$24,0),MATCH(AQ$17,$AK$17:$BB$17,0))*INDEX($10:$13,MATCH($O633,$R$10:$R$13,0),COLUMN())</f>
        <v>9.9177937819999989E-4</v>
      </c>
      <c r="AR633" s="1046" cm="1">
        <f t="array" aca="1" ref="AR633" ca="1">INDEX(OFFSET($AK$19,MATCH($B633,$B$19:$B$150,0)-1,0,COUNTA($B$19:$B$24),COUNTA($AK$17:$BB$17)),MATCH($F633,$F$19:$F$24,0),MATCH(AR$17,$AK$17:$BB$17,0))*INDEX($10:$13,MATCH($O633,$R$10:$R$13,0),COLUMN())</f>
        <v>4.914842472E-2</v>
      </c>
      <c r="AS633" s="1046" cm="1">
        <f t="array" aca="1" ref="AS633" ca="1">INDEX(OFFSET($AK$19,MATCH($B633,$B$19:$B$150,0)-1,0,COUNTA($B$19:$B$24),COUNTA($AK$17:$BB$17)),MATCH($F633,$F$19:$F$24,0),MATCH(AS$17,$AK$17:$BB$17,0))*INDEX($10:$13,MATCH($O633,$R$10:$R$13,0),COLUMN())</f>
        <v>0.62501411849999999</v>
      </c>
      <c r="AT633" s="1046" cm="1">
        <f t="array" aca="1" ref="AT633" ca="1">INDEX(OFFSET($AK$19,MATCH($B633,$B$19:$B$150,0)-1,0,COUNTA($B$19:$B$24),COUNTA($AK$17:$BB$17)),MATCH($F633,$F$19:$F$24,0),MATCH(AT$17,$AK$17:$BB$17,0))*INDEX($10:$13,MATCH($O633,$R$10:$R$13,0),COLUMN())</f>
        <v>7.0113622549999996E-4</v>
      </c>
      <c r="AU633" s="1046" cm="1">
        <f t="array" aca="1" ref="AU633" ca="1">INDEX(OFFSET($AK$19,MATCH($B633,$B$19:$B$150,0)-1,0,COUNTA($B$19:$B$24),COUNTA($AK$17:$BB$17)),MATCH($F633,$F$19:$F$24,0),MATCH(AU$17,$AK$17:$BB$17,0))*INDEX($10:$13,MATCH($O633,$R$10:$R$13,0),COLUMN())</f>
        <v>4.9726211850000004E-5</v>
      </c>
      <c r="AV633" s="1046" cm="1">
        <f t="array" aca="1" ref="AV633" ca="1">INDEX(OFFSET($AK$19,MATCH($B633,$B$19:$B$150,0)-1,0,COUNTA($B$19:$B$24),COUNTA($AK$17:$BB$17)),MATCH($F633,$F$19:$F$24,0),MATCH(AV$17,$AK$17:$BB$17,0))*INDEX($10:$13,MATCH($O633,$R$10:$R$13,0),COLUMN())</f>
        <v>2.8293480629999999E-2</v>
      </c>
      <c r="AW633" s="1046" cm="1">
        <f t="array" aca="1" ref="AW633" ca="1">INDEX(OFFSET($AK$19,MATCH($B633,$B$19:$B$150,0)-1,0,COUNTA($B$19:$B$24),COUNTA($AK$17:$BB$17)),MATCH($F633,$F$19:$F$24,0),MATCH(AW$17,$AK$17:$BB$17,0))*INDEX($10:$13,MATCH($O633,$R$10:$R$13,0),COLUMN())</f>
        <v>3.2313117290000002</v>
      </c>
      <c r="AX633" s="1046" cm="1">
        <f t="array" aca="1" ref="AX633" ca="1">INDEX(OFFSET($AK$19,MATCH($B633,$B$19:$B$150,0)-1,0,COUNTA($B$19:$B$24),COUNTA($AK$17:$BB$17)),MATCH($F633,$F$19:$F$24,0),MATCH(AX$17,$AK$17:$BB$17,0))*INDEX($10:$13,MATCH($O633,$R$10:$R$13,0),COLUMN())</f>
        <v>4.0744150719999999E-6</v>
      </c>
      <c r="AY633" s="1046" cm="1">
        <f t="array" aca="1" ref="AY633" ca="1">INDEX(OFFSET($AK$19,MATCH($B633,$B$19:$B$150,0)-1,0,COUNTA($B$19:$B$24),COUNTA($AK$17:$BB$17)),MATCH($F633,$F$19:$F$24,0),MATCH(AY$17,$AK$17:$BB$17,0))*INDEX($10:$13,MATCH($O633,$R$10:$R$13,0),COLUMN())</f>
        <v>-1.0605926925000001E-7</v>
      </c>
      <c r="AZ633" s="1046" cm="1">
        <f t="array" aca="1" ref="AZ633" ca="1">INDEX(OFFSET($AK$19,MATCH($B633,$B$19:$B$150,0)-1,0,COUNTA($B$19:$B$24),COUNTA($AK$17:$BB$17)),MATCH($F633,$F$19:$F$24,0),MATCH(AZ$17,$AK$17:$BB$17,0))*INDEX($10:$13,MATCH($O633,$R$10:$R$13,0),COLUMN())</f>
        <v>0</v>
      </c>
      <c r="BA633" s="1046" cm="1">
        <f t="array" aca="1" ref="BA633" ca="1">INDEX(OFFSET($AK$19,MATCH($B633,$B$19:$B$150,0)-1,0,COUNTA($B$19:$B$24),COUNTA($AK$17:$BB$17)),MATCH($F633,$F$19:$F$24,0),MATCH(BA$17,$AK$17:$BB$17,0))*INDEX($10:$13,MATCH($O633,$R$10:$R$13,0),COLUMN())</f>
        <v>0</v>
      </c>
      <c r="BB633" s="1047" cm="1">
        <f t="array" aca="1" ref="BB633" ca="1">INDEX(OFFSET($AK$19,MATCH($B633,$B$19:$B$150,0)-1,0,COUNTA($B$19:$B$24),COUNTA($AK$17:$BB$17)),MATCH($F633,$F$19:$F$24,0),MATCH(BB$17,$AK$17:$BB$17,0))*INDEX($10:$13,MATCH($O633,$R$10:$R$13,0),COLUMN())</f>
        <v>0</v>
      </c>
      <c r="BC633" s="1049">
        <f t="shared" ca="1" si="188"/>
        <v>3.2313156973558028</v>
      </c>
      <c r="BE633" s="1"/>
      <c r="BF633" s="1"/>
      <c r="BG633" s="1"/>
      <c r="BH633" s="1"/>
      <c r="BI633" s="1"/>
      <c r="BJ633" s="1"/>
      <c r="BK633" s="1"/>
      <c r="BL633" s="1"/>
      <c r="BM633" s="1"/>
      <c r="BN633" s="1"/>
      <c r="BO633" s="1"/>
      <c r="BP633" s="1"/>
      <c r="BQ633" s="1"/>
      <c r="BR633" s="1"/>
      <c r="BS633" s="1"/>
      <c r="BT633" s="1"/>
      <c r="BU633" s="1"/>
      <c r="BV633" s="1"/>
      <c r="BW633" s="1"/>
      <c r="BX633" s="1"/>
      <c r="BY633" s="1"/>
      <c r="BZ633" s="1"/>
    </row>
    <row r="634" spans="2:78" ht="12" customHeight="1" outlineLevel="1" x14ac:dyDescent="0.25">
      <c r="B634" s="104" t="s">
        <v>110</v>
      </c>
      <c r="C634" s="104" t="s">
        <v>121</v>
      </c>
      <c r="D634" s="2" t="s">
        <v>143</v>
      </c>
      <c r="E634" s="2" t="s">
        <v>147</v>
      </c>
      <c r="F634" s="105" t="s">
        <v>122</v>
      </c>
      <c r="G634" s="27" t="s">
        <v>1579</v>
      </c>
      <c r="H634" s="106" t="s">
        <v>128</v>
      </c>
      <c r="I634" s="107" t="s">
        <v>129</v>
      </c>
      <c r="J634" s="147">
        <v>6.3623397199999996</v>
      </c>
      <c r="K634" s="148">
        <v>0.72726000000000002</v>
      </c>
      <c r="L634" s="149">
        <f t="shared" ca="1" si="190"/>
        <v>6.9268996860205005</v>
      </c>
      <c r="M634" s="148">
        <f t="shared" ca="1" si="191"/>
        <v>5.7649170656552693</v>
      </c>
      <c r="N634" s="148">
        <f t="shared" ca="1" si="189"/>
        <v>5.0376570656552691</v>
      </c>
      <c r="O634" s="1062" t="s">
        <v>1585</v>
      </c>
      <c r="P634" s="104"/>
      <c r="R634" s="119"/>
      <c r="S634" s="1072"/>
      <c r="T634" s="1072"/>
      <c r="U634" s="1072"/>
      <c r="V634" s="1072"/>
      <c r="W634" s="1072"/>
      <c r="X634" s="1072"/>
      <c r="Y634" s="1072"/>
      <c r="Z634" s="1072"/>
      <c r="AA634" s="1072"/>
      <c r="AB634" s="1072"/>
      <c r="AC634" s="1072"/>
      <c r="AD634" s="1072"/>
      <c r="AE634" s="1072"/>
      <c r="AF634" s="1072"/>
      <c r="AG634" s="1072"/>
      <c r="AH634" s="1072"/>
      <c r="AI634" s="1072"/>
      <c r="AJ634" s="1073"/>
      <c r="AK634" s="1052" cm="1">
        <f t="array" aca="1" ref="AK634" ca="1">INDEX(OFFSET($AK$19,MATCH($B634,$B$19:$B$150,0)-1,0,COUNTA($B$19:$B$24),COUNTA($AK$17:$BB$17)),MATCH($F634,$F$19:$F$24,0),MATCH(AK$17,$AK$17:$BB$17,0))*INDEX($10:$13,MATCH($O634,$R$10:$R$13,0),COLUMN())</f>
        <v>0.21910036201747199</v>
      </c>
      <c r="AL634" s="1050" cm="1">
        <f t="array" aca="1" ref="AL634" ca="1">INDEX(OFFSET($AK$19,MATCH($B634,$B$19:$B$150,0)-1,0,COUNTA($B$19:$B$24),COUNTA($AK$17:$BB$17)),MATCH($F634,$F$19:$F$24,0),MATCH(AL$17,$AK$17:$BB$17,0))*INDEX($10:$13,MATCH($O634,$R$10:$R$13,0),COLUMN())</f>
        <v>1.9597158545000002E-7</v>
      </c>
      <c r="AM634" s="1050" cm="1">
        <f t="array" aca="1" ref="AM634" ca="1">INDEX(OFFSET($AK$19,MATCH($B634,$B$19:$B$150,0)-1,0,COUNTA($B$19:$B$24),COUNTA($AK$17:$BB$17)),MATCH($F634,$F$19:$F$24,0),MATCH(AM$17,$AK$17:$BB$17,0))*INDEX($10:$13,MATCH($O634,$R$10:$R$13,0),COLUMN())</f>
        <v>3.1346837079999999E-4</v>
      </c>
      <c r="AN634" s="1050" cm="1">
        <f t="array" aca="1" ref="AN634" ca="1">INDEX(OFFSET($AK$19,MATCH($B634,$B$19:$B$150,0)-1,0,COUNTA($B$19:$B$24),COUNTA($AK$17:$BB$17)),MATCH($F634,$F$19:$F$24,0),MATCH(AN$17,$AK$17:$BB$17,0))*INDEX($10:$13,MATCH($O634,$R$10:$R$13,0),COLUMN())</f>
        <v>4.2816019839999999E-3</v>
      </c>
      <c r="AO634" s="1050" cm="1">
        <f t="array" aca="1" ref="AO634" ca="1">INDEX(OFFSET($AK$19,MATCH($B634,$B$19:$B$150,0)-1,0,COUNTA($B$19:$B$24),COUNTA($AK$17:$BB$17)),MATCH($F634,$F$19:$F$24,0),MATCH(AO$17,$AK$17:$BB$17,0))*INDEX($10:$13,MATCH($O634,$R$10:$R$13,0),COLUMN())</f>
        <v>6.5679829760000003E-2</v>
      </c>
      <c r="AP634" s="1050" cm="1">
        <f t="array" aca="1" ref="AP634" ca="1">INDEX(OFFSET($AK$19,MATCH($B634,$B$19:$B$150,0)-1,0,COUNTA($B$19:$B$24),COUNTA($AK$17:$BB$17)),MATCH($F634,$F$19:$F$24,0),MATCH(AP$17,$AK$17:$BB$17,0))*INDEX($10:$13,MATCH($O634,$R$10:$R$13,0),COLUMN())</f>
        <v>2.6672257580000004E-2</v>
      </c>
      <c r="AQ634" s="1050" cm="1">
        <f t="array" aca="1" ref="AQ634" ca="1">INDEX(OFFSET($AK$19,MATCH($B634,$B$19:$B$150,0)-1,0,COUNTA($B$19:$B$24),COUNTA($AK$17:$BB$17)),MATCH($F634,$F$19:$F$24,0),MATCH(AQ$17,$AK$17:$BB$17,0))*INDEX($10:$13,MATCH($O634,$R$10:$R$13,0),COLUMN())</f>
        <v>1.8095730515999998E-4</v>
      </c>
      <c r="AR634" s="1050" cm="1">
        <f t="array" aca="1" ref="AR634" ca="1">INDEX(OFFSET($AK$19,MATCH($B634,$B$19:$B$150,0)-1,0,COUNTA($B$19:$B$24),COUNTA($AK$17:$BB$17)),MATCH($F634,$F$19:$F$24,0),MATCH(AR$17,$AK$17:$BB$17,0))*INDEX($10:$13,MATCH($O634,$R$10:$R$13,0),COLUMN())</f>
        <v>3.1645717919999997E-2</v>
      </c>
      <c r="AS634" s="1050" cm="1">
        <f t="array" aca="1" ref="AS634" ca="1">INDEX(OFFSET($AK$19,MATCH($B634,$B$19:$B$150,0)-1,0,COUNTA($B$19:$B$24),COUNTA($AK$17:$BB$17)),MATCH($F634,$F$19:$F$24,0),MATCH(AS$17,$AK$17:$BB$17,0))*INDEX($10:$13,MATCH($O634,$R$10:$R$13,0),COLUMN())</f>
        <v>8.0991447699999995E-4</v>
      </c>
      <c r="AT634" s="1050" cm="1">
        <f t="array" aca="1" ref="AT634" ca="1">INDEX(OFFSET($AK$19,MATCH($B634,$B$19:$B$150,0)-1,0,COUNTA($B$19:$B$24),COUNTA($AK$17:$BB$17)),MATCH($F634,$F$19:$F$24,0),MATCH(AT$17,$AK$17:$BB$17,0))*INDEX($10:$13,MATCH($O634,$R$10:$R$13,0),COLUMN())</f>
        <v>1.5382163208999998E-5</v>
      </c>
      <c r="AU634" s="1050" cm="1">
        <f t="array" aca="1" ref="AU634" ca="1">INDEX(OFFSET($AK$19,MATCH($B634,$B$19:$B$150,0)-1,0,COUNTA($B$19:$B$24),COUNTA($AK$17:$BB$17)),MATCH($F634,$F$19:$F$24,0),MATCH(AU$17,$AK$17:$BB$17,0))*INDEX($10:$13,MATCH($O634,$R$10:$R$13,0),COLUMN())</f>
        <v>3.1828944681000006E-6</v>
      </c>
      <c r="AV634" s="1050" cm="1">
        <f t="array" aca="1" ref="AV634" ca="1">INDEX(OFFSET($AK$19,MATCH($B634,$B$19:$B$150,0)-1,0,COUNTA($B$19:$B$24),COUNTA($AK$17:$BB$17)),MATCH($F634,$F$19:$F$24,0),MATCH(AV$17,$AK$17:$BB$17,0))*INDEX($10:$13,MATCH($O634,$R$10:$R$13,0),COLUMN())</f>
        <v>5.2738637939999996E-3</v>
      </c>
      <c r="AW634" s="1050" cm="1">
        <f t="array" aca="1" ref="AW634" ca="1">INDEX(OFFSET($AK$19,MATCH($B634,$B$19:$B$150,0)-1,0,COUNTA($B$19:$B$24),COUNTA($AK$17:$BB$17)),MATCH($F634,$F$19:$F$24,0),MATCH(AW$17,$AK$17:$BB$17,0))*INDEX($10:$13,MATCH($O634,$R$10:$R$13,0),COLUMN())</f>
        <v>4.683679143</v>
      </c>
      <c r="AX634" s="1050" cm="1">
        <f t="array" aca="1" ref="AX634" ca="1">INDEX(OFFSET($AK$19,MATCH($B634,$B$19:$B$150,0)-1,0,COUNTA($B$19:$B$24),COUNTA($AK$17:$BB$17)),MATCH($F634,$F$19:$F$24,0),MATCH(AX$17,$AK$17:$BB$17,0))*INDEX($10:$13,MATCH($O634,$R$10:$R$13,0),COLUMN())</f>
        <v>1.2198564255000001E-6</v>
      </c>
      <c r="AY634" s="1050" cm="1">
        <f t="array" aca="1" ref="AY634" ca="1">INDEX(OFFSET($AK$19,MATCH($B634,$B$19:$B$150,0)-1,0,COUNTA($B$19:$B$24),COUNTA($AK$17:$BB$17)),MATCH($F634,$F$19:$F$24,0),MATCH(AY$17,$AK$17:$BB$17,0))*INDEX($10:$13,MATCH($O634,$R$10:$R$13,0),COLUMN())</f>
        <v>-3.1438851618750001E-8</v>
      </c>
      <c r="AZ634" s="1050" cm="1">
        <f t="array" aca="1" ref="AZ634" ca="1">INDEX(OFFSET($AK$19,MATCH($B634,$B$19:$B$150,0)-1,0,COUNTA($B$19:$B$24),COUNTA($AK$17:$BB$17)),MATCH($F634,$F$19:$F$24,0),MATCH(AZ$17,$AK$17:$BB$17,0))*INDEX($10:$13,MATCH($O634,$R$10:$R$13,0),COLUMN())</f>
        <v>0</v>
      </c>
      <c r="BA634" s="1050" cm="1">
        <f t="array" aca="1" ref="BA634" ca="1">INDEX(OFFSET($AK$19,MATCH($B634,$B$19:$B$150,0)-1,0,COUNTA($B$19:$B$24),COUNTA($AK$17:$BB$17)),MATCH($F634,$F$19:$F$24,0),MATCH(BA$17,$AK$17:$BB$17,0))*INDEX($10:$13,MATCH($O634,$R$10:$R$13,0),COLUMN())</f>
        <v>0</v>
      </c>
      <c r="BB634" s="1051" cm="1">
        <f t="array" aca="1" ref="BB634" ca="1">INDEX(OFFSET($AK$19,MATCH($B634,$B$19:$B$150,0)-1,0,COUNTA($B$19:$B$24),COUNTA($AK$17:$BB$17)),MATCH($F634,$F$19:$F$24,0),MATCH(BB$17,$AK$17:$BB$17,0))*INDEX($10:$13,MATCH($O634,$R$10:$R$13,0),COLUMN())</f>
        <v>0</v>
      </c>
      <c r="BC634" s="1053">
        <f t="shared" ca="1" si="188"/>
        <v>4.6836803314175741</v>
      </c>
      <c r="BE634" s="1"/>
      <c r="BF634" s="1"/>
      <c r="BG634" s="1"/>
      <c r="BH634" s="1"/>
      <c r="BI634" s="1"/>
      <c r="BJ634" s="1"/>
      <c r="BK634" s="1"/>
      <c r="BL634" s="1"/>
      <c r="BM634" s="1"/>
      <c r="BN634" s="1"/>
      <c r="BO634" s="1"/>
      <c r="BP634" s="1"/>
      <c r="BQ634" s="1"/>
      <c r="BR634" s="1"/>
      <c r="BS634" s="1"/>
      <c r="BT634" s="1"/>
      <c r="BU634" s="1"/>
      <c r="BV634" s="1"/>
      <c r="BW634" s="1"/>
      <c r="BX634" s="1"/>
      <c r="BY634" s="1"/>
      <c r="BZ634" s="1"/>
    </row>
    <row r="635" spans="2:78" ht="12" customHeight="1" outlineLevel="1" x14ac:dyDescent="0.25">
      <c r="B635" s="104" t="s">
        <v>110</v>
      </c>
      <c r="C635" s="104" t="s">
        <v>121</v>
      </c>
      <c r="D635" s="2" t="s">
        <v>143</v>
      </c>
      <c r="E635" s="2" t="s">
        <v>147</v>
      </c>
      <c r="F635" s="105" t="s">
        <v>93</v>
      </c>
      <c r="G635" s="27" t="s">
        <v>1578</v>
      </c>
      <c r="H635" s="106" t="s">
        <v>130</v>
      </c>
      <c r="I635" s="107" t="s">
        <v>129</v>
      </c>
      <c r="J635" s="147">
        <v>6.3623397199999996</v>
      </c>
      <c r="K635" s="148">
        <v>0.72726000000000002</v>
      </c>
      <c r="L635" s="149">
        <f t="shared" ca="1" si="190"/>
        <v>8.6254224426151893</v>
      </c>
      <c r="M635" s="148">
        <f t="shared" ca="1" si="191"/>
        <v>7.0001847256163225</v>
      </c>
      <c r="N635" s="148">
        <f t="shared" ca="1" si="189"/>
        <v>6.2729247256163223</v>
      </c>
      <c r="O635" s="1062" t="s">
        <v>1585</v>
      </c>
      <c r="P635" s="104"/>
      <c r="R635" s="119"/>
      <c r="S635" s="1072"/>
      <c r="T635" s="1072"/>
      <c r="U635" s="1072"/>
      <c r="V635" s="1072"/>
      <c r="W635" s="1072"/>
      <c r="X635" s="1072"/>
      <c r="Y635" s="1072"/>
      <c r="Z635" s="1072"/>
      <c r="AA635" s="1072"/>
      <c r="AB635" s="1072"/>
      <c r="AC635" s="1072"/>
      <c r="AD635" s="1072"/>
      <c r="AE635" s="1072"/>
      <c r="AF635" s="1072"/>
      <c r="AG635" s="1072"/>
      <c r="AH635" s="1072"/>
      <c r="AI635" s="1072"/>
      <c r="AJ635" s="1073"/>
      <c r="AK635" s="1052" cm="1">
        <f t="array" aca="1" ref="AK635" ca="1">INDEX(OFFSET($AK$19,MATCH($B635,$B$19:$B$150,0)-1,0,COUNTA($B$19:$B$24),COUNTA($AK$17:$BB$17)),MATCH($F635,$F$19:$F$24,0),MATCH(AK$17,$AK$17:$BB$17,0))*INDEX($10:$13,MATCH($O635,$R$10:$R$13,0),COLUMN())</f>
        <v>0.27279343566028796</v>
      </c>
      <c r="AL635" s="1050" cm="1">
        <f t="array" aca="1" ref="AL635" ca="1">INDEX(OFFSET($AK$19,MATCH($B635,$B$19:$B$150,0)-1,0,COUNTA($B$19:$B$24),COUNTA($AK$17:$BB$17)),MATCH($F635,$F$19:$F$24,0),MATCH(AL$17,$AK$17:$BB$17,0))*INDEX($10:$13,MATCH($O635,$R$10:$R$13,0),COLUMN())</f>
        <v>2.4399668263000002E-7</v>
      </c>
      <c r="AM635" s="1050" cm="1">
        <f t="array" aca="1" ref="AM635" ca="1">INDEX(OFFSET($AK$19,MATCH($B635,$B$19:$B$150,0)-1,0,COUNTA($B$19:$B$24),COUNTA($AK$17:$BB$17)),MATCH($F635,$F$19:$F$24,0),MATCH(AM$17,$AK$17:$BB$17,0))*INDEX($10:$13,MATCH($O635,$R$10:$R$13,0),COLUMN())</f>
        <v>3.9028741492000001E-4</v>
      </c>
      <c r="AN635" s="1050" cm="1">
        <f t="array" aca="1" ref="AN635" ca="1">INDEX(OFFSET($AK$19,MATCH($B635,$B$19:$B$150,0)-1,0,COUNTA($B$19:$B$24),COUNTA($AK$17:$BB$17)),MATCH($F635,$F$19:$F$24,0),MATCH(AN$17,$AK$17:$BB$17,0))*INDEX($10:$13,MATCH($O635,$R$10:$R$13,0),COLUMN())</f>
        <v>5.3308579360000002E-3</v>
      </c>
      <c r="AO635" s="1050" cm="1">
        <f t="array" aca="1" ref="AO635" ca="1">INDEX(OFFSET($AK$19,MATCH($B635,$B$19:$B$150,0)-1,0,COUNTA($B$19:$B$24),COUNTA($AK$17:$BB$17)),MATCH($F635,$F$19:$F$24,0),MATCH(AO$17,$AK$17:$BB$17,0))*INDEX($10:$13,MATCH($O635,$R$10:$R$13,0),COLUMN())</f>
        <v>8.1775433159999994E-2</v>
      </c>
      <c r="AP635" s="1050" cm="1">
        <f t="array" aca="1" ref="AP635" ca="1">INDEX(OFFSET($AK$19,MATCH($B635,$B$19:$B$150,0)-1,0,COUNTA($B$19:$B$24),COUNTA($AK$17:$BB$17)),MATCH($F635,$F$19:$F$24,0),MATCH(AP$17,$AK$17:$BB$17,0))*INDEX($10:$13,MATCH($O635,$R$10:$R$13,0),COLUMN())</f>
        <v>3.3208602738000005E-2</v>
      </c>
      <c r="AQ635" s="1050" cm="1">
        <f t="array" aca="1" ref="AQ635" ca="1">INDEX(OFFSET($AK$19,MATCH($B635,$B$19:$B$150,0)-1,0,COUNTA($B$19:$B$24),COUNTA($AK$17:$BB$17)),MATCH($F635,$F$19:$F$24,0),MATCH(AQ$17,$AK$17:$BB$17,0))*INDEX($10:$13,MATCH($O635,$R$10:$R$13,0),COLUMN())</f>
        <v>2.253029937E-4</v>
      </c>
      <c r="AR635" s="1050" cm="1">
        <f t="array" aca="1" ref="AR635" ca="1">INDEX(OFFSET($AK$19,MATCH($B635,$B$19:$B$150,0)-1,0,COUNTA($B$19:$B$24),COUNTA($AK$17:$BB$17)),MATCH($F635,$F$19:$F$24,0),MATCH(AR$17,$AK$17:$BB$17,0))*INDEX($10:$13,MATCH($O635,$R$10:$R$13,0),COLUMN())</f>
        <v>3.9400866789999996E-2</v>
      </c>
      <c r="AS635" s="1050" cm="1">
        <f t="array" aca="1" ref="AS635" ca="1">INDEX(OFFSET($AK$19,MATCH($B635,$B$19:$B$150,0)-1,0,COUNTA($B$19:$B$24),COUNTA($AK$17:$BB$17)),MATCH($F635,$F$19:$F$24,0),MATCH(AS$17,$AK$17:$BB$17,0))*INDEX($10:$13,MATCH($O635,$R$10:$R$13,0),COLUMN())</f>
        <v>1.2357048594999998E-3</v>
      </c>
      <c r="AT635" s="1050" cm="1">
        <f t="array" aca="1" ref="AT635" ca="1">INDEX(OFFSET($AK$19,MATCH($B635,$B$19:$B$150,0)-1,0,COUNTA($B$19:$B$24),COUNTA($AK$17:$BB$17)),MATCH($F635,$F$19:$F$24,0),MATCH(AT$17,$AK$17:$BB$17,0))*INDEX($10:$13,MATCH($O635,$R$10:$R$13,0),COLUMN())</f>
        <v>1.9235552618999997E-5</v>
      </c>
      <c r="AU635" s="1050" cm="1">
        <f t="array" aca="1" ref="AU635" ca="1">INDEX(OFFSET($AK$19,MATCH($B635,$B$19:$B$150,0)-1,0,COUNTA($B$19:$B$24),COUNTA($AK$17:$BB$17)),MATCH($F635,$F$19:$F$24,0),MATCH(AU$17,$AK$17:$BB$17,0))*INDEX($10:$13,MATCH($O635,$R$10:$R$13,0),COLUMN())</f>
        <v>3.9715725330000004E-6</v>
      </c>
      <c r="AV635" s="1050" cm="1">
        <f t="array" aca="1" ref="AV635" ca="1">INDEX(OFFSET($AK$19,MATCH($B635,$B$19:$B$150,0)-1,0,COUNTA($B$19:$B$24),COUNTA($AK$17:$BB$17)),MATCH($F635,$F$19:$F$24,0),MATCH(AV$17,$AK$17:$BB$17,0))*INDEX($10:$13,MATCH($O635,$R$10:$R$13,0),COLUMN())</f>
        <v>7.0705297889999998E-3</v>
      </c>
      <c r="AW635" s="1050" cm="1">
        <f t="array" aca="1" ref="AW635" ca="1">INDEX(OFFSET($AK$19,MATCH($B635,$B$19:$B$150,0)-1,0,COUNTA($B$19:$B$24),COUNTA($AK$17:$BB$17)),MATCH($F635,$F$19:$F$24,0),MATCH(AW$17,$AK$17:$BB$17,0))*INDEX($10:$13,MATCH($O635,$R$10:$R$13,0),COLUMN())</f>
        <v>5.831468773500001</v>
      </c>
      <c r="AX635" s="1050" cm="1">
        <f t="array" aca="1" ref="AX635" ca="1">INDEX(OFFSET($AK$19,MATCH($B635,$B$19:$B$150,0)-1,0,COUNTA($B$19:$B$24),COUNTA($AK$17:$BB$17)),MATCH($F635,$F$19:$F$24,0),MATCH(AX$17,$AK$17:$BB$17,0))*INDEX($10:$13,MATCH($O635,$R$10:$R$13,0),COLUMN())</f>
        <v>1.5187963850000001E-6</v>
      </c>
      <c r="AY635" s="1050" cm="1">
        <f t="array" aca="1" ref="AY635" ca="1">INDEX(OFFSET($AK$19,MATCH($B635,$B$19:$B$150,0)-1,0,COUNTA($B$19:$B$24),COUNTA($AK$17:$BB$17)),MATCH($F635,$F$19:$F$24,0),MATCH(AY$17,$AK$17:$BB$17,0))*INDEX($10:$13,MATCH($O635,$R$10:$R$13,0),COLUMN())</f>
        <v>-3.91433060625E-8</v>
      </c>
      <c r="AZ635" s="1050" cm="1">
        <f t="array" aca="1" ref="AZ635" ca="1">INDEX(OFFSET($AK$19,MATCH($B635,$B$19:$B$150,0)-1,0,COUNTA($B$19:$B$24),COUNTA($AK$17:$BB$17)),MATCH($F635,$F$19:$F$24,0),MATCH(AZ$17,$AK$17:$BB$17,0))*INDEX($10:$13,MATCH($O635,$R$10:$R$13,0),COLUMN())</f>
        <v>0</v>
      </c>
      <c r="BA635" s="1050" cm="1">
        <f t="array" aca="1" ref="BA635" ca="1">INDEX(OFFSET($AK$19,MATCH($B635,$B$19:$B$150,0)-1,0,COUNTA($B$19:$B$24),COUNTA($AK$17:$BB$17)),MATCH($F635,$F$19:$F$24,0),MATCH(BA$17,$AK$17:$BB$17,0))*INDEX($10:$13,MATCH($O635,$R$10:$R$13,0),COLUMN())</f>
        <v>0</v>
      </c>
      <c r="BB635" s="1051" cm="1">
        <f t="array" aca="1" ref="BB635" ca="1">INDEX(OFFSET($AK$19,MATCH($B635,$B$19:$B$150,0)-1,0,COUNTA($B$19:$B$24),COUNTA($AK$17:$BB$17)),MATCH($F635,$F$19:$F$24,0),MATCH(BB$17,$AK$17:$BB$17,0))*INDEX($10:$13,MATCH($O635,$R$10:$R$13,0),COLUMN())</f>
        <v>0</v>
      </c>
      <c r="BC635" s="1053">
        <f t="shared" ca="1" si="188"/>
        <v>5.8314702531530793</v>
      </c>
      <c r="BE635" s="1"/>
      <c r="BF635" s="1"/>
      <c r="BG635" s="1"/>
      <c r="BH635" s="1"/>
      <c r="BI635" s="1"/>
      <c r="BJ635" s="1"/>
      <c r="BK635" s="1"/>
      <c r="BL635" s="1"/>
      <c r="BM635" s="1"/>
      <c r="BN635" s="1"/>
      <c r="BO635" s="1"/>
      <c r="BP635" s="1"/>
      <c r="BQ635" s="1"/>
      <c r="BR635" s="1"/>
      <c r="BS635" s="1"/>
      <c r="BT635" s="1"/>
      <c r="BU635" s="1"/>
      <c r="BV635" s="1"/>
      <c r="BW635" s="1"/>
      <c r="BX635" s="1"/>
      <c r="BY635" s="1"/>
      <c r="BZ635" s="1"/>
    </row>
    <row r="636" spans="2:78" ht="12" customHeight="1" outlineLevel="1" x14ac:dyDescent="0.25">
      <c r="B636" s="104" t="s">
        <v>110</v>
      </c>
      <c r="C636" s="104" t="s">
        <v>121</v>
      </c>
      <c r="D636" s="2" t="s">
        <v>143</v>
      </c>
      <c r="E636" s="2" t="s">
        <v>147</v>
      </c>
      <c r="F636" s="105" t="s">
        <v>94</v>
      </c>
      <c r="G636" s="27" t="s">
        <v>1580</v>
      </c>
      <c r="H636" s="106" t="s">
        <v>131</v>
      </c>
      <c r="I636" s="107" t="s">
        <v>129</v>
      </c>
      <c r="J636" s="147">
        <v>6.3623397199999996</v>
      </c>
      <c r="K636" s="148">
        <v>0.72726000000000002</v>
      </c>
      <c r="L636" s="149">
        <f t="shared" ca="1" si="190"/>
        <v>5.7867051617230532</v>
      </c>
      <c r="M636" s="148">
        <f t="shared" ca="1" si="191"/>
        <v>4.9356991959147081</v>
      </c>
      <c r="N636" s="148">
        <f t="shared" ca="1" si="189"/>
        <v>4.2084391959147078</v>
      </c>
      <c r="O636" s="1062" t="s">
        <v>1585</v>
      </c>
      <c r="P636" s="104"/>
      <c r="R636" s="119"/>
      <c r="S636" s="1072"/>
      <c r="T636" s="1072"/>
      <c r="U636" s="1072"/>
      <c r="V636" s="1072"/>
      <c r="W636" s="1072"/>
      <c r="X636" s="1072"/>
      <c r="Y636" s="1072"/>
      <c r="Z636" s="1072"/>
      <c r="AA636" s="1072"/>
      <c r="AB636" s="1072"/>
      <c r="AC636" s="1072"/>
      <c r="AD636" s="1072"/>
      <c r="AE636" s="1072"/>
      <c r="AF636" s="1072"/>
      <c r="AG636" s="1072"/>
      <c r="AH636" s="1072"/>
      <c r="AI636" s="1072"/>
      <c r="AJ636" s="1073"/>
      <c r="AK636" s="1052" cm="1">
        <f t="array" aca="1" ref="AK636" ca="1">INDEX(OFFSET($AK$19,MATCH($B636,$B$19:$B$150,0)-1,0,COUNTA($B$19:$B$24),COUNTA($AK$17:$BB$17)),MATCH($F636,$F$19:$F$24,0),MATCH(AK$17,$AK$17:$BB$17,0))*INDEX($10:$13,MATCH($O636,$R$10:$R$13,0),COLUMN())</f>
        <v>0.18305694649439999</v>
      </c>
      <c r="AL636" s="1050" cm="1">
        <f t="array" aca="1" ref="AL636" ca="1">INDEX(OFFSET($AK$19,MATCH($B636,$B$19:$B$150,0)-1,0,COUNTA($B$19:$B$24),COUNTA($AK$17:$BB$17)),MATCH($F636,$F$19:$F$24,0),MATCH(AL$17,$AK$17:$BB$17,0))*INDEX($10:$13,MATCH($O636,$R$10:$R$13,0),COLUMN())</f>
        <v>1.6373300030000001E-7</v>
      </c>
      <c r="AM636" s="1050" cm="1">
        <f t="array" aca="1" ref="AM636" ca="1">INDEX(OFFSET($AK$19,MATCH($B636,$B$19:$B$150,0)-1,0,COUNTA($B$19:$B$24),COUNTA($AK$17:$BB$17)),MATCH($F636,$F$19:$F$24,0),MATCH(AM$17,$AK$17:$BB$17,0))*INDEX($10:$13,MATCH($O636,$R$10:$R$13,0),COLUMN())</f>
        <v>2.6190081554000003E-4</v>
      </c>
      <c r="AN636" s="1050" cm="1">
        <f t="array" aca="1" ref="AN636" ca="1">INDEX(OFFSET($AK$19,MATCH($B636,$B$19:$B$150,0)-1,0,COUNTA($B$19:$B$24),COUNTA($AK$17:$BB$17)),MATCH($F636,$F$19:$F$24,0),MATCH(AN$17,$AK$17:$BB$17,0))*INDEX($10:$13,MATCH($O636,$R$10:$R$13,0),COLUMN())</f>
        <v>3.5772510880000001E-3</v>
      </c>
      <c r="AO636" s="1050" cm="1">
        <f t="array" aca="1" ref="AO636" ca="1">INDEX(OFFSET($AK$19,MATCH($B636,$B$19:$B$150,0)-1,0,COUNTA($B$19:$B$24),COUNTA($AK$17:$BB$17)),MATCH($F636,$F$19:$F$24,0),MATCH(AO$17,$AK$17:$BB$17,0))*INDEX($10:$13,MATCH($O636,$R$10:$R$13,0),COLUMN())</f>
        <v>5.4875077307999995E-2</v>
      </c>
      <c r="AP636" s="1050" cm="1">
        <f t="array" aca="1" ref="AP636" ca="1">INDEX(OFFSET($AK$19,MATCH($B636,$B$19:$B$150,0)-1,0,COUNTA($B$19:$B$24),COUNTA($AK$17:$BB$17)),MATCH($F636,$F$19:$F$24,0),MATCH(AP$17,$AK$17:$BB$17,0))*INDEX($10:$13,MATCH($O636,$R$10:$R$13,0),COLUMN())</f>
        <v>2.2284500493999999E-2</v>
      </c>
      <c r="AQ636" s="1050" cm="1">
        <f t="array" aca="1" ref="AQ636" ca="1">INDEX(OFFSET($AK$19,MATCH($B636,$B$19:$B$150,0)-1,0,COUNTA($B$19:$B$24),COUNTA($AK$17:$BB$17)),MATCH($F636,$F$19:$F$24,0),MATCH(AQ$17,$AK$17:$BB$17,0))*INDEX($10:$13,MATCH($O636,$R$10:$R$13,0),COLUMN())</f>
        <v>1.5118866977999998E-4</v>
      </c>
      <c r="AR636" s="1050" cm="1">
        <f t="array" aca="1" ref="AR636" ca="1">INDEX(OFFSET($AK$19,MATCH($B636,$B$19:$B$150,0)-1,0,COUNTA($B$19:$B$24),COUNTA($AK$17:$BB$17)),MATCH($F636,$F$19:$F$24,0),MATCH(AR$17,$AK$17:$BB$17,0))*INDEX($10:$13,MATCH($O636,$R$10:$R$13,0),COLUMN())</f>
        <v>2.6439793443000001E-2</v>
      </c>
      <c r="AS636" s="1050" cm="1">
        <f t="array" aca="1" ref="AS636" ca="1">INDEX(OFFSET($AK$19,MATCH($B636,$B$19:$B$150,0)-1,0,COUNTA($B$19:$B$24),COUNTA($AK$17:$BB$17)),MATCH($F636,$F$19:$F$24,0),MATCH(AS$17,$AK$17:$BB$17,0))*INDEX($10:$13,MATCH($O636,$R$10:$R$13,0),COLUMN())</f>
        <v>5.2414187405000002E-4</v>
      </c>
      <c r="AT636" s="1050" cm="1">
        <f t="array" aca="1" ref="AT636" ca="1">INDEX(OFFSET($AK$19,MATCH($B636,$B$19:$B$150,0)-1,0,COUNTA($B$19:$B$24),COUNTA($AK$17:$BB$17)),MATCH($F636,$F$19:$F$24,0),MATCH(AT$17,$AK$17:$BB$17,0))*INDEX($10:$13,MATCH($O636,$R$10:$R$13,0),COLUMN())</f>
        <v>1.2795456615E-5</v>
      </c>
      <c r="AU636" s="1050" cm="1">
        <f t="array" aca="1" ref="AU636" ca="1">INDEX(OFFSET($AK$19,MATCH($B636,$B$19:$B$150,0)-1,0,COUNTA($B$19:$B$24),COUNTA($AK$17:$BB$17)),MATCH($F636,$F$19:$F$24,0),MATCH(AU$17,$AK$17:$BB$17,0))*INDEX($10:$13,MATCH($O636,$R$10:$R$13,0),COLUMN())</f>
        <v>2.6534680299000005E-6</v>
      </c>
      <c r="AV636" s="1050" cm="1">
        <f t="array" aca="1" ref="AV636" ca="1">INDEX(OFFSET($AK$19,MATCH($B636,$B$19:$B$150,0)-1,0,COUNTA($B$19:$B$24),COUNTA($AK$17:$BB$17)),MATCH($F636,$F$19:$F$24,0),MATCH(AV$17,$AK$17:$BB$17,0))*INDEX($10:$13,MATCH($O636,$R$10:$R$13,0),COLUMN())</f>
        <v>4.0679081550000001E-3</v>
      </c>
      <c r="AW636" s="1050" cm="1">
        <f t="array" aca="1" ref="AW636" ca="1">INDEX(OFFSET($AK$19,MATCH($B636,$B$19:$B$150,0)-1,0,COUNTA($B$19:$B$24),COUNTA($AK$17:$BB$17)),MATCH($F636,$F$19:$F$24,0),MATCH(AW$17,$AK$17:$BB$17,0))*INDEX($10:$13,MATCH($O636,$R$10:$R$13,0),COLUMN())</f>
        <v>3.9131838820000002</v>
      </c>
      <c r="AX636" s="1050" cm="1">
        <f t="array" aca="1" ref="AX636" ca="1">INDEX(OFFSET($AK$19,MATCH($B636,$B$19:$B$150,0)-1,0,COUNTA($B$19:$B$24),COUNTA($AK$17:$BB$17)),MATCH($F636,$F$19:$F$24,0),MATCH(AX$17,$AK$17:$BB$17,0))*INDEX($10:$13,MATCH($O636,$R$10:$R$13,0),COLUMN())</f>
        <v>1.0191822505000001E-6</v>
      </c>
      <c r="AY636" s="1050" cm="1">
        <f t="array" aca="1" ref="AY636" ca="1">INDEX(OFFSET($AK$19,MATCH($B636,$B$19:$B$150,0)-1,0,COUNTA($B$19:$B$24),COUNTA($AK$17:$BB$17)),MATCH($F636,$F$19:$F$24,0),MATCH(AY$17,$AK$17:$BB$17,0))*INDEX($10:$13,MATCH($O636,$R$10:$R$13,0),COLUMN())</f>
        <v>-2.6266958625000002E-8</v>
      </c>
      <c r="AZ636" s="1050" cm="1">
        <f t="array" aca="1" ref="AZ636" ca="1">INDEX(OFFSET($AK$19,MATCH($B636,$B$19:$B$150,0)-1,0,COUNTA($B$19:$B$24),COUNTA($AK$17:$BB$17)),MATCH($F636,$F$19:$F$24,0),MATCH(AZ$17,$AK$17:$BB$17,0))*INDEX($10:$13,MATCH($O636,$R$10:$R$13,0),COLUMN())</f>
        <v>0</v>
      </c>
      <c r="BA636" s="1050" cm="1">
        <f t="array" aca="1" ref="BA636" ca="1">INDEX(OFFSET($AK$19,MATCH($B636,$B$19:$B$150,0)-1,0,COUNTA($B$19:$B$24),COUNTA($AK$17:$BB$17)),MATCH($F636,$F$19:$F$24,0),MATCH(BA$17,$AK$17:$BB$17,0))*INDEX($10:$13,MATCH($O636,$R$10:$R$13,0),COLUMN())</f>
        <v>0</v>
      </c>
      <c r="BB636" s="1051" cm="1">
        <f t="array" aca="1" ref="BB636" ca="1">INDEX(OFFSET($AK$19,MATCH($B636,$B$19:$B$150,0)-1,0,COUNTA($B$19:$B$24),COUNTA($AK$17:$BB$17)),MATCH($F636,$F$19:$F$24,0),MATCH(BB$17,$AK$17:$BB$17,0))*INDEX($10:$13,MATCH($O636,$R$10:$R$13,0),COLUMN())</f>
        <v>0</v>
      </c>
      <c r="BC636" s="1053">
        <f t="shared" ca="1" si="188"/>
        <v>3.913184874915292</v>
      </c>
      <c r="BE636" s="1"/>
      <c r="BF636" s="1"/>
      <c r="BG636" s="1"/>
      <c r="BH636" s="1"/>
      <c r="BI636" s="1"/>
      <c r="BJ636" s="1"/>
      <c r="BK636" s="1"/>
      <c r="BL636" s="1"/>
      <c r="BM636" s="1"/>
      <c r="BN636" s="1"/>
      <c r="BO636" s="1"/>
      <c r="BP636" s="1"/>
      <c r="BQ636" s="1"/>
      <c r="BR636" s="1"/>
      <c r="BS636" s="1"/>
      <c r="BT636" s="1"/>
      <c r="BU636" s="1"/>
      <c r="BV636" s="1"/>
      <c r="BW636" s="1"/>
      <c r="BX636" s="1"/>
      <c r="BY636" s="1"/>
      <c r="BZ636" s="1"/>
    </row>
    <row r="637" spans="2:78" ht="12" customHeight="1" outlineLevel="1" x14ac:dyDescent="0.25">
      <c r="B637" s="104" t="s">
        <v>110</v>
      </c>
      <c r="C637" s="104" t="s">
        <v>121</v>
      </c>
      <c r="D637" s="2" t="s">
        <v>143</v>
      </c>
      <c r="E637" s="2" t="s">
        <v>147</v>
      </c>
      <c r="F637" s="105" t="s">
        <v>95</v>
      </c>
      <c r="G637" s="27" t="s">
        <v>1581</v>
      </c>
      <c r="H637" s="106" t="s">
        <v>128</v>
      </c>
      <c r="I637" s="107" t="s">
        <v>127</v>
      </c>
      <c r="J637" s="147">
        <v>6.3623397199999996</v>
      </c>
      <c r="K637" s="148">
        <v>0.72726000000000002</v>
      </c>
      <c r="L637" s="149">
        <f t="shared" ca="1" si="190"/>
        <v>7.2596233015447238</v>
      </c>
      <c r="M637" s="148">
        <f t="shared" ca="1" si="191"/>
        <v>6.0068936422814163</v>
      </c>
      <c r="N637" s="148">
        <f t="shared" ca="1" si="189"/>
        <v>5.2796336422814161</v>
      </c>
      <c r="O637" s="1062" t="s">
        <v>1585</v>
      </c>
      <c r="P637" s="104"/>
      <c r="R637" s="119"/>
      <c r="S637" s="1072"/>
      <c r="T637" s="1072"/>
      <c r="U637" s="1072"/>
      <c r="V637" s="1072"/>
      <c r="W637" s="1072"/>
      <c r="X637" s="1072"/>
      <c r="Y637" s="1072"/>
      <c r="Z637" s="1072"/>
      <c r="AA637" s="1072"/>
      <c r="AB637" s="1072"/>
      <c r="AC637" s="1072"/>
      <c r="AD637" s="1072"/>
      <c r="AE637" s="1072"/>
      <c r="AF637" s="1072"/>
      <c r="AG637" s="1072"/>
      <c r="AH637" s="1072"/>
      <c r="AI637" s="1072"/>
      <c r="AJ637" s="1073"/>
      <c r="AK637" s="1052" cm="1">
        <f t="array" aca="1" ref="AK637" ca="1">INDEX(OFFSET($AK$19,MATCH($B637,$B$19:$B$150,0)-1,0,COUNTA($B$19:$B$24),COUNTA($AK$17:$BB$17)),MATCH($F637,$F$19:$F$24,0),MATCH(AK$17,$AK$17:$BB$17,0))*INDEX($10:$13,MATCH($O637,$R$10:$R$13,0),COLUMN())</f>
        <v>0.25824573050591998</v>
      </c>
      <c r="AL637" s="1050" cm="1">
        <f t="array" aca="1" ref="AL637" ca="1">INDEX(OFFSET($AK$19,MATCH($B637,$B$19:$B$150,0)-1,0,COUNTA($B$19:$B$24),COUNTA($AK$17:$BB$17)),MATCH($F637,$F$19:$F$24,0),MATCH(AL$17,$AK$17:$BB$17,0))*INDEX($10:$13,MATCH($O637,$R$10:$R$13,0),COLUMN())</f>
        <v>1.9760674516E-7</v>
      </c>
      <c r="AM637" s="1050" cm="1">
        <f t="array" aca="1" ref="AM637" ca="1">INDEX(OFFSET($AK$19,MATCH($B637,$B$19:$B$150,0)-1,0,COUNTA($B$19:$B$24),COUNTA($AK$17:$BB$17)),MATCH($F637,$F$19:$F$24,0),MATCH(AM$17,$AK$17:$BB$17,0))*INDEX($10:$13,MATCH($O637,$R$10:$R$13,0),COLUMN())</f>
        <v>3.1607218838E-4</v>
      </c>
      <c r="AN637" s="1050" cm="1">
        <f t="array" aca="1" ref="AN637" ca="1">INDEX(OFFSET($AK$19,MATCH($B637,$B$19:$B$150,0)-1,0,COUNTA($B$19:$B$24),COUNTA($AK$17:$BB$17)),MATCH($F637,$F$19:$F$24,0),MATCH(AN$17,$AK$17:$BB$17,0))*INDEX($10:$13,MATCH($O637,$R$10:$R$13,0),COLUMN())</f>
        <v>4.6210109600000005E-3</v>
      </c>
      <c r="AO637" s="1050" cm="1">
        <f t="array" aca="1" ref="AO637" ca="1">INDEX(OFFSET($AK$19,MATCH($B637,$B$19:$B$150,0)-1,0,COUNTA($B$19:$B$24),COUNTA($AK$17:$BB$17)),MATCH($F637,$F$19:$F$24,0),MATCH(AO$17,$AK$17:$BB$17,0))*INDEX($10:$13,MATCH($O637,$R$10:$R$13,0),COLUMN())</f>
        <v>0.15976860623999997</v>
      </c>
      <c r="AP637" s="1050" cm="1">
        <f t="array" aca="1" ref="AP637" ca="1">INDEX(OFFSET($AK$19,MATCH($B637,$B$19:$B$150,0)-1,0,COUNTA($B$19:$B$24),COUNTA($AK$17:$BB$17)),MATCH($F637,$F$19:$F$24,0),MATCH(AP$17,$AK$17:$BB$17,0))*INDEX($10:$13,MATCH($O637,$R$10:$R$13,0),COLUMN())</f>
        <v>9.2872664680000008E-2</v>
      </c>
      <c r="AQ637" s="1050" cm="1">
        <f t="array" aca="1" ref="AQ637" ca="1">INDEX(OFFSET($AK$19,MATCH($B637,$B$19:$B$150,0)-1,0,COUNTA($B$19:$B$24),COUNTA($AK$17:$BB$17)),MATCH($F637,$F$19:$F$24,0),MATCH(AQ$17,$AK$17:$BB$17,0))*INDEX($10:$13,MATCH($O637,$R$10:$R$13,0),COLUMN())</f>
        <v>7.1671977819999998E-4</v>
      </c>
      <c r="AR637" s="1050" cm="1">
        <f t="array" aca="1" ref="AR637" ca="1">INDEX(OFFSET($AK$19,MATCH($B637,$B$19:$B$150,0)-1,0,COUNTA($B$19:$B$24),COUNTA($AK$17:$BB$17)),MATCH($F637,$F$19:$F$24,0),MATCH(AR$17,$AK$17:$BB$17,0))*INDEX($10:$13,MATCH($O637,$R$10:$R$13,0),COLUMN())</f>
        <v>4.7125733589999996E-2</v>
      </c>
      <c r="AS637" s="1050" cm="1">
        <f t="array" aca="1" ref="AS637" ca="1">INDEX(OFFSET($AK$19,MATCH($B637,$B$19:$B$150,0)-1,0,COUNTA($B$19:$B$24),COUNTA($AK$17:$BB$17)),MATCH($F637,$F$19:$F$24,0),MATCH(AS$17,$AK$17:$BB$17,0))*INDEX($10:$13,MATCH($O637,$R$10:$R$13,0),COLUMN())</f>
        <v>9.0904161665E-3</v>
      </c>
      <c r="AT637" s="1050" cm="1">
        <f t="array" aca="1" ref="AT637" ca="1">INDEX(OFFSET($AK$19,MATCH($B637,$B$19:$B$150,0)-1,0,COUNTA($B$19:$B$24),COUNTA($AK$17:$BB$17)),MATCH($F637,$F$19:$F$24,0),MATCH(AT$17,$AK$17:$BB$17,0))*INDEX($10:$13,MATCH($O637,$R$10:$R$13,0),COLUMN())</f>
        <v>2.1463670916999997E-5</v>
      </c>
      <c r="AU637" s="1050" cm="1">
        <f t="array" aca="1" ref="AU637" ca="1">INDEX(OFFSET($AK$19,MATCH($B637,$B$19:$B$150,0)-1,0,COUNTA($B$19:$B$24),COUNTA($AK$17:$BB$17)),MATCH($F637,$F$19:$F$24,0),MATCH(AU$17,$AK$17:$BB$17,0))*INDEX($10:$13,MATCH($O637,$R$10:$R$13,0),COLUMN())</f>
        <v>4.1123171799000006E-6</v>
      </c>
      <c r="AV637" s="1050" cm="1">
        <f t="array" aca="1" ref="AV637" ca="1">INDEX(OFFSET($AK$19,MATCH($B637,$B$19:$B$150,0)-1,0,COUNTA($B$19:$B$24),COUNTA($AK$17:$BB$17)),MATCH($F637,$F$19:$F$24,0),MATCH(AV$17,$AK$17:$BB$17,0))*INDEX($10:$13,MATCH($O637,$R$10:$R$13,0),COLUMN())</f>
        <v>2.3170583160000001E-2</v>
      </c>
      <c r="AW637" s="1050" cm="1">
        <f t="array" aca="1" ref="AW637" ca="1">INDEX(OFFSET($AK$19,MATCH($B637,$B$19:$B$150,0)-1,0,COUNTA($B$19:$B$24),COUNTA($AK$17:$BB$17)),MATCH($F637,$F$19:$F$24,0),MATCH(AW$17,$AK$17:$BB$17,0))*INDEX($10:$13,MATCH($O637,$R$10:$R$13,0),COLUMN())</f>
        <v>4.683679143</v>
      </c>
      <c r="AX637" s="1050" cm="1">
        <f t="array" aca="1" ref="AX637" ca="1">INDEX(OFFSET($AK$19,MATCH($B637,$B$19:$B$150,0)-1,0,COUNTA($B$19:$B$24),COUNTA($AK$17:$BB$17)),MATCH($F637,$F$19:$F$24,0),MATCH(AX$17,$AK$17:$BB$17,0))*INDEX($10:$13,MATCH($O637,$R$10:$R$13,0),COLUMN())</f>
        <v>1.2198564255000001E-6</v>
      </c>
      <c r="AY637" s="1050" cm="1">
        <f t="array" aca="1" ref="AY637" ca="1">INDEX(OFFSET($AK$19,MATCH($B637,$B$19:$B$150,0)-1,0,COUNTA($B$19:$B$24),COUNTA($AK$17:$BB$17)),MATCH($F637,$F$19:$F$24,0),MATCH(AY$17,$AK$17:$BB$17,0))*INDEX($10:$13,MATCH($O637,$R$10:$R$13,0),COLUMN())</f>
        <v>-3.1438851618750001E-8</v>
      </c>
      <c r="AZ637" s="1050" cm="1">
        <f t="array" aca="1" ref="AZ637" ca="1">INDEX(OFFSET($AK$19,MATCH($B637,$B$19:$B$150,0)-1,0,COUNTA($B$19:$B$24),COUNTA($AK$17:$BB$17)),MATCH($F637,$F$19:$F$24,0),MATCH(AZ$17,$AK$17:$BB$17,0))*INDEX($10:$13,MATCH($O637,$R$10:$R$13,0),COLUMN())</f>
        <v>0</v>
      </c>
      <c r="BA637" s="1050" cm="1">
        <f t="array" aca="1" ref="BA637" ca="1">INDEX(OFFSET($AK$19,MATCH($B637,$B$19:$B$150,0)-1,0,COUNTA($B$19:$B$24),COUNTA($AK$17:$BB$17)),MATCH($F637,$F$19:$F$24,0),MATCH(BA$17,$AK$17:$BB$17,0))*INDEX($10:$13,MATCH($O637,$R$10:$R$13,0),COLUMN())</f>
        <v>0</v>
      </c>
      <c r="BB637" s="1051" cm="1">
        <f t="array" aca="1" ref="BB637" ca="1">INDEX(OFFSET($AK$19,MATCH($B637,$B$19:$B$150,0)-1,0,COUNTA($B$19:$B$24),COUNTA($AK$17:$BB$17)),MATCH($F637,$F$19:$F$24,0),MATCH(BB$17,$AK$17:$BB$17,0))*INDEX($10:$13,MATCH($O637,$R$10:$R$13,0),COLUMN())</f>
        <v>0</v>
      </c>
      <c r="BC637" s="1053">
        <f t="shared" ca="1" si="188"/>
        <v>4.6836803314175741</v>
      </c>
      <c r="BE637" s="1"/>
      <c r="BF637" s="1"/>
      <c r="BG637" s="1"/>
      <c r="BH637" s="1"/>
      <c r="BI637" s="1"/>
      <c r="BJ637" s="1"/>
      <c r="BK637" s="1"/>
      <c r="BL637" s="1"/>
      <c r="BM637" s="1"/>
      <c r="BN637" s="1"/>
      <c r="BO637" s="1"/>
      <c r="BP637" s="1"/>
      <c r="BQ637" s="1"/>
      <c r="BR637" s="1"/>
      <c r="BS637" s="1"/>
      <c r="BT637" s="1"/>
      <c r="BU637" s="1"/>
      <c r="BV637" s="1"/>
      <c r="BW637" s="1"/>
      <c r="BX637" s="1"/>
      <c r="BY637" s="1"/>
      <c r="BZ637" s="1"/>
    </row>
    <row r="638" spans="2:78" ht="12" customHeight="1" outlineLevel="1" x14ac:dyDescent="0.25">
      <c r="B638" s="104" t="s">
        <v>110</v>
      </c>
      <c r="C638" s="104" t="s">
        <v>121</v>
      </c>
      <c r="D638" s="2" t="s">
        <v>143</v>
      </c>
      <c r="E638" s="2" t="s">
        <v>147</v>
      </c>
      <c r="F638" s="105" t="s">
        <v>96</v>
      </c>
      <c r="G638" s="27" t="s">
        <v>1582</v>
      </c>
      <c r="H638" s="106" t="s">
        <v>128</v>
      </c>
      <c r="I638" s="107" t="s">
        <v>1577</v>
      </c>
      <c r="J638" s="147">
        <v>6.3623397199999996</v>
      </c>
      <c r="K638" s="148">
        <v>0.72726000000000002</v>
      </c>
      <c r="L638" s="149">
        <f t="shared" ca="1" si="190"/>
        <v>7.5020576708420537</v>
      </c>
      <c r="M638" s="148">
        <f t="shared" ca="1" si="191"/>
        <v>6.1832064616965923</v>
      </c>
      <c r="N638" s="148">
        <f t="shared" ca="1" si="189"/>
        <v>5.455946461696592</v>
      </c>
      <c r="O638" s="1062" t="s">
        <v>1585</v>
      </c>
      <c r="P638" s="104"/>
      <c r="R638" s="119"/>
      <c r="S638" s="1072"/>
      <c r="T638" s="1072"/>
      <c r="U638" s="1072"/>
      <c r="V638" s="1072"/>
      <c r="W638" s="1072"/>
      <c r="X638" s="1072"/>
      <c r="Y638" s="1072"/>
      <c r="Z638" s="1072"/>
      <c r="AA638" s="1072"/>
      <c r="AB638" s="1072"/>
      <c r="AC638" s="1072"/>
      <c r="AD638" s="1072"/>
      <c r="AE638" s="1072"/>
      <c r="AF638" s="1072"/>
      <c r="AG638" s="1072"/>
      <c r="AH638" s="1072"/>
      <c r="AI638" s="1072"/>
      <c r="AJ638" s="1073"/>
      <c r="AK638" s="1052" cm="1">
        <f t="array" aca="1" ref="AK638" ca="1">INDEX(OFFSET($AK$19,MATCH($B638,$B$19:$B$150,0)-1,0,COUNTA($B$19:$B$24),COUNTA($AK$17:$BB$17)),MATCH($F638,$F$19:$F$24,0),MATCH(AK$17,$AK$17:$BB$17,0))*INDEX($10:$13,MATCH($O638,$R$10:$R$13,0),COLUMN())</f>
        <v>0.28630057401331199</v>
      </c>
      <c r="AL638" s="1050" cm="1">
        <f t="array" aca="1" ref="AL638" ca="1">INDEX(OFFSET($AK$19,MATCH($B638,$B$19:$B$150,0)-1,0,COUNTA($B$19:$B$24),COUNTA($AK$17:$BB$17)),MATCH($F638,$F$19:$F$24,0),MATCH(AL$17,$AK$17:$BB$17,0))*INDEX($10:$13,MATCH($O638,$R$10:$R$13,0),COLUMN())</f>
        <v>1.9867387672E-7</v>
      </c>
      <c r="AM638" s="1050" cm="1">
        <f t="array" aca="1" ref="AM638" ca="1">INDEX(OFFSET($AK$19,MATCH($B638,$B$19:$B$150,0)-1,0,COUNTA($B$19:$B$24),COUNTA($AK$17:$BB$17)),MATCH($F638,$F$19:$F$24,0),MATCH(AM$17,$AK$17:$BB$17,0))*INDEX($10:$13,MATCH($O638,$R$10:$R$13,0),COLUMN())</f>
        <v>3.1777147713999999E-4</v>
      </c>
      <c r="AN638" s="1050" cm="1">
        <f t="array" aca="1" ref="AN638" ca="1">INDEX(OFFSET($AK$19,MATCH($B638,$B$19:$B$150,0)-1,0,COUNTA($B$19:$B$24),COUNTA($AK$17:$BB$17)),MATCH($F638,$F$19:$F$24,0),MATCH(AN$17,$AK$17:$BB$17,0))*INDEX($10:$13,MATCH($O638,$R$10:$R$13,0),COLUMN())</f>
        <v>4.8425145760000003E-3</v>
      </c>
      <c r="AO638" s="1050" cm="1">
        <f t="array" aca="1" ref="AO638" ca="1">INDEX(OFFSET($AK$19,MATCH($B638,$B$19:$B$150,0)-1,0,COUNTA($B$19:$B$24),COUNTA($AK$17:$BB$17)),MATCH($F638,$F$19:$F$24,0),MATCH(AO$17,$AK$17:$BB$17,0))*INDEX($10:$13,MATCH($O638,$R$10:$R$13,0),COLUMN())</f>
        <v>0.22817315248</v>
      </c>
      <c r="AP638" s="1050" cm="1">
        <f t="array" aca="1" ref="AP638" ca="1">INDEX(OFFSET($AK$19,MATCH($B638,$B$19:$B$150,0)-1,0,COUNTA($B$19:$B$24),COUNTA($AK$17:$BB$17)),MATCH($F638,$F$19:$F$24,0),MATCH(AP$17,$AK$17:$BB$17,0))*INDEX($10:$13,MATCH($O638,$R$10:$R$13,0),COLUMN())</f>
        <v>0.14109881354000001</v>
      </c>
      <c r="AQ638" s="1050" cm="1">
        <f t="array" aca="1" ref="AQ638" ca="1">INDEX(OFFSET($AK$19,MATCH($B638,$B$19:$B$150,0)-1,0,COUNTA($B$19:$B$24),COUNTA($AK$17:$BB$17)),MATCH($F638,$F$19:$F$24,0),MATCH(AQ$17,$AK$17:$BB$17,0))*INDEX($10:$13,MATCH($O638,$R$10:$R$13,0),COLUMN())</f>
        <v>1.0982786952999999E-3</v>
      </c>
      <c r="AR638" s="1050" cm="1">
        <f t="array" aca="1" ref="AR638" ca="1">INDEX(OFFSET($AK$19,MATCH($B638,$B$19:$B$150,0)-1,0,COUNTA($B$19:$B$24),COUNTA($AK$17:$BB$17)),MATCH($F638,$F$19:$F$24,0),MATCH(AR$17,$AK$17:$BB$17,0))*INDEX($10:$13,MATCH($O638,$R$10:$R$13,0),COLUMN())</f>
        <v>5.8411814739999998E-2</v>
      </c>
      <c r="AS638" s="1050" cm="1">
        <f t="array" aca="1" ref="AS638" ca="1">INDEX(OFFSET($AK$19,MATCH($B638,$B$19:$B$150,0)-1,0,COUNTA($B$19:$B$24),COUNTA($AK$17:$BB$17)),MATCH($F638,$F$19:$F$24,0),MATCH(AS$17,$AK$17:$BB$17,0))*INDEX($10:$13,MATCH($O638,$R$10:$R$13,0),COLUMN())</f>
        <v>1.4862055285E-2</v>
      </c>
      <c r="AT638" s="1050" cm="1">
        <f t="array" aca="1" ref="AT638" ca="1">INDEX(OFFSET($AK$19,MATCH($B638,$B$19:$B$150,0)-1,0,COUNTA($B$19:$B$24),COUNTA($AK$17:$BB$17)),MATCH($F638,$F$19:$F$24,0),MATCH(AT$17,$AK$17:$BB$17,0))*INDEX($10:$13,MATCH($O638,$R$10:$R$13,0),COLUMN())</f>
        <v>2.4057809041E-5</v>
      </c>
      <c r="AU638" s="1050" cm="1">
        <f t="array" aca="1" ref="AU638" ca="1">INDEX(OFFSET($AK$19,MATCH($B638,$B$19:$B$150,0)-1,0,COUNTA($B$19:$B$24),COUNTA($AK$17:$BB$17)),MATCH($F638,$F$19:$F$24,0),MATCH(AU$17,$AK$17:$BB$17,0))*INDEX($10:$13,MATCH($O638,$R$10:$R$13,0),COLUMN())</f>
        <v>4.4828993483999999E-6</v>
      </c>
      <c r="AV638" s="1050" cm="1">
        <f t="array" aca="1" ref="AV638" ca="1">INDEX(OFFSET($AK$19,MATCH($B638,$B$19:$B$150,0)-1,0,COUNTA($B$19:$B$24),COUNTA($AK$17:$BB$17)),MATCH($F638,$F$19:$F$24,0),MATCH(AV$17,$AK$17:$BB$17,0))*INDEX($10:$13,MATCH($O638,$R$10:$R$13,0),COLUMN())</f>
        <v>3.7132416089999995E-2</v>
      </c>
      <c r="AW638" s="1050" cm="1">
        <f t="array" aca="1" ref="AW638" ca="1">INDEX(OFFSET($AK$19,MATCH($B638,$B$19:$B$150,0)-1,0,COUNTA($B$19:$B$24),COUNTA($AK$17:$BB$17)),MATCH($F638,$F$19:$F$24,0),MATCH(AW$17,$AK$17:$BB$17,0))*INDEX($10:$13,MATCH($O638,$R$10:$R$13,0),COLUMN())</f>
        <v>4.683679143</v>
      </c>
      <c r="AX638" s="1050" cm="1">
        <f t="array" aca="1" ref="AX638" ca="1">INDEX(OFFSET($AK$19,MATCH($B638,$B$19:$B$150,0)-1,0,COUNTA($B$19:$B$24),COUNTA($AK$17:$BB$17)),MATCH($F638,$F$19:$F$24,0),MATCH(AX$17,$AK$17:$BB$17,0))*INDEX($10:$13,MATCH($O638,$R$10:$R$13,0),COLUMN())</f>
        <v>1.2198564255000001E-6</v>
      </c>
      <c r="AY638" s="1050" cm="1">
        <f t="array" aca="1" ref="AY638" ca="1">INDEX(OFFSET($AK$19,MATCH($B638,$B$19:$B$150,0)-1,0,COUNTA($B$19:$B$24),COUNTA($AK$17:$BB$17)),MATCH($F638,$F$19:$F$24,0),MATCH(AY$17,$AK$17:$BB$17,0))*INDEX($10:$13,MATCH($O638,$R$10:$R$13,0),COLUMN())</f>
        <v>-3.1438851618750001E-8</v>
      </c>
      <c r="AZ638" s="1050" cm="1">
        <f t="array" aca="1" ref="AZ638" ca="1">INDEX(OFFSET($AK$19,MATCH($B638,$B$19:$B$150,0)-1,0,COUNTA($B$19:$B$24),COUNTA($AK$17:$BB$17)),MATCH($F638,$F$19:$F$24,0),MATCH(AZ$17,$AK$17:$BB$17,0))*INDEX($10:$13,MATCH($O638,$R$10:$R$13,0),COLUMN())</f>
        <v>0</v>
      </c>
      <c r="BA638" s="1050" cm="1">
        <f t="array" aca="1" ref="BA638" ca="1">INDEX(OFFSET($AK$19,MATCH($B638,$B$19:$B$150,0)-1,0,COUNTA($B$19:$B$24),COUNTA($AK$17:$BB$17)),MATCH($F638,$F$19:$F$24,0),MATCH(BA$17,$AK$17:$BB$17,0))*INDEX($10:$13,MATCH($O638,$R$10:$R$13,0),COLUMN())</f>
        <v>0</v>
      </c>
      <c r="BB638" s="1051" cm="1">
        <f t="array" aca="1" ref="BB638" ca="1">INDEX(OFFSET($AK$19,MATCH($B638,$B$19:$B$150,0)-1,0,COUNTA($B$19:$B$24),COUNTA($AK$17:$BB$17)),MATCH($F638,$F$19:$F$24,0),MATCH(BB$17,$AK$17:$BB$17,0))*INDEX($10:$13,MATCH($O638,$R$10:$R$13,0),COLUMN())</f>
        <v>0</v>
      </c>
      <c r="BC638" s="1053">
        <f t="shared" ca="1" si="188"/>
        <v>4.6836803314175741</v>
      </c>
      <c r="BE638" s="1"/>
      <c r="BF638" s="1"/>
      <c r="BG638" s="1"/>
      <c r="BH638" s="1"/>
      <c r="BI638" s="1"/>
      <c r="BJ638" s="1"/>
      <c r="BK638" s="1"/>
      <c r="BL638" s="1"/>
      <c r="BM638" s="1"/>
      <c r="BN638" s="1"/>
      <c r="BO638" s="1"/>
      <c r="BP638" s="1"/>
      <c r="BQ638" s="1"/>
      <c r="BR638" s="1"/>
      <c r="BS638" s="1"/>
      <c r="BT638" s="1"/>
      <c r="BU638" s="1"/>
      <c r="BV638" s="1"/>
      <c r="BW638" s="1"/>
      <c r="BX638" s="1"/>
      <c r="BY638" s="1"/>
      <c r="BZ638" s="1"/>
    </row>
    <row r="639" spans="2:78" ht="12" customHeight="1" outlineLevel="1" x14ac:dyDescent="0.25">
      <c r="B639" s="88" t="s">
        <v>111</v>
      </c>
      <c r="C639" s="88" t="s">
        <v>121</v>
      </c>
      <c r="D639" s="89" t="s">
        <v>148</v>
      </c>
      <c r="E639" s="89" t="s">
        <v>149</v>
      </c>
      <c r="F639" s="90" t="s">
        <v>92</v>
      </c>
      <c r="G639" s="18" t="s">
        <v>126</v>
      </c>
      <c r="H639" s="91" t="s">
        <v>127</v>
      </c>
      <c r="I639" s="92" t="s">
        <v>127</v>
      </c>
      <c r="J639" s="142">
        <v>0.76959932000000009</v>
      </c>
      <c r="K639" s="143">
        <v>0.23780000000000001</v>
      </c>
      <c r="L639" s="144">
        <f t="shared" ca="1" si="190"/>
        <v>1.8857227428488839</v>
      </c>
      <c r="M639" s="143">
        <f t="shared" ca="1" si="191"/>
        <v>0.6862248682494646</v>
      </c>
      <c r="N639" s="162">
        <f t="shared" ca="1" si="189"/>
        <v>0.44842486824946459</v>
      </c>
      <c r="O639" s="1060" t="s">
        <v>1585</v>
      </c>
      <c r="P639" s="88"/>
      <c r="Q639" s="89"/>
      <c r="R639" s="150"/>
      <c r="S639" s="1070"/>
      <c r="T639" s="1070"/>
      <c r="U639" s="1070"/>
      <c r="V639" s="1070"/>
      <c r="W639" s="1070"/>
      <c r="X639" s="1070"/>
      <c r="Y639" s="1070"/>
      <c r="Z639" s="1070"/>
      <c r="AA639" s="1070"/>
      <c r="AB639" s="1070"/>
      <c r="AC639" s="1070"/>
      <c r="AD639" s="1070"/>
      <c r="AE639" s="1070"/>
      <c r="AF639" s="1070"/>
      <c r="AG639" s="1070"/>
      <c r="AH639" s="1070"/>
      <c r="AI639" s="1070"/>
      <c r="AJ639" s="1071"/>
      <c r="AK639" s="1048" cm="1">
        <f t="array" aca="1" ref="AK639" ca="1">INDEX(OFFSET($AK$19,MATCH($B639,$B$19:$B$150,0)-1,0,COUNTA($B$19:$B$24),COUNTA($AK$17:$BB$17)),MATCH($F639,$F$19:$F$24,0),MATCH(AK$17,$AK$17:$BB$17,0))*INDEX($10:$13,MATCH($O639,$R$10:$R$13,0),COLUMN())</f>
        <v>3.4404643558809601E-2</v>
      </c>
      <c r="AL639" s="1046" cm="1">
        <f t="array" aca="1" ref="AL639" ca="1">INDEX(OFFSET($AK$19,MATCH($B639,$B$19:$B$150,0)-1,0,COUNTA($B$19:$B$24),COUNTA($AK$17:$BB$17)),MATCH($F639,$F$19:$F$24,0),MATCH(AL$17,$AK$17:$BB$17,0))*INDEX($10:$13,MATCH($O639,$R$10:$R$13,0),COLUMN())</f>
        <v>5.5601613349999999E-8</v>
      </c>
      <c r="AM639" s="1046" cm="1">
        <f t="array" aca="1" ref="AM639" ca="1">INDEX(OFFSET($AK$19,MATCH($B639,$B$19:$B$150,0)-1,0,COUNTA($B$19:$B$24),COUNTA($AK$17:$BB$17)),MATCH($F639,$F$19:$F$24,0),MATCH(AM$17,$AK$17:$BB$17,0))*INDEX($10:$13,MATCH($O639,$R$10:$R$13,0),COLUMN())</f>
        <v>8.9874131620000001E-5</v>
      </c>
      <c r="AN639" s="1046" cm="1">
        <f t="array" aca="1" ref="AN639" ca="1">INDEX(OFFSET($AK$19,MATCH($B639,$B$19:$B$150,0)-1,0,COUNTA($B$19:$B$24),COUNTA($AK$17:$BB$17)),MATCH($F639,$F$19:$F$24,0),MATCH(AN$17,$AK$17:$BB$17,0))*INDEX($10:$13,MATCH($O639,$R$10:$R$13,0),COLUMN())</f>
        <v>3.98781912E-4</v>
      </c>
      <c r="AO639" s="1046" cm="1">
        <f t="array" aca="1" ref="AO639" ca="1">INDEX(OFFSET($AK$19,MATCH($B639,$B$19:$B$150,0)-1,0,COUNTA($B$19:$B$24),COUNTA($AK$17:$BB$17)),MATCH($F639,$F$19:$F$24,0),MATCH(AO$17,$AK$17:$BB$17,0))*INDEX($10:$13,MATCH($O639,$R$10:$R$13,0),COLUMN())</f>
        <v>1.262799712E-2</v>
      </c>
      <c r="AP639" s="1046" cm="1">
        <f t="array" aca="1" ref="AP639" ca="1">INDEX(OFFSET($AK$19,MATCH($B639,$B$19:$B$150,0)-1,0,COUNTA($B$19:$B$24),COUNTA($AK$17:$BB$17)),MATCH($F639,$F$19:$F$24,0),MATCH(AP$17,$AK$17:$BB$17,0))*INDEX($10:$13,MATCH($O639,$R$10:$R$13,0),COLUMN())</f>
        <v>7.1283619139999995E-3</v>
      </c>
      <c r="AQ639" s="1046" cm="1">
        <f t="array" aca="1" ref="AQ639" ca="1">INDEX(OFFSET($AK$19,MATCH($B639,$B$19:$B$150,0)-1,0,COUNTA($B$19:$B$24),COUNTA($AK$17:$BB$17)),MATCH($F639,$F$19:$F$24,0),MATCH(AQ$17,$AK$17:$BB$17,0))*INDEX($10:$13,MATCH($O639,$R$10:$R$13,0),COLUMN())</f>
        <v>1.0375701551E-4</v>
      </c>
      <c r="AR639" s="1046" cm="1">
        <f t="array" aca="1" ref="AR639" ca="1">INDEX(OFFSET($AK$19,MATCH($B639,$B$19:$B$150,0)-1,0,COUNTA($B$19:$B$24),COUNTA($AK$17:$BB$17)),MATCH($F639,$F$19:$F$24,0),MATCH(AR$17,$AK$17:$BB$17,0))*INDEX($10:$13,MATCH($O639,$R$10:$R$13,0),COLUMN())</f>
        <v>4.7427639949999996E-3</v>
      </c>
      <c r="AS639" s="1046" cm="1">
        <f t="array" aca="1" ref="AS639" ca="1">INDEX(OFFSET($AK$19,MATCH($B639,$B$19:$B$150,0)-1,0,COUNTA($B$19:$B$24),COUNTA($AK$17:$BB$17)),MATCH($F639,$F$19:$F$24,0),MATCH(AS$17,$AK$17:$BB$17,0))*INDEX($10:$13,MATCH($O639,$R$10:$R$13,0),COLUMN())</f>
        <v>0.21994424525</v>
      </c>
      <c r="AT639" s="1046" cm="1">
        <f t="array" aca="1" ref="AT639" ca="1">INDEX(OFFSET($AK$19,MATCH($B639,$B$19:$B$150,0)-1,0,COUNTA($B$19:$B$24),COUNTA($AK$17:$BB$17)),MATCH($F639,$F$19:$F$24,0),MATCH(AT$17,$AK$17:$BB$17,0))*INDEX($10:$13,MATCH($O639,$R$10:$R$13,0),COLUMN())</f>
        <v>2.4119831027999999E-4</v>
      </c>
      <c r="AU639" s="1046" cm="1">
        <f t="array" aca="1" ref="AU639" ca="1">INDEX(OFFSET($AK$19,MATCH($B639,$B$19:$B$150,0)-1,0,COUNTA($B$19:$B$24),COUNTA($AK$17:$BB$17)),MATCH($F639,$F$19:$F$24,0),MATCH(AU$17,$AK$17:$BB$17,0))*INDEX($10:$13,MATCH($O639,$R$10:$R$13,0),COLUMN())</f>
        <v>1.2366469935E-5</v>
      </c>
      <c r="AV639" s="1046" cm="1">
        <f t="array" aca="1" ref="AV639" ca="1">INDEX(OFFSET($AK$19,MATCH($B639,$B$19:$B$150,0)-1,0,COUNTA($B$19:$B$24),COUNTA($AK$17:$BB$17)),MATCH($F639,$F$19:$F$24,0),MATCH(AV$17,$AK$17:$BB$17,0))*INDEX($10:$13,MATCH($O639,$R$10:$R$13,0),COLUMN())</f>
        <v>3.7644461190000002E-3</v>
      </c>
      <c r="AW639" s="1046" cm="1">
        <f t="array" aca="1" ref="AW639" ca="1">INDEX(OFFSET($AK$19,MATCH($B639,$B$19:$B$150,0)-1,0,COUNTA($B$19:$B$24),COUNTA($AK$17:$BB$17)),MATCH($F639,$F$19:$F$24,0),MATCH(AW$17,$AK$17:$BB$17,0))*INDEX($10:$13,MATCH($O639,$R$10:$R$13,0),COLUMN())</f>
        <v>0.16496579630000002</v>
      </c>
      <c r="AX639" s="1046" cm="1">
        <f t="array" aca="1" ref="AX639" ca="1">INDEX(OFFSET($AK$19,MATCH($B639,$B$19:$B$150,0)-1,0,COUNTA($B$19:$B$24),COUNTA($AK$17:$BB$17)),MATCH($F639,$F$19:$F$24,0),MATCH(AX$17,$AK$17:$BB$17,0))*INDEX($10:$13,MATCH($O639,$R$10:$R$13,0),COLUMN())</f>
        <v>5.9631861905000004E-7</v>
      </c>
      <c r="AY639" s="1046" cm="1">
        <f t="array" aca="1" ref="AY639" ca="1">INDEX(OFFSET($AK$19,MATCH($B639,$B$19:$B$150,0)-1,0,COUNTA($B$19:$B$24),COUNTA($AK$17:$BB$17)),MATCH($F639,$F$19:$F$24,0),MATCH(AY$17,$AK$17:$BB$17,0))*INDEX($10:$13,MATCH($O639,$R$10:$R$13,0),COLUMN())</f>
        <v>-1.5766922510625001E-8</v>
      </c>
      <c r="AZ639" s="1046" cm="1">
        <f t="array" aca="1" ref="AZ639" ca="1">INDEX(OFFSET($AK$19,MATCH($B639,$B$19:$B$150,0)-1,0,COUNTA($B$19:$B$24),COUNTA($AK$17:$BB$17)),MATCH($F639,$F$19:$F$24,0),MATCH(AZ$17,$AK$17:$BB$17,0))*INDEX($10:$13,MATCH($O639,$R$10:$R$13,0),COLUMN())</f>
        <v>0</v>
      </c>
      <c r="BA639" s="1046" cm="1">
        <f t="array" aca="1" ref="BA639" ca="1">INDEX(OFFSET($AK$19,MATCH($B639,$B$19:$B$150,0)-1,0,COUNTA($B$19:$B$24),COUNTA($AK$17:$BB$17)),MATCH($F639,$F$19:$F$24,0),MATCH(BA$17,$AK$17:$BB$17,0))*INDEX($10:$13,MATCH($O639,$R$10:$R$13,0),COLUMN())</f>
        <v>0</v>
      </c>
      <c r="BB639" s="1047" cm="1">
        <f t="array" aca="1" ref="BB639" ca="1">INDEX(OFFSET($AK$19,MATCH($B639,$B$19:$B$150,0)-1,0,COUNTA($B$19:$B$24),COUNTA($AK$17:$BB$17)),MATCH($F639,$F$19:$F$24,0),MATCH(BB$17,$AK$17:$BB$17,0))*INDEX($10:$13,MATCH($O639,$R$10:$R$13,0),COLUMN())</f>
        <v>0</v>
      </c>
      <c r="BC639" s="1049">
        <f t="shared" ca="1" si="188"/>
        <v>0.16496637685169654</v>
      </c>
      <c r="BE639" s="1"/>
      <c r="BF639" s="1"/>
      <c r="BG639" s="1"/>
      <c r="BH639" s="1"/>
      <c r="BI639" s="1"/>
      <c r="BJ639" s="1"/>
      <c r="BK639" s="1"/>
      <c r="BL639" s="1"/>
      <c r="BM639" s="1"/>
      <c r="BN639" s="1"/>
      <c r="BO639" s="1"/>
      <c r="BP639" s="1"/>
      <c r="BQ639" s="1"/>
      <c r="BR639" s="1"/>
      <c r="BS639" s="1"/>
      <c r="BT639" s="1"/>
      <c r="BU639" s="1"/>
      <c r="BV639" s="1"/>
      <c r="BW639" s="1"/>
      <c r="BX639" s="1"/>
      <c r="BY639" s="1"/>
      <c r="BZ639" s="1"/>
    </row>
    <row r="640" spans="2:78" ht="12" customHeight="1" outlineLevel="1" x14ac:dyDescent="0.25">
      <c r="B640" s="104" t="s">
        <v>111</v>
      </c>
      <c r="C640" s="104" t="s">
        <v>121</v>
      </c>
      <c r="D640" s="2" t="s">
        <v>148</v>
      </c>
      <c r="E640" s="2" t="s">
        <v>149</v>
      </c>
      <c r="F640" s="105" t="s">
        <v>122</v>
      </c>
      <c r="G640" s="27" t="s">
        <v>1579</v>
      </c>
      <c r="H640" s="106" t="s">
        <v>128</v>
      </c>
      <c r="I640" s="107" t="s">
        <v>129</v>
      </c>
      <c r="J640" s="147">
        <v>0.76959932000000009</v>
      </c>
      <c r="K640" s="148">
        <v>1.79</v>
      </c>
      <c r="L640" s="149">
        <f t="shared" ca="1" si="190"/>
        <v>0.13527095318992166</v>
      </c>
      <c r="M640" s="148">
        <f t="shared" ca="1" si="191"/>
        <v>2.0321350062099599</v>
      </c>
      <c r="N640" s="163">
        <f t="shared" ca="1" si="189"/>
        <v>0.24213500620995976</v>
      </c>
      <c r="O640" s="1061" t="s">
        <v>1585</v>
      </c>
      <c r="P640" s="104"/>
      <c r="R640" s="119"/>
      <c r="S640" s="1072"/>
      <c r="T640" s="1072"/>
      <c r="U640" s="1072"/>
      <c r="V640" s="1072"/>
      <c r="W640" s="1072"/>
      <c r="X640" s="1072"/>
      <c r="Y640" s="1072"/>
      <c r="Z640" s="1072"/>
      <c r="AA640" s="1072"/>
      <c r="AB640" s="1072"/>
      <c r="AC640" s="1072"/>
      <c r="AD640" s="1072"/>
      <c r="AE640" s="1072"/>
      <c r="AF640" s="1072"/>
      <c r="AG640" s="1072"/>
      <c r="AH640" s="1072"/>
      <c r="AI640" s="1072"/>
      <c r="AJ640" s="1073"/>
      <c r="AK640" s="1052" cm="1">
        <f t="array" aca="1" ref="AK640" ca="1">INDEX(OFFSET($AK$19,MATCH($B640,$B$19:$B$150,0)-1,0,COUNTA($B$19:$B$24),COUNTA($AK$17:$BB$17)),MATCH($F640,$F$19:$F$24,0),MATCH(AK$17,$AK$17:$BB$17,0))*INDEX($10:$13,MATCH($O640,$R$10:$R$13,0),COLUMN())</f>
        <v>1.8421318626681598E-2</v>
      </c>
      <c r="AL640" s="1050" cm="1">
        <f t="array" aca="1" ref="AL640" ca="1">INDEX(OFFSET($AK$19,MATCH($B640,$B$19:$B$150,0)-1,0,COUNTA($B$19:$B$24),COUNTA($AK$17:$BB$17)),MATCH($F640,$F$19:$F$24,0),MATCH(AL$17,$AK$17:$BB$17,0))*INDEX($10:$13,MATCH($O640,$R$10:$R$13,0),COLUMN())</f>
        <v>2.5745086317E-8</v>
      </c>
      <c r="AM640" s="1050" cm="1">
        <f t="array" aca="1" ref="AM640" ca="1">INDEX(OFFSET($AK$19,MATCH($B640,$B$19:$B$150,0)-1,0,COUNTA($B$19:$B$24),COUNTA($AK$17:$BB$17)),MATCH($F640,$F$19:$F$24,0),MATCH(AM$17,$AK$17:$BB$17,0))*INDEX($10:$13,MATCH($O640,$R$10:$R$13,0),COLUMN())</f>
        <v>4.1124245317999999E-5</v>
      </c>
      <c r="AN640" s="1050" cm="1">
        <f t="array" aca="1" ref="AN640" ca="1">INDEX(OFFSET($AK$19,MATCH($B640,$B$19:$B$150,0)-1,0,COUNTA($B$19:$B$24),COUNTA($AK$17:$BB$17)),MATCH($F640,$F$19:$F$24,0),MATCH(AN$17,$AK$17:$BB$17,0))*INDEX($10:$13,MATCH($O640,$R$10:$R$13,0),COLUMN())</f>
        <v>4.7263023839999997E-4</v>
      </c>
      <c r="AO640" s="1050" cm="1">
        <f t="array" aca="1" ref="AO640" ca="1">INDEX(OFFSET($AK$19,MATCH($B640,$B$19:$B$150,0)-1,0,COUNTA($B$19:$B$24),COUNTA($AK$17:$BB$17)),MATCH($F640,$F$19:$F$24,0),MATCH(AO$17,$AK$17:$BB$17,0))*INDEX($10:$13,MATCH($O640,$R$10:$R$13,0),COLUMN())</f>
        <v>5.3515098223999996E-3</v>
      </c>
      <c r="AP640" s="1050" cm="1">
        <f t="array" aca="1" ref="AP640" ca="1">INDEX(OFFSET($AK$19,MATCH($B640,$B$19:$B$150,0)-1,0,COUNTA($B$19:$B$24),COUNTA($AK$17:$BB$17)),MATCH($F640,$F$19:$F$24,0),MATCH(AP$17,$AK$17:$BB$17,0))*INDEX($10:$13,MATCH($O640,$R$10:$R$13,0),COLUMN())</f>
        <v>1.7177707196E-3</v>
      </c>
      <c r="AQ640" s="1050" cm="1">
        <f t="array" aca="1" ref="AQ640" ca="1">INDEX(OFFSET($AK$19,MATCH($B640,$B$19:$B$150,0)-1,0,COUNTA($B$19:$B$24),COUNTA($AK$17:$BB$17)),MATCH($F640,$F$19:$F$24,0),MATCH(AQ$17,$AK$17:$BB$17,0))*INDEX($10:$13,MATCH($O640,$R$10:$R$13,0),COLUMN())</f>
        <v>8.3594577129999996E-6</v>
      </c>
      <c r="AR640" s="1050" cm="1">
        <f t="array" aca="1" ref="AR640" ca="1">INDEX(OFFSET($AK$19,MATCH($B640,$B$19:$B$150,0)-1,0,COUNTA($B$19:$B$24),COUNTA($AK$17:$BB$17)),MATCH($F640,$F$19:$F$24,0),MATCH(AR$17,$AK$17:$BB$17,0))*INDEX($10:$13,MATCH($O640,$R$10:$R$13,0),COLUMN())</f>
        <v>2.2628653272999998E-3</v>
      </c>
      <c r="AS640" s="1050" cm="1">
        <f t="array" aca="1" ref="AS640" ca="1">INDEX(OFFSET($AK$19,MATCH($B640,$B$19:$B$150,0)-1,0,COUNTA($B$19:$B$24),COUNTA($AK$17:$BB$17)),MATCH($F640,$F$19:$F$24,0),MATCH(AS$17,$AK$17:$BB$17,0))*INDEX($10:$13,MATCH($O640,$R$10:$R$13,0),COLUMN())</f>
        <v>6.3549679384999997E-5</v>
      </c>
      <c r="AT640" s="1050" cm="1">
        <f t="array" aca="1" ref="AT640" ca="1">INDEX(OFFSET($AK$19,MATCH($B640,$B$19:$B$150,0)-1,0,COUNTA($B$19:$B$24),COUNTA($AK$17:$BB$17)),MATCH($F640,$F$19:$F$24,0),MATCH(AT$17,$AK$17:$BB$17,0))*INDEX($10:$13,MATCH($O640,$R$10:$R$13,0),COLUMN())</f>
        <v>7.4855151369999999E-7</v>
      </c>
      <c r="AU640" s="1050" cm="1">
        <f t="array" aca="1" ref="AU640" ca="1">INDEX(OFFSET($AK$19,MATCH($B640,$B$19:$B$150,0)-1,0,COUNTA($B$19:$B$24),COUNTA($AK$17:$BB$17)),MATCH($F640,$F$19:$F$24,0),MATCH(AU$17,$AK$17:$BB$17,0))*INDEX($10:$13,MATCH($O640,$R$10:$R$13,0),COLUMN())</f>
        <v>1.8866337399000002E-7</v>
      </c>
      <c r="AV640" s="1050" cm="1">
        <f t="array" aca="1" ref="AV640" ca="1">INDEX(OFFSET($AK$19,MATCH($B640,$B$19:$B$150,0)-1,0,COUNTA($B$19:$B$24),COUNTA($AK$17:$BB$17)),MATCH($F640,$F$19:$F$24,0),MATCH(AV$17,$AK$17:$BB$17,0))*INDEX($10:$13,MATCH($O640,$R$10:$R$13,0),COLUMN())</f>
        <v>3.1245005159999997E-4</v>
      </c>
      <c r="AW640" s="1050" cm="1">
        <f t="array" aca="1" ref="AW640" ca="1">INDEX(OFFSET($AK$19,MATCH($B640,$B$19:$B$150,0)-1,0,COUNTA($B$19:$B$24),COUNTA($AK$17:$BB$17)),MATCH($F640,$F$19:$F$24,0),MATCH(AW$17,$AK$17:$BB$17,0))*INDEX($10:$13,MATCH($O640,$R$10:$R$13,0),COLUMN())</f>
        <v>0.2134823324</v>
      </c>
      <c r="AX640" s="1050" cm="1">
        <f t="array" aca="1" ref="AX640" ca="1">INDEX(OFFSET($AK$19,MATCH($B640,$B$19:$B$150,0)-1,0,COUNTA($B$19:$B$24),COUNTA($AK$17:$BB$17)),MATCH($F640,$F$19:$F$24,0),MATCH(AX$17,$AK$17:$BB$17,0))*INDEX($10:$13,MATCH($O640,$R$10:$R$13,0),COLUMN())</f>
        <v>1.3619159725E-7</v>
      </c>
      <c r="AY640" s="1050" cm="1">
        <f t="array" aca="1" ref="AY640" ca="1">INDEX(OFFSET($AK$19,MATCH($B640,$B$19:$B$150,0)-1,0,COUNTA($B$19:$B$24),COUNTA($AK$17:$BB$17)),MATCH($F640,$F$19:$F$24,0),MATCH(AY$17,$AK$17:$BB$17,0))*INDEX($10:$13,MATCH($O640,$R$10:$R$13,0),COLUMN())</f>
        <v>-3.5100090993750002E-9</v>
      </c>
      <c r="AZ640" s="1050" cm="1">
        <f t="array" aca="1" ref="AZ640" ca="1">INDEX(OFFSET($AK$19,MATCH($B640,$B$19:$B$150,0)-1,0,COUNTA($B$19:$B$24),COUNTA($AK$17:$BB$17)),MATCH($F640,$F$19:$F$24,0),MATCH(AZ$17,$AK$17:$BB$17,0))*INDEX($10:$13,MATCH($O640,$R$10:$R$13,0),COLUMN())</f>
        <v>0</v>
      </c>
      <c r="BA640" s="1050" cm="1">
        <f t="array" aca="1" ref="BA640" ca="1">INDEX(OFFSET($AK$19,MATCH($B640,$B$19:$B$150,0)-1,0,COUNTA($B$19:$B$24),COUNTA($AK$17:$BB$17)),MATCH($F640,$F$19:$F$24,0),MATCH(BA$17,$AK$17:$BB$17,0))*INDEX($10:$13,MATCH($O640,$R$10:$R$13,0),COLUMN())</f>
        <v>0</v>
      </c>
      <c r="BB640" s="1051" cm="1">
        <f t="array" aca="1" ref="BB640" ca="1">INDEX(OFFSET($AK$19,MATCH($B640,$B$19:$B$150,0)-1,0,COUNTA($B$19:$B$24),COUNTA($AK$17:$BB$17)),MATCH($F640,$F$19:$F$24,0),MATCH(BB$17,$AK$17:$BB$17,0))*INDEX($10:$13,MATCH($O640,$R$10:$R$13,0),COLUMN())</f>
        <v>0</v>
      </c>
      <c r="BC640" s="1053">
        <f t="shared" ca="1" si="188"/>
        <v>0.21348246508158816</v>
      </c>
      <c r="BE640" s="1"/>
      <c r="BF640" s="1"/>
      <c r="BG640" s="1"/>
      <c r="BH640" s="1"/>
      <c r="BI640" s="1"/>
      <c r="BJ640" s="1"/>
      <c r="BK640" s="1"/>
      <c r="BL640" s="1"/>
      <c r="BM640" s="1"/>
      <c r="BN640" s="1"/>
      <c r="BO640" s="1"/>
      <c r="BP640" s="1"/>
      <c r="BQ640" s="1"/>
      <c r="BR640" s="1"/>
      <c r="BS640" s="1"/>
      <c r="BT640" s="1"/>
      <c r="BU640" s="1"/>
      <c r="BV640" s="1"/>
      <c r="BW640" s="1"/>
      <c r="BX640" s="1"/>
      <c r="BY640" s="1"/>
      <c r="BZ640" s="1"/>
    </row>
    <row r="641" spans="2:78" ht="12" customHeight="1" outlineLevel="1" x14ac:dyDescent="0.25">
      <c r="B641" s="104" t="s">
        <v>111</v>
      </c>
      <c r="C641" s="104" t="s">
        <v>121</v>
      </c>
      <c r="D641" s="2" t="s">
        <v>148</v>
      </c>
      <c r="E641" s="2" t="s">
        <v>149</v>
      </c>
      <c r="F641" s="105" t="s">
        <v>93</v>
      </c>
      <c r="G641" s="27" t="s">
        <v>1578</v>
      </c>
      <c r="H641" s="106" t="s">
        <v>130</v>
      </c>
      <c r="I641" s="107" t="s">
        <v>129</v>
      </c>
      <c r="J641" s="147">
        <v>0.76959932000000009</v>
      </c>
      <c r="K641" s="148">
        <v>1.79</v>
      </c>
      <c r="L641" s="149">
        <f t="shared" ca="1" si="190"/>
        <v>0.20551321910817411</v>
      </c>
      <c r="M641" s="148">
        <f t="shared" ca="1" si="191"/>
        <v>2.1578686622036316</v>
      </c>
      <c r="N641" s="163">
        <f t="shared" ca="1" si="189"/>
        <v>0.36786866220363168</v>
      </c>
      <c r="O641" s="1061" t="s">
        <v>1585</v>
      </c>
      <c r="P641" s="104"/>
      <c r="R641" s="119"/>
      <c r="S641" s="1072"/>
      <c r="T641" s="1072"/>
      <c r="U641" s="1072"/>
      <c r="V641" s="1072"/>
      <c r="W641" s="1072"/>
      <c r="X641" s="1072"/>
      <c r="Y641" s="1072"/>
      <c r="Z641" s="1072"/>
      <c r="AA641" s="1072"/>
      <c r="AB641" s="1072"/>
      <c r="AC641" s="1072"/>
      <c r="AD641" s="1072"/>
      <c r="AE641" s="1072"/>
      <c r="AF641" s="1072"/>
      <c r="AG641" s="1072"/>
      <c r="AH641" s="1072"/>
      <c r="AI641" s="1072"/>
      <c r="AJ641" s="1073"/>
      <c r="AK641" s="1052" cm="1">
        <f t="array" aca="1" ref="AK641" ca="1">INDEX(OFFSET($AK$19,MATCH($B641,$B$19:$B$150,0)-1,0,COUNTA($B$19:$B$24),COUNTA($AK$17:$BB$17)),MATCH($F641,$F$19:$F$24,0),MATCH(AK$17,$AK$17:$BB$17,0))*INDEX($10:$13,MATCH($O641,$R$10:$R$13,0),COLUMN())</f>
        <v>2.7984295316620802E-2</v>
      </c>
      <c r="AL641" s="1050" cm="1">
        <f t="array" aca="1" ref="AL641" ca="1">INDEX(OFFSET($AK$19,MATCH($B641,$B$19:$B$150,0)-1,0,COUNTA($B$19:$B$24),COUNTA($AK$17:$BB$17)),MATCH($F641,$F$19:$F$24,0),MATCH(AL$17,$AK$17:$BB$17,0))*INDEX($10:$13,MATCH($O641,$R$10:$R$13,0),COLUMN())</f>
        <v>3.9110017956000003E-8</v>
      </c>
      <c r="AM641" s="1050" cm="1">
        <f t="array" aca="1" ref="AM641" ca="1">INDEX(OFFSET($AK$19,MATCH($B641,$B$19:$B$150,0)-1,0,COUNTA($B$19:$B$24),COUNTA($AK$17:$BB$17)),MATCH($F641,$F$19:$F$24,0),MATCH(AM$17,$AK$17:$BB$17,0))*INDEX($10:$13,MATCH($O641,$R$10:$R$13,0),COLUMN())</f>
        <v>6.2472892560000011E-5</v>
      </c>
      <c r="AN641" s="1050" cm="1">
        <f t="array" aca="1" ref="AN641" ca="1">INDEX(OFFSET($AK$19,MATCH($B641,$B$19:$B$150,0)-1,0,COUNTA($B$19:$B$24),COUNTA($AK$17:$BB$17)),MATCH($F641,$F$19:$F$24,0),MATCH(AN$17,$AK$17:$BB$17,0))*INDEX($10:$13,MATCH($O641,$R$10:$R$13,0),COLUMN())</f>
        <v>7.1798465200000007E-4</v>
      </c>
      <c r="AO641" s="1050" cm="1">
        <f t="array" aca="1" ref="AO641" ca="1">INDEX(OFFSET($AK$19,MATCH($B641,$B$19:$B$150,0)-1,0,COUNTA($B$19:$B$24),COUNTA($AK$17:$BB$17)),MATCH($F641,$F$19:$F$24,0),MATCH(AO$17,$AK$17:$BB$17,0))*INDEX($10:$13,MATCH($O641,$R$10:$R$13,0),COLUMN())</f>
        <v>8.1296153120000002E-3</v>
      </c>
      <c r="AP641" s="1050" cm="1">
        <f t="array" aca="1" ref="AP641" ca="1">INDEX(OFFSET($AK$19,MATCH($B641,$B$19:$B$150,0)-1,0,COUNTA($B$19:$B$24),COUNTA($AK$17:$BB$17)),MATCH($F641,$F$19:$F$24,0),MATCH(AP$17,$AK$17:$BB$17,0))*INDEX($10:$13,MATCH($O641,$R$10:$R$13,0),COLUMN())</f>
        <v>2.6095093229999999E-3</v>
      </c>
      <c r="AQ641" s="1050" cm="1">
        <f t="array" aca="1" ref="AQ641" ca="1">INDEX(OFFSET($AK$19,MATCH($B641,$B$19:$B$150,0)-1,0,COUNTA($B$19:$B$24),COUNTA($AK$17:$BB$17)),MATCH($F641,$F$19:$F$24,0),MATCH(AQ$17,$AK$17:$BB$17,0))*INDEX($10:$13,MATCH($O641,$R$10:$R$13,0),COLUMN())</f>
        <v>1.2699065805999999E-5</v>
      </c>
      <c r="AR641" s="1050" cm="1">
        <f t="array" aca="1" ref="AR641" ca="1">INDEX(OFFSET($AK$19,MATCH($B641,$B$19:$B$150,0)-1,0,COUNTA($B$19:$B$24),COUNTA($AK$17:$BB$17)),MATCH($F641,$F$19:$F$24,0),MATCH(AR$17,$AK$17:$BB$17,0))*INDEX($10:$13,MATCH($O641,$R$10:$R$13,0),COLUMN())</f>
        <v>3.4375766110000001E-3</v>
      </c>
      <c r="AS641" s="1050" cm="1">
        <f t="array" aca="1" ref="AS641" ca="1">INDEX(OFFSET($AK$19,MATCH($B641,$B$19:$B$150,0)-1,0,COUNTA($B$19:$B$24),COUNTA($AK$17:$BB$17)),MATCH($F641,$F$19:$F$24,0),MATCH(AS$17,$AK$17:$BB$17,0))*INDEX($10:$13,MATCH($O641,$R$10:$R$13,0),COLUMN())</f>
        <v>1.0563453229999999E-4</v>
      </c>
      <c r="AT641" s="1050" cm="1">
        <f t="array" aca="1" ref="AT641" ca="1">INDEX(OFFSET($AK$19,MATCH($B641,$B$19:$B$150,0)-1,0,COUNTA($B$19:$B$24),COUNTA($AK$17:$BB$17)),MATCH($F641,$F$19:$F$24,0),MATCH(AT$17,$AK$17:$BB$17,0))*INDEX($10:$13,MATCH($O641,$R$10:$R$13,0),COLUMN())</f>
        <v>1.1408017776E-6</v>
      </c>
      <c r="AU641" s="1050" cm="1">
        <f t="array" aca="1" ref="AU641" ca="1">INDEX(OFFSET($AK$19,MATCH($B641,$B$19:$B$150,0)-1,0,COUNTA($B$19:$B$24),COUNTA($AK$17:$BB$17)),MATCH($F641,$F$19:$F$24,0),MATCH(AU$17,$AK$17:$BB$17,0))*INDEX($10:$13,MATCH($O641,$R$10:$R$13,0),COLUMN())</f>
        <v>2.8700956827000001E-7</v>
      </c>
      <c r="AV641" s="1050" cm="1">
        <f t="array" aca="1" ref="AV641" ca="1">INDEX(OFFSET($AK$19,MATCH($B641,$B$19:$B$150,0)-1,0,COUNTA($B$19:$B$24),COUNTA($AK$17:$BB$17)),MATCH($F641,$F$19:$F$24,0),MATCH(AV$17,$AK$17:$BB$17,0))*INDEX($10:$13,MATCH($O641,$R$10:$R$13,0),COLUMN())</f>
        <v>5.0074436699999996E-4</v>
      </c>
      <c r="AW641" s="1050" cm="1">
        <f t="array" aca="1" ref="AW641" ca="1">INDEX(OFFSET($AK$19,MATCH($B641,$B$19:$B$150,0)-1,0,COUNTA($B$19:$B$24),COUNTA($AK$17:$BB$17)),MATCH($F641,$F$19:$F$24,0),MATCH(AW$17,$AK$17:$BB$17,0))*INDEX($10:$13,MATCH($O641,$R$10:$R$13,0),COLUMN())</f>
        <v>0.32430646164999999</v>
      </c>
      <c r="AX641" s="1050" cm="1">
        <f t="array" aca="1" ref="AX641" ca="1">INDEX(OFFSET($AK$19,MATCH($B641,$B$19:$B$150,0)-1,0,COUNTA($B$19:$B$24),COUNTA($AK$17:$BB$17)),MATCH($F641,$F$19:$F$24,0),MATCH(AX$17,$AK$17:$BB$17,0))*INDEX($10:$13,MATCH($O641,$R$10:$R$13,0),COLUMN())</f>
        <v>2.068921255E-7</v>
      </c>
      <c r="AY641" s="1050" cm="1">
        <f t="array" aca="1" ref="AY641" ca="1">INDEX(OFFSET($AK$19,MATCH($B641,$B$19:$B$150,0)-1,0,COUNTA($B$19:$B$24),COUNTA($AK$17:$BB$17)),MATCH($F641,$F$19:$F$24,0),MATCH(AY$17,$AK$17:$BB$17,0))*INDEX($10:$13,MATCH($O641,$R$10:$R$13,0),COLUMN())</f>
        <v>-5.332144462500001E-9</v>
      </c>
      <c r="AZ641" s="1050" cm="1">
        <f t="array" aca="1" ref="AZ641" ca="1">INDEX(OFFSET($AK$19,MATCH($B641,$B$19:$B$150,0)-1,0,COUNTA($B$19:$B$24),COUNTA($AK$17:$BB$17)),MATCH($F641,$F$19:$F$24,0),MATCH(AZ$17,$AK$17:$BB$17,0))*INDEX($10:$13,MATCH($O641,$R$10:$R$13,0),COLUMN())</f>
        <v>0</v>
      </c>
      <c r="BA641" s="1050" cm="1">
        <f t="array" aca="1" ref="BA641" ca="1">INDEX(OFFSET($AK$19,MATCH($B641,$B$19:$B$150,0)-1,0,COUNTA($B$19:$B$24),COUNTA($AK$17:$BB$17)),MATCH($F641,$F$19:$F$24,0),MATCH(BA$17,$AK$17:$BB$17,0))*INDEX($10:$13,MATCH($O641,$R$10:$R$13,0),COLUMN())</f>
        <v>0</v>
      </c>
      <c r="BB641" s="1051" cm="1">
        <f t="array" aca="1" ref="BB641" ca="1">INDEX(OFFSET($AK$19,MATCH($B641,$B$19:$B$150,0)-1,0,COUNTA($B$19:$B$24),COUNTA($AK$17:$BB$17)),MATCH($F641,$F$19:$F$24,0),MATCH(BB$17,$AK$17:$BB$17,0))*INDEX($10:$13,MATCH($O641,$R$10:$R$13,0),COLUMN())</f>
        <v>0</v>
      </c>
      <c r="BC641" s="1053">
        <f t="shared" ca="1" si="188"/>
        <v>0.32430666320998103</v>
      </c>
      <c r="BE641" s="1"/>
      <c r="BF641" s="1"/>
      <c r="BG641" s="1"/>
      <c r="BH641" s="1"/>
      <c r="BI641" s="1"/>
      <c r="BJ641" s="1"/>
      <c r="BK641" s="1"/>
      <c r="BL641" s="1"/>
      <c r="BM641" s="1"/>
      <c r="BN641" s="1"/>
      <c r="BO641" s="1"/>
      <c r="BP641" s="1"/>
      <c r="BQ641" s="1"/>
      <c r="BR641" s="1"/>
      <c r="BS641" s="1"/>
      <c r="BT641" s="1"/>
      <c r="BU641" s="1"/>
      <c r="BV641" s="1"/>
      <c r="BW641" s="1"/>
      <c r="BX641" s="1"/>
      <c r="BY641" s="1"/>
      <c r="BZ641" s="1"/>
    </row>
    <row r="642" spans="2:78" ht="12" customHeight="1" outlineLevel="1" x14ac:dyDescent="0.25">
      <c r="B642" s="104" t="s">
        <v>111</v>
      </c>
      <c r="C642" s="104" t="s">
        <v>121</v>
      </c>
      <c r="D642" s="2" t="s">
        <v>148</v>
      </c>
      <c r="E642" s="2" t="s">
        <v>149</v>
      </c>
      <c r="F642" s="105" t="s">
        <v>94</v>
      </c>
      <c r="G642" s="27" t="s">
        <v>1580</v>
      </c>
      <c r="H642" s="106" t="s">
        <v>131</v>
      </c>
      <c r="I642" s="107" t="s">
        <v>129</v>
      </c>
      <c r="J642" s="147">
        <v>0.76959932000000009</v>
      </c>
      <c r="K642" s="148">
        <v>1.79</v>
      </c>
      <c r="L642" s="149">
        <f t="shared" ca="1" si="190"/>
        <v>0.10072646342396969</v>
      </c>
      <c r="M642" s="148">
        <f t="shared" ca="1" si="191"/>
        <v>1.9703003695289059</v>
      </c>
      <c r="N642" s="148">
        <f t="shared" ca="1" si="189"/>
        <v>0.18030036952890577</v>
      </c>
      <c r="O642" s="1062" t="s">
        <v>1585</v>
      </c>
      <c r="P642" s="104"/>
      <c r="R642" s="119"/>
      <c r="S642" s="1072"/>
      <c r="T642" s="1072"/>
      <c r="U642" s="1072"/>
      <c r="V642" s="1072"/>
      <c r="W642" s="1072"/>
      <c r="X642" s="1072"/>
      <c r="Y642" s="1072"/>
      <c r="Z642" s="1072"/>
      <c r="AA642" s="1072"/>
      <c r="AB642" s="1072"/>
      <c r="AC642" s="1072"/>
      <c r="AD642" s="1072"/>
      <c r="AE642" s="1072"/>
      <c r="AF642" s="1072"/>
      <c r="AG642" s="1072"/>
      <c r="AH642" s="1072"/>
      <c r="AI642" s="1072"/>
      <c r="AJ642" s="1073"/>
      <c r="AK642" s="1052" cm="1">
        <f t="array" aca="1" ref="AK642" ca="1">INDEX(OFFSET($AK$19,MATCH($B642,$B$19:$B$150,0)-1,0,COUNTA($B$19:$B$24),COUNTA($AK$17:$BB$17)),MATCH($F642,$F$19:$F$24,0),MATCH(AK$17,$AK$17:$BB$17,0))*INDEX($10:$13,MATCH($O642,$R$10:$R$13,0),COLUMN())</f>
        <v>1.37183317433472E-2</v>
      </c>
      <c r="AL642" s="1050" cm="1">
        <f t="array" aca="1" ref="AL642" ca="1">INDEX(OFFSET($AK$19,MATCH($B642,$B$19:$B$150,0)-1,0,COUNTA($B$19:$B$24),COUNTA($AK$17:$BB$17)),MATCH($F642,$F$19:$F$24,0),MATCH(AL$17,$AK$17:$BB$17,0))*INDEX($10:$13,MATCH($O642,$R$10:$R$13,0),COLUMN())</f>
        <v>1.9172331802000001E-8</v>
      </c>
      <c r="AM642" s="1050" cm="1">
        <f t="array" aca="1" ref="AM642" ca="1">INDEX(OFFSET($AK$19,MATCH($B642,$B$19:$B$150,0)-1,0,COUNTA($B$19:$B$24),COUNTA($AK$17:$BB$17)),MATCH($F642,$F$19:$F$24,0),MATCH(AM$17,$AK$17:$BB$17,0))*INDEX($10:$13,MATCH($O642,$R$10:$R$13,0),COLUMN())</f>
        <v>3.0625171277999995E-5</v>
      </c>
      <c r="AN642" s="1050" cm="1">
        <f t="array" aca="1" ref="AN642" ca="1">INDEX(OFFSET($AK$19,MATCH($B642,$B$19:$B$150,0)-1,0,COUNTA($B$19:$B$24),COUNTA($AK$17:$BB$17)),MATCH($F642,$F$19:$F$24,0),MATCH(AN$17,$AK$17:$BB$17,0))*INDEX($10:$13,MATCH($O642,$R$10:$R$13,0),COLUMN())</f>
        <v>3.5196712320000002E-4</v>
      </c>
      <c r="AO642" s="1050" cm="1">
        <f t="array" aca="1" ref="AO642" ca="1">INDEX(OFFSET($AK$19,MATCH($B642,$B$19:$B$150,0)-1,0,COUNTA($B$19:$B$24),COUNTA($AK$17:$BB$17)),MATCH($F642,$F$19:$F$24,0),MATCH(AO$17,$AK$17:$BB$17,0))*INDEX($10:$13,MATCH($O642,$R$10:$R$13,0),COLUMN())</f>
        <v>3.9852623056E-3</v>
      </c>
      <c r="AP642" s="1050" cm="1">
        <f t="array" aca="1" ref="AP642" ca="1">INDEX(OFFSET($AK$19,MATCH($B642,$B$19:$B$150,0)-1,0,COUNTA($B$19:$B$24),COUNTA($AK$17:$BB$17)),MATCH($F642,$F$19:$F$24,0),MATCH(AP$17,$AK$17:$BB$17,0))*INDEX($10:$13,MATCH($O642,$R$10:$R$13,0),COLUMN())</f>
        <v>1.2792215808E-3</v>
      </c>
      <c r="AQ642" s="1050" cm="1">
        <f t="array" aca="1" ref="AQ642" ca="1">INDEX(OFFSET($AK$19,MATCH($B642,$B$19:$B$150,0)-1,0,COUNTA($B$19:$B$24),COUNTA($AK$17:$BB$17)),MATCH($F642,$F$19:$F$24,0),MATCH(AQ$17,$AK$17:$BB$17,0))*INDEX($10:$13,MATCH($O642,$R$10:$R$13,0),COLUMN())</f>
        <v>6.2252771129999998E-6</v>
      </c>
      <c r="AR642" s="1050" cm="1">
        <f t="array" aca="1" ref="AR642" ca="1">INDEX(OFFSET($AK$19,MATCH($B642,$B$19:$B$150,0)-1,0,COUNTA($B$19:$B$24),COUNTA($AK$17:$BB$17)),MATCH($F642,$F$19:$F$24,0),MATCH(AR$17,$AK$17:$BB$17,0))*INDEX($10:$13,MATCH($O642,$R$10:$R$13,0),COLUMN())</f>
        <v>1.6851528157999999E-3</v>
      </c>
      <c r="AS642" s="1050" cm="1">
        <f t="array" aca="1" ref="AS642" ca="1">INDEX(OFFSET($AK$19,MATCH($B642,$B$19:$B$150,0)-1,0,COUNTA($B$19:$B$24),COUNTA($AK$17:$BB$17)),MATCH($F642,$F$19:$F$24,0),MATCH(AS$17,$AK$17:$BB$17,0))*INDEX($10:$13,MATCH($O642,$R$10:$R$13,0),COLUMN())</f>
        <v>4.2867059145000002E-5</v>
      </c>
      <c r="AT642" s="1050" cm="1">
        <f t="array" aca="1" ref="AT642" ca="1">INDEX(OFFSET($AK$19,MATCH($B642,$B$19:$B$150,0)-1,0,COUNTA($B$19:$B$24),COUNTA($AK$17:$BB$17)),MATCH($F642,$F$19:$F$24,0),MATCH(AT$17,$AK$17:$BB$17,0))*INDEX($10:$13,MATCH($O642,$R$10:$R$13,0),COLUMN())</f>
        <v>5.5565206249999994E-7</v>
      </c>
      <c r="AU642" s="1050" cm="1">
        <f t="array" aca="1" ref="AU642" ca="1">INDEX(OFFSET($AK$19,MATCH($B642,$B$19:$B$150,0)-1,0,COUNTA($B$19:$B$24),COUNTA($AK$17:$BB$17)),MATCH($F642,$F$19:$F$24,0),MATCH(AU$17,$AK$17:$BB$17,0))*INDEX($10:$13,MATCH($O642,$R$10:$R$13,0),COLUMN())</f>
        <v>1.4029822458000001E-7</v>
      </c>
      <c r="AV642" s="1050" cm="1">
        <f t="array" aca="1" ref="AV642" ca="1">INDEX(OFFSET($AK$19,MATCH($B642,$B$19:$B$150,0)-1,0,COUNTA($B$19:$B$24),COUNTA($AK$17:$BB$17)),MATCH($F642,$F$19:$F$24,0),MATCH(AV$17,$AK$17:$BB$17,0))*INDEX($10:$13,MATCH($O642,$R$10:$R$13,0),COLUMN())</f>
        <v>2.198896722E-4</v>
      </c>
      <c r="AW642" s="1050" cm="1">
        <f t="array" aca="1" ref="AW642" ca="1">INDEX(OFFSET($AK$19,MATCH($B642,$B$19:$B$150,0)-1,0,COUNTA($B$19:$B$24),COUNTA($AK$17:$BB$17)),MATCH($F642,$F$19:$F$24,0),MATCH(AW$17,$AK$17:$BB$17,0))*INDEX($10:$13,MATCH($O642,$R$10:$R$13,0),COLUMN())</f>
        <v>0.15898001285000002</v>
      </c>
      <c r="AX642" s="1050" cm="1">
        <f t="array" aca="1" ref="AX642" ca="1">INDEX(OFFSET($AK$19,MATCH($B642,$B$19:$B$150,0)-1,0,COUNTA($B$19:$B$24),COUNTA($AK$17:$BB$17)),MATCH($F642,$F$19:$F$24,0),MATCH(AX$17,$AK$17:$BB$17,0))*INDEX($10:$13,MATCH($O642,$R$10:$R$13,0),COLUMN())</f>
        <v>1.0142170280000001E-7</v>
      </c>
      <c r="AY642" s="1050" cm="1">
        <f t="array" aca="1" ref="AY642" ca="1">INDEX(OFFSET($AK$19,MATCH($B642,$B$19:$B$150,0)-1,0,COUNTA($B$19:$B$24),COUNTA($AK$17:$BB$17)),MATCH($F642,$F$19:$F$24,0),MATCH(AY$17,$AK$17:$BB$17,0))*INDEX($10:$13,MATCH($O642,$R$10:$R$13,0),COLUMN())</f>
        <v>-2.6138991206249999E-9</v>
      </c>
      <c r="AZ642" s="1050" cm="1">
        <f t="array" aca="1" ref="AZ642" ca="1">INDEX(OFFSET($AK$19,MATCH($B642,$B$19:$B$150,0)-1,0,COUNTA($B$19:$B$24),COUNTA($AK$17:$BB$17)),MATCH($F642,$F$19:$F$24,0),MATCH(AZ$17,$AK$17:$BB$17,0))*INDEX($10:$13,MATCH($O642,$R$10:$R$13,0),COLUMN())</f>
        <v>0</v>
      </c>
      <c r="BA642" s="1050" cm="1">
        <f t="array" aca="1" ref="BA642" ca="1">INDEX(OFFSET($AK$19,MATCH($B642,$B$19:$B$150,0)-1,0,COUNTA($B$19:$B$24),COUNTA($AK$17:$BB$17)),MATCH($F642,$F$19:$F$24,0),MATCH(BA$17,$AK$17:$BB$17,0))*INDEX($10:$13,MATCH($O642,$R$10:$R$13,0),COLUMN())</f>
        <v>0</v>
      </c>
      <c r="BB642" s="1051" cm="1">
        <f t="array" aca="1" ref="BB642" ca="1">INDEX(OFFSET($AK$19,MATCH($B642,$B$19:$B$150,0)-1,0,COUNTA($B$19:$B$24),COUNTA($AK$17:$BB$17)),MATCH($F642,$F$19:$F$24,0),MATCH(BB$17,$AK$17:$BB$17,0))*INDEX($10:$13,MATCH($O642,$R$10:$R$13,0),COLUMN())</f>
        <v>0</v>
      </c>
      <c r="BC642" s="1053">
        <f t="shared" ca="1" si="188"/>
        <v>0.15898011165780368</v>
      </c>
      <c r="BE642" s="1"/>
      <c r="BF642" s="1"/>
      <c r="BG642" s="1"/>
      <c r="BH642" s="1"/>
      <c r="BI642" s="1"/>
      <c r="BJ642" s="1"/>
      <c r="BK642" s="1"/>
      <c r="BL642" s="1"/>
      <c r="BM642" s="1"/>
      <c r="BN642" s="1"/>
      <c r="BO642" s="1"/>
      <c r="BP642" s="1"/>
      <c r="BQ642" s="1"/>
      <c r="BR642" s="1"/>
      <c r="BS642" s="1"/>
      <c r="BT642" s="1"/>
      <c r="BU642" s="1"/>
      <c r="BV642" s="1"/>
      <c r="BW642" s="1"/>
      <c r="BX642" s="1"/>
      <c r="BY642" s="1"/>
      <c r="BZ642" s="1"/>
    </row>
    <row r="643" spans="2:78" ht="12" customHeight="1" outlineLevel="1" x14ac:dyDescent="0.25">
      <c r="B643" s="104" t="s">
        <v>111</v>
      </c>
      <c r="C643" s="104" t="s">
        <v>121</v>
      </c>
      <c r="D643" s="2" t="s">
        <v>148</v>
      </c>
      <c r="E643" s="2" t="s">
        <v>149</v>
      </c>
      <c r="F643" s="105" t="s">
        <v>95</v>
      </c>
      <c r="G643" s="27" t="s">
        <v>1581</v>
      </c>
      <c r="H643" s="106" t="s">
        <v>128</v>
      </c>
      <c r="I643" s="107" t="s">
        <v>127</v>
      </c>
      <c r="J643" s="147">
        <v>0.76959932000000009</v>
      </c>
      <c r="K643" s="148">
        <v>1.79</v>
      </c>
      <c r="L643" s="149">
        <f t="shared" ca="1" si="190"/>
        <v>0.14145078989289023</v>
      </c>
      <c r="M643" s="148">
        <f t="shared" ca="1" si="191"/>
        <v>2.0431969139082735</v>
      </c>
      <c r="N643" s="148">
        <f t="shared" ca="1" si="189"/>
        <v>0.25319691390827354</v>
      </c>
      <c r="O643" s="1062" t="s">
        <v>1585</v>
      </c>
      <c r="P643" s="104"/>
      <c r="R643" s="119"/>
      <c r="S643" s="1072"/>
      <c r="T643" s="1072"/>
      <c r="U643" s="1072"/>
      <c r="V643" s="1072"/>
      <c r="W643" s="1072"/>
      <c r="X643" s="1072"/>
      <c r="Y643" s="1072"/>
      <c r="Z643" s="1072"/>
      <c r="AA643" s="1072"/>
      <c r="AB643" s="1072"/>
      <c r="AC643" s="1072"/>
      <c r="AD643" s="1072"/>
      <c r="AE643" s="1072"/>
      <c r="AF643" s="1072"/>
      <c r="AG643" s="1072"/>
      <c r="AH643" s="1072"/>
      <c r="AI643" s="1072"/>
      <c r="AJ643" s="1073"/>
      <c r="AK643" s="1052" cm="1">
        <f t="array" aca="1" ref="AK643" ca="1">INDEX(OFFSET($AK$19,MATCH($B643,$B$19:$B$150,0)-1,0,COUNTA($B$19:$B$24),COUNTA($AK$17:$BB$17)),MATCH($F643,$F$19:$F$24,0),MATCH(AK$17,$AK$17:$BB$17,0))*INDEX($10:$13,MATCH($O643,$R$10:$R$13,0),COLUMN())</f>
        <v>2.0205563876544E-2</v>
      </c>
      <c r="AL643" s="1050" cm="1">
        <f t="array" aca="1" ref="AL643" ca="1">INDEX(OFFSET($AK$19,MATCH($B643,$B$19:$B$150,0)-1,0,COUNTA($B$19:$B$24),COUNTA($AK$17:$BB$17)),MATCH($F643,$F$19:$F$24,0),MATCH(AL$17,$AK$17:$BB$17,0))*INDEX($10:$13,MATCH($O643,$R$10:$R$13,0),COLUMN())</f>
        <v>2.5819617076000001E-8</v>
      </c>
      <c r="AM643" s="1050" cm="1">
        <f t="array" aca="1" ref="AM643" ca="1">INDEX(OFFSET($AK$19,MATCH($B643,$B$19:$B$150,0)-1,0,COUNTA($B$19:$B$24),COUNTA($AK$17:$BB$17)),MATCH($F643,$F$19:$F$24,0),MATCH(AM$17,$AK$17:$BB$17,0))*INDEX($10:$13,MATCH($O643,$R$10:$R$13,0),COLUMN())</f>
        <v>4.1242926789999999E-5</v>
      </c>
      <c r="AN643" s="1050" cm="1">
        <f t="array" aca="1" ref="AN643" ca="1">INDEX(OFFSET($AK$19,MATCH($B643,$B$19:$B$150,0)-1,0,COUNTA($B$19:$B$24),COUNTA($AK$17:$BB$17)),MATCH($F643,$F$19:$F$24,0),MATCH(AN$17,$AK$17:$BB$17,0))*INDEX($10:$13,MATCH($O643,$R$10:$R$13,0),COLUMN())</f>
        <v>4.8810049840000003E-4</v>
      </c>
      <c r="AO643" s="1050" cm="1">
        <f t="array" aca="1" ref="AO643" ca="1">INDEX(OFFSET($AK$19,MATCH($B643,$B$19:$B$150,0)-1,0,COUNTA($B$19:$B$24),COUNTA($AK$17:$BB$17)),MATCH($F643,$F$19:$F$24,0),MATCH(AO$17,$AK$17:$BB$17,0))*INDEX($10:$13,MATCH($O643,$R$10:$R$13,0),COLUMN())</f>
        <v>9.6400743520000005E-3</v>
      </c>
      <c r="AP643" s="1050" cm="1">
        <f t="array" aca="1" ref="AP643" ca="1">INDEX(OFFSET($AK$19,MATCH($B643,$B$19:$B$150,0)-1,0,COUNTA($B$19:$B$24),COUNTA($AK$17:$BB$17)),MATCH($F643,$F$19:$F$24,0),MATCH(AP$17,$AK$17:$BB$17,0))*INDEX($10:$13,MATCH($O643,$R$10:$R$13,0),COLUMN())</f>
        <v>4.7351839037999997E-3</v>
      </c>
      <c r="AQ643" s="1050" cm="1">
        <f t="array" aca="1" ref="AQ643" ca="1">INDEX(OFFSET($AK$19,MATCH($B643,$B$19:$B$150,0)-1,0,COUNTA($B$19:$B$24),COUNTA($AK$17:$BB$17)),MATCH($F643,$F$19:$F$24,0),MATCH(AQ$17,$AK$17:$BB$17,0))*INDEX($10:$13,MATCH($O643,$R$10:$R$13,0),COLUMN())</f>
        <v>3.2779501990000003E-5</v>
      </c>
      <c r="AR643" s="1050" cm="1">
        <f t="array" aca="1" ref="AR643" ca="1">INDEX(OFFSET($AK$19,MATCH($B643,$B$19:$B$150,0)-1,0,COUNTA($B$19:$B$24),COUNTA($AK$17:$BB$17)),MATCH($F643,$F$19:$F$24,0),MATCH(AR$17,$AK$17:$BB$17,0))*INDEX($10:$13,MATCH($O643,$R$10:$R$13,0),COLUMN())</f>
        <v>2.9684442137000002E-3</v>
      </c>
      <c r="AS643" s="1050" cm="1">
        <f t="array" aca="1" ref="AS643" ca="1">INDEX(OFFSET($AK$19,MATCH($B643,$B$19:$B$150,0)-1,0,COUNTA($B$19:$B$24),COUNTA($AK$17:$BB$17)),MATCH($F643,$F$19:$F$24,0),MATCH(AS$17,$AK$17:$BB$17,0))*INDEX($10:$13,MATCH($O643,$R$10:$R$13,0),COLUMN())</f>
        <v>4.4717792389999995E-4</v>
      </c>
      <c r="AT643" s="1050" cm="1">
        <f t="array" aca="1" ref="AT643" ca="1">INDEX(OFFSET($AK$19,MATCH($B643,$B$19:$B$150,0)-1,0,COUNTA($B$19:$B$24),COUNTA($AK$17:$BB$17)),MATCH($F643,$F$19:$F$24,0),MATCH(AT$17,$AK$17:$BB$17,0))*INDEX($10:$13,MATCH($O643,$R$10:$R$13,0),COLUMN())</f>
        <v>1.0271174872999999E-6</v>
      </c>
      <c r="AU643" s="1050" cm="1">
        <f t="array" aca="1" ref="AU643" ca="1">INDEX(OFFSET($AK$19,MATCH($B643,$B$19:$B$150,0)-1,0,COUNTA($B$19:$B$24),COUNTA($AK$17:$BB$17)),MATCH($F643,$F$19:$F$24,0),MATCH(AU$17,$AK$17:$BB$17,0))*INDEX($10:$13,MATCH($O643,$R$10:$R$13,0),COLUMN())</f>
        <v>2.3114485701000002E-7</v>
      </c>
      <c r="AV643" s="1050" cm="1">
        <f t="array" aca="1" ref="AV643" ca="1">INDEX(OFFSET($AK$19,MATCH($B643,$B$19:$B$150,0)-1,0,COUNTA($B$19:$B$24),COUNTA($AK$17:$BB$17)),MATCH($F643,$F$19:$F$24,0),MATCH(AV$17,$AK$17:$BB$17,0))*INDEX($10:$13,MATCH($O643,$R$10:$R$13,0),COLUMN())</f>
        <v>1.1545975475999999E-3</v>
      </c>
      <c r="AW643" s="1050" cm="1">
        <f t="array" aca="1" ref="AW643" ca="1">INDEX(OFFSET($AK$19,MATCH($B643,$B$19:$B$150,0)-1,0,COUNTA($B$19:$B$24),COUNTA($AK$17:$BB$17)),MATCH($F643,$F$19:$F$24,0),MATCH(AW$17,$AK$17:$BB$17,0))*INDEX($10:$13,MATCH($O643,$R$10:$R$13,0),COLUMN())</f>
        <v>0.2134823324</v>
      </c>
      <c r="AX643" s="1050" cm="1">
        <f t="array" aca="1" ref="AX643" ca="1">INDEX(OFFSET($AK$19,MATCH($B643,$B$19:$B$150,0)-1,0,COUNTA($B$19:$B$24),COUNTA($AK$17:$BB$17)),MATCH($F643,$F$19:$F$24,0),MATCH(AX$17,$AK$17:$BB$17,0))*INDEX($10:$13,MATCH($O643,$R$10:$R$13,0),COLUMN())</f>
        <v>1.3619159725E-7</v>
      </c>
      <c r="AY643" s="1050" cm="1">
        <f t="array" aca="1" ref="AY643" ca="1">INDEX(OFFSET($AK$19,MATCH($B643,$B$19:$B$150,0)-1,0,COUNTA($B$19:$B$24),COUNTA($AK$17:$BB$17)),MATCH($F643,$F$19:$F$24,0),MATCH(AY$17,$AK$17:$BB$17,0))*INDEX($10:$13,MATCH($O643,$R$10:$R$13,0),COLUMN())</f>
        <v>-3.5100090993750002E-9</v>
      </c>
      <c r="AZ643" s="1050" cm="1">
        <f t="array" aca="1" ref="AZ643" ca="1">INDEX(OFFSET($AK$19,MATCH($B643,$B$19:$B$150,0)-1,0,COUNTA($B$19:$B$24),COUNTA($AK$17:$BB$17)),MATCH($F643,$F$19:$F$24,0),MATCH(AZ$17,$AK$17:$BB$17,0))*INDEX($10:$13,MATCH($O643,$R$10:$R$13,0),COLUMN())</f>
        <v>0</v>
      </c>
      <c r="BA643" s="1050" cm="1">
        <f t="array" aca="1" ref="BA643" ca="1">INDEX(OFFSET($AK$19,MATCH($B643,$B$19:$B$150,0)-1,0,COUNTA($B$19:$B$24),COUNTA($AK$17:$BB$17)),MATCH($F643,$F$19:$F$24,0),MATCH(BA$17,$AK$17:$BB$17,0))*INDEX($10:$13,MATCH($O643,$R$10:$R$13,0),COLUMN())</f>
        <v>0</v>
      </c>
      <c r="BB643" s="1051" cm="1">
        <f t="array" aca="1" ref="BB643" ca="1">INDEX(OFFSET($AK$19,MATCH($B643,$B$19:$B$150,0)-1,0,COUNTA($B$19:$B$24),COUNTA($AK$17:$BB$17)),MATCH($F643,$F$19:$F$24,0),MATCH(BB$17,$AK$17:$BB$17,0))*INDEX($10:$13,MATCH($O643,$R$10:$R$13,0),COLUMN())</f>
        <v>0</v>
      </c>
      <c r="BC643" s="1053">
        <f t="shared" ca="1" si="188"/>
        <v>0.21348246508158816</v>
      </c>
      <c r="BE643" s="1"/>
      <c r="BF643" s="1"/>
      <c r="BG643" s="1"/>
      <c r="BH643" s="1"/>
      <c r="BI643" s="1"/>
      <c r="BJ643" s="1"/>
      <c r="BK643" s="1"/>
      <c r="BL643" s="1"/>
      <c r="BM643" s="1"/>
      <c r="BN643" s="1"/>
      <c r="BO643" s="1"/>
      <c r="BP643" s="1"/>
      <c r="BQ643" s="1"/>
      <c r="BR643" s="1"/>
      <c r="BS643" s="1"/>
      <c r="BT643" s="1"/>
      <c r="BU643" s="1"/>
      <c r="BV643" s="1"/>
      <c r="BW643" s="1"/>
      <c r="BX643" s="1"/>
      <c r="BY643" s="1"/>
      <c r="BZ643" s="1"/>
    </row>
    <row r="644" spans="2:78" ht="12" customHeight="1" outlineLevel="1" x14ac:dyDescent="0.25">
      <c r="B644" s="104" t="s">
        <v>111</v>
      </c>
      <c r="C644" s="104" t="s">
        <v>121</v>
      </c>
      <c r="D644" s="2" t="s">
        <v>148</v>
      </c>
      <c r="E644" s="2" t="s">
        <v>149</v>
      </c>
      <c r="F644" s="105" t="s">
        <v>96</v>
      </c>
      <c r="G644" s="27" t="s">
        <v>1582</v>
      </c>
      <c r="H644" s="106" t="s">
        <v>128</v>
      </c>
      <c r="I644" s="107" t="s">
        <v>1577</v>
      </c>
      <c r="J644" s="147">
        <v>0.76959932000000009</v>
      </c>
      <c r="K644" s="148">
        <v>1.79</v>
      </c>
      <c r="L644" s="149">
        <f t="shared" ca="1" si="190"/>
        <v>0.14594224819635795</v>
      </c>
      <c r="M644" s="148">
        <f t="shared" ca="1" si="191"/>
        <v>2.051236624271481</v>
      </c>
      <c r="N644" s="148">
        <f t="shared" ca="1" si="189"/>
        <v>0.26123662427148076</v>
      </c>
      <c r="O644" s="1062" t="s">
        <v>1585</v>
      </c>
      <c r="P644" s="104"/>
      <c r="R644" s="119"/>
      <c r="S644" s="1072"/>
      <c r="T644" s="1072"/>
      <c r="U644" s="1072"/>
      <c r="V644" s="1072"/>
      <c r="W644" s="1072"/>
      <c r="X644" s="1072"/>
      <c r="Y644" s="1072"/>
      <c r="Z644" s="1072"/>
      <c r="AA644" s="1072"/>
      <c r="AB644" s="1072"/>
      <c r="AC644" s="1072"/>
      <c r="AD644" s="1072"/>
      <c r="AE644" s="1072"/>
      <c r="AF644" s="1072"/>
      <c r="AG644" s="1072"/>
      <c r="AH644" s="1072"/>
      <c r="AI644" s="1072"/>
      <c r="AJ644" s="1073"/>
      <c r="AK644" s="1052" cm="1">
        <f t="array" aca="1" ref="AK644" ca="1">INDEX(OFFSET($AK$19,MATCH($B644,$B$19:$B$150,0)-1,0,COUNTA($B$19:$B$24),COUNTA($AK$17:$BB$17)),MATCH($F644,$F$19:$F$24,0),MATCH(AK$17,$AK$17:$BB$17,0))*INDEX($10:$13,MATCH($O644,$R$10:$R$13,0),COLUMN())</f>
        <v>2.1484303215609599E-2</v>
      </c>
      <c r="AL644" s="1050" cm="1">
        <f t="array" aca="1" ref="AL644" ca="1">INDEX(OFFSET($AK$19,MATCH($B644,$B$19:$B$150,0)-1,0,COUNTA($B$19:$B$24),COUNTA($AK$17:$BB$17)),MATCH($F644,$F$19:$F$24,0),MATCH(AL$17,$AK$17:$BB$17,0))*INDEX($10:$13,MATCH($O644,$R$10:$R$13,0),COLUMN())</f>
        <v>2.5868256957000001E-8</v>
      </c>
      <c r="AM644" s="1050" cm="1">
        <f t="array" aca="1" ref="AM644" ca="1">INDEX(OFFSET($AK$19,MATCH($B644,$B$19:$B$150,0)-1,0,COUNTA($B$19:$B$24),COUNTA($AK$17:$BB$17)),MATCH($F644,$F$19:$F$24,0),MATCH(AM$17,$AK$17:$BB$17,0))*INDEX($10:$13,MATCH($O644,$R$10:$R$13,0),COLUMN())</f>
        <v>4.1320380946000003E-5</v>
      </c>
      <c r="AN644" s="1050" cm="1">
        <f t="array" aca="1" ref="AN644" ca="1">INDEX(OFFSET($AK$19,MATCH($B644,$B$19:$B$150,0)-1,0,COUNTA($B$19:$B$24),COUNTA($AK$17:$BB$17)),MATCH($F644,$F$19:$F$24,0),MATCH(AN$17,$AK$17:$BB$17,0))*INDEX($10:$13,MATCH($O644,$R$10:$R$13,0),COLUMN())</f>
        <v>4.9819663359999995E-4</v>
      </c>
      <c r="AO644" s="1050" cm="1">
        <f t="array" aca="1" ref="AO644" ca="1">INDEX(OFFSET($AK$19,MATCH($B644,$B$19:$B$150,0)-1,0,COUNTA($B$19:$B$24),COUNTA($AK$17:$BB$17)),MATCH($F644,$F$19:$F$24,0),MATCH(AO$17,$AK$17:$BB$17,0))*INDEX($10:$13,MATCH($O644,$R$10:$R$13,0),COLUMN())</f>
        <v>1.2757952552000001E-2</v>
      </c>
      <c r="AP644" s="1050" cm="1">
        <f t="array" aca="1" ref="AP644" ca="1">INDEX(OFFSET($AK$19,MATCH($B644,$B$19:$B$150,0)-1,0,COUNTA($B$19:$B$24),COUNTA($AK$17:$BB$17)),MATCH($F644,$F$19:$F$24,0),MATCH(AP$17,$AK$17:$BB$17,0))*INDEX($10:$13,MATCH($O644,$R$10:$R$13,0),COLUMN())</f>
        <v>6.9333307660000001E-3</v>
      </c>
      <c r="AQ644" s="1050" cm="1">
        <f t="array" aca="1" ref="AQ644" ca="1">INDEX(OFFSET($AK$19,MATCH($B644,$B$19:$B$150,0)-1,0,COUNTA($B$19:$B$24),COUNTA($AK$17:$BB$17)),MATCH($F644,$F$19:$F$24,0),MATCH(AQ$17,$AK$17:$BB$17,0))*INDEX($10:$13,MATCH($O644,$R$10:$R$13,0),COLUMN())</f>
        <v>5.017095122E-5</v>
      </c>
      <c r="AR644" s="1050" cm="1">
        <f t="array" aca="1" ref="AR644" ca="1">INDEX(OFFSET($AK$19,MATCH($B644,$B$19:$B$150,0)-1,0,COUNTA($B$19:$B$24),COUNTA($AK$17:$BB$17)),MATCH($F644,$F$19:$F$24,0),MATCH(AR$17,$AK$17:$BB$17,0))*INDEX($10:$13,MATCH($O644,$R$10:$R$13,0),COLUMN())</f>
        <v>3.4828634980000003E-3</v>
      </c>
      <c r="AS644" s="1050" cm="1">
        <f t="array" aca="1" ref="AS644" ca="1">INDEX(OFFSET($AK$19,MATCH($B644,$B$19:$B$150,0)-1,0,COUNTA($B$19:$B$24),COUNTA($AK$17:$BB$17)),MATCH($F644,$F$19:$F$24,0),MATCH(AS$17,$AK$17:$BB$17,0))*INDEX($10:$13,MATCH($O644,$R$10:$R$13,0),COLUMN())</f>
        <v>7.1113377169999999E-4</v>
      </c>
      <c r="AT644" s="1050" cm="1">
        <f t="array" aca="1" ref="AT644" ca="1">INDEX(OFFSET($AK$19,MATCH($B644,$B$19:$B$150,0)-1,0,COUNTA($B$19:$B$24),COUNTA($AK$17:$BB$17)),MATCH($F644,$F$19:$F$24,0),MATCH(AT$17,$AK$17:$BB$17,0))*INDEX($10:$13,MATCH($O644,$R$10:$R$13,0),COLUMN())</f>
        <v>1.1455186518999999E-6</v>
      </c>
      <c r="AU644" s="1050" cm="1">
        <f t="array" aca="1" ref="AU644" ca="1">INDEX(OFFSET($AK$19,MATCH($B644,$B$19:$B$150,0)-1,0,COUNTA($B$19:$B$24),COUNTA($AK$17:$BB$17)),MATCH($F644,$F$19:$F$24,0),MATCH(AU$17,$AK$17:$BB$17,0))*INDEX($10:$13,MATCH($O644,$R$10:$R$13,0),COLUMN())</f>
        <v>2.4804490815000001E-7</v>
      </c>
      <c r="AV644" s="1050" cm="1">
        <f t="array" aca="1" ref="AV644" ca="1">INDEX(OFFSET($AK$19,MATCH($B644,$B$19:$B$150,0)-1,0,COUNTA($B$19:$B$24),COUNTA($AK$17:$BB$17)),MATCH($F644,$F$19:$F$24,0),MATCH(AV$17,$AK$17:$BB$17,0))*INDEX($10:$13,MATCH($O644,$R$10:$R$13,0),COLUMN())</f>
        <v>1.7934679889999999E-3</v>
      </c>
      <c r="AW644" s="1050" cm="1">
        <f t="array" aca="1" ref="AW644" ca="1">INDEX(OFFSET($AK$19,MATCH($B644,$B$19:$B$150,0)-1,0,COUNTA($B$19:$B$24),COUNTA($AK$17:$BB$17)),MATCH($F644,$F$19:$F$24,0),MATCH(AW$17,$AK$17:$BB$17,0))*INDEX($10:$13,MATCH($O644,$R$10:$R$13,0),COLUMN())</f>
        <v>0.2134823324</v>
      </c>
      <c r="AX644" s="1050" cm="1">
        <f t="array" aca="1" ref="AX644" ca="1">INDEX(OFFSET($AK$19,MATCH($B644,$B$19:$B$150,0)-1,0,COUNTA($B$19:$B$24),COUNTA($AK$17:$BB$17)),MATCH($F644,$F$19:$F$24,0),MATCH(AX$17,$AK$17:$BB$17,0))*INDEX($10:$13,MATCH($O644,$R$10:$R$13,0),COLUMN())</f>
        <v>1.3619159725E-7</v>
      </c>
      <c r="AY644" s="1050" cm="1">
        <f t="array" aca="1" ref="AY644" ca="1">INDEX(OFFSET($AK$19,MATCH($B644,$B$19:$B$150,0)-1,0,COUNTA($B$19:$B$24),COUNTA($AK$17:$BB$17)),MATCH($F644,$F$19:$F$24,0),MATCH(AY$17,$AK$17:$BB$17,0))*INDEX($10:$13,MATCH($O644,$R$10:$R$13,0),COLUMN())</f>
        <v>-3.5100090993750002E-9</v>
      </c>
      <c r="AZ644" s="1050" cm="1">
        <f t="array" aca="1" ref="AZ644" ca="1">INDEX(OFFSET($AK$19,MATCH($B644,$B$19:$B$150,0)-1,0,COUNTA($B$19:$B$24),COUNTA($AK$17:$BB$17)),MATCH($F644,$F$19:$F$24,0),MATCH(AZ$17,$AK$17:$BB$17,0))*INDEX($10:$13,MATCH($O644,$R$10:$R$13,0),COLUMN())</f>
        <v>0</v>
      </c>
      <c r="BA644" s="1050" cm="1">
        <f t="array" aca="1" ref="BA644" ca="1">INDEX(OFFSET($AK$19,MATCH($B644,$B$19:$B$150,0)-1,0,COUNTA($B$19:$B$24),COUNTA($AK$17:$BB$17)),MATCH($F644,$F$19:$F$24,0),MATCH(BA$17,$AK$17:$BB$17,0))*INDEX($10:$13,MATCH($O644,$R$10:$R$13,0),COLUMN())</f>
        <v>0</v>
      </c>
      <c r="BB644" s="1051" cm="1">
        <f t="array" aca="1" ref="BB644" ca="1">INDEX(OFFSET($AK$19,MATCH($B644,$B$19:$B$150,0)-1,0,COUNTA($B$19:$B$24),COUNTA($AK$17:$BB$17)),MATCH($F644,$F$19:$F$24,0),MATCH(BB$17,$AK$17:$BB$17,0))*INDEX($10:$13,MATCH($O644,$R$10:$R$13,0),COLUMN())</f>
        <v>0</v>
      </c>
      <c r="BC644" s="1053">
        <f t="shared" ca="1" si="188"/>
        <v>0.21348246508158816</v>
      </c>
      <c r="BE644" s="1"/>
      <c r="BF644" s="1"/>
      <c r="BG644" s="1"/>
      <c r="BH644" s="1"/>
      <c r="BI644" s="1"/>
      <c r="BJ644" s="1"/>
      <c r="BK644" s="1"/>
      <c r="BL644" s="1"/>
      <c r="BM644" s="1"/>
      <c r="BN644" s="1"/>
      <c r="BO644" s="1"/>
      <c r="BP644" s="1"/>
      <c r="BQ644" s="1"/>
      <c r="BR644" s="1"/>
      <c r="BS644" s="1"/>
      <c r="BT644" s="1"/>
      <c r="BU644" s="1"/>
      <c r="BV644" s="1"/>
      <c r="BW644" s="1"/>
      <c r="BX644" s="1"/>
      <c r="BY644" s="1"/>
      <c r="BZ644" s="1"/>
    </row>
    <row r="645" spans="2:78" ht="12" customHeight="1" outlineLevel="1" x14ac:dyDescent="0.25">
      <c r="B645" s="88" t="s">
        <v>112</v>
      </c>
      <c r="C645" s="88" t="s">
        <v>121</v>
      </c>
      <c r="D645" s="89" t="s">
        <v>148</v>
      </c>
      <c r="E645" s="89" t="s">
        <v>150</v>
      </c>
      <c r="F645" s="90" t="s">
        <v>92</v>
      </c>
      <c r="G645" s="18" t="s">
        <v>126</v>
      </c>
      <c r="H645" s="91" t="s">
        <v>127</v>
      </c>
      <c r="I645" s="92" t="s">
        <v>127</v>
      </c>
      <c r="J645" s="142">
        <v>0.44</v>
      </c>
      <c r="K645" s="143">
        <v>0.28999999999999998</v>
      </c>
      <c r="L645" s="144">
        <f t="shared" ca="1" si="190"/>
        <v>0.50177744564462712</v>
      </c>
      <c r="M645" s="143">
        <f t="shared" ca="1" si="191"/>
        <v>0.43551545923694185</v>
      </c>
      <c r="N645" s="143">
        <f t="shared" ca="1" si="189"/>
        <v>0.14551545923694187</v>
      </c>
      <c r="O645" s="1063" t="s">
        <v>1585</v>
      </c>
      <c r="P645" s="88"/>
      <c r="Q645" s="89"/>
      <c r="R645" s="150"/>
      <c r="S645" s="1070"/>
      <c r="T645" s="1070"/>
      <c r="U645" s="1070"/>
      <c r="V645" s="1070"/>
      <c r="W645" s="1070"/>
      <c r="X645" s="1070"/>
      <c r="Y645" s="1070"/>
      <c r="Z645" s="1070"/>
      <c r="AA645" s="1070"/>
      <c r="AB645" s="1070"/>
      <c r="AC645" s="1070"/>
      <c r="AD645" s="1070"/>
      <c r="AE645" s="1070"/>
      <c r="AF645" s="1070"/>
      <c r="AG645" s="1070"/>
      <c r="AH645" s="1070"/>
      <c r="AI645" s="1070"/>
      <c r="AJ645" s="1071"/>
      <c r="AK645" s="1048" cm="1">
        <f t="array" aca="1" ref="AK645" ca="1">INDEX(OFFSET($AK$19,MATCH($B645,$B$19:$B$150,0)-1,0,COUNTA($B$19:$B$24),COUNTA($AK$17:$BB$17)),MATCH($F645,$F$19:$F$24,0),MATCH(AK$17,$AK$17:$BB$17,0))*INDEX($10:$13,MATCH($O645,$R$10:$R$13,0),COLUMN())</f>
        <v>2.0093216270304002E-2</v>
      </c>
      <c r="AL645" s="1046" cm="1">
        <f t="array" aca="1" ref="AL645" ca="1">INDEX(OFFSET($AK$19,MATCH($B645,$B$19:$B$150,0)-1,0,COUNTA($B$19:$B$24),COUNTA($AK$17:$BB$17)),MATCH($F645,$F$19:$F$24,0),MATCH(AL$17,$AK$17:$BB$17,0))*INDEX($10:$13,MATCH($O645,$R$10:$R$13,0),COLUMN())</f>
        <v>2.1007490707000003E-8</v>
      </c>
      <c r="AM645" s="1046" cm="1">
        <f t="array" aca="1" ref="AM645" ca="1">INDEX(OFFSET($AK$19,MATCH($B645,$B$19:$B$150,0)-1,0,COUNTA($B$19:$B$24),COUNTA($AK$17:$BB$17)),MATCH($F645,$F$19:$F$24,0),MATCH(AM$17,$AK$17:$BB$17,0))*INDEX($10:$13,MATCH($O645,$R$10:$R$13,0),COLUMN())</f>
        <v>3.4132054969999999E-5</v>
      </c>
      <c r="AN645" s="1046" cm="1">
        <f t="array" aca="1" ref="AN645" ca="1">INDEX(OFFSET($AK$19,MATCH($B645,$B$19:$B$150,0)-1,0,COUNTA($B$19:$B$24),COUNTA($AK$17:$BB$17)),MATCH($F645,$F$19:$F$24,0),MATCH(AN$17,$AK$17:$BB$17,0))*INDEX($10:$13,MATCH($O645,$R$10:$R$13,0),COLUMN())</f>
        <v>1.8742674240000001E-4</v>
      </c>
      <c r="AO645" s="1046" cm="1">
        <f t="array" aca="1" ref="AO645" ca="1">INDEX(OFFSET($AK$19,MATCH($B645,$B$19:$B$150,0)-1,0,COUNTA($B$19:$B$24),COUNTA($AK$17:$BB$17)),MATCH($F645,$F$19:$F$24,0),MATCH(AO$17,$AK$17:$BB$17,0))*INDEX($10:$13,MATCH($O645,$R$10:$R$13,0),COLUMN())</f>
        <v>6.7639338639999998E-3</v>
      </c>
      <c r="AP645" s="1046" cm="1">
        <f t="array" aca="1" ref="AP645" ca="1">INDEX(OFFSET($AK$19,MATCH($B645,$B$19:$B$150,0)-1,0,COUNTA($B$19:$B$24),COUNTA($AK$17:$BB$17)),MATCH($F645,$F$19:$F$24,0),MATCH(AP$17,$AK$17:$BB$17,0))*INDEX($10:$13,MATCH($O645,$R$10:$R$13,0),COLUMN())</f>
        <v>3.9397959332000002E-3</v>
      </c>
      <c r="AQ645" s="1046" cm="1">
        <f t="array" aca="1" ref="AQ645" ca="1">INDEX(OFFSET($AK$19,MATCH($B645,$B$19:$B$150,0)-1,0,COUNTA($B$19:$B$24),COUNTA($AK$17:$BB$17)),MATCH($F645,$F$19:$F$24,0),MATCH(AQ$17,$AK$17:$BB$17,0))*INDEX($10:$13,MATCH($O645,$R$10:$R$13,0),COLUMN())</f>
        <v>5.6299718409999991E-5</v>
      </c>
      <c r="AR645" s="1046" cm="1">
        <f t="array" aca="1" ref="AR645" ca="1">INDEX(OFFSET($AK$19,MATCH($B645,$B$19:$B$150,0)-1,0,COUNTA($B$19:$B$24),COUNTA($AK$17:$BB$17)),MATCH($F645,$F$19:$F$24,0),MATCH(AR$17,$AK$17:$BB$17,0))*INDEX($10:$13,MATCH($O645,$R$10:$R$13,0),COLUMN())</f>
        <v>3.5934569640000001E-3</v>
      </c>
      <c r="AS645" s="1046" cm="1">
        <f t="array" aca="1" ref="AS645" ca="1">INDEX(OFFSET($AK$19,MATCH($B645,$B$19:$B$150,0)-1,0,COUNTA($B$19:$B$24),COUNTA($AK$17:$BB$17)),MATCH($F645,$F$19:$F$24,0),MATCH(AS$17,$AK$17:$BB$17,0))*INDEX($10:$13,MATCH($O645,$R$10:$R$13,0),COLUMN())</f>
        <v>1.4663866389999999E-2</v>
      </c>
      <c r="AT645" s="1046" cm="1">
        <f t="array" aca="1" ref="AT645" ca="1">INDEX(OFFSET($AK$19,MATCH($B645,$B$19:$B$150,0)-1,0,COUNTA($B$19:$B$24),COUNTA($AK$17:$BB$17)),MATCH($F645,$F$19:$F$24,0),MATCH(AT$17,$AK$17:$BB$17,0))*INDEX($10:$13,MATCH($O645,$R$10:$R$13,0),COLUMN())</f>
        <v>1.6699357115999997E-5</v>
      </c>
      <c r="AU645" s="1046" cm="1">
        <f t="array" aca="1" ref="AU645" ca="1">INDEX(OFFSET($AK$19,MATCH($B645,$B$19:$B$150,0)-1,0,COUNTA($B$19:$B$24),COUNTA($AK$17:$BB$17)),MATCH($F645,$F$19:$F$24,0),MATCH(AU$17,$AK$17:$BB$17,0))*INDEX($10:$13,MATCH($O645,$R$10:$R$13,0),COLUMN())</f>
        <v>1.4611892346E-6</v>
      </c>
      <c r="AV645" s="1046" cm="1">
        <f t="array" aca="1" ref="AV645" ca="1">INDEX(OFFSET($AK$19,MATCH($B645,$B$19:$B$150,0)-1,0,COUNTA($B$19:$B$24),COUNTA($AK$17:$BB$17)),MATCH($F645,$F$19:$F$24,0),MATCH(AV$17,$AK$17:$BB$17,0))*INDEX($10:$13,MATCH($O645,$R$10:$R$13,0),COLUMN())</f>
        <v>1.1290766579999999E-3</v>
      </c>
      <c r="AW645" s="1046" cm="1">
        <f t="array" aca="1" ref="AW645" ca="1">INDEX(OFFSET($AK$19,MATCH($B645,$B$19:$B$150,0)-1,0,COUNTA($B$19:$B$24),COUNTA($AK$17:$BB$17)),MATCH($F645,$F$19:$F$24,0),MATCH(AW$17,$AK$17:$BB$17,0))*INDEX($10:$13,MATCH($O645,$R$10:$R$13,0),COLUMN())</f>
        <v>9.5035790300000006E-2</v>
      </c>
      <c r="AX645" s="1046" cm="1">
        <f t="array" aca="1" ref="AX645" ca="1">INDEX(OFFSET($AK$19,MATCH($B645,$B$19:$B$150,0)-1,0,COUNTA($B$19:$B$24),COUNTA($AK$17:$BB$17)),MATCH($F645,$F$19:$F$24,0),MATCH(AX$17,$AK$17:$BB$17,0))*INDEX($10:$13,MATCH($O645,$R$10:$R$13,0),COLUMN())</f>
        <v>2.9058212379999998E-7</v>
      </c>
      <c r="AY645" s="1046" cm="1">
        <f t="array" aca="1" ref="AY645" ca="1">INDEX(OFFSET($AK$19,MATCH($B645,$B$19:$B$150,0)-1,0,COUNTA($B$19:$B$24),COUNTA($AK$17:$BB$17)),MATCH($F645,$F$19:$F$24,0),MATCH(AY$17,$AK$17:$BB$17,0))*INDEX($10:$13,MATCH($O645,$R$10:$R$13,0),COLUMN())</f>
        <v>-7.7943072637499997E-9</v>
      </c>
      <c r="AZ645" s="1046" cm="1">
        <f t="array" aca="1" ref="AZ645" ca="1">INDEX(OFFSET($AK$19,MATCH($B645,$B$19:$B$150,0)-1,0,COUNTA($B$19:$B$24),COUNTA($AK$17:$BB$17)),MATCH($F645,$F$19:$F$24,0),MATCH(AZ$17,$AK$17:$BB$17,0))*INDEX($10:$13,MATCH($O645,$R$10:$R$13,0),COLUMN())</f>
        <v>0</v>
      </c>
      <c r="BA645" s="1046" cm="1">
        <f t="array" aca="1" ref="BA645" ca="1">INDEX(OFFSET($AK$19,MATCH($B645,$B$19:$B$150,0)-1,0,COUNTA($B$19:$B$24),COUNTA($AK$17:$BB$17)),MATCH($F645,$F$19:$F$24,0),MATCH(BA$17,$AK$17:$BB$17,0))*INDEX($10:$13,MATCH($O645,$R$10:$R$13,0),COLUMN())</f>
        <v>0</v>
      </c>
      <c r="BB645" s="1047" cm="1">
        <f t="array" aca="1" ref="BB645" ca="1">INDEX(OFFSET($AK$19,MATCH($B645,$B$19:$B$150,0)-1,0,COUNTA($B$19:$B$24),COUNTA($AK$17:$BB$17)),MATCH($F645,$F$19:$F$24,0),MATCH(BB$17,$AK$17:$BB$17,0))*INDEX($10:$13,MATCH($O645,$R$10:$R$13,0),COLUMN())</f>
        <v>0</v>
      </c>
      <c r="BC645" s="1049">
        <f t="shared" ca="1" si="188"/>
        <v>9.5036073087816531E-2</v>
      </c>
      <c r="BE645" s="1"/>
      <c r="BF645" s="1"/>
      <c r="BG645" s="1"/>
      <c r="BH645" s="1"/>
      <c r="BI645" s="1"/>
      <c r="BJ645" s="1"/>
      <c r="BK645" s="1"/>
      <c r="BL645" s="1"/>
      <c r="BM645" s="1"/>
      <c r="BN645" s="1"/>
      <c r="BO645" s="1"/>
      <c r="BP645" s="1"/>
      <c r="BQ645" s="1"/>
      <c r="BR645" s="1"/>
      <c r="BS645" s="1"/>
      <c r="BT645" s="1"/>
      <c r="BU645" s="1"/>
      <c r="BV645" s="1"/>
      <c r="BW645" s="1"/>
      <c r="BX645" s="1"/>
      <c r="BY645" s="1"/>
      <c r="BZ645" s="1"/>
    </row>
    <row r="646" spans="2:78" ht="12" customHeight="1" outlineLevel="1" x14ac:dyDescent="0.25">
      <c r="B646" s="104" t="s">
        <v>112</v>
      </c>
      <c r="C646" s="104" t="s">
        <v>121</v>
      </c>
      <c r="D646" s="2" t="s">
        <v>148</v>
      </c>
      <c r="E646" s="2" t="s">
        <v>150</v>
      </c>
      <c r="F646" s="105" t="s">
        <v>122</v>
      </c>
      <c r="G646" s="27" t="s">
        <v>1579</v>
      </c>
      <c r="H646" s="106" t="s">
        <v>128</v>
      </c>
      <c r="I646" s="107" t="s">
        <v>129</v>
      </c>
      <c r="J646" s="147">
        <v>0.44</v>
      </c>
      <c r="K646" s="148">
        <v>1.33</v>
      </c>
      <c r="L646" s="149">
        <f t="shared" ca="1" si="190"/>
        <v>0.10321446176546309</v>
      </c>
      <c r="M646" s="148">
        <f t="shared" ca="1" si="191"/>
        <v>1.4672752341480659</v>
      </c>
      <c r="N646" s="148">
        <f t="shared" ca="1" si="189"/>
        <v>0.13727523414806592</v>
      </c>
      <c r="O646" s="1062" t="s">
        <v>1585</v>
      </c>
      <c r="P646" s="104"/>
      <c r="R646" s="119"/>
      <c r="S646" s="1072"/>
      <c r="T646" s="1072"/>
      <c r="U646" s="1072"/>
      <c r="V646" s="1072"/>
      <c r="W646" s="1072"/>
      <c r="X646" s="1072"/>
      <c r="Y646" s="1072"/>
      <c r="Z646" s="1072"/>
      <c r="AA646" s="1072"/>
      <c r="AB646" s="1072"/>
      <c r="AC646" s="1072"/>
      <c r="AD646" s="1072"/>
      <c r="AE646" s="1072"/>
      <c r="AF646" s="1072"/>
      <c r="AG646" s="1072"/>
      <c r="AH646" s="1072"/>
      <c r="AI646" s="1072"/>
      <c r="AJ646" s="1073"/>
      <c r="AK646" s="1052" cm="1">
        <f t="array" aca="1" ref="AK646" ca="1">INDEX(OFFSET($AK$19,MATCH($B646,$B$19:$B$150,0)-1,0,COUNTA($B$19:$B$24),COUNTA($AK$17:$BB$17)),MATCH($F646,$F$19:$F$24,0),MATCH(AK$17,$AK$17:$BB$17,0))*INDEX($10:$13,MATCH($O646,$R$10:$R$13,0),COLUMN())</f>
        <v>1.16536077832128E-2</v>
      </c>
      <c r="AL646" s="1050" cm="1">
        <f t="array" aca="1" ref="AL646" ca="1">INDEX(OFFSET($AK$19,MATCH($B646,$B$19:$B$150,0)-1,0,COUNTA($B$19:$B$24),COUNTA($AK$17:$BB$17)),MATCH($F646,$F$19:$F$24,0),MATCH(AL$17,$AK$17:$BB$17,0))*INDEX($10:$13,MATCH($O646,$R$10:$R$13,0),COLUMN())</f>
        <v>1.0958835779000001E-8</v>
      </c>
      <c r="AM646" s="1050" cm="1">
        <f t="array" aca="1" ref="AM646" ca="1">INDEX(OFFSET($AK$19,MATCH($B646,$B$19:$B$150,0)-1,0,COUNTA($B$19:$B$24),COUNTA($AK$17:$BB$17)),MATCH($F646,$F$19:$F$24,0),MATCH(AM$17,$AK$17:$BB$17,0))*INDEX($10:$13,MATCH($O646,$R$10:$R$13,0),COLUMN())</f>
        <v>1.7517801834E-5</v>
      </c>
      <c r="AN646" s="1050" cm="1">
        <f t="array" aca="1" ref="AN646" ca="1">INDEX(OFFSET($AK$19,MATCH($B646,$B$19:$B$150,0)-1,0,COUNTA($B$19:$B$24),COUNTA($AK$17:$BB$17)),MATCH($F646,$F$19:$F$24,0),MATCH(AN$17,$AK$17:$BB$17,0))*INDEX($10:$13,MATCH($O646,$R$10:$R$13,0),COLUMN())</f>
        <v>2.14659276E-4</v>
      </c>
      <c r="AO646" s="1050" cm="1">
        <f t="array" aca="1" ref="AO646" ca="1">INDEX(OFFSET($AK$19,MATCH($B646,$B$19:$B$150,0)-1,0,COUNTA($B$19:$B$24),COUNTA($AK$17:$BB$17)),MATCH($F646,$F$19:$F$24,0),MATCH(AO$17,$AK$17:$BB$17,0))*INDEX($10:$13,MATCH($O646,$R$10:$R$13,0),COLUMN())</f>
        <v>2.5734711956000001E-3</v>
      </c>
      <c r="AP646" s="1050" cm="1">
        <f t="array" aca="1" ref="AP646" ca="1">INDEX(OFFSET($AK$19,MATCH($B646,$B$19:$B$150,0)-1,0,COUNTA($B$19:$B$24),COUNTA($AK$17:$BB$17)),MATCH($F646,$F$19:$F$24,0),MATCH(AP$17,$AK$17:$BB$17,0))*INDEX($10:$13,MATCH($O646,$R$10:$R$13,0),COLUMN())</f>
        <v>8.7077520860000008E-4</v>
      </c>
      <c r="AQ646" s="1050" cm="1">
        <f t="array" aca="1" ref="AQ646" ca="1">INDEX(OFFSET($AK$19,MATCH($B646,$B$19:$B$150,0)-1,0,COUNTA($B$19:$B$24),COUNTA($AK$17:$BB$17)),MATCH($F646,$F$19:$F$24,0),MATCH(AQ$17,$AK$17:$BB$17,0))*INDEX($10:$13,MATCH($O646,$R$10:$R$13,0),COLUMN())</f>
        <v>4.6572920139999995E-6</v>
      </c>
      <c r="AR646" s="1050" cm="1">
        <f t="array" aca="1" ref="AR646" ca="1">INDEX(OFFSET($AK$19,MATCH($B646,$B$19:$B$150,0)-1,0,COUNTA($B$19:$B$24),COUNTA($AK$17:$BB$17)),MATCH($F646,$F$19:$F$24,0),MATCH(AR$17,$AK$17:$BB$17,0))*INDEX($10:$13,MATCH($O646,$R$10:$R$13,0),COLUMN())</f>
        <v>2.4158868749999999E-3</v>
      </c>
      <c r="AS646" s="1050" cm="1">
        <f t="array" aca="1" ref="AS646" ca="1">INDEX(OFFSET($AK$19,MATCH($B646,$B$19:$B$150,0)-1,0,COUNTA($B$19:$B$24),COUNTA($AK$17:$BB$17)),MATCH($F646,$F$19:$F$24,0),MATCH(AS$17,$AK$17:$BB$17,0))*INDEX($10:$13,MATCH($O646,$R$10:$R$13,0),COLUMN())</f>
        <v>1.3243955400000001E-5</v>
      </c>
      <c r="AT646" s="1050" cm="1">
        <f t="array" aca="1" ref="AT646" ca="1">INDEX(OFFSET($AK$19,MATCH($B646,$B$19:$B$150,0)-1,0,COUNTA($B$19:$B$24),COUNTA($AK$17:$BB$17)),MATCH($F646,$F$19:$F$24,0),MATCH(AT$17,$AK$17:$BB$17,0))*INDEX($10:$13,MATCH($O646,$R$10:$R$13,0),COLUMN())</f>
        <v>4.0284771565999998E-7</v>
      </c>
      <c r="AU646" s="1050" cm="1">
        <f t="array" aca="1" ref="AU646" ca="1">INDEX(OFFSET($AK$19,MATCH($B646,$B$19:$B$150,0)-1,0,COUNTA($B$19:$B$24),COUNTA($AK$17:$BB$17)),MATCH($F646,$F$19:$F$24,0),MATCH(AU$17,$AK$17:$BB$17,0))*INDEX($10:$13,MATCH($O646,$R$10:$R$13,0),COLUMN())</f>
        <v>9.5881329720000014E-8</v>
      </c>
      <c r="AV646" s="1050" cm="1">
        <f t="array" aca="1" ref="AV646" ca="1">INDEX(OFFSET($AK$19,MATCH($B646,$B$19:$B$150,0)-1,0,COUNTA($B$19:$B$24),COUNTA($AK$17:$BB$17)),MATCH($F646,$F$19:$F$24,0),MATCH(AV$17,$AK$17:$BB$17,0))*INDEX($10:$13,MATCH($O646,$R$10:$R$13,0),COLUMN())</f>
        <v>6.9468914069999995E-5</v>
      </c>
      <c r="AW646" s="1050" cm="1">
        <f t="array" aca="1" ref="AW646" ca="1">INDEX(OFFSET($AK$19,MATCH($B646,$B$19:$B$150,0)-1,0,COUNTA($B$19:$B$24),COUNTA($AK$17:$BB$17)),MATCH($F646,$F$19:$F$24,0),MATCH(AW$17,$AK$17:$BB$17,0))*INDEX($10:$13,MATCH($O646,$R$10:$R$13,0),COLUMN())</f>
        <v>0.11944137445000001</v>
      </c>
      <c r="AX646" s="1050" cm="1">
        <f t="array" aca="1" ref="AX646" ca="1">INDEX(OFFSET($AK$19,MATCH($B646,$B$19:$B$150,0)-1,0,COUNTA($B$19:$B$24),COUNTA($AK$17:$BB$17)),MATCH($F646,$F$19:$F$24,0),MATCH(AX$17,$AK$17:$BB$17,0))*INDEX($10:$13,MATCH($O646,$R$10:$R$13,0),COLUMN())</f>
        <v>6.3340912909999996E-8</v>
      </c>
      <c r="AY646" s="1050" cm="1">
        <f t="array" aca="1" ref="AY646" ca="1">INDEX(OFFSET($AK$19,MATCH($B646,$B$19:$B$150,0)-1,0,COUNTA($B$19:$B$24),COUNTA($AK$17:$BB$17)),MATCH($F646,$F$19:$F$24,0),MATCH(AY$17,$AK$17:$BB$17,0))*INDEX($10:$13,MATCH($O646,$R$10:$R$13,0),COLUMN())</f>
        <v>-1.6324589401875001E-9</v>
      </c>
      <c r="AZ646" s="1050" cm="1">
        <f t="array" aca="1" ref="AZ646" ca="1">INDEX(OFFSET($AK$19,MATCH($B646,$B$19:$B$150,0)-1,0,COUNTA($B$19:$B$24),COUNTA($AK$17:$BB$17)),MATCH($F646,$F$19:$F$24,0),MATCH(AZ$17,$AK$17:$BB$17,0))*INDEX($10:$13,MATCH($O646,$R$10:$R$13,0),COLUMN())</f>
        <v>0</v>
      </c>
      <c r="BA646" s="1050" cm="1">
        <f t="array" aca="1" ref="BA646" ca="1">INDEX(OFFSET($AK$19,MATCH($B646,$B$19:$B$150,0)-1,0,COUNTA($B$19:$B$24),COUNTA($AK$17:$BB$17)),MATCH($F646,$F$19:$F$24,0),MATCH(BA$17,$AK$17:$BB$17,0))*INDEX($10:$13,MATCH($O646,$R$10:$R$13,0),COLUMN())</f>
        <v>0</v>
      </c>
      <c r="BB646" s="1051" cm="1">
        <f t="array" aca="1" ref="BB646" ca="1">INDEX(OFFSET($AK$19,MATCH($B646,$B$19:$B$150,0)-1,0,COUNTA($B$19:$B$24),COUNTA($AK$17:$BB$17)),MATCH($F646,$F$19:$F$24,0),MATCH(BB$17,$AK$17:$BB$17,0))*INDEX($10:$13,MATCH($O646,$R$10:$R$13,0),COLUMN())</f>
        <v>0</v>
      </c>
      <c r="BC646" s="1053">
        <f t="shared" ca="1" si="188"/>
        <v>0.11944143615845397</v>
      </c>
      <c r="BE646" s="1"/>
      <c r="BF646" s="1"/>
      <c r="BG646" s="1"/>
      <c r="BH646" s="1"/>
      <c r="BI646" s="1"/>
      <c r="BJ646" s="1"/>
      <c r="BK646" s="1"/>
      <c r="BL646" s="1"/>
      <c r="BM646" s="1"/>
      <c r="BN646" s="1"/>
      <c r="BO646" s="1"/>
      <c r="BP646" s="1"/>
      <c r="BQ646" s="1"/>
      <c r="BR646" s="1"/>
      <c r="BS646" s="1"/>
      <c r="BT646" s="1"/>
      <c r="BU646" s="1"/>
      <c r="BV646" s="1"/>
      <c r="BW646" s="1"/>
      <c r="BX646" s="1"/>
      <c r="BY646" s="1"/>
      <c r="BZ646" s="1"/>
    </row>
    <row r="647" spans="2:78" ht="12" customHeight="1" outlineLevel="1" x14ac:dyDescent="0.25">
      <c r="B647" s="104" t="s">
        <v>112</v>
      </c>
      <c r="C647" s="104" t="s">
        <v>121</v>
      </c>
      <c r="D647" s="2" t="s">
        <v>148</v>
      </c>
      <c r="E647" s="2" t="s">
        <v>150</v>
      </c>
      <c r="F647" s="105" t="s">
        <v>93</v>
      </c>
      <c r="G647" s="27" t="s">
        <v>1578</v>
      </c>
      <c r="H647" s="106" t="s">
        <v>130</v>
      </c>
      <c r="I647" s="107" t="s">
        <v>129</v>
      </c>
      <c r="J647" s="147">
        <v>0.44</v>
      </c>
      <c r="K647" s="148">
        <v>1.33</v>
      </c>
      <c r="L647" s="149">
        <f t="shared" ca="1" si="190"/>
        <v>0.14633607926010689</v>
      </c>
      <c r="M647" s="148">
        <f t="shared" ca="1" si="191"/>
        <v>1.5246269854159422</v>
      </c>
      <c r="N647" s="148">
        <f t="shared" ca="1" si="189"/>
        <v>0.19462698541594217</v>
      </c>
      <c r="O647" s="1062" t="s">
        <v>1585</v>
      </c>
      <c r="P647" s="104"/>
      <c r="R647" s="119"/>
      <c r="S647" s="1072"/>
      <c r="T647" s="1072"/>
      <c r="U647" s="1072"/>
      <c r="V647" s="1072"/>
      <c r="W647" s="1072"/>
      <c r="X647" s="1072"/>
      <c r="Y647" s="1072"/>
      <c r="Z647" s="1072"/>
      <c r="AA647" s="1072"/>
      <c r="AB647" s="1072"/>
      <c r="AC647" s="1072"/>
      <c r="AD647" s="1072"/>
      <c r="AE647" s="1072"/>
      <c r="AF647" s="1072"/>
      <c r="AG647" s="1072"/>
      <c r="AH647" s="1072"/>
      <c r="AI647" s="1072"/>
      <c r="AJ647" s="1073"/>
      <c r="AK647" s="1052" cm="1">
        <f t="array" aca="1" ref="AK647" ca="1">INDEX(OFFSET($AK$19,MATCH($B647,$B$19:$B$150,0)-1,0,COUNTA($B$19:$B$24),COUNTA($AK$17:$BB$17)),MATCH($F647,$F$19:$F$24,0),MATCH(AK$17,$AK$17:$BB$17,0))*INDEX($10:$13,MATCH($O647,$R$10:$R$13,0),COLUMN())</f>
        <v>1.6516763176262401E-2</v>
      </c>
      <c r="AL647" s="1050" cm="1">
        <f t="array" aca="1" ref="AL647" ca="1">INDEX(OFFSET($AK$19,MATCH($B647,$B$19:$B$150,0)-1,0,COUNTA($B$19:$B$24),COUNTA($AK$17:$BB$17)),MATCH($F647,$F$19:$F$24,0),MATCH(AL$17,$AK$17:$BB$17,0))*INDEX($10:$13,MATCH($O647,$R$10:$R$13,0),COLUMN())</f>
        <v>1.5532056715000003E-8</v>
      </c>
      <c r="AM647" s="1050" cm="1">
        <f t="array" aca="1" ref="AM647" ca="1">INDEX(OFFSET($AK$19,MATCH($B647,$B$19:$B$150,0)-1,0,COUNTA($B$19:$B$24),COUNTA($AK$17:$BB$17)),MATCH($F647,$F$19:$F$24,0),MATCH(AM$17,$AK$17:$BB$17,0))*INDEX($10:$13,MATCH($O647,$R$10:$R$13,0),COLUMN())</f>
        <v>2.4828138348000001E-5</v>
      </c>
      <c r="AN647" s="1050" cm="1">
        <f t="array" aca="1" ref="AN647" ca="1">INDEX(OFFSET($AK$19,MATCH($B647,$B$19:$B$150,0)-1,0,COUNTA($B$19:$B$24),COUNTA($AK$17:$BB$17)),MATCH($F647,$F$19:$F$24,0),MATCH(AN$17,$AK$17:$BB$17,0))*INDEX($10:$13,MATCH($O647,$R$10:$R$13,0),COLUMN())</f>
        <v>3.0423853520000001E-4</v>
      </c>
      <c r="AO647" s="1050" cm="1">
        <f t="array" aca="1" ref="AO647" ca="1">INDEX(OFFSET($AK$19,MATCH($B647,$B$19:$B$150,0)-1,0,COUNTA($B$19:$B$24),COUNTA($AK$17:$BB$17)),MATCH($F647,$F$19:$F$24,0),MATCH(AO$17,$AK$17:$BB$17,0))*INDEX($10:$13,MATCH($O647,$R$10:$R$13,0),COLUMN())</f>
        <v>3.6474038524E-3</v>
      </c>
      <c r="AP647" s="1050" cm="1">
        <f t="array" aca="1" ref="AP647" ca="1">INDEX(OFFSET($AK$19,MATCH($B647,$B$19:$B$150,0)-1,0,COUNTA($B$19:$B$24),COUNTA($AK$17:$BB$17)),MATCH($F647,$F$19:$F$24,0),MATCH(AP$17,$AK$17:$BB$17,0))*INDEX($10:$13,MATCH($O647,$R$10:$R$13,0),COLUMN())</f>
        <v>1.2341575098E-3</v>
      </c>
      <c r="AQ647" s="1050" cm="1">
        <f t="array" aca="1" ref="AQ647" ca="1">INDEX(OFFSET($AK$19,MATCH($B647,$B$19:$B$150,0)-1,0,COUNTA($B$19:$B$24),COUNTA($AK$17:$BB$17)),MATCH($F647,$F$19:$F$24,0),MATCH(AQ$17,$AK$17:$BB$17,0))*INDEX($10:$13,MATCH($O647,$R$10:$R$13,0),COLUMN())</f>
        <v>6.6008220869999997E-6</v>
      </c>
      <c r="AR647" s="1050" cm="1">
        <f t="array" aca="1" ref="AR647" ca="1">INDEX(OFFSET($AK$19,MATCH($B647,$B$19:$B$150,0)-1,0,COUNTA($B$19:$B$24),COUNTA($AK$17:$BB$17)),MATCH($F647,$F$19:$F$24,0),MATCH(AR$17,$AK$17:$BB$17,0))*INDEX($10:$13,MATCH($O647,$R$10:$R$13,0),COLUMN())</f>
        <v>3.4240583739999996E-3</v>
      </c>
      <c r="AS647" s="1050" cm="1">
        <f t="array" aca="1" ref="AS647" ca="1">INDEX(OFFSET($AK$19,MATCH($B647,$B$19:$B$150,0)-1,0,COUNTA($B$19:$B$24),COUNTA($AK$17:$BB$17)),MATCH($F647,$F$19:$F$24,0),MATCH(AS$17,$AK$17:$BB$17,0))*INDEX($10:$13,MATCH($O647,$R$10:$R$13,0),COLUMN())</f>
        <v>3.1935036645000001E-5</v>
      </c>
      <c r="AT647" s="1050" cm="1">
        <f t="array" aca="1" ref="AT647" ca="1">INDEX(OFFSET($AK$19,MATCH($B647,$B$19:$B$150,0)-1,0,COUNTA($B$19:$B$24),COUNTA($AK$17:$BB$17)),MATCH($F647,$F$19:$F$24,0),MATCH(AT$17,$AK$17:$BB$17,0))*INDEX($10:$13,MATCH($O647,$R$10:$R$13,0),COLUMN())</f>
        <v>5.7553854229999999E-7</v>
      </c>
      <c r="AU647" s="1050" cm="1">
        <f t="array" aca="1" ref="AU647" ca="1">INDEX(OFFSET($AK$19,MATCH($B647,$B$19:$B$150,0)-1,0,COUNTA($B$19:$B$24),COUNTA($AK$17:$BB$17)),MATCH($F647,$F$19:$F$24,0),MATCH(AU$17,$AK$17:$BB$17,0))*INDEX($10:$13,MATCH($O647,$R$10:$R$13,0),COLUMN())</f>
        <v>1.3636901178000001E-7</v>
      </c>
      <c r="AV647" s="1050" cm="1">
        <f t="array" aca="1" ref="AV647" ca="1">INDEX(OFFSET($AK$19,MATCH($B647,$B$19:$B$150,0)-1,0,COUNTA($B$19:$B$24),COUNTA($AK$17:$BB$17)),MATCH($F647,$F$19:$F$24,0),MATCH(AV$17,$AK$17:$BB$17,0))*INDEX($10:$13,MATCH($O647,$R$10:$R$13,0),COLUMN())</f>
        <v>1.5084727163999998E-4</v>
      </c>
      <c r="AW647" s="1050" cm="1">
        <f t="array" aca="1" ref="AW647" ca="1">INDEX(OFFSET($AK$19,MATCH($B647,$B$19:$B$150,0)-1,0,COUNTA($B$19:$B$24),COUNTA($AK$17:$BB$17)),MATCH($F647,$F$19:$F$24,0),MATCH(AW$17,$AK$17:$BB$17,0))*INDEX($10:$13,MATCH($O647,$R$10:$R$13,0),COLUMN())</f>
        <v>0.16928533780000002</v>
      </c>
      <c r="AX647" s="1050" cm="1">
        <f t="array" aca="1" ref="AX647" ca="1">INDEX(OFFSET($AK$19,MATCH($B647,$B$19:$B$150,0)-1,0,COUNTA($B$19:$B$24),COUNTA($AK$17:$BB$17)),MATCH($F647,$F$19:$F$24,0),MATCH(AX$17,$AK$17:$BB$17,0))*INDEX($10:$13,MATCH($O647,$R$10:$R$13,0),COLUMN())</f>
        <v>8.9773647700000002E-8</v>
      </c>
      <c r="AY647" s="1050" cm="1">
        <f t="array" aca="1" ref="AY647" ca="1">INDEX(OFFSET($AK$19,MATCH($B647,$B$19:$B$150,0)-1,0,COUNTA($B$19:$B$24),COUNTA($AK$17:$BB$17)),MATCH($F647,$F$19:$F$24,0),MATCH(AY$17,$AK$17:$BB$17,0))*INDEX($10:$13,MATCH($O647,$R$10:$R$13,0),COLUMN())</f>
        <v>-2.3136987611250002E-9</v>
      </c>
      <c r="AZ647" s="1050" cm="1">
        <f t="array" aca="1" ref="AZ647" ca="1">INDEX(OFFSET($AK$19,MATCH($B647,$B$19:$B$150,0)-1,0,COUNTA($B$19:$B$24),COUNTA($AK$17:$BB$17)),MATCH($F647,$F$19:$F$24,0),MATCH(AZ$17,$AK$17:$BB$17,0))*INDEX($10:$13,MATCH($O647,$R$10:$R$13,0),COLUMN())</f>
        <v>0</v>
      </c>
      <c r="BA647" s="1050" cm="1">
        <f t="array" aca="1" ref="BA647" ca="1">INDEX(OFFSET($AK$19,MATCH($B647,$B$19:$B$150,0)-1,0,COUNTA($B$19:$B$24),COUNTA($AK$17:$BB$17)),MATCH($F647,$F$19:$F$24,0),MATCH(BA$17,$AK$17:$BB$17,0))*INDEX($10:$13,MATCH($O647,$R$10:$R$13,0),COLUMN())</f>
        <v>0</v>
      </c>
      <c r="BB647" s="1051" cm="1">
        <f t="array" aca="1" ref="BB647" ca="1">INDEX(OFFSET($AK$19,MATCH($B647,$B$19:$B$150,0)-1,0,COUNTA($B$19:$B$24),COUNTA($AK$17:$BB$17)),MATCH($F647,$F$19:$F$24,0),MATCH(BB$17,$AK$17:$BB$17,0))*INDEX($10:$13,MATCH($O647,$R$10:$R$13,0),COLUMN())</f>
        <v>0</v>
      </c>
      <c r="BC647" s="1053">
        <f t="shared" ca="1" si="188"/>
        <v>0.16928542525994897</v>
      </c>
      <c r="BE647" s="1"/>
      <c r="BF647" s="1"/>
      <c r="BG647" s="1"/>
      <c r="BH647" s="1"/>
      <c r="BI647" s="1"/>
      <c r="BJ647" s="1"/>
      <c r="BK647" s="1"/>
      <c r="BL647" s="1"/>
      <c r="BM647" s="1"/>
      <c r="BN647" s="1"/>
      <c r="BO647" s="1"/>
      <c r="BP647" s="1"/>
      <c r="BQ647" s="1"/>
      <c r="BR647" s="1"/>
      <c r="BS647" s="1"/>
      <c r="BT647" s="1"/>
      <c r="BU647" s="1"/>
      <c r="BV647" s="1"/>
      <c r="BW647" s="1"/>
      <c r="BX647" s="1"/>
      <c r="BY647" s="1"/>
      <c r="BZ647" s="1"/>
    </row>
    <row r="648" spans="2:78" ht="12" customHeight="1" outlineLevel="1" x14ac:dyDescent="0.25">
      <c r="B648" s="104" t="s">
        <v>112</v>
      </c>
      <c r="C648" s="104" t="s">
        <v>121</v>
      </c>
      <c r="D648" s="2" t="s">
        <v>148</v>
      </c>
      <c r="E648" s="2" t="s">
        <v>150</v>
      </c>
      <c r="F648" s="105" t="s">
        <v>94</v>
      </c>
      <c r="G648" s="27" t="s">
        <v>1580</v>
      </c>
      <c r="H648" s="106" t="s">
        <v>131</v>
      </c>
      <c r="I648" s="107" t="s">
        <v>129</v>
      </c>
      <c r="J648" s="147">
        <v>0.44</v>
      </c>
      <c r="K648" s="148">
        <v>1.33</v>
      </c>
      <c r="L648" s="149">
        <f t="shared" ca="1" si="190"/>
        <v>7.9710042571804432E-2</v>
      </c>
      <c r="M648" s="148">
        <f t="shared" ca="1" si="191"/>
        <v>1.4360143566204999</v>
      </c>
      <c r="N648" s="148">
        <f t="shared" ca="1" si="189"/>
        <v>0.10601435662049989</v>
      </c>
      <c r="O648" s="1062" t="s">
        <v>1585</v>
      </c>
      <c r="P648" s="104"/>
      <c r="R648" s="119"/>
      <c r="S648" s="1072"/>
      <c r="T648" s="1072"/>
      <c r="U648" s="1072"/>
      <c r="V648" s="1072"/>
      <c r="W648" s="1072"/>
      <c r="X648" s="1072"/>
      <c r="Y648" s="1072"/>
      <c r="Z648" s="1072"/>
      <c r="AA648" s="1072"/>
      <c r="AB648" s="1072"/>
      <c r="AC648" s="1072"/>
      <c r="AD648" s="1072"/>
      <c r="AE648" s="1072"/>
      <c r="AF648" s="1072"/>
      <c r="AG648" s="1072"/>
      <c r="AH648" s="1072"/>
      <c r="AI648" s="1072"/>
      <c r="AJ648" s="1073"/>
      <c r="AK648" s="1052" cm="1">
        <f t="array" aca="1" ref="AK648" ca="1">INDEX(OFFSET($AK$19,MATCH($B648,$B$19:$B$150,0)-1,0,COUNTA($B$19:$B$24),COUNTA($AK$17:$BB$17)),MATCH($F648,$F$19:$F$24,0),MATCH(AK$17,$AK$17:$BB$17,0))*INDEX($10:$13,MATCH($O648,$R$10:$R$13,0),COLUMN())</f>
        <v>9.0028338832319997E-3</v>
      </c>
      <c r="AL648" s="1050" cm="1">
        <f t="array" aca="1" ref="AL648" ca="1">INDEX(OFFSET($AK$19,MATCH($B648,$B$19:$B$150,0)-1,0,COUNTA($B$19:$B$24),COUNTA($AK$17:$BB$17)),MATCH($F648,$F$19:$F$24,0),MATCH(AL$17,$AK$17:$BB$17,0))*INDEX($10:$13,MATCH($O648,$R$10:$R$13,0),COLUMN())</f>
        <v>8.4660977459999995E-9</v>
      </c>
      <c r="AM648" s="1050" cm="1">
        <f t="array" aca="1" ref="AM648" ca="1">INDEX(OFFSET($AK$19,MATCH($B648,$B$19:$B$150,0)-1,0,COUNTA($B$19:$B$24),COUNTA($AK$17:$BB$17)),MATCH($F648,$F$19:$F$24,0),MATCH(AM$17,$AK$17:$BB$17,0))*INDEX($10:$13,MATCH($O648,$R$10:$R$13,0),COLUMN())</f>
        <v>1.3533136473999999E-5</v>
      </c>
      <c r="AN648" s="1050" cm="1">
        <f t="array" aca="1" ref="AN648" ca="1">INDEX(OFFSET($AK$19,MATCH($B648,$B$19:$B$150,0)-1,0,COUNTA($B$19:$B$24),COUNTA($AK$17:$BB$17)),MATCH($F648,$F$19:$F$24,0),MATCH(AN$17,$AK$17:$BB$17,0))*INDEX($10:$13,MATCH($O648,$R$10:$R$13,0),COLUMN())</f>
        <v>1.6583206632000001E-4</v>
      </c>
      <c r="AO648" s="1050" cm="1">
        <f t="array" aca="1" ref="AO648" ca="1">INDEX(OFFSET($AK$19,MATCH($B648,$B$19:$B$150,0)-1,0,COUNTA($B$19:$B$24),COUNTA($AK$17:$BB$17)),MATCH($F648,$F$19:$F$24,0),MATCH(AO$17,$AK$17:$BB$17,0))*INDEX($10:$13,MATCH($O648,$R$10:$R$13,0),COLUMN())</f>
        <v>1.9880997032000001E-3</v>
      </c>
      <c r="AP648" s="1050" cm="1">
        <f t="array" aca="1" ref="AP648" ca="1">INDEX(OFFSET($AK$19,MATCH($B648,$B$19:$B$150,0)-1,0,COUNTA($B$19:$B$24),COUNTA($AK$17:$BB$17)),MATCH($F648,$F$19:$F$24,0),MATCH(AP$17,$AK$17:$BB$17,0))*INDEX($10:$13,MATCH($O648,$R$10:$R$13,0),COLUMN())</f>
        <v>6.7270537640000004E-4</v>
      </c>
      <c r="AQ648" s="1050" cm="1">
        <f t="array" aca="1" ref="AQ648" ca="1">INDEX(OFFSET($AK$19,MATCH($B648,$B$19:$B$150,0)-1,0,COUNTA($B$19:$B$24),COUNTA($AK$17:$BB$17)),MATCH($F648,$F$19:$F$24,0),MATCH(AQ$17,$AK$17:$BB$17,0))*INDEX($10:$13,MATCH($O648,$R$10:$R$13,0),COLUMN())</f>
        <v>3.5979268460000001E-6</v>
      </c>
      <c r="AR648" s="1050" cm="1">
        <f t="array" aca="1" ref="AR648" ca="1">INDEX(OFFSET($AK$19,MATCH($B648,$B$19:$B$150,0)-1,0,COUNTA($B$19:$B$24),COUNTA($AK$17:$BB$17)),MATCH($F648,$F$19:$F$24,0),MATCH(AR$17,$AK$17:$BB$17,0))*INDEX($10:$13,MATCH($O648,$R$10:$R$13,0),COLUMN())</f>
        <v>1.8663601069E-3</v>
      </c>
      <c r="AS648" s="1050" cm="1">
        <f t="array" aca="1" ref="AS648" ca="1">INDEX(OFFSET($AK$19,MATCH($B648,$B$19:$B$150,0)-1,0,COUNTA($B$19:$B$24),COUNTA($AK$17:$BB$17)),MATCH($F648,$F$19:$F$24,0),MATCH(AS$17,$AK$17:$BB$17,0))*INDEX($10:$13,MATCH($O648,$R$10:$R$13,0),COLUMN())</f>
        <v>3.0559581660000001E-6</v>
      </c>
      <c r="AT648" s="1050" cm="1">
        <f t="array" aca="1" ref="AT648" ca="1">INDEX(OFFSET($AK$19,MATCH($B648,$B$19:$B$150,0)-1,0,COUNTA($B$19:$B$24),COUNTA($AK$17:$BB$17)),MATCH($F648,$F$19:$F$24,0),MATCH(AT$17,$AK$17:$BB$17,0))*INDEX($10:$13,MATCH($O648,$R$10:$R$13,0),COLUMN())</f>
        <v>3.0871864378999997E-7</v>
      </c>
      <c r="AU648" s="1050" cm="1">
        <f t="array" aca="1" ref="AU648" ca="1">INDEX(OFFSET($AK$19,MATCH($B648,$B$19:$B$150,0)-1,0,COUNTA($B$19:$B$24),COUNTA($AK$17:$BB$17)),MATCH($F648,$F$19:$F$24,0),MATCH(AU$17,$AK$17:$BB$17,0))*INDEX($10:$13,MATCH($O648,$R$10:$R$13,0),COLUMN())</f>
        <v>7.381259433000001E-8</v>
      </c>
      <c r="AV648" s="1050" cm="1">
        <f t="array" aca="1" ref="AV648" ca="1">INDEX(OFFSET($AK$19,MATCH($B648,$B$19:$B$150,0)-1,0,COUNTA($B$19:$B$24),COUNTA($AK$17:$BB$17)),MATCH($F648,$F$19:$F$24,0),MATCH(AV$17,$AK$17:$BB$17,0))*INDEX($10:$13,MATCH($O648,$R$10:$R$13,0),COLUMN())</f>
        <v>2.5111793610000003E-5</v>
      </c>
      <c r="AW648" s="1050" cm="1">
        <f t="array" aca="1" ref="AW648" ca="1">INDEX(OFFSET($AK$19,MATCH($B648,$B$19:$B$150,0)-1,0,COUNTA($B$19:$B$24),COUNTA($AK$17:$BB$17)),MATCH($F648,$F$19:$F$24,0),MATCH(AW$17,$AK$17:$BB$17,0))*INDEX($10:$13,MATCH($O648,$R$10:$R$13,0),COLUMN())</f>
        <v>9.2272788000000022E-2</v>
      </c>
      <c r="AX648" s="1050" cm="1">
        <f t="array" aca="1" ref="AX648" ca="1">INDEX(OFFSET($AK$19,MATCH($B648,$B$19:$B$150,0)-1,0,COUNTA($B$19:$B$24),COUNTA($AK$17:$BB$17)),MATCH($F648,$F$19:$F$24,0),MATCH(AX$17,$AK$17:$BB$17,0))*INDEX($10:$13,MATCH($O648,$R$10:$R$13,0),COLUMN())</f>
        <v>4.8933149675000003E-8</v>
      </c>
      <c r="AY648" s="1050" cm="1">
        <f t="array" aca="1" ref="AY648" ca="1">INDEX(OFFSET($AK$19,MATCH($B648,$B$19:$B$150,0)-1,0,COUNTA($B$19:$B$24),COUNTA($AK$17:$BB$17)),MATCH($F648,$F$19:$F$24,0),MATCH(AY$17,$AK$17:$BB$17,0))*INDEX($10:$13,MATCH($O648,$R$10:$R$13,0),COLUMN())</f>
        <v>-1.2611336692499999E-9</v>
      </c>
      <c r="AZ648" s="1050" cm="1">
        <f t="array" aca="1" ref="AZ648" ca="1">INDEX(OFFSET($AK$19,MATCH($B648,$B$19:$B$150,0)-1,0,COUNTA($B$19:$B$24),COUNTA($AK$17:$BB$17)),MATCH($F648,$F$19:$F$24,0),MATCH(AZ$17,$AK$17:$BB$17,0))*INDEX($10:$13,MATCH($O648,$R$10:$R$13,0),COLUMN())</f>
        <v>0</v>
      </c>
      <c r="BA648" s="1050" cm="1">
        <f t="array" aca="1" ref="BA648" ca="1">INDEX(OFFSET($AK$19,MATCH($B648,$B$19:$B$150,0)-1,0,COUNTA($B$19:$B$24),COUNTA($AK$17:$BB$17)),MATCH($F648,$F$19:$F$24,0),MATCH(BA$17,$AK$17:$BB$17,0))*INDEX($10:$13,MATCH($O648,$R$10:$R$13,0),COLUMN())</f>
        <v>0</v>
      </c>
      <c r="BB648" s="1051" cm="1">
        <f t="array" aca="1" ref="BB648" ca="1">INDEX(OFFSET($AK$19,MATCH($B648,$B$19:$B$150,0)-1,0,COUNTA($B$19:$B$24),COUNTA($AK$17:$BB$17)),MATCH($F648,$F$19:$F$24,0),MATCH(BB$17,$AK$17:$BB$17,0))*INDEX($10:$13,MATCH($O648,$R$10:$R$13,0),COLUMN())</f>
        <v>0</v>
      </c>
      <c r="BC648" s="1053">
        <f t="shared" ca="1" si="188"/>
        <v>9.2272835672016024E-2</v>
      </c>
      <c r="BE648" s="1"/>
      <c r="BF648" s="1"/>
      <c r="BG648" s="1"/>
      <c r="BH648" s="1"/>
      <c r="BI648" s="1"/>
      <c r="BJ648" s="1"/>
      <c r="BK648" s="1"/>
      <c r="BL648" s="1"/>
      <c r="BM648" s="1"/>
      <c r="BN648" s="1"/>
      <c r="BO648" s="1"/>
      <c r="BP648" s="1"/>
      <c r="BQ648" s="1"/>
      <c r="BR648" s="1"/>
      <c r="BS648" s="1"/>
      <c r="BT648" s="1"/>
      <c r="BU648" s="1"/>
      <c r="BV648" s="1"/>
      <c r="BW648" s="1"/>
      <c r="BX648" s="1"/>
      <c r="BY648" s="1"/>
      <c r="BZ648" s="1"/>
    </row>
    <row r="649" spans="2:78" ht="12" customHeight="1" outlineLevel="1" x14ac:dyDescent="0.25">
      <c r="B649" s="104" t="s">
        <v>112</v>
      </c>
      <c r="C649" s="104" t="s">
        <v>121</v>
      </c>
      <c r="D649" s="2" t="s">
        <v>148</v>
      </c>
      <c r="E649" s="2" t="s">
        <v>150</v>
      </c>
      <c r="F649" s="105" t="s">
        <v>95</v>
      </c>
      <c r="G649" s="27" t="s">
        <v>1581</v>
      </c>
      <c r="H649" s="106" t="s">
        <v>128</v>
      </c>
      <c r="I649" s="107" t="s">
        <v>127</v>
      </c>
      <c r="J649" s="147">
        <v>0.44</v>
      </c>
      <c r="K649" s="148">
        <v>1.33</v>
      </c>
      <c r="L649" s="149">
        <f t="shared" ca="1" si="190"/>
        <v>0.10781919197263663</v>
      </c>
      <c r="M649" s="148">
        <f t="shared" ca="1" si="191"/>
        <v>1.4733995253236067</v>
      </c>
      <c r="N649" s="148">
        <f t="shared" ca="1" si="189"/>
        <v>0.14339952532360672</v>
      </c>
      <c r="O649" s="1062" t="s">
        <v>1585</v>
      </c>
      <c r="P649" s="104"/>
      <c r="R649" s="119"/>
      <c r="S649" s="1072"/>
      <c r="T649" s="1072"/>
      <c r="U649" s="1072"/>
      <c r="V649" s="1072"/>
      <c r="W649" s="1072"/>
      <c r="X649" s="1072"/>
      <c r="Y649" s="1072"/>
      <c r="Z649" s="1072"/>
      <c r="AA649" s="1072"/>
      <c r="AB649" s="1072"/>
      <c r="AC649" s="1072"/>
      <c r="AD649" s="1072"/>
      <c r="AE649" s="1072"/>
      <c r="AF649" s="1072"/>
      <c r="AG649" s="1072"/>
      <c r="AH649" s="1072"/>
      <c r="AI649" s="1072"/>
      <c r="AJ649" s="1073"/>
      <c r="AK649" s="1052" cm="1">
        <f t="array" aca="1" ref="AK649" ca="1">INDEX(OFFSET($AK$19,MATCH($B649,$B$19:$B$150,0)-1,0,COUNTA($B$19:$B$24),COUNTA($AK$17:$BB$17)),MATCH($F649,$F$19:$F$24,0),MATCH(AK$17,$AK$17:$BB$17,0))*INDEX($10:$13,MATCH($O649,$R$10:$R$13,0),COLUMN())</f>
        <v>1.26518764557696E-2</v>
      </c>
      <c r="AL649" s="1050" cm="1">
        <f t="array" aca="1" ref="AL649" ca="1">INDEX(OFFSET($AK$19,MATCH($B649,$B$19:$B$150,0)-1,0,COUNTA($B$19:$B$24),COUNTA($AK$17:$BB$17)),MATCH($F649,$F$19:$F$24,0),MATCH(AL$17,$AK$17:$BB$17,0))*INDEX($10:$13,MATCH($O649,$R$10:$R$13,0),COLUMN())</f>
        <v>1.1000534744000001E-8</v>
      </c>
      <c r="AM649" s="1050" cm="1">
        <f t="array" aca="1" ref="AM649" ca="1">INDEX(OFFSET($AK$19,MATCH($B649,$B$19:$B$150,0)-1,0,COUNTA($B$19:$B$24),COUNTA($AK$17:$BB$17)),MATCH($F649,$F$19:$F$24,0),MATCH(AM$17,$AK$17:$BB$17,0))*INDEX($10:$13,MATCH($O649,$R$10:$R$13,0),COLUMN())</f>
        <v>1.7584203156000001E-5</v>
      </c>
      <c r="AN649" s="1050" cm="1">
        <f t="array" aca="1" ref="AN649" ca="1">INDEX(OFFSET($AK$19,MATCH($B649,$B$19:$B$150,0)-1,0,COUNTA($B$19:$B$24),COUNTA($AK$17:$BB$17)),MATCH($F649,$F$19:$F$24,0),MATCH(AN$17,$AK$17:$BB$17,0))*INDEX($10:$13,MATCH($O649,$R$10:$R$13,0),COLUMN())</f>
        <v>2.233147464E-4</v>
      </c>
      <c r="AO649" s="1050" cm="1">
        <f t="array" aca="1" ref="AO649" ca="1">INDEX(OFFSET($AK$19,MATCH($B649,$B$19:$B$150,0)-1,0,COUNTA($B$19:$B$24),COUNTA($AK$17:$BB$17)),MATCH($F649,$F$19:$F$24,0),MATCH(AO$17,$AK$17:$BB$17,0))*INDEX($10:$13,MATCH($O649,$R$10:$R$13,0),COLUMN())</f>
        <v>4.9728841475999994E-3</v>
      </c>
      <c r="AP649" s="1050" cm="1">
        <f t="array" aca="1" ref="AP649" ca="1">INDEX(OFFSET($AK$19,MATCH($B649,$B$19:$B$150,0)-1,0,COUNTA($B$19:$B$24),COUNTA($AK$17:$BB$17)),MATCH($F649,$F$19:$F$24,0),MATCH(AP$17,$AK$17:$BB$17,0))*INDEX($10:$13,MATCH($O649,$R$10:$R$13,0),COLUMN())</f>
        <v>2.5589904836E-3</v>
      </c>
      <c r="AQ649" s="1050" cm="1">
        <f t="array" aca="1" ref="AQ649" ca="1">INDEX(OFFSET($AK$19,MATCH($B649,$B$19:$B$150,0)-1,0,COUNTA($B$19:$B$24),COUNTA($AK$17:$BB$17)),MATCH($F649,$F$19:$F$24,0),MATCH(AQ$17,$AK$17:$BB$17,0))*INDEX($10:$13,MATCH($O649,$R$10:$R$13,0),COLUMN())</f>
        <v>1.8320085128E-5</v>
      </c>
      <c r="AR649" s="1050" cm="1">
        <f t="array" aca="1" ref="AR649" ca="1">INDEX(OFFSET($AK$19,MATCH($B649,$B$19:$B$150,0)-1,0,COUNTA($B$19:$B$24),COUNTA($AK$17:$BB$17)),MATCH($F649,$F$19:$F$24,0),MATCH(AR$17,$AK$17:$BB$17,0))*INDEX($10:$13,MATCH($O649,$R$10:$R$13,0),COLUMN())</f>
        <v>2.8106518638000002E-3</v>
      </c>
      <c r="AS649" s="1050" cm="1">
        <f t="array" aca="1" ref="AS649" ca="1">INDEX(OFFSET($AK$19,MATCH($B649,$B$19:$B$150,0)-1,0,COUNTA($B$19:$B$24),COUNTA($AK$17:$BB$17)),MATCH($F649,$F$19:$F$24,0),MATCH(AS$17,$AK$17:$BB$17,0))*INDEX($10:$13,MATCH($O649,$R$10:$R$13,0),COLUMN())</f>
        <v>2.2123462479999999E-4</v>
      </c>
      <c r="AT649" s="1050" cm="1">
        <f t="array" aca="1" ref="AT649" ca="1">INDEX(OFFSET($AK$19,MATCH($B649,$B$19:$B$150,0)-1,0,COUNTA($B$19:$B$24),COUNTA($AK$17:$BB$17)),MATCH($F649,$F$19:$F$24,0),MATCH(AT$17,$AK$17:$BB$17,0))*INDEX($10:$13,MATCH($O649,$R$10:$R$13,0),COLUMN())</f>
        <v>5.5801730949999994E-7</v>
      </c>
      <c r="AU649" s="1050" cm="1">
        <f t="array" aca="1" ref="AU649" ca="1">INDEX(OFFSET($AK$19,MATCH($B649,$B$19:$B$150,0)-1,0,COUNTA($B$19:$B$24),COUNTA($AK$17:$BB$17)),MATCH($F649,$F$19:$F$24,0),MATCH(AU$17,$AK$17:$BB$17,0))*INDEX($10:$13,MATCH($O649,$R$10:$R$13,0),COLUMN())</f>
        <v>1.1963695491000002E-7</v>
      </c>
      <c r="AV649" s="1050" cm="1">
        <f t="array" aca="1" ref="AV649" ca="1">INDEX(OFFSET($AK$19,MATCH($B649,$B$19:$B$150,0)-1,0,COUNTA($B$19:$B$24),COUNTA($AK$17:$BB$17)),MATCH($F649,$F$19:$F$24,0),MATCH(AV$17,$AK$17:$BB$17,0))*INDEX($10:$13,MATCH($O649,$R$10:$R$13,0),COLUMN())</f>
        <v>4.825439001E-4</v>
      </c>
      <c r="AW649" s="1050" cm="1">
        <f t="array" aca="1" ref="AW649" ca="1">INDEX(OFFSET($AK$19,MATCH($B649,$B$19:$B$150,0)-1,0,COUNTA($B$19:$B$24),COUNTA($AK$17:$BB$17)),MATCH($F649,$F$19:$F$24,0),MATCH(AW$17,$AK$17:$BB$17,0))*INDEX($10:$13,MATCH($O649,$R$10:$R$13,0),COLUMN())</f>
        <v>0.11944137445000001</v>
      </c>
      <c r="AX649" s="1050" cm="1">
        <f t="array" aca="1" ref="AX649" ca="1">INDEX(OFFSET($AK$19,MATCH($B649,$B$19:$B$150,0)-1,0,COUNTA($B$19:$B$24),COUNTA($AK$17:$BB$17)),MATCH($F649,$F$19:$F$24,0),MATCH(AX$17,$AK$17:$BB$17,0))*INDEX($10:$13,MATCH($O649,$R$10:$R$13,0),COLUMN())</f>
        <v>6.3340912909999996E-8</v>
      </c>
      <c r="AY649" s="1050" cm="1">
        <f t="array" aca="1" ref="AY649" ca="1">INDEX(OFFSET($AK$19,MATCH($B649,$B$19:$B$150,0)-1,0,COUNTA($B$19:$B$24),COUNTA($AK$17:$BB$17)),MATCH($F649,$F$19:$F$24,0),MATCH(AY$17,$AK$17:$BB$17,0))*INDEX($10:$13,MATCH($O649,$R$10:$R$13,0),COLUMN())</f>
        <v>-1.6324589401875001E-9</v>
      </c>
      <c r="AZ649" s="1050" cm="1">
        <f t="array" aca="1" ref="AZ649" ca="1">INDEX(OFFSET($AK$19,MATCH($B649,$B$19:$B$150,0)-1,0,COUNTA($B$19:$B$24),COUNTA($AK$17:$BB$17)),MATCH($F649,$F$19:$F$24,0),MATCH(AZ$17,$AK$17:$BB$17,0))*INDEX($10:$13,MATCH($O649,$R$10:$R$13,0),COLUMN())</f>
        <v>0</v>
      </c>
      <c r="BA649" s="1050" cm="1">
        <f t="array" aca="1" ref="BA649" ca="1">INDEX(OFFSET($AK$19,MATCH($B649,$B$19:$B$150,0)-1,0,COUNTA($B$19:$B$24),COUNTA($AK$17:$BB$17)),MATCH($F649,$F$19:$F$24,0),MATCH(BA$17,$AK$17:$BB$17,0))*INDEX($10:$13,MATCH($O649,$R$10:$R$13,0),COLUMN())</f>
        <v>0</v>
      </c>
      <c r="BB649" s="1051" cm="1">
        <f t="array" aca="1" ref="BB649" ca="1">INDEX(OFFSET($AK$19,MATCH($B649,$B$19:$B$150,0)-1,0,COUNTA($B$19:$B$24),COUNTA($AK$17:$BB$17)),MATCH($F649,$F$19:$F$24,0),MATCH(BB$17,$AK$17:$BB$17,0))*INDEX($10:$13,MATCH($O649,$R$10:$R$13,0),COLUMN())</f>
        <v>0</v>
      </c>
      <c r="BC649" s="1053">
        <f t="shared" ca="1" si="188"/>
        <v>0.11944143615845397</v>
      </c>
      <c r="BE649" s="1"/>
      <c r="BF649" s="1"/>
      <c r="BG649" s="1"/>
      <c r="BH649" s="1"/>
      <c r="BI649" s="1"/>
      <c r="BJ649" s="1"/>
      <c r="BK649" s="1"/>
      <c r="BL649" s="1"/>
      <c r="BM649" s="1"/>
      <c r="BN649" s="1"/>
      <c r="BO649" s="1"/>
      <c r="BP649" s="1"/>
      <c r="BQ649" s="1"/>
      <c r="BR649" s="1"/>
      <c r="BS649" s="1"/>
      <c r="BT649" s="1"/>
      <c r="BU649" s="1"/>
      <c r="BV649" s="1"/>
      <c r="BW649" s="1"/>
      <c r="BX649" s="1"/>
      <c r="BY649" s="1"/>
      <c r="BZ649" s="1"/>
    </row>
    <row r="650" spans="2:78" ht="12" customHeight="1" outlineLevel="1" x14ac:dyDescent="0.25">
      <c r="B650" s="104" t="s">
        <v>112</v>
      </c>
      <c r="C650" s="104" t="s">
        <v>121</v>
      </c>
      <c r="D650" s="2" t="s">
        <v>148</v>
      </c>
      <c r="E650" s="2" t="s">
        <v>150</v>
      </c>
      <c r="F650" s="105" t="s">
        <v>96</v>
      </c>
      <c r="G650" s="27" t="s">
        <v>1582</v>
      </c>
      <c r="H650" s="106" t="s">
        <v>128</v>
      </c>
      <c r="I650" s="107" t="s">
        <v>1577</v>
      </c>
      <c r="J650" s="147">
        <v>0.44</v>
      </c>
      <c r="K650" s="148">
        <v>1.33</v>
      </c>
      <c r="L650" s="149">
        <f t="shared" ca="1" si="190"/>
        <v>0.11118635351841535</v>
      </c>
      <c r="M650" s="148">
        <f t="shared" ca="1" si="191"/>
        <v>1.4778778501794925</v>
      </c>
      <c r="N650" s="148">
        <f t="shared" ca="1" si="189"/>
        <v>0.14787785017949243</v>
      </c>
      <c r="O650" s="1062" t="s">
        <v>1585</v>
      </c>
      <c r="P650" s="104"/>
      <c r="R650" s="119"/>
      <c r="S650" s="1072"/>
      <c r="T650" s="1072"/>
      <c r="U650" s="1072"/>
      <c r="V650" s="1072"/>
      <c r="W650" s="1072"/>
      <c r="X650" s="1072"/>
      <c r="Y650" s="1072"/>
      <c r="Z650" s="1072"/>
      <c r="AA650" s="1072"/>
      <c r="AB650" s="1072"/>
      <c r="AC650" s="1072"/>
      <c r="AD650" s="1072"/>
      <c r="AE650" s="1072"/>
      <c r="AF650" s="1072"/>
      <c r="AG650" s="1072"/>
      <c r="AH650" s="1072"/>
      <c r="AI650" s="1072"/>
      <c r="AJ650" s="1073"/>
      <c r="AK650" s="1052" cm="1">
        <f t="array" aca="1" ref="AK650" ca="1">INDEX(OFFSET($AK$19,MATCH($B650,$B$19:$B$150,0)-1,0,COUNTA($B$19:$B$24),COUNTA($AK$17:$BB$17)),MATCH($F650,$F$19:$F$24,0),MATCH(AK$17,$AK$17:$BB$17,0))*INDEX($10:$13,MATCH($O650,$R$10:$R$13,0),COLUMN())</f>
        <v>1.3367319832953601E-2</v>
      </c>
      <c r="AL650" s="1050" cm="1">
        <f t="array" aca="1" ref="AL650" ca="1">INDEX(OFFSET($AK$19,MATCH($B650,$B$19:$B$150,0)-1,0,COUNTA($B$19:$B$24),COUNTA($AK$17:$BB$17)),MATCH($F650,$F$19:$F$24,0),MATCH(AL$17,$AK$17:$BB$17,0))*INDEX($10:$13,MATCH($O650,$R$10:$R$13,0),COLUMN())</f>
        <v>1.1027748637000001E-8</v>
      </c>
      <c r="AM650" s="1050" cm="1">
        <f t="array" aca="1" ref="AM650" ca="1">INDEX(OFFSET($AK$19,MATCH($B650,$B$19:$B$150,0)-1,0,COUNTA($B$19:$B$24),COUNTA($AK$17:$BB$17)),MATCH($F650,$F$19:$F$24,0),MATCH(AM$17,$AK$17:$BB$17,0))*INDEX($10:$13,MATCH($O650,$R$10:$R$13,0),COLUMN())</f>
        <v>1.7627537823999999E-5</v>
      </c>
      <c r="AN650" s="1050" cm="1">
        <f t="array" aca="1" ref="AN650" ca="1">INDEX(OFFSET($AK$19,MATCH($B650,$B$19:$B$150,0)-1,0,COUNTA($B$19:$B$24),COUNTA($AK$17:$BB$17)),MATCH($F650,$F$19:$F$24,0),MATCH(AN$17,$AK$17:$BB$17,0))*INDEX($10:$13,MATCH($O650,$R$10:$R$13,0),COLUMN())</f>
        <v>2.2896343599999999E-4</v>
      </c>
      <c r="AO650" s="1050" cm="1">
        <f t="array" aca="1" ref="AO650" ca="1">INDEX(OFFSET($AK$19,MATCH($B650,$B$19:$B$150,0)-1,0,COUNTA($B$19:$B$24),COUNTA($AK$17:$BB$17)),MATCH($F650,$F$19:$F$24,0),MATCH(AO$17,$AK$17:$BB$17,0))*INDEX($10:$13,MATCH($O650,$R$10:$R$13,0),COLUMN())</f>
        <v>6.7173086879999998E-3</v>
      </c>
      <c r="AP650" s="1050" cm="1">
        <f t="array" aca="1" ref="AP650" ca="1">INDEX(OFFSET($AK$19,MATCH($B650,$B$19:$B$150,0)-1,0,COUNTA($B$19:$B$24),COUNTA($AK$17:$BB$17)),MATCH($F650,$F$19:$F$24,0),MATCH(AP$17,$AK$17:$BB$17,0))*INDEX($10:$13,MATCH($O650,$R$10:$R$13,0),COLUMN())</f>
        <v>3.7888338282E-3</v>
      </c>
      <c r="AQ650" s="1050" cm="1">
        <f t="array" aca="1" ref="AQ650" ca="1">INDEX(OFFSET($AK$19,MATCH($B650,$B$19:$B$150,0)-1,0,COUNTA($B$19:$B$24),COUNTA($AK$17:$BB$17)),MATCH($F650,$F$19:$F$24,0),MATCH(AQ$17,$AK$17:$BB$17,0))*INDEX($10:$13,MATCH($O650,$R$10:$R$13,0),COLUMN())</f>
        <v>2.8050443389999999E-5</v>
      </c>
      <c r="AR650" s="1050" cm="1">
        <f t="array" aca="1" ref="AR650" ca="1">INDEX(OFFSET($AK$19,MATCH($B650,$B$19:$B$150,0)-1,0,COUNTA($B$19:$B$24),COUNTA($AK$17:$BB$17)),MATCH($F650,$F$19:$F$24,0),MATCH(AR$17,$AK$17:$BB$17,0))*INDEX($10:$13,MATCH($O650,$R$10:$R$13,0),COLUMN())</f>
        <v>3.0984648234000001E-3</v>
      </c>
      <c r="AS650" s="1050" cm="1">
        <f t="array" aca="1" ref="AS650" ca="1">INDEX(OFFSET($AK$19,MATCH($B650,$B$19:$B$150,0)-1,0,COUNTA($B$19:$B$24),COUNTA($AK$17:$BB$17)),MATCH($F650,$F$19:$F$24,0),MATCH(AS$17,$AK$17:$BB$17,0))*INDEX($10:$13,MATCH($O650,$R$10:$R$13,0),COLUMN())</f>
        <v>3.6783986764999998E-4</v>
      </c>
      <c r="AT650" s="1050" cm="1">
        <f t="array" aca="1" ref="AT650" ca="1">INDEX(OFFSET($AK$19,MATCH($B650,$B$19:$B$150,0)-1,0,COUNTA($B$19:$B$24),COUNTA($AK$17:$BB$17)),MATCH($F650,$F$19:$F$24,0),MATCH(AT$17,$AK$17:$BB$17,0))*INDEX($10:$13,MATCH($O650,$R$10:$R$13,0),COLUMN())</f>
        <v>6.2409436789999991E-7</v>
      </c>
      <c r="AU650" s="1050" cm="1">
        <f t="array" aca="1" ref="AU650" ca="1">INDEX(OFFSET($AK$19,MATCH($B650,$B$19:$B$150,0)-1,0,COUNTA($B$19:$B$24),COUNTA($AK$17:$BB$17)),MATCH($F650,$F$19:$F$24,0),MATCH(AU$17,$AK$17:$BB$17,0))*INDEX($10:$13,MATCH($O650,$R$10:$R$13,0),COLUMN())</f>
        <v>1.2907970433000001E-7</v>
      </c>
      <c r="AV650" s="1050" cm="1">
        <f t="array" aca="1" ref="AV650" ca="1">INDEX(OFFSET($AK$19,MATCH($B650,$B$19:$B$150,0)-1,0,COUNTA($B$19:$B$24),COUNTA($AK$17:$BB$17)),MATCH($F650,$F$19:$F$24,0),MATCH(AV$17,$AK$17:$BB$17,0))*INDEX($10:$13,MATCH($O650,$R$10:$R$13,0),COLUMN())</f>
        <v>8.2124136180000001E-4</v>
      </c>
      <c r="AW650" s="1050" cm="1">
        <f t="array" aca="1" ref="AW650" ca="1">INDEX(OFFSET($AK$19,MATCH($B650,$B$19:$B$150,0)-1,0,COUNTA($B$19:$B$24),COUNTA($AK$17:$BB$17)),MATCH($F650,$F$19:$F$24,0),MATCH(AW$17,$AK$17:$BB$17,0))*INDEX($10:$13,MATCH($O650,$R$10:$R$13,0),COLUMN())</f>
        <v>0.11944137445000001</v>
      </c>
      <c r="AX650" s="1050" cm="1">
        <f t="array" aca="1" ref="AX650" ca="1">INDEX(OFFSET($AK$19,MATCH($B650,$B$19:$B$150,0)-1,0,COUNTA($B$19:$B$24),COUNTA($AK$17:$BB$17)),MATCH($F650,$F$19:$F$24,0),MATCH(AX$17,$AK$17:$BB$17,0))*INDEX($10:$13,MATCH($O650,$R$10:$R$13,0),COLUMN())</f>
        <v>6.3340912909999996E-8</v>
      </c>
      <c r="AY650" s="1050" cm="1">
        <f t="array" aca="1" ref="AY650" ca="1">INDEX(OFFSET($AK$19,MATCH($B650,$B$19:$B$150,0)-1,0,COUNTA($B$19:$B$24),COUNTA($AK$17:$BB$17)),MATCH($F650,$F$19:$F$24,0),MATCH(AY$17,$AK$17:$BB$17,0))*INDEX($10:$13,MATCH($O650,$R$10:$R$13,0),COLUMN())</f>
        <v>-1.6324589401875001E-9</v>
      </c>
      <c r="AZ650" s="1050" cm="1">
        <f t="array" aca="1" ref="AZ650" ca="1">INDEX(OFFSET($AK$19,MATCH($B650,$B$19:$B$150,0)-1,0,COUNTA($B$19:$B$24),COUNTA($AK$17:$BB$17)),MATCH($F650,$F$19:$F$24,0),MATCH(AZ$17,$AK$17:$BB$17,0))*INDEX($10:$13,MATCH($O650,$R$10:$R$13,0),COLUMN())</f>
        <v>0</v>
      </c>
      <c r="BA650" s="1050" cm="1">
        <f t="array" aca="1" ref="BA650" ca="1">INDEX(OFFSET($AK$19,MATCH($B650,$B$19:$B$150,0)-1,0,COUNTA($B$19:$B$24),COUNTA($AK$17:$BB$17)),MATCH($F650,$F$19:$F$24,0),MATCH(BA$17,$AK$17:$BB$17,0))*INDEX($10:$13,MATCH($O650,$R$10:$R$13,0),COLUMN())</f>
        <v>0</v>
      </c>
      <c r="BB650" s="1051" cm="1">
        <f t="array" aca="1" ref="BB650" ca="1">INDEX(OFFSET($AK$19,MATCH($B650,$B$19:$B$150,0)-1,0,COUNTA($B$19:$B$24),COUNTA($AK$17:$BB$17)),MATCH($F650,$F$19:$F$24,0),MATCH(BB$17,$AK$17:$BB$17,0))*INDEX($10:$13,MATCH($O650,$R$10:$R$13,0),COLUMN())</f>
        <v>0</v>
      </c>
      <c r="BC650" s="1053">
        <f t="shared" ca="1" si="188"/>
        <v>0.11944143615845397</v>
      </c>
      <c r="BE650" s="1"/>
      <c r="BF650" s="1"/>
      <c r="BG650" s="1"/>
      <c r="BH650" s="1"/>
      <c r="BI650" s="1"/>
      <c r="BJ650" s="1"/>
      <c r="BK650" s="1"/>
      <c r="BL650" s="1"/>
      <c r="BM650" s="1"/>
      <c r="BN650" s="1"/>
      <c r="BO650" s="1"/>
      <c r="BP650" s="1"/>
      <c r="BQ650" s="1"/>
      <c r="BR650" s="1"/>
      <c r="BS650" s="1"/>
      <c r="BT650" s="1"/>
      <c r="BU650" s="1"/>
      <c r="BV650" s="1"/>
      <c r="BW650" s="1"/>
      <c r="BX650" s="1"/>
      <c r="BY650" s="1"/>
      <c r="BZ650" s="1"/>
    </row>
    <row r="651" spans="2:78" ht="12" customHeight="1" outlineLevel="1" x14ac:dyDescent="0.25">
      <c r="B651" s="88" t="s">
        <v>113</v>
      </c>
      <c r="C651" s="88" t="s">
        <v>123</v>
      </c>
      <c r="D651" s="89" t="s">
        <v>151</v>
      </c>
      <c r="E651" s="89" t="s">
        <v>113</v>
      </c>
      <c r="F651" s="90" t="s">
        <v>92</v>
      </c>
      <c r="G651" s="18" t="s">
        <v>126</v>
      </c>
      <c r="H651" s="91" t="s">
        <v>127</v>
      </c>
      <c r="I651" s="92" t="s">
        <v>127</v>
      </c>
      <c r="J651" s="142">
        <v>2.11</v>
      </c>
      <c r="K651" s="143">
        <v>1.55</v>
      </c>
      <c r="L651" s="151">
        <f t="shared" ca="1" si="190"/>
        <v>3.0722645246708731</v>
      </c>
      <c r="M651" s="143">
        <f t="shared" ca="1" si="191"/>
        <v>6.3120100132398536</v>
      </c>
      <c r="N651" s="162">
        <f t="shared" ca="1" si="189"/>
        <v>4.7620100132398537</v>
      </c>
      <c r="O651" s="1060" t="s">
        <v>1585</v>
      </c>
      <c r="P651" s="88"/>
      <c r="Q651" s="89"/>
      <c r="R651" s="150"/>
      <c r="S651" s="1070"/>
      <c r="T651" s="1070"/>
      <c r="U651" s="1070"/>
      <c r="V651" s="1070"/>
      <c r="W651" s="1070"/>
      <c r="X651" s="1070"/>
      <c r="Y651" s="1070"/>
      <c r="Z651" s="1070"/>
      <c r="AA651" s="1070"/>
      <c r="AB651" s="1070"/>
      <c r="AC651" s="1070"/>
      <c r="AD651" s="1070"/>
      <c r="AE651" s="1070"/>
      <c r="AF651" s="1070"/>
      <c r="AG651" s="1070"/>
      <c r="AH651" s="1070"/>
      <c r="AI651" s="1070"/>
      <c r="AJ651" s="1071"/>
      <c r="AK651" s="1048" cm="1">
        <f t="array" aca="1" ref="AK651" ca="1">INDEX(OFFSET($AK$19,MATCH($B651,$B$19:$B$150,0)-1,0,COUNTA($B$19:$B$24),COUNTA($AK$17:$BB$17)),MATCH($F651,$F$19:$F$24,0),MATCH(AK$17,$AK$17:$BB$17,0))*INDEX($10:$13,MATCH($O651,$R$10:$R$13,0),COLUMN())</f>
        <v>1.2274572774105599</v>
      </c>
      <c r="AL651" s="1046" cm="1">
        <f t="array" aca="1" ref="AL651" ca="1">INDEX(OFFSET($AK$19,MATCH($B651,$B$19:$B$150,0)-1,0,COUNTA($B$19:$B$24),COUNTA($AK$17:$BB$17)),MATCH($F651,$F$19:$F$24,0),MATCH(AL$17,$AK$17:$BB$17,0))*INDEX($10:$13,MATCH($O651,$R$10:$R$13,0),COLUMN())</f>
        <v>1.0372822394000001E-6</v>
      </c>
      <c r="AM651" s="1046" cm="1">
        <f t="array" aca="1" ref="AM651" ca="1">INDEX(OFFSET($AK$19,MATCH($B651,$B$19:$B$150,0)-1,0,COUNTA($B$19:$B$24),COUNTA($AK$17:$BB$17)),MATCH($F651,$F$19:$F$24,0),MATCH(AM$17,$AK$17:$BB$17,0))*INDEX($10:$13,MATCH($O651,$R$10:$R$13,0),COLUMN())</f>
        <v>1.7310472842E-3</v>
      </c>
      <c r="AN651" s="1046" cm="1">
        <f t="array" aca="1" ref="AN651" ca="1">INDEX(OFFSET($AK$19,MATCH($B651,$B$19:$B$150,0)-1,0,COUNTA($B$19:$B$24),COUNTA($AK$17:$BB$17)),MATCH($F651,$F$19:$F$24,0),MATCH(AN$17,$AK$17:$BB$17,0))*INDEX($10:$13,MATCH($O651,$R$10:$R$13,0),COLUMN())</f>
        <v>7.5462475600000002E-3</v>
      </c>
      <c r="AO651" s="1046" cm="1">
        <f t="array" aca="1" ref="AO651" ca="1">INDEX(OFFSET($AK$19,MATCH($B651,$B$19:$B$150,0)-1,0,COUNTA($B$19:$B$24),COUNTA($AK$17:$BB$17)),MATCH($F651,$F$19:$F$24,0),MATCH(AO$17,$AK$17:$BB$17,0))*INDEX($10:$13,MATCH($O651,$R$10:$R$13,0),COLUMN())</f>
        <v>0.50163283575999995</v>
      </c>
      <c r="AP651" s="1046" cm="1">
        <f t="array" aca="1" ref="AP651" ca="1">INDEX(OFFSET($AK$19,MATCH($B651,$B$19:$B$150,0)-1,0,COUNTA($B$19:$B$24),COUNTA($AK$17:$BB$17)),MATCH($F651,$F$19:$F$24,0),MATCH(AP$17,$AK$17:$BB$17,0))*INDEX($10:$13,MATCH($O651,$R$10:$R$13,0),COLUMN())</f>
        <v>0.31786694141999999</v>
      </c>
      <c r="AQ651" s="1046" cm="1">
        <f t="array" aca="1" ref="AQ651" ca="1">INDEX(OFFSET($AK$19,MATCH($B651,$B$19:$B$150,0)-1,0,COUNTA($B$19:$B$24),COUNTA($AK$17:$BB$17)),MATCH($F651,$F$19:$F$24,0),MATCH(AQ$17,$AK$17:$BB$17,0))*INDEX($10:$13,MATCH($O651,$R$10:$R$13,0),COLUMN())</f>
        <v>8.8284246249999989E-4</v>
      </c>
      <c r="AR651" s="1046" cm="1">
        <f t="array" aca="1" ref="AR651" ca="1">INDEX(OFFSET($AK$19,MATCH($B651,$B$19:$B$150,0)-1,0,COUNTA($B$19:$B$24),COUNTA($AK$17:$BB$17)),MATCH($F651,$F$19:$F$24,0),MATCH(AR$17,$AK$17:$BB$17,0))*INDEX($10:$13,MATCH($O651,$R$10:$R$13,0),COLUMN())</f>
        <v>6.2266488689999996E-2</v>
      </c>
      <c r="AS651" s="1046" cm="1">
        <f t="array" aca="1" ref="AS651" ca="1">INDEX(OFFSET($AK$19,MATCH($B651,$B$19:$B$150,0)-1,0,COUNTA($B$19:$B$24),COUNTA($AK$17:$BB$17)),MATCH($F651,$F$19:$F$24,0),MATCH(AS$17,$AK$17:$BB$17,0))*INDEX($10:$13,MATCH($O651,$R$10:$R$13,0),COLUMN())</f>
        <v>0.24722923775</v>
      </c>
      <c r="AT651" s="1046" cm="1">
        <f t="array" aca="1" ref="AT651" ca="1">INDEX(OFFSET($AK$19,MATCH($B651,$B$19:$B$150,0)-1,0,COUNTA($B$19:$B$24),COUNTA($AK$17:$BB$17)),MATCH($F651,$F$19:$F$24,0),MATCH(AT$17,$AK$17:$BB$17,0))*INDEX($10:$13,MATCH($O651,$R$10:$R$13,0),COLUMN())</f>
        <v>2.9105500128E-4</v>
      </c>
      <c r="AU651" s="1046" cm="1">
        <f t="array" aca="1" ref="AU651" ca="1">INDEX(OFFSET($AK$19,MATCH($B651,$B$19:$B$150,0)-1,0,COUNTA($B$19:$B$24),COUNTA($AK$17:$BB$17)),MATCH($F651,$F$19:$F$24,0),MATCH(AU$17,$AK$17:$BB$17,0))*INDEX($10:$13,MATCH($O651,$R$10:$R$13,0),COLUMN())</f>
        <v>1.6991967969000002E-5</v>
      </c>
      <c r="AV651" s="1046" cm="1">
        <f t="array" aca="1" ref="AV651" ca="1">INDEX(OFFSET($AK$19,MATCH($B651,$B$19:$B$150,0)-1,0,COUNTA($B$19:$B$24),COUNTA($AK$17:$BB$17)),MATCH($F651,$F$19:$F$24,0),MATCH(AV$17,$AK$17:$BB$17,0))*INDEX($10:$13,MATCH($O651,$R$10:$R$13,0),COLUMN())</f>
        <v>2.0690180819999997E-2</v>
      </c>
      <c r="AW651" s="1046" cm="1">
        <f t="array" aca="1" ref="AW651" ca="1">INDEX(OFFSET($AK$19,MATCH($B651,$B$19:$B$150,0)-1,0,COUNTA($B$19:$B$24),COUNTA($AK$17:$BB$17)),MATCH($F651,$F$19:$F$24,0),MATCH(AW$17,$AK$17:$BB$17,0))*INDEX($10:$13,MATCH($O651,$R$10:$R$13,0),COLUMN())</f>
        <v>2.3324949385000004</v>
      </c>
      <c r="AX651" s="1046" cm="1">
        <f t="array" aca="1" ref="AX651" ca="1">INDEX(OFFSET($AK$19,MATCH($B651,$B$19:$B$150,0)-1,0,COUNTA($B$19:$B$24),COUNTA($AK$17:$BB$17)),MATCH($F651,$F$19:$F$24,0),MATCH(AX$17,$AK$17:$BB$17,0))*INDEX($10:$13,MATCH($O651,$R$10:$R$13,0),COLUMN())</f>
        <v>1.4775712355000002E-5</v>
      </c>
      <c r="AY651" s="1046" cm="1">
        <f t="array" aca="1" ref="AY651" ca="1">INDEX(OFFSET($AK$19,MATCH($B651,$B$19:$B$150,0)-1,0,COUNTA($B$19:$B$24),COUNTA($AK$17:$BB$17)),MATCH($F651,$F$19:$F$24,0),MATCH(AY$17,$AK$17:$BB$17,0))*INDEX($10:$13,MATCH($O651,$R$10:$R$13,0),COLUMN())</f>
        <v>4.1888115618749999E-2</v>
      </c>
      <c r="AZ651" s="1046" cm="1">
        <f t="array" aca="1" ref="AZ651" ca="1">INDEX(OFFSET($AK$19,MATCH($B651,$B$19:$B$150,0)-1,0,COUNTA($B$19:$B$24),COUNTA($AK$17:$BB$17)),MATCH($F651,$F$19:$F$24,0),MATCH(AZ$17,$AK$17:$BB$17,0))*INDEX($10:$13,MATCH($O651,$R$10:$R$13,0),COLUMN())</f>
        <v>0</v>
      </c>
      <c r="BA651" s="1046" cm="1">
        <f t="array" aca="1" ref="BA651" ca="1">INDEX(OFFSET($AK$19,MATCH($B651,$B$19:$B$150,0)-1,0,COUNTA($B$19:$B$24),COUNTA($AK$17:$BB$17)),MATCH($F651,$F$19:$F$24,0),MATCH(BA$17,$AK$17:$BB$17,0))*INDEX($10:$13,MATCH($O651,$R$10:$R$13,0),COLUMN())</f>
        <v>0</v>
      </c>
      <c r="BB651" s="1047" cm="1">
        <f t="array" aca="1" ref="BB651" ca="1">INDEX(OFFSET($AK$19,MATCH($B651,$B$19:$B$150,0)-1,0,COUNTA($B$19:$B$24),COUNTA($AK$17:$BB$17)),MATCH($F651,$F$19:$F$24,0),MATCH(BB$17,$AK$17:$BB$17,0))*INDEX($10:$13,MATCH($O651,$R$10:$R$13,0),COLUMN())</f>
        <v>0</v>
      </c>
      <c r="BC651" s="1049">
        <f t="shared" ca="1" si="188"/>
        <v>2.3743978298311053</v>
      </c>
      <c r="BE651" s="1"/>
      <c r="BF651" s="1"/>
      <c r="BG651" s="1"/>
      <c r="BH651" s="1"/>
      <c r="BI651" s="1"/>
      <c r="BJ651" s="1"/>
      <c r="BK651" s="1"/>
      <c r="BL651" s="1"/>
      <c r="BM651" s="1"/>
      <c r="BN651" s="1"/>
      <c r="BO651" s="1"/>
      <c r="BP651" s="1"/>
      <c r="BQ651" s="1"/>
      <c r="BR651" s="1"/>
      <c r="BS651" s="1"/>
      <c r="BT651" s="1"/>
      <c r="BU651" s="1"/>
      <c r="BV651" s="1"/>
      <c r="BW651" s="1"/>
      <c r="BX651" s="1"/>
      <c r="BY651" s="1"/>
      <c r="BZ651" s="1"/>
    </row>
    <row r="652" spans="2:78" ht="12" customHeight="1" outlineLevel="1" x14ac:dyDescent="0.25">
      <c r="B652" s="104" t="s">
        <v>113</v>
      </c>
      <c r="C652" s="104" t="s">
        <v>123</v>
      </c>
      <c r="D652" s="2" t="s">
        <v>151</v>
      </c>
      <c r="E652" s="2" t="s">
        <v>113</v>
      </c>
      <c r="F652" s="105" t="s">
        <v>122</v>
      </c>
      <c r="G652" s="27" t="s">
        <v>1579</v>
      </c>
      <c r="H652" s="106" t="s">
        <v>128</v>
      </c>
      <c r="I652" s="107" t="s">
        <v>129</v>
      </c>
      <c r="J652" s="147">
        <v>2.11</v>
      </c>
      <c r="K652" s="148">
        <v>3.53</v>
      </c>
      <c r="L652" s="149">
        <f t="shared" ca="1" si="190"/>
        <v>1.4614231195057343</v>
      </c>
      <c r="M652" s="148">
        <f t="shared" ca="1" si="191"/>
        <v>8.6888236118552413</v>
      </c>
      <c r="N652" s="163">
        <f t="shared" ca="1" si="189"/>
        <v>5.158823611855242</v>
      </c>
      <c r="O652" s="1061" t="s">
        <v>1585</v>
      </c>
      <c r="P652" s="104"/>
      <c r="R652" s="119"/>
      <c r="S652" s="1072"/>
      <c r="T652" s="1072"/>
      <c r="U652" s="1072"/>
      <c r="V652" s="1072"/>
      <c r="W652" s="1072"/>
      <c r="X652" s="1072"/>
      <c r="Y652" s="1072"/>
      <c r="Z652" s="1072"/>
      <c r="AA652" s="1072"/>
      <c r="AB652" s="1072"/>
      <c r="AC652" s="1072"/>
      <c r="AD652" s="1072"/>
      <c r="AE652" s="1072"/>
      <c r="AF652" s="1072"/>
      <c r="AG652" s="1072"/>
      <c r="AH652" s="1072"/>
      <c r="AI652" s="1072"/>
      <c r="AJ652" s="1073"/>
      <c r="AK652" s="1052" cm="1">
        <f t="array" aca="1" ref="AK652" ca="1">INDEX(OFFSET($AK$19,MATCH($B652,$B$19:$B$150,0)-1,0,COUNTA($B$19:$B$24),COUNTA($AK$17:$BB$17)),MATCH($F652,$F$19:$F$24,0),MATCH(AK$17,$AK$17:$BB$17,0))*INDEX($10:$13,MATCH($O652,$R$10:$R$13,0),COLUMN())</f>
        <v>0.71316706532351992</v>
      </c>
      <c r="AL652" s="1050" cm="1">
        <f t="array" aca="1" ref="AL652" ca="1">INDEX(OFFSET($AK$19,MATCH($B652,$B$19:$B$150,0)-1,0,COUNTA($B$19:$B$24),COUNTA($AK$17:$BB$17)),MATCH($F652,$F$19:$F$24,0),MATCH(AL$17,$AK$17:$BB$17,0))*INDEX($10:$13,MATCH($O652,$R$10:$R$13,0),COLUMN())</f>
        <v>1.0439766039000001E-6</v>
      </c>
      <c r="AM652" s="1050" cm="1">
        <f t="array" aca="1" ref="AM652" ca="1">INDEX(OFFSET($AK$19,MATCH($B652,$B$19:$B$150,0)-1,0,COUNTA($B$19:$B$24),COUNTA($AK$17:$BB$17)),MATCH($F652,$F$19:$F$24,0),MATCH(AM$17,$AK$17:$BB$17,0))*INDEX($10:$13,MATCH($O652,$R$10:$R$13,0),COLUMN())</f>
        <v>1.7208922276E-3</v>
      </c>
      <c r="AN652" s="1050" cm="1">
        <f t="array" aca="1" ref="AN652" ca="1">INDEX(OFFSET($AK$19,MATCH($B652,$B$19:$B$150,0)-1,0,COUNTA($B$19:$B$24),COUNTA($AK$17:$BB$17)),MATCH($F652,$F$19:$F$24,0),MATCH(AN$17,$AK$17:$BB$17,0))*INDEX($10:$13,MATCH($O652,$R$10:$R$13,0),COLUMN())</f>
        <v>6.1594581440000008E-3</v>
      </c>
      <c r="AO652" s="1050" cm="1">
        <f t="array" aca="1" ref="AO652" ca="1">INDEX(OFFSET($AK$19,MATCH($B652,$B$19:$B$150,0)-1,0,COUNTA($B$19:$B$24),COUNTA($AK$17:$BB$17)),MATCH($F652,$F$19:$F$24,0),MATCH(AO$17,$AK$17:$BB$17,0))*INDEX($10:$13,MATCH($O652,$R$10:$R$13,0),COLUMN())</f>
        <v>0.43035802111999999</v>
      </c>
      <c r="AP652" s="1050" cm="1">
        <f t="array" aca="1" ref="AP652" ca="1">INDEX(OFFSET($AK$19,MATCH($B652,$B$19:$B$150,0)-1,0,COUNTA($B$19:$B$24),COUNTA($AK$17:$BB$17)),MATCH($F652,$F$19:$F$24,0),MATCH(AP$17,$AK$17:$BB$17,0))*INDEX($10:$13,MATCH($O652,$R$10:$R$13,0),COLUMN())</f>
        <v>0.27479666768</v>
      </c>
      <c r="AQ652" s="1050" cm="1">
        <f t="array" aca="1" ref="AQ652" ca="1">INDEX(OFFSET($AK$19,MATCH($B652,$B$19:$B$150,0)-1,0,COUNTA($B$19:$B$24),COUNTA($AK$17:$BB$17)),MATCH($F652,$F$19:$F$24,0),MATCH(AQ$17,$AK$17:$BB$17,0))*INDEX($10:$13,MATCH($O652,$R$10:$R$13,0),COLUMN())</f>
        <v>1.6161330201999998E-4</v>
      </c>
      <c r="AR652" s="1050" cm="1">
        <f t="array" aca="1" ref="AR652" ca="1">INDEX(OFFSET($AK$19,MATCH($B652,$B$19:$B$150,0)-1,0,COUNTA($B$19:$B$24),COUNTA($AK$17:$BB$17)),MATCH($F652,$F$19:$F$24,0),MATCH(AR$17,$AK$17:$BB$17,0))*INDEX($10:$13,MATCH($O652,$R$10:$R$13,0),COLUMN())</f>
        <v>3.9626839390000002E-2</v>
      </c>
      <c r="AS652" s="1050" cm="1">
        <f t="array" aca="1" ref="AS652" ca="1">INDEX(OFFSET($AK$19,MATCH($B652,$B$19:$B$150,0)-1,0,COUNTA($B$19:$B$24),COUNTA($AK$17:$BB$17)),MATCH($F652,$F$19:$F$24,0),MATCH(AS$17,$AK$17:$BB$17,0))*INDEX($10:$13,MATCH($O652,$R$10:$R$13,0),COLUMN())</f>
        <v>3.4401204785000001E-3</v>
      </c>
      <c r="AT652" s="1050" cm="1">
        <f t="array" aca="1" ref="AT652" ca="1">INDEX(OFFSET($AK$19,MATCH($B652,$B$19:$B$150,0)-1,0,COUNTA($B$19:$B$24),COUNTA($AK$17:$BB$17)),MATCH($F652,$F$19:$F$24,0),MATCH(AT$17,$AK$17:$BB$17,0))*INDEX($10:$13,MATCH($O652,$R$10:$R$13,0),COLUMN())</f>
        <v>1.7714164235E-5</v>
      </c>
      <c r="AU652" s="1050" cm="1">
        <f t="array" aca="1" ref="AU652" ca="1">INDEX(OFFSET($AK$19,MATCH($B652,$B$19:$B$150,0)-1,0,COUNTA($B$19:$B$24),COUNTA($AK$17:$BB$17)),MATCH($F652,$F$19:$F$24,0),MATCH(AU$17,$AK$17:$BB$17,0))*INDEX($10:$13,MATCH($O652,$R$10:$R$13,0),COLUMN())</f>
        <v>3.1783972671000001E-6</v>
      </c>
      <c r="AV652" s="1050" cm="1">
        <f t="array" aca="1" ref="AV652" ca="1">INDEX(OFFSET($AK$19,MATCH($B652,$B$19:$B$150,0)-1,0,COUNTA($B$19:$B$24),COUNTA($AK$17:$BB$17)),MATCH($F652,$F$19:$F$24,0),MATCH(AV$17,$AK$17:$BB$17,0))*INDEX($10:$13,MATCH($O652,$R$10:$R$13,0),COLUMN())</f>
        <v>3.3347984039999996E-3</v>
      </c>
      <c r="AW652" s="1050" cm="1">
        <f t="array" aca="1" ref="AW652" ca="1">INDEX(OFFSET($AK$19,MATCH($B652,$B$19:$B$150,0)-1,0,COUNTA($B$19:$B$24),COUNTA($AK$17:$BB$17)),MATCH($F652,$F$19:$F$24,0),MATCH(AW$17,$AK$17:$BB$17,0))*INDEX($10:$13,MATCH($O652,$R$10:$R$13,0),COLUMN())</f>
        <v>3.6824580720000002</v>
      </c>
      <c r="AX652" s="1050" cm="1">
        <f t="array" aca="1" ref="AX652" ca="1">INDEX(OFFSET($AK$19,MATCH($B652,$B$19:$B$150,0)-1,0,COUNTA($B$19:$B$24),COUNTA($AK$17:$BB$17)),MATCH($F652,$F$19:$F$24,0),MATCH(AX$17,$AK$17:$BB$17,0))*INDEX($10:$13,MATCH($O652,$R$10:$R$13,0),COLUMN())</f>
        <v>1.4011282495E-5</v>
      </c>
      <c r="AY652" s="1050" cm="1">
        <f t="array" aca="1" ref="AY652" ca="1">INDEX(OFFSET($AK$19,MATCH($B652,$B$19:$B$150,0)-1,0,COUNTA($B$19:$B$24),COUNTA($AK$17:$BB$17)),MATCH($F652,$F$19:$F$24,0),MATCH(AY$17,$AK$17:$BB$17,0))*INDEX($10:$13,MATCH($O652,$R$10:$R$13,0),COLUMN())</f>
        <v>3.5641159650000001E-3</v>
      </c>
      <c r="AZ652" s="1050" cm="1">
        <f t="array" aca="1" ref="AZ652" ca="1">INDEX(OFFSET($AK$19,MATCH($B652,$B$19:$B$150,0)-1,0,COUNTA($B$19:$B$24),COUNTA($AK$17:$BB$17)),MATCH($F652,$F$19:$F$24,0),MATCH(AZ$17,$AK$17:$BB$17,0))*INDEX($10:$13,MATCH($O652,$R$10:$R$13,0),COLUMN())</f>
        <v>0</v>
      </c>
      <c r="BA652" s="1050" cm="1">
        <f t="array" aca="1" ref="BA652" ca="1">INDEX(OFFSET($AK$19,MATCH($B652,$B$19:$B$150,0)-1,0,COUNTA($B$19:$B$24),COUNTA($AK$17:$BB$17)),MATCH($F652,$F$19:$F$24,0),MATCH(BA$17,$AK$17:$BB$17,0))*INDEX($10:$13,MATCH($O652,$R$10:$R$13,0),COLUMN())</f>
        <v>0</v>
      </c>
      <c r="BB652" s="1051" cm="1">
        <f t="array" aca="1" ref="BB652" ca="1">INDEX(OFFSET($AK$19,MATCH($B652,$B$19:$B$150,0)-1,0,COUNTA($B$19:$B$24),COUNTA($AK$17:$BB$17)),MATCH($F652,$F$19:$F$24,0),MATCH(BB$17,$AK$17:$BB$17,0))*INDEX($10:$13,MATCH($O652,$R$10:$R$13,0),COLUMN())</f>
        <v>0</v>
      </c>
      <c r="BC652" s="1053">
        <f t="shared" ca="1" si="188"/>
        <v>3.6860361992474955</v>
      </c>
      <c r="BE652" s="1"/>
      <c r="BF652" s="1"/>
      <c r="BG652" s="1"/>
      <c r="BH652" s="1"/>
      <c r="BI652" s="1"/>
      <c r="BJ652" s="1"/>
      <c r="BK652" s="1"/>
      <c r="BL652" s="1"/>
      <c r="BM652" s="1"/>
      <c r="BN652" s="1"/>
      <c r="BO652" s="1"/>
      <c r="BP652" s="1"/>
      <c r="BQ652" s="1"/>
      <c r="BR652" s="1"/>
      <c r="BS652" s="1"/>
      <c r="BT652" s="1"/>
      <c r="BU652" s="1"/>
      <c r="BV652" s="1"/>
      <c r="BW652" s="1"/>
      <c r="BX652" s="1"/>
      <c r="BY652" s="1"/>
      <c r="BZ652" s="1"/>
    </row>
    <row r="653" spans="2:78" ht="12" customHeight="1" outlineLevel="1" x14ac:dyDescent="0.25">
      <c r="B653" s="104" t="s">
        <v>113</v>
      </c>
      <c r="C653" s="104" t="s">
        <v>123</v>
      </c>
      <c r="D653" s="2" t="s">
        <v>151</v>
      </c>
      <c r="E653" s="2" t="s">
        <v>113</v>
      </c>
      <c r="F653" s="105" t="s">
        <v>93</v>
      </c>
      <c r="G653" s="27" t="s">
        <v>1578</v>
      </c>
      <c r="H653" s="106" t="s">
        <v>130</v>
      </c>
      <c r="I653" s="107" t="s">
        <v>129</v>
      </c>
      <c r="J653" s="147">
        <v>2.11</v>
      </c>
      <c r="K653" s="148">
        <v>3.53</v>
      </c>
      <c r="L653" s="149">
        <f t="shared" ca="1" si="190"/>
        <v>1.746374816174652</v>
      </c>
      <c r="M653" s="148">
        <f t="shared" ca="1" si="191"/>
        <v>9.6947031010965201</v>
      </c>
      <c r="N653" s="163">
        <f t="shared" ca="1" si="189"/>
        <v>6.1647031010965208</v>
      </c>
      <c r="O653" s="1061" t="s">
        <v>1585</v>
      </c>
      <c r="P653" s="104"/>
      <c r="R653" s="119"/>
      <c r="S653" s="1072"/>
      <c r="T653" s="1072"/>
      <c r="U653" s="1072"/>
      <c r="V653" s="1072"/>
      <c r="W653" s="1072"/>
      <c r="X653" s="1072"/>
      <c r="Y653" s="1072"/>
      <c r="Z653" s="1072"/>
      <c r="AA653" s="1072"/>
      <c r="AB653" s="1072"/>
      <c r="AC653" s="1072"/>
      <c r="AD653" s="1072"/>
      <c r="AE653" s="1072"/>
      <c r="AF653" s="1072"/>
      <c r="AG653" s="1072"/>
      <c r="AH653" s="1072"/>
      <c r="AI653" s="1072"/>
      <c r="AJ653" s="1073"/>
      <c r="AK653" s="1052" cm="1">
        <f t="array" aca="1" ref="AK653" ca="1">INDEX(OFFSET($AK$19,MATCH($B653,$B$19:$B$150,0)-1,0,COUNTA($B$19:$B$24),COUNTA($AK$17:$BB$17)),MATCH($F653,$F$19:$F$24,0),MATCH(AK$17,$AK$17:$BB$17,0))*INDEX($10:$13,MATCH($O653,$R$10:$R$13,0),COLUMN())</f>
        <v>0.77331722965631999</v>
      </c>
      <c r="AL653" s="1050" cm="1">
        <f t="array" aca="1" ref="AL653" ca="1">INDEX(OFFSET($AK$19,MATCH($B653,$B$19:$B$150,0)-1,0,COUNTA($B$19:$B$24),COUNTA($AK$17:$BB$17)),MATCH($F653,$F$19:$F$24,0),MATCH(AL$17,$AK$17:$BB$17,0))*INDEX($10:$13,MATCH($O653,$R$10:$R$13,0),COLUMN())</f>
        <v>1.0922239676000001E-6</v>
      </c>
      <c r="AM653" s="1050" cm="1">
        <f t="array" aca="1" ref="AM653" ca="1">INDEX(OFFSET($AK$19,MATCH($B653,$B$19:$B$150,0)-1,0,COUNTA($B$19:$B$24),COUNTA($AK$17:$BB$17)),MATCH($F653,$F$19:$F$24,0),MATCH(AM$17,$AK$17:$BB$17,0))*INDEX($10:$13,MATCH($O653,$R$10:$R$13,0),COLUMN())</f>
        <v>1.7985078435999999E-3</v>
      </c>
      <c r="AN653" s="1050" cm="1">
        <f t="array" aca="1" ref="AN653" ca="1">INDEX(OFFSET($AK$19,MATCH($B653,$B$19:$B$150,0)-1,0,COUNTA($B$19:$B$24),COUNTA($AK$17:$BB$17)),MATCH($F653,$F$19:$F$24,0),MATCH(AN$17,$AK$17:$BB$17,0))*INDEX($10:$13,MATCH($O653,$R$10:$R$13,0),COLUMN())</f>
        <v>7.0919142080000004E-3</v>
      </c>
      <c r="AO653" s="1050" cm="1">
        <f t="array" aca="1" ref="AO653" ca="1">INDEX(OFFSET($AK$19,MATCH($B653,$B$19:$B$150,0)-1,0,COUNTA($B$19:$B$24),COUNTA($AK$17:$BB$17)),MATCH($F653,$F$19:$F$24,0),MATCH(AO$17,$AK$17:$BB$17,0))*INDEX($10:$13,MATCH($O653,$R$10:$R$13,0),COLUMN())</f>
        <v>0.44670458652</v>
      </c>
      <c r="AP653" s="1050" cm="1">
        <f t="array" aca="1" ref="AP653" ca="1">INDEX(OFFSET($AK$19,MATCH($B653,$B$19:$B$150,0)-1,0,COUNTA($B$19:$B$24),COUNTA($AK$17:$BB$17)),MATCH($F653,$F$19:$F$24,0),MATCH(AP$17,$AK$17:$BB$17,0))*INDEX($10:$13,MATCH($O653,$R$10:$R$13,0),COLUMN())</f>
        <v>0.28210151461999999</v>
      </c>
      <c r="AQ653" s="1050" cm="1">
        <f t="array" aca="1" ref="AQ653" ca="1">INDEX(OFFSET($AK$19,MATCH($B653,$B$19:$B$150,0)-1,0,COUNTA($B$19:$B$24),COUNTA($AK$17:$BB$17)),MATCH($F653,$F$19:$F$24,0),MATCH(AQ$17,$AK$17:$BB$17,0))*INDEX($10:$13,MATCH($O653,$R$10:$R$13,0),COLUMN())</f>
        <v>1.9716074209999998E-4</v>
      </c>
      <c r="AR653" s="1050" cm="1">
        <f t="array" aca="1" ref="AR653" ca="1">INDEX(OFFSET($AK$19,MATCH($B653,$B$19:$B$150,0)-1,0,COUNTA($B$19:$B$24),COUNTA($AK$17:$BB$17)),MATCH($F653,$F$19:$F$24,0),MATCH(AR$17,$AK$17:$BB$17,0))*INDEX($10:$13,MATCH($O653,$R$10:$R$13,0),COLUMN())</f>
        <v>4.7783367969999997E-2</v>
      </c>
      <c r="AS653" s="1050" cm="1">
        <f t="array" aca="1" ref="AS653" ca="1">INDEX(OFFSET($AK$19,MATCH($B653,$B$19:$B$150,0)-1,0,COUNTA($B$19:$B$24),COUNTA($AK$17:$BB$17)),MATCH($F653,$F$19:$F$24,0),MATCH(AS$17,$AK$17:$BB$17,0))*INDEX($10:$13,MATCH($O653,$R$10:$R$13,0),COLUMN())</f>
        <v>3.7066023784999998E-3</v>
      </c>
      <c r="AT653" s="1050" cm="1">
        <f t="array" aca="1" ref="AT653" ca="1">INDEX(OFFSET($AK$19,MATCH($B653,$B$19:$B$150,0)-1,0,COUNTA($B$19:$B$24),COUNTA($AK$17:$BB$17)),MATCH($F653,$F$19:$F$24,0),MATCH(AT$17,$AK$17:$BB$17,0))*INDEX($10:$13,MATCH($O653,$R$10:$R$13,0),COLUMN())</f>
        <v>2.0812513469000002E-5</v>
      </c>
      <c r="AU653" s="1050" cm="1">
        <f t="array" aca="1" ref="AU653" ca="1">INDEX(OFFSET($AK$19,MATCH($B653,$B$19:$B$150,0)-1,0,COUNTA($B$19:$B$24),COUNTA($AK$17:$BB$17)),MATCH($F653,$F$19:$F$24,0),MATCH(AU$17,$AK$17:$BB$17,0))*INDEX($10:$13,MATCH($O653,$R$10:$R$13,0),COLUMN())</f>
        <v>3.8195851347000002E-6</v>
      </c>
      <c r="AV653" s="1050" cm="1">
        <f t="array" aca="1" ref="AV653" ca="1">INDEX(OFFSET($AK$19,MATCH($B653,$B$19:$B$150,0)-1,0,COUNTA($B$19:$B$24),COUNTA($AK$17:$BB$17)),MATCH($F653,$F$19:$F$24,0),MATCH(AV$17,$AK$17:$BB$17,0))*INDEX($10:$13,MATCH($O653,$R$10:$R$13,0),COLUMN())</f>
        <v>4.4843706359999997E-3</v>
      </c>
      <c r="AW653" s="1050" cm="1">
        <f t="array" aca="1" ref="AW653" ca="1">INDEX(OFFSET($AK$19,MATCH($B653,$B$19:$B$150,0)-1,0,COUNTA($B$19:$B$24),COUNTA($AK$17:$BB$17)),MATCH($F653,$F$19:$F$24,0),MATCH(AW$17,$AK$17:$BB$17,0))*INDEX($10:$13,MATCH($O653,$R$10:$R$13,0),COLUMN())</f>
        <v>4.5938742045000005</v>
      </c>
      <c r="AX653" s="1050" cm="1">
        <f t="array" aca="1" ref="AX653" ca="1">INDEX(OFFSET($AK$19,MATCH($B653,$B$19:$B$150,0)-1,0,COUNTA($B$19:$B$24),COUNTA($AK$17:$BB$17)),MATCH($F653,$F$19:$F$24,0),MATCH(AX$17,$AK$17:$BB$17,0))*INDEX($10:$13,MATCH($O653,$R$10:$R$13,0),COLUMN())</f>
        <v>1.4375788805000002E-5</v>
      </c>
      <c r="AY653" s="1050" cm="1">
        <f t="array" aca="1" ref="AY653" ca="1">INDEX(OFFSET($AK$19,MATCH($B653,$B$19:$B$150,0)-1,0,COUNTA($B$19:$B$24),COUNTA($AK$17:$BB$17)),MATCH($F653,$F$19:$F$24,0),MATCH(AY$17,$AK$17:$BB$17,0))*INDEX($10:$13,MATCH($O653,$R$10:$R$13,0),COLUMN())</f>
        <v>3.6035419106250004E-3</v>
      </c>
      <c r="AZ653" s="1050" cm="1">
        <f t="array" aca="1" ref="AZ653" ca="1">INDEX(OFFSET($AK$19,MATCH($B653,$B$19:$B$150,0)-1,0,COUNTA($B$19:$B$24),COUNTA($AK$17:$BB$17)),MATCH($F653,$F$19:$F$24,0),MATCH(AZ$17,$AK$17:$BB$17,0))*INDEX($10:$13,MATCH($O653,$R$10:$R$13,0),COLUMN())</f>
        <v>0</v>
      </c>
      <c r="BA653" s="1050" cm="1">
        <f t="array" aca="1" ref="BA653" ca="1">INDEX(OFFSET($AK$19,MATCH($B653,$B$19:$B$150,0)-1,0,COUNTA($B$19:$B$24),COUNTA($AK$17:$BB$17)),MATCH($F653,$F$19:$F$24,0),MATCH(BA$17,$AK$17:$BB$17,0))*INDEX($10:$13,MATCH($O653,$R$10:$R$13,0),COLUMN())</f>
        <v>0</v>
      </c>
      <c r="BB653" s="1051" cm="1">
        <f t="array" aca="1" ref="BB653" ca="1">INDEX(OFFSET($AK$19,MATCH($B653,$B$19:$B$150,0)-1,0,COUNTA($B$19:$B$24),COUNTA($AK$17:$BB$17)),MATCH($F653,$F$19:$F$24,0),MATCH(BB$17,$AK$17:$BB$17,0))*INDEX($10:$13,MATCH($O653,$R$10:$R$13,0),COLUMN())</f>
        <v>0</v>
      </c>
      <c r="BC653" s="1053">
        <f t="shared" ca="1" si="188"/>
        <v>4.59749212219943</v>
      </c>
      <c r="BE653" s="1"/>
      <c r="BF653" s="1"/>
      <c r="BG653" s="1"/>
      <c r="BH653" s="1"/>
      <c r="BI653" s="1"/>
      <c r="BJ653" s="1"/>
      <c r="BK653" s="1"/>
      <c r="BL653" s="1"/>
      <c r="BM653" s="1"/>
      <c r="BN653" s="1"/>
      <c r="BO653" s="1"/>
      <c r="BP653" s="1"/>
      <c r="BQ653" s="1"/>
      <c r="BR653" s="1"/>
      <c r="BS653" s="1"/>
      <c r="BT653" s="1"/>
      <c r="BU653" s="1"/>
      <c r="BV653" s="1"/>
      <c r="BW653" s="1"/>
      <c r="BX653" s="1"/>
      <c r="BY653" s="1"/>
      <c r="BZ653" s="1"/>
    </row>
    <row r="654" spans="2:78" ht="12" customHeight="1" outlineLevel="1" x14ac:dyDescent="0.25">
      <c r="B654" s="104" t="s">
        <v>113</v>
      </c>
      <c r="C654" s="104" t="s">
        <v>123</v>
      </c>
      <c r="D654" s="2" t="s">
        <v>151</v>
      </c>
      <c r="E654" s="2" t="s">
        <v>113</v>
      </c>
      <c r="F654" s="105" t="s">
        <v>94</v>
      </c>
      <c r="G654" s="27" t="s">
        <v>1580</v>
      </c>
      <c r="H654" s="106" t="s">
        <v>131</v>
      </c>
      <c r="I654" s="107" t="s">
        <v>129</v>
      </c>
      <c r="J654" s="147">
        <v>2.11</v>
      </c>
      <c r="K654" s="148">
        <v>3.53</v>
      </c>
      <c r="L654" s="149">
        <f t="shared" ca="1" si="190"/>
        <v>1.2720505717603612</v>
      </c>
      <c r="M654" s="148">
        <f t="shared" ca="1" si="191"/>
        <v>8.020338518314075</v>
      </c>
      <c r="N654" s="163">
        <f t="shared" ca="1" si="189"/>
        <v>4.4903385183140747</v>
      </c>
      <c r="O654" s="1061" t="s">
        <v>1585</v>
      </c>
      <c r="P654" s="104"/>
      <c r="R654" s="119"/>
      <c r="S654" s="1072"/>
      <c r="T654" s="1072"/>
      <c r="U654" s="1072"/>
      <c r="V654" s="1072"/>
      <c r="W654" s="1072"/>
      <c r="X654" s="1072"/>
      <c r="Y654" s="1072"/>
      <c r="Z654" s="1072"/>
      <c r="AA654" s="1072"/>
      <c r="AB654" s="1072"/>
      <c r="AC654" s="1072"/>
      <c r="AD654" s="1072"/>
      <c r="AE654" s="1072"/>
      <c r="AF654" s="1072"/>
      <c r="AG654" s="1072"/>
      <c r="AH654" s="1072"/>
      <c r="AI654" s="1072"/>
      <c r="AJ654" s="1073"/>
      <c r="AK654" s="1052" cm="1">
        <f t="array" aca="1" ref="AK654" ca="1">INDEX(OFFSET($AK$19,MATCH($B654,$B$19:$B$150,0)-1,0,COUNTA($B$19:$B$24),COUNTA($AK$17:$BB$17)),MATCH($F654,$F$19:$F$24,0),MATCH(AK$17,$AK$17:$BB$17,0))*INDEX($10:$13,MATCH($O654,$R$10:$R$13,0),COLUMN())</f>
        <v>0.67236149336063999</v>
      </c>
      <c r="AL654" s="1050" cm="1">
        <f t="array" aca="1" ref="AL654" ca="1">INDEX(OFFSET($AK$19,MATCH($B654,$B$19:$B$150,0)-1,0,COUNTA($B$19:$B$24),COUNTA($AK$17:$BB$17)),MATCH($F654,$F$19:$F$24,0),MATCH(AL$17,$AK$17:$BB$17,0))*INDEX($10:$13,MATCH($O654,$R$10:$R$13,0),COLUMN())</f>
        <v>1.0099449107E-6</v>
      </c>
      <c r="AM654" s="1050" cm="1">
        <f t="array" aca="1" ref="AM654" ca="1">INDEX(OFFSET($AK$19,MATCH($B654,$B$19:$B$150,0)-1,0,COUNTA($B$19:$B$24),COUNTA($AK$17:$BB$17)),MATCH($F654,$F$19:$F$24,0),MATCH(AM$17,$AK$17:$BB$17,0))*INDEX($10:$13,MATCH($O654,$R$10:$R$13,0),COLUMN())</f>
        <v>1.6660482722E-3</v>
      </c>
      <c r="AN654" s="1050" cm="1">
        <f t="array" aca="1" ref="AN654" ca="1">INDEX(OFFSET($AK$19,MATCH($B654,$B$19:$B$150,0)-1,0,COUNTA($B$19:$B$24),COUNTA($AK$17:$BB$17)),MATCH($F654,$F$19:$F$24,0),MATCH(AN$17,$AK$17:$BB$17,0))*INDEX($10:$13,MATCH($O654,$R$10:$R$13,0),COLUMN())</f>
        <v>5.5347338000000003E-3</v>
      </c>
      <c r="AO654" s="1050" cm="1">
        <f t="array" aca="1" ref="AO654" ca="1">INDEX(OFFSET($AK$19,MATCH($B654,$B$19:$B$150,0)-1,0,COUNTA($B$19:$B$24),COUNTA($AK$17:$BB$17)),MATCH($F654,$F$19:$F$24,0),MATCH(AO$17,$AK$17:$BB$17,0))*INDEX($10:$13,MATCH($O654,$R$10:$R$13,0),COLUMN())</f>
        <v>0.41872974064000001</v>
      </c>
      <c r="AP654" s="1050" cm="1">
        <f t="array" aca="1" ref="AP654" ca="1">INDEX(OFFSET($AK$19,MATCH($B654,$B$19:$B$150,0)-1,0,COUNTA($B$19:$B$24),COUNTA($AK$17:$BB$17)),MATCH($F654,$F$19:$F$24,0),MATCH(AP$17,$AK$17:$BB$17,0))*INDEX($10:$13,MATCH($O654,$R$10:$R$13,0),COLUMN())</f>
        <v>0.26942197696000003</v>
      </c>
      <c r="AQ654" s="1050" cm="1">
        <f t="array" aca="1" ref="AQ654" ca="1">INDEX(OFFSET($AK$19,MATCH($B654,$B$19:$B$150,0)-1,0,COUNTA($B$19:$B$24),COUNTA($AK$17:$BB$17)),MATCH($F654,$F$19:$F$24,0),MATCH(AQ$17,$AK$17:$BB$17,0))*INDEX($10:$13,MATCH($O654,$R$10:$R$13,0),COLUMN())</f>
        <v>1.3801894441999997E-4</v>
      </c>
      <c r="AR654" s="1050" cm="1">
        <f t="array" aca="1" ref="AR654" ca="1">INDEX(OFFSET($AK$19,MATCH($B654,$B$19:$B$150,0)-1,0,COUNTA($B$19:$B$24),COUNTA($AK$17:$BB$17)),MATCH($F654,$F$19:$F$24,0),MATCH(AR$17,$AK$17:$BB$17,0))*INDEX($10:$13,MATCH($O654,$R$10:$R$13,0),COLUMN())</f>
        <v>3.4115428010000004E-2</v>
      </c>
      <c r="AS654" s="1050" cm="1">
        <f t="array" aca="1" ref="AS654" ca="1">INDEX(OFFSET($AK$19,MATCH($B654,$B$19:$B$150,0)-1,0,COUNTA($B$19:$B$24),COUNTA($AK$17:$BB$17)),MATCH($F654,$F$19:$F$24,0),MATCH(AS$17,$AK$17:$BB$17,0))*INDEX($10:$13,MATCH($O654,$R$10:$R$13,0),COLUMN())</f>
        <v>3.2546367045E-3</v>
      </c>
      <c r="AT654" s="1050" cm="1">
        <f t="array" aca="1" ref="AT654" ca="1">INDEX(OFFSET($AK$19,MATCH($B654,$B$19:$B$150,0)-1,0,COUNTA($B$19:$B$24),COUNTA($AK$17:$BB$17)),MATCH($F654,$F$19:$F$24,0),MATCH(AT$17,$AK$17:$BB$17,0))*INDEX($10:$13,MATCH($O654,$R$10:$R$13,0),COLUMN())</f>
        <v>1.5646695411E-5</v>
      </c>
      <c r="AU654" s="1050" cm="1">
        <f t="array" aca="1" ref="AU654" ca="1">INDEX(OFFSET($AK$19,MATCH($B654,$B$19:$B$150,0)-1,0,COUNTA($B$19:$B$24),COUNTA($AK$17:$BB$17)),MATCH($F654,$F$19:$F$24,0),MATCH(AU$17,$AK$17:$BB$17,0))*INDEX($10:$13,MATCH($O654,$R$10:$R$13,0),COLUMN())</f>
        <v>2.7520249473000001E-6</v>
      </c>
      <c r="AV654" s="1050" cm="1">
        <f t="array" aca="1" ref="AV654" ca="1">INDEX(OFFSET($AK$19,MATCH($B654,$B$19:$B$150,0)-1,0,COUNTA($B$19:$B$24),COUNTA($AK$17:$BB$17)),MATCH($F654,$F$19:$F$24,0),MATCH(AV$17,$AK$17:$BB$17,0))*INDEX($10:$13,MATCH($O654,$R$10:$R$13,0),COLUMN())</f>
        <v>2.5735793399999998E-3</v>
      </c>
      <c r="AW654" s="1050" cm="1">
        <f t="array" aca="1" ref="AW654" ca="1">INDEX(OFFSET($AK$19,MATCH($B654,$B$19:$B$150,0)-1,0,COUNTA($B$19:$B$24),COUNTA($AK$17:$BB$17)),MATCH($F654,$F$19:$F$24,0),MATCH(AW$17,$AK$17:$BB$17,0))*INDEX($10:$13,MATCH($O654,$R$10:$R$13,0),COLUMN())</f>
        <v>3.0789821825000003</v>
      </c>
      <c r="AX654" s="1050" cm="1">
        <f t="array" aca="1" ref="AX654" ca="1">INDEX(OFFSET($AK$19,MATCH($B654,$B$19:$B$150,0)-1,0,COUNTA($B$19:$B$24),COUNTA($AK$17:$BB$17)),MATCH($F654,$F$19:$F$24,0),MATCH(AX$17,$AK$17:$BB$17,0))*INDEX($10:$13,MATCH($O654,$R$10:$R$13,0),COLUMN())</f>
        <v>1.3741087670000001E-5</v>
      </c>
      <c r="AY654" s="1050" cm="1">
        <f t="array" aca="1" ref="AY654" ca="1">INDEX(OFFSET($AK$19,MATCH($B654,$B$19:$B$150,0)-1,0,COUNTA($B$19:$B$24),COUNTA($AK$17:$BB$17)),MATCH($F654,$F$19:$F$24,0),MATCH(AY$17,$AK$17:$BB$17,0))*INDEX($10:$13,MATCH($O654,$R$10:$R$13,0),COLUMN())</f>
        <v>3.5275300293749999E-3</v>
      </c>
      <c r="AZ654" s="1050" cm="1">
        <f t="array" aca="1" ref="AZ654" ca="1">INDEX(OFFSET($AK$19,MATCH($B654,$B$19:$B$150,0)-1,0,COUNTA($B$19:$B$24),COUNTA($AK$17:$BB$17)),MATCH($F654,$F$19:$F$24,0),MATCH(AZ$17,$AK$17:$BB$17,0))*INDEX($10:$13,MATCH($O654,$R$10:$R$13,0),COLUMN())</f>
        <v>0</v>
      </c>
      <c r="BA654" s="1050" cm="1">
        <f t="array" aca="1" ref="BA654" ca="1">INDEX(OFFSET($AK$19,MATCH($B654,$B$19:$B$150,0)-1,0,COUNTA($B$19:$B$24),COUNTA($AK$17:$BB$17)),MATCH($F654,$F$19:$F$24,0),MATCH(BA$17,$AK$17:$BB$17,0))*INDEX($10:$13,MATCH($O654,$R$10:$R$13,0),COLUMN())</f>
        <v>0</v>
      </c>
      <c r="BB654" s="1051" cm="1">
        <f t="array" aca="1" ref="BB654" ca="1">INDEX(OFFSET($AK$19,MATCH($B654,$B$19:$B$150,0)-1,0,COUNTA($B$19:$B$24),COUNTA($AK$17:$BB$17)),MATCH($F654,$F$19:$F$24,0),MATCH(BB$17,$AK$17:$BB$17,0))*INDEX($10:$13,MATCH($O654,$R$10:$R$13,0),COLUMN())</f>
        <v>0</v>
      </c>
      <c r="BC654" s="1053">
        <f t="shared" ref="BC654:BC680" ca="1" si="192">SUM(AW654:AY654)</f>
        <v>3.0825234536170454</v>
      </c>
      <c r="BE654" s="1"/>
      <c r="BF654" s="1"/>
      <c r="BG654" s="1"/>
      <c r="BH654" s="1"/>
      <c r="BI654" s="1"/>
      <c r="BJ654" s="1"/>
      <c r="BK654" s="1"/>
      <c r="BL654" s="1"/>
      <c r="BM654" s="1"/>
      <c r="BN654" s="1"/>
      <c r="BO654" s="1"/>
      <c r="BP654" s="1"/>
      <c r="BQ654" s="1"/>
      <c r="BR654" s="1"/>
      <c r="BS654" s="1"/>
      <c r="BT654" s="1"/>
      <c r="BU654" s="1"/>
      <c r="BV654" s="1"/>
      <c r="BW654" s="1"/>
      <c r="BX654" s="1"/>
      <c r="BY654" s="1"/>
      <c r="BZ654" s="1"/>
    </row>
    <row r="655" spans="2:78" ht="12" customHeight="1" outlineLevel="1" x14ac:dyDescent="0.25">
      <c r="B655" s="104" t="s">
        <v>113</v>
      </c>
      <c r="C655" s="104" t="s">
        <v>123</v>
      </c>
      <c r="D655" s="2" t="s">
        <v>151</v>
      </c>
      <c r="E655" s="2" t="s">
        <v>113</v>
      </c>
      <c r="F655" s="105" t="s">
        <v>95</v>
      </c>
      <c r="G655" s="27" t="s">
        <v>1581</v>
      </c>
      <c r="H655" s="106" t="s">
        <v>128</v>
      </c>
      <c r="I655" s="107" t="s">
        <v>127</v>
      </c>
      <c r="J655" s="147">
        <v>2.11</v>
      </c>
      <c r="K655" s="148">
        <v>3.53</v>
      </c>
      <c r="L655" s="149">
        <f t="shared" ca="1" si="190"/>
        <v>1.5144710235943439</v>
      </c>
      <c r="M655" s="148">
        <f t="shared" ca="1" si="191"/>
        <v>8.8760827132880333</v>
      </c>
      <c r="N655" s="163">
        <f t="shared" ca="1" si="189"/>
        <v>5.346082713288034</v>
      </c>
      <c r="O655" s="1061" t="s">
        <v>1585</v>
      </c>
      <c r="P655" s="104"/>
      <c r="R655" s="119"/>
      <c r="S655" s="1072"/>
      <c r="T655" s="1072"/>
      <c r="U655" s="1072"/>
      <c r="V655" s="1072"/>
      <c r="W655" s="1072"/>
      <c r="X655" s="1072"/>
      <c r="Y655" s="1072"/>
      <c r="Z655" s="1072"/>
      <c r="AA655" s="1072"/>
      <c r="AB655" s="1072"/>
      <c r="AC655" s="1072"/>
      <c r="AD655" s="1072"/>
      <c r="AE655" s="1072"/>
      <c r="AF655" s="1072"/>
      <c r="AG655" s="1072"/>
      <c r="AH655" s="1072"/>
      <c r="AI655" s="1072"/>
      <c r="AJ655" s="1073"/>
      <c r="AK655" s="1052" cm="1">
        <f t="array" aca="1" ref="AK655" ca="1">INDEX(OFFSET($AK$19,MATCH($B655,$B$19:$B$150,0)-1,0,COUNTA($B$19:$B$24),COUNTA($AK$17:$BB$17)),MATCH($F655,$F$19:$F$24,0),MATCH(AK$17,$AK$17:$BB$17,0))*INDEX($10:$13,MATCH($O655,$R$10:$R$13,0),COLUMN())</f>
        <v>0.74367559663871996</v>
      </c>
      <c r="AL655" s="1050" cm="1">
        <f t="array" aca="1" ref="AL655" ca="1">INDEX(OFFSET($AK$19,MATCH($B655,$B$19:$B$150,0)-1,0,COUNTA($B$19:$B$24),COUNTA($AK$17:$BB$17)),MATCH($F655,$F$19:$F$24,0),MATCH(AL$17,$AK$17:$BB$17,0))*INDEX($10:$13,MATCH($O655,$R$10:$R$13,0),COLUMN())</f>
        <v>1.0452510398000001E-6</v>
      </c>
      <c r="AM655" s="1050" cm="1">
        <f t="array" aca="1" ref="AM655" ca="1">INDEX(OFFSET($AK$19,MATCH($B655,$B$19:$B$150,0)-1,0,COUNTA($B$19:$B$24),COUNTA($AK$17:$BB$17)),MATCH($F655,$F$19:$F$24,0),MATCH(AM$17,$AK$17:$BB$17,0))*INDEX($10:$13,MATCH($O655,$R$10:$R$13,0),COLUMN())</f>
        <v>1.7229216004E-3</v>
      </c>
      <c r="AN655" s="1050" cm="1">
        <f t="array" aca="1" ref="AN655" ca="1">INDEX(OFFSET($AK$19,MATCH($B655,$B$19:$B$150,0)-1,0,COUNTA($B$19:$B$24),COUNTA($AK$17:$BB$17)),MATCH($F655,$F$19:$F$24,0),MATCH(AN$17,$AK$17:$BB$17,0))*INDEX($10:$13,MATCH($O655,$R$10:$R$13,0),COLUMN())</f>
        <v>6.4239916320000005E-3</v>
      </c>
      <c r="AO655" s="1050" cm="1">
        <f t="array" aca="1" ref="AO655" ca="1">INDEX(OFFSET($AK$19,MATCH($B655,$B$19:$B$150,0)-1,0,COUNTA($B$19:$B$24),COUNTA($AK$17:$BB$17)),MATCH($F655,$F$19:$F$24,0),MATCH(AO$17,$AK$17:$BB$17,0))*INDEX($10:$13,MATCH($O655,$R$10:$R$13,0),COLUMN())</f>
        <v>0.50369053691999999</v>
      </c>
      <c r="AP655" s="1050" cm="1">
        <f t="array" aca="1" ref="AP655" ca="1">INDEX(OFFSET($AK$19,MATCH($B655,$B$19:$B$150,0)-1,0,COUNTA($B$19:$B$24),COUNTA($AK$17:$BB$17)),MATCH($F655,$F$19:$F$24,0),MATCH(AP$17,$AK$17:$BB$17,0))*INDEX($10:$13,MATCH($O655,$R$10:$R$13,0),COLUMN())</f>
        <v>0.32639307486000002</v>
      </c>
      <c r="AQ655" s="1050" cm="1">
        <f t="array" aca="1" ref="AQ655" ca="1">INDEX(OFFSET($AK$19,MATCH($B655,$B$19:$B$150,0)-1,0,COUNTA($B$19:$B$24),COUNTA($AK$17:$BB$17)),MATCH($F655,$F$19:$F$24,0),MATCH(AQ$17,$AK$17:$BB$17,0))*INDEX($10:$13,MATCH($O655,$R$10:$R$13,0),COLUMN())</f>
        <v>5.7917273949999995E-4</v>
      </c>
      <c r="AR655" s="1050" cm="1">
        <f t="array" aca="1" ref="AR655" ca="1">INDEX(OFFSET($AK$19,MATCH($B655,$B$19:$B$150,0)-1,0,COUNTA($B$19:$B$24),COUNTA($AK$17:$BB$17)),MATCH($F655,$F$19:$F$24,0),MATCH(AR$17,$AK$17:$BB$17,0))*INDEX($10:$13,MATCH($O655,$R$10:$R$13,0),COLUMN())</f>
        <v>5.1691387749999998E-2</v>
      </c>
      <c r="AS655" s="1050" cm="1">
        <f t="array" aca="1" ref="AS655" ca="1">INDEX(OFFSET($AK$19,MATCH($B655,$B$19:$B$150,0)-1,0,COUNTA($B$19:$B$24),COUNTA($AK$17:$BB$17)),MATCH($F655,$F$19:$F$24,0),MATCH(AS$17,$AK$17:$BB$17,0))*INDEX($10:$13,MATCH($O655,$R$10:$R$13,0),COLUMN())</f>
        <v>9.6416524059999998E-3</v>
      </c>
      <c r="AT655" s="1050" cm="1">
        <f t="array" aca="1" ref="AT655" ca="1">INDEX(OFFSET($AK$19,MATCH($B655,$B$19:$B$150,0)-1,0,COUNTA($B$19:$B$24),COUNTA($AK$17:$BB$17)),MATCH($F655,$F$19:$F$24,0),MATCH(AT$17,$AK$17:$BB$17,0))*INDEX($10:$13,MATCH($O655,$R$10:$R$13,0),COLUMN())</f>
        <v>2.2358225491999999E-5</v>
      </c>
      <c r="AU655" s="1050" cm="1">
        <f t="array" aca="1" ref="AU655" ca="1">INDEX(OFFSET($AK$19,MATCH($B655,$B$19:$B$150,0)-1,0,COUNTA($B$19:$B$24),COUNTA($AK$17:$BB$17)),MATCH($F655,$F$19:$F$24,0),MATCH(AU$17,$AK$17:$BB$17,0))*INDEX($10:$13,MATCH($O655,$R$10:$R$13,0),COLUMN())</f>
        <v>3.8905973865000003E-6</v>
      </c>
      <c r="AV655" s="1050" cm="1">
        <f t="array" aca="1" ref="AV655" ca="1">INDEX(OFFSET($AK$19,MATCH($B655,$B$19:$B$150,0)-1,0,COUNTA($B$19:$B$24),COUNTA($AK$17:$BB$17)),MATCH($F655,$F$19:$F$24,0),MATCH(AV$17,$AK$17:$BB$17,0))*INDEX($10:$13,MATCH($O655,$R$10:$R$13,0),COLUMN())</f>
        <v>1.6200885420000002E-2</v>
      </c>
      <c r="AW655" s="1050" cm="1">
        <f t="array" aca="1" ref="AW655" ca="1">INDEX(OFFSET($AK$19,MATCH($B655,$B$19:$B$150,0)-1,0,COUNTA($B$19:$B$24),COUNTA($AK$17:$BB$17)),MATCH($F655,$F$19:$F$24,0),MATCH(AW$17,$AK$17:$BB$17,0))*INDEX($10:$13,MATCH($O655,$R$10:$R$13,0),COLUMN())</f>
        <v>3.6824580720000002</v>
      </c>
      <c r="AX655" s="1050" cm="1">
        <f t="array" aca="1" ref="AX655" ca="1">INDEX(OFFSET($AK$19,MATCH($B655,$B$19:$B$150,0)-1,0,COUNTA($B$19:$B$24),COUNTA($AK$17:$BB$17)),MATCH($F655,$F$19:$F$24,0),MATCH(AX$17,$AK$17:$BB$17,0))*INDEX($10:$13,MATCH($O655,$R$10:$R$13,0),COLUMN())</f>
        <v>1.4011282495E-5</v>
      </c>
      <c r="AY655" s="1050" cm="1">
        <f t="array" aca="1" ref="AY655" ca="1">INDEX(OFFSET($AK$19,MATCH($B655,$B$19:$B$150,0)-1,0,COUNTA($B$19:$B$24),COUNTA($AK$17:$BB$17)),MATCH($F655,$F$19:$F$24,0),MATCH(AY$17,$AK$17:$BB$17,0))*INDEX($10:$13,MATCH($O655,$R$10:$R$13,0),COLUMN())</f>
        <v>3.5641159650000001E-3</v>
      </c>
      <c r="AZ655" s="1050" cm="1">
        <f t="array" aca="1" ref="AZ655" ca="1">INDEX(OFFSET($AK$19,MATCH($B655,$B$19:$B$150,0)-1,0,COUNTA($B$19:$B$24),COUNTA($AK$17:$BB$17)),MATCH($F655,$F$19:$F$24,0),MATCH(AZ$17,$AK$17:$BB$17,0))*INDEX($10:$13,MATCH($O655,$R$10:$R$13,0),COLUMN())</f>
        <v>0</v>
      </c>
      <c r="BA655" s="1050" cm="1">
        <f t="array" aca="1" ref="BA655" ca="1">INDEX(OFFSET($AK$19,MATCH($B655,$B$19:$B$150,0)-1,0,COUNTA($B$19:$B$24),COUNTA($AK$17:$BB$17)),MATCH($F655,$F$19:$F$24,0),MATCH(BA$17,$AK$17:$BB$17,0))*INDEX($10:$13,MATCH($O655,$R$10:$R$13,0),COLUMN())</f>
        <v>0</v>
      </c>
      <c r="BB655" s="1051" cm="1">
        <f t="array" aca="1" ref="BB655" ca="1">INDEX(OFFSET($AK$19,MATCH($B655,$B$19:$B$150,0)-1,0,COUNTA($B$19:$B$24),COUNTA($AK$17:$BB$17)),MATCH($F655,$F$19:$F$24,0),MATCH(BB$17,$AK$17:$BB$17,0))*INDEX($10:$13,MATCH($O655,$R$10:$R$13,0),COLUMN())</f>
        <v>0</v>
      </c>
      <c r="BC655" s="1053">
        <f t="shared" ca="1" si="192"/>
        <v>3.6860361992474955</v>
      </c>
      <c r="BE655" s="1"/>
      <c r="BF655" s="1"/>
      <c r="BG655" s="1"/>
      <c r="BH655" s="1"/>
      <c r="BI655" s="1"/>
      <c r="BJ655" s="1"/>
      <c r="BK655" s="1"/>
      <c r="BL655" s="1"/>
      <c r="BM655" s="1"/>
      <c r="BN655" s="1"/>
      <c r="BO655" s="1"/>
      <c r="BP655" s="1"/>
      <c r="BQ655" s="1"/>
      <c r="BR655" s="1"/>
      <c r="BS655" s="1"/>
      <c r="BT655" s="1"/>
      <c r="BU655" s="1"/>
      <c r="BV655" s="1"/>
      <c r="BW655" s="1"/>
      <c r="BX655" s="1"/>
      <c r="BY655" s="1"/>
      <c r="BZ655" s="1"/>
    </row>
    <row r="656" spans="2:78" ht="12" customHeight="1" outlineLevel="1" x14ac:dyDescent="0.25">
      <c r="B656" s="104" t="s">
        <v>113</v>
      </c>
      <c r="C656" s="104" t="s">
        <v>123</v>
      </c>
      <c r="D656" s="2" t="s">
        <v>151</v>
      </c>
      <c r="E656" s="2" t="s">
        <v>113</v>
      </c>
      <c r="F656" s="105" t="s">
        <v>96</v>
      </c>
      <c r="G656" s="27" t="s">
        <v>1582</v>
      </c>
      <c r="H656" s="106" t="s">
        <v>128</v>
      </c>
      <c r="I656" s="107" t="s">
        <v>1577</v>
      </c>
      <c r="J656" s="147">
        <v>2.11</v>
      </c>
      <c r="K656" s="148">
        <v>3.53</v>
      </c>
      <c r="L656" s="149">
        <f t="shared" ca="1" si="190"/>
        <v>1.5533940608364207</v>
      </c>
      <c r="M656" s="148">
        <f t="shared" ca="1" si="191"/>
        <v>9.013481034752564</v>
      </c>
      <c r="N656" s="163">
        <f t="shared" ca="1" si="189"/>
        <v>5.4834810347525647</v>
      </c>
      <c r="O656" s="1061" t="s">
        <v>1585</v>
      </c>
      <c r="P656" s="104"/>
      <c r="R656" s="119"/>
      <c r="S656" s="1072"/>
      <c r="T656" s="1072"/>
      <c r="U656" s="1072"/>
      <c r="V656" s="1072"/>
      <c r="W656" s="1072"/>
      <c r="X656" s="1072"/>
      <c r="Y656" s="1072"/>
      <c r="Z656" s="1072"/>
      <c r="AA656" s="1072"/>
      <c r="AB656" s="1072"/>
      <c r="AC656" s="1072"/>
      <c r="AD656" s="1072"/>
      <c r="AE656" s="1072"/>
      <c r="AF656" s="1072"/>
      <c r="AG656" s="1072"/>
      <c r="AH656" s="1072"/>
      <c r="AI656" s="1072"/>
      <c r="AJ656" s="1073"/>
      <c r="AK656" s="1052" cm="1">
        <f t="array" aca="1" ref="AK656" ca="1">INDEX(OFFSET($AK$19,MATCH($B656,$B$19:$B$150,0)-1,0,COUNTA($B$19:$B$24),COUNTA($AK$17:$BB$17)),MATCH($F656,$F$19:$F$24,0),MATCH(AK$17,$AK$17:$BB$17,0))*INDEX($10:$13,MATCH($O656,$R$10:$R$13,0),COLUMN())</f>
        <v>0.76559057353920001</v>
      </c>
      <c r="AL656" s="1050" cm="1">
        <f t="array" aca="1" ref="AL656" ca="1">INDEX(OFFSET($AK$19,MATCH($B656,$B$19:$B$150,0)-1,0,COUNTA($B$19:$B$24),COUNTA($AK$17:$BB$17)),MATCH($F656,$F$19:$F$24,0),MATCH(AL$17,$AK$17:$BB$17,0))*INDEX($10:$13,MATCH($O656,$R$10:$R$13,0),COLUMN())</f>
        <v>1.0460827341000002E-6</v>
      </c>
      <c r="AM656" s="1050" cm="1">
        <f t="array" aca="1" ref="AM656" ca="1">INDEX(OFFSET($AK$19,MATCH($B656,$B$19:$B$150,0)-1,0,COUNTA($B$19:$B$24),COUNTA($AK$17:$BB$17)),MATCH($F656,$F$19:$F$24,0),MATCH(AM$17,$AK$17:$BB$17,0))*INDEX($10:$13,MATCH($O656,$R$10:$R$13,0),COLUMN())</f>
        <v>1.7242460508000001E-3</v>
      </c>
      <c r="AN656" s="1050" cm="1">
        <f t="array" aca="1" ref="AN656" ca="1">INDEX(OFFSET($AK$19,MATCH($B656,$B$19:$B$150,0)-1,0,COUNTA($B$19:$B$24),COUNTA($AK$17:$BB$17)),MATCH($F656,$F$19:$F$24,0),MATCH(AN$17,$AK$17:$BB$17,0))*INDEX($10:$13,MATCH($O656,$R$10:$R$13,0),COLUMN())</f>
        <v>6.5966303680000003E-3</v>
      </c>
      <c r="AO656" s="1050" cm="1">
        <f t="array" aca="1" ref="AO656" ca="1">INDEX(OFFSET($AK$19,MATCH($B656,$B$19:$B$150,0)-1,0,COUNTA($B$19:$B$24),COUNTA($AK$17:$BB$17)),MATCH($F656,$F$19:$F$24,0),MATCH(AO$17,$AK$17:$BB$17,0))*INDEX($10:$13,MATCH($O656,$R$10:$R$13,0),COLUMN())</f>
        <v>0.55714447047999993</v>
      </c>
      <c r="AP656" s="1050" cm="1">
        <f t="array" aca="1" ref="AP656" ca="1">INDEX(OFFSET($AK$19,MATCH($B656,$B$19:$B$150,0)-1,0,COUNTA($B$19:$B$24),COUNTA($AK$17:$BB$17)),MATCH($F656,$F$19:$F$24,0),MATCH(AP$17,$AK$17:$BB$17,0))*INDEX($10:$13,MATCH($O656,$R$10:$R$13,0),COLUMN())</f>
        <v>0.36408057540000005</v>
      </c>
      <c r="AQ656" s="1050" cm="1">
        <f t="array" aca="1" ref="AQ656" ca="1">INDEX(OFFSET($AK$19,MATCH($B656,$B$19:$B$150,0)-1,0,COUNTA($B$19:$B$24),COUNTA($AK$17:$BB$17)),MATCH($F656,$F$19:$F$24,0),MATCH(AQ$17,$AK$17:$BB$17,0))*INDEX($10:$13,MATCH($O656,$R$10:$R$13,0),COLUMN())</f>
        <v>8.7702270269999995E-4</v>
      </c>
      <c r="AR656" s="1050" cm="1">
        <f t="array" aca="1" ref="AR656" ca="1">INDEX(OFFSET($AK$19,MATCH($B656,$B$19:$B$150,0)-1,0,COUNTA($B$19:$B$24),COUNTA($AK$17:$BB$17)),MATCH($F656,$F$19:$F$24,0),MATCH(AR$17,$AK$17:$BB$17,0))*INDEX($10:$13,MATCH($O656,$R$10:$R$13,0),COLUMN())</f>
        <v>6.0510943449999993E-2</v>
      </c>
      <c r="AS656" s="1050" cm="1">
        <f t="array" aca="1" ref="AS656" ca="1">INDEX(OFFSET($AK$19,MATCH($B656,$B$19:$B$150,0)-1,0,COUNTA($B$19:$B$24),COUNTA($AK$17:$BB$17)),MATCH($F656,$F$19:$F$24,0),MATCH(AS$17,$AK$17:$BB$17,0))*INDEX($10:$13,MATCH($O656,$R$10:$R$13,0),COLUMN())</f>
        <v>1.4057738759999999E-2</v>
      </c>
      <c r="AT656" s="1050" cm="1">
        <f t="array" aca="1" ref="AT656" ca="1">INDEX(OFFSET($AK$19,MATCH($B656,$B$19:$B$150,0)-1,0,COUNTA($B$19:$B$24),COUNTA($AK$17:$BB$17)),MATCH($F656,$F$19:$F$24,0),MATCH(AT$17,$AK$17:$BB$17,0))*INDEX($10:$13,MATCH($O656,$R$10:$R$13,0),COLUMN())</f>
        <v>2.4352129530999997E-5</v>
      </c>
      <c r="AU656" s="1050" cm="1">
        <f t="array" aca="1" ref="AU656" ca="1">INDEX(OFFSET($AK$19,MATCH($B656,$B$19:$B$150,0)-1,0,COUNTA($B$19:$B$24),COUNTA($AK$17:$BB$17)),MATCH($F656,$F$19:$F$24,0),MATCH(AU$17,$AK$17:$BB$17,0))*INDEX($10:$13,MATCH($O656,$R$10:$R$13,0),COLUMN())</f>
        <v>4.1761021041000004E-6</v>
      </c>
      <c r="AV656" s="1050" cm="1">
        <f t="array" aca="1" ref="AV656" ca="1">INDEX(OFFSET($AK$19,MATCH($B656,$B$19:$B$150,0)-1,0,COUNTA($B$19:$B$24),COUNTA($AK$17:$BB$17)),MATCH($F656,$F$19:$F$24,0),MATCH(AV$17,$AK$17:$BB$17,0))*INDEX($10:$13,MATCH($O656,$R$10:$R$13,0),COLUMN())</f>
        <v>2.6833060440000001E-2</v>
      </c>
      <c r="AW656" s="1050" cm="1">
        <f t="array" aca="1" ref="AW656" ca="1">INDEX(OFFSET($AK$19,MATCH($B656,$B$19:$B$150,0)-1,0,COUNTA($B$19:$B$24),COUNTA($AK$17:$BB$17)),MATCH($F656,$F$19:$F$24,0),MATCH(AW$17,$AK$17:$BB$17,0))*INDEX($10:$13,MATCH($O656,$R$10:$R$13,0),COLUMN())</f>
        <v>3.6824580720000002</v>
      </c>
      <c r="AX656" s="1050" cm="1">
        <f t="array" aca="1" ref="AX656" ca="1">INDEX(OFFSET($AK$19,MATCH($B656,$B$19:$B$150,0)-1,0,COUNTA($B$19:$B$24),COUNTA($AK$17:$BB$17)),MATCH($F656,$F$19:$F$24,0),MATCH(AX$17,$AK$17:$BB$17,0))*INDEX($10:$13,MATCH($O656,$R$10:$R$13,0),COLUMN())</f>
        <v>1.4011282495E-5</v>
      </c>
      <c r="AY656" s="1050" cm="1">
        <f t="array" aca="1" ref="AY656" ca="1">INDEX(OFFSET($AK$19,MATCH($B656,$B$19:$B$150,0)-1,0,COUNTA($B$19:$B$24),COUNTA($AK$17:$BB$17)),MATCH($F656,$F$19:$F$24,0),MATCH(AY$17,$AK$17:$BB$17,0))*INDEX($10:$13,MATCH($O656,$R$10:$R$13,0),COLUMN())</f>
        <v>3.5641159650000001E-3</v>
      </c>
      <c r="AZ656" s="1050" cm="1">
        <f t="array" aca="1" ref="AZ656" ca="1">INDEX(OFFSET($AK$19,MATCH($B656,$B$19:$B$150,0)-1,0,COUNTA($B$19:$B$24),COUNTA($AK$17:$BB$17)),MATCH($F656,$F$19:$F$24,0),MATCH(AZ$17,$AK$17:$BB$17,0))*INDEX($10:$13,MATCH($O656,$R$10:$R$13,0),COLUMN())</f>
        <v>0</v>
      </c>
      <c r="BA656" s="1050" cm="1">
        <f t="array" aca="1" ref="BA656" ca="1">INDEX(OFFSET($AK$19,MATCH($B656,$B$19:$B$150,0)-1,0,COUNTA($B$19:$B$24),COUNTA($AK$17:$BB$17)),MATCH($F656,$F$19:$F$24,0),MATCH(BA$17,$AK$17:$BB$17,0))*INDEX($10:$13,MATCH($O656,$R$10:$R$13,0),COLUMN())</f>
        <v>0</v>
      </c>
      <c r="BB656" s="1051" cm="1">
        <f t="array" aca="1" ref="BB656" ca="1">INDEX(OFFSET($AK$19,MATCH($B656,$B$19:$B$150,0)-1,0,COUNTA($B$19:$B$24),COUNTA($AK$17:$BB$17)),MATCH($F656,$F$19:$F$24,0),MATCH(BB$17,$AK$17:$BB$17,0))*INDEX($10:$13,MATCH($O656,$R$10:$R$13,0),COLUMN())</f>
        <v>0</v>
      </c>
      <c r="BC656" s="1053">
        <f t="shared" ca="1" si="192"/>
        <v>3.6860361992474955</v>
      </c>
      <c r="BE656" s="1"/>
      <c r="BF656" s="1"/>
      <c r="BG656" s="1"/>
      <c r="BH656" s="1"/>
      <c r="BI656" s="1"/>
      <c r="BJ656" s="1"/>
      <c r="BK656" s="1"/>
      <c r="BL656" s="1"/>
      <c r="BM656" s="1"/>
      <c r="BN656" s="1"/>
      <c r="BO656" s="1"/>
      <c r="BP656" s="1"/>
      <c r="BQ656" s="1"/>
      <c r="BR656" s="1"/>
      <c r="BS656" s="1"/>
      <c r="BT656" s="1"/>
      <c r="BU656" s="1"/>
      <c r="BV656" s="1"/>
      <c r="BW656" s="1"/>
      <c r="BX656" s="1"/>
      <c r="BY656" s="1"/>
      <c r="BZ656" s="1"/>
    </row>
    <row r="657" spans="2:78" ht="12" customHeight="1" outlineLevel="1" x14ac:dyDescent="0.25">
      <c r="B657" s="88" t="s">
        <v>114</v>
      </c>
      <c r="C657" s="88" t="s">
        <v>123</v>
      </c>
      <c r="D657" s="89" t="s">
        <v>152</v>
      </c>
      <c r="E657" s="89" t="s">
        <v>153</v>
      </c>
      <c r="F657" s="90" t="s">
        <v>92</v>
      </c>
      <c r="G657" s="18" t="s">
        <v>126</v>
      </c>
      <c r="H657" s="91" t="s">
        <v>127</v>
      </c>
      <c r="I657" s="92" t="s">
        <v>127</v>
      </c>
      <c r="J657" s="142">
        <v>1.91</v>
      </c>
      <c r="K657" s="143">
        <v>0.84</v>
      </c>
      <c r="L657" s="151">
        <f t="shared" ca="1" si="190"/>
        <v>5.2857483306218258</v>
      </c>
      <c r="M657" s="143">
        <f t="shared" ca="1" si="191"/>
        <v>5.2800285977223336</v>
      </c>
      <c r="N657" s="162">
        <f t="shared" ca="1" si="189"/>
        <v>4.4400285977223337</v>
      </c>
      <c r="O657" s="1060" t="s">
        <v>1585</v>
      </c>
      <c r="P657" s="88"/>
      <c r="Q657" s="89"/>
      <c r="R657" s="150"/>
      <c r="S657" s="1070"/>
      <c r="T657" s="1070"/>
      <c r="U657" s="1070"/>
      <c r="V657" s="1070"/>
      <c r="W657" s="1070"/>
      <c r="X657" s="1070"/>
      <c r="Y657" s="1070"/>
      <c r="Z657" s="1070"/>
      <c r="AA657" s="1070"/>
      <c r="AB657" s="1070"/>
      <c r="AC657" s="1070"/>
      <c r="AD657" s="1070"/>
      <c r="AE657" s="1070"/>
      <c r="AF657" s="1070"/>
      <c r="AG657" s="1070"/>
      <c r="AH657" s="1070"/>
      <c r="AI657" s="1070"/>
      <c r="AJ657" s="1071"/>
      <c r="AK657" s="1048" cm="1">
        <f t="array" aca="1" ref="AK657" ca="1">INDEX(OFFSET($AK$19,MATCH($B657,$B$19:$B$150,0)-1,0,COUNTA($B$19:$B$24),COUNTA($AK$17:$BB$17)),MATCH($F657,$F$19:$F$24,0),MATCH(AK$17,$AK$17:$BB$17,0))*INDEX($10:$13,MATCH($O657,$R$10:$R$13,0),COLUMN())</f>
        <v>1.31887091679744</v>
      </c>
      <c r="AL657" s="1046" cm="1">
        <f t="array" aca="1" ref="AL657" ca="1">INDEX(OFFSET($AK$19,MATCH($B657,$B$19:$B$150,0)-1,0,COUNTA($B$19:$B$24),COUNTA($AK$17:$BB$17)),MATCH($F657,$F$19:$F$24,0),MATCH(AL$17,$AK$17:$BB$17,0))*INDEX($10:$13,MATCH($O657,$R$10:$R$13,0),COLUMN())</f>
        <v>8.8137390170000012E-7</v>
      </c>
      <c r="AM657" s="1046" cm="1">
        <f t="array" aca="1" ref="AM657" ca="1">INDEX(OFFSET($AK$19,MATCH($B657,$B$19:$B$150,0)-1,0,COUNTA($B$19:$B$24),COUNTA($AK$17:$BB$17)),MATCH($F657,$F$19:$F$24,0),MATCH(AM$17,$AK$17:$BB$17,0))*INDEX($10:$13,MATCH($O657,$R$10:$R$13,0),COLUMN())</f>
        <v>1.4725852856E-3</v>
      </c>
      <c r="AN657" s="1046" cm="1">
        <f t="array" aca="1" ref="AN657" ca="1">INDEX(OFFSET($AK$19,MATCH($B657,$B$19:$B$150,0)-1,0,COUNTA($B$19:$B$24),COUNTA($AK$17:$BB$17)),MATCH($F657,$F$19:$F$24,0),MATCH(AN$17,$AK$17:$BB$17,0))*INDEX($10:$13,MATCH($O657,$R$10:$R$13,0),COLUMN())</f>
        <v>7.5793272640000001E-3</v>
      </c>
      <c r="AO657" s="1046" cm="1">
        <f t="array" aca="1" ref="AO657" ca="1">INDEX(OFFSET($AK$19,MATCH($B657,$B$19:$B$150,0)-1,0,COUNTA($B$19:$B$24),COUNTA($AK$17:$BB$17)),MATCH($F657,$F$19:$F$24,0),MATCH(AO$17,$AK$17:$BB$17,0))*INDEX($10:$13,MATCH($O657,$R$10:$R$13,0),COLUMN())</f>
        <v>0.51326757299999992</v>
      </c>
      <c r="AP657" s="1046" cm="1">
        <f t="array" aca="1" ref="AP657" ca="1">INDEX(OFFSET($AK$19,MATCH($B657,$B$19:$B$150,0)-1,0,COUNTA($B$19:$B$24),COUNTA($AK$17:$BB$17)),MATCH($F657,$F$19:$F$24,0),MATCH(AP$17,$AK$17:$BB$17,0))*INDEX($10:$13,MATCH($O657,$R$10:$R$13,0),COLUMN())</f>
        <v>0.2798338809</v>
      </c>
      <c r="AQ657" s="1046" cm="1">
        <f t="array" aca="1" ref="AQ657" ca="1">INDEX(OFFSET($AK$19,MATCH($B657,$B$19:$B$150,0)-1,0,COUNTA($B$19:$B$24),COUNTA($AK$17:$BB$17)),MATCH($F657,$F$19:$F$24,0),MATCH(AQ$17,$AK$17:$BB$17,0))*INDEX($10:$13,MATCH($O657,$R$10:$R$13,0),COLUMN())</f>
        <v>9.2172509939999992E-4</v>
      </c>
      <c r="AR657" s="1046" cm="1">
        <f t="array" aca="1" ref="AR657" ca="1">INDEX(OFFSET($AK$19,MATCH($B657,$B$19:$B$150,0)-1,0,COUNTA($B$19:$B$24),COUNTA($AK$17:$BB$17)),MATCH($F657,$F$19:$F$24,0),MATCH(AR$17,$AK$17:$BB$17,0))*INDEX($10:$13,MATCH($O657,$R$10:$R$13,0),COLUMN())</f>
        <v>4.1943820489999999E-2</v>
      </c>
      <c r="AS657" s="1046" cm="1">
        <f t="array" aca="1" ref="AS657" ca="1">INDEX(OFFSET($AK$19,MATCH($B657,$B$19:$B$150,0)-1,0,COUNTA($B$19:$B$24),COUNTA($AK$17:$BB$17)),MATCH($F657,$F$19:$F$24,0),MATCH(AS$17,$AK$17:$BB$17,0))*INDEX($10:$13,MATCH($O657,$R$10:$R$13,0),COLUMN())</f>
        <v>0.26666072675000002</v>
      </c>
      <c r="AT657" s="1046" cm="1">
        <f t="array" aca="1" ref="AT657" ca="1">INDEX(OFFSET($AK$19,MATCH($B657,$B$19:$B$150,0)-1,0,COUNTA($B$19:$B$24),COUNTA($AK$17:$BB$17)),MATCH($F657,$F$19:$F$24,0),MATCH(AT$17,$AK$17:$BB$17,0))*INDEX($10:$13,MATCH($O657,$R$10:$R$13,0),COLUMN())</f>
        <v>3.1634250604E-4</v>
      </c>
      <c r="AU657" s="1046" cm="1">
        <f t="array" aca="1" ref="AU657" ca="1">INDEX(OFFSET($AK$19,MATCH($B657,$B$19:$B$150,0)-1,0,COUNTA($B$19:$B$24),COUNTA($AK$17:$BB$17)),MATCH($F657,$F$19:$F$24,0),MATCH(AU$17,$AK$17:$BB$17,0))*INDEX($10:$13,MATCH($O657,$R$10:$R$13,0),COLUMN())</f>
        <v>1.7158693346999999E-5</v>
      </c>
      <c r="AV657" s="1046" cm="1">
        <f t="array" aca="1" ref="AV657" ca="1">INDEX(OFFSET($AK$19,MATCH($B657,$B$19:$B$150,0)-1,0,COUNTA($B$19:$B$24),COUNTA($AK$17:$BB$17)),MATCH($F657,$F$19:$F$24,0),MATCH(AV$17,$AK$17:$BB$17,0))*INDEX($10:$13,MATCH($O657,$R$10:$R$13,0),COLUMN())</f>
        <v>1.4819330609999999E-2</v>
      </c>
      <c r="AW657" s="1046" cm="1">
        <f t="array" aca="1" ref="AW657" ca="1">INDEX(OFFSET($AK$19,MATCH($B657,$B$19:$B$150,0)-1,0,COUNTA($B$19:$B$24),COUNTA($AK$17:$BB$17)),MATCH($F657,$F$19:$F$24,0),MATCH(AW$17,$AK$17:$BB$17,0))*INDEX($10:$13,MATCH($O657,$R$10:$R$13,0),COLUMN())</f>
        <v>1.9054785425000003</v>
      </c>
      <c r="AX657" s="1046" cm="1">
        <f t="array" aca="1" ref="AX657" ca="1">INDEX(OFFSET($AK$19,MATCH($B657,$B$19:$B$150,0)-1,0,COUNTA($B$19:$B$24),COUNTA($AK$17:$BB$17)),MATCH($F657,$F$19:$F$24,0),MATCH(AX$17,$AK$17:$BB$17,0))*INDEX($10:$13,MATCH($O657,$R$10:$R$13,0),COLUMN())</f>
        <v>1.2644608855000001E-5</v>
      </c>
      <c r="AY657" s="1046" cm="1">
        <f t="array" aca="1" ref="AY657" ca="1">INDEX(OFFSET($AK$19,MATCH($B657,$B$19:$B$150,0)-1,0,COUNTA($B$19:$B$24),COUNTA($AK$17:$BB$17)),MATCH($F657,$F$19:$F$24,0),MATCH(AY$17,$AK$17:$BB$17,0))*INDEX($10:$13,MATCH($O657,$R$10:$R$13,0),COLUMN())</f>
        <v>8.8833141843749991E-2</v>
      </c>
      <c r="AZ657" s="1046" cm="1">
        <f t="array" aca="1" ref="AZ657" ca="1">INDEX(OFFSET($AK$19,MATCH($B657,$B$19:$B$150,0)-1,0,COUNTA($B$19:$B$24),COUNTA($AK$17:$BB$17)),MATCH($F657,$F$19:$F$24,0),MATCH(AZ$17,$AK$17:$BB$17,0))*INDEX($10:$13,MATCH($O657,$R$10:$R$13,0),COLUMN())</f>
        <v>0</v>
      </c>
      <c r="BA657" s="1046" cm="1">
        <f t="array" aca="1" ref="BA657" ca="1">INDEX(OFFSET($AK$19,MATCH($B657,$B$19:$B$150,0)-1,0,COUNTA($B$19:$B$24),COUNTA($AK$17:$BB$17)),MATCH($F657,$F$19:$F$24,0),MATCH(BA$17,$AK$17:$BB$17,0))*INDEX($10:$13,MATCH($O657,$R$10:$R$13,0),COLUMN())</f>
        <v>0</v>
      </c>
      <c r="BB657" s="1047" cm="1">
        <f t="array" aca="1" ref="BB657" ca="1">INDEX(OFFSET($AK$19,MATCH($B657,$B$19:$B$150,0)-1,0,COUNTA($B$19:$B$24),COUNTA($AK$17:$BB$17)),MATCH($F657,$F$19:$F$24,0),MATCH(BB$17,$AK$17:$BB$17,0))*INDEX($10:$13,MATCH($O657,$R$10:$R$13,0),COLUMN())</f>
        <v>0</v>
      </c>
      <c r="BC657" s="1049">
        <f t="shared" ca="1" si="192"/>
        <v>1.9943243289526054</v>
      </c>
      <c r="BE657" s="1"/>
      <c r="BF657" s="1"/>
      <c r="BG657" s="1"/>
      <c r="BH657" s="1"/>
      <c r="BI657" s="1"/>
      <c r="BJ657" s="1"/>
      <c r="BK657" s="1"/>
      <c r="BL657" s="1"/>
      <c r="BM657" s="1"/>
      <c r="BN657" s="1"/>
      <c r="BO657" s="1"/>
      <c r="BP657" s="1"/>
      <c r="BQ657" s="1"/>
      <c r="BR657" s="1"/>
      <c r="BS657" s="1"/>
      <c r="BT657" s="1"/>
      <c r="BU657" s="1"/>
      <c r="BV657" s="1"/>
      <c r="BW657" s="1"/>
      <c r="BX657" s="1"/>
      <c r="BY657" s="1"/>
      <c r="BZ657" s="1"/>
    </row>
    <row r="658" spans="2:78" ht="12" customHeight="1" outlineLevel="1" x14ac:dyDescent="0.25">
      <c r="B658" s="104" t="s">
        <v>114</v>
      </c>
      <c r="C658" s="104" t="s">
        <v>123</v>
      </c>
      <c r="D658" s="2" t="s">
        <v>152</v>
      </c>
      <c r="E658" s="2" t="s">
        <v>153</v>
      </c>
      <c r="F658" s="105" t="s">
        <v>122</v>
      </c>
      <c r="G658" s="27" t="s">
        <v>1579</v>
      </c>
      <c r="H658" s="106" t="s">
        <v>128</v>
      </c>
      <c r="I658" s="107" t="s">
        <v>129</v>
      </c>
      <c r="J658" s="147">
        <v>1.91</v>
      </c>
      <c r="K658" s="148">
        <v>1.2788316801138424</v>
      </c>
      <c r="L658" s="149">
        <f t="shared" ca="1" si="190"/>
        <v>4.3784924363506583</v>
      </c>
      <c r="M658" s="148">
        <f t="shared" ca="1" si="191"/>
        <v>6.8781865188579054</v>
      </c>
      <c r="N658" s="163">
        <f t="shared" ca="1" si="189"/>
        <v>5.5993548387440635</v>
      </c>
      <c r="O658" s="1061" t="s">
        <v>1585</v>
      </c>
      <c r="P658" s="104"/>
      <c r="R658" s="119"/>
      <c r="S658" s="1072"/>
      <c r="T658" s="1072"/>
      <c r="U658" s="1072"/>
      <c r="V658" s="1072"/>
      <c r="W658" s="1072"/>
      <c r="X658" s="1072"/>
      <c r="Y658" s="1072"/>
      <c r="Z658" s="1072"/>
      <c r="AA658" s="1072"/>
      <c r="AB658" s="1072"/>
      <c r="AC658" s="1072"/>
      <c r="AD658" s="1072"/>
      <c r="AE658" s="1072"/>
      <c r="AF658" s="1072"/>
      <c r="AG658" s="1072"/>
      <c r="AH658" s="1072"/>
      <c r="AI658" s="1072"/>
      <c r="AJ658" s="1073"/>
      <c r="AK658" s="1052" cm="1">
        <f t="array" aca="1" ref="AK658" ca="1">INDEX(OFFSET($AK$19,MATCH($B658,$B$19:$B$150,0)-1,0,COUNTA($B$19:$B$24),COUNTA($AK$17:$BB$17)),MATCH($F658,$F$19:$F$24,0),MATCH(AK$17,$AK$17:$BB$17,0))*INDEX($10:$13,MATCH($O658,$R$10:$R$13,0),COLUMN())</f>
        <v>0.55694753146368003</v>
      </c>
      <c r="AL658" s="1050" cm="1">
        <f t="array" aca="1" ref="AL658" ca="1">INDEX(OFFSET($AK$19,MATCH($B658,$B$19:$B$150,0)-1,0,COUNTA($B$19:$B$24),COUNTA($AK$17:$BB$17)),MATCH($F658,$F$19:$F$24,0),MATCH(AL$17,$AK$17:$BB$17,0))*INDEX($10:$13,MATCH($O658,$R$10:$R$13,0),COLUMN())</f>
        <v>1.1202472076000002E-6</v>
      </c>
      <c r="AM658" s="1050" cm="1">
        <f t="array" aca="1" ref="AM658" ca="1">INDEX(OFFSET($AK$19,MATCH($B658,$B$19:$B$150,0)-1,0,COUNTA($B$19:$B$24),COUNTA($AK$17:$BB$17)),MATCH($F658,$F$19:$F$24,0),MATCH(AM$17,$AK$17:$BB$17,0))*INDEX($10:$13,MATCH($O658,$R$10:$R$13,0),COLUMN())</f>
        <v>1.8458602344E-3</v>
      </c>
      <c r="AN658" s="1050" cm="1">
        <f t="array" aca="1" ref="AN658" ca="1">INDEX(OFFSET($AK$19,MATCH($B658,$B$19:$B$150,0)-1,0,COUNTA($B$19:$B$24),COUNTA($AK$17:$BB$17)),MATCH($F658,$F$19:$F$24,0),MATCH(AN$17,$AK$17:$BB$17,0))*INDEX($10:$13,MATCH($O658,$R$10:$R$13,0),COLUMN())</f>
        <v>6.4321098960000008E-3</v>
      </c>
      <c r="AO658" s="1050" cm="1">
        <f t="array" aca="1" ref="AO658" ca="1">INDEX(OFFSET($AK$19,MATCH($B658,$B$19:$B$150,0)-1,0,COUNTA($B$19:$B$24),COUNTA($AK$17:$BB$17)),MATCH($F658,$F$19:$F$24,0),MATCH(AO$17,$AK$17:$BB$17,0))*INDEX($10:$13,MATCH($O658,$R$10:$R$13,0),COLUMN())</f>
        <v>0.61483243799999998</v>
      </c>
      <c r="AP658" s="1050" cm="1">
        <f t="array" aca="1" ref="AP658" ca="1">INDEX(OFFSET($AK$19,MATCH($B658,$B$19:$B$150,0)-1,0,COUNTA($B$19:$B$24),COUNTA($AK$17:$BB$17)),MATCH($F658,$F$19:$F$24,0),MATCH(AP$17,$AK$17:$BB$17,0))*INDEX($10:$13,MATCH($O658,$R$10:$R$13,0),COLUMN())</f>
        <v>0.33903947888000002</v>
      </c>
      <c r="AQ658" s="1050" cm="1">
        <f t="array" aca="1" ref="AQ658" ca="1">INDEX(OFFSET($AK$19,MATCH($B658,$B$19:$B$150,0)-1,0,COUNTA($B$19:$B$24),COUNTA($AK$17:$BB$17)),MATCH($F658,$F$19:$F$24,0),MATCH(AQ$17,$AK$17:$BB$17,0))*INDEX($10:$13,MATCH($O658,$R$10:$R$13,0),COLUMN())</f>
        <v>1.8003006566E-4</v>
      </c>
      <c r="AR658" s="1050" cm="1">
        <f t="array" aca="1" ref="AR658" ca="1">INDEX(OFFSET($AK$19,MATCH($B658,$B$19:$B$150,0)-1,0,COUNTA($B$19:$B$24),COUNTA($AK$17:$BB$17)),MATCH($F658,$F$19:$F$24,0),MATCH(AR$17,$AK$17:$BB$17,0))*INDEX($10:$13,MATCH($O658,$R$10:$R$13,0),COLUMN())</f>
        <v>3.7284586430000002E-2</v>
      </c>
      <c r="AS658" s="1050" cm="1">
        <f t="array" aca="1" ref="AS658" ca="1">INDEX(OFFSET($AK$19,MATCH($B658,$B$19:$B$150,0)-1,0,COUNTA($B$19:$B$24),COUNTA($AK$17:$BB$17)),MATCH($F658,$F$19:$F$24,0),MATCH(AS$17,$AK$17:$BB$17,0))*INDEX($10:$13,MATCH($O658,$R$10:$R$13,0),COLUMN())</f>
        <v>1.6613823609999998E-4</v>
      </c>
      <c r="AT658" s="1050" cm="1">
        <f t="array" aca="1" ref="AT658" ca="1">INDEX(OFFSET($AK$19,MATCH($B658,$B$19:$B$150,0)-1,0,COUNTA($B$19:$B$24),COUNTA($AK$17:$BB$17)),MATCH($F658,$F$19:$F$24,0),MATCH(AT$17,$AK$17:$BB$17,0))*INDEX($10:$13,MATCH($O658,$R$10:$R$13,0),COLUMN())</f>
        <v>1.4777175725999999E-5</v>
      </c>
      <c r="AU658" s="1050" cm="1">
        <f t="array" aca="1" ref="AU658" ca="1">INDEX(OFFSET($AK$19,MATCH($B658,$B$19:$B$150,0)-1,0,COUNTA($B$19:$B$24),COUNTA($AK$17:$BB$17)),MATCH($F658,$F$19:$F$24,0),MATCH(AU$17,$AK$17:$BB$17,0))*INDEX($10:$13,MATCH($O658,$R$10:$R$13,0),COLUMN())</f>
        <v>3.2812715142000002E-6</v>
      </c>
      <c r="AV658" s="1050" cm="1">
        <f t="array" aca="1" ref="AV658" ca="1">INDEX(OFFSET($AK$19,MATCH($B658,$B$19:$B$150,0)-1,0,COUNTA($B$19:$B$24),COUNTA($AK$17:$BB$17)),MATCH($F658,$F$19:$F$24,0),MATCH(AV$17,$AK$17:$BB$17,0))*INDEX($10:$13,MATCH($O658,$R$10:$R$13,0),COLUMN())</f>
        <v>2.0146455540000002E-3</v>
      </c>
      <c r="AW658" s="1050" cm="1">
        <f t="array" aca="1" ref="AW658" ca="1">INDEX(OFFSET($AK$19,MATCH($B658,$B$19:$B$150,0)-1,0,COUNTA($B$19:$B$24),COUNTA($AK$17:$BB$17)),MATCH($F658,$F$19:$F$24,0),MATCH(AW$17,$AK$17:$BB$17,0))*INDEX($10:$13,MATCH($O658,$R$10:$R$13,0),COLUMN())</f>
        <v>4.0405520970000008</v>
      </c>
      <c r="AX658" s="1050" cm="1">
        <f t="array" aca="1" ref="AX658" ca="1">INDEX(OFFSET($AK$19,MATCH($B658,$B$19:$B$150,0)-1,0,COUNTA($B$19:$B$24),COUNTA($AK$17:$BB$17)),MATCH($F658,$F$19:$F$24,0),MATCH(AX$17,$AK$17:$BB$17,0))*INDEX($10:$13,MATCH($O658,$R$10:$R$13,0),COLUMN())</f>
        <v>1.3851141825000002E-5</v>
      </c>
      <c r="AY658" s="1050" cm="1">
        <f t="array" aca="1" ref="AY658" ca="1">INDEX(OFFSET($AK$19,MATCH($B658,$B$19:$B$150,0)-1,0,COUNTA($B$19:$B$24),COUNTA($AK$17:$BB$17)),MATCH($F658,$F$19:$F$24,0),MATCH(AY$17,$AK$17:$BB$17,0))*INDEX($10:$13,MATCH($O658,$R$10:$R$13,0),COLUMN())</f>
        <v>2.6893147950000001E-5</v>
      </c>
      <c r="AZ658" s="1050" cm="1">
        <f t="array" aca="1" ref="AZ658" ca="1">INDEX(OFFSET($AK$19,MATCH($B658,$B$19:$B$150,0)-1,0,COUNTA($B$19:$B$24),COUNTA($AK$17:$BB$17)),MATCH($F658,$F$19:$F$24,0),MATCH(AZ$17,$AK$17:$BB$17,0))*INDEX($10:$13,MATCH($O658,$R$10:$R$13,0),COLUMN())</f>
        <v>0</v>
      </c>
      <c r="BA658" s="1050" cm="1">
        <f t="array" aca="1" ref="BA658" ca="1">INDEX(OFFSET($AK$19,MATCH($B658,$B$19:$B$150,0)-1,0,COUNTA($B$19:$B$24),COUNTA($AK$17:$BB$17)),MATCH($F658,$F$19:$F$24,0),MATCH(BA$17,$AK$17:$BB$17,0))*INDEX($10:$13,MATCH($O658,$R$10:$R$13,0),COLUMN())</f>
        <v>0</v>
      </c>
      <c r="BB658" s="1051" cm="1">
        <f t="array" aca="1" ref="BB658" ca="1">INDEX(OFFSET($AK$19,MATCH($B658,$B$19:$B$150,0)-1,0,COUNTA($B$19:$B$24),COUNTA($AK$17:$BB$17)),MATCH($F658,$F$19:$F$24,0),MATCH(BB$17,$AK$17:$BB$17,0))*INDEX($10:$13,MATCH($O658,$R$10:$R$13,0),COLUMN())</f>
        <v>0</v>
      </c>
      <c r="BC658" s="1053">
        <f t="shared" ca="1" si="192"/>
        <v>4.0405928412897758</v>
      </c>
      <c r="BE658" s="1"/>
      <c r="BF658" s="1"/>
      <c r="BG658" s="1"/>
      <c r="BH658" s="1"/>
      <c r="BI658" s="1"/>
      <c r="BJ658" s="1"/>
      <c r="BK658" s="1"/>
      <c r="BL658" s="1"/>
      <c r="BM658" s="1"/>
      <c r="BN658" s="1"/>
      <c r="BO658" s="1"/>
      <c r="BP658" s="1"/>
      <c r="BQ658" s="1"/>
      <c r="BR658" s="1"/>
      <c r="BS658" s="1"/>
      <c r="BT658" s="1"/>
      <c r="BU658" s="1"/>
      <c r="BV658" s="1"/>
      <c r="BW658" s="1"/>
      <c r="BX658" s="1"/>
      <c r="BY658" s="1"/>
      <c r="BZ658" s="1"/>
    </row>
    <row r="659" spans="2:78" ht="12" customHeight="1" outlineLevel="1" x14ac:dyDescent="0.25">
      <c r="B659" s="104" t="s">
        <v>114</v>
      </c>
      <c r="C659" s="104" t="s">
        <v>123</v>
      </c>
      <c r="D659" s="2" t="s">
        <v>152</v>
      </c>
      <c r="E659" s="2" t="s">
        <v>153</v>
      </c>
      <c r="F659" s="105" t="s">
        <v>93</v>
      </c>
      <c r="G659" s="27" t="s">
        <v>1578</v>
      </c>
      <c r="H659" s="106" t="s">
        <v>130</v>
      </c>
      <c r="I659" s="107" t="s">
        <v>129</v>
      </c>
      <c r="J659" s="147">
        <v>1.91</v>
      </c>
      <c r="K659" s="148">
        <v>1.2788316801138424</v>
      </c>
      <c r="L659" s="149">
        <f t="shared" ca="1" si="190"/>
        <v>4.5513900361454489</v>
      </c>
      <c r="M659" s="148">
        <f t="shared" ca="1" si="191"/>
        <v>7.0992934468911297</v>
      </c>
      <c r="N659" s="163">
        <f t="shared" ca="1" si="189"/>
        <v>5.8204617667772869</v>
      </c>
      <c r="O659" s="1061" t="s">
        <v>1585</v>
      </c>
      <c r="P659" s="104"/>
      <c r="R659" s="119"/>
      <c r="S659" s="1072"/>
      <c r="T659" s="1072"/>
      <c r="U659" s="1072"/>
      <c r="V659" s="1072"/>
      <c r="W659" s="1072"/>
      <c r="X659" s="1072"/>
      <c r="Y659" s="1072"/>
      <c r="Z659" s="1072"/>
      <c r="AA659" s="1072"/>
      <c r="AB659" s="1072"/>
      <c r="AC659" s="1072"/>
      <c r="AD659" s="1072"/>
      <c r="AE659" s="1072"/>
      <c r="AF659" s="1072"/>
      <c r="AG659" s="1072"/>
      <c r="AH659" s="1072"/>
      <c r="AI659" s="1072"/>
      <c r="AJ659" s="1073"/>
      <c r="AK659" s="1052" cm="1">
        <f t="array" aca="1" ref="AK659" ca="1">INDEX(OFFSET($AK$19,MATCH($B659,$B$19:$B$150,0)-1,0,COUNTA($B$19:$B$24),COUNTA($AK$17:$BB$17)),MATCH($F659,$F$19:$F$24,0),MATCH(AK$17,$AK$17:$BB$17,0))*INDEX($10:$13,MATCH($O659,$R$10:$R$13,0),COLUMN())</f>
        <v>0.53365107479615992</v>
      </c>
      <c r="AL659" s="1050" cm="1">
        <f t="array" aca="1" ref="AL659" ca="1">INDEX(OFFSET($AK$19,MATCH($B659,$B$19:$B$150,0)-1,0,COUNTA($B$19:$B$24),COUNTA($AK$17:$BB$17)),MATCH($F659,$F$19:$F$24,0),MATCH(AL$17,$AK$17:$BB$17,0))*INDEX($10:$13,MATCH($O659,$R$10:$R$13,0),COLUMN())</f>
        <v>9.8953757570000015E-7</v>
      </c>
      <c r="AM659" s="1050" cm="1">
        <f t="array" aca="1" ref="AM659" ca="1">INDEX(OFFSET($AK$19,MATCH($B659,$B$19:$B$150,0)-1,0,COUNTA($B$19:$B$24),COUNTA($AK$17:$BB$17)),MATCH($F659,$F$19:$F$24,0),MATCH(AM$17,$AK$17:$BB$17,0))*INDEX($10:$13,MATCH($O659,$R$10:$R$13,0),COLUMN())</f>
        <v>1.6281993571999999E-3</v>
      </c>
      <c r="AN659" s="1050" cm="1">
        <f t="array" aca="1" ref="AN659" ca="1">INDEX(OFFSET($AK$19,MATCH($B659,$B$19:$B$150,0)-1,0,COUNTA($B$19:$B$24),COUNTA($AK$17:$BB$17)),MATCH($F659,$F$19:$F$24,0),MATCH(AN$17,$AK$17:$BB$17,0))*INDEX($10:$13,MATCH($O659,$R$10:$R$13,0),COLUMN())</f>
        <v>6.3878801600000005E-3</v>
      </c>
      <c r="AO659" s="1050" cm="1">
        <f t="array" aca="1" ref="AO659" ca="1">INDEX(OFFSET($AK$19,MATCH($B659,$B$19:$B$150,0)-1,0,COUNTA($B$19:$B$24),COUNTA($AK$17:$BB$17)),MATCH($F659,$F$19:$F$24,0),MATCH(AO$17,$AK$17:$BB$17,0))*INDEX($10:$13,MATCH($O659,$R$10:$R$13,0),COLUMN())</f>
        <v>0.53251231160000001</v>
      </c>
      <c r="AP659" s="1050" cm="1">
        <f t="array" aca="1" ref="AP659" ca="1">INDEX(OFFSET($AK$19,MATCH($B659,$B$19:$B$150,0)-1,0,COUNTA($B$19:$B$24),COUNTA($AK$17:$BB$17)),MATCH($F659,$F$19:$F$24,0),MATCH(AP$17,$AK$17:$BB$17,0))*INDEX($10:$13,MATCH($O659,$R$10:$R$13,0),COLUMN())</f>
        <v>0.29169473351999997</v>
      </c>
      <c r="AQ659" s="1050" cm="1">
        <f t="array" aca="1" ref="AQ659" ca="1">INDEX(OFFSET($AK$19,MATCH($B659,$B$19:$B$150,0)-1,0,COUNTA($B$19:$B$24),COUNTA($AK$17:$BB$17)),MATCH($F659,$F$19:$F$24,0),MATCH(AQ$17,$AK$17:$BB$17,0))*INDEX($10:$13,MATCH($O659,$R$10:$R$13,0),COLUMN())</f>
        <v>1.9124606394999998E-4</v>
      </c>
      <c r="AR659" s="1050" cm="1">
        <f t="array" aca="1" ref="AR659" ca="1">INDEX(OFFSET($AK$19,MATCH($B659,$B$19:$B$150,0)-1,0,COUNTA($B$19:$B$24),COUNTA($AK$17:$BB$17)),MATCH($F659,$F$19:$F$24,0),MATCH(AR$17,$AK$17:$BB$17,0))*INDEX($10:$13,MATCH($O659,$R$10:$R$13,0),COLUMN())</f>
        <v>3.8580961939999998E-2</v>
      </c>
      <c r="AS659" s="1050" cm="1">
        <f t="array" aca="1" ref="AS659" ca="1">INDEX(OFFSET($AK$19,MATCH($B659,$B$19:$B$150,0)-1,0,COUNTA($B$19:$B$24),COUNTA($AK$17:$BB$17)),MATCH($F659,$F$19:$F$24,0),MATCH(AS$17,$AK$17:$BB$17,0))*INDEX($10:$13,MATCH($O659,$R$10:$R$13,0),COLUMN())</f>
        <v>3.9190770240000002E-4</v>
      </c>
      <c r="AT659" s="1050" cm="1">
        <f t="array" aca="1" ref="AT659" ca="1">INDEX(OFFSET($AK$19,MATCH($B659,$B$19:$B$150,0)-1,0,COUNTA($B$19:$B$24),COUNTA($AK$17:$BB$17)),MATCH($F659,$F$19:$F$24,0),MATCH(AT$17,$AK$17:$BB$17,0))*INDEX($10:$13,MATCH($O659,$R$10:$R$13,0),COLUMN())</f>
        <v>1.5806681077999998E-5</v>
      </c>
      <c r="AU659" s="1050" cm="1">
        <f t="array" aca="1" ref="AU659" ca="1">INDEX(OFFSET($AK$19,MATCH($B659,$B$19:$B$150,0)-1,0,COUNTA($B$19:$B$24),COUNTA($AK$17:$BB$17)),MATCH($F659,$F$19:$F$24,0),MATCH(AU$17,$AK$17:$BB$17,0))*INDEX($10:$13,MATCH($O659,$R$10:$R$13,0),COLUMN())</f>
        <v>3.4612856064000002E-6</v>
      </c>
      <c r="AV659" s="1050" cm="1">
        <f t="array" aca="1" ref="AV659" ca="1">INDEX(OFFSET($AK$19,MATCH($B659,$B$19:$B$150,0)-1,0,COUNTA($B$19:$B$24),COUNTA($AK$17:$BB$17)),MATCH($F659,$F$19:$F$24,0),MATCH(AV$17,$AK$17:$BB$17,0))*INDEX($10:$13,MATCH($O659,$R$10:$R$13,0),COLUMN())</f>
        <v>2.9431782270000002E-3</v>
      </c>
      <c r="AW659" s="1050" cm="1">
        <f t="array" aca="1" ref="AW659" ca="1">INDEX(OFFSET($AK$19,MATCH($B659,$B$19:$B$150,0)-1,0,COUNTA($B$19:$B$24),COUNTA($AK$17:$BB$17)),MATCH($F659,$F$19:$F$24,0),MATCH(AW$17,$AK$17:$BB$17,0))*INDEX($10:$13,MATCH($O659,$R$10:$R$13,0),COLUMN())</f>
        <v>4.4124254450000002</v>
      </c>
      <c r="AX659" s="1050" cm="1">
        <f t="array" aca="1" ref="AX659" ca="1">INDEX(OFFSET($AK$19,MATCH($B659,$B$19:$B$150,0)-1,0,COUNTA($B$19:$B$24),COUNTA($AK$17:$BB$17)),MATCH($F659,$F$19:$F$24,0),MATCH(AX$17,$AK$17:$BB$17,0))*INDEX($10:$13,MATCH($O659,$R$10:$R$13,0),COLUMN())</f>
        <v>1.1932950025000002E-5</v>
      </c>
      <c r="AY659" s="1050" cm="1">
        <f t="array" aca="1" ref="AY659" ca="1">INDEX(OFFSET($AK$19,MATCH($B659,$B$19:$B$150,0)-1,0,COUNTA($B$19:$B$24),COUNTA($AK$17:$BB$17)),MATCH($F659,$F$19:$F$24,0),MATCH(AY$17,$AK$17:$BB$17,0))*INDEX($10:$13,MATCH($O659,$R$10:$R$13,0),COLUMN())</f>
        <v>2.2637956291875003E-5</v>
      </c>
      <c r="AZ659" s="1050" cm="1">
        <f t="array" aca="1" ref="AZ659" ca="1">INDEX(OFFSET($AK$19,MATCH($B659,$B$19:$B$150,0)-1,0,COUNTA($B$19:$B$24),COUNTA($AK$17:$BB$17)),MATCH($F659,$F$19:$F$24,0),MATCH(AZ$17,$AK$17:$BB$17,0))*INDEX($10:$13,MATCH($O659,$R$10:$R$13,0),COLUMN())</f>
        <v>0</v>
      </c>
      <c r="BA659" s="1050" cm="1">
        <f t="array" aca="1" ref="BA659" ca="1">INDEX(OFFSET($AK$19,MATCH($B659,$B$19:$B$150,0)-1,0,COUNTA($B$19:$B$24),COUNTA($AK$17:$BB$17)),MATCH($F659,$F$19:$F$24,0),MATCH(BA$17,$AK$17:$BB$17,0))*INDEX($10:$13,MATCH($O659,$R$10:$R$13,0),COLUMN())</f>
        <v>0</v>
      </c>
      <c r="BB659" s="1051" cm="1">
        <f t="array" aca="1" ref="BB659" ca="1">INDEX(OFFSET($AK$19,MATCH($B659,$B$19:$B$150,0)-1,0,COUNTA($B$19:$B$24),COUNTA($AK$17:$BB$17)),MATCH($F659,$F$19:$F$24,0),MATCH(BB$17,$AK$17:$BB$17,0))*INDEX($10:$13,MATCH($O659,$R$10:$R$13,0),COLUMN())</f>
        <v>0</v>
      </c>
      <c r="BC659" s="1053">
        <f t="shared" ca="1" si="192"/>
        <v>4.4124600159063174</v>
      </c>
      <c r="BE659" s="1"/>
      <c r="BF659" s="1"/>
      <c r="BG659" s="1"/>
      <c r="BH659" s="1"/>
      <c r="BI659" s="1"/>
      <c r="BJ659" s="1"/>
      <c r="BK659" s="1"/>
      <c r="BL659" s="1"/>
      <c r="BM659" s="1"/>
      <c r="BN659" s="1"/>
      <c r="BO659" s="1"/>
      <c r="BP659" s="1"/>
      <c r="BQ659" s="1"/>
      <c r="BR659" s="1"/>
      <c r="BS659" s="1"/>
      <c r="BT659" s="1"/>
      <c r="BU659" s="1"/>
      <c r="BV659" s="1"/>
      <c r="BW659" s="1"/>
      <c r="BX659" s="1"/>
      <c r="BY659" s="1"/>
      <c r="BZ659" s="1"/>
    </row>
    <row r="660" spans="2:78" ht="12" customHeight="1" outlineLevel="1" x14ac:dyDescent="0.25">
      <c r="B660" s="104" t="s">
        <v>114</v>
      </c>
      <c r="C660" s="104" t="s">
        <v>123</v>
      </c>
      <c r="D660" s="2" t="s">
        <v>152</v>
      </c>
      <c r="E660" s="2" t="s">
        <v>153</v>
      </c>
      <c r="F660" s="105" t="s">
        <v>94</v>
      </c>
      <c r="G660" s="27" t="s">
        <v>1580</v>
      </c>
      <c r="H660" s="106" t="s">
        <v>131</v>
      </c>
      <c r="I660" s="107" t="s">
        <v>129</v>
      </c>
      <c r="J660" s="147">
        <v>1.91</v>
      </c>
      <c r="K660" s="148">
        <v>1.2788316801138424</v>
      </c>
      <c r="L660" s="149">
        <f t="shared" ca="1" si="190"/>
        <v>4.2339289043412141</v>
      </c>
      <c r="M660" s="148">
        <f t="shared" ca="1" si="191"/>
        <v>6.6933140943350775</v>
      </c>
      <c r="N660" s="163">
        <f t="shared" ca="1" si="189"/>
        <v>5.4144824142212347</v>
      </c>
      <c r="O660" s="1061" t="s">
        <v>1585</v>
      </c>
      <c r="P660" s="104"/>
      <c r="R660" s="119"/>
      <c r="S660" s="1072"/>
      <c r="T660" s="1072"/>
      <c r="U660" s="1072"/>
      <c r="V660" s="1072"/>
      <c r="W660" s="1072"/>
      <c r="X660" s="1072"/>
      <c r="Y660" s="1072"/>
      <c r="Z660" s="1072"/>
      <c r="AA660" s="1072"/>
      <c r="AB660" s="1072"/>
      <c r="AC660" s="1072"/>
      <c r="AD660" s="1072"/>
      <c r="AE660" s="1072"/>
      <c r="AF660" s="1072"/>
      <c r="AG660" s="1072"/>
      <c r="AH660" s="1072"/>
      <c r="AI660" s="1072"/>
      <c r="AJ660" s="1073"/>
      <c r="AK660" s="1052" cm="1">
        <f t="array" aca="1" ref="AK660" ca="1">INDEX(OFFSET($AK$19,MATCH($B660,$B$19:$B$150,0)-1,0,COUNTA($B$19:$B$24),COUNTA($AK$17:$BB$17)),MATCH($F660,$F$19:$F$24,0),MATCH(AK$17,$AK$17:$BB$17,0))*INDEX($10:$13,MATCH($O660,$R$10:$R$13,0),COLUMN())</f>
        <v>0.57627018629760007</v>
      </c>
      <c r="AL660" s="1050" cm="1">
        <f t="array" aca="1" ref="AL660" ca="1">INDEX(OFFSET($AK$19,MATCH($B660,$B$19:$B$150,0)-1,0,COUNTA($B$19:$B$24),COUNTA($AK$17:$BB$17)),MATCH($F660,$F$19:$F$24,0),MATCH(AL$17,$AK$17:$BB$17,0))*INDEX($10:$13,MATCH($O660,$R$10:$R$13,0),COLUMN())</f>
        <v>1.2282440766E-6</v>
      </c>
      <c r="AM660" s="1050" cm="1">
        <f t="array" aca="1" ref="AM660" ca="1">INDEX(OFFSET($AK$19,MATCH($B660,$B$19:$B$150,0)-1,0,COUNTA($B$19:$B$24),COUNTA($AK$17:$BB$17)),MATCH($F660,$F$19:$F$24,0),MATCH(AM$17,$AK$17:$BB$17,0))*INDEX($10:$13,MATCH($O660,$R$10:$R$13,0),COLUMN())</f>
        <v>2.0257963413999997E-3</v>
      </c>
      <c r="AN660" s="1050" cm="1">
        <f t="array" aca="1" ref="AN660" ca="1">INDEX(OFFSET($AK$19,MATCH($B660,$B$19:$B$150,0)-1,0,COUNTA($B$19:$B$24),COUNTA($AK$17:$BB$17)),MATCH($F660,$F$19:$F$24,0),MATCH(AN$17,$AK$17:$BB$17,0))*INDEX($10:$13,MATCH($O660,$R$10:$R$13,0),COLUMN())</f>
        <v>6.4678443520000007E-3</v>
      </c>
      <c r="AO660" s="1050" cm="1">
        <f t="array" aca="1" ref="AO660" ca="1">INDEX(OFFSET($AK$19,MATCH($B660,$B$19:$B$150,0)-1,0,COUNTA($B$19:$B$24),COUNTA($AK$17:$BB$17)),MATCH($F660,$F$19:$F$24,0),MATCH(AO$17,$AK$17:$BB$17,0))*INDEX($10:$13,MATCH($O660,$R$10:$R$13,0),COLUMN())</f>
        <v>0.68346592439999998</v>
      </c>
      <c r="AP660" s="1050" cm="1">
        <f t="array" aca="1" ref="AP660" ca="1">INDEX(OFFSET($AK$19,MATCH($B660,$B$19:$B$150,0)-1,0,COUNTA($B$19:$B$24),COUNTA($AK$17:$BB$17)),MATCH($F660,$F$19:$F$24,0),MATCH(AP$17,$AK$17:$BB$17,0))*INDEX($10:$13,MATCH($O660,$R$10:$R$13,0),COLUMN())</f>
        <v>0.37846066006000001</v>
      </c>
      <c r="AQ660" s="1050" cm="1">
        <f t="array" aca="1" ref="AQ660" ca="1">INDEX(OFFSET($AK$19,MATCH($B660,$B$19:$B$150,0)-1,0,COUNTA($B$19:$B$24),COUNTA($AK$17:$BB$17)),MATCH($F660,$F$19:$F$24,0),MATCH(AQ$17,$AK$17:$BB$17,0))*INDEX($10:$13,MATCH($O660,$R$10:$R$13,0),COLUMN())</f>
        <v>1.7061796966999997E-4</v>
      </c>
      <c r="AR660" s="1050" cm="1">
        <f t="array" aca="1" ref="AR660" ca="1">INDEX(OFFSET($AK$19,MATCH($B660,$B$19:$B$150,0)-1,0,COUNTA($B$19:$B$24),COUNTA($AK$17:$BB$17)),MATCH($F660,$F$19:$F$24,0),MATCH(AR$17,$AK$17:$BB$17,0))*INDEX($10:$13,MATCH($O660,$R$10:$R$13,0),COLUMN())</f>
        <v>3.6042922039999994E-2</v>
      </c>
      <c r="AS660" s="1050" cm="1">
        <f t="array" aca="1" ref="AS660" ca="1">INDEX(OFFSET($AK$19,MATCH($B660,$B$19:$B$150,0)-1,0,COUNTA($B$19:$B$24),COUNTA($AK$17:$BB$17)),MATCH($F660,$F$19:$F$24,0),MATCH(AS$17,$AK$17:$BB$17,0))*INDEX($10:$13,MATCH($O660,$R$10:$R$13,0),COLUMN())</f>
        <v>-2.4789228064999997E-5</v>
      </c>
      <c r="AT660" s="1050" cm="1">
        <f t="array" aca="1" ref="AT660" ca="1">INDEX(OFFSET($AK$19,MATCH($B660,$B$19:$B$150,0)-1,0,COUNTA($B$19:$B$24),COUNTA($AK$17:$BB$17)),MATCH($F660,$F$19:$F$24,0),MATCH(AT$17,$AK$17:$BB$17,0))*INDEX($10:$13,MATCH($O660,$R$10:$R$13,0),COLUMN())</f>
        <v>1.3915427858999999E-5</v>
      </c>
      <c r="AU660" s="1050" cm="1">
        <f t="array" aca="1" ref="AU660" ca="1">INDEX(OFFSET($AK$19,MATCH($B660,$B$19:$B$150,0)-1,0,COUNTA($B$19:$B$24),COUNTA($AK$17:$BB$17)),MATCH($F660,$F$19:$F$24,0),MATCH(AU$17,$AK$17:$BB$17,0))*INDEX($10:$13,MATCH($O660,$R$10:$R$13,0),COLUMN())</f>
        <v>3.1306072455000006E-6</v>
      </c>
      <c r="AV660" s="1050" cm="1">
        <f t="array" aca="1" ref="AV660" ca="1">INDEX(OFFSET($AK$19,MATCH($B660,$B$19:$B$150,0)-1,0,COUNTA($B$19:$B$24),COUNTA($AK$17:$BB$17)),MATCH($F660,$F$19:$F$24,0),MATCH(AV$17,$AK$17:$BB$17,0))*INDEX($10:$13,MATCH($O660,$R$10:$R$13,0),COLUMN())</f>
        <v>1.2367178189999998E-3</v>
      </c>
      <c r="AW660" s="1050" cm="1">
        <f t="array" aca="1" ref="AW660" ca="1">INDEX(OFFSET($AK$19,MATCH($B660,$B$19:$B$150,0)-1,0,COUNTA($B$19:$B$24),COUNTA($AK$17:$BB$17)),MATCH($F660,$F$19:$F$24,0),MATCH(AW$17,$AK$17:$BB$17,0))*INDEX($10:$13,MATCH($O660,$R$10:$R$13,0),COLUMN())</f>
        <v>3.7303023765000001</v>
      </c>
      <c r="AX660" s="1050" cm="1">
        <f t="array" aca="1" ref="AX660" ca="1">INDEX(OFFSET($AK$19,MATCH($B660,$B$19:$B$150,0)-1,0,COUNTA($B$19:$B$24),COUNTA($AK$17:$BB$17)),MATCH($F660,$F$19:$F$24,0),MATCH(AX$17,$AK$17:$BB$17,0))*INDEX($10:$13,MATCH($O660,$R$10:$R$13,0),COLUMN())</f>
        <v>1.5453677405000003E-5</v>
      </c>
      <c r="AY660" s="1050" cm="1">
        <f t="array" aca="1" ref="AY660" ca="1">INDEX(OFFSET($AK$19,MATCH($B660,$B$19:$B$150,0)-1,0,COUNTA($B$19:$B$24),COUNTA($AK$17:$BB$17)),MATCH($F660,$F$19:$F$24,0),MATCH(AY$17,$AK$17:$BB$17,0))*INDEX($10:$13,MATCH($O660,$R$10:$R$13,0),COLUMN())</f>
        <v>3.042971304375E-5</v>
      </c>
      <c r="AZ660" s="1050" cm="1">
        <f t="array" aca="1" ref="AZ660" ca="1">INDEX(OFFSET($AK$19,MATCH($B660,$B$19:$B$150,0)-1,0,COUNTA($B$19:$B$24),COUNTA($AK$17:$BB$17)),MATCH($F660,$F$19:$F$24,0),MATCH(AZ$17,$AK$17:$BB$17,0))*INDEX($10:$13,MATCH($O660,$R$10:$R$13,0),COLUMN())</f>
        <v>0</v>
      </c>
      <c r="BA660" s="1050" cm="1">
        <f t="array" aca="1" ref="BA660" ca="1">INDEX(OFFSET($AK$19,MATCH($B660,$B$19:$B$150,0)-1,0,COUNTA($B$19:$B$24),COUNTA($AK$17:$BB$17)),MATCH($F660,$F$19:$F$24,0),MATCH(BA$17,$AK$17:$BB$17,0))*INDEX($10:$13,MATCH($O660,$R$10:$R$13,0),COLUMN())</f>
        <v>0</v>
      </c>
      <c r="BB660" s="1051" cm="1">
        <f t="array" aca="1" ref="BB660" ca="1">INDEX(OFFSET($AK$19,MATCH($B660,$B$19:$B$150,0)-1,0,COUNTA($B$19:$B$24),COUNTA($AK$17:$BB$17)),MATCH($F660,$F$19:$F$24,0),MATCH(BB$17,$AK$17:$BB$17,0))*INDEX($10:$13,MATCH($O660,$R$10:$R$13,0),COLUMN())</f>
        <v>0</v>
      </c>
      <c r="BC660" s="1053">
        <f t="shared" ca="1" si="192"/>
        <v>3.7303482598904485</v>
      </c>
      <c r="BE660" s="1"/>
      <c r="BF660" s="1"/>
      <c r="BG660" s="1"/>
      <c r="BH660" s="1"/>
      <c r="BI660" s="1"/>
      <c r="BJ660" s="1"/>
      <c r="BK660" s="1"/>
      <c r="BL660" s="1"/>
      <c r="BM660" s="1"/>
      <c r="BN660" s="1"/>
      <c r="BO660" s="1"/>
      <c r="BP660" s="1"/>
      <c r="BQ660" s="1"/>
      <c r="BR660" s="1"/>
      <c r="BS660" s="1"/>
      <c r="BT660" s="1"/>
      <c r="BU660" s="1"/>
      <c r="BV660" s="1"/>
      <c r="BW660" s="1"/>
      <c r="BX660" s="1"/>
      <c r="BY660" s="1"/>
      <c r="BZ660" s="1"/>
    </row>
    <row r="661" spans="2:78" ht="12" customHeight="1" outlineLevel="1" x14ac:dyDescent="0.25">
      <c r="B661" s="104" t="s">
        <v>114</v>
      </c>
      <c r="C661" s="104" t="s">
        <v>123</v>
      </c>
      <c r="D661" s="2" t="s">
        <v>152</v>
      </c>
      <c r="E661" s="2" t="s">
        <v>153</v>
      </c>
      <c r="F661" s="105" t="s">
        <v>95</v>
      </c>
      <c r="G661" s="27" t="s">
        <v>1581</v>
      </c>
      <c r="H661" s="106" t="s">
        <v>128</v>
      </c>
      <c r="I661" s="107" t="s">
        <v>127</v>
      </c>
      <c r="J661" s="147">
        <v>1.91</v>
      </c>
      <c r="K661" s="148">
        <v>1.2788316801138424</v>
      </c>
      <c r="L661" s="149">
        <f t="shared" ca="1" si="190"/>
        <v>4.5398481701776481</v>
      </c>
      <c r="M661" s="148">
        <f t="shared" ca="1" si="191"/>
        <v>7.0845333430438782</v>
      </c>
      <c r="N661" s="163">
        <f t="shared" ca="1" si="189"/>
        <v>5.8057016629300353</v>
      </c>
      <c r="O661" s="1061" t="s">
        <v>1585</v>
      </c>
      <c r="P661" s="104"/>
      <c r="R661" s="119"/>
      <c r="S661" s="1072"/>
      <c r="T661" s="1072"/>
      <c r="U661" s="1072"/>
      <c r="V661" s="1072"/>
      <c r="W661" s="1072"/>
      <c r="X661" s="1072"/>
      <c r="Y661" s="1072"/>
      <c r="Z661" s="1072"/>
      <c r="AA661" s="1072"/>
      <c r="AB661" s="1072"/>
      <c r="AC661" s="1072"/>
      <c r="AD661" s="1072"/>
      <c r="AE661" s="1072"/>
      <c r="AF661" s="1072"/>
      <c r="AG661" s="1072"/>
      <c r="AH661" s="1072"/>
      <c r="AI661" s="1072"/>
      <c r="AJ661" s="1073"/>
      <c r="AK661" s="1052" cm="1">
        <f t="array" aca="1" ref="AK661" ca="1">INDEX(OFFSET($AK$19,MATCH($B661,$B$19:$B$150,0)-1,0,COUNTA($B$19:$B$24),COUNTA($AK$17:$BB$17)),MATCH($F661,$F$19:$F$24,0),MATCH(AK$17,$AK$17:$BB$17,0))*INDEX($10:$13,MATCH($O661,$R$10:$R$13,0),COLUMN())</f>
        <v>0.59068153869695994</v>
      </c>
      <c r="AL661" s="1050" cm="1">
        <f t="array" aca="1" ref="AL661" ca="1">INDEX(OFFSET($AK$19,MATCH($B661,$B$19:$B$150,0)-1,0,COUNTA($B$19:$B$24),COUNTA($AK$17:$BB$17)),MATCH($F661,$F$19:$F$24,0),MATCH(AL$17,$AK$17:$BB$17,0))*INDEX($10:$13,MATCH($O661,$R$10:$R$13,0),COLUMN())</f>
        <v>1.1216567327E-6</v>
      </c>
      <c r="AM661" s="1050" cm="1">
        <f t="array" aca="1" ref="AM661" ca="1">INDEX(OFFSET($AK$19,MATCH($B661,$B$19:$B$150,0)-1,0,COUNTA($B$19:$B$24),COUNTA($AK$17:$BB$17)),MATCH($F661,$F$19:$F$24,0),MATCH(AM$17,$AK$17:$BB$17,0))*INDEX($10:$13,MATCH($O661,$R$10:$R$13,0),COLUMN())</f>
        <v>1.8481047676E-3</v>
      </c>
      <c r="AN661" s="1050" cm="1">
        <f t="array" aca="1" ref="AN661" ca="1">INDEX(OFFSET($AK$19,MATCH($B661,$B$19:$B$150,0)-1,0,COUNTA($B$19:$B$24),COUNTA($AK$17:$BB$17)),MATCH($F661,$F$19:$F$24,0),MATCH(AN$17,$AK$17:$BB$17,0))*INDEX($10:$13,MATCH($O661,$R$10:$R$13,0),COLUMN())</f>
        <v>6.724680936E-3</v>
      </c>
      <c r="AO661" s="1050" cm="1">
        <f t="array" aca="1" ref="AO661" ca="1">INDEX(OFFSET($AK$19,MATCH($B661,$B$19:$B$150,0)-1,0,COUNTA($B$19:$B$24),COUNTA($AK$17:$BB$17)),MATCH($F661,$F$19:$F$24,0),MATCH(AO$17,$AK$17:$BB$17,0))*INDEX($10:$13,MATCH($O661,$R$10:$R$13,0),COLUMN())</f>
        <v>0.695914908</v>
      </c>
      <c r="AP661" s="1050" cm="1">
        <f t="array" aca="1" ref="AP661" ca="1">INDEX(OFFSET($AK$19,MATCH($B661,$B$19:$B$150,0)-1,0,COUNTA($B$19:$B$24),COUNTA($AK$17:$BB$17)),MATCH($F661,$F$19:$F$24,0),MATCH(AP$17,$AK$17:$BB$17,0))*INDEX($10:$13,MATCH($O661,$R$10:$R$13,0),COLUMN())</f>
        <v>0.39608838480000003</v>
      </c>
      <c r="AQ661" s="1050" cm="1">
        <f t="array" aca="1" ref="AQ661" ca="1">INDEX(OFFSET($AK$19,MATCH($B661,$B$19:$B$150,0)-1,0,COUNTA($B$19:$B$24),COUNTA($AK$17:$BB$17)),MATCH($F661,$F$19:$F$24,0),MATCH(AQ$17,$AK$17:$BB$17,0))*INDEX($10:$13,MATCH($O661,$R$10:$R$13,0),COLUMN())</f>
        <v>6.4176985630000002E-4</v>
      </c>
      <c r="AR661" s="1050" cm="1">
        <f t="array" aca="1" ref="AR661" ca="1">INDEX(OFFSET($AK$19,MATCH($B661,$B$19:$B$150,0)-1,0,COUNTA($B$19:$B$24),COUNTA($AK$17:$BB$17)),MATCH($F661,$F$19:$F$24,0),MATCH(AR$17,$AK$17:$BB$17,0))*INDEX($10:$13,MATCH($O661,$R$10:$R$13,0),COLUMN())</f>
        <v>5.0624035749999997E-2</v>
      </c>
      <c r="AS661" s="1050" cm="1">
        <f t="array" aca="1" ref="AS661" ca="1">INDEX(OFFSET($AK$19,MATCH($B661,$B$19:$B$150,0)-1,0,COUNTA($B$19:$B$24),COUNTA($AK$17:$BB$17)),MATCH($F661,$F$19:$F$24,0),MATCH(AS$17,$AK$17:$BB$17,0))*INDEX($10:$13,MATCH($O661,$R$10:$R$13,0),COLUMN())</f>
        <v>7.0955881580000001E-3</v>
      </c>
      <c r="AT661" s="1050" cm="1">
        <f t="array" aca="1" ref="AT661" ca="1">INDEX(OFFSET($AK$19,MATCH($B661,$B$19:$B$150,0)-1,0,COUNTA($B$19:$B$24),COUNTA($AK$17:$BB$17)),MATCH($F661,$F$19:$F$24,0),MATCH(AT$17,$AK$17:$BB$17,0))*INDEX($10:$13,MATCH($O661,$R$10:$R$13,0),COLUMN())</f>
        <v>1.9946719774E-5</v>
      </c>
      <c r="AU661" s="1050" cm="1">
        <f t="array" aca="1" ref="AU661" ca="1">INDEX(OFFSET($AK$19,MATCH($B661,$B$19:$B$150,0)-1,0,COUNTA($B$19:$B$24),COUNTA($AK$17:$BB$17)),MATCH($F661,$F$19:$F$24,0),MATCH(AU$17,$AK$17:$BB$17,0))*INDEX($10:$13,MATCH($O661,$R$10:$R$13,0),COLUMN())</f>
        <v>4.0729888935000002E-6</v>
      </c>
      <c r="AV661" s="1050" cm="1">
        <f t="array" aca="1" ref="AV661" ca="1">INDEX(OFFSET($AK$19,MATCH($B661,$B$19:$B$150,0)-1,0,COUNTA($B$19:$B$24),COUNTA($AK$17:$BB$17)),MATCH($F661,$F$19:$F$24,0),MATCH(AV$17,$AK$17:$BB$17,0))*INDEX($10:$13,MATCH($O661,$R$10:$R$13,0),COLUMN())</f>
        <v>1.5464669309999998E-2</v>
      </c>
      <c r="AW661" s="1050" cm="1">
        <f t="array" aca="1" ref="AW661" ca="1">INDEX(OFFSET($AK$19,MATCH($B661,$B$19:$B$150,0)-1,0,COUNTA($B$19:$B$24),COUNTA($AK$17:$BB$17)),MATCH($F661,$F$19:$F$24,0),MATCH(AW$17,$AK$17:$BB$17,0))*INDEX($10:$13,MATCH($O661,$R$10:$R$13,0),COLUMN())</f>
        <v>4.0405520970000008</v>
      </c>
      <c r="AX661" s="1050" cm="1">
        <f t="array" aca="1" ref="AX661" ca="1">INDEX(OFFSET($AK$19,MATCH($B661,$B$19:$B$150,0)-1,0,COUNTA($B$19:$B$24),COUNTA($AK$17:$BB$17)),MATCH($F661,$F$19:$F$24,0),MATCH(AX$17,$AK$17:$BB$17,0))*INDEX($10:$13,MATCH($O661,$R$10:$R$13,0),COLUMN())</f>
        <v>1.3851141825000002E-5</v>
      </c>
      <c r="AY661" s="1050" cm="1">
        <f t="array" aca="1" ref="AY661" ca="1">INDEX(OFFSET($AK$19,MATCH($B661,$B$19:$B$150,0)-1,0,COUNTA($B$19:$B$24),COUNTA($AK$17:$BB$17)),MATCH($F661,$F$19:$F$24,0),MATCH(AY$17,$AK$17:$BB$17,0))*INDEX($10:$13,MATCH($O661,$R$10:$R$13,0),COLUMN())</f>
        <v>2.6893147950000001E-5</v>
      </c>
      <c r="AZ661" s="1050" cm="1">
        <f t="array" aca="1" ref="AZ661" ca="1">INDEX(OFFSET($AK$19,MATCH($B661,$B$19:$B$150,0)-1,0,COUNTA($B$19:$B$24),COUNTA($AK$17:$BB$17)),MATCH($F661,$F$19:$F$24,0),MATCH(AZ$17,$AK$17:$BB$17,0))*INDEX($10:$13,MATCH($O661,$R$10:$R$13,0),COLUMN())</f>
        <v>0</v>
      </c>
      <c r="BA661" s="1050" cm="1">
        <f t="array" aca="1" ref="BA661" ca="1">INDEX(OFFSET($AK$19,MATCH($B661,$B$19:$B$150,0)-1,0,COUNTA($B$19:$B$24),COUNTA($AK$17:$BB$17)),MATCH($F661,$F$19:$F$24,0),MATCH(BA$17,$AK$17:$BB$17,0))*INDEX($10:$13,MATCH($O661,$R$10:$R$13,0),COLUMN())</f>
        <v>0</v>
      </c>
      <c r="BB661" s="1051" cm="1">
        <f t="array" aca="1" ref="BB661" ca="1">INDEX(OFFSET($AK$19,MATCH($B661,$B$19:$B$150,0)-1,0,COUNTA($B$19:$B$24),COUNTA($AK$17:$BB$17)),MATCH($F661,$F$19:$F$24,0),MATCH(BB$17,$AK$17:$BB$17,0))*INDEX($10:$13,MATCH($O661,$R$10:$R$13,0),COLUMN())</f>
        <v>0</v>
      </c>
      <c r="BC661" s="1053">
        <f t="shared" ca="1" si="192"/>
        <v>4.0405928412897758</v>
      </c>
      <c r="BE661" s="1"/>
      <c r="BF661" s="1"/>
      <c r="BG661" s="1"/>
      <c r="BH661" s="1"/>
      <c r="BI661" s="1"/>
      <c r="BJ661" s="1"/>
      <c r="BK661" s="1"/>
      <c r="BL661" s="1"/>
      <c r="BM661" s="1"/>
      <c r="BN661" s="1"/>
      <c r="BO661" s="1"/>
      <c r="BP661" s="1"/>
      <c r="BQ661" s="1"/>
      <c r="BR661" s="1"/>
      <c r="BS661" s="1"/>
      <c r="BT661" s="1"/>
      <c r="BU661" s="1"/>
      <c r="BV661" s="1"/>
      <c r="BW661" s="1"/>
      <c r="BX661" s="1"/>
      <c r="BY661" s="1"/>
      <c r="BZ661" s="1"/>
    </row>
    <row r="662" spans="2:78" ht="12" customHeight="1" outlineLevel="1" x14ac:dyDescent="0.25">
      <c r="B662" s="104" t="s">
        <v>114</v>
      </c>
      <c r="C662" s="104" t="s">
        <v>123</v>
      </c>
      <c r="D662" s="2" t="s">
        <v>152</v>
      </c>
      <c r="E662" s="2" t="s">
        <v>153</v>
      </c>
      <c r="F662" s="105" t="s">
        <v>96</v>
      </c>
      <c r="G662" s="27" t="s">
        <v>1582</v>
      </c>
      <c r="H662" s="106" t="s">
        <v>128</v>
      </c>
      <c r="I662" s="107" t="s">
        <v>1577</v>
      </c>
      <c r="J662" s="147">
        <v>1.91</v>
      </c>
      <c r="K662" s="148">
        <v>1.2788316801138424</v>
      </c>
      <c r="L662" s="149">
        <f t="shared" ca="1" si="190"/>
        <v>4.6601502582561611</v>
      </c>
      <c r="M662" s="148">
        <f t="shared" ca="1" si="191"/>
        <v>7.2383794644625254</v>
      </c>
      <c r="N662" s="163">
        <f t="shared" ca="1" si="189"/>
        <v>5.9595477843486835</v>
      </c>
      <c r="O662" s="1061" t="s">
        <v>1585</v>
      </c>
      <c r="P662" s="104"/>
      <c r="R662" s="119"/>
      <c r="S662" s="1072"/>
      <c r="T662" s="1072"/>
      <c r="U662" s="1072"/>
      <c r="V662" s="1072"/>
      <c r="W662" s="1072"/>
      <c r="X662" s="1072"/>
      <c r="Y662" s="1072"/>
      <c r="Z662" s="1072"/>
      <c r="AA662" s="1072"/>
      <c r="AB662" s="1072"/>
      <c r="AC662" s="1072"/>
      <c r="AD662" s="1072"/>
      <c r="AE662" s="1072"/>
      <c r="AF662" s="1072"/>
      <c r="AG662" s="1072"/>
      <c r="AH662" s="1072"/>
      <c r="AI662" s="1072"/>
      <c r="AJ662" s="1073"/>
      <c r="AK662" s="1052" cm="1">
        <f t="array" aca="1" ref="AK662" ca="1">INDEX(OFFSET($AK$19,MATCH($B662,$B$19:$B$150,0)-1,0,COUNTA($B$19:$B$24),COUNTA($AK$17:$BB$17)),MATCH($F662,$F$19:$F$24,0),MATCH(AK$17,$AK$17:$BB$17,0))*INDEX($10:$13,MATCH($O662,$R$10:$R$13,0),COLUMN())</f>
        <v>0.61526046371903997</v>
      </c>
      <c r="AL662" s="1050" cm="1">
        <f t="array" aca="1" ref="AL662" ca="1">INDEX(OFFSET($AK$19,MATCH($B662,$B$19:$B$150,0)-1,0,COUNTA($B$19:$B$24),COUNTA($AK$17:$BB$17)),MATCH($F662,$F$19:$F$24,0),MATCH(AL$17,$AK$17:$BB$17,0))*INDEX($10:$13,MATCH($O662,$R$10:$R$13,0),COLUMN())</f>
        <v>1.1225765823E-6</v>
      </c>
      <c r="AM662" s="1050" cm="1">
        <f t="array" aca="1" ref="AM662" ca="1">INDEX(OFFSET($AK$19,MATCH($B662,$B$19:$B$150,0)-1,0,COUNTA($B$19:$B$24),COUNTA($AK$17:$BB$17)),MATCH($F662,$F$19:$F$24,0),MATCH(AM$17,$AK$17:$BB$17,0))*INDEX($10:$13,MATCH($O662,$R$10:$R$13,0),COLUMN())</f>
        <v>1.8495695087999999E-3</v>
      </c>
      <c r="AN662" s="1050" cm="1">
        <f t="array" aca="1" ref="AN662" ca="1">INDEX(OFFSET($AK$19,MATCH($B662,$B$19:$B$150,0)-1,0,COUNTA($B$19:$B$24),COUNTA($AK$17:$BB$17)),MATCH($F662,$F$19:$F$24,0),MATCH(AN$17,$AK$17:$BB$17,0))*INDEX($10:$13,MATCH($O662,$R$10:$R$13,0),COLUMN())</f>
        <v>6.915617368E-3</v>
      </c>
      <c r="AO662" s="1050" cm="1">
        <f t="array" aca="1" ref="AO662" ca="1">INDEX(OFFSET($AK$19,MATCH($B662,$B$19:$B$150,0)-1,0,COUNTA($B$19:$B$24),COUNTA($AK$17:$BB$17)),MATCH($F662,$F$19:$F$24,0),MATCH(AO$17,$AK$17:$BB$17,0))*INDEX($10:$13,MATCH($O662,$R$10:$R$13,0),COLUMN())</f>
        <v>0.75598711719999989</v>
      </c>
      <c r="AP662" s="1050" cm="1">
        <f t="array" aca="1" ref="AP662" ca="1">INDEX(OFFSET($AK$19,MATCH($B662,$B$19:$B$150,0)-1,0,COUNTA($B$19:$B$24),COUNTA($AK$17:$BB$17)),MATCH($F662,$F$19:$F$24,0),MATCH(AP$17,$AK$17:$BB$17,0))*INDEX($10:$13,MATCH($O662,$R$10:$R$13,0),COLUMN())</f>
        <v>0.43845389798000001</v>
      </c>
      <c r="AQ662" s="1050" cm="1">
        <f t="array" aca="1" ref="AQ662" ca="1">INDEX(OFFSET($AK$19,MATCH($B662,$B$19:$B$150,0)-1,0,COUNTA($B$19:$B$24),COUNTA($AK$17:$BB$17)),MATCH($F662,$F$19:$F$24,0),MATCH(AQ$17,$AK$17:$BB$17,0))*INDEX($10:$13,MATCH($O662,$R$10:$R$13,0),COLUMN())</f>
        <v>9.7441618819999994E-4</v>
      </c>
      <c r="AR662" s="1050" cm="1">
        <f t="array" aca="1" ref="AR662" ca="1">INDEX(OFFSET($AK$19,MATCH($B662,$B$19:$B$150,0)-1,0,COUNTA($B$19:$B$24),COUNTA($AK$17:$BB$17)),MATCH($F662,$F$19:$F$24,0),MATCH(AR$17,$AK$17:$BB$17,0))*INDEX($10:$13,MATCH($O662,$R$10:$R$13,0),COLUMN())</f>
        <v>6.0539452819999992E-2</v>
      </c>
      <c r="AS662" s="1050" cm="1">
        <f t="array" aca="1" ref="AS662" ca="1">INDEX(OFFSET($AK$19,MATCH($B662,$B$19:$B$150,0)-1,0,COUNTA($B$19:$B$24),COUNTA($AK$17:$BB$17)),MATCH($F662,$F$19:$F$24,0),MATCH(AS$17,$AK$17:$BB$17,0))*INDEX($10:$13,MATCH($O662,$R$10:$R$13,0),COLUMN())</f>
        <v>1.2060189295000001E-2</v>
      </c>
      <c r="AT662" s="1050" cm="1">
        <f t="array" aca="1" ref="AT662" ca="1">INDEX(OFFSET($AK$19,MATCH($B662,$B$19:$B$150,0)-1,0,COUNTA($B$19:$B$24),COUNTA($AK$17:$BB$17)),MATCH($F662,$F$19:$F$24,0),MATCH(AT$17,$AK$17:$BB$17,0))*INDEX($10:$13,MATCH($O662,$R$10:$R$13,0),COLUMN())</f>
        <v>2.2182476147000001E-5</v>
      </c>
      <c r="AU662" s="1050" cm="1">
        <f t="array" aca="1" ref="AU662" ca="1">INDEX(OFFSET($AK$19,MATCH($B662,$B$19:$B$150,0)-1,0,COUNTA($B$19:$B$24),COUNTA($AK$17:$BB$17)),MATCH($F662,$F$19:$F$24,0),MATCH(AU$17,$AK$17:$BB$17,0))*INDEX($10:$13,MATCH($O662,$R$10:$R$13,0),COLUMN())</f>
        <v>4.3922271384000003E-6</v>
      </c>
      <c r="AV662" s="1050" cm="1">
        <f t="array" aca="1" ref="AV662" ca="1">INDEX(OFFSET($AK$19,MATCH($B662,$B$19:$B$150,0)-1,0,COUNTA($B$19:$B$24),COUNTA($AK$17:$BB$17)),MATCH($F662,$F$19:$F$24,0),MATCH(AV$17,$AK$17:$BB$17,0))*INDEX($10:$13,MATCH($O662,$R$10:$R$13,0),COLUMN())</f>
        <v>2.6886521699999999E-2</v>
      </c>
      <c r="AW662" s="1050" cm="1">
        <f t="array" aca="1" ref="AW662" ca="1">INDEX(OFFSET($AK$19,MATCH($B662,$B$19:$B$150,0)-1,0,COUNTA($B$19:$B$24),COUNTA($AK$17:$BB$17)),MATCH($F662,$F$19:$F$24,0),MATCH(AW$17,$AK$17:$BB$17,0))*INDEX($10:$13,MATCH($O662,$R$10:$R$13,0),COLUMN())</f>
        <v>4.0405520970000008</v>
      </c>
      <c r="AX662" s="1050" cm="1">
        <f t="array" aca="1" ref="AX662" ca="1">INDEX(OFFSET($AK$19,MATCH($B662,$B$19:$B$150,0)-1,0,COUNTA($B$19:$B$24),COUNTA($AK$17:$BB$17)),MATCH($F662,$F$19:$F$24,0),MATCH(AX$17,$AK$17:$BB$17,0))*INDEX($10:$13,MATCH($O662,$R$10:$R$13,0),COLUMN())</f>
        <v>1.3851141825000002E-5</v>
      </c>
      <c r="AY662" s="1050" cm="1">
        <f t="array" aca="1" ref="AY662" ca="1">INDEX(OFFSET($AK$19,MATCH($B662,$B$19:$B$150,0)-1,0,COUNTA($B$19:$B$24),COUNTA($AK$17:$BB$17)),MATCH($F662,$F$19:$F$24,0),MATCH(AY$17,$AK$17:$BB$17,0))*INDEX($10:$13,MATCH($O662,$R$10:$R$13,0),COLUMN())</f>
        <v>2.6893147950000001E-5</v>
      </c>
      <c r="AZ662" s="1050" cm="1">
        <f t="array" aca="1" ref="AZ662" ca="1">INDEX(OFFSET($AK$19,MATCH($B662,$B$19:$B$150,0)-1,0,COUNTA($B$19:$B$24),COUNTA($AK$17:$BB$17)),MATCH($F662,$F$19:$F$24,0),MATCH(AZ$17,$AK$17:$BB$17,0))*INDEX($10:$13,MATCH($O662,$R$10:$R$13,0),COLUMN())</f>
        <v>0</v>
      </c>
      <c r="BA662" s="1050" cm="1">
        <f t="array" aca="1" ref="BA662" ca="1">INDEX(OFFSET($AK$19,MATCH($B662,$B$19:$B$150,0)-1,0,COUNTA($B$19:$B$24),COUNTA($AK$17:$BB$17)),MATCH($F662,$F$19:$F$24,0),MATCH(BA$17,$AK$17:$BB$17,0))*INDEX($10:$13,MATCH($O662,$R$10:$R$13,0),COLUMN())</f>
        <v>0</v>
      </c>
      <c r="BB662" s="1051" cm="1">
        <f t="array" aca="1" ref="BB662" ca="1">INDEX(OFFSET($AK$19,MATCH($B662,$B$19:$B$150,0)-1,0,COUNTA($B$19:$B$24),COUNTA($AK$17:$BB$17)),MATCH($F662,$F$19:$F$24,0),MATCH(BB$17,$AK$17:$BB$17,0))*INDEX($10:$13,MATCH($O662,$R$10:$R$13,0),COLUMN())</f>
        <v>0</v>
      </c>
      <c r="BC662" s="1053">
        <f t="shared" ca="1" si="192"/>
        <v>4.0405928412897758</v>
      </c>
      <c r="BE662" s="1"/>
      <c r="BF662" s="1"/>
      <c r="BG662" s="1"/>
      <c r="BH662" s="1"/>
      <c r="BI662" s="1"/>
      <c r="BJ662" s="1"/>
      <c r="BK662" s="1"/>
      <c r="BL662" s="1"/>
      <c r="BM662" s="1"/>
      <c r="BN662" s="1"/>
      <c r="BO662" s="1"/>
      <c r="BP662" s="1"/>
      <c r="BQ662" s="1"/>
      <c r="BR662" s="1"/>
      <c r="BS662" s="1"/>
      <c r="BT662" s="1"/>
      <c r="BU662" s="1"/>
      <c r="BV662" s="1"/>
      <c r="BW662" s="1"/>
      <c r="BX662" s="1"/>
      <c r="BY662" s="1"/>
      <c r="BZ662" s="1"/>
    </row>
    <row r="663" spans="2:78" ht="12" customHeight="1" outlineLevel="1" x14ac:dyDescent="0.25">
      <c r="B663" s="88" t="s">
        <v>2366</v>
      </c>
      <c r="C663" s="88" t="s">
        <v>123</v>
      </c>
      <c r="D663" s="89" t="s">
        <v>154</v>
      </c>
      <c r="E663" s="89" t="s">
        <v>155</v>
      </c>
      <c r="F663" s="90" t="s">
        <v>92</v>
      </c>
      <c r="G663" s="18" t="s">
        <v>126</v>
      </c>
      <c r="H663" s="91" t="s">
        <v>127</v>
      </c>
      <c r="I663" s="92" t="s">
        <v>127</v>
      </c>
      <c r="J663" s="142">
        <v>2.15</v>
      </c>
      <c r="K663" s="143">
        <v>3.63</v>
      </c>
      <c r="L663" s="151">
        <f t="shared" ca="1" si="190"/>
        <v>4.5820326953680874</v>
      </c>
      <c r="M663" s="143">
        <f t="shared" ca="1" si="191"/>
        <v>20.262778684186156</v>
      </c>
      <c r="N663" s="162">
        <f t="shared" ca="1" si="189"/>
        <v>16.632778684186157</v>
      </c>
      <c r="O663" s="1060" t="s">
        <v>1585</v>
      </c>
      <c r="P663" s="88"/>
      <c r="Q663" s="89"/>
      <c r="R663" s="150"/>
      <c r="S663" s="1070"/>
      <c r="T663" s="1070"/>
      <c r="U663" s="1070"/>
      <c r="V663" s="1070"/>
      <c r="W663" s="1070"/>
      <c r="X663" s="1070"/>
      <c r="Y663" s="1070"/>
      <c r="Z663" s="1070"/>
      <c r="AA663" s="1070"/>
      <c r="AB663" s="1070"/>
      <c r="AC663" s="1070"/>
      <c r="AD663" s="1070"/>
      <c r="AE663" s="1070"/>
      <c r="AF663" s="1070"/>
      <c r="AG663" s="1070"/>
      <c r="AH663" s="1070"/>
      <c r="AI663" s="1070"/>
      <c r="AJ663" s="1071"/>
      <c r="AK663" s="1048" cm="1">
        <f t="array" aca="1" ref="AK663" ca="1">INDEX(OFFSET($AK$19,MATCH($B663,$B$19:$B$150,0)-1,0,COUNTA($B$19:$B$24),COUNTA($AK$17:$BB$17)),MATCH($F663,$F$19:$F$24,0),MATCH(AK$17,$AK$17:$BB$17,0))*INDEX($10:$13,MATCH($O663,$R$10:$R$13,0),COLUMN())</f>
        <v>5.9936269700544003</v>
      </c>
      <c r="AL663" s="1046" cm="1">
        <f t="array" aca="1" ref="AL663" ca="1">INDEX(OFFSET($AK$19,MATCH($B663,$B$19:$B$150,0)-1,0,COUNTA($B$19:$B$24),COUNTA($AK$17:$BB$17)),MATCH($F663,$F$19:$F$24,0),MATCH(AL$17,$AK$17:$BB$17,0))*INDEX($10:$13,MATCH($O663,$R$10:$R$13,0),COLUMN())</f>
        <v>1.2538735049E-6</v>
      </c>
      <c r="AM663" s="1046" cm="1">
        <f t="array" aca="1" ref="AM663" ca="1">INDEX(OFFSET($AK$19,MATCH($B663,$B$19:$B$150,0)-1,0,COUNTA($B$19:$B$24),COUNTA($AK$17:$BB$17)),MATCH($F663,$F$19:$F$24,0),MATCH(AM$17,$AK$17:$BB$17,0))*INDEX($10:$13,MATCH($O663,$R$10:$R$13,0),COLUMN())</f>
        <v>2.1244915171999999E-3</v>
      </c>
      <c r="AN663" s="1046" cm="1">
        <f t="array" aca="1" ref="AN663" ca="1">INDEX(OFFSET($AK$19,MATCH($B663,$B$19:$B$150,0)-1,0,COUNTA($B$19:$B$24),COUNTA($AK$17:$BB$17)),MATCH($F663,$F$19:$F$24,0),MATCH(AN$17,$AK$17:$BB$17,0))*INDEX($10:$13,MATCH($O663,$R$10:$R$13,0),COLUMN())</f>
        <v>3.2933613520000002E-2</v>
      </c>
      <c r="AO663" s="1046" cm="1">
        <f t="array" aca="1" ref="AO663" ca="1">INDEX(OFFSET($AK$19,MATCH($B663,$B$19:$B$150,0)-1,0,COUNTA($B$19:$B$24),COUNTA($AK$17:$BB$17)),MATCH($F663,$F$19:$F$24,0),MATCH(AO$17,$AK$17:$BB$17,0))*INDEX($10:$13,MATCH($O663,$R$10:$R$13,0),COLUMN())</f>
        <v>4.0191409675999994</v>
      </c>
      <c r="AP663" s="1046" cm="1">
        <f t="array" aca="1" ref="AP663" ca="1">INDEX(OFFSET($AK$19,MATCH($B663,$B$19:$B$150,0)-1,0,COUNTA($B$19:$B$24),COUNTA($AK$17:$BB$17)),MATCH($F663,$F$19:$F$24,0),MATCH(AP$17,$AK$17:$BB$17,0))*INDEX($10:$13,MATCH($O663,$R$10:$R$13,0),COLUMN())</f>
        <v>2.7137998604</v>
      </c>
      <c r="AQ663" s="1046" cm="1">
        <f t="array" aca="1" ref="AQ663" ca="1">INDEX(OFFSET($AK$19,MATCH($B663,$B$19:$B$150,0)-1,0,COUNTA($B$19:$B$24),COUNTA($AK$17:$BB$17)),MATCH($F663,$F$19:$F$24,0),MATCH(AQ$17,$AK$17:$BB$17,0))*INDEX($10:$13,MATCH($O663,$R$10:$R$13,0),COLUMN())</f>
        <v>6.0858367079999996E-3</v>
      </c>
      <c r="AR663" s="1046" cm="1">
        <f t="array" aca="1" ref="AR663" ca="1">INDEX(OFFSET($AK$19,MATCH($B663,$B$19:$B$150,0)-1,0,COUNTA($B$19:$B$24),COUNTA($AK$17:$BB$17)),MATCH($F663,$F$19:$F$24,0),MATCH(AR$17,$AK$17:$BB$17,0))*INDEX($10:$13,MATCH($O663,$R$10:$R$13,0),COLUMN())</f>
        <v>0.6938479353</v>
      </c>
      <c r="AS663" s="1046" cm="1">
        <f t="array" aca="1" ref="AS663" ca="1">INDEX(OFFSET($AK$19,MATCH($B663,$B$19:$B$150,0)-1,0,COUNTA($B$19:$B$24),COUNTA($AK$17:$BB$17)),MATCH($F663,$F$19:$F$24,0),MATCH(AS$17,$AK$17:$BB$17,0))*INDEX($10:$13,MATCH($O663,$R$10:$R$13,0),COLUMN())</f>
        <v>0.33483688119999999</v>
      </c>
      <c r="AT663" s="1046" cm="1">
        <f t="array" aca="1" ref="AT663" ca="1">INDEX(OFFSET($AK$19,MATCH($B663,$B$19:$B$150,0)-1,0,COUNTA($B$19:$B$24),COUNTA($AK$17:$BB$17)),MATCH($F663,$F$19:$F$24,0),MATCH(AT$17,$AK$17:$BB$17,0))*INDEX($10:$13,MATCH($O663,$R$10:$R$13,0),COLUMN())</f>
        <v>4.1036487389999998E-4</v>
      </c>
      <c r="AU663" s="1046" cm="1">
        <f t="array" aca="1" ref="AU663" ca="1">INDEX(OFFSET($AK$19,MATCH($B663,$B$19:$B$150,0)-1,0,COUNTA($B$19:$B$24),COUNTA($AK$17:$BB$17)),MATCH($F663,$F$19:$F$24,0),MATCH(AU$17,$AK$17:$BB$17,0))*INDEX($10:$13,MATCH($O663,$R$10:$R$13,0),COLUMN())</f>
        <v>3.2173808769000005E-5</v>
      </c>
      <c r="AV663" s="1046" cm="1">
        <f t="array" aca="1" ref="AV663" ca="1">INDEX(OFFSET($AK$19,MATCH($B663,$B$19:$B$150,0)-1,0,COUNTA($B$19:$B$24),COUNTA($AK$17:$BB$17)),MATCH($F663,$F$19:$F$24,0),MATCH(AV$17,$AK$17:$BB$17,0))*INDEX($10:$13,MATCH($O663,$R$10:$R$13,0),COLUMN())</f>
        <v>0.10349869976999999</v>
      </c>
      <c r="AW663" s="1046" cm="1">
        <f t="array" aca="1" ref="AW663" ca="1">INDEX(OFFSET($AK$19,MATCH($B663,$B$19:$B$150,0)-1,0,COUNTA($B$19:$B$24),COUNTA($AK$17:$BB$17)),MATCH($F663,$F$19:$F$24,0),MATCH(AW$17,$AK$17:$BB$17,0))*INDEX($10:$13,MATCH($O663,$R$10:$R$13,0),COLUMN())</f>
        <v>2.6894178190000004</v>
      </c>
      <c r="AX663" s="1046" cm="1">
        <f t="array" aca="1" ref="AX663" ca="1">INDEX(OFFSET($AK$19,MATCH($B663,$B$19:$B$150,0)-1,0,COUNTA($B$19:$B$24),COUNTA($AK$17:$BB$17)),MATCH($F663,$F$19:$F$24,0),MATCH(AX$17,$AK$17:$BB$17,0))*INDEX($10:$13,MATCH($O663,$R$10:$R$13,0),COLUMN())</f>
        <v>3.3965122885000004E-5</v>
      </c>
      <c r="AY663" s="1046" cm="1">
        <f t="array" aca="1" ref="AY663" ca="1">INDEX(OFFSET($AK$19,MATCH($B663,$B$19:$B$150,0)-1,0,COUNTA($B$19:$B$24),COUNTA($AK$17:$BB$17)),MATCH($F663,$F$19:$F$24,0),MATCH(AY$17,$AK$17:$BB$17,0))*INDEX($10:$13,MATCH($O663,$R$10:$R$13,0),COLUMN())</f>
        <v>4.2987851437499995E-2</v>
      </c>
      <c r="AZ663" s="1046" cm="1">
        <f t="array" aca="1" ref="AZ663" ca="1">INDEX(OFFSET($AK$19,MATCH($B663,$B$19:$B$150,0)-1,0,COUNTA($B$19:$B$24),COUNTA($AK$17:$BB$17)),MATCH($F663,$F$19:$F$24,0),MATCH(AZ$17,$AK$17:$BB$17,0))*INDEX($10:$13,MATCH($O663,$R$10:$R$13,0),COLUMN())</f>
        <v>0</v>
      </c>
      <c r="BA663" s="1046" cm="1">
        <f t="array" aca="1" ref="BA663" ca="1">INDEX(OFFSET($AK$19,MATCH($B663,$B$19:$B$150,0)-1,0,COUNTA($B$19:$B$24),COUNTA($AK$17:$BB$17)),MATCH($F663,$F$19:$F$24,0),MATCH(BA$17,$AK$17:$BB$17,0))*INDEX($10:$13,MATCH($O663,$R$10:$R$13,0),COLUMN())</f>
        <v>0</v>
      </c>
      <c r="BB663" s="1047" cm="1">
        <f t="array" aca="1" ref="BB663" ca="1">INDEX(OFFSET($AK$19,MATCH($B663,$B$19:$B$150,0)-1,0,COUNTA($B$19:$B$24),COUNTA($AK$17:$BB$17)),MATCH($F663,$F$19:$F$24,0),MATCH(BB$17,$AK$17:$BB$17,0))*INDEX($10:$13,MATCH($O663,$R$10:$R$13,0),COLUMN())</f>
        <v>0</v>
      </c>
      <c r="BC663" s="1049">
        <f t="shared" ca="1" si="192"/>
        <v>2.7324396355603855</v>
      </c>
      <c r="BE663" s="1"/>
      <c r="BF663" s="1"/>
      <c r="BG663" s="1"/>
      <c r="BH663" s="1"/>
      <c r="BI663" s="1"/>
      <c r="BJ663" s="1"/>
      <c r="BK663" s="1"/>
      <c r="BL663" s="1"/>
      <c r="BM663" s="1"/>
      <c r="BN663" s="1"/>
      <c r="BO663" s="1"/>
      <c r="BP663" s="1"/>
      <c r="BQ663" s="1"/>
      <c r="BR663" s="1"/>
      <c r="BS663" s="1"/>
      <c r="BT663" s="1"/>
      <c r="BU663" s="1"/>
      <c r="BV663" s="1"/>
      <c r="BW663" s="1"/>
      <c r="BX663" s="1"/>
      <c r="BY663" s="1"/>
      <c r="BZ663" s="1"/>
    </row>
    <row r="664" spans="2:78" ht="12" customHeight="1" outlineLevel="1" x14ac:dyDescent="0.25">
      <c r="B664" s="104" t="s">
        <v>2366</v>
      </c>
      <c r="C664" s="104" t="s">
        <v>123</v>
      </c>
      <c r="D664" s="2" t="s">
        <v>154</v>
      </c>
      <c r="E664" s="2" t="s">
        <v>155</v>
      </c>
      <c r="F664" s="105" t="s">
        <v>122</v>
      </c>
      <c r="G664" s="27" t="s">
        <v>1579</v>
      </c>
      <c r="H664" s="106" t="s">
        <v>128</v>
      </c>
      <c r="I664" s="107" t="s">
        <v>129</v>
      </c>
      <c r="J664" s="147">
        <v>2.15</v>
      </c>
      <c r="K664" s="148">
        <v>4.5</v>
      </c>
      <c r="L664" s="149">
        <f t="shared" ca="1" si="190"/>
        <v>4.0069104627336865</v>
      </c>
      <c r="M664" s="148">
        <f t="shared" ca="1" si="191"/>
        <v>22.531097082301589</v>
      </c>
      <c r="N664" s="163">
        <f t="shared" ca="1" si="189"/>
        <v>18.031097082301589</v>
      </c>
      <c r="O664" s="1061" t="s">
        <v>1585</v>
      </c>
      <c r="P664" s="104"/>
      <c r="R664" s="119"/>
      <c r="S664" s="1072"/>
      <c r="T664" s="1072"/>
      <c r="U664" s="1072"/>
      <c r="V664" s="1072"/>
      <c r="W664" s="1072"/>
      <c r="X664" s="1072"/>
      <c r="Y664" s="1072"/>
      <c r="Z664" s="1072"/>
      <c r="AA664" s="1072"/>
      <c r="AB664" s="1072"/>
      <c r="AC664" s="1072"/>
      <c r="AD664" s="1072"/>
      <c r="AE664" s="1072"/>
      <c r="AF664" s="1072"/>
      <c r="AG664" s="1072"/>
      <c r="AH664" s="1072"/>
      <c r="AI664" s="1072"/>
      <c r="AJ664" s="1073"/>
      <c r="AK664" s="1052" cm="1">
        <f t="array" aca="1" ref="AK664" ca="1">INDEX(OFFSET($AK$19,MATCH($B664,$B$19:$B$150,0)-1,0,COUNTA($B$19:$B$24),COUNTA($AK$17:$BB$17)),MATCH($F664,$F$19:$F$24,0),MATCH(AK$17,$AK$17:$BB$17,0))*INDEX($10:$13,MATCH($O664,$R$10:$R$13,0),COLUMN())</f>
        <v>5.3045177767103997</v>
      </c>
      <c r="AL664" s="1050" cm="1">
        <f t="array" aca="1" ref="AL664" ca="1">INDEX(OFFSET($AK$19,MATCH($B664,$B$19:$B$150,0)-1,0,COUNTA($B$19:$B$24),COUNTA($AK$17:$BB$17)),MATCH($F664,$F$19:$F$24,0),MATCH(AL$17,$AK$17:$BB$17,0))*INDEX($10:$13,MATCH($O664,$R$10:$R$13,0),COLUMN())</f>
        <v>1.1343059443000001E-6</v>
      </c>
      <c r="AM664" s="1050" cm="1">
        <f t="array" aca="1" ref="AM664" ca="1">INDEX(OFFSET($AK$19,MATCH($B664,$B$19:$B$150,0)-1,0,COUNTA($B$19:$B$24),COUNTA($AK$17:$BB$17)),MATCH($F664,$F$19:$F$24,0),MATCH(AM$17,$AK$17:$BB$17,0))*INDEX($10:$13,MATCH($O664,$R$10:$R$13,0),COLUMN())</f>
        <v>1.8354102442000001E-3</v>
      </c>
      <c r="AN664" s="1050" cm="1">
        <f t="array" aca="1" ref="AN664" ca="1">INDEX(OFFSET($AK$19,MATCH($B664,$B$19:$B$150,0)-1,0,COUNTA($B$19:$B$24),COUNTA($AK$17:$BB$17)),MATCH($F664,$F$19:$F$24,0),MATCH(AN$17,$AK$17:$BB$17,0))*INDEX($10:$13,MATCH($O664,$R$10:$R$13,0),COLUMN())</f>
        <v>3.7652724080000005E-2</v>
      </c>
      <c r="AO664" s="1050" cm="1">
        <f t="array" aca="1" ref="AO664" ca="1">INDEX(OFFSET($AK$19,MATCH($B664,$B$19:$B$150,0)-1,0,COUNTA($B$19:$B$24),COUNTA($AK$17:$BB$17)),MATCH($F664,$F$19:$F$24,0),MATCH(AO$17,$AK$17:$BB$17,0))*INDEX($10:$13,MATCH($O664,$R$10:$R$13,0),COLUMN())</f>
        <v>4.5085837907999995</v>
      </c>
      <c r="AP664" s="1050" cm="1">
        <f t="array" aca="1" ref="AP664" ca="1">INDEX(OFFSET($AK$19,MATCH($B664,$B$19:$B$150,0)-1,0,COUNTA($B$19:$B$24),COUNTA($AK$17:$BB$17)),MATCH($F664,$F$19:$F$24,0),MATCH(AP$17,$AK$17:$BB$17,0))*INDEX($10:$13,MATCH($O664,$R$10:$R$13,0),COLUMN())</f>
        <v>3.0413541352000002</v>
      </c>
      <c r="AQ664" s="1050" cm="1">
        <f t="array" aca="1" ref="AQ664" ca="1">INDEX(OFFSET($AK$19,MATCH($B664,$B$19:$B$150,0)-1,0,COUNTA($B$19:$B$24),COUNTA($AK$17:$BB$17)),MATCH($F664,$F$19:$F$24,0),MATCH(AQ$17,$AK$17:$BB$17,0))*INDEX($10:$13,MATCH($O664,$R$10:$R$13,0),COLUMN())</f>
        <v>5.6025684269999992E-3</v>
      </c>
      <c r="AR664" s="1050" cm="1">
        <f t="array" aca="1" ref="AR664" ca="1">INDEX(OFFSET($AK$19,MATCH($B664,$B$19:$B$150,0)-1,0,COUNTA($B$19:$B$24),COUNTA($AK$17:$BB$17)),MATCH($F664,$F$19:$F$24,0),MATCH(AR$17,$AK$17:$BB$17,0))*INDEX($10:$13,MATCH($O664,$R$10:$R$13,0),COLUMN())</f>
        <v>0.65153417719999995</v>
      </c>
      <c r="AS664" s="1050" cm="1">
        <f t="array" aca="1" ref="AS664" ca="1">INDEX(OFFSET($AK$19,MATCH($B664,$B$19:$B$150,0)-1,0,COUNTA($B$19:$B$24),COUNTA($AK$17:$BB$17)),MATCH($F664,$F$19:$F$24,0),MATCH(AS$17,$AK$17:$BB$17,0))*INDEX($10:$13,MATCH($O664,$R$10:$R$13,0),COLUMN())</f>
        <v>2.2409351835000001E-2</v>
      </c>
      <c r="AT664" s="1050" cm="1">
        <f t="array" aca="1" ref="AT664" ca="1">INDEX(OFFSET($AK$19,MATCH($B664,$B$19:$B$150,0)-1,0,COUNTA($B$19:$B$24),COUNTA($AK$17:$BB$17)),MATCH($F664,$F$19:$F$24,0),MATCH(AT$17,$AK$17:$BB$17,0))*INDEX($10:$13,MATCH($O664,$R$10:$R$13,0),COLUMN())</f>
        <v>7.1666043399999999E-5</v>
      </c>
      <c r="AU664" s="1050" cm="1">
        <f t="array" aca="1" ref="AU664" ca="1">INDEX(OFFSET($AK$19,MATCH($B664,$B$19:$B$150,0)-1,0,COUNTA($B$19:$B$24),COUNTA($AK$17:$BB$17)),MATCH($F664,$F$19:$F$24,0),MATCH(AU$17,$AK$17:$BB$17,0))*INDEX($10:$13,MATCH($O664,$R$10:$R$13,0),COLUMN())</f>
        <v>1.6344366840000001E-5</v>
      </c>
      <c r="AV664" s="1050" cm="1">
        <f t="array" aca="1" ref="AV664" ca="1">INDEX(OFFSET($AK$19,MATCH($B664,$B$19:$B$150,0)-1,0,COUNTA($B$19:$B$24),COUNTA($AK$17:$BB$17)),MATCH($F664,$F$19:$F$24,0),MATCH(AV$17,$AK$17:$BB$17,0))*INDEX($10:$13,MATCH($O664,$R$10:$R$13,0),COLUMN())</f>
        <v>6.1175440439999999E-2</v>
      </c>
      <c r="AW664" s="1050" cm="1">
        <f t="array" aca="1" ref="AW664" ca="1">INDEX(OFFSET($AK$19,MATCH($B664,$B$19:$B$150,0)-1,0,COUNTA($B$19:$B$24),COUNTA($AK$17:$BB$17)),MATCH($F664,$F$19:$F$24,0),MATCH(AW$17,$AK$17:$BB$17,0))*INDEX($10:$13,MATCH($O664,$R$10:$R$13,0),COLUMN())</f>
        <v>4.3963259585000003</v>
      </c>
      <c r="AX664" s="1050" cm="1">
        <f t="array" aca="1" ref="AX664" ca="1">INDEX(OFFSET($AK$19,MATCH($B664,$B$19:$B$150,0)-1,0,COUNTA($B$19:$B$24),COUNTA($AK$17:$BB$17)),MATCH($F664,$F$19:$F$24,0),MATCH(AX$17,$AK$17:$BB$17,0))*INDEX($10:$13,MATCH($O664,$R$10:$R$13,0),COLUMN())</f>
        <v>1.6955039855E-5</v>
      </c>
      <c r="AY664" s="1050" cm="1">
        <f t="array" aca="1" ref="AY664" ca="1">INDEX(OFFSET($AK$19,MATCH($B664,$B$19:$B$150,0)-1,0,COUNTA($B$19:$B$24),COUNTA($AK$17:$BB$17)),MATCH($F664,$F$19:$F$24,0),MATCH(AY$17,$AK$17:$BB$17,0))*INDEX($10:$13,MATCH($O664,$R$10:$R$13,0),COLUMN())</f>
        <v>-3.5089104450000002E-7</v>
      </c>
      <c r="AZ664" s="1050" cm="1">
        <f t="array" aca="1" ref="AZ664" ca="1">INDEX(OFFSET($AK$19,MATCH($B664,$B$19:$B$150,0)-1,0,COUNTA($B$19:$B$24),COUNTA($AK$17:$BB$17)),MATCH($F664,$F$19:$F$24,0),MATCH(AZ$17,$AK$17:$BB$17,0))*INDEX($10:$13,MATCH($O664,$R$10:$R$13,0),COLUMN())</f>
        <v>0</v>
      </c>
      <c r="BA664" s="1050" cm="1">
        <f t="array" aca="1" ref="BA664" ca="1">INDEX(OFFSET($AK$19,MATCH($B664,$B$19:$B$150,0)-1,0,COUNTA($B$19:$B$24),COUNTA($AK$17:$BB$17)),MATCH($F664,$F$19:$F$24,0),MATCH(BA$17,$AK$17:$BB$17,0))*INDEX($10:$13,MATCH($O664,$R$10:$R$13,0),COLUMN())</f>
        <v>0</v>
      </c>
      <c r="BB664" s="1051" cm="1">
        <f t="array" aca="1" ref="BB664" ca="1">INDEX(OFFSET($AK$19,MATCH($B664,$B$19:$B$150,0)-1,0,COUNTA($B$19:$B$24),COUNTA($AK$17:$BB$17)),MATCH($F664,$F$19:$F$24,0),MATCH(BB$17,$AK$17:$BB$17,0))*INDEX($10:$13,MATCH($O664,$R$10:$R$13,0),COLUMN())</f>
        <v>0</v>
      </c>
      <c r="BC664" s="1053">
        <f t="shared" ca="1" si="192"/>
        <v>4.3963425626488108</v>
      </c>
      <c r="BE664" s="1"/>
      <c r="BF664" s="1"/>
      <c r="BG664" s="1"/>
      <c r="BH664" s="1"/>
      <c r="BI664" s="1"/>
      <c r="BJ664" s="1"/>
      <c r="BK664" s="1"/>
      <c r="BL664" s="1"/>
      <c r="BM664" s="1"/>
      <c r="BN664" s="1"/>
      <c r="BO664" s="1"/>
      <c r="BP664" s="1"/>
      <c r="BQ664" s="1"/>
      <c r="BR664" s="1"/>
      <c r="BS664" s="1"/>
      <c r="BT664" s="1"/>
      <c r="BU664" s="1"/>
      <c r="BV664" s="1"/>
      <c r="BW664" s="1"/>
      <c r="BX664" s="1"/>
      <c r="BY664" s="1"/>
      <c r="BZ664" s="1"/>
    </row>
    <row r="665" spans="2:78" ht="12" customHeight="1" outlineLevel="1" x14ac:dyDescent="0.25">
      <c r="B665" s="104" t="s">
        <v>2366</v>
      </c>
      <c r="C665" s="104" t="s">
        <v>123</v>
      </c>
      <c r="D665" s="2" t="s">
        <v>154</v>
      </c>
      <c r="E665" s="2" t="s">
        <v>155</v>
      </c>
      <c r="F665" s="105" t="s">
        <v>93</v>
      </c>
      <c r="G665" s="27" t="s">
        <v>1578</v>
      </c>
      <c r="H665" s="106" t="s">
        <v>130</v>
      </c>
      <c r="I665" s="107" t="s">
        <v>129</v>
      </c>
      <c r="J665" s="147">
        <v>2.15</v>
      </c>
      <c r="K665" s="148">
        <v>4.5</v>
      </c>
      <c r="L665" s="149">
        <f t="shared" ca="1" si="190"/>
        <v>4.138379595615965</v>
      </c>
      <c r="M665" s="148">
        <f t="shared" ca="1" si="191"/>
        <v>23.122708180271843</v>
      </c>
      <c r="N665" s="163">
        <f t="shared" ca="1" si="189"/>
        <v>18.622708180271843</v>
      </c>
      <c r="O665" s="1061" t="s">
        <v>1585</v>
      </c>
      <c r="P665" s="104"/>
      <c r="R665" s="119"/>
      <c r="S665" s="1072"/>
      <c r="T665" s="1072"/>
      <c r="U665" s="1072"/>
      <c r="V665" s="1072"/>
      <c r="W665" s="1072"/>
      <c r="X665" s="1072"/>
      <c r="Y665" s="1072"/>
      <c r="Z665" s="1072"/>
      <c r="AA665" s="1072"/>
      <c r="AB665" s="1072"/>
      <c r="AC665" s="1072"/>
      <c r="AD665" s="1072"/>
      <c r="AE665" s="1072"/>
      <c r="AF665" s="1072"/>
      <c r="AG665" s="1072"/>
      <c r="AH665" s="1072"/>
      <c r="AI665" s="1072"/>
      <c r="AJ665" s="1073"/>
      <c r="AK665" s="1052" cm="1">
        <f t="array" aca="1" ref="AK665" ca="1">INDEX(OFFSET($AK$19,MATCH($B665,$B$19:$B$150,0)-1,0,COUNTA($B$19:$B$24),COUNTA($AK$17:$BB$17)),MATCH($F665,$F$19:$F$24,0),MATCH(AK$17,$AK$17:$BB$17,0))*INDEX($10:$13,MATCH($O665,$R$10:$R$13,0),COLUMN())</f>
        <v>5.2165511823552002</v>
      </c>
      <c r="AL665" s="1050" cm="1">
        <f t="array" aca="1" ref="AL665" ca="1">INDEX(OFFSET($AK$19,MATCH($B665,$B$19:$B$150,0)-1,0,COUNTA($B$19:$B$24),COUNTA($AK$17:$BB$17)),MATCH($F665,$F$19:$F$24,0),MATCH(AL$17,$AK$17:$BB$17,0))*INDEX($10:$13,MATCH($O665,$R$10:$R$13,0),COLUMN())</f>
        <v>1.1474887034000001E-6</v>
      </c>
      <c r="AM665" s="1050" cm="1">
        <f t="array" aca="1" ref="AM665" ca="1">INDEX(OFFSET($AK$19,MATCH($B665,$B$19:$B$150,0)-1,0,COUNTA($B$19:$B$24),COUNTA($AK$17:$BB$17)),MATCH($F665,$F$19:$F$24,0),MATCH(AM$17,$AK$17:$BB$17,0))*INDEX($10:$13,MATCH($O665,$R$10:$R$13,0),COLUMN())</f>
        <v>1.8559063353999999E-3</v>
      </c>
      <c r="AN665" s="1050" cm="1">
        <f t="array" aca="1" ref="AN665" ca="1">INDEX(OFFSET($AK$19,MATCH($B665,$B$19:$B$150,0)-1,0,COUNTA($B$19:$B$24),COUNTA($AK$17:$BB$17)),MATCH($F665,$F$19:$F$24,0),MATCH(AN$17,$AK$17:$BB$17,0))*INDEX($10:$13,MATCH($O665,$R$10:$R$13,0),COLUMN())</f>
        <v>3.7584340479999999E-2</v>
      </c>
      <c r="AO665" s="1050" cm="1">
        <f t="array" aca="1" ref="AO665" ca="1">INDEX(OFFSET($AK$19,MATCH($B665,$B$19:$B$150,0)-1,0,COUNTA($B$19:$B$24),COUNTA($AK$17:$BB$17)),MATCH($F665,$F$19:$F$24,0),MATCH(AO$17,$AK$17:$BB$17,0))*INDEX($10:$13,MATCH($O665,$R$10:$R$13,0),COLUMN())</f>
        <v>4.3945208068000001</v>
      </c>
      <c r="AP665" s="1050" cm="1">
        <f t="array" aca="1" ref="AP665" ca="1">INDEX(OFFSET($AK$19,MATCH($B665,$B$19:$B$150,0)-1,0,COUNTA($B$19:$B$24),COUNTA($AK$17:$BB$17)),MATCH($F665,$F$19:$F$24,0),MATCH(AP$17,$AK$17:$BB$17,0))*INDEX($10:$13,MATCH($O665,$R$10:$R$13,0),COLUMN())</f>
        <v>2.9602733900000002</v>
      </c>
      <c r="AQ665" s="1050" cm="1">
        <f t="array" aca="1" ref="AQ665" ca="1">INDEX(OFFSET($AK$19,MATCH($B665,$B$19:$B$150,0)-1,0,COUNTA($B$19:$B$24),COUNTA($AK$17:$BB$17)),MATCH($F665,$F$19:$F$24,0),MATCH(AQ$17,$AK$17:$BB$17,0))*INDEX($10:$13,MATCH($O665,$R$10:$R$13,0),COLUMN())</f>
        <v>5.4814495739999997E-3</v>
      </c>
      <c r="AR665" s="1050" cm="1">
        <f t="array" aca="1" ref="AR665" ca="1">INDEX(OFFSET($AK$19,MATCH($B665,$B$19:$B$150,0)-1,0,COUNTA($B$19:$B$24),COUNTA($AK$17:$BB$17)),MATCH($F665,$F$19:$F$24,0),MATCH(AR$17,$AK$17:$BB$17,0))*INDEX($10:$13,MATCH($O665,$R$10:$R$13,0),COLUMN())</f>
        <v>0.64095961739999996</v>
      </c>
      <c r="AS665" s="1050" cm="1">
        <f t="array" aca="1" ref="AS665" ca="1">INDEX(OFFSET($AK$19,MATCH($B665,$B$19:$B$150,0)-1,0,COUNTA($B$19:$B$24),COUNTA($AK$17:$BB$17)),MATCH($F665,$F$19:$F$24,0),MATCH(AS$17,$AK$17:$BB$17,0))*INDEX($10:$13,MATCH($O665,$R$10:$R$13,0),COLUMN())</f>
        <v>2.204135485E-2</v>
      </c>
      <c r="AT665" s="1050" cm="1">
        <f t="array" aca="1" ref="AT665" ca="1">INDEX(OFFSET($AK$19,MATCH($B665,$B$19:$B$150,0)-1,0,COUNTA($B$19:$B$24),COUNTA($AK$17:$BB$17)),MATCH($F665,$F$19:$F$24,0),MATCH(AT$17,$AK$17:$BB$17,0))*INDEX($10:$13,MATCH($O665,$R$10:$R$13,0),COLUMN())</f>
        <v>7.2994557200000006E-5</v>
      </c>
      <c r="AU665" s="1050" cm="1">
        <f t="array" aca="1" ref="AU665" ca="1">INDEX(OFFSET($AK$19,MATCH($B665,$B$19:$B$150,0)-1,0,COUNTA($B$19:$B$24),COUNTA($AK$17:$BB$17)),MATCH($F665,$F$19:$F$24,0),MATCH(AU$17,$AK$17:$BB$17,0))*INDEX($10:$13,MATCH($O665,$R$10:$R$13,0),COLUMN())</f>
        <v>1.6581957660000002E-5</v>
      </c>
      <c r="AV665" s="1050" cm="1">
        <f t="array" aca="1" ref="AV665" ca="1">INDEX(OFFSET($AK$19,MATCH($B665,$B$19:$B$150,0)-1,0,COUNTA($B$19:$B$24),COUNTA($AK$17:$BB$17)),MATCH($F665,$F$19:$F$24,0),MATCH(AV$17,$AK$17:$BB$17,0))*INDEX($10:$13,MATCH($O665,$R$10:$R$13,0),COLUMN())</f>
        <v>6.0683279219999997E-2</v>
      </c>
      <c r="AW665" s="1050" cm="1">
        <f t="array" aca="1" ref="AW665" ca="1">INDEX(OFFSET($AK$19,MATCH($B665,$B$19:$B$150,0)-1,0,COUNTA($B$19:$B$24),COUNTA($AK$17:$BB$17)),MATCH($F665,$F$19:$F$24,0),MATCH(AW$17,$AK$17:$BB$17,0))*INDEX($10:$13,MATCH($O665,$R$10:$R$13,0),COLUMN())</f>
        <v>5.2826497190000001</v>
      </c>
      <c r="AX665" s="1050" cm="1">
        <f t="array" aca="1" ref="AX665" ca="1">INDEX(OFFSET($AK$19,MATCH($B665,$B$19:$B$150,0)-1,0,COUNTA($B$19:$B$24),COUNTA($AK$17:$BB$17)),MATCH($F665,$F$19:$F$24,0),MATCH(AX$17,$AK$17:$BB$17,0))*INDEX($10:$13,MATCH($O665,$R$10:$R$13,0),COLUMN())</f>
        <v>1.6758542810000003E-5</v>
      </c>
      <c r="AY665" s="1050" cm="1">
        <f t="array" aca="1" ref="AY665" ca="1">INDEX(OFFSET($AK$19,MATCH($B665,$B$19:$B$150,0)-1,0,COUNTA($B$19:$B$24),COUNTA($AK$17:$BB$17)),MATCH($F665,$F$19:$F$24,0),MATCH(AY$17,$AK$17:$BB$17,0))*INDEX($10:$13,MATCH($O665,$R$10:$R$13,0),COLUMN())</f>
        <v>-3.4828913193750001E-7</v>
      </c>
      <c r="AZ665" s="1050" cm="1">
        <f t="array" aca="1" ref="AZ665" ca="1">INDEX(OFFSET($AK$19,MATCH($B665,$B$19:$B$150,0)-1,0,COUNTA($B$19:$B$24),COUNTA($AK$17:$BB$17)),MATCH($F665,$F$19:$F$24,0),MATCH(AZ$17,$AK$17:$BB$17,0))*INDEX($10:$13,MATCH($O665,$R$10:$R$13,0),COLUMN())</f>
        <v>0</v>
      </c>
      <c r="BA665" s="1050" cm="1">
        <f t="array" aca="1" ref="BA665" ca="1">INDEX(OFFSET($AK$19,MATCH($B665,$B$19:$B$150,0)-1,0,COUNTA($B$19:$B$24),COUNTA($AK$17:$BB$17)),MATCH($F665,$F$19:$F$24,0),MATCH(BA$17,$AK$17:$BB$17,0))*INDEX($10:$13,MATCH($O665,$R$10:$R$13,0),COLUMN())</f>
        <v>0</v>
      </c>
      <c r="BB665" s="1051" cm="1">
        <f t="array" aca="1" ref="BB665" ca="1">INDEX(OFFSET($AK$19,MATCH($B665,$B$19:$B$150,0)-1,0,COUNTA($B$19:$B$24),COUNTA($AK$17:$BB$17)),MATCH($F665,$F$19:$F$24,0),MATCH(BB$17,$AK$17:$BB$17,0))*INDEX($10:$13,MATCH($O665,$R$10:$R$13,0),COLUMN())</f>
        <v>0</v>
      </c>
      <c r="BC665" s="1053">
        <f t="shared" ca="1" si="192"/>
        <v>5.2826661292536787</v>
      </c>
      <c r="BE665" s="1"/>
      <c r="BF665" s="1"/>
      <c r="BG665" s="1"/>
      <c r="BH665" s="1"/>
      <c r="BI665" s="1"/>
      <c r="BJ665" s="1"/>
      <c r="BK665" s="1"/>
      <c r="BL665" s="1"/>
      <c r="BM665" s="1"/>
      <c r="BN665" s="1"/>
      <c r="BO665" s="1"/>
      <c r="BP665" s="1"/>
      <c r="BQ665" s="1"/>
      <c r="BR665" s="1"/>
      <c r="BS665" s="1"/>
      <c r="BT665" s="1"/>
      <c r="BU665" s="1"/>
      <c r="BV665" s="1"/>
      <c r="BW665" s="1"/>
      <c r="BX665" s="1"/>
      <c r="BY665" s="1"/>
      <c r="BZ665" s="1"/>
    </row>
    <row r="666" spans="2:78" ht="12" customHeight="1" outlineLevel="1" x14ac:dyDescent="0.25">
      <c r="B666" s="104" t="s">
        <v>2366</v>
      </c>
      <c r="C666" s="104" t="s">
        <v>123</v>
      </c>
      <c r="D666" s="2" t="s">
        <v>154</v>
      </c>
      <c r="E666" s="2" t="s">
        <v>155</v>
      </c>
      <c r="F666" s="105" t="s">
        <v>94</v>
      </c>
      <c r="G666" s="27" t="s">
        <v>1580</v>
      </c>
      <c r="H666" s="106" t="s">
        <v>131</v>
      </c>
      <c r="I666" s="107" t="s">
        <v>129</v>
      </c>
      <c r="J666" s="147">
        <v>2.15</v>
      </c>
      <c r="K666" s="148">
        <v>4.5</v>
      </c>
      <c r="L666" s="149">
        <f t="shared" ca="1" si="190"/>
        <v>3.9359466876499543</v>
      </c>
      <c r="M666" s="148">
        <f t="shared" ca="1" si="191"/>
        <v>22.211760094424793</v>
      </c>
      <c r="N666" s="163">
        <f t="shared" ca="1" si="189"/>
        <v>17.711760094424793</v>
      </c>
      <c r="O666" s="1061" t="s">
        <v>1585</v>
      </c>
      <c r="P666" s="104"/>
      <c r="R666" s="119"/>
      <c r="S666" s="1072"/>
      <c r="T666" s="1072"/>
      <c r="U666" s="1072"/>
      <c r="V666" s="1072"/>
      <c r="W666" s="1072"/>
      <c r="X666" s="1072"/>
      <c r="Y666" s="1072"/>
      <c r="Z666" s="1072"/>
      <c r="AA666" s="1072"/>
      <c r="AB666" s="1072"/>
      <c r="AC666" s="1072"/>
      <c r="AD666" s="1072"/>
      <c r="AE666" s="1072"/>
      <c r="AF666" s="1072"/>
      <c r="AG666" s="1072"/>
      <c r="AH666" s="1072"/>
      <c r="AI666" s="1072"/>
      <c r="AJ666" s="1073"/>
      <c r="AK666" s="1052" cm="1">
        <f t="array" aca="1" ref="AK666" ca="1">INDEX(OFFSET($AK$19,MATCH($B666,$B$19:$B$150,0)-1,0,COUNTA($B$19:$B$24),COUNTA($AK$17:$BB$17)),MATCH($F666,$F$19:$F$24,0),MATCH(AK$17,$AK$17:$BB$17,0))*INDEX($10:$13,MATCH($O666,$R$10:$R$13,0),COLUMN())</f>
        <v>5.3917132666751995</v>
      </c>
      <c r="AL666" s="1050" cm="1">
        <f t="array" aca="1" ref="AL666" ca="1">INDEX(OFFSET($AK$19,MATCH($B666,$B$19:$B$150,0)-1,0,COUNTA($B$19:$B$24),COUNTA($AK$17:$BB$17)),MATCH($F666,$F$19:$F$24,0),MATCH(AL$17,$AK$17:$BB$17,0))*INDEX($10:$13,MATCH($O666,$R$10:$R$13,0),COLUMN())</f>
        <v>1.1307335296E-6</v>
      </c>
      <c r="AM666" s="1050" cm="1">
        <f t="array" aca="1" ref="AM666" ca="1">INDEX(OFFSET($AK$19,MATCH($B666,$B$19:$B$150,0)-1,0,COUNTA($B$19:$B$24),COUNTA($AK$17:$BB$17)),MATCH($F666,$F$19:$F$24,0),MATCH(AM$17,$AK$17:$BB$17,0))*INDEX($10:$13,MATCH($O666,$R$10:$R$13,0),COLUMN())</f>
        <v>1.8302065079999999E-3</v>
      </c>
      <c r="AN666" s="1050" cm="1">
        <f t="array" aca="1" ref="AN666" ca="1">INDEX(OFFSET($AK$19,MATCH($B666,$B$19:$B$150,0)-1,0,COUNTA($B$19:$B$24),COUNTA($AK$17:$BB$17)),MATCH($F666,$F$19:$F$24,0),MATCH(AN$17,$AK$17:$BB$17,0))*INDEX($10:$13,MATCH($O666,$R$10:$R$13,0),COLUMN())</f>
        <v>3.7883086560000001E-2</v>
      </c>
      <c r="AO666" s="1050" cm="1">
        <f t="array" aca="1" ref="AO666" ca="1">INDEX(OFFSET($AK$19,MATCH($B666,$B$19:$B$150,0)-1,0,COUNTA($B$19:$B$24),COUNTA($AK$17:$BB$17)),MATCH($F666,$F$19:$F$24,0),MATCH(AO$17,$AK$17:$BB$17,0))*INDEX($10:$13,MATCH($O666,$R$10:$R$13,0),COLUMN())</f>
        <v>4.6095766376</v>
      </c>
      <c r="AP666" s="1050" cm="1">
        <f t="array" aca="1" ref="AP666" ca="1">INDEX(OFFSET($AK$19,MATCH($B666,$B$19:$B$150,0)-1,0,COUNTA($B$19:$B$24),COUNTA($AK$17:$BB$17)),MATCH($F666,$F$19:$F$24,0),MATCH(AP$17,$AK$17:$BB$17,0))*INDEX($10:$13,MATCH($O666,$R$10:$R$13,0),COLUMN())</f>
        <v>3.1123481944000004</v>
      </c>
      <c r="AQ666" s="1050" cm="1">
        <f t="array" aca="1" ref="AQ666" ca="1">INDEX(OFFSET($AK$19,MATCH($B666,$B$19:$B$150,0)-1,0,COUNTA($B$19:$B$24),COUNTA($AK$17:$BB$17)),MATCH($F666,$F$19:$F$24,0),MATCH(AQ$17,$AK$17:$BB$17,0))*INDEX($10:$13,MATCH($O666,$R$10:$R$13,0),COLUMN())</f>
        <v>5.7138574229999997E-3</v>
      </c>
      <c r="AR666" s="1050" cm="1">
        <f t="array" aca="1" ref="AR666" ca="1">INDEX(OFFSET($AK$19,MATCH($B666,$B$19:$B$150,0)-1,0,COUNTA($B$19:$B$24),COUNTA($AK$17:$BB$17)),MATCH($F666,$F$19:$F$24,0),MATCH(AR$17,$AK$17:$BB$17,0))*INDEX($10:$13,MATCH($O666,$R$10:$R$13,0),COLUMN())</f>
        <v>0.66190640039999993</v>
      </c>
      <c r="AS666" s="1050" cm="1">
        <f t="array" aca="1" ref="AS666" ca="1">INDEX(OFFSET($AK$19,MATCH($B666,$B$19:$B$150,0)-1,0,COUNTA($B$19:$B$24),COUNTA($AK$17:$BB$17)),MATCH($F666,$F$19:$F$24,0),MATCH(AS$17,$AK$17:$BB$17,0))*INDEX($10:$13,MATCH($O666,$R$10:$R$13,0),COLUMN())</f>
        <v>2.2772543005E-2</v>
      </c>
      <c r="AT666" s="1050" cm="1">
        <f t="array" aca="1" ref="AT666" ca="1">INDEX(OFFSET($AK$19,MATCH($B666,$B$19:$B$150,0)-1,0,COUNTA($B$19:$B$24),COUNTA($AK$17:$BB$17)),MATCH($F666,$F$19:$F$24,0),MATCH(AT$17,$AK$17:$BB$17,0))*INDEX($10:$13,MATCH($O666,$R$10:$R$13,0),COLUMN())</f>
        <v>7.1101656120000002E-5</v>
      </c>
      <c r="AU666" s="1050" cm="1">
        <f t="array" aca="1" ref="AU666" ca="1">INDEX(OFFSET($AK$19,MATCH($B666,$B$19:$B$150,0)-1,0,COUNTA($B$19:$B$24),COUNTA($AK$17:$BB$17)),MATCH($F666,$F$19:$F$24,0),MATCH(AU$17,$AK$17:$BB$17,0))*INDEX($10:$13,MATCH($O666,$R$10:$R$13,0),COLUMN())</f>
        <v>1.6260537942E-5</v>
      </c>
      <c r="AV666" s="1050" cm="1">
        <f t="array" aca="1" ref="AV666" ca="1">INDEX(OFFSET($AK$19,MATCH($B666,$B$19:$B$150,0)-1,0,COUNTA($B$19:$B$24),COUNTA($AK$17:$BB$17)),MATCH($F666,$F$19:$F$24,0),MATCH(AV$17,$AK$17:$BB$17,0))*INDEX($10:$13,MATCH($O666,$R$10:$R$13,0),COLUMN())</f>
        <v>6.1815223709999999E-2</v>
      </c>
      <c r="AW666" s="1050" cm="1">
        <f t="array" aca="1" ref="AW666" ca="1">INDEX(OFFSET($AK$19,MATCH($B666,$B$19:$B$150,0)-1,0,COUNTA($B$19:$B$24),COUNTA($AK$17:$BB$17)),MATCH($F666,$F$19:$F$24,0),MATCH(AW$17,$AK$17:$BB$17,0))*INDEX($10:$13,MATCH($O666,$R$10:$R$13,0),COLUMN())</f>
        <v>3.8060953660000001</v>
      </c>
      <c r="AX666" s="1050" cm="1">
        <f t="array" aca="1" ref="AX666" ca="1">INDEX(OFFSET($AK$19,MATCH($B666,$B$19:$B$150,0)-1,0,COUNTA($B$19:$B$24),COUNTA($AK$17:$BB$17)),MATCH($F666,$F$19:$F$24,0),MATCH(AX$17,$AK$17:$BB$17,0))*INDEX($10:$13,MATCH($O666,$R$10:$R$13,0),COLUMN())</f>
        <v>1.7173615135000001E-5</v>
      </c>
      <c r="AY666" s="1050" cm="1">
        <f t="array" aca="1" ref="AY666" ca="1">INDEX(OFFSET($AK$19,MATCH($B666,$B$19:$B$150,0)-1,0,COUNTA($B$19:$B$24),COUNTA($AK$17:$BB$17)),MATCH($F666,$F$19:$F$24,0),MATCH(AY$17,$AK$17:$BB$17,0))*INDEX($10:$13,MATCH($O666,$R$10:$R$13,0),COLUMN())</f>
        <v>-3.5439913500000004E-7</v>
      </c>
      <c r="AZ666" s="1050" cm="1">
        <f t="array" aca="1" ref="AZ666" ca="1">INDEX(OFFSET($AK$19,MATCH($B666,$B$19:$B$150,0)-1,0,COUNTA($B$19:$B$24),COUNTA($AK$17:$BB$17)),MATCH($F666,$F$19:$F$24,0),MATCH(AZ$17,$AK$17:$BB$17,0))*INDEX($10:$13,MATCH($O666,$R$10:$R$13,0),COLUMN())</f>
        <v>0</v>
      </c>
      <c r="BA666" s="1050" cm="1">
        <f t="array" aca="1" ref="BA666" ca="1">INDEX(OFFSET($AK$19,MATCH($B666,$B$19:$B$150,0)-1,0,COUNTA($B$19:$B$24),COUNTA($AK$17:$BB$17)),MATCH($F666,$F$19:$F$24,0),MATCH(BA$17,$AK$17:$BB$17,0))*INDEX($10:$13,MATCH($O666,$R$10:$R$13,0),COLUMN())</f>
        <v>0</v>
      </c>
      <c r="BB666" s="1051" cm="1">
        <f t="array" aca="1" ref="BB666" ca="1">INDEX(OFFSET($AK$19,MATCH($B666,$B$19:$B$150,0)-1,0,COUNTA($B$19:$B$24),COUNTA($AK$17:$BB$17)),MATCH($F666,$F$19:$F$24,0),MATCH(BB$17,$AK$17:$BB$17,0))*INDEX($10:$13,MATCH($O666,$R$10:$R$13,0),COLUMN())</f>
        <v>0</v>
      </c>
      <c r="BC666" s="1053">
        <f t="shared" ca="1" si="192"/>
        <v>3.806112185216</v>
      </c>
      <c r="BE666" s="1"/>
      <c r="BF666" s="1"/>
      <c r="BG666" s="1"/>
      <c r="BH666" s="1"/>
      <c r="BI666" s="1"/>
      <c r="BJ666" s="1"/>
      <c r="BK666" s="1"/>
      <c r="BL666" s="1"/>
      <c r="BM666" s="1"/>
      <c r="BN666" s="1"/>
      <c r="BO666" s="1"/>
      <c r="BP666" s="1"/>
      <c r="BQ666" s="1"/>
      <c r="BR666" s="1"/>
      <c r="BS666" s="1"/>
      <c r="BT666" s="1"/>
      <c r="BU666" s="1"/>
      <c r="BV666" s="1"/>
      <c r="BW666" s="1"/>
      <c r="BX666" s="1"/>
      <c r="BY666" s="1"/>
      <c r="BZ666" s="1"/>
    </row>
    <row r="667" spans="2:78" ht="12" customHeight="1" outlineLevel="1" x14ac:dyDescent="0.25">
      <c r="B667" s="104" t="s">
        <v>2366</v>
      </c>
      <c r="C667" s="104" t="s">
        <v>123</v>
      </c>
      <c r="D667" s="2" t="s">
        <v>154</v>
      </c>
      <c r="E667" s="2" t="s">
        <v>155</v>
      </c>
      <c r="F667" s="105" t="s">
        <v>95</v>
      </c>
      <c r="G667" s="27" t="s">
        <v>1581</v>
      </c>
      <c r="H667" s="106" t="s">
        <v>128</v>
      </c>
      <c r="I667" s="107" t="s">
        <v>127</v>
      </c>
      <c r="J667" s="147">
        <v>2.15</v>
      </c>
      <c r="K667" s="148">
        <v>4.5</v>
      </c>
      <c r="L667" s="149">
        <f t="shared" ca="1" si="190"/>
        <v>4.0458352852494475</v>
      </c>
      <c r="M667" s="148">
        <f t="shared" ca="1" si="191"/>
        <v>22.706258783622513</v>
      </c>
      <c r="N667" s="163">
        <f t="shared" ca="1" si="189"/>
        <v>18.206258783622513</v>
      </c>
      <c r="O667" s="1061" t="s">
        <v>1585</v>
      </c>
      <c r="P667" s="104"/>
      <c r="R667" s="119"/>
      <c r="S667" s="1072"/>
      <c r="T667" s="1072"/>
      <c r="U667" s="1072"/>
      <c r="V667" s="1072"/>
      <c r="W667" s="1072"/>
      <c r="X667" s="1072"/>
      <c r="Y667" s="1072"/>
      <c r="Z667" s="1072"/>
      <c r="AA667" s="1072"/>
      <c r="AB667" s="1072"/>
      <c r="AC667" s="1072"/>
      <c r="AD667" s="1072"/>
      <c r="AE667" s="1072"/>
      <c r="AF667" s="1072"/>
      <c r="AG667" s="1072"/>
      <c r="AH667" s="1072"/>
      <c r="AI667" s="1072"/>
      <c r="AJ667" s="1073"/>
      <c r="AK667" s="1052" cm="1">
        <f t="array" aca="1" ref="AK667" ca="1">INDEX(OFFSET($AK$19,MATCH($B667,$B$19:$B$150,0)-1,0,COUNTA($B$19:$B$24),COUNTA($AK$17:$BB$17)),MATCH($F667,$F$19:$F$24,0),MATCH(AK$17,$AK$17:$BB$17,0))*INDEX($10:$13,MATCH($O667,$R$10:$R$13,0),COLUMN())</f>
        <v>5.3337166371263995</v>
      </c>
      <c r="AL667" s="1050" cm="1">
        <f t="array" aca="1" ref="AL667" ca="1">INDEX(OFFSET($AK$19,MATCH($B667,$B$19:$B$150,0)-1,0,COUNTA($B$19:$B$24),COUNTA($AK$17:$BB$17)),MATCH($F667,$F$19:$F$24,0),MATCH(AL$17,$AK$17:$BB$17,0))*INDEX($10:$13,MATCH($O667,$R$10:$R$13,0),COLUMN())</f>
        <v>1.1358407788000001E-6</v>
      </c>
      <c r="AM667" s="1050" cm="1">
        <f t="array" aca="1" ref="AM667" ca="1">INDEX(OFFSET($AK$19,MATCH($B667,$B$19:$B$150,0)-1,0,COUNTA($B$19:$B$24),COUNTA($AK$17:$BB$17)),MATCH($F667,$F$19:$F$24,0),MATCH(AM$17,$AK$17:$BB$17,0))*INDEX($10:$13,MATCH($O667,$R$10:$R$13,0),COLUMN())</f>
        <v>1.8378542702000001E-3</v>
      </c>
      <c r="AN667" s="1050" cm="1">
        <f t="array" aca="1" ref="AN667" ca="1">INDEX(OFFSET($AK$19,MATCH($B667,$B$19:$B$150,0)-1,0,COUNTA($B$19:$B$24),COUNTA($AK$17:$BB$17)),MATCH($F667,$F$19:$F$24,0),MATCH(AN$17,$AK$17:$BB$17,0))*INDEX($10:$13,MATCH($O667,$R$10:$R$13,0),COLUMN())</f>
        <v>3.7971307200000005E-2</v>
      </c>
      <c r="AO667" s="1050" cm="1">
        <f t="array" aca="1" ref="AO667" ca="1">INDEX(OFFSET($AK$19,MATCH($B667,$B$19:$B$150,0)-1,0,COUNTA($B$19:$B$24),COUNTA($AK$17:$BB$17)),MATCH($F667,$F$19:$F$24,0),MATCH(AO$17,$AK$17:$BB$17,0))*INDEX($10:$13,MATCH($O667,$R$10:$R$13,0),COLUMN())</f>
        <v>4.5758248760000004</v>
      </c>
      <c r="AP667" s="1050" cm="1">
        <f t="array" aca="1" ref="AP667" ca="1">INDEX(OFFSET($AK$19,MATCH($B667,$B$19:$B$150,0)-1,0,COUNTA($B$19:$B$24),COUNTA($AK$17:$BB$17)),MATCH($F667,$F$19:$F$24,0),MATCH(AP$17,$AK$17:$BB$17,0))*INDEX($10:$13,MATCH($O667,$R$10:$R$13,0),COLUMN())</f>
        <v>3.0883724909999999</v>
      </c>
      <c r="AQ667" s="1050" cm="1">
        <f t="array" aca="1" ref="AQ667" ca="1">INDEX(OFFSET($AK$19,MATCH($B667,$B$19:$B$150,0)-1,0,COUNTA($B$19:$B$24),COUNTA($AK$17:$BB$17)),MATCH($F667,$F$19:$F$24,0),MATCH(AQ$17,$AK$17:$BB$17,0))*INDEX($10:$13,MATCH($O667,$R$10:$R$13,0),COLUMN())</f>
        <v>6.0339433679999993E-3</v>
      </c>
      <c r="AR667" s="1050" cm="1">
        <f t="array" aca="1" ref="AR667" ca="1">INDEX(OFFSET($AK$19,MATCH($B667,$B$19:$B$150,0)-1,0,COUNTA($B$19:$B$24),COUNTA($AK$17:$BB$17)),MATCH($F667,$F$19:$F$24,0),MATCH(AR$17,$AK$17:$BB$17,0))*INDEX($10:$13,MATCH($O667,$R$10:$R$13,0),COLUMN())</f>
        <v>0.66250069029999992</v>
      </c>
      <c r="AS667" s="1050" cm="1">
        <f t="array" aca="1" ref="AS667" ca="1">INDEX(OFFSET($AK$19,MATCH($B667,$B$19:$B$150,0)-1,0,COUNTA($B$19:$B$24),COUNTA($AK$17:$BB$17)),MATCH($F667,$F$19:$F$24,0),MATCH(AS$17,$AK$17:$BB$17,0))*INDEX($10:$13,MATCH($O667,$R$10:$R$13,0),COLUMN())</f>
        <v>2.9347465284999999E-2</v>
      </c>
      <c r="AT667" s="1050" cm="1">
        <f t="array" aca="1" ref="AT667" ca="1">INDEX(OFFSET($AK$19,MATCH($B667,$B$19:$B$150,0)-1,0,COUNTA($B$19:$B$24),COUNTA($AK$17:$BB$17)),MATCH($F667,$F$19:$F$24,0),MATCH(AT$17,$AK$17:$BB$17,0))*INDEX($10:$13,MATCH($O667,$R$10:$R$13,0),COLUMN())</f>
        <v>7.7036704200000001E-5</v>
      </c>
      <c r="AU667" s="1050" cm="1">
        <f t="array" aca="1" ref="AU667" ca="1">INDEX(OFFSET($AK$19,MATCH($B667,$B$19:$B$150,0)-1,0,COUNTA($B$19:$B$24),COUNTA($AK$17:$BB$17)),MATCH($F667,$F$19:$F$24,0),MATCH(AU$17,$AK$17:$BB$17,0))*INDEX($10:$13,MATCH($O667,$R$10:$R$13,0),COLUMN())</f>
        <v>1.7173329129000004E-5</v>
      </c>
      <c r="AV667" s="1050" cm="1">
        <f t="array" aca="1" ref="AV667" ca="1">INDEX(OFFSET($AK$19,MATCH($B667,$B$19:$B$150,0)-1,0,COUNTA($B$19:$B$24),COUNTA($AK$17:$BB$17)),MATCH($F667,$F$19:$F$24,0),MATCH(AV$17,$AK$17:$BB$17,0))*INDEX($10:$13,MATCH($O667,$R$10:$R$13,0),COLUMN())</f>
        <v>7.4215610550000005E-2</v>
      </c>
      <c r="AW667" s="1050" cm="1">
        <f t="array" aca="1" ref="AW667" ca="1">INDEX(OFFSET($AK$19,MATCH($B667,$B$19:$B$150,0)-1,0,COUNTA($B$19:$B$24),COUNTA($AK$17:$BB$17)),MATCH($F667,$F$19:$F$24,0),MATCH(AW$17,$AK$17:$BB$17,0))*INDEX($10:$13,MATCH($O667,$R$10:$R$13,0),COLUMN())</f>
        <v>4.3963259585000003</v>
      </c>
      <c r="AX667" s="1050" cm="1">
        <f t="array" aca="1" ref="AX667" ca="1">INDEX(OFFSET($AK$19,MATCH($B667,$B$19:$B$150,0)-1,0,COUNTA($B$19:$B$24),COUNTA($AK$17:$BB$17)),MATCH($F667,$F$19:$F$24,0),MATCH(AX$17,$AK$17:$BB$17,0))*INDEX($10:$13,MATCH($O667,$R$10:$R$13,0),COLUMN())</f>
        <v>1.6955039855E-5</v>
      </c>
      <c r="AY667" s="1050" cm="1">
        <f t="array" aca="1" ref="AY667" ca="1">INDEX(OFFSET($AK$19,MATCH($B667,$B$19:$B$150,0)-1,0,COUNTA($B$19:$B$24),COUNTA($AK$17:$BB$17)),MATCH($F667,$F$19:$F$24,0),MATCH(AY$17,$AK$17:$BB$17,0))*INDEX($10:$13,MATCH($O667,$R$10:$R$13,0),COLUMN())</f>
        <v>-3.5089104450000002E-7</v>
      </c>
      <c r="AZ667" s="1050" cm="1">
        <f t="array" aca="1" ref="AZ667" ca="1">INDEX(OFFSET($AK$19,MATCH($B667,$B$19:$B$150,0)-1,0,COUNTA($B$19:$B$24),COUNTA($AK$17:$BB$17)),MATCH($F667,$F$19:$F$24,0),MATCH(AZ$17,$AK$17:$BB$17,0))*INDEX($10:$13,MATCH($O667,$R$10:$R$13,0),COLUMN())</f>
        <v>0</v>
      </c>
      <c r="BA667" s="1050" cm="1">
        <f t="array" aca="1" ref="BA667" ca="1">INDEX(OFFSET($AK$19,MATCH($B667,$B$19:$B$150,0)-1,0,COUNTA($B$19:$B$24),COUNTA($AK$17:$BB$17)),MATCH($F667,$F$19:$F$24,0),MATCH(BA$17,$AK$17:$BB$17,0))*INDEX($10:$13,MATCH($O667,$R$10:$R$13,0),COLUMN())</f>
        <v>0</v>
      </c>
      <c r="BB667" s="1051" cm="1">
        <f t="array" aca="1" ref="BB667" ca="1">INDEX(OFFSET($AK$19,MATCH($B667,$B$19:$B$150,0)-1,0,COUNTA($B$19:$B$24),COUNTA($AK$17:$BB$17)),MATCH($F667,$F$19:$F$24,0),MATCH(BB$17,$AK$17:$BB$17,0))*INDEX($10:$13,MATCH($O667,$R$10:$R$13,0),COLUMN())</f>
        <v>0</v>
      </c>
      <c r="BC667" s="1053">
        <f t="shared" ca="1" si="192"/>
        <v>4.3963425626488108</v>
      </c>
      <c r="BE667" s="1"/>
      <c r="BF667" s="1"/>
      <c r="BG667" s="1"/>
      <c r="BH667" s="1"/>
      <c r="BI667" s="1"/>
      <c r="BJ667" s="1"/>
      <c r="BK667" s="1"/>
      <c r="BL667" s="1"/>
      <c r="BM667" s="1"/>
      <c r="BN667" s="1"/>
      <c r="BO667" s="1"/>
      <c r="BP667" s="1"/>
      <c r="BQ667" s="1"/>
      <c r="BR667" s="1"/>
      <c r="BS667" s="1"/>
      <c r="BT667" s="1"/>
      <c r="BU667" s="1"/>
      <c r="BV667" s="1"/>
      <c r="BW667" s="1"/>
      <c r="BX667" s="1"/>
      <c r="BY667" s="1"/>
      <c r="BZ667" s="1"/>
    </row>
    <row r="668" spans="2:78" ht="12" customHeight="1" outlineLevel="1" x14ac:dyDescent="0.25">
      <c r="B668" s="104" t="s">
        <v>2366</v>
      </c>
      <c r="C668" s="104" t="s">
        <v>123</v>
      </c>
      <c r="D668" s="2" t="s">
        <v>154</v>
      </c>
      <c r="E668" s="2" t="s">
        <v>155</v>
      </c>
      <c r="F668" s="105" t="s">
        <v>96</v>
      </c>
      <c r="G668" s="27" t="s">
        <v>1582</v>
      </c>
      <c r="H668" s="106" t="s">
        <v>128</v>
      </c>
      <c r="I668" s="107" t="s">
        <v>1577</v>
      </c>
      <c r="J668" s="147">
        <v>2.15</v>
      </c>
      <c r="K668" s="148">
        <v>4.5</v>
      </c>
      <c r="L668" s="149">
        <f t="shared" ca="1" si="190"/>
        <v>4.5513374987531261</v>
      </c>
      <c r="M668" s="148">
        <f t="shared" ca="1" si="191"/>
        <v>24.981018744389068</v>
      </c>
      <c r="N668" s="163">
        <f t="shared" ca="1" si="189"/>
        <v>20.481018744389068</v>
      </c>
      <c r="O668" s="1061" t="s">
        <v>1585</v>
      </c>
      <c r="P668" s="104"/>
      <c r="R668" s="119"/>
      <c r="S668" s="1072"/>
      <c r="T668" s="1072"/>
      <c r="U668" s="1072"/>
      <c r="V668" s="1072"/>
      <c r="W668" s="1072"/>
      <c r="X668" s="1072"/>
      <c r="Y668" s="1072"/>
      <c r="Z668" s="1072"/>
      <c r="AA668" s="1072"/>
      <c r="AB668" s="1072"/>
      <c r="AC668" s="1072"/>
      <c r="AD668" s="1072"/>
      <c r="AE668" s="1072"/>
      <c r="AF668" s="1072"/>
      <c r="AG668" s="1072"/>
      <c r="AH668" s="1072"/>
      <c r="AI668" s="1072"/>
      <c r="AJ668" s="1073"/>
      <c r="AK668" s="1052" cm="1">
        <f t="array" aca="1" ref="AK668" ca="1">INDEX(OFFSET($AK$19,MATCH($B668,$B$19:$B$150,0)-1,0,COUNTA($B$19:$B$24),COUNTA($AK$17:$BB$17)),MATCH($F668,$F$19:$F$24,0),MATCH(AK$17,$AK$17:$BB$17,0))*INDEX($10:$13,MATCH($O668,$R$10:$R$13,0),COLUMN())</f>
        <v>5.6797673737535996</v>
      </c>
      <c r="AL668" s="1050" cm="1">
        <f t="array" aca="1" ref="AL668" ca="1">INDEX(OFFSET($AK$19,MATCH($B668,$B$19:$B$150,0)-1,0,COUNTA($B$19:$B$24),COUNTA($AK$17:$BB$17)),MATCH($F668,$F$19:$F$24,0),MATCH(AL$17,$AK$17:$BB$17,0))*INDEX($10:$13,MATCH($O668,$R$10:$R$13,0),COLUMN())</f>
        <v>1.1368424314E-6</v>
      </c>
      <c r="AM668" s="1050" cm="1">
        <f t="array" aca="1" ref="AM668" ca="1">INDEX(OFFSET($AK$19,MATCH($B668,$B$19:$B$150,0)-1,0,COUNTA($B$19:$B$24),COUNTA($AK$17:$BB$17)),MATCH($F668,$F$19:$F$24,0),MATCH(AM$17,$AK$17:$BB$17,0))*INDEX($10:$13,MATCH($O668,$R$10:$R$13,0),COLUMN())</f>
        <v>1.8394492557999998E-3</v>
      </c>
      <c r="AN668" s="1050" cm="1">
        <f t="array" aca="1" ref="AN668" ca="1">INDEX(OFFSET($AK$19,MATCH($B668,$B$19:$B$150,0)-1,0,COUNTA($B$19:$B$24),COUNTA($AK$17:$BB$17)),MATCH($F668,$F$19:$F$24,0),MATCH(AN$17,$AK$17:$BB$17,0))*INDEX($10:$13,MATCH($O668,$R$10:$R$13,0),COLUMN())</f>
        <v>3.8179218000000001E-2</v>
      </c>
      <c r="AO668" s="1050" cm="1">
        <f t="array" aca="1" ref="AO668" ca="1">INDEX(OFFSET($AK$19,MATCH($B668,$B$19:$B$150,0)-1,0,COUNTA($B$19:$B$24),COUNTA($AK$17:$BB$17)),MATCH($F668,$F$19:$F$24,0),MATCH(AO$17,$AK$17:$BB$17,0))*INDEX($10:$13,MATCH($O668,$R$10:$R$13,0),COLUMN())</f>
        <v>5.5332615159999996</v>
      </c>
      <c r="AP668" s="1050" cm="1">
        <f t="array" aca="1" ref="AP668" ca="1">INDEX(OFFSET($AK$19,MATCH($B668,$B$19:$B$150,0)-1,0,COUNTA($B$19:$B$24),COUNTA($AK$17:$BB$17)),MATCH($F668,$F$19:$F$24,0),MATCH(AP$17,$AK$17:$BB$17,0))*INDEX($10:$13,MATCH($O668,$R$10:$R$13,0),COLUMN())</f>
        <v>3.7744928032000002</v>
      </c>
      <c r="AQ668" s="1050" cm="1">
        <f t="array" aca="1" ref="AQ668" ca="1">INDEX(OFFSET($AK$19,MATCH($B668,$B$19:$B$150,0)-1,0,COUNTA($B$19:$B$24),COUNTA($AK$17:$BB$17)),MATCH($F668,$F$19:$F$24,0),MATCH(AQ$17,$AK$17:$BB$17,0))*INDEX($10:$13,MATCH($O668,$R$10:$R$13,0),COLUMN())</f>
        <v>9.4225016659999997E-3</v>
      </c>
      <c r="AR668" s="1050" cm="1">
        <f t="array" aca="1" ref="AR668" ca="1">INDEX(OFFSET($AK$19,MATCH($B668,$B$19:$B$150,0)-1,0,COUNTA($B$19:$B$24),COUNTA($AK$17:$BB$17)),MATCH($F668,$F$19:$F$24,0),MATCH(AR$17,$AK$17:$BB$17,0))*INDEX($10:$13,MATCH($O668,$R$10:$R$13,0),COLUMN())</f>
        <v>0.82411016089999989</v>
      </c>
      <c r="AS668" s="1050" cm="1">
        <f t="array" aca="1" ref="AS668" ca="1">INDEX(OFFSET($AK$19,MATCH($B668,$B$19:$B$150,0)-1,0,COUNTA($B$19:$B$24),COUNTA($AK$17:$BB$17)),MATCH($F668,$F$19:$F$24,0),MATCH(AS$17,$AK$17:$BB$17,0))*INDEX($10:$13,MATCH($O668,$R$10:$R$13,0),COLUMN())</f>
        <v>5.8200684165000002E-2</v>
      </c>
      <c r="AT668" s="1050" cm="1">
        <f t="array" aca="1" ref="AT668" ca="1">INDEX(OFFSET($AK$19,MATCH($B668,$B$19:$B$150,0)-1,0,COUNTA($B$19:$B$24),COUNTA($AK$17:$BB$17)),MATCH($F668,$F$19:$F$24,0),MATCH(AT$17,$AK$17:$BB$17,0))*INDEX($10:$13,MATCH($O668,$R$10:$R$13,0),COLUMN())</f>
        <v>8.900362702000001E-5</v>
      </c>
      <c r="AU668" s="1050" cm="1">
        <f t="array" aca="1" ref="AU668" ca="1">INDEX(OFFSET($AK$19,MATCH($B668,$B$19:$B$150,0)-1,0,COUNTA($B$19:$B$24),COUNTA($AK$17:$BB$17)),MATCH($F668,$F$19:$F$24,0),MATCH(AU$17,$AK$17:$BB$17,0))*INDEX($10:$13,MATCH($O668,$R$10:$R$13,0),COLUMN())</f>
        <v>1.8738430407000004E-5</v>
      </c>
      <c r="AV668" s="1050" cm="1">
        <f t="array" aca="1" ref="AV668" ca="1">INDEX(OFFSET($AK$19,MATCH($B668,$B$19:$B$150,0)-1,0,COUNTA($B$19:$B$24),COUNTA($AK$17:$BB$17)),MATCH($F668,$F$19:$F$24,0),MATCH(AV$17,$AK$17:$BB$17,0))*INDEX($10:$13,MATCH($O668,$R$10:$R$13,0),COLUMN())</f>
        <v>0.16529359590000001</v>
      </c>
      <c r="AW668" s="1050" cm="1">
        <f t="array" aca="1" ref="AW668" ca="1">INDEX(OFFSET($AK$19,MATCH($B668,$B$19:$B$150,0)-1,0,COUNTA($B$19:$B$24),COUNTA($AK$17:$BB$17)),MATCH($F668,$F$19:$F$24,0),MATCH(AW$17,$AK$17:$BB$17,0))*INDEX($10:$13,MATCH($O668,$R$10:$R$13,0),COLUMN())</f>
        <v>4.3963259585000003</v>
      </c>
      <c r="AX668" s="1050" cm="1">
        <f t="array" aca="1" ref="AX668" ca="1">INDEX(OFFSET($AK$19,MATCH($B668,$B$19:$B$150,0)-1,0,COUNTA($B$19:$B$24),COUNTA($AK$17:$BB$17)),MATCH($F668,$F$19:$F$24,0),MATCH(AX$17,$AK$17:$BB$17,0))*INDEX($10:$13,MATCH($O668,$R$10:$R$13,0),COLUMN())</f>
        <v>1.6955039855E-5</v>
      </c>
      <c r="AY668" s="1050" cm="1">
        <f t="array" aca="1" ref="AY668" ca="1">INDEX(OFFSET($AK$19,MATCH($B668,$B$19:$B$150,0)-1,0,COUNTA($B$19:$B$24),COUNTA($AK$17:$BB$17)),MATCH($F668,$F$19:$F$24,0),MATCH(AY$17,$AK$17:$BB$17,0))*INDEX($10:$13,MATCH($O668,$R$10:$R$13,0),COLUMN())</f>
        <v>-3.5089104450000002E-7</v>
      </c>
      <c r="AZ668" s="1050" cm="1">
        <f t="array" aca="1" ref="AZ668" ca="1">INDEX(OFFSET($AK$19,MATCH($B668,$B$19:$B$150,0)-1,0,COUNTA($B$19:$B$24),COUNTA($AK$17:$BB$17)),MATCH($F668,$F$19:$F$24,0),MATCH(AZ$17,$AK$17:$BB$17,0))*INDEX($10:$13,MATCH($O668,$R$10:$R$13,0),COLUMN())</f>
        <v>0</v>
      </c>
      <c r="BA668" s="1050" cm="1">
        <f t="array" aca="1" ref="BA668" ca="1">INDEX(OFFSET($AK$19,MATCH($B668,$B$19:$B$150,0)-1,0,COUNTA($B$19:$B$24),COUNTA($AK$17:$BB$17)),MATCH($F668,$F$19:$F$24,0),MATCH(BA$17,$AK$17:$BB$17,0))*INDEX($10:$13,MATCH($O668,$R$10:$R$13,0),COLUMN())</f>
        <v>0</v>
      </c>
      <c r="BB668" s="1051" cm="1">
        <f t="array" aca="1" ref="BB668" ca="1">INDEX(OFFSET($AK$19,MATCH($B668,$B$19:$B$150,0)-1,0,COUNTA($B$19:$B$24),COUNTA($AK$17:$BB$17)),MATCH($F668,$F$19:$F$24,0),MATCH(BB$17,$AK$17:$BB$17,0))*INDEX($10:$13,MATCH($O668,$R$10:$R$13,0),COLUMN())</f>
        <v>0</v>
      </c>
      <c r="BC668" s="1053">
        <f t="shared" ca="1" si="192"/>
        <v>4.3963425626488108</v>
      </c>
      <c r="BE668" s="1"/>
      <c r="BF668" s="1"/>
      <c r="BG668" s="1"/>
      <c r="BH668" s="1"/>
      <c r="BI668" s="1"/>
      <c r="BJ668" s="1"/>
      <c r="BK668" s="1"/>
      <c r="BL668" s="1"/>
      <c r="BM668" s="1"/>
      <c r="BN668" s="1"/>
      <c r="BO668" s="1"/>
      <c r="BP668" s="1"/>
      <c r="BQ668" s="1"/>
      <c r="BR668" s="1"/>
      <c r="BS668" s="1"/>
      <c r="BT668" s="1"/>
      <c r="BU668" s="1"/>
      <c r="BV668" s="1"/>
      <c r="BW668" s="1"/>
      <c r="BX668" s="1"/>
      <c r="BY668" s="1"/>
      <c r="BZ668" s="1"/>
    </row>
    <row r="669" spans="2:78" ht="12" customHeight="1" outlineLevel="1" x14ac:dyDescent="0.25">
      <c r="B669" s="88" t="s">
        <v>115</v>
      </c>
      <c r="C669" s="88" t="s">
        <v>124</v>
      </c>
      <c r="D669" s="89" t="s">
        <v>154</v>
      </c>
      <c r="E669" s="89" t="s">
        <v>115</v>
      </c>
      <c r="F669" s="90" t="s">
        <v>92</v>
      </c>
      <c r="G669" s="18" t="s">
        <v>126</v>
      </c>
      <c r="H669" s="91" t="s">
        <v>127</v>
      </c>
      <c r="I669" s="92" t="s">
        <v>127</v>
      </c>
      <c r="J669" s="142">
        <v>0.64</v>
      </c>
      <c r="K669" s="143">
        <v>0.35299999999999998</v>
      </c>
      <c r="L669" s="151">
        <f t="shared" ref="L669:L723" ca="1" si="193">IFERROR(N669/K669,"?")</f>
        <v>3.9322936104284305</v>
      </c>
      <c r="M669" s="143">
        <f t="shared" ref="M669:M723" ca="1" si="194">IFERROR(K669+N669,"?")</f>
        <v>1.7410996444812359</v>
      </c>
      <c r="N669" s="162">
        <f t="shared" ref="N669:N732" ca="1" si="195">SUMIFS($S669:$BB669,$S$14:$BB$14,$D$13)</f>
        <v>1.3880996444812359</v>
      </c>
      <c r="O669" s="1060" t="s">
        <v>1585</v>
      </c>
      <c r="P669" s="88"/>
      <c r="Q669" s="89"/>
      <c r="R669" s="150"/>
      <c r="S669" s="1070"/>
      <c r="T669" s="1070"/>
      <c r="U669" s="1070"/>
      <c r="V669" s="1070"/>
      <c r="W669" s="1070"/>
      <c r="X669" s="1070"/>
      <c r="Y669" s="1070"/>
      <c r="Z669" s="1070"/>
      <c r="AA669" s="1070"/>
      <c r="AB669" s="1070"/>
      <c r="AC669" s="1070"/>
      <c r="AD669" s="1070"/>
      <c r="AE669" s="1070"/>
      <c r="AF669" s="1070"/>
      <c r="AG669" s="1070"/>
      <c r="AH669" s="1070"/>
      <c r="AI669" s="1070"/>
      <c r="AJ669" s="1071"/>
      <c r="AK669" s="1048" cm="1">
        <f t="array" aca="1" ref="AK669" ca="1">INDEX(OFFSET($AK$19,MATCH($B669,$B$19:$B$150,0)-1,0,COUNTA($B$19:$B$24),COUNTA($AK$17:$BB$17)),MATCH($F669,$F$19:$F$24,0),MATCH(AK$17,$AK$17:$BB$17,0))*INDEX($10:$13,MATCH($O669,$R$10:$R$13,0),COLUMN())</f>
        <v>0.51162103551936</v>
      </c>
      <c r="AL669" s="1046" cm="1">
        <f t="array" aca="1" ref="AL669" ca="1">INDEX(OFFSET($AK$19,MATCH($B669,$B$19:$B$150,0)-1,0,COUNTA($B$19:$B$24),COUNTA($AK$17:$BB$17)),MATCH($F669,$F$19:$F$24,0),MATCH(AL$17,$AK$17:$BB$17,0))*INDEX($10:$13,MATCH($O669,$R$10:$R$13,0),COLUMN())</f>
        <v>2.3510851248000001E-7</v>
      </c>
      <c r="AM669" s="1046" cm="1">
        <f t="array" aca="1" ref="AM669" ca="1">INDEX(OFFSET($AK$19,MATCH($B669,$B$19:$B$150,0)-1,0,COUNTA($B$19:$B$24),COUNTA($AK$17:$BB$17)),MATCH($F669,$F$19:$F$24,0),MATCH(AM$17,$AK$17:$BB$17,0))*INDEX($10:$13,MATCH($O669,$R$10:$R$13,0),COLUMN())</f>
        <v>3.9518374922000002E-4</v>
      </c>
      <c r="AN669" s="1046" cm="1">
        <f t="array" aca="1" ref="AN669" ca="1">INDEX(OFFSET($AK$19,MATCH($B669,$B$19:$B$150,0)-1,0,COUNTA($B$19:$B$24),COUNTA($AK$17:$BB$17)),MATCH($F669,$F$19:$F$24,0),MATCH(AN$17,$AK$17:$BB$17,0))*INDEX($10:$13,MATCH($O669,$R$10:$R$13,0),COLUMN())</f>
        <v>2.284786328E-3</v>
      </c>
      <c r="AO669" s="1046" cm="1">
        <f t="array" aca="1" ref="AO669" ca="1">INDEX(OFFSET($AK$19,MATCH($B669,$B$19:$B$150,0)-1,0,COUNTA($B$19:$B$24),COUNTA($AK$17:$BB$17)),MATCH($F669,$F$19:$F$24,0),MATCH(AO$17,$AK$17:$BB$17,0))*INDEX($10:$13,MATCH($O669,$R$10:$R$13,0),COLUMN())</f>
        <v>0.29420878655999999</v>
      </c>
      <c r="AP669" s="1046" cm="1">
        <f t="array" aca="1" ref="AP669" ca="1">INDEX(OFFSET($AK$19,MATCH($B669,$B$19:$B$150,0)-1,0,COUNTA($B$19:$B$24),COUNTA($AK$17:$BB$17)),MATCH($F669,$F$19:$F$24,0),MATCH(AP$17,$AK$17:$BB$17,0))*INDEX($10:$13,MATCH($O669,$R$10:$R$13,0),COLUMN())</f>
        <v>0.20199468561999998</v>
      </c>
      <c r="AQ669" s="1046" cm="1">
        <f t="array" aca="1" ref="AQ669" ca="1">INDEX(OFFSET($AK$19,MATCH($B669,$B$19:$B$150,0)-1,0,COUNTA($B$19:$B$24),COUNTA($AK$17:$BB$17)),MATCH($F669,$F$19:$F$24,0),MATCH(AQ$17,$AK$17:$BB$17,0))*INDEX($10:$13,MATCH($O669,$R$10:$R$13,0),COLUMN())</f>
        <v>4.2116733070000001E-4</v>
      </c>
      <c r="AR669" s="1046" cm="1">
        <f t="array" aca="1" ref="AR669" ca="1">INDEX(OFFSET($AK$19,MATCH($B669,$B$19:$B$150,0)-1,0,COUNTA($B$19:$B$24),COUNTA($AK$17:$BB$17)),MATCH($F669,$F$19:$F$24,0),MATCH(AR$17,$AK$17:$BB$17,0))*INDEX($10:$13,MATCH($O669,$R$10:$R$13,0),COLUMN())</f>
        <v>3.8187372779999999E-2</v>
      </c>
      <c r="AS669" s="1046" cm="1">
        <f t="array" aca="1" ref="AS669" ca="1">INDEX(OFFSET($AK$19,MATCH($B669,$B$19:$B$150,0)-1,0,COUNTA($B$19:$B$24),COUNTA($AK$17:$BB$17)),MATCH($F669,$F$19:$F$24,0),MATCH(AS$17,$AK$17:$BB$17,0))*INDEX($10:$13,MATCH($O669,$R$10:$R$13,0),COLUMN())</f>
        <v>2.9450918849999997E-2</v>
      </c>
      <c r="AT669" s="1046" cm="1">
        <f t="array" aca="1" ref="AT669" ca="1">INDEX(OFFSET($AK$19,MATCH($B669,$B$19:$B$150,0)-1,0,COUNTA($B$19:$B$24),COUNTA($AK$17:$BB$17)),MATCH($F669,$F$19:$F$24,0),MATCH(AT$17,$AK$17:$BB$17,0))*INDEX($10:$13,MATCH($O669,$R$10:$R$13,0),COLUMN())</f>
        <v>3.5724406433E-5</v>
      </c>
      <c r="AU669" s="1046" cm="1">
        <f t="array" aca="1" ref="AU669" ca="1">INDEX(OFFSET($AK$19,MATCH($B669,$B$19:$B$150,0)-1,0,COUNTA($B$19:$B$24),COUNTA($AK$17:$BB$17)),MATCH($F669,$F$19:$F$24,0),MATCH(AU$17,$AK$17:$BB$17,0))*INDEX($10:$13,MATCH($O669,$R$10:$R$13,0),COLUMN())</f>
        <v>2.4150406284E-6</v>
      </c>
      <c r="AV669" s="1046" cm="1">
        <f t="array" aca="1" ref="AV669" ca="1">INDEX(OFFSET($AK$19,MATCH($B669,$B$19:$B$150,0)-1,0,COUNTA($B$19:$B$24),COUNTA($AK$17:$BB$17)),MATCH($F669,$F$19:$F$24,0),MATCH(AV$17,$AK$17:$BB$17,0))*INDEX($10:$13,MATCH($O669,$R$10:$R$13,0),COLUMN())</f>
        <v>6.7762012410000003E-3</v>
      </c>
      <c r="AW669" s="1046" cm="1">
        <f t="array" aca="1" ref="AW669" ca="1">INDEX(OFFSET($AK$19,MATCH($B669,$B$19:$B$150,0)-1,0,COUNTA($B$19:$B$24),COUNTA($AK$17:$BB$17)),MATCH($F669,$F$19:$F$24,0),MATCH(AW$17,$AK$17:$BB$17,0))*INDEX($10:$13,MATCH($O669,$R$10:$R$13,0),COLUMN())</f>
        <v>0.29539550235000001</v>
      </c>
      <c r="AX669" s="1046" cm="1">
        <f t="array" aca="1" ref="AX669" ca="1">INDEX(OFFSET($AK$19,MATCH($B669,$B$19:$B$150,0)-1,0,COUNTA($B$19:$B$24),COUNTA($AK$17:$BB$17)),MATCH($F669,$F$19:$F$24,0),MATCH(AX$17,$AK$17:$BB$17,0))*INDEX($10:$13,MATCH($O669,$R$10:$R$13,0),COLUMN())</f>
        <v>3.276202382E-6</v>
      </c>
      <c r="AY669" s="1046" cm="1">
        <f t="array" aca="1" ref="AY669" ca="1">INDEX(OFFSET($AK$19,MATCH($B669,$B$19:$B$150,0)-1,0,COUNTA($B$19:$B$24),COUNTA($AK$17:$BB$17)),MATCH($F669,$F$19:$F$24,0),MATCH(AY$17,$AK$17:$BB$17,0))*INDEX($10:$13,MATCH($O669,$R$10:$R$13,0),COLUMN())</f>
        <v>7.3223533949999999E-3</v>
      </c>
      <c r="AZ669" s="1046" cm="1">
        <f t="array" aca="1" ref="AZ669" ca="1">INDEX(OFFSET($AK$19,MATCH($B669,$B$19:$B$150,0)-1,0,COUNTA($B$19:$B$24),COUNTA($AK$17:$BB$17)),MATCH($F669,$F$19:$F$24,0),MATCH(AZ$17,$AK$17:$BB$17,0))*INDEX($10:$13,MATCH($O669,$R$10:$R$13,0),COLUMN())</f>
        <v>0</v>
      </c>
      <c r="BA669" s="1046" cm="1">
        <f t="array" aca="1" ref="BA669" ca="1">INDEX(OFFSET($AK$19,MATCH($B669,$B$19:$B$150,0)-1,0,COUNTA($B$19:$B$24),COUNTA($AK$17:$BB$17)),MATCH($F669,$F$19:$F$24,0),MATCH(BA$17,$AK$17:$BB$17,0))*INDEX($10:$13,MATCH($O669,$R$10:$R$13,0),COLUMN())</f>
        <v>0</v>
      </c>
      <c r="BB669" s="1047" cm="1">
        <f t="array" aca="1" ref="BB669" ca="1">INDEX(OFFSET($AK$19,MATCH($B669,$B$19:$B$150,0)-1,0,COUNTA($B$19:$B$24),COUNTA($AK$17:$BB$17)),MATCH($F669,$F$19:$F$24,0),MATCH(BB$17,$AK$17:$BB$17,0))*INDEX($10:$13,MATCH($O669,$R$10:$R$13,0),COLUMN())</f>
        <v>0</v>
      </c>
      <c r="BC669" s="1049">
        <f t="shared" ca="1" si="192"/>
        <v>0.30272113194738198</v>
      </c>
      <c r="BE669" s="1"/>
      <c r="BF669" s="1"/>
      <c r="BG669" s="1"/>
      <c r="BH669" s="1"/>
      <c r="BI669" s="1"/>
      <c r="BJ669" s="1"/>
      <c r="BK669" s="1"/>
      <c r="BL669" s="1"/>
      <c r="BM669" s="1"/>
      <c r="BN669" s="1"/>
      <c r="BO669" s="1"/>
      <c r="BP669" s="1"/>
      <c r="BQ669" s="1"/>
      <c r="BR669" s="1"/>
      <c r="BS669" s="1"/>
      <c r="BT669" s="1"/>
      <c r="BU669" s="1"/>
      <c r="BV669" s="1"/>
      <c r="BW669" s="1"/>
      <c r="BX669" s="1"/>
      <c r="BY669" s="1"/>
      <c r="BZ669" s="1"/>
    </row>
    <row r="670" spans="2:78" ht="12" customHeight="1" outlineLevel="1" x14ac:dyDescent="0.25">
      <c r="B670" s="104" t="s">
        <v>115</v>
      </c>
      <c r="C670" s="104" t="s">
        <v>124</v>
      </c>
      <c r="D670" s="2" t="s">
        <v>154</v>
      </c>
      <c r="E670" s="2" t="s">
        <v>115</v>
      </c>
      <c r="F670" s="105" t="s">
        <v>122</v>
      </c>
      <c r="G670" s="27" t="s">
        <v>1579</v>
      </c>
      <c r="H670" s="106" t="s">
        <v>128</v>
      </c>
      <c r="I670" s="107" t="s">
        <v>129</v>
      </c>
      <c r="J670" s="147">
        <v>0.64</v>
      </c>
      <c r="K670" s="148">
        <v>0.4819</v>
      </c>
      <c r="L670" s="149">
        <f t="shared" ca="1" si="193"/>
        <v>3.1192865489540238</v>
      </c>
      <c r="M670" s="148">
        <f t="shared" ca="1" si="194"/>
        <v>1.985084187940944</v>
      </c>
      <c r="N670" s="163">
        <f t="shared" ca="1" si="195"/>
        <v>1.503184187940944</v>
      </c>
      <c r="O670" s="1061" t="s">
        <v>1585</v>
      </c>
      <c r="P670" s="104"/>
      <c r="R670" s="119"/>
      <c r="S670" s="1072"/>
      <c r="T670" s="1072"/>
      <c r="U670" s="1072"/>
      <c r="V670" s="1072"/>
      <c r="W670" s="1072"/>
      <c r="X670" s="1072"/>
      <c r="Y670" s="1072"/>
      <c r="Z670" s="1072"/>
      <c r="AA670" s="1072"/>
      <c r="AB670" s="1072"/>
      <c r="AC670" s="1072"/>
      <c r="AD670" s="1072"/>
      <c r="AE670" s="1072"/>
      <c r="AF670" s="1072"/>
      <c r="AG670" s="1072"/>
      <c r="AH670" s="1072"/>
      <c r="AI670" s="1072"/>
      <c r="AJ670" s="1073"/>
      <c r="AK670" s="1052" cm="1">
        <f t="array" aca="1" ref="AK670" ca="1">INDEX(OFFSET($AK$19,MATCH($B670,$B$19:$B$150,0)-1,0,COUNTA($B$19:$B$24),COUNTA($AK$17:$BB$17)),MATCH($F670,$F$19:$F$24,0),MATCH(AK$17,$AK$17:$BB$17,0))*INDEX($10:$13,MATCH($O670,$R$10:$R$13,0),COLUMN())</f>
        <v>0.43154767630463997</v>
      </c>
      <c r="AL670" s="1050" cm="1">
        <f t="array" aca="1" ref="AL670" ca="1">INDEX(OFFSET($AK$19,MATCH($B670,$B$19:$B$150,0)-1,0,COUNTA($B$19:$B$24),COUNTA($AK$17:$BB$17)),MATCH($F670,$F$19:$F$24,0),MATCH(AL$17,$AK$17:$BB$17,0))*INDEX($10:$13,MATCH($O670,$R$10:$R$13,0),COLUMN())</f>
        <v>2.7078539197000002E-7</v>
      </c>
      <c r="AM670" s="1050" cm="1">
        <f t="array" aca="1" ref="AM670" ca="1">INDEX(OFFSET($AK$19,MATCH($B670,$B$19:$B$150,0)-1,0,COUNTA($B$19:$B$24),COUNTA($AK$17:$BB$17)),MATCH($F670,$F$19:$F$24,0),MATCH(AM$17,$AK$17:$BB$17,0))*INDEX($10:$13,MATCH($O670,$R$10:$R$13,0),COLUMN())</f>
        <v>4.4741003736E-4</v>
      </c>
      <c r="AN670" s="1050" cm="1">
        <f t="array" aca="1" ref="AN670" ca="1">INDEX(OFFSET($AK$19,MATCH($B670,$B$19:$B$150,0)-1,0,COUNTA($B$19:$B$24),COUNTA($AK$17:$BB$17)),MATCH($F670,$F$19:$F$24,0),MATCH(AN$17,$AK$17:$BB$17,0))*INDEX($10:$13,MATCH($O670,$R$10:$R$13,0),COLUMN())</f>
        <v>2.2506219440000001E-3</v>
      </c>
      <c r="AO670" s="1050" cm="1">
        <f t="array" aca="1" ref="AO670" ca="1">INDEX(OFFSET($AK$19,MATCH($B670,$B$19:$B$150,0)-1,0,COUNTA($B$19:$B$24),COUNTA($AK$17:$BB$17)),MATCH($F670,$F$19:$F$24,0),MATCH(AO$17,$AK$17:$BB$17,0))*INDEX($10:$13,MATCH($O670,$R$10:$R$13,0),COLUMN())</f>
        <v>0.30479989635999999</v>
      </c>
      <c r="AP670" s="1050" cm="1">
        <f t="array" aca="1" ref="AP670" ca="1">INDEX(OFFSET($AK$19,MATCH($B670,$B$19:$B$150,0)-1,0,COUNTA($B$19:$B$24),COUNTA($AK$17:$BB$17)),MATCH($F670,$F$19:$F$24,0),MATCH(AP$17,$AK$17:$BB$17,0))*INDEX($10:$13,MATCH($O670,$R$10:$R$13,0),COLUMN())</f>
        <v>0.21045902317999998</v>
      </c>
      <c r="AQ670" s="1050" cm="1">
        <f t="array" aca="1" ref="AQ670" ca="1">INDEX(OFFSET($AK$19,MATCH($B670,$B$19:$B$150,0)-1,0,COUNTA($B$19:$B$24),COUNTA($AK$17:$BB$17)),MATCH($F670,$F$19:$F$24,0),MATCH(AQ$17,$AK$17:$BB$17,0))*INDEX($10:$13,MATCH($O670,$R$10:$R$13,0),COLUMN())</f>
        <v>3.5899989429999998E-4</v>
      </c>
      <c r="AR670" s="1050" cm="1">
        <f t="array" aca="1" ref="AR670" ca="1">INDEX(OFFSET($AK$19,MATCH($B670,$B$19:$B$150,0)-1,0,COUNTA($B$19:$B$24),COUNTA($AK$17:$BB$17)),MATCH($F670,$F$19:$F$24,0),MATCH(AR$17,$AK$17:$BB$17,0))*INDEX($10:$13,MATCH($O670,$R$10:$R$13,0),COLUMN())</f>
        <v>3.3733641299999999E-2</v>
      </c>
      <c r="AS670" s="1050" cm="1">
        <f t="array" aca="1" ref="AS670" ca="1">INDEX(OFFSET($AK$19,MATCH($B670,$B$19:$B$150,0)-1,0,COUNTA($B$19:$B$24),COUNTA($AK$17:$BB$17)),MATCH($F670,$F$19:$F$24,0),MATCH(AS$17,$AK$17:$BB$17,0))*INDEX($10:$13,MATCH($O670,$R$10:$R$13,0),COLUMN())</f>
        <v>1.9133334424999999E-3</v>
      </c>
      <c r="AT670" s="1050" cm="1">
        <f t="array" aca="1" ref="AT670" ca="1">INDEX(OFFSET($AK$19,MATCH($B670,$B$19:$B$150,0)-1,0,COUNTA($B$19:$B$24),COUNTA($AK$17:$BB$17)),MATCH($F670,$F$19:$F$24,0),MATCH(AT$17,$AK$17:$BB$17,0))*INDEX($10:$13,MATCH($O670,$R$10:$R$13,0),COLUMN())</f>
        <v>4.5142188899999996E-6</v>
      </c>
      <c r="AU670" s="1050" cm="1">
        <f t="array" aca="1" ref="AU670" ca="1">INDEX(OFFSET($AK$19,MATCH($B670,$B$19:$B$150,0)-1,0,COUNTA($B$19:$B$24),COUNTA($AK$17:$BB$17)),MATCH($F670,$F$19:$F$24,0),MATCH(AU$17,$AK$17:$BB$17,0))*INDEX($10:$13,MATCH($O670,$R$10:$R$13,0),COLUMN())</f>
        <v>9.2148393420000009E-7</v>
      </c>
      <c r="AV670" s="1050" cm="1">
        <f t="array" aca="1" ref="AV670" ca="1">INDEX(OFFSET($AK$19,MATCH($B670,$B$19:$B$150,0)-1,0,COUNTA($B$19:$B$24),COUNTA($AK$17:$BB$17)),MATCH($F670,$F$19:$F$24,0),MATCH(AV$17,$AK$17:$BB$17,0))*INDEX($10:$13,MATCH($O670,$R$10:$R$13,0),COLUMN())</f>
        <v>4.7195939069999996E-3</v>
      </c>
      <c r="AW670" s="1050" cm="1">
        <f t="array" aca="1" ref="AW670" ca="1">INDEX(OFFSET($AK$19,MATCH($B670,$B$19:$B$150,0)-1,0,COUNTA($B$19:$B$24),COUNTA($AK$17:$BB$17)),MATCH($F670,$F$19:$F$24,0),MATCH(AW$17,$AK$17:$BB$17,0))*INDEX($10:$13,MATCH($O670,$R$10:$R$13,0),COLUMN())</f>
        <v>0.51294613195000005</v>
      </c>
      <c r="AX670" s="1050" cm="1">
        <f t="array" aca="1" ref="AX670" ca="1">INDEX(OFFSET($AK$19,MATCH($B670,$B$19:$B$150,0)-1,0,COUNTA($B$19:$B$24),COUNTA($AK$17:$BB$17)),MATCH($F670,$F$19:$F$24,0),MATCH(AX$17,$AK$17:$BB$17,0))*INDEX($10:$13,MATCH($O670,$R$10:$R$13,0),COLUMN())</f>
        <v>2.1911865625000002E-6</v>
      </c>
      <c r="AY670" s="1050" cm="1">
        <f t="array" aca="1" ref="AY670" ca="1">INDEX(OFFSET($AK$19,MATCH($B670,$B$19:$B$150,0)-1,0,COUNTA($B$19:$B$24),COUNTA($AK$17:$BB$17)),MATCH($F670,$F$19:$F$24,0),MATCH(AY$17,$AK$17:$BB$17,0))*INDEX($10:$13,MATCH($O670,$R$10:$R$13,0),COLUMN())</f>
        <v>-3.8053634606250002E-8</v>
      </c>
      <c r="AZ670" s="1050" cm="1">
        <f t="array" aca="1" ref="AZ670" ca="1">INDEX(OFFSET($AK$19,MATCH($B670,$B$19:$B$150,0)-1,0,COUNTA($B$19:$B$24),COUNTA($AK$17:$BB$17)),MATCH($F670,$F$19:$F$24,0),MATCH(AZ$17,$AK$17:$BB$17,0))*INDEX($10:$13,MATCH($O670,$R$10:$R$13,0),COLUMN())</f>
        <v>0</v>
      </c>
      <c r="BA670" s="1050" cm="1">
        <f t="array" aca="1" ref="BA670" ca="1">INDEX(OFFSET($AK$19,MATCH($B670,$B$19:$B$150,0)-1,0,COUNTA($B$19:$B$24),COUNTA($AK$17:$BB$17)),MATCH($F670,$F$19:$F$24,0),MATCH(BA$17,$AK$17:$BB$17,0))*INDEX($10:$13,MATCH($O670,$R$10:$R$13,0),COLUMN())</f>
        <v>0</v>
      </c>
      <c r="BB670" s="1051" cm="1">
        <f t="array" aca="1" ref="BB670" ca="1">INDEX(OFFSET($AK$19,MATCH($B670,$B$19:$B$150,0)-1,0,COUNTA($B$19:$B$24),COUNTA($AK$17:$BB$17)),MATCH($F670,$F$19:$F$24,0),MATCH(BB$17,$AK$17:$BB$17,0))*INDEX($10:$13,MATCH($O670,$R$10:$R$13,0),COLUMN())</f>
        <v>0</v>
      </c>
      <c r="BC670" s="1053">
        <f t="shared" ca="1" si="192"/>
        <v>0.512948285082928</v>
      </c>
      <c r="BE670" s="1"/>
      <c r="BF670" s="1"/>
      <c r="BG670" s="1"/>
      <c r="BH670" s="1"/>
      <c r="BI670" s="1"/>
      <c r="BJ670" s="1"/>
      <c r="BK670" s="1"/>
      <c r="BL670" s="1"/>
      <c r="BM670" s="1"/>
      <c r="BN670" s="1"/>
      <c r="BO670" s="1"/>
      <c r="BP670" s="1"/>
      <c r="BQ670" s="1"/>
      <c r="BR670" s="1"/>
      <c r="BS670" s="1"/>
      <c r="BT670" s="1"/>
      <c r="BU670" s="1"/>
      <c r="BV670" s="1"/>
      <c r="BW670" s="1"/>
      <c r="BX670" s="1"/>
      <c r="BY670" s="1"/>
      <c r="BZ670" s="1"/>
    </row>
    <row r="671" spans="2:78" ht="12" customHeight="1" outlineLevel="1" x14ac:dyDescent="0.25">
      <c r="B671" s="104" t="s">
        <v>115</v>
      </c>
      <c r="C671" s="104" t="s">
        <v>124</v>
      </c>
      <c r="D671" s="2" t="s">
        <v>154</v>
      </c>
      <c r="E671" s="2" t="s">
        <v>115</v>
      </c>
      <c r="F671" s="105" t="s">
        <v>93</v>
      </c>
      <c r="G671" s="27" t="s">
        <v>1578</v>
      </c>
      <c r="H671" s="106" t="s">
        <v>130</v>
      </c>
      <c r="I671" s="107" t="s">
        <v>129</v>
      </c>
      <c r="J671" s="147">
        <v>0.64</v>
      </c>
      <c r="K671" s="148">
        <v>0.4819</v>
      </c>
      <c r="L671" s="149">
        <f t="shared" ca="1" si="193"/>
        <v>3.8075678030373332</v>
      </c>
      <c r="M671" s="148">
        <f t="shared" ca="1" si="194"/>
        <v>2.3167669242836908</v>
      </c>
      <c r="N671" s="163">
        <f t="shared" ca="1" si="195"/>
        <v>1.8348669242836908</v>
      </c>
      <c r="O671" s="1061" t="s">
        <v>1585</v>
      </c>
      <c r="P671" s="104"/>
      <c r="R671" s="119"/>
      <c r="S671" s="1072"/>
      <c r="T671" s="1072"/>
      <c r="U671" s="1072"/>
      <c r="V671" s="1072"/>
      <c r="W671" s="1072"/>
      <c r="X671" s="1072"/>
      <c r="Y671" s="1072"/>
      <c r="Z671" s="1072"/>
      <c r="AA671" s="1072"/>
      <c r="AB671" s="1072"/>
      <c r="AC671" s="1072"/>
      <c r="AD671" s="1072"/>
      <c r="AE671" s="1072"/>
      <c r="AF671" s="1072"/>
      <c r="AG671" s="1072"/>
      <c r="AH671" s="1072"/>
      <c r="AI671" s="1072"/>
      <c r="AJ671" s="1073"/>
      <c r="AK671" s="1052" cm="1">
        <f t="array" aca="1" ref="AK671" ca="1">INDEX(OFFSET($AK$19,MATCH($B671,$B$19:$B$150,0)-1,0,COUNTA($B$19:$B$24),COUNTA($AK$17:$BB$17)),MATCH($F671,$F$19:$F$24,0),MATCH(AK$17,$AK$17:$BB$17,0))*INDEX($10:$13,MATCH($O671,$R$10:$R$13,0),COLUMN())</f>
        <v>0.48671955559295998</v>
      </c>
      <c r="AL671" s="1050" cm="1">
        <f t="array" aca="1" ref="AL671" ca="1">INDEX(OFFSET($AK$19,MATCH($B671,$B$19:$B$150,0)-1,0,COUNTA($B$19:$B$24),COUNTA($AK$17:$BB$17)),MATCH($F671,$F$19:$F$24,0),MATCH(AL$17,$AK$17:$BB$17,0))*INDEX($10:$13,MATCH($O671,$R$10:$R$13,0),COLUMN())</f>
        <v>3.0545498405000004E-7</v>
      </c>
      <c r="AM671" s="1050" cm="1">
        <f t="array" aca="1" ref="AM671" ca="1">INDEX(OFFSET($AK$19,MATCH($B671,$B$19:$B$150,0)-1,0,COUNTA($B$19:$B$24),COUNTA($AK$17:$BB$17)),MATCH($F671,$F$19:$F$24,0),MATCH(AM$17,$AK$17:$BB$17,0))*INDEX($10:$13,MATCH($O671,$R$10:$R$13,0),COLUMN())</f>
        <v>5.0421228129999998E-4</v>
      </c>
      <c r="AN671" s="1050" cm="1">
        <f t="array" aca="1" ref="AN671" ca="1">INDEX(OFFSET($AK$19,MATCH($B671,$B$19:$B$150,0)-1,0,COUNTA($B$19:$B$24),COUNTA($AK$17:$BB$17)),MATCH($F671,$F$19:$F$24,0),MATCH(AN$17,$AK$17:$BB$17,0))*INDEX($10:$13,MATCH($O671,$R$10:$R$13,0),COLUMN())</f>
        <v>2.7244712560000003E-3</v>
      </c>
      <c r="AO671" s="1050" cm="1">
        <f t="array" aca="1" ref="AO671" ca="1">INDEX(OFFSET($AK$19,MATCH($B671,$B$19:$B$150,0)-1,0,COUNTA($B$19:$B$24),COUNTA($AK$17:$BB$17)),MATCH($F671,$F$19:$F$24,0),MATCH(AO$17,$AK$17:$BB$17,0))*INDEX($10:$13,MATCH($O671,$R$10:$R$13,0),COLUMN())</f>
        <v>0.34385863148000001</v>
      </c>
      <c r="AP671" s="1050" cm="1">
        <f t="array" aca="1" ref="AP671" ca="1">INDEX(OFFSET($AK$19,MATCH($B671,$B$19:$B$150,0)-1,0,COUNTA($B$19:$B$24),COUNTA($AK$17:$BB$17)),MATCH($F671,$F$19:$F$24,0),MATCH(AP$17,$AK$17:$BB$17,0))*INDEX($10:$13,MATCH($O671,$R$10:$R$13,0),COLUMN())</f>
        <v>0.23653169432000001</v>
      </c>
      <c r="AQ671" s="1050" cm="1">
        <f t="array" aca="1" ref="AQ671" ca="1">INDEX(OFFSET($AK$19,MATCH($B671,$B$19:$B$150,0)-1,0,COUNTA($B$19:$B$24),COUNTA($AK$17:$BB$17)),MATCH($F671,$F$19:$F$24,0),MATCH(AQ$17,$AK$17:$BB$17,0))*INDEX($10:$13,MATCH($O671,$R$10:$R$13,0),COLUMN())</f>
        <v>4.2158276859999999E-4</v>
      </c>
      <c r="AR671" s="1050" cm="1">
        <f t="array" aca="1" ref="AR671" ca="1">INDEX(OFFSET($AK$19,MATCH($B671,$B$19:$B$150,0)-1,0,COUNTA($B$19:$B$24),COUNTA($AK$17:$BB$17)),MATCH($F671,$F$19:$F$24,0),MATCH(AR$17,$AK$17:$BB$17,0))*INDEX($10:$13,MATCH($O671,$R$10:$R$13,0),COLUMN())</f>
        <v>3.911806827E-2</v>
      </c>
      <c r="AS671" s="1050" cm="1">
        <f t="array" aca="1" ref="AS671" ca="1">INDEX(OFFSET($AK$19,MATCH($B671,$B$19:$B$150,0)-1,0,COUNTA($B$19:$B$24),COUNTA($AK$17:$BB$17)),MATCH($F671,$F$19:$F$24,0),MATCH(AS$17,$AK$17:$BB$17,0))*INDEX($10:$13,MATCH($O671,$R$10:$R$13,0),COLUMN())</f>
        <v>2.31313066E-3</v>
      </c>
      <c r="AT671" s="1050" cm="1">
        <f t="array" aca="1" ref="AT671" ca="1">INDEX(OFFSET($AK$19,MATCH($B671,$B$19:$B$150,0)-1,0,COUNTA($B$19:$B$24),COUNTA($AK$17:$BB$17)),MATCH($F671,$F$19:$F$24,0),MATCH(AT$17,$AK$17:$BB$17,0))*INDEX($10:$13,MATCH($O671,$R$10:$R$13,0),COLUMN())</f>
        <v>5.5645652459999996E-6</v>
      </c>
      <c r="AU671" s="1050" cm="1">
        <f t="array" aca="1" ref="AU671" ca="1">INDEX(OFFSET($AK$19,MATCH($B671,$B$19:$B$150,0)-1,0,COUNTA($B$19:$B$24),COUNTA($AK$17:$BB$17)),MATCH($F671,$F$19:$F$24,0),MATCH(AU$17,$AK$17:$BB$17,0))*INDEX($10:$13,MATCH($O671,$R$10:$R$13,0),COLUMN())</f>
        <v>1.1427938487000001E-6</v>
      </c>
      <c r="AV671" s="1050" cm="1">
        <f t="array" aca="1" ref="AV671" ca="1">INDEX(OFFSET($AK$19,MATCH($B671,$B$19:$B$150,0)-1,0,COUNTA($B$19:$B$24),COUNTA($AK$17:$BB$17)),MATCH($F671,$F$19:$F$24,0),MATCH(AV$17,$AK$17:$BB$17,0))*INDEX($10:$13,MATCH($O671,$R$10:$R$13,0),COLUMN())</f>
        <v>5.9953710959999998E-3</v>
      </c>
      <c r="AW671" s="1050" cm="1">
        <f t="array" aca="1" ref="AW671" ca="1">INDEX(OFFSET($AK$19,MATCH($B671,$B$19:$B$150,0)-1,0,COUNTA($B$19:$B$24),COUNTA($AK$17:$BB$17)),MATCH($F671,$F$19:$F$24,0),MATCH(AW$17,$AK$17:$BB$17,0))*INDEX($10:$13,MATCH($O671,$R$10:$R$13,0),COLUMN())</f>
        <v>0.71667076950000008</v>
      </c>
      <c r="AX671" s="1050" cm="1">
        <f t="array" aca="1" ref="AX671" ca="1">INDEX(OFFSET($AK$19,MATCH($B671,$B$19:$B$150,0)-1,0,COUNTA($B$19:$B$24),COUNTA($AK$17:$BB$17)),MATCH($F671,$F$19:$F$24,0),MATCH(AX$17,$AK$17:$BB$17,0))*INDEX($10:$13,MATCH($O671,$R$10:$R$13,0),COLUMN())</f>
        <v>2.4677324335000001E-6</v>
      </c>
      <c r="AY671" s="1050" cm="1">
        <f t="array" aca="1" ref="AY671" ca="1">INDEX(OFFSET($AK$19,MATCH($B671,$B$19:$B$150,0)-1,0,COUNTA($B$19:$B$24),COUNTA($AK$17:$BB$17)),MATCH($F671,$F$19:$F$24,0),MATCH(AY$17,$AK$17:$BB$17,0))*INDEX($10:$13,MATCH($O671,$R$10:$R$13,0),COLUMN())</f>
        <v>-4.3487681381249999E-8</v>
      </c>
      <c r="AZ671" s="1050" cm="1">
        <f t="array" aca="1" ref="AZ671" ca="1">INDEX(OFFSET($AK$19,MATCH($B671,$B$19:$B$150,0)-1,0,COUNTA($B$19:$B$24),COUNTA($AK$17:$BB$17)),MATCH($F671,$F$19:$F$24,0),MATCH(AZ$17,$AK$17:$BB$17,0))*INDEX($10:$13,MATCH($O671,$R$10:$R$13,0),COLUMN())</f>
        <v>0</v>
      </c>
      <c r="BA671" s="1050" cm="1">
        <f t="array" aca="1" ref="BA671" ca="1">INDEX(OFFSET($AK$19,MATCH($B671,$B$19:$B$150,0)-1,0,COUNTA($B$19:$B$24),COUNTA($AK$17:$BB$17)),MATCH($F671,$F$19:$F$24,0),MATCH(BA$17,$AK$17:$BB$17,0))*INDEX($10:$13,MATCH($O671,$R$10:$R$13,0),COLUMN())</f>
        <v>0</v>
      </c>
      <c r="BB671" s="1051" cm="1">
        <f t="array" aca="1" ref="BB671" ca="1">INDEX(OFFSET($AK$19,MATCH($B671,$B$19:$B$150,0)-1,0,COUNTA($B$19:$B$24),COUNTA($AK$17:$BB$17)),MATCH($F671,$F$19:$F$24,0),MATCH(BB$17,$AK$17:$BB$17,0))*INDEX($10:$13,MATCH($O671,$R$10:$R$13,0),COLUMN())</f>
        <v>0</v>
      </c>
      <c r="BC671" s="1053">
        <f t="shared" ca="1" si="192"/>
        <v>0.71667319374475225</v>
      </c>
      <c r="BE671" s="1"/>
      <c r="BF671" s="1"/>
      <c r="BG671" s="1"/>
      <c r="BH671" s="1"/>
      <c r="BI671" s="1"/>
      <c r="BJ671" s="1"/>
      <c r="BK671" s="1"/>
      <c r="BL671" s="1"/>
      <c r="BM671" s="1"/>
      <c r="BN671" s="1"/>
      <c r="BO671" s="1"/>
      <c r="BP671" s="1"/>
      <c r="BQ671" s="1"/>
      <c r="BR671" s="1"/>
      <c r="BS671" s="1"/>
      <c r="BT671" s="1"/>
      <c r="BU671" s="1"/>
      <c r="BV671" s="1"/>
      <c r="BW671" s="1"/>
      <c r="BX671" s="1"/>
      <c r="BY671" s="1"/>
      <c r="BZ671" s="1"/>
    </row>
    <row r="672" spans="2:78" ht="12" customHeight="1" outlineLevel="1" x14ac:dyDescent="0.25">
      <c r="B672" s="104" t="s">
        <v>115</v>
      </c>
      <c r="C672" s="104" t="s">
        <v>124</v>
      </c>
      <c r="D672" s="2" t="s">
        <v>154</v>
      </c>
      <c r="E672" s="2" t="s">
        <v>115</v>
      </c>
      <c r="F672" s="105" t="s">
        <v>94</v>
      </c>
      <c r="G672" s="27" t="s">
        <v>1580</v>
      </c>
      <c r="H672" s="106" t="s">
        <v>131</v>
      </c>
      <c r="I672" s="107" t="s">
        <v>129</v>
      </c>
      <c r="J672" s="147">
        <v>0.64</v>
      </c>
      <c r="K672" s="148">
        <v>0.4819</v>
      </c>
      <c r="L672" s="149">
        <f t="shared" ca="1" si="193"/>
        <v>2.6596336867966972</v>
      </c>
      <c r="M672" s="148">
        <f t="shared" ca="1" si="194"/>
        <v>1.7635774736673284</v>
      </c>
      <c r="N672" s="163">
        <f t="shared" ca="1" si="195"/>
        <v>1.2816774736673284</v>
      </c>
      <c r="O672" s="1061" t="s">
        <v>1585</v>
      </c>
      <c r="P672" s="104"/>
      <c r="R672" s="119"/>
      <c r="S672" s="1072"/>
      <c r="T672" s="1072"/>
      <c r="U672" s="1072"/>
      <c r="V672" s="1072"/>
      <c r="W672" s="1072"/>
      <c r="X672" s="1072"/>
      <c r="Y672" s="1072"/>
      <c r="Z672" s="1072"/>
      <c r="AA672" s="1072"/>
      <c r="AB672" s="1072"/>
      <c r="AC672" s="1072"/>
      <c r="AD672" s="1072"/>
      <c r="AE672" s="1072"/>
      <c r="AF672" s="1072"/>
      <c r="AG672" s="1072"/>
      <c r="AH672" s="1072"/>
      <c r="AI672" s="1072"/>
      <c r="AJ672" s="1073"/>
      <c r="AK672" s="1052" cm="1">
        <f t="array" aca="1" ref="AK672" ca="1">INDEX(OFFSET($AK$19,MATCH($B672,$B$19:$B$150,0)-1,0,COUNTA($B$19:$B$24),COUNTA($AK$17:$BB$17)),MATCH($F672,$F$19:$F$24,0),MATCH(AK$17,$AK$17:$BB$17,0))*INDEX($10:$13,MATCH($O672,$R$10:$R$13,0),COLUMN())</f>
        <v>0.38954541175296004</v>
      </c>
      <c r="AL672" s="1050" cm="1">
        <f t="array" aca="1" ref="AL672" ca="1">INDEX(OFFSET($AK$19,MATCH($B672,$B$19:$B$150,0)-1,0,COUNTA($B$19:$B$24),COUNTA($AK$17:$BB$17)),MATCH($F672,$F$19:$F$24,0),MATCH(AL$17,$AK$17:$BB$17,0))*INDEX($10:$13,MATCH($O672,$R$10:$R$13,0),COLUMN())</f>
        <v>2.4441573791999997E-7</v>
      </c>
      <c r="AM672" s="1050" cm="1">
        <f t="array" aca="1" ref="AM672" ca="1">INDEX(OFFSET($AK$19,MATCH($B672,$B$19:$B$150,0)-1,0,COUNTA($B$19:$B$24),COUNTA($AK$17:$BB$17)),MATCH($F672,$F$19:$F$24,0),MATCH(AM$17,$AK$17:$BB$17,0))*INDEX($10:$13,MATCH($O672,$R$10:$R$13,0),COLUMN())</f>
        <v>4.0410258433999999E-4</v>
      </c>
      <c r="AN672" s="1050" cm="1">
        <f t="array" aca="1" ref="AN672" ca="1">INDEX(OFFSET($AK$19,MATCH($B672,$B$19:$B$150,0)-1,0,COUNTA($B$19:$B$24),COUNTA($AK$17:$BB$17)),MATCH($F672,$F$19:$F$24,0),MATCH(AN$17,$AK$17:$BB$17,0))*INDEX($10:$13,MATCH($O672,$R$10:$R$13,0),COLUMN())</f>
        <v>1.9288889279999999E-3</v>
      </c>
      <c r="AO672" s="1050" cm="1">
        <f t="array" aca="1" ref="AO672" ca="1">INDEX(OFFSET($AK$19,MATCH($B672,$B$19:$B$150,0)-1,0,COUNTA($B$19:$B$24),COUNTA($AK$17:$BB$17)),MATCH($F672,$F$19:$F$24,0),MATCH(AO$17,$AK$17:$BB$17,0))*INDEX($10:$13,MATCH($O672,$R$10:$R$13,0),COLUMN())</f>
        <v>0.27494424280000002</v>
      </c>
      <c r="AP672" s="1050" cm="1">
        <f t="array" aca="1" ref="AP672" ca="1">INDEX(OFFSET($AK$19,MATCH($B672,$B$19:$B$150,0)-1,0,COUNTA($B$19:$B$24),COUNTA($AK$17:$BB$17)),MATCH($F672,$F$19:$F$24,0),MATCH(AP$17,$AK$17:$BB$17,0))*INDEX($10:$13,MATCH($O672,$R$10:$R$13,0),COLUMN())</f>
        <v>0.19033374985999998</v>
      </c>
      <c r="AQ672" s="1050" cm="1">
        <f t="array" aca="1" ref="AQ672" ca="1">INDEX(OFFSET($AK$19,MATCH($B672,$B$19:$B$150,0)-1,0,COUNTA($B$19:$B$24),COUNTA($AK$17:$BB$17)),MATCH($F672,$F$19:$F$24,0),MATCH(AQ$17,$AK$17:$BB$17,0))*INDEX($10:$13,MATCH($O672,$R$10:$R$13,0),COLUMN())</f>
        <v>3.1454337589999996E-4</v>
      </c>
      <c r="AR672" s="1050" cm="1">
        <f t="array" aca="1" ref="AR672" ca="1">INDEX(OFFSET($AK$19,MATCH($B672,$B$19:$B$150,0)-1,0,COUNTA($B$19:$B$24),COUNTA($AK$17:$BB$17)),MATCH($F672,$F$19:$F$24,0),MATCH(AR$17,$AK$17:$BB$17,0))*INDEX($10:$13,MATCH($O672,$R$10:$R$13,0),COLUMN())</f>
        <v>2.9844389126000001E-2</v>
      </c>
      <c r="AS672" s="1050" cm="1">
        <f t="array" aca="1" ref="AS672" ca="1">INDEX(OFFSET($AK$19,MATCH($B672,$B$19:$B$150,0)-1,0,COUNTA($B$19:$B$24),COUNTA($AK$17:$BB$17)),MATCH($F672,$F$19:$F$24,0),MATCH(AS$17,$AK$17:$BB$17,0))*INDEX($10:$13,MATCH($O672,$R$10:$R$13,0),COLUMN())</f>
        <v>1.6390253234999999E-3</v>
      </c>
      <c r="AT672" s="1050" cm="1">
        <f t="array" aca="1" ref="AT672" ca="1">INDEX(OFFSET($AK$19,MATCH($B672,$B$19:$B$150,0)-1,0,COUNTA($B$19:$B$24),COUNTA($AK$17:$BB$17)),MATCH($F672,$F$19:$F$24,0),MATCH(AT$17,$AK$17:$BB$17,0))*INDEX($10:$13,MATCH($O672,$R$10:$R$13,0),COLUMN())</f>
        <v>3.8184570471999994E-6</v>
      </c>
      <c r="AU672" s="1050" cm="1">
        <f t="array" aca="1" ref="AU672" ca="1">INDEX(OFFSET($AK$19,MATCH($B672,$B$19:$B$150,0)-1,0,COUNTA($B$19:$B$24),COUNTA($AK$17:$BB$17)),MATCH($F672,$F$19:$F$24,0),MATCH(AU$17,$AK$17:$BB$17,0))*INDEX($10:$13,MATCH($O672,$R$10:$R$13,0),COLUMN())</f>
        <v>7.7560140465000011E-7</v>
      </c>
      <c r="AV672" s="1050" cm="1">
        <f t="array" aca="1" ref="AV672" ca="1">INDEX(OFFSET($AK$19,MATCH($B672,$B$19:$B$150,0)-1,0,COUNTA($B$19:$B$24),COUNTA($AK$17:$BB$17)),MATCH($F672,$F$19:$F$24,0),MATCH(AV$17,$AK$17:$BB$17,0))*INDEX($10:$13,MATCH($O672,$R$10:$R$13,0),COLUMN())</f>
        <v>3.8819836259999995E-3</v>
      </c>
      <c r="AW672" s="1050" cm="1">
        <f t="array" aca="1" ref="AW672" ca="1">INDEX(OFFSET($AK$19,MATCH($B672,$B$19:$B$150,0)-1,0,COUNTA($B$19:$B$24),COUNTA($AK$17:$BB$17)),MATCH($F672,$F$19:$F$24,0),MATCH(AW$17,$AK$17:$BB$17,0))*INDEX($10:$13,MATCH($O672,$R$10:$R$13,0),COLUMN())</f>
        <v>0.38883435215000006</v>
      </c>
      <c r="AX672" s="1050" cm="1">
        <f t="array" aca="1" ref="AX672" ca="1">INDEX(OFFSET($AK$19,MATCH($B672,$B$19:$B$150,0)-1,0,COUNTA($B$19:$B$24),COUNTA($AK$17:$BB$17)),MATCH($F672,$F$19:$F$24,0),MATCH(AX$17,$AK$17:$BB$17,0))*INDEX($10:$13,MATCH($O672,$R$10:$R$13,0),COLUMN())</f>
        <v>1.9796997995000003E-6</v>
      </c>
      <c r="AY672" s="1050" cm="1">
        <f t="array" aca="1" ref="AY672" ca="1">INDEX(OFFSET($AK$19,MATCH($B672,$B$19:$B$150,0)-1,0,COUNTA($B$19:$B$24),COUNTA($AK$17:$BB$17)),MATCH($F672,$F$19:$F$24,0),MATCH(AY$17,$AK$17:$BB$17,0))*INDEX($10:$13,MATCH($O672,$R$10:$R$13,0),COLUMN())</f>
        <v>-3.4033361043750003E-8</v>
      </c>
      <c r="AZ672" s="1050" cm="1">
        <f t="array" aca="1" ref="AZ672" ca="1">INDEX(OFFSET($AK$19,MATCH($B672,$B$19:$B$150,0)-1,0,COUNTA($B$19:$B$24),COUNTA($AK$17:$BB$17)),MATCH($F672,$F$19:$F$24,0),MATCH(AZ$17,$AK$17:$BB$17,0))*INDEX($10:$13,MATCH($O672,$R$10:$R$13,0),COLUMN())</f>
        <v>0</v>
      </c>
      <c r="BA672" s="1050" cm="1">
        <f t="array" aca="1" ref="BA672" ca="1">INDEX(OFFSET($AK$19,MATCH($B672,$B$19:$B$150,0)-1,0,COUNTA($B$19:$B$24),COUNTA($AK$17:$BB$17)),MATCH($F672,$F$19:$F$24,0),MATCH(BA$17,$AK$17:$BB$17,0))*INDEX($10:$13,MATCH($O672,$R$10:$R$13,0),COLUMN())</f>
        <v>0</v>
      </c>
      <c r="BB672" s="1051" cm="1">
        <f t="array" aca="1" ref="BB672" ca="1">INDEX(OFFSET($AK$19,MATCH($B672,$B$19:$B$150,0)-1,0,COUNTA($B$19:$B$24),COUNTA($AK$17:$BB$17)),MATCH($F672,$F$19:$F$24,0),MATCH(BB$17,$AK$17:$BB$17,0))*INDEX($10:$13,MATCH($O672,$R$10:$R$13,0),COLUMN())</f>
        <v>0</v>
      </c>
      <c r="BC672" s="1053">
        <f t="shared" ca="1" si="192"/>
        <v>0.38883629781643853</v>
      </c>
      <c r="BE672" s="1"/>
      <c r="BF672" s="1"/>
      <c r="BG672" s="1"/>
      <c r="BH672" s="1"/>
      <c r="BI672" s="1"/>
      <c r="BJ672" s="1"/>
      <c r="BK672" s="1"/>
      <c r="BL672" s="1"/>
      <c r="BM672" s="1"/>
      <c r="BN672" s="1"/>
      <c r="BO672" s="1"/>
      <c r="BP672" s="1"/>
      <c r="BQ672" s="1"/>
      <c r="BR672" s="1"/>
      <c r="BS672" s="1"/>
      <c r="BT672" s="1"/>
      <c r="BU672" s="1"/>
      <c r="BV672" s="1"/>
      <c r="BW672" s="1"/>
      <c r="BX672" s="1"/>
      <c r="BY672" s="1"/>
      <c r="BZ672" s="1"/>
    </row>
    <row r="673" spans="2:78" ht="12" customHeight="1" outlineLevel="1" x14ac:dyDescent="0.25">
      <c r="B673" s="104" t="s">
        <v>115</v>
      </c>
      <c r="C673" s="104" t="s">
        <v>124</v>
      </c>
      <c r="D673" s="2" t="s">
        <v>154</v>
      </c>
      <c r="E673" s="2" t="s">
        <v>115</v>
      </c>
      <c r="F673" s="105" t="s">
        <v>95</v>
      </c>
      <c r="G673" s="27" t="s">
        <v>1581</v>
      </c>
      <c r="H673" s="106" t="s">
        <v>128</v>
      </c>
      <c r="I673" s="107" t="s">
        <v>127</v>
      </c>
      <c r="J673" s="147">
        <v>0.64</v>
      </c>
      <c r="K673" s="148">
        <v>0.4819</v>
      </c>
      <c r="L673" s="149">
        <f t="shared" ca="1" si="193"/>
        <v>3.1510958538774982</v>
      </c>
      <c r="M673" s="148">
        <f t="shared" ca="1" si="194"/>
        <v>2.0004130919835665</v>
      </c>
      <c r="N673" s="163">
        <f t="shared" ca="1" si="195"/>
        <v>1.5185130919835663</v>
      </c>
      <c r="O673" s="1061" t="s">
        <v>1585</v>
      </c>
      <c r="P673" s="104"/>
      <c r="R673" s="119"/>
      <c r="S673" s="1072"/>
      <c r="T673" s="1072"/>
      <c r="U673" s="1072"/>
      <c r="V673" s="1072"/>
      <c r="W673" s="1072"/>
      <c r="X673" s="1072"/>
      <c r="Y673" s="1072"/>
      <c r="Z673" s="1072"/>
      <c r="AA673" s="1072"/>
      <c r="AB673" s="1072"/>
      <c r="AC673" s="1072"/>
      <c r="AD673" s="1072"/>
      <c r="AE673" s="1072"/>
      <c r="AF673" s="1072"/>
      <c r="AG673" s="1072"/>
      <c r="AH673" s="1072"/>
      <c r="AI673" s="1072"/>
      <c r="AJ673" s="1073"/>
      <c r="AK673" s="1052" cm="1">
        <f t="array" aca="1" ref="AK673" ca="1">INDEX(OFFSET($AK$19,MATCH($B673,$B$19:$B$150,0)-1,0,COUNTA($B$19:$B$24),COUNTA($AK$17:$BB$17)),MATCH($F673,$F$19:$F$24,0),MATCH(AK$17,$AK$17:$BB$17,0))*INDEX($10:$13,MATCH($O673,$R$10:$R$13,0),COLUMN())</f>
        <v>0.43409553829823999</v>
      </c>
      <c r="AL673" s="1050" cm="1">
        <f t="array" aca="1" ref="AL673" ca="1">INDEX(OFFSET($AK$19,MATCH($B673,$B$19:$B$150,0)-1,0,COUNTA($B$19:$B$24),COUNTA($AK$17:$BB$17)),MATCH($F673,$F$19:$F$24,0),MATCH(AL$17,$AK$17:$BB$17,0))*INDEX($10:$13,MATCH($O673,$R$10:$R$13,0),COLUMN())</f>
        <v>2.7091180731E-7</v>
      </c>
      <c r="AM673" s="1050" cm="1">
        <f t="array" aca="1" ref="AM673" ca="1">INDEX(OFFSET($AK$19,MATCH($B673,$B$19:$B$150,0)-1,0,COUNTA($B$19:$B$24),COUNTA($AK$17:$BB$17)),MATCH($F673,$F$19:$F$24,0),MATCH(AM$17,$AK$17:$BB$17,0))*INDEX($10:$13,MATCH($O673,$R$10:$R$13,0),COLUMN())</f>
        <v>4.4761134807999998E-4</v>
      </c>
      <c r="AN673" s="1050" cm="1">
        <f t="array" aca="1" ref="AN673" ca="1">INDEX(OFFSET($AK$19,MATCH($B673,$B$19:$B$150,0)-1,0,COUNTA($B$19:$B$24),COUNTA($AK$17:$BB$17)),MATCH($F673,$F$19:$F$24,0),MATCH(AN$17,$AK$17:$BB$17,0))*INDEX($10:$13,MATCH($O673,$R$10:$R$13,0),COLUMN())</f>
        <v>2.276862368E-3</v>
      </c>
      <c r="AO673" s="1050" cm="1">
        <f t="array" aca="1" ref="AO673" ca="1">INDEX(OFFSET($AK$19,MATCH($B673,$B$19:$B$150,0)-1,0,COUNTA($B$19:$B$24),COUNTA($AK$17:$BB$17)),MATCH($F673,$F$19:$F$24,0),MATCH(AO$17,$AK$17:$BB$17,0))*INDEX($10:$13,MATCH($O673,$R$10:$R$13,0),COLUMN())</f>
        <v>0.31073825523999998</v>
      </c>
      <c r="AP673" s="1050" cm="1">
        <f t="array" aca="1" ref="AP673" ca="1">INDEX(OFFSET($AK$19,MATCH($B673,$B$19:$B$150,0)-1,0,COUNTA($B$19:$B$24),COUNTA($AK$17:$BB$17)),MATCH($F673,$F$19:$F$24,0),MATCH(AP$17,$AK$17:$BB$17,0))*INDEX($10:$13,MATCH($O673,$R$10:$R$13,0),COLUMN())</f>
        <v>0.21461871000000002</v>
      </c>
      <c r="AQ673" s="1050" cm="1">
        <f t="array" aca="1" ref="AQ673" ca="1">INDEX(OFFSET($AK$19,MATCH($B673,$B$19:$B$150,0)-1,0,COUNTA($B$19:$B$24),COUNTA($AK$17:$BB$17)),MATCH($F673,$F$19:$F$24,0),MATCH(AQ$17,$AK$17:$BB$17,0))*INDEX($10:$13,MATCH($O673,$R$10:$R$13,0),COLUMN())</f>
        <v>3.9589438369999998E-4</v>
      </c>
      <c r="AR673" s="1050" cm="1">
        <f t="array" aca="1" ref="AR673" ca="1">INDEX(OFFSET($AK$19,MATCH($B673,$B$19:$B$150,0)-1,0,COUNTA($B$19:$B$24),COUNTA($AK$17:$BB$17)),MATCH($F673,$F$19:$F$24,0),MATCH(AR$17,$AK$17:$BB$17,0))*INDEX($10:$13,MATCH($O673,$R$10:$R$13,0),COLUMN())</f>
        <v>3.4704524209999997E-2</v>
      </c>
      <c r="AS673" s="1050" cm="1">
        <f t="array" aca="1" ref="AS673" ca="1">INDEX(OFFSET($AK$19,MATCH($B673,$B$19:$B$150,0)-1,0,COUNTA($B$19:$B$24),COUNTA($AK$17:$BB$17)),MATCH($F673,$F$19:$F$24,0),MATCH(AS$17,$AK$17:$BB$17,0))*INDEX($10:$13,MATCH($O673,$R$10:$R$13,0),COLUMN())</f>
        <v>2.4979236534999998E-3</v>
      </c>
      <c r="AT673" s="1050" cm="1">
        <f t="array" aca="1" ref="AT673" ca="1">INDEX(OFFSET($AK$19,MATCH($B673,$B$19:$B$150,0)-1,0,COUNTA($B$19:$B$24),COUNTA($AK$17:$BB$17)),MATCH($F673,$F$19:$F$24,0),MATCH(AT$17,$AK$17:$BB$17,0))*INDEX($10:$13,MATCH($O673,$R$10:$R$13,0),COLUMN())</f>
        <v>4.9639123449999994E-6</v>
      </c>
      <c r="AU673" s="1050" cm="1">
        <f t="array" aca="1" ref="AU673" ca="1">INDEX(OFFSET($AK$19,MATCH($B673,$B$19:$B$150,0)-1,0,COUNTA($B$19:$B$24),COUNTA($AK$17:$BB$17)),MATCH($F673,$F$19:$F$24,0),MATCH(AU$17,$AK$17:$BB$17,0))*INDEX($10:$13,MATCH($O673,$R$10:$R$13,0),COLUMN())</f>
        <v>9.9073396620000022E-7</v>
      </c>
      <c r="AV673" s="1050" cm="1">
        <f t="array" aca="1" ref="AV673" ca="1">INDEX(OFFSET($AK$19,MATCH($B673,$B$19:$B$150,0)-1,0,COUNTA($B$19:$B$24),COUNTA($AK$17:$BB$17)),MATCH($F673,$F$19:$F$24,0),MATCH(AV$17,$AK$17:$BB$17,0))*INDEX($10:$13,MATCH($O673,$R$10:$R$13,0),COLUMN())</f>
        <v>5.7832618409999993E-3</v>
      </c>
      <c r="AW673" s="1050" cm="1">
        <f t="array" aca="1" ref="AW673" ca="1">INDEX(OFFSET($AK$19,MATCH($B673,$B$19:$B$150,0)-1,0,COUNTA($B$19:$B$24),COUNTA($AK$17:$BB$17)),MATCH($F673,$F$19:$F$24,0),MATCH(AW$17,$AK$17:$BB$17,0))*INDEX($10:$13,MATCH($O673,$R$10:$R$13,0),COLUMN())</f>
        <v>0.51294613195000005</v>
      </c>
      <c r="AX673" s="1050" cm="1">
        <f t="array" aca="1" ref="AX673" ca="1">INDEX(OFFSET($AK$19,MATCH($B673,$B$19:$B$150,0)-1,0,COUNTA($B$19:$B$24),COUNTA($AK$17:$BB$17)),MATCH($F673,$F$19:$F$24,0),MATCH(AX$17,$AK$17:$BB$17,0))*INDEX($10:$13,MATCH($O673,$R$10:$R$13,0),COLUMN())</f>
        <v>2.1911865625000002E-6</v>
      </c>
      <c r="AY673" s="1050" cm="1">
        <f t="array" aca="1" ref="AY673" ca="1">INDEX(OFFSET($AK$19,MATCH($B673,$B$19:$B$150,0)-1,0,COUNTA($B$19:$B$24),COUNTA($AK$17:$BB$17)),MATCH($F673,$F$19:$F$24,0),MATCH(AY$17,$AK$17:$BB$17,0))*INDEX($10:$13,MATCH($O673,$R$10:$R$13,0),COLUMN())</f>
        <v>-3.8053634606250002E-8</v>
      </c>
      <c r="AZ673" s="1050" cm="1">
        <f t="array" aca="1" ref="AZ673" ca="1">INDEX(OFFSET($AK$19,MATCH($B673,$B$19:$B$150,0)-1,0,COUNTA($B$19:$B$24),COUNTA($AK$17:$BB$17)),MATCH($F673,$F$19:$F$24,0),MATCH(AZ$17,$AK$17:$BB$17,0))*INDEX($10:$13,MATCH($O673,$R$10:$R$13,0),COLUMN())</f>
        <v>0</v>
      </c>
      <c r="BA673" s="1050" cm="1">
        <f t="array" aca="1" ref="BA673" ca="1">INDEX(OFFSET($AK$19,MATCH($B673,$B$19:$B$150,0)-1,0,COUNTA($B$19:$B$24),COUNTA($AK$17:$BB$17)),MATCH($F673,$F$19:$F$24,0),MATCH(BA$17,$AK$17:$BB$17,0))*INDEX($10:$13,MATCH($O673,$R$10:$R$13,0),COLUMN())</f>
        <v>0</v>
      </c>
      <c r="BB673" s="1051" cm="1">
        <f t="array" aca="1" ref="BB673" ca="1">INDEX(OFFSET($AK$19,MATCH($B673,$B$19:$B$150,0)-1,0,COUNTA($B$19:$B$24),COUNTA($AK$17:$BB$17)),MATCH($F673,$F$19:$F$24,0),MATCH(BB$17,$AK$17:$BB$17,0))*INDEX($10:$13,MATCH($O673,$R$10:$R$13,0),COLUMN())</f>
        <v>0</v>
      </c>
      <c r="BC673" s="1053">
        <f t="shared" ca="1" si="192"/>
        <v>0.512948285082928</v>
      </c>
      <c r="BE673" s="1"/>
      <c r="BF673" s="1"/>
      <c r="BG673" s="1"/>
      <c r="BH673" s="1"/>
      <c r="BI673" s="1"/>
      <c r="BJ673" s="1"/>
      <c r="BK673" s="1"/>
      <c r="BL673" s="1"/>
      <c r="BM673" s="1"/>
      <c r="BN673" s="1"/>
      <c r="BO673" s="1"/>
      <c r="BP673" s="1"/>
      <c r="BQ673" s="1"/>
      <c r="BR673" s="1"/>
      <c r="BS673" s="1"/>
      <c r="BT673" s="1"/>
      <c r="BU673" s="1"/>
      <c r="BV673" s="1"/>
      <c r="BW673" s="1"/>
      <c r="BX673" s="1"/>
      <c r="BY673" s="1"/>
      <c r="BZ673" s="1"/>
    </row>
    <row r="674" spans="2:78" ht="12" customHeight="1" outlineLevel="1" x14ac:dyDescent="0.25">
      <c r="B674" s="104" t="s">
        <v>115</v>
      </c>
      <c r="C674" s="104" t="s">
        <v>124</v>
      </c>
      <c r="D674" s="2" t="s">
        <v>154</v>
      </c>
      <c r="E674" s="2" t="s">
        <v>115</v>
      </c>
      <c r="F674" s="105" t="s">
        <v>96</v>
      </c>
      <c r="G674" s="27" t="s">
        <v>1582</v>
      </c>
      <c r="H674" s="106" t="s">
        <v>128</v>
      </c>
      <c r="I674" s="107" t="s">
        <v>1577</v>
      </c>
      <c r="J674" s="147">
        <v>0.64</v>
      </c>
      <c r="K674" s="148">
        <v>0.4819</v>
      </c>
      <c r="L674" s="149">
        <f t="shared" ca="1" si="193"/>
        <v>3.4567632332436213</v>
      </c>
      <c r="M674" s="148">
        <f t="shared" ca="1" si="194"/>
        <v>2.1477142021001008</v>
      </c>
      <c r="N674" s="163">
        <f t="shared" ca="1" si="195"/>
        <v>1.665814202100101</v>
      </c>
      <c r="O674" s="1061" t="s">
        <v>1585</v>
      </c>
      <c r="P674" s="104"/>
      <c r="R674" s="119"/>
      <c r="S674" s="1072"/>
      <c r="T674" s="1072"/>
      <c r="U674" s="1072"/>
      <c r="V674" s="1072"/>
      <c r="W674" s="1072"/>
      <c r="X674" s="1072"/>
      <c r="Y674" s="1072"/>
      <c r="Z674" s="1072"/>
      <c r="AA674" s="1072"/>
      <c r="AB674" s="1072"/>
      <c r="AC674" s="1072"/>
      <c r="AD674" s="1072"/>
      <c r="AE674" s="1072"/>
      <c r="AF674" s="1072"/>
      <c r="AG674" s="1072"/>
      <c r="AH674" s="1072"/>
      <c r="AI674" s="1072"/>
      <c r="AJ674" s="1073"/>
      <c r="AK674" s="1052" cm="1">
        <f t="array" aca="1" ref="AK674" ca="1">INDEX(OFFSET($AK$19,MATCH($B674,$B$19:$B$150,0)-1,0,COUNTA($B$19:$B$24),COUNTA($AK$17:$BB$17)),MATCH($F674,$F$19:$F$24,0),MATCH(AK$17,$AK$17:$BB$17,0))*INDEX($10:$13,MATCH($O674,$R$10:$R$13,0),COLUMN())</f>
        <v>0.45654436513727997</v>
      </c>
      <c r="AL674" s="1050" cm="1">
        <f t="array" aca="1" ref="AL674" ca="1">INDEX(OFFSET($AK$19,MATCH($B674,$B$19:$B$150,0)-1,0,COUNTA($B$19:$B$24),COUNTA($AK$17:$BB$17)),MATCH($F674,$F$19:$F$24,0),MATCH(AL$17,$AK$17:$BB$17,0))*INDEX($10:$13,MATCH($O674,$R$10:$R$13,0),COLUMN())</f>
        <v>2.7099430952000002E-7</v>
      </c>
      <c r="AM674" s="1050" cm="1">
        <f t="array" aca="1" ref="AM674" ca="1">INDEX(OFFSET($AK$19,MATCH($B674,$B$19:$B$150,0)-1,0,COUNTA($B$19:$B$24),COUNTA($AK$17:$BB$17)),MATCH($F674,$F$19:$F$24,0),MATCH(AM$17,$AK$17:$BB$17,0))*INDEX($10:$13,MATCH($O674,$R$10:$R$13,0),COLUMN())</f>
        <v>4.4774272269999999E-4</v>
      </c>
      <c r="AN674" s="1050" cm="1">
        <f t="array" aca="1" ref="AN674" ca="1">INDEX(OFFSET($AK$19,MATCH($B674,$B$19:$B$150,0)-1,0,COUNTA($B$19:$B$24),COUNTA($AK$17:$BB$17)),MATCH($F674,$F$19:$F$24,0),MATCH(AN$17,$AK$17:$BB$17,0))*INDEX($10:$13,MATCH($O674,$R$10:$R$13,0),COLUMN())</f>
        <v>2.2939874320000004E-3</v>
      </c>
      <c r="AO674" s="1050" cm="1">
        <f t="array" aca="1" ref="AO674" ca="1">INDEX(OFFSET($AK$19,MATCH($B674,$B$19:$B$150,0)-1,0,COUNTA($B$19:$B$24),COUNTA($AK$17:$BB$17)),MATCH($F674,$F$19:$F$24,0),MATCH(AO$17,$AK$17:$BB$17,0))*INDEX($10:$13,MATCH($O674,$R$10:$R$13,0),COLUMN())</f>
        <v>0.37265136583999997</v>
      </c>
      <c r="AP674" s="1050" cm="1">
        <f t="array" aca="1" ref="AP674" ca="1">INDEX(OFFSET($AK$19,MATCH($B674,$B$19:$B$150,0)-1,0,COUNTA($B$19:$B$24),COUNTA($AK$17:$BB$17)),MATCH($F674,$F$19:$F$24,0),MATCH(AP$17,$AK$17:$BB$17,0))*INDEX($10:$13,MATCH($O674,$R$10:$R$13,0),COLUMN())</f>
        <v>0.25897286984000001</v>
      </c>
      <c r="AQ674" s="1050" cm="1">
        <f t="array" aca="1" ref="AQ674" ca="1">INDEX(OFFSET($AK$19,MATCH($B674,$B$19:$B$150,0)-1,0,COUNTA($B$19:$B$24),COUNTA($AK$17:$BB$17)),MATCH($F674,$F$19:$F$24,0),MATCH(AQ$17,$AK$17:$BB$17,0))*INDEX($10:$13,MATCH($O674,$R$10:$R$13,0),COLUMN())</f>
        <v>6.1721762199999999E-4</v>
      </c>
      <c r="AR674" s="1050" cm="1">
        <f t="array" aca="1" ref="AR674" ca="1">INDEX(OFFSET($AK$19,MATCH($B674,$B$19:$B$150,0)-1,0,COUNTA($B$19:$B$24),COUNTA($AK$17:$BB$17)),MATCH($F674,$F$19:$F$24,0),MATCH(AR$17,$AK$17:$BB$17,0))*INDEX($10:$13,MATCH($O674,$R$10:$R$13,0),COLUMN())</f>
        <v>4.5150812059999997E-2</v>
      </c>
      <c r="AS674" s="1050" cm="1">
        <f t="array" aca="1" ref="AS674" ca="1">INDEX(OFFSET($AK$19,MATCH($B674,$B$19:$B$150,0)-1,0,COUNTA($B$19:$B$24),COUNTA($AK$17:$BB$17)),MATCH($F674,$F$19:$F$24,0),MATCH(AS$17,$AK$17:$BB$17,0))*INDEX($10:$13,MATCH($O674,$R$10:$R$13,0),COLUMN())</f>
        <v>4.3569654719999998E-3</v>
      </c>
      <c r="AT674" s="1050" cm="1">
        <f t="array" aca="1" ref="AT674" ca="1">INDEX(OFFSET($AK$19,MATCH($B674,$B$19:$B$150,0)-1,0,COUNTA($B$19:$B$24),COUNTA($AK$17:$BB$17)),MATCH($F674,$F$19:$F$24,0),MATCH(AT$17,$AK$17:$BB$17,0))*INDEX($10:$13,MATCH($O674,$R$10:$R$13,0),COLUMN())</f>
        <v>5.7472025600000006E-6</v>
      </c>
      <c r="AU674" s="1050" cm="1">
        <f t="array" aca="1" ref="AU674" ca="1">INDEX(OFFSET($AK$19,MATCH($B674,$B$19:$B$150,0)-1,0,COUNTA($B$19:$B$24),COUNTA($AK$17:$BB$17)),MATCH($F674,$F$19:$F$24,0),MATCH(AU$17,$AK$17:$BB$17,0))*INDEX($10:$13,MATCH($O674,$R$10:$R$13,0),COLUMN())</f>
        <v>1.0852063236000002E-6</v>
      </c>
      <c r="AV674" s="1050" cm="1">
        <f t="array" aca="1" ref="AV674" ca="1">INDEX(OFFSET($AK$19,MATCH($B674,$B$19:$B$150,0)-1,0,COUNTA($B$19:$B$24),COUNTA($AK$17:$BB$17)),MATCH($F674,$F$19:$F$24,0),MATCH(AV$17,$AK$17:$BB$17,0))*INDEX($10:$13,MATCH($O674,$R$10:$R$13,0),COLUMN())</f>
        <v>1.1823487488E-2</v>
      </c>
      <c r="AW674" s="1050" cm="1">
        <f t="array" aca="1" ref="AW674" ca="1">INDEX(OFFSET($AK$19,MATCH($B674,$B$19:$B$150,0)-1,0,COUNTA($B$19:$B$24),COUNTA($AK$17:$BB$17)),MATCH($F674,$F$19:$F$24,0),MATCH(AW$17,$AK$17:$BB$17,0))*INDEX($10:$13,MATCH($O674,$R$10:$R$13,0),COLUMN())</f>
        <v>0.51294613195000005</v>
      </c>
      <c r="AX674" s="1050" cm="1">
        <f t="array" aca="1" ref="AX674" ca="1">INDEX(OFFSET($AK$19,MATCH($B674,$B$19:$B$150,0)-1,0,COUNTA($B$19:$B$24),COUNTA($AK$17:$BB$17)),MATCH($F674,$F$19:$F$24,0),MATCH(AX$17,$AK$17:$BB$17,0))*INDEX($10:$13,MATCH($O674,$R$10:$R$13,0),COLUMN())</f>
        <v>2.1911865625000002E-6</v>
      </c>
      <c r="AY674" s="1050" cm="1">
        <f t="array" aca="1" ref="AY674" ca="1">INDEX(OFFSET($AK$19,MATCH($B674,$B$19:$B$150,0)-1,0,COUNTA($B$19:$B$24),COUNTA($AK$17:$BB$17)),MATCH($F674,$F$19:$F$24,0),MATCH(AY$17,$AK$17:$BB$17,0))*INDEX($10:$13,MATCH($O674,$R$10:$R$13,0),COLUMN())</f>
        <v>-3.8053634606250002E-8</v>
      </c>
      <c r="AZ674" s="1050" cm="1">
        <f t="array" aca="1" ref="AZ674" ca="1">INDEX(OFFSET($AK$19,MATCH($B674,$B$19:$B$150,0)-1,0,COUNTA($B$19:$B$24),COUNTA($AK$17:$BB$17)),MATCH($F674,$F$19:$F$24,0),MATCH(AZ$17,$AK$17:$BB$17,0))*INDEX($10:$13,MATCH($O674,$R$10:$R$13,0),COLUMN())</f>
        <v>0</v>
      </c>
      <c r="BA674" s="1050" cm="1">
        <f t="array" aca="1" ref="BA674" ca="1">INDEX(OFFSET($AK$19,MATCH($B674,$B$19:$B$150,0)-1,0,COUNTA($B$19:$B$24),COUNTA($AK$17:$BB$17)),MATCH($F674,$F$19:$F$24,0),MATCH(BA$17,$AK$17:$BB$17,0))*INDEX($10:$13,MATCH($O674,$R$10:$R$13,0),COLUMN())</f>
        <v>0</v>
      </c>
      <c r="BB674" s="1051" cm="1">
        <f t="array" aca="1" ref="BB674" ca="1">INDEX(OFFSET($AK$19,MATCH($B674,$B$19:$B$150,0)-1,0,COUNTA($B$19:$B$24),COUNTA($AK$17:$BB$17)),MATCH($F674,$F$19:$F$24,0),MATCH(BB$17,$AK$17:$BB$17,0))*INDEX($10:$13,MATCH($O674,$R$10:$R$13,0),COLUMN())</f>
        <v>0</v>
      </c>
      <c r="BC674" s="1053">
        <f t="shared" ca="1" si="192"/>
        <v>0.512948285082928</v>
      </c>
      <c r="BE674" s="1"/>
      <c r="BF674" s="1"/>
      <c r="BG674" s="1"/>
      <c r="BH674" s="1"/>
      <c r="BI674" s="1"/>
      <c r="BJ674" s="1"/>
      <c r="BK674" s="1"/>
      <c r="BL674" s="1"/>
      <c r="BM674" s="1"/>
      <c r="BN674" s="1"/>
      <c r="BO674" s="1"/>
      <c r="BP674" s="1"/>
      <c r="BQ674" s="1"/>
      <c r="BR674" s="1"/>
      <c r="BS674" s="1"/>
      <c r="BT674" s="1"/>
      <c r="BU674" s="1"/>
      <c r="BV674" s="1"/>
      <c r="BW674" s="1"/>
      <c r="BX674" s="1"/>
      <c r="BY674" s="1"/>
      <c r="BZ674" s="1"/>
    </row>
    <row r="675" spans="2:78" ht="12" customHeight="1" outlineLevel="1" x14ac:dyDescent="0.25">
      <c r="B675" s="88" t="s">
        <v>116</v>
      </c>
      <c r="C675" s="88" t="s">
        <v>124</v>
      </c>
      <c r="D675" s="89" t="s">
        <v>152</v>
      </c>
      <c r="E675" s="89" t="s">
        <v>156</v>
      </c>
      <c r="F675" s="90" t="s">
        <v>92</v>
      </c>
      <c r="G675" s="18" t="s">
        <v>126</v>
      </c>
      <c r="H675" s="91" t="s">
        <v>127</v>
      </c>
      <c r="I675" s="92" t="s">
        <v>127</v>
      </c>
      <c r="J675" s="142">
        <v>1.55</v>
      </c>
      <c r="K675" s="143">
        <v>2.118052738336714</v>
      </c>
      <c r="L675" s="151">
        <f t="shared" ca="1" si="193"/>
        <v>2.0620691860922737</v>
      </c>
      <c r="M675" s="143">
        <f t="shared" ca="1" si="194"/>
        <v>6.4856240245792138</v>
      </c>
      <c r="N675" s="162">
        <f t="shared" ca="1" si="195"/>
        <v>4.3675712862424998</v>
      </c>
      <c r="O675" s="1060" t="s">
        <v>1585</v>
      </c>
      <c r="P675" s="88"/>
      <c r="Q675" s="89"/>
      <c r="R675" s="150"/>
      <c r="S675" s="1070"/>
      <c r="T675" s="1070"/>
      <c r="U675" s="1070"/>
      <c r="V675" s="1070"/>
      <c r="W675" s="1070"/>
      <c r="X675" s="1070"/>
      <c r="Y675" s="1070"/>
      <c r="Z675" s="1070"/>
      <c r="AA675" s="1070"/>
      <c r="AB675" s="1070"/>
      <c r="AC675" s="1070"/>
      <c r="AD675" s="1070"/>
      <c r="AE675" s="1070"/>
      <c r="AF675" s="1070"/>
      <c r="AG675" s="1070"/>
      <c r="AH675" s="1070"/>
      <c r="AI675" s="1070"/>
      <c r="AJ675" s="1071"/>
      <c r="AK675" s="1048" cm="1">
        <f t="array" aca="1" ref="AK675" ca="1">INDEX(OFFSET($AK$19,MATCH($B675,$B$19:$B$150,0)-1,0,COUNTA($B$19:$B$24),COUNTA($AK$17:$BB$17)),MATCH($F675,$F$19:$F$24,0),MATCH(AK$17,$AK$17:$BB$17,0))*INDEX($10:$13,MATCH($O675,$R$10:$R$13,0),COLUMN())</f>
        <v>1.0186911657580799</v>
      </c>
      <c r="AL675" s="1046" cm="1">
        <f t="array" aca="1" ref="AL675" ca="1">INDEX(OFFSET($AK$19,MATCH($B675,$B$19:$B$150,0)-1,0,COUNTA($B$19:$B$24),COUNTA($AK$17:$BB$17)),MATCH($F675,$F$19:$F$24,0),MATCH(AL$17,$AK$17:$BB$17,0))*INDEX($10:$13,MATCH($O675,$R$10:$R$13,0),COLUMN())</f>
        <v>1.0950777955000001E-6</v>
      </c>
      <c r="AM675" s="1046" cm="1">
        <f t="array" aca="1" ref="AM675" ca="1">INDEX(OFFSET($AK$19,MATCH($B675,$B$19:$B$150,0)-1,0,COUNTA($B$19:$B$24),COUNTA($AK$17:$BB$17)),MATCH($F675,$F$19:$F$24,0),MATCH(AM$17,$AK$17:$BB$17,0))*INDEX($10:$13,MATCH($O675,$R$10:$R$13,0),COLUMN())</f>
        <v>1.8304311766E-3</v>
      </c>
      <c r="AN675" s="1046" cm="1">
        <f t="array" aca="1" ref="AN675" ca="1">INDEX(OFFSET($AK$19,MATCH($B675,$B$19:$B$150,0)-1,0,COUNTA($B$19:$B$24),COUNTA($AK$17:$BB$17)),MATCH($F675,$F$19:$F$24,0),MATCH(AN$17,$AK$17:$BB$17,0))*INDEX($10:$13,MATCH($O675,$R$10:$R$13,0),COLUMN())</f>
        <v>7.1560525600000008E-3</v>
      </c>
      <c r="AO675" s="1046" cm="1">
        <f t="array" aca="1" ref="AO675" ca="1">INDEX(OFFSET($AK$19,MATCH($B675,$B$19:$B$150,0)-1,0,COUNTA($B$19:$B$24),COUNTA($AK$17:$BB$17)),MATCH($F675,$F$19:$F$24,0),MATCH(AO$17,$AK$17:$BB$17,0))*INDEX($10:$13,MATCH($O675,$R$10:$R$13,0),COLUMN())</f>
        <v>0.64117921999999994</v>
      </c>
      <c r="AP675" s="1046" cm="1">
        <f t="array" aca="1" ref="AP675" ca="1">INDEX(OFFSET($AK$19,MATCH($B675,$B$19:$B$150,0)-1,0,COUNTA($B$19:$B$24),COUNTA($AK$17:$BB$17)),MATCH($F675,$F$19:$F$24,0),MATCH(AP$17,$AK$17:$BB$17,0))*INDEX($10:$13,MATCH($O675,$R$10:$R$13,0),COLUMN())</f>
        <v>0.36510996526000006</v>
      </c>
      <c r="AQ675" s="1046" cm="1">
        <f t="array" aca="1" ref="AQ675" ca="1">INDEX(OFFSET($AK$19,MATCH($B675,$B$19:$B$150,0)-1,0,COUNTA($B$19:$B$24),COUNTA($AK$17:$BB$17)),MATCH($F675,$F$19:$F$24,0),MATCH(AQ$17,$AK$17:$BB$17,0))*INDEX($10:$13,MATCH($O675,$R$10:$R$13,0),COLUMN())</f>
        <v>8.2649134659999995E-4</v>
      </c>
      <c r="AR675" s="1046" cm="1">
        <f t="array" aca="1" ref="AR675" ca="1">INDEX(OFFSET($AK$19,MATCH($B675,$B$19:$B$150,0)-1,0,COUNTA($B$19:$B$24),COUNTA($AK$17:$BB$17)),MATCH($F675,$F$19:$F$24,0),MATCH(AR$17,$AK$17:$BB$17,0))*INDEX($10:$13,MATCH($O675,$R$10:$R$13,0),COLUMN())</f>
        <v>4.9526159100000001E-2</v>
      </c>
      <c r="AS675" s="1046" cm="1">
        <f t="array" aca="1" ref="AS675" ca="1">INDEX(OFFSET($AK$19,MATCH($B675,$B$19:$B$150,0)-1,0,COUNTA($B$19:$B$24),COUNTA($AK$17:$BB$17)),MATCH($F675,$F$19:$F$24,0),MATCH(AS$17,$AK$17:$BB$17,0))*INDEX($10:$13,MATCH($O675,$R$10:$R$13,0),COLUMN())</f>
        <v>0.28853592195</v>
      </c>
      <c r="AT675" s="1046" cm="1">
        <f t="array" aca="1" ref="AT675" ca="1">INDEX(OFFSET($AK$19,MATCH($B675,$B$19:$B$150,0)-1,0,COUNTA($B$19:$B$24),COUNTA($AK$17:$BB$17)),MATCH($F675,$F$19:$F$24,0),MATCH(AT$17,$AK$17:$BB$17,0))*INDEX($10:$13,MATCH($O675,$R$10:$R$13,0),COLUMN())</f>
        <v>3.3663746231999997E-4</v>
      </c>
      <c r="AU675" s="1046" cm="1">
        <f t="array" aca="1" ref="AU675" ca="1">INDEX(OFFSET($AK$19,MATCH($B675,$B$19:$B$150,0)-1,0,COUNTA($B$19:$B$24),COUNTA($AK$17:$BB$17)),MATCH($F675,$F$19:$F$24,0),MATCH(AU$17,$AK$17:$BB$17,0))*INDEX($10:$13,MATCH($O675,$R$10:$R$13,0),COLUMN())</f>
        <v>1.8746704989000001E-5</v>
      </c>
      <c r="AV675" s="1046" cm="1">
        <f t="array" aca="1" ref="AV675" ca="1">INDEX(OFFSET($AK$19,MATCH($B675,$B$19:$B$150,0)-1,0,COUNTA($B$19:$B$24),COUNTA($AK$17:$BB$17)),MATCH($F675,$F$19:$F$24,0),MATCH(AV$17,$AK$17:$BB$17,0))*INDEX($10:$13,MATCH($O675,$R$10:$R$13,0),COLUMN())</f>
        <v>1.4176419102000001E-2</v>
      </c>
      <c r="AW675" s="1046" cm="1">
        <f t="array" aca="1" ref="AW675" ca="1">INDEX(OFFSET($AK$19,MATCH($B675,$B$19:$B$150,0)-1,0,COUNTA($B$19:$B$24),COUNTA($AK$17:$BB$17)),MATCH($F675,$F$19:$F$24,0),MATCH(AW$17,$AK$17:$BB$17,0))*INDEX($10:$13,MATCH($O675,$R$10:$R$13,0),COLUMN())</f>
        <v>1.9229987190000002</v>
      </c>
      <c r="AX675" s="1046" cm="1">
        <f t="array" aca="1" ref="AX675" ca="1">INDEX(OFFSET($AK$19,MATCH($B675,$B$19:$B$150,0)-1,0,COUNTA($B$19:$B$24),COUNTA($AK$17:$BB$17)),MATCH($F675,$F$19:$F$24,0),MATCH(AX$17,$AK$17:$BB$17,0))*INDEX($10:$13,MATCH($O675,$R$10:$R$13,0),COLUMN())</f>
        <v>1.3555519115000001E-5</v>
      </c>
      <c r="AY675" s="1046" cm="1">
        <f t="array" aca="1" ref="AY675" ca="1">INDEX(OFFSET($AK$19,MATCH($B675,$B$19:$B$150,0)-1,0,COUNTA($B$19:$B$24),COUNTA($AK$17:$BB$17)),MATCH($F675,$F$19:$F$24,0),MATCH(AY$17,$AK$17:$BB$17,0))*INDEX($10:$13,MATCH($O675,$R$10:$R$13,0),COLUMN())</f>
        <v>5.7170706224999999E-2</v>
      </c>
      <c r="AZ675" s="1046" cm="1">
        <f t="array" aca="1" ref="AZ675" ca="1">INDEX(OFFSET($AK$19,MATCH($B675,$B$19:$B$150,0)-1,0,COUNTA($B$19:$B$24),COUNTA($AK$17:$BB$17)),MATCH($F675,$F$19:$F$24,0),MATCH(AZ$17,$AK$17:$BB$17,0))*INDEX($10:$13,MATCH($O675,$R$10:$R$13,0),COLUMN())</f>
        <v>0</v>
      </c>
      <c r="BA675" s="1046" cm="1">
        <f t="array" aca="1" ref="BA675" ca="1">INDEX(OFFSET($AK$19,MATCH($B675,$B$19:$B$150,0)-1,0,COUNTA($B$19:$B$24),COUNTA($AK$17:$BB$17)),MATCH($F675,$F$19:$F$24,0),MATCH(BA$17,$AK$17:$BB$17,0))*INDEX($10:$13,MATCH($O675,$R$10:$R$13,0),COLUMN())</f>
        <v>0</v>
      </c>
      <c r="BB675" s="1047" cm="1">
        <f t="array" aca="1" ref="BB675" ca="1">INDEX(OFFSET($AK$19,MATCH($B675,$B$19:$B$150,0)-1,0,COUNTA($B$19:$B$24),COUNTA($AK$17:$BB$17)),MATCH($F675,$F$19:$F$24,0),MATCH(BB$17,$AK$17:$BB$17,0))*INDEX($10:$13,MATCH($O675,$R$10:$R$13,0),COLUMN())</f>
        <v>0</v>
      </c>
      <c r="BC675" s="1049">
        <f t="shared" ca="1" si="192"/>
        <v>1.9801829807441151</v>
      </c>
      <c r="BE675" s="1"/>
      <c r="BF675" s="1"/>
      <c r="BG675" s="1"/>
      <c r="BH675" s="1"/>
      <c r="BI675" s="1"/>
      <c r="BJ675" s="1"/>
      <c r="BK675" s="1"/>
      <c r="BL675" s="1"/>
      <c r="BM675" s="1"/>
      <c r="BN675" s="1"/>
      <c r="BO675" s="1"/>
      <c r="BP675" s="1"/>
      <c r="BQ675" s="1"/>
      <c r="BR675" s="1"/>
      <c r="BS675" s="1"/>
      <c r="BT675" s="1"/>
      <c r="BU675" s="1"/>
      <c r="BV675" s="1"/>
      <c r="BW675" s="1"/>
      <c r="BX675" s="1"/>
      <c r="BY675" s="1"/>
      <c r="BZ675" s="1"/>
    </row>
    <row r="676" spans="2:78" ht="12" customHeight="1" outlineLevel="1" x14ac:dyDescent="0.25">
      <c r="B676" s="104" t="s">
        <v>116</v>
      </c>
      <c r="C676" s="104" t="s">
        <v>124</v>
      </c>
      <c r="D676" s="2" t="s">
        <v>152</v>
      </c>
      <c r="E676" s="2" t="s">
        <v>156</v>
      </c>
      <c r="F676" s="105" t="s">
        <v>122</v>
      </c>
      <c r="G676" s="27" t="s">
        <v>1579</v>
      </c>
      <c r="H676" s="106" t="s">
        <v>128</v>
      </c>
      <c r="I676" s="107" t="s">
        <v>129</v>
      </c>
      <c r="J676" s="147">
        <v>1.55</v>
      </c>
      <c r="K676" s="148">
        <v>4.3927738336713995</v>
      </c>
      <c r="L676" s="149">
        <f t="shared" ca="1" si="193"/>
        <v>1.1397096845789112</v>
      </c>
      <c r="M676" s="148">
        <f t="shared" ca="1" si="194"/>
        <v>9.3992607140715236</v>
      </c>
      <c r="N676" s="163">
        <f t="shared" ca="1" si="195"/>
        <v>5.006486880400125</v>
      </c>
      <c r="O676" s="1061" t="s">
        <v>1585</v>
      </c>
      <c r="P676" s="104"/>
      <c r="R676" s="119"/>
      <c r="S676" s="1072"/>
      <c r="T676" s="1072"/>
      <c r="U676" s="1072"/>
      <c r="V676" s="1072"/>
      <c r="W676" s="1072"/>
      <c r="X676" s="1072"/>
      <c r="Y676" s="1072"/>
      <c r="Z676" s="1072"/>
      <c r="AA676" s="1072"/>
      <c r="AB676" s="1072"/>
      <c r="AC676" s="1072"/>
      <c r="AD676" s="1072"/>
      <c r="AE676" s="1072"/>
      <c r="AF676" s="1072"/>
      <c r="AG676" s="1072"/>
      <c r="AH676" s="1072"/>
      <c r="AI676" s="1072"/>
      <c r="AJ676" s="1073"/>
      <c r="AK676" s="1052" cm="1">
        <f t="array" aca="1" ref="AK676" ca="1">INDEX(OFFSET($AK$19,MATCH($B676,$B$19:$B$150,0)-1,0,COUNTA($B$19:$B$24),COUNTA($AK$17:$BB$17)),MATCH($F676,$F$19:$F$24,0),MATCH(AK$17,$AK$17:$BB$17,0))*INDEX($10:$13,MATCH($O676,$R$10:$R$13,0),COLUMN())</f>
        <v>0.49034517216768003</v>
      </c>
      <c r="AL676" s="1050" cm="1">
        <f t="array" aca="1" ref="AL676" ca="1">INDEX(OFFSET($AK$19,MATCH($B676,$B$19:$B$150,0)-1,0,COUNTA($B$19:$B$24),COUNTA($AK$17:$BB$17)),MATCH($F676,$F$19:$F$24,0),MATCH(AL$17,$AK$17:$BB$17,0))*INDEX($10:$13,MATCH($O676,$R$10:$R$13,0),COLUMN())</f>
        <v>1.1851095375E-6</v>
      </c>
      <c r="AM676" s="1050" cm="1">
        <f t="array" aca="1" ref="AM676" ca="1">INDEX(OFFSET($AK$19,MATCH($B676,$B$19:$B$150,0)-1,0,COUNTA($B$19:$B$24),COUNTA($AK$17:$BB$17)),MATCH($F676,$F$19:$F$24,0),MATCH(AM$17,$AK$17:$BB$17,0))*INDEX($10:$13,MATCH($O676,$R$10:$R$13,0),COLUMN())</f>
        <v>1.9529636489999998E-3</v>
      </c>
      <c r="AN676" s="1050" cm="1">
        <f t="array" aca="1" ref="AN676" ca="1">INDEX(OFFSET($AK$19,MATCH($B676,$B$19:$B$150,0)-1,0,COUNTA($B$19:$B$24),COUNTA($AK$17:$BB$17)),MATCH($F676,$F$19:$F$24,0),MATCH(AN$17,$AK$17:$BB$17,0))*INDEX($10:$13,MATCH($O676,$R$10:$R$13,0),COLUMN())</f>
        <v>5.7212452160000007E-3</v>
      </c>
      <c r="AO676" s="1050" cm="1">
        <f t="array" aca="1" ref="AO676" ca="1">INDEX(OFFSET($AK$19,MATCH($B676,$B$19:$B$150,0)-1,0,COUNTA($B$19:$B$24),COUNTA($AK$17:$BB$17)),MATCH($F676,$F$19:$F$24,0),MATCH(AO$17,$AK$17:$BB$17,0))*INDEX($10:$13,MATCH($O676,$R$10:$R$13,0),COLUMN())</f>
        <v>0.66591060400000002</v>
      </c>
      <c r="AP676" s="1050" cm="1">
        <f t="array" aca="1" ref="AP676" ca="1">INDEX(OFFSET($AK$19,MATCH($B676,$B$19:$B$150,0)-1,0,COUNTA($B$19:$B$24),COUNTA($AK$17:$BB$17)),MATCH($F676,$F$19:$F$24,0),MATCH(AP$17,$AK$17:$BB$17,0))*INDEX($10:$13,MATCH($O676,$R$10:$R$13,0),COLUMN())</f>
        <v>0.37551382068</v>
      </c>
      <c r="AQ676" s="1050" cm="1">
        <f t="array" aca="1" ref="AQ676" ca="1">INDEX(OFFSET($AK$19,MATCH($B676,$B$19:$B$150,0)-1,0,COUNTA($B$19:$B$24),COUNTA($AK$17:$BB$17)),MATCH($F676,$F$19:$F$24,0),MATCH(AQ$17,$AK$17:$BB$17,0))*INDEX($10:$13,MATCH($O676,$R$10:$R$13,0),COLUMN())</f>
        <v>1.4615555384999999E-4</v>
      </c>
      <c r="AR676" s="1050" cm="1">
        <f t="array" aca="1" ref="AR676" ca="1">INDEX(OFFSET($AK$19,MATCH($B676,$B$19:$B$150,0)-1,0,COUNTA($B$19:$B$24),COUNTA($AK$17:$BB$17)),MATCH($F676,$F$19:$F$24,0),MATCH(AR$17,$AK$17:$BB$17,0))*INDEX($10:$13,MATCH($O676,$R$10:$R$13,0),COLUMN())</f>
        <v>3.612028951E-2</v>
      </c>
      <c r="AS676" s="1050" cm="1">
        <f t="array" aca="1" ref="AS676" ca="1">INDEX(OFFSET($AK$19,MATCH($B676,$B$19:$B$150,0)-1,0,COUNTA($B$19:$B$24),COUNTA($AK$17:$BB$17)),MATCH($F676,$F$19:$F$24,0),MATCH(AS$17,$AK$17:$BB$17,0))*INDEX($10:$13,MATCH($O676,$R$10:$R$13,0),COLUMN())</f>
        <v>1.926096186E-4</v>
      </c>
      <c r="AT676" s="1050" cm="1">
        <f t="array" aca="1" ref="AT676" ca="1">INDEX(OFFSET($AK$19,MATCH($B676,$B$19:$B$150,0)-1,0,COUNTA($B$19:$B$24),COUNTA($AK$17:$BB$17)),MATCH($F676,$F$19:$F$24,0),MATCH(AT$17,$AK$17:$BB$17,0))*INDEX($10:$13,MATCH($O676,$R$10:$R$13,0),COLUMN())</f>
        <v>1.2833993004E-5</v>
      </c>
      <c r="AU676" s="1050" cm="1">
        <f t="array" aca="1" ref="AU676" ca="1">INDEX(OFFSET($AK$19,MATCH($B676,$B$19:$B$150,0)-1,0,COUNTA($B$19:$B$24),COUNTA($AK$17:$BB$17)),MATCH($F676,$F$19:$F$24,0),MATCH(AU$17,$AK$17:$BB$17,0))*INDEX($10:$13,MATCH($O676,$R$10:$R$13,0),COLUMN())</f>
        <v>2.8697777901000004E-6</v>
      </c>
      <c r="AV676" s="1050" cm="1">
        <f t="array" aca="1" ref="AV676" ca="1">INDEX(OFFSET($AK$19,MATCH($B676,$B$19:$B$150,0)-1,0,COUNTA($B$19:$B$24),COUNTA($AK$17:$BB$17)),MATCH($F676,$F$19:$F$24,0),MATCH(AV$17,$AK$17:$BB$17,0))*INDEX($10:$13,MATCH($O676,$R$10:$R$13,0),COLUMN())</f>
        <v>1.0368809999999999E-3</v>
      </c>
      <c r="AW676" s="1050" cm="1">
        <f t="array" aca="1" ref="AW676" ca="1">INDEX(OFFSET($AK$19,MATCH($B676,$B$19:$B$150,0)-1,0,COUNTA($B$19:$B$24),COUNTA($AK$17:$BB$17)),MATCH($F676,$F$19:$F$24,0),MATCH(AW$17,$AK$17:$BB$17,0))*INDEX($10:$13,MATCH($O676,$R$10:$R$13,0),COLUMN())</f>
        <v>3.4294942850000001</v>
      </c>
      <c r="AX676" s="1050" cm="1">
        <f t="array" aca="1" ref="AX676" ca="1">INDEX(OFFSET($AK$19,MATCH($B676,$B$19:$B$150,0)-1,0,COUNTA($B$19:$B$24),COUNTA($AK$17:$BB$17)),MATCH($F676,$F$19:$F$24,0),MATCH(AX$17,$AK$17:$BB$17,0))*INDEX($10:$13,MATCH($O676,$R$10:$R$13,0),COLUMN())</f>
        <v>1.2823474000000002E-5</v>
      </c>
      <c r="AY676" s="1050" cm="1">
        <f t="array" aca="1" ref="AY676" ca="1">INDEX(OFFSET($AK$19,MATCH($B676,$B$19:$B$150,0)-1,0,COUNTA($B$19:$B$24),COUNTA($AK$17:$BB$17)),MATCH($F676,$F$19:$F$24,0),MATCH(AY$17,$AK$17:$BB$17,0))*INDEX($10:$13,MATCH($O676,$R$10:$R$13,0),COLUMN())</f>
        <v>2.3141650663125E-5</v>
      </c>
      <c r="AZ676" s="1050" cm="1">
        <f t="array" aca="1" ref="AZ676" ca="1">INDEX(OFFSET($AK$19,MATCH($B676,$B$19:$B$150,0)-1,0,COUNTA($B$19:$B$24),COUNTA($AK$17:$BB$17)),MATCH($F676,$F$19:$F$24,0),MATCH(AZ$17,$AK$17:$BB$17,0))*INDEX($10:$13,MATCH($O676,$R$10:$R$13,0),COLUMN())</f>
        <v>0</v>
      </c>
      <c r="BA676" s="1050" cm="1">
        <f t="array" aca="1" ref="BA676" ca="1">INDEX(OFFSET($AK$19,MATCH($B676,$B$19:$B$150,0)-1,0,COUNTA($B$19:$B$24),COUNTA($AK$17:$BB$17)),MATCH($F676,$F$19:$F$24,0),MATCH(BA$17,$AK$17:$BB$17,0))*INDEX($10:$13,MATCH($O676,$R$10:$R$13,0),COLUMN())</f>
        <v>0</v>
      </c>
      <c r="BB676" s="1051" cm="1">
        <f t="array" aca="1" ref="BB676" ca="1">INDEX(OFFSET($AK$19,MATCH($B676,$B$19:$B$150,0)-1,0,COUNTA($B$19:$B$24),COUNTA($AK$17:$BB$17)),MATCH($F676,$F$19:$F$24,0),MATCH(BB$17,$AK$17:$BB$17,0))*INDEX($10:$13,MATCH($O676,$R$10:$R$13,0),COLUMN())</f>
        <v>0</v>
      </c>
      <c r="BC676" s="1053">
        <f t="shared" ca="1" si="192"/>
        <v>3.4295302501246634</v>
      </c>
      <c r="BE676" s="1"/>
      <c r="BF676" s="1"/>
      <c r="BG676" s="1"/>
      <c r="BH676" s="1"/>
      <c r="BI676" s="1"/>
      <c r="BJ676" s="1"/>
      <c r="BK676" s="1"/>
      <c r="BL676" s="1"/>
      <c r="BM676" s="1"/>
      <c r="BN676" s="1"/>
      <c r="BO676" s="1"/>
      <c r="BP676" s="1"/>
      <c r="BQ676" s="1"/>
      <c r="BR676" s="1"/>
      <c r="BS676" s="1"/>
      <c r="BT676" s="1"/>
      <c r="BU676" s="1"/>
      <c r="BV676" s="1"/>
      <c r="BW676" s="1"/>
      <c r="BX676" s="1"/>
      <c r="BY676" s="1"/>
      <c r="BZ676" s="1"/>
    </row>
    <row r="677" spans="2:78" ht="12" customHeight="1" outlineLevel="1" x14ac:dyDescent="0.25">
      <c r="B677" s="104" t="s">
        <v>116</v>
      </c>
      <c r="C677" s="104" t="s">
        <v>124</v>
      </c>
      <c r="D677" s="2" t="s">
        <v>152</v>
      </c>
      <c r="E677" s="2" t="s">
        <v>156</v>
      </c>
      <c r="F677" s="105" t="s">
        <v>93</v>
      </c>
      <c r="G677" s="27" t="s">
        <v>1578</v>
      </c>
      <c r="H677" s="106" t="s">
        <v>130</v>
      </c>
      <c r="I677" s="107" t="s">
        <v>129</v>
      </c>
      <c r="J677" s="147">
        <v>1.55</v>
      </c>
      <c r="K677" s="148">
        <v>4.3927738336713995</v>
      </c>
      <c r="L677" s="149">
        <f t="shared" ca="1" si="193"/>
        <v>1.4033482640346864</v>
      </c>
      <c r="M677" s="148">
        <f t="shared" ca="1" si="194"/>
        <v>10.557365367451151</v>
      </c>
      <c r="N677" s="163">
        <f t="shared" ca="1" si="195"/>
        <v>6.1645915337797526</v>
      </c>
      <c r="O677" s="1061" t="s">
        <v>1585</v>
      </c>
      <c r="P677" s="104"/>
      <c r="R677" s="119"/>
      <c r="S677" s="1072"/>
      <c r="T677" s="1072"/>
      <c r="U677" s="1072"/>
      <c r="V677" s="1072"/>
      <c r="W677" s="1072"/>
      <c r="X677" s="1072"/>
      <c r="Y677" s="1072"/>
      <c r="Z677" s="1072"/>
      <c r="AA677" s="1072"/>
      <c r="AB677" s="1072"/>
      <c r="AC677" s="1072"/>
      <c r="AD677" s="1072"/>
      <c r="AE677" s="1072"/>
      <c r="AF677" s="1072"/>
      <c r="AG677" s="1072"/>
      <c r="AH677" s="1072"/>
      <c r="AI677" s="1072"/>
      <c r="AJ677" s="1073"/>
      <c r="AK677" s="1052" cm="1">
        <f t="array" aca="1" ref="AK677" ca="1">INDEX(OFFSET($AK$19,MATCH($B677,$B$19:$B$150,0)-1,0,COUNTA($B$19:$B$24),COUNTA($AK$17:$BB$17)),MATCH($F677,$F$19:$F$24,0),MATCH(AK$17,$AK$17:$BB$17,0))*INDEX($10:$13,MATCH($O677,$R$10:$R$13,0),COLUMN())</f>
        <v>0.55954420447487996</v>
      </c>
      <c r="AL677" s="1050" cm="1">
        <f t="array" aca="1" ref="AL677" ca="1">INDEX(OFFSET($AK$19,MATCH($B677,$B$19:$B$150,0)-1,0,COUNTA($B$19:$B$24),COUNTA($AK$17:$BB$17)),MATCH($F677,$F$19:$F$24,0),MATCH(AL$17,$AK$17:$BB$17,0))*INDEX($10:$13,MATCH($O677,$R$10:$R$13,0),COLUMN())</f>
        <v>1.2407136415E-6</v>
      </c>
      <c r="AM677" s="1050" cm="1">
        <f t="array" aca="1" ref="AM677" ca="1">INDEX(OFFSET($AK$19,MATCH($B677,$B$19:$B$150,0)-1,0,COUNTA($B$19:$B$24),COUNTA($AK$17:$BB$17)),MATCH($F677,$F$19:$F$24,0),MATCH(AM$17,$AK$17:$BB$17,0))*INDEX($10:$13,MATCH($O677,$R$10:$R$13,0),COLUMN())</f>
        <v>2.0423065831999998E-3</v>
      </c>
      <c r="AN677" s="1050" cm="1">
        <f t="array" aca="1" ref="AN677" ca="1">INDEX(OFFSET($AK$19,MATCH($B677,$B$19:$B$150,0)-1,0,COUNTA($B$19:$B$24),COUNTA($AK$17:$BB$17)),MATCH($F677,$F$19:$F$24,0),MATCH(AN$17,$AK$17:$BB$17,0))*INDEX($10:$13,MATCH($O677,$R$10:$R$13,0),COLUMN())</f>
        <v>6.7714752640000006E-3</v>
      </c>
      <c r="AO677" s="1050" cm="1">
        <f t="array" aca="1" ref="AO677" ca="1">INDEX(OFFSET($AK$19,MATCH($B677,$B$19:$B$150,0)-1,0,COUNTA($B$19:$B$24),COUNTA($AK$17:$BB$17)),MATCH($F677,$F$19:$F$24,0),MATCH(AO$17,$AK$17:$BB$17,0))*INDEX($10:$13,MATCH($O677,$R$10:$R$13,0),COLUMN())</f>
        <v>0.68323718959999991</v>
      </c>
      <c r="AP677" s="1050" cm="1">
        <f t="array" aca="1" ref="AP677" ca="1">INDEX(OFFSET($AK$19,MATCH($B677,$B$19:$B$150,0)-1,0,COUNTA($B$19:$B$24),COUNTA($AK$17:$BB$17)),MATCH($F677,$F$19:$F$24,0),MATCH(AP$17,$AK$17:$BB$17,0))*INDEX($10:$13,MATCH($O677,$R$10:$R$13,0),COLUMN())</f>
        <v>0.38502952588000006</v>
      </c>
      <c r="AQ677" s="1050" cm="1">
        <f t="array" aca="1" ref="AQ677" ca="1">INDEX(OFFSET($AK$19,MATCH($B677,$B$19:$B$150,0)-1,0,COUNTA($B$19:$B$24),COUNTA($AK$17:$BB$17)),MATCH($F677,$F$19:$F$24,0),MATCH(AQ$17,$AK$17:$BB$17,0))*INDEX($10:$13,MATCH($O677,$R$10:$R$13,0),COLUMN())</f>
        <v>1.8773620554999999E-4</v>
      </c>
      <c r="AR677" s="1050" cm="1">
        <f t="array" aca="1" ref="AR677" ca="1">INDEX(OFFSET($AK$19,MATCH($B677,$B$19:$B$150,0)-1,0,COUNTA($B$19:$B$24),COUNTA($AK$17:$BB$17)),MATCH($F677,$F$19:$F$24,0),MATCH(AR$17,$AK$17:$BB$17,0))*INDEX($10:$13,MATCH($O677,$R$10:$R$13,0),COLUMN())</f>
        <v>4.4479904199999996E-2</v>
      </c>
      <c r="AS677" s="1050" cm="1">
        <f t="array" aca="1" ref="AS677" ca="1">INDEX(OFFSET($AK$19,MATCH($B677,$B$19:$B$150,0)-1,0,COUNTA($B$19:$B$24),COUNTA($AK$17:$BB$17)),MATCH($F677,$F$19:$F$24,0),MATCH(AS$17,$AK$17:$BB$17,0))*INDEX($10:$13,MATCH($O677,$R$10:$R$13,0),COLUMN())</f>
        <v>4.5861947704999999E-4</v>
      </c>
      <c r="AT677" s="1050" cm="1">
        <f t="array" aca="1" ref="AT677" ca="1">INDEX(OFFSET($AK$19,MATCH($B677,$B$19:$B$150,0)-1,0,COUNTA($B$19:$B$24),COUNTA($AK$17:$BB$17)),MATCH($F677,$F$19:$F$24,0),MATCH(AT$17,$AK$17:$BB$17,0))*INDEX($10:$13,MATCH($O677,$R$10:$R$13,0),COLUMN())</f>
        <v>1.6349817944999999E-5</v>
      </c>
      <c r="AU677" s="1050" cm="1">
        <f t="array" aca="1" ref="AU677" ca="1">INDEX(OFFSET($AK$19,MATCH($B677,$B$19:$B$150,0)-1,0,COUNTA($B$19:$B$24),COUNTA($AK$17:$BB$17)),MATCH($F677,$F$19:$F$24,0),MATCH(AU$17,$AK$17:$BB$17,0))*INDEX($10:$13,MATCH($O677,$R$10:$R$13,0),COLUMN())</f>
        <v>3.6035996283000005E-6</v>
      </c>
      <c r="AV677" s="1050" cm="1">
        <f t="array" aca="1" ref="AV677" ca="1">INDEX(OFFSET($AK$19,MATCH($B677,$B$19:$B$150,0)-1,0,COUNTA($B$19:$B$24),COUNTA($AK$17:$BB$17)),MATCH($F677,$F$19:$F$24,0),MATCH(AV$17,$AK$17:$BB$17,0))*INDEX($10:$13,MATCH($O677,$R$10:$R$13,0),COLUMN())</f>
        <v>2.2796153909999998E-3</v>
      </c>
      <c r="AW677" s="1050" cm="1">
        <f t="array" aca="1" ref="AW677" ca="1">INDEX(OFFSET($AK$19,MATCH($B677,$B$19:$B$150,0)-1,0,COUNTA($B$19:$B$24),COUNTA($AK$17:$BB$17)),MATCH($F677,$F$19:$F$24,0),MATCH(AW$17,$AK$17:$BB$17,0))*INDEX($10:$13,MATCH($O677,$R$10:$R$13,0),COLUMN())</f>
        <v>4.4805028685000003</v>
      </c>
      <c r="AX677" s="1050" cm="1">
        <f t="array" aca="1" ref="AX677" ca="1">INDEX(OFFSET($AK$19,MATCH($B677,$B$19:$B$150,0)-1,0,COUNTA($B$19:$B$24),COUNTA($AK$17:$BB$17)),MATCH($F677,$F$19:$F$24,0),MATCH(AX$17,$AK$17:$BB$17,0))*INDEX($10:$13,MATCH($O677,$R$10:$R$13,0),COLUMN())</f>
        <v>1.3263629655000001E-5</v>
      </c>
      <c r="AY677" s="1050" cm="1">
        <f t="array" aca="1" ref="AY677" ca="1">INDEX(OFFSET($AK$19,MATCH($B677,$B$19:$B$150,0)-1,0,COUNTA($B$19:$B$24),COUNTA($AK$17:$BB$17)),MATCH($F677,$F$19:$F$24,0),MATCH(AY$17,$AK$17:$BB$17,0))*INDEX($10:$13,MATCH($O677,$R$10:$R$13,0),COLUMN())</f>
        <v>2.3630443201875003E-5</v>
      </c>
      <c r="AZ677" s="1050" cm="1">
        <f t="array" aca="1" ref="AZ677" ca="1">INDEX(OFFSET($AK$19,MATCH($B677,$B$19:$B$150,0)-1,0,COUNTA($B$19:$B$24),COUNTA($AK$17:$BB$17)),MATCH($F677,$F$19:$F$24,0),MATCH(AZ$17,$AK$17:$BB$17,0))*INDEX($10:$13,MATCH($O677,$R$10:$R$13,0),COLUMN())</f>
        <v>0</v>
      </c>
      <c r="BA677" s="1050" cm="1">
        <f t="array" aca="1" ref="BA677" ca="1">INDEX(OFFSET($AK$19,MATCH($B677,$B$19:$B$150,0)-1,0,COUNTA($B$19:$B$24),COUNTA($AK$17:$BB$17)),MATCH($F677,$F$19:$F$24,0),MATCH(BA$17,$AK$17:$BB$17,0))*INDEX($10:$13,MATCH($O677,$R$10:$R$13,0),COLUMN())</f>
        <v>0</v>
      </c>
      <c r="BB677" s="1051" cm="1">
        <f t="array" aca="1" ref="BB677" ca="1">INDEX(OFFSET($AK$19,MATCH($B677,$B$19:$B$150,0)-1,0,COUNTA($B$19:$B$24),COUNTA($AK$17:$BB$17)),MATCH($F677,$F$19:$F$24,0),MATCH(BB$17,$AK$17:$BB$17,0))*INDEX($10:$13,MATCH($O677,$R$10:$R$13,0),COLUMN())</f>
        <v>0</v>
      </c>
      <c r="BC677" s="1053">
        <f t="shared" ca="1" si="192"/>
        <v>4.4805397625728576</v>
      </c>
      <c r="BE677" s="1"/>
      <c r="BF677" s="1"/>
      <c r="BG677" s="1"/>
      <c r="BH677" s="1"/>
      <c r="BI677" s="1"/>
      <c r="BJ677" s="1"/>
      <c r="BK677" s="1"/>
      <c r="BL677" s="1"/>
      <c r="BM677" s="1"/>
      <c r="BN677" s="1"/>
      <c r="BO677" s="1"/>
      <c r="BP677" s="1"/>
      <c r="BQ677" s="1"/>
      <c r="BR677" s="1"/>
      <c r="BS677" s="1"/>
      <c r="BT677" s="1"/>
      <c r="BU677" s="1"/>
      <c r="BV677" s="1"/>
      <c r="BW677" s="1"/>
      <c r="BX677" s="1"/>
      <c r="BY677" s="1"/>
      <c r="BZ677" s="1"/>
    </row>
    <row r="678" spans="2:78" ht="12" customHeight="1" outlineLevel="1" x14ac:dyDescent="0.25">
      <c r="B678" s="104" t="s">
        <v>116</v>
      </c>
      <c r="C678" s="104" t="s">
        <v>124</v>
      </c>
      <c r="D678" s="2" t="s">
        <v>152</v>
      </c>
      <c r="E678" s="2" t="s">
        <v>156</v>
      </c>
      <c r="F678" s="105" t="s">
        <v>94</v>
      </c>
      <c r="G678" s="27" t="s">
        <v>1580</v>
      </c>
      <c r="H678" s="106" t="s">
        <v>131</v>
      </c>
      <c r="I678" s="107" t="s">
        <v>129</v>
      </c>
      <c r="J678" s="147">
        <v>1.55</v>
      </c>
      <c r="K678" s="148">
        <v>4.3927738336713995</v>
      </c>
      <c r="L678" s="149">
        <f t="shared" ca="1" si="193"/>
        <v>0.97095309637818628</v>
      </c>
      <c r="M678" s="148">
        <f t="shared" ca="1" si="194"/>
        <v>8.6579511891637218</v>
      </c>
      <c r="N678" s="163">
        <f t="shared" ca="1" si="195"/>
        <v>4.2651773554923214</v>
      </c>
      <c r="O678" s="1061" t="s">
        <v>1585</v>
      </c>
      <c r="P678" s="104"/>
      <c r="R678" s="119"/>
      <c r="S678" s="1072"/>
      <c r="T678" s="1072"/>
      <c r="U678" s="1072"/>
      <c r="V678" s="1072"/>
      <c r="W678" s="1072"/>
      <c r="X678" s="1072"/>
      <c r="Y678" s="1072"/>
      <c r="Z678" s="1072"/>
      <c r="AA678" s="1072"/>
      <c r="AB678" s="1072"/>
      <c r="AC678" s="1072"/>
      <c r="AD678" s="1072"/>
      <c r="AE678" s="1072"/>
      <c r="AF678" s="1072"/>
      <c r="AG678" s="1072"/>
      <c r="AH678" s="1072"/>
      <c r="AI678" s="1072"/>
      <c r="AJ678" s="1073"/>
      <c r="AK678" s="1052" cm="1">
        <f t="array" aca="1" ref="AK678" ca="1">INDEX(OFFSET($AK$19,MATCH($B678,$B$19:$B$150,0)-1,0,COUNTA($B$19:$B$24),COUNTA($AK$17:$BB$17)),MATCH($F678,$F$19:$F$24,0),MATCH(AK$17,$AK$17:$BB$17,0))*INDEX($10:$13,MATCH($O678,$R$10:$R$13,0),COLUMN())</f>
        <v>0.44468712692928003</v>
      </c>
      <c r="AL678" s="1050" cm="1">
        <f t="array" aca="1" ref="AL678" ca="1">INDEX(OFFSET($AK$19,MATCH($B678,$B$19:$B$150,0)-1,0,COUNTA($B$19:$B$24),COUNTA($AK$17:$BB$17)),MATCH($F678,$F$19:$F$24,0),MATCH(AL$17,$AK$17:$BB$17,0))*INDEX($10:$13,MATCH($O678,$R$10:$R$13,0),COLUMN())</f>
        <v>1.1433944404000002E-6</v>
      </c>
      <c r="AM678" s="1050" cm="1">
        <f t="array" aca="1" ref="AM678" ca="1">INDEX(OFFSET($AK$19,MATCH($B678,$B$19:$B$150,0)-1,0,COUNTA($B$19:$B$24),COUNTA($AK$17:$BB$17)),MATCH($F678,$F$19:$F$24,0),MATCH(AM$17,$AK$17:$BB$17,0))*INDEX($10:$13,MATCH($O678,$R$10:$R$13,0),COLUMN())</f>
        <v>1.8856489417999999E-3</v>
      </c>
      <c r="AN678" s="1050" cm="1">
        <f t="array" aca="1" ref="AN678" ca="1">INDEX(OFFSET($AK$19,MATCH($B678,$B$19:$B$150,0)-1,0,COUNTA($B$19:$B$24),COUNTA($AK$17:$BB$17)),MATCH($F678,$F$19:$F$24,0),MATCH(AN$17,$AK$17:$BB$17,0))*INDEX($10:$13,MATCH($O678,$R$10:$R$13,0),COLUMN())</f>
        <v>5.0383229600000001E-3</v>
      </c>
      <c r="AO678" s="1050" cm="1">
        <f t="array" aca="1" ref="AO678" ca="1">INDEX(OFFSET($AK$19,MATCH($B678,$B$19:$B$150,0)-1,0,COUNTA($B$19:$B$24),COUNTA($AK$17:$BB$17)),MATCH($F678,$F$19:$F$24,0),MATCH(AO$17,$AK$17:$BB$17,0))*INDEX($10:$13,MATCH($O678,$R$10:$R$13,0),COLUMN())</f>
        <v>0.65169697400000004</v>
      </c>
      <c r="AP678" s="1050" cm="1">
        <f t="array" aca="1" ref="AP678" ca="1">INDEX(OFFSET($AK$19,MATCH($B678,$B$19:$B$150,0)-1,0,COUNTA($B$19:$B$24),COUNTA($AK$17:$BB$17)),MATCH($F678,$F$19:$F$24,0),MATCH(AP$17,$AK$17:$BB$17,0))*INDEX($10:$13,MATCH($O678,$R$10:$R$13,0),COLUMN())</f>
        <v>0.36725220734000003</v>
      </c>
      <c r="AQ678" s="1050" cm="1">
        <f t="array" aca="1" ref="AQ678" ca="1">INDEX(OFFSET($AK$19,MATCH($B678,$B$19:$B$150,0)-1,0,COUNTA($B$19:$B$24),COUNTA($AK$17:$BB$17)),MATCH($F678,$F$19:$F$24,0),MATCH(AQ$17,$AK$17:$BB$17,0))*INDEX($10:$13,MATCH($O678,$R$10:$R$13,0),COLUMN())</f>
        <v>1.1965897143E-4</v>
      </c>
      <c r="AR678" s="1050" cm="1">
        <f t="array" aca="1" ref="AR678" ca="1">INDEX(OFFSET($AK$19,MATCH($B678,$B$19:$B$150,0)-1,0,COUNTA($B$19:$B$24),COUNTA($AK$17:$BB$17)),MATCH($F678,$F$19:$F$24,0),MATCH(AR$17,$AK$17:$BB$17,0))*INDEX($10:$13,MATCH($O678,$R$10:$R$13,0),COLUMN())</f>
        <v>3.0650505791E-2</v>
      </c>
      <c r="AS678" s="1050" cm="1">
        <f t="array" aca="1" ref="AS678" ca="1">INDEX(OFFSET($AK$19,MATCH($B678,$B$19:$B$150,0)-1,0,COUNTA($B$19:$B$24),COUNTA($AK$17:$BB$17)),MATCH($F678,$F$19:$F$24,0),MATCH(AS$17,$AK$17:$BB$17,0))*INDEX($10:$13,MATCH($O678,$R$10:$R$13,0),COLUMN())</f>
        <v>2.7327664669999999E-5</v>
      </c>
      <c r="AT678" s="1050" cm="1">
        <f t="array" aca="1" ref="AT678" ca="1">INDEX(OFFSET($AK$19,MATCH($B678,$B$19:$B$150,0)-1,0,COUNTA($B$19:$B$24),COUNTA($AK$17:$BB$17)),MATCH($F678,$F$19:$F$24,0),MATCH(AT$17,$AK$17:$BB$17,0))*INDEX($10:$13,MATCH($O678,$R$10:$R$13,0),COLUMN())</f>
        <v>1.0596272204E-5</v>
      </c>
      <c r="AU678" s="1050" cm="1">
        <f t="array" aca="1" ref="AU678" ca="1">INDEX(OFFSET($AK$19,MATCH($B678,$B$19:$B$150,0)-1,0,COUNTA($B$19:$B$24),COUNTA($AK$17:$BB$17)),MATCH($F678,$F$19:$F$24,0),MATCH(AU$17,$AK$17:$BB$17,0))*INDEX($10:$13,MATCH($O678,$R$10:$R$13,0),COLUMN())</f>
        <v>2.401233309E-6</v>
      </c>
      <c r="AV678" s="1050" cm="1">
        <f t="array" aca="1" ref="AV678" ca="1">INDEX(OFFSET($AK$19,MATCH($B678,$B$19:$B$150,0)-1,0,COUNTA($B$19:$B$24),COUNTA($AK$17:$BB$17)),MATCH($F678,$F$19:$F$24,0),MATCH(AV$17,$AK$17:$BB$17,0))*INDEX($10:$13,MATCH($O678,$R$10:$R$13,0),COLUMN())</f>
        <v>2.7123328979999998E-4</v>
      </c>
      <c r="AW678" s="1050" cm="1">
        <f t="array" aca="1" ref="AW678" ca="1">INDEX(OFFSET($AK$19,MATCH($B678,$B$19:$B$150,0)-1,0,COUNTA($B$19:$B$24),COUNTA($AK$17:$BB$17)),MATCH($F678,$F$19:$F$24,0),MATCH(AW$17,$AK$17:$BB$17,0))*INDEX($10:$13,MATCH($O678,$R$10:$R$13,0),COLUMN())</f>
        <v>2.7634991305000001</v>
      </c>
      <c r="AX678" s="1050" cm="1">
        <f t="array" aca="1" ref="AX678" ca="1">INDEX(OFFSET($AK$19,MATCH($B678,$B$19:$B$150,0)-1,0,COUNTA($B$19:$B$24),COUNTA($AK$17:$BB$17)),MATCH($F678,$F$19:$F$24,0),MATCH(AX$17,$AK$17:$BB$17,0))*INDEX($10:$13,MATCH($O678,$R$10:$R$13,0),COLUMN())</f>
        <v>1.2463647610000002E-5</v>
      </c>
      <c r="AY678" s="1050" cm="1">
        <f t="array" aca="1" ref="AY678" ca="1">INDEX(OFFSET($AK$19,MATCH($B678,$B$19:$B$150,0)-1,0,COUNTA($B$19:$B$24),COUNTA($AK$17:$BB$17)),MATCH($F678,$F$19:$F$24,0),MATCH(AY$17,$AK$17:$BB$17,0))*INDEX($10:$13,MATCH($O678,$R$10:$R$13,0),COLUMN())</f>
        <v>2.2614556777500001E-5</v>
      </c>
      <c r="AZ678" s="1050" cm="1">
        <f t="array" aca="1" ref="AZ678" ca="1">INDEX(OFFSET($AK$19,MATCH($B678,$B$19:$B$150,0)-1,0,COUNTA($B$19:$B$24),COUNTA($AK$17:$BB$17)),MATCH($F678,$F$19:$F$24,0),MATCH(AZ$17,$AK$17:$BB$17,0))*INDEX($10:$13,MATCH($O678,$R$10:$R$13,0),COLUMN())</f>
        <v>0</v>
      </c>
      <c r="BA678" s="1050" cm="1">
        <f t="array" aca="1" ref="BA678" ca="1">INDEX(OFFSET($AK$19,MATCH($B678,$B$19:$B$150,0)-1,0,COUNTA($B$19:$B$24),COUNTA($AK$17:$BB$17)),MATCH($F678,$F$19:$F$24,0),MATCH(BA$17,$AK$17:$BB$17,0))*INDEX($10:$13,MATCH($O678,$R$10:$R$13,0),COLUMN())</f>
        <v>0</v>
      </c>
      <c r="BB678" s="1051" cm="1">
        <f t="array" aca="1" ref="BB678" ca="1">INDEX(OFFSET($AK$19,MATCH($B678,$B$19:$B$150,0)-1,0,COUNTA($B$19:$B$24),COUNTA($AK$17:$BB$17)),MATCH($F678,$F$19:$F$24,0),MATCH(BB$17,$AK$17:$BB$17,0))*INDEX($10:$13,MATCH($O678,$R$10:$R$13,0),COLUMN())</f>
        <v>0</v>
      </c>
      <c r="BC678" s="1053">
        <f t="shared" ca="1" si="192"/>
        <v>2.7635342087043875</v>
      </c>
      <c r="BE678" s="1"/>
      <c r="BF678" s="1"/>
      <c r="BG678" s="1"/>
      <c r="BH678" s="1"/>
      <c r="BI678" s="1"/>
      <c r="BJ678" s="1"/>
      <c r="BK678" s="1"/>
      <c r="BL678" s="1"/>
      <c r="BM678" s="1"/>
      <c r="BN678" s="1"/>
      <c r="BO678" s="1"/>
      <c r="BP678" s="1"/>
      <c r="BQ678" s="1"/>
      <c r="BR678" s="1"/>
      <c r="BS678" s="1"/>
      <c r="BT678" s="1"/>
      <c r="BU678" s="1"/>
      <c r="BV678" s="1"/>
      <c r="BW678" s="1"/>
      <c r="BX678" s="1"/>
      <c r="BY678" s="1"/>
      <c r="BZ678" s="1"/>
    </row>
    <row r="679" spans="2:78" ht="12" customHeight="1" outlineLevel="1" x14ac:dyDescent="0.25">
      <c r="B679" s="104" t="s">
        <v>116</v>
      </c>
      <c r="C679" s="104" t="s">
        <v>124</v>
      </c>
      <c r="D679" s="2" t="s">
        <v>152</v>
      </c>
      <c r="E679" s="2" t="s">
        <v>156</v>
      </c>
      <c r="F679" s="105" t="s">
        <v>95</v>
      </c>
      <c r="G679" s="27" t="s">
        <v>1581</v>
      </c>
      <c r="H679" s="106" t="s">
        <v>128</v>
      </c>
      <c r="I679" s="107" t="s">
        <v>127</v>
      </c>
      <c r="J679" s="147">
        <v>1.55</v>
      </c>
      <c r="K679" s="148">
        <v>4.3927738336713995</v>
      </c>
      <c r="L679" s="149">
        <f t="shared" ca="1" si="193"/>
        <v>1.1794832395058492</v>
      </c>
      <c r="M679" s="148">
        <f t="shared" ca="1" si="194"/>
        <v>9.5739769454266703</v>
      </c>
      <c r="N679" s="163">
        <f t="shared" ca="1" si="195"/>
        <v>5.1812031117552708</v>
      </c>
      <c r="O679" s="1061" t="s">
        <v>1585</v>
      </c>
      <c r="P679" s="104"/>
      <c r="R679" s="119"/>
      <c r="S679" s="1072"/>
      <c r="T679" s="1072"/>
      <c r="U679" s="1072"/>
      <c r="V679" s="1072"/>
      <c r="W679" s="1072"/>
      <c r="X679" s="1072"/>
      <c r="Y679" s="1072"/>
      <c r="Z679" s="1072"/>
      <c r="AA679" s="1072"/>
      <c r="AB679" s="1072"/>
      <c r="AC679" s="1072"/>
      <c r="AD679" s="1072"/>
      <c r="AE679" s="1072"/>
      <c r="AF679" s="1072"/>
      <c r="AG679" s="1072"/>
      <c r="AH679" s="1072"/>
      <c r="AI679" s="1072"/>
      <c r="AJ679" s="1073"/>
      <c r="AK679" s="1052" cm="1">
        <f t="array" aca="1" ref="AK679" ca="1">INDEX(OFFSET($AK$19,MATCH($B679,$B$19:$B$150,0)-1,0,COUNTA($B$19:$B$24),COUNTA($AK$17:$BB$17)),MATCH($F679,$F$19:$F$24,0),MATCH(AK$17,$AK$17:$BB$17,0))*INDEX($10:$13,MATCH($O679,$R$10:$R$13,0),COLUMN())</f>
        <v>0.51897709352832</v>
      </c>
      <c r="AL679" s="1050" cm="1">
        <f t="array" aca="1" ref="AL679" ca="1">INDEX(OFFSET($AK$19,MATCH($B679,$B$19:$B$150,0)-1,0,COUNTA($B$19:$B$24),COUNTA($AK$17:$BB$17)),MATCH($F679,$F$19:$F$24,0),MATCH(AL$17,$AK$17:$BB$17,0))*INDEX($10:$13,MATCH($O679,$R$10:$R$13,0),COLUMN())</f>
        <v>1.1863058721000002E-6</v>
      </c>
      <c r="AM679" s="1050" cm="1">
        <f t="array" aca="1" ref="AM679" ca="1">INDEX(OFFSET($AK$19,MATCH($B679,$B$19:$B$150,0)-1,0,COUNTA($B$19:$B$24),COUNTA($AK$17:$BB$17)),MATCH($F679,$F$19:$F$24,0),MATCH(AM$17,$AK$17:$BB$17,0))*INDEX($10:$13,MATCH($O679,$R$10:$R$13,0),COLUMN())</f>
        <v>1.9548686378000001E-3</v>
      </c>
      <c r="AN679" s="1050" cm="1">
        <f t="array" aca="1" ref="AN679" ca="1">INDEX(OFFSET($AK$19,MATCH($B679,$B$19:$B$150,0)-1,0,COUNTA($B$19:$B$24),COUNTA($AK$17:$BB$17)),MATCH($F679,$F$19:$F$24,0),MATCH(AN$17,$AK$17:$BB$17,0))*INDEX($10:$13,MATCH($O679,$R$10:$R$13,0),COLUMN())</f>
        <v>5.9695673840000005E-3</v>
      </c>
      <c r="AO679" s="1050" cm="1">
        <f t="array" aca="1" ref="AO679" ca="1">INDEX(OFFSET($AK$19,MATCH($B679,$B$19:$B$150,0)-1,0,COUNTA($B$19:$B$24),COUNTA($AK$17:$BB$17)),MATCH($F679,$F$19:$F$24,0),MATCH(AO$17,$AK$17:$BB$17,0))*INDEX($10:$13,MATCH($O679,$R$10:$R$13,0),COLUMN())</f>
        <v>0.73472963920000001</v>
      </c>
      <c r="AP679" s="1050" cm="1">
        <f t="array" aca="1" ref="AP679" ca="1">INDEX(OFFSET($AK$19,MATCH($B679,$B$19:$B$150,0)-1,0,COUNTA($B$19:$B$24),COUNTA($AK$17:$BB$17)),MATCH($F679,$F$19:$F$24,0),MATCH(AP$17,$AK$17:$BB$17,0))*INDEX($10:$13,MATCH($O679,$R$10:$R$13,0),COLUMN())</f>
        <v>0.42393432828000005</v>
      </c>
      <c r="AQ679" s="1050" cm="1">
        <f t="array" aca="1" ref="AQ679" ca="1">INDEX(OFFSET($AK$19,MATCH($B679,$B$19:$B$150,0)-1,0,COUNTA($B$19:$B$24),COUNTA($AK$17:$BB$17)),MATCH($F679,$F$19:$F$24,0),MATCH(AQ$17,$AK$17:$BB$17,0))*INDEX($10:$13,MATCH($O679,$R$10:$R$13,0),COLUMN())</f>
        <v>5.3805998029999994E-4</v>
      </c>
      <c r="AR679" s="1050" cm="1">
        <f t="array" aca="1" ref="AR679" ca="1">INDEX(OFFSET($AK$19,MATCH($B679,$B$19:$B$150,0)-1,0,COUNTA($B$19:$B$24),COUNTA($AK$17:$BB$17)),MATCH($F679,$F$19:$F$24,0),MATCH(AR$17,$AK$17:$BB$17,0))*INDEX($10:$13,MATCH($O679,$R$10:$R$13,0),COLUMN())</f>
        <v>4.7442204080000001E-2</v>
      </c>
      <c r="AS679" s="1050" cm="1">
        <f t="array" aca="1" ref="AS679" ca="1">INDEX(OFFSET($AK$19,MATCH($B679,$B$19:$B$150,0)-1,0,COUNTA($B$19:$B$24),COUNTA($AK$17:$BB$17)),MATCH($F679,$F$19:$F$24,0),MATCH(AS$17,$AK$17:$BB$17,0))*INDEX($10:$13,MATCH($O679,$R$10:$R$13,0),COLUMN())</f>
        <v>6.0744690944999997E-3</v>
      </c>
      <c r="AT679" s="1050" cm="1">
        <f t="array" aca="1" ref="AT679" ca="1">INDEX(OFFSET($AK$19,MATCH($B679,$B$19:$B$150,0)-1,0,COUNTA($B$19:$B$24),COUNTA($AK$17:$BB$17)),MATCH($F679,$F$19:$F$24,0),MATCH(AT$17,$AK$17:$BB$17,0))*INDEX($10:$13,MATCH($O679,$R$10:$R$13,0),COLUMN())</f>
        <v>1.7222902473999999E-5</v>
      </c>
      <c r="AU679" s="1050" cm="1">
        <f t="array" aca="1" ref="AU679" ca="1">INDEX(OFFSET($AK$19,MATCH($B679,$B$19:$B$150,0)-1,0,COUNTA($B$19:$B$24),COUNTA($AK$17:$BB$17)),MATCH($F679,$F$19:$F$24,0),MATCH(AU$17,$AK$17:$BB$17,0))*INDEX($10:$13,MATCH($O679,$R$10:$R$13,0),COLUMN())</f>
        <v>3.5418433410000001E-6</v>
      </c>
      <c r="AV679" s="1050" cm="1">
        <f t="array" aca="1" ref="AV679" ca="1">INDEX(OFFSET($AK$19,MATCH($B679,$B$19:$B$150,0)-1,0,COUNTA($B$19:$B$24),COUNTA($AK$17:$BB$17)),MATCH($F679,$F$19:$F$24,0),MATCH(AV$17,$AK$17:$BB$17,0))*INDEX($10:$13,MATCH($O679,$R$10:$R$13,0),COLUMN())</f>
        <v>1.2030680394000001E-2</v>
      </c>
      <c r="AW679" s="1050" cm="1">
        <f t="array" aca="1" ref="AW679" ca="1">INDEX(OFFSET($AK$19,MATCH($B679,$B$19:$B$150,0)-1,0,COUNTA($B$19:$B$24),COUNTA($AK$17:$BB$17)),MATCH($F679,$F$19:$F$24,0),MATCH(AW$17,$AK$17:$BB$17,0))*INDEX($10:$13,MATCH($O679,$R$10:$R$13,0),COLUMN())</f>
        <v>3.4294942850000001</v>
      </c>
      <c r="AX679" s="1050" cm="1">
        <f t="array" aca="1" ref="AX679" ca="1">INDEX(OFFSET($AK$19,MATCH($B679,$B$19:$B$150,0)-1,0,COUNTA($B$19:$B$24),COUNTA($AK$17:$BB$17)),MATCH($F679,$F$19:$F$24,0),MATCH(AX$17,$AK$17:$BB$17,0))*INDEX($10:$13,MATCH($O679,$R$10:$R$13,0),COLUMN())</f>
        <v>1.2823474000000002E-5</v>
      </c>
      <c r="AY679" s="1050" cm="1">
        <f t="array" aca="1" ref="AY679" ca="1">INDEX(OFFSET($AK$19,MATCH($B679,$B$19:$B$150,0)-1,0,COUNTA($B$19:$B$24),COUNTA($AK$17:$BB$17)),MATCH($F679,$F$19:$F$24,0),MATCH(AY$17,$AK$17:$BB$17,0))*INDEX($10:$13,MATCH($O679,$R$10:$R$13,0),COLUMN())</f>
        <v>2.3141650663125E-5</v>
      </c>
      <c r="AZ679" s="1050" cm="1">
        <f t="array" aca="1" ref="AZ679" ca="1">INDEX(OFFSET($AK$19,MATCH($B679,$B$19:$B$150,0)-1,0,COUNTA($B$19:$B$24),COUNTA($AK$17:$BB$17)),MATCH($F679,$F$19:$F$24,0),MATCH(AZ$17,$AK$17:$BB$17,0))*INDEX($10:$13,MATCH($O679,$R$10:$R$13,0),COLUMN())</f>
        <v>0</v>
      </c>
      <c r="BA679" s="1050" cm="1">
        <f t="array" aca="1" ref="BA679" ca="1">INDEX(OFFSET($AK$19,MATCH($B679,$B$19:$B$150,0)-1,0,COUNTA($B$19:$B$24),COUNTA($AK$17:$BB$17)),MATCH($F679,$F$19:$F$24,0),MATCH(BA$17,$AK$17:$BB$17,0))*INDEX($10:$13,MATCH($O679,$R$10:$R$13,0),COLUMN())</f>
        <v>0</v>
      </c>
      <c r="BB679" s="1051" cm="1">
        <f t="array" aca="1" ref="BB679" ca="1">INDEX(OFFSET($AK$19,MATCH($B679,$B$19:$B$150,0)-1,0,COUNTA($B$19:$B$24),COUNTA($AK$17:$BB$17)),MATCH($F679,$F$19:$F$24,0),MATCH(BB$17,$AK$17:$BB$17,0))*INDEX($10:$13,MATCH($O679,$R$10:$R$13,0),COLUMN())</f>
        <v>0</v>
      </c>
      <c r="BC679" s="1053">
        <f t="shared" ca="1" si="192"/>
        <v>3.4295302501246634</v>
      </c>
      <c r="BE679" s="1"/>
      <c r="BF679" s="1"/>
      <c r="BG679" s="1"/>
      <c r="BH679" s="1"/>
      <c r="BI679" s="1"/>
      <c r="BJ679" s="1"/>
      <c r="BK679" s="1"/>
      <c r="BL679" s="1"/>
      <c r="BM679" s="1"/>
      <c r="BN679" s="1"/>
      <c r="BO679" s="1"/>
      <c r="BP679" s="1"/>
      <c r="BQ679" s="1"/>
      <c r="BR679" s="1"/>
      <c r="BS679" s="1"/>
      <c r="BT679" s="1"/>
      <c r="BU679" s="1"/>
      <c r="BV679" s="1"/>
      <c r="BW679" s="1"/>
      <c r="BX679" s="1"/>
      <c r="BY679" s="1"/>
      <c r="BZ679" s="1"/>
    </row>
    <row r="680" spans="2:78" ht="12" customHeight="1" outlineLevel="1" x14ac:dyDescent="0.25">
      <c r="B680" s="104" t="s">
        <v>116</v>
      </c>
      <c r="C680" s="104" t="s">
        <v>124</v>
      </c>
      <c r="D680" s="2" t="s">
        <v>152</v>
      </c>
      <c r="E680" s="2" t="s">
        <v>156</v>
      </c>
      <c r="F680" s="105" t="s">
        <v>96</v>
      </c>
      <c r="G680" s="27" t="s">
        <v>1582</v>
      </c>
      <c r="H680" s="106" t="s">
        <v>128</v>
      </c>
      <c r="I680" s="107" t="s">
        <v>1577</v>
      </c>
      <c r="J680" s="147">
        <v>1.55</v>
      </c>
      <c r="K680" s="148">
        <v>4.3927738336713995</v>
      </c>
      <c r="L680" s="149">
        <f t="shared" ca="1" si="193"/>
        <v>1.2091618814828904</v>
      </c>
      <c r="M680" s="148">
        <f t="shared" ca="1" si="194"/>
        <v>9.7043485073223188</v>
      </c>
      <c r="N680" s="163">
        <f t="shared" ca="1" si="195"/>
        <v>5.3115746736509193</v>
      </c>
      <c r="O680" s="1061" t="s">
        <v>1585</v>
      </c>
      <c r="P680" s="104"/>
      <c r="R680" s="119"/>
      <c r="S680" s="1072"/>
      <c r="T680" s="1072"/>
      <c r="U680" s="1072"/>
      <c r="V680" s="1072"/>
      <c r="W680" s="1072"/>
      <c r="X680" s="1072"/>
      <c r="Y680" s="1072"/>
      <c r="Z680" s="1072"/>
      <c r="AA680" s="1072"/>
      <c r="AB680" s="1072"/>
      <c r="AC680" s="1072"/>
      <c r="AD680" s="1072"/>
      <c r="AE680" s="1072"/>
      <c r="AF680" s="1072"/>
      <c r="AG680" s="1072"/>
      <c r="AH680" s="1072"/>
      <c r="AI680" s="1072"/>
      <c r="AJ680" s="1073"/>
      <c r="AK680" s="1052" cm="1">
        <f t="array" aca="1" ref="AK680" ca="1">INDEX(OFFSET($AK$19,MATCH($B680,$B$19:$B$150,0)-1,0,COUNTA($B$19:$B$24),COUNTA($AK$17:$BB$17)),MATCH($F680,$F$19:$F$24,0),MATCH(AK$17,$AK$17:$BB$17,0))*INDEX($10:$13,MATCH($O680,$R$10:$R$13,0),COLUMN())</f>
        <v>0.53984352933312008</v>
      </c>
      <c r="AL680" s="1050" cm="1">
        <f t="array" aca="1" ref="AL680" ca="1">INDEX(OFFSET($AK$19,MATCH($B680,$B$19:$B$150,0)-1,0,COUNTA($B$19:$B$24),COUNTA($AK$17:$BB$17)),MATCH($F680,$F$19:$F$24,0),MATCH(AL$17,$AK$17:$BB$17,0))*INDEX($10:$13,MATCH($O680,$R$10:$R$13,0),COLUMN())</f>
        <v>1.1870866109000002E-6</v>
      </c>
      <c r="AM680" s="1050" cm="1">
        <f t="array" aca="1" ref="AM680" ca="1">INDEX(OFFSET($AK$19,MATCH($B680,$B$19:$B$150,0)-1,0,COUNTA($B$19:$B$24),COUNTA($AK$17:$BB$17)),MATCH($F680,$F$19:$F$24,0),MATCH(AM$17,$AK$17:$BB$17,0))*INDEX($10:$13,MATCH($O680,$R$10:$R$13,0),COLUMN())</f>
        <v>1.9561118798000002E-3</v>
      </c>
      <c r="AN680" s="1050" cm="1">
        <f t="array" aca="1" ref="AN680" ca="1">INDEX(OFFSET($AK$19,MATCH($B680,$B$19:$B$150,0)-1,0,COUNTA($B$19:$B$24),COUNTA($AK$17:$BB$17)),MATCH($F680,$F$19:$F$24,0),MATCH(AN$17,$AK$17:$BB$17,0))*INDEX($10:$13,MATCH($O680,$R$10:$R$13,0),COLUMN())</f>
        <v>6.1316263039999999E-3</v>
      </c>
      <c r="AO680" s="1050" cm="1">
        <f t="array" aca="1" ref="AO680" ca="1">INDEX(OFFSET($AK$19,MATCH($B680,$B$19:$B$150,0)-1,0,COUNTA($B$19:$B$24),COUNTA($AK$17:$BB$17)),MATCH($F680,$F$19:$F$24,0),MATCH(AO$17,$AK$17:$BB$17,0))*INDEX($10:$13,MATCH($O680,$R$10:$R$13,0),COLUMN())</f>
        <v>0.78573007039999998</v>
      </c>
      <c r="AP680" s="1050" cm="1">
        <f t="array" aca="1" ref="AP680" ca="1">INDEX(OFFSET($AK$19,MATCH($B680,$B$19:$B$150,0)-1,0,COUNTA($B$19:$B$24),COUNTA($AK$17:$BB$17)),MATCH($F680,$F$19:$F$24,0),MATCH(AP$17,$AK$17:$BB$17,0))*INDEX($10:$13,MATCH($O680,$R$10:$R$13,0),COLUMN())</f>
        <v>0.45990216234000003</v>
      </c>
      <c r="AQ680" s="1050" cm="1">
        <f t="array" aca="1" ref="AQ680" ca="1">INDEX(OFFSET($AK$19,MATCH($B680,$B$19:$B$150,0)-1,0,COUNTA($B$19:$B$24),COUNTA($AK$17:$BB$17)),MATCH($F680,$F$19:$F$24,0),MATCH(AQ$17,$AK$17:$BB$17,0))*INDEX($10:$13,MATCH($O680,$R$10:$R$13,0),COLUMN())</f>
        <v>8.2044239860000001E-4</v>
      </c>
      <c r="AR680" s="1050" cm="1">
        <f t="array" aca="1" ref="AR680" ca="1">INDEX(OFFSET($AK$19,MATCH($B680,$B$19:$B$150,0)-1,0,COUNTA($B$19:$B$24),COUNTA($AK$17:$BB$17)),MATCH($F680,$F$19:$F$24,0),MATCH(AR$17,$AK$17:$BB$17,0))*INDEX($10:$13,MATCH($O680,$R$10:$R$13,0),COLUMN())</f>
        <v>5.5860292989999998E-2</v>
      </c>
      <c r="AS680" s="1050" cm="1">
        <f t="array" aca="1" ref="AS680" ca="1">INDEX(OFFSET($AK$19,MATCH($B680,$B$19:$B$150,0)-1,0,COUNTA($B$19:$B$24),COUNTA($AK$17:$BB$17)),MATCH($F680,$F$19:$F$24,0),MATCH(AS$17,$AK$17:$BB$17,0))*INDEX($10:$13,MATCH($O680,$R$10:$R$13,0),COLUMN())</f>
        <v>1.028652048E-2</v>
      </c>
      <c r="AT680" s="1050" cm="1">
        <f t="array" aca="1" ref="AT680" ca="1">INDEX(OFFSET($AK$19,MATCH($B680,$B$19:$B$150,0)-1,0,COUNTA($B$19:$B$24),COUNTA($AK$17:$BB$17)),MATCH($F680,$F$19:$F$24,0),MATCH(AT$17,$AK$17:$BB$17,0))*INDEX($10:$13,MATCH($O680,$R$10:$R$13,0),COLUMN())</f>
        <v>1.9119943860999999E-5</v>
      </c>
      <c r="AU680" s="1050" cm="1">
        <f t="array" aca="1" ref="AU680" ca="1">INDEX(OFFSET($AK$19,MATCH($B680,$B$19:$B$150,0)-1,0,COUNTA($B$19:$B$24),COUNTA($AK$17:$BB$17)),MATCH($F680,$F$19:$F$24,0),MATCH(AU$17,$AK$17:$BB$17,0))*INDEX($10:$13,MATCH($O680,$R$10:$R$13,0),COLUMN())</f>
        <v>3.8126902635000005E-6</v>
      </c>
      <c r="AV680" s="1050" cm="1">
        <f t="array" aca="1" ref="AV680" ca="1">INDEX(OFFSET($AK$19,MATCH($B680,$B$19:$B$150,0)-1,0,COUNTA($B$19:$B$24),COUNTA($AK$17:$BB$17)),MATCH($F680,$F$19:$F$24,0),MATCH(AV$17,$AK$17:$BB$17,0))*INDEX($10:$13,MATCH($O680,$R$10:$R$13,0),COLUMN())</f>
        <v>2.1489547680000002E-2</v>
      </c>
      <c r="AW680" s="1050" cm="1">
        <f t="array" aca="1" ref="AW680" ca="1">INDEX(OFFSET($AK$19,MATCH($B680,$B$19:$B$150,0)-1,0,COUNTA($B$19:$B$24),COUNTA($AK$17:$BB$17)),MATCH($F680,$F$19:$F$24,0),MATCH(AW$17,$AK$17:$BB$17,0))*INDEX($10:$13,MATCH($O680,$R$10:$R$13,0),COLUMN())</f>
        <v>3.4294942850000001</v>
      </c>
      <c r="AX680" s="1050" cm="1">
        <f t="array" aca="1" ref="AX680" ca="1">INDEX(OFFSET($AK$19,MATCH($B680,$B$19:$B$150,0)-1,0,COUNTA($B$19:$B$24),COUNTA($AK$17:$BB$17)),MATCH($F680,$F$19:$F$24,0),MATCH(AX$17,$AK$17:$BB$17,0))*INDEX($10:$13,MATCH($O680,$R$10:$R$13,0),COLUMN())</f>
        <v>1.2823474000000002E-5</v>
      </c>
      <c r="AY680" s="1050" cm="1">
        <f t="array" aca="1" ref="AY680" ca="1">INDEX(OFFSET($AK$19,MATCH($B680,$B$19:$B$150,0)-1,0,COUNTA($B$19:$B$24),COUNTA($AK$17:$BB$17)),MATCH($F680,$F$19:$F$24,0),MATCH(AY$17,$AK$17:$BB$17,0))*INDEX($10:$13,MATCH($O680,$R$10:$R$13,0),COLUMN())</f>
        <v>2.3141650663125E-5</v>
      </c>
      <c r="AZ680" s="1050" cm="1">
        <f t="array" aca="1" ref="AZ680" ca="1">INDEX(OFFSET($AK$19,MATCH($B680,$B$19:$B$150,0)-1,0,COUNTA($B$19:$B$24),COUNTA($AK$17:$BB$17)),MATCH($F680,$F$19:$F$24,0),MATCH(AZ$17,$AK$17:$BB$17,0))*INDEX($10:$13,MATCH($O680,$R$10:$R$13,0),COLUMN())</f>
        <v>0</v>
      </c>
      <c r="BA680" s="1050" cm="1">
        <f t="array" aca="1" ref="BA680" ca="1">INDEX(OFFSET($AK$19,MATCH($B680,$B$19:$B$150,0)-1,0,COUNTA($B$19:$B$24),COUNTA($AK$17:$BB$17)),MATCH($F680,$F$19:$F$24,0),MATCH(BA$17,$AK$17:$BB$17,0))*INDEX($10:$13,MATCH($O680,$R$10:$R$13,0),COLUMN())</f>
        <v>0</v>
      </c>
      <c r="BB680" s="1051" cm="1">
        <f t="array" aca="1" ref="BB680" ca="1">INDEX(OFFSET($AK$19,MATCH($B680,$B$19:$B$150,0)-1,0,COUNTA($B$19:$B$24),COUNTA($AK$17:$BB$17)),MATCH($F680,$F$19:$F$24,0),MATCH(BB$17,$AK$17:$BB$17,0))*INDEX($10:$13,MATCH($O680,$R$10:$R$13,0),COLUMN())</f>
        <v>0</v>
      </c>
      <c r="BC680" s="1053">
        <f t="shared" ca="1" si="192"/>
        <v>3.4295302501246634</v>
      </c>
      <c r="BE680" s="1"/>
      <c r="BF680" s="1"/>
      <c r="BG680" s="1"/>
      <c r="BH680" s="1"/>
      <c r="BI680" s="1"/>
      <c r="BJ680" s="1"/>
      <c r="BK680" s="1"/>
      <c r="BL680" s="1"/>
      <c r="BM680" s="1"/>
      <c r="BN680" s="1"/>
      <c r="BO680" s="1"/>
      <c r="BP680" s="1"/>
      <c r="BQ680" s="1"/>
      <c r="BR680" s="1"/>
      <c r="BS680" s="1"/>
      <c r="BT680" s="1"/>
      <c r="BU680" s="1"/>
      <c r="BV680" s="1"/>
      <c r="BW680" s="1"/>
      <c r="BX680" s="1"/>
      <c r="BY680" s="1"/>
      <c r="BZ680" s="1"/>
    </row>
    <row r="681" spans="2:78" ht="12" customHeight="1" outlineLevel="1" x14ac:dyDescent="0.25">
      <c r="B681" s="88" t="s">
        <v>91</v>
      </c>
      <c r="C681" s="88" t="s">
        <v>121</v>
      </c>
      <c r="D681" s="89" t="s">
        <v>132</v>
      </c>
      <c r="E681" s="89" t="s">
        <v>133</v>
      </c>
      <c r="F681" s="90" t="s">
        <v>92</v>
      </c>
      <c r="G681" s="18" t="s">
        <v>126</v>
      </c>
      <c r="H681" s="91" t="s">
        <v>127</v>
      </c>
      <c r="I681" s="92" t="s">
        <v>127</v>
      </c>
      <c r="J681" s="142">
        <v>3.8217059399999997</v>
      </c>
      <c r="K681" s="143">
        <v>0.21084</v>
      </c>
      <c r="L681" s="144">
        <f t="shared" ca="1" si="193"/>
        <v>5.4009866420508787</v>
      </c>
      <c r="M681" s="143">
        <f t="shared" ca="1" si="194"/>
        <v>1.3495840236100072</v>
      </c>
      <c r="N681" s="162">
        <f t="shared" ca="1" si="195"/>
        <v>1.1387440236100073</v>
      </c>
      <c r="O681" s="1060" t="s">
        <v>1586</v>
      </c>
      <c r="P681" s="169"/>
      <c r="Q681" s="145"/>
      <c r="R681" s="96"/>
      <c r="S681" s="1070"/>
      <c r="T681" s="1070"/>
      <c r="U681" s="1070"/>
      <c r="V681" s="1070"/>
      <c r="W681" s="1070"/>
      <c r="X681" s="1070"/>
      <c r="Y681" s="1070"/>
      <c r="Z681" s="1070"/>
      <c r="AA681" s="1070"/>
      <c r="AB681" s="1070"/>
      <c r="AC681" s="1070"/>
      <c r="AD681" s="1070"/>
      <c r="AE681" s="1070"/>
      <c r="AF681" s="1070"/>
      <c r="AG681" s="1070"/>
      <c r="AH681" s="1070"/>
      <c r="AI681" s="1070"/>
      <c r="AJ681" s="1071"/>
      <c r="AK681" s="1048" cm="1">
        <f t="array" aca="1" ref="AK681" ca="1">INDEX(OFFSET($AK$19,MATCH($B681,$B$19:$B$150,0)-1,0,COUNTA($B$19:$B$24),COUNTA($AK$17:$BB$17)),MATCH($F681,$F$19:$F$24,0),MATCH(AK$17,$AK$17:$BB$17,0))*INDEX($10:$13,MATCH($O681,$R$10:$R$13,0),COLUMN())</f>
        <v>6.797078392E-2</v>
      </c>
      <c r="AL681" s="1046" cm="1">
        <f t="array" aca="1" ref="AL681" ca="1">INDEX(OFFSET($AK$19,MATCH($B681,$B$19:$B$150,0)-1,0,COUNTA($B$19:$B$24),COUNTA($AK$17:$BB$17)),MATCH($F681,$F$19:$F$24,0),MATCH(AL$17,$AK$17:$BB$17,0))*INDEX($10:$13,MATCH($O681,$R$10:$R$13,0),COLUMN())</f>
        <v>6.0191555160000012E-8</v>
      </c>
      <c r="AM681" s="1046" cm="1">
        <f t="array" aca="1" ref="AM681" ca="1">INDEX(OFFSET($AK$19,MATCH($B681,$B$19:$B$150,0)-1,0,COUNTA($B$19:$B$24),COUNTA($AK$17:$BB$17)),MATCH($F681,$F$19:$F$24,0),MATCH(AM$17,$AK$17:$BB$17,0))*INDEX($10:$13,MATCH($O681,$R$10:$R$13,0),COLUMN())</f>
        <v>0</v>
      </c>
      <c r="AN681" s="1046" cm="1">
        <f t="array" aca="1" ref="AN681" ca="1">INDEX(OFFSET($AK$19,MATCH($B681,$B$19:$B$150,0)-1,0,COUNTA($B$19:$B$24),COUNTA($AK$17:$BB$17)),MATCH($F681,$F$19:$F$24,0),MATCH(AN$17,$AK$17:$BB$17,0))*INDEX($10:$13,MATCH($O681,$R$10:$R$13,0),COLUMN())</f>
        <v>1.2819977412E-3</v>
      </c>
      <c r="AO681" s="1046" cm="1">
        <f t="array" aca="1" ref="AO681" ca="1">INDEX(OFFSET($AK$19,MATCH($B681,$B$19:$B$150,0)-1,0,COUNTA($B$19:$B$24),COUNTA($AK$17:$BB$17)),MATCH($F681,$F$19:$F$24,0),MATCH(AO$17,$AK$17:$BB$17,0))*INDEX($10:$13,MATCH($O681,$R$10:$R$13,0),COLUMN())</f>
        <v>3.2978955493150684E-2</v>
      </c>
      <c r="AP681" s="1046" cm="1">
        <f t="array" aca="1" ref="AP681" ca="1">INDEX(OFFSET($AK$19,MATCH($B681,$B$19:$B$150,0)-1,0,COUNTA($B$19:$B$24),COUNTA($AK$17:$BB$17)),MATCH($F681,$F$19:$F$24,0),MATCH(AP$17,$AK$17:$BB$17,0))*INDEX($10:$13,MATCH($O681,$R$10:$R$13,0),COLUMN())</f>
        <v>2.3764130207999997E-2</v>
      </c>
      <c r="AQ681" s="1046" cm="1">
        <f t="array" aca="1" ref="AQ681" ca="1">INDEX(OFFSET($AK$19,MATCH($B681,$B$19:$B$150,0)-1,0,COUNTA($B$19:$B$24),COUNTA($AK$17:$BB$17)),MATCH($F681,$F$19:$F$24,0),MATCH(AQ$17,$AK$17:$BB$17,0))*INDEX($10:$13,MATCH($O681,$R$10:$R$13,0),COLUMN())</f>
        <v>3.9244612479999996E-2</v>
      </c>
      <c r="AR681" s="1046" cm="1">
        <f t="array" aca="1" ref="AR681" ca="1">INDEX(OFFSET($AK$19,MATCH($B681,$B$19:$B$150,0)-1,0,COUNTA($B$19:$B$24),COUNTA($AK$17:$BB$17)),MATCH($F681,$F$19:$F$24,0),MATCH(AR$17,$AK$17:$BB$17,0))*INDEX($10:$13,MATCH($O681,$R$10:$R$13,0),COLUMN())</f>
        <v>0.56160026856</v>
      </c>
      <c r="AS681" s="1046" cm="1">
        <f t="array" aca="1" ref="AS681" ca="1">INDEX(OFFSET($AK$19,MATCH($B681,$B$19:$B$150,0)-1,0,COUNTA($B$19:$B$24),COUNTA($AK$17:$BB$17)),MATCH($F681,$F$19:$F$24,0),MATCH(AS$17,$AK$17:$BB$17,0))*INDEX($10:$13,MATCH($O681,$R$10:$R$13,0),COLUMN())</f>
        <v>7.3252454569999986E-2</v>
      </c>
      <c r="AT681" s="1046" cm="1">
        <f t="array" aca="1" ref="AT681" ca="1">INDEX(OFFSET($AK$19,MATCH($B681,$B$19:$B$150,0)-1,0,COUNTA($B$19:$B$24),COUNTA($AK$17:$BB$17)),MATCH($F681,$F$19:$F$24,0),MATCH(AT$17,$AK$17:$BB$17,0))*INDEX($10:$13,MATCH($O681,$R$10:$R$13,0),COLUMN())</f>
        <v>8.2121274499999996E-5</v>
      </c>
      <c r="AU681" s="1046" cm="1">
        <f t="array" aca="1" ref="AU681" ca="1">INDEX(OFFSET($AK$19,MATCH($B681,$B$19:$B$150,0)-1,0,COUNTA($B$19:$B$24),COUNTA($AK$17:$BB$17)),MATCH($F681,$F$19:$F$24,0),MATCH(AU$17,$AK$17:$BB$17,0))*INDEX($10:$13,MATCH($O681,$R$10:$R$13,0),COLUMN())</f>
        <v>4.6072771997999996E-6</v>
      </c>
      <c r="AV681" s="1046" cm="1">
        <f t="array" aca="1" ref="AV681" ca="1">INDEX(OFFSET($AK$19,MATCH($B681,$B$19:$B$150,0)-1,0,COUNTA($B$19:$B$24),COUNTA($AK$17:$BB$17)),MATCH($F681,$F$19:$F$24,0),MATCH(AV$17,$AK$17:$BB$17,0))*INDEX($10:$13,MATCH($O681,$R$10:$R$13,0),COLUMN())</f>
        <v>2.0271362527734082E-3</v>
      </c>
      <c r="AW681" s="1046" cm="1">
        <f t="array" aca="1" ref="AW681" ca="1">INDEX(OFFSET($AK$19,MATCH($B681,$B$19:$B$150,0)-1,0,COUNTA($B$19:$B$24),COUNTA($AK$17:$BB$17)),MATCH($F681,$F$19:$F$24,0),MATCH(AW$17,$AK$17:$BB$17,0))*INDEX($10:$13,MATCH($O681,$R$10:$R$13,0),COLUMN())</f>
        <v>0.31704748150000001</v>
      </c>
      <c r="AX681" s="1046" cm="1">
        <f t="array" aca="1" ref="AX681" ca="1">INDEX(OFFSET($AK$19,MATCH($B681,$B$19:$B$150,0)-1,0,COUNTA($B$19:$B$24),COUNTA($AK$17:$BB$17)),MATCH($F681,$F$19:$F$24,0),MATCH(AX$17,$AK$17:$BB$17,0))*INDEX($10:$13,MATCH($O681,$R$10:$R$13,0),COLUMN())</f>
        <v>6.0819032660000004E-7</v>
      </c>
      <c r="AY681" s="1046" cm="1">
        <f t="array" aca="1" ref="AY681" ca="1">INDEX(OFFSET($AK$19,MATCH($B681,$B$19:$B$150,0)-1,0,COUNTA($B$19:$B$24),COUNTA($AK$17:$BB$17)),MATCH($F681,$F$19:$F$24,0),MATCH(AY$17,$AK$17:$BB$17,0))*INDEX($10:$13,MATCH($O681,$R$10:$R$13,0),COLUMN())</f>
        <v>-3.9932710350000002E-10</v>
      </c>
      <c r="AZ681" s="1046" cm="1">
        <f t="array" aca="1" ref="AZ681" ca="1">INDEX(OFFSET($AK$19,MATCH($B681,$B$19:$B$150,0)-1,0,COUNTA($B$19:$B$24),COUNTA($AK$17:$BB$17)),MATCH($F681,$F$19:$F$24,0),MATCH(AZ$17,$AK$17:$BB$17,0))*INDEX($10:$13,MATCH($O681,$R$10:$R$13,0),COLUMN())</f>
        <v>3.1099293285714281E-6</v>
      </c>
      <c r="BA681" s="1046" cm="1">
        <f t="array" aca="1" ref="BA681" ca="1">INDEX(OFFSET($AK$19,MATCH($B681,$B$19:$B$150,0)-1,0,COUNTA($B$19:$B$24),COUNTA($AK$17:$BB$17)),MATCH($F681,$F$19:$F$24,0),MATCH(BA$17,$AK$17:$BB$17,0))*INDEX($10:$13,MATCH($O681,$R$10:$R$13,0),COLUMN())</f>
        <v>1.929856676E-2</v>
      </c>
      <c r="BB681" s="1047" cm="1">
        <f t="array" aca="1" ref="BB681" ca="1">INDEX(OFFSET($AK$19,MATCH($B681,$B$19:$B$150,0)-1,0,COUNTA($B$19:$B$24),COUNTA($AK$17:$BB$17)),MATCH($F681,$F$19:$F$24,0),MATCH(BB$17,$AK$17:$BB$17,0))*INDEX($10:$13,MATCH($O681,$R$10:$R$13,0),COLUMN())</f>
        <v>1.8712966129999999E-4</v>
      </c>
      <c r="BC681" s="1049">
        <f ca="1">SUM(AW681:AY681)</f>
        <v>0.31704808929099948</v>
      </c>
      <c r="BD681" s="146"/>
      <c r="BE681" s="1"/>
      <c r="BF681" s="1"/>
      <c r="BG681" s="1"/>
      <c r="BH681" s="1"/>
      <c r="BI681" s="1"/>
      <c r="BJ681" s="1"/>
      <c r="BK681" s="1"/>
      <c r="BL681" s="1"/>
      <c r="BM681" s="1"/>
      <c r="BN681" s="1"/>
      <c r="BO681" s="1"/>
      <c r="BP681" s="1"/>
      <c r="BQ681" s="1"/>
      <c r="BR681" s="1"/>
      <c r="BS681" s="1"/>
      <c r="BT681" s="1"/>
      <c r="BU681" s="1"/>
      <c r="BV681" s="1"/>
      <c r="BW681" s="1"/>
      <c r="BX681" s="1"/>
      <c r="BY681" s="1"/>
      <c r="BZ681" s="1"/>
    </row>
    <row r="682" spans="2:78" ht="12" customHeight="1" outlineLevel="1" x14ac:dyDescent="0.25">
      <c r="B682" s="104" t="s">
        <v>91</v>
      </c>
      <c r="C682" s="104" t="s">
        <v>121</v>
      </c>
      <c r="D682" s="2" t="s">
        <v>132</v>
      </c>
      <c r="E682" s="2" t="s">
        <v>133</v>
      </c>
      <c r="F682" s="105" t="s">
        <v>122</v>
      </c>
      <c r="G682" s="27" t="s">
        <v>1579</v>
      </c>
      <c r="H682" s="106" t="s">
        <v>128</v>
      </c>
      <c r="I682" s="107" t="s">
        <v>129</v>
      </c>
      <c r="J682" s="147">
        <v>3.8217059399999997</v>
      </c>
      <c r="K682" s="148">
        <v>0.43951000000000001</v>
      </c>
      <c r="L682" s="149">
        <f t="shared" ca="1" si="193"/>
        <v>1.9182852015484</v>
      </c>
      <c r="M682" s="148">
        <f t="shared" ca="1" si="194"/>
        <v>1.2826155289325374</v>
      </c>
      <c r="N682" s="163">
        <f t="shared" ca="1" si="195"/>
        <v>0.84310552893253732</v>
      </c>
      <c r="O682" s="1061" t="s">
        <v>1586</v>
      </c>
      <c r="P682" s="104"/>
      <c r="R682" s="119"/>
      <c r="S682" s="1072"/>
      <c r="T682" s="1072"/>
      <c r="U682" s="1072"/>
      <c r="V682" s="1072"/>
      <c r="W682" s="1072"/>
      <c r="X682" s="1072"/>
      <c r="Y682" s="1072"/>
      <c r="Z682" s="1072"/>
      <c r="AA682" s="1072"/>
      <c r="AB682" s="1072"/>
      <c r="AC682" s="1072"/>
      <c r="AD682" s="1072"/>
      <c r="AE682" s="1072"/>
      <c r="AF682" s="1072"/>
      <c r="AG682" s="1072"/>
      <c r="AH682" s="1072"/>
      <c r="AI682" s="1072"/>
      <c r="AJ682" s="1073"/>
      <c r="AK682" s="1052" cm="1">
        <f t="array" aca="1" ref="AK682" ca="1">INDEX(OFFSET($AK$19,MATCH($B682,$B$19:$B$150,0)-1,0,COUNTA($B$19:$B$24),COUNTA($AK$17:$BB$17)),MATCH($F682,$F$19:$F$24,0),MATCH(AK$17,$AK$17:$BB$17,0))*INDEX($10:$13,MATCH($O682,$R$10:$R$13,0),COLUMN())</f>
        <v>3.3014991280000003E-2</v>
      </c>
      <c r="AL682" s="1050" cm="1">
        <f t="array" aca="1" ref="AL682" ca="1">INDEX(OFFSET($AK$19,MATCH($B682,$B$19:$B$150,0)-1,0,COUNTA($B$19:$B$24),COUNTA($AK$17:$BB$17)),MATCH($F682,$F$19:$F$24,0),MATCH(AL$17,$AK$17:$BB$17,0))*INDEX($10:$13,MATCH($O682,$R$10:$R$13,0),COLUMN())</f>
        <v>4.393169364E-8</v>
      </c>
      <c r="AM682" s="1050" cm="1">
        <f t="array" aca="1" ref="AM682" ca="1">INDEX(OFFSET($AK$19,MATCH($B682,$B$19:$B$150,0)-1,0,COUNTA($B$19:$B$24),COUNTA($AK$17:$BB$17)),MATCH($F682,$F$19:$F$24,0),MATCH(AM$17,$AK$17:$BB$17,0))*INDEX($10:$13,MATCH($O682,$R$10:$R$13,0),COLUMN())</f>
        <v>0</v>
      </c>
      <c r="AN682" s="1050" cm="1">
        <f t="array" aca="1" ref="AN682" ca="1">INDEX(OFFSET($AK$19,MATCH($B682,$B$19:$B$150,0)-1,0,COUNTA($B$19:$B$24),COUNTA($AK$17:$BB$17)),MATCH($F682,$F$19:$F$24,0),MATCH(AN$17,$AK$17:$BB$17,0))*INDEX($10:$13,MATCH($O682,$R$10:$R$13,0),COLUMN())</f>
        <v>1.727984619E-3</v>
      </c>
      <c r="AO682" s="1050" cm="1">
        <f t="array" aca="1" ref="AO682" ca="1">INDEX(OFFSET($AK$19,MATCH($B682,$B$19:$B$150,0)-1,0,COUNTA($B$19:$B$24),COUNTA($AK$17:$BB$17)),MATCH($F682,$F$19:$F$24,0),MATCH(AO$17,$AK$17:$BB$17,0))*INDEX($10:$13,MATCH($O682,$R$10:$R$13,0),COLUMN())</f>
        <v>1.0878993098630137E-2</v>
      </c>
      <c r="AP682" s="1050" cm="1">
        <f t="array" aca="1" ref="AP682" ca="1">INDEX(OFFSET($AK$19,MATCH($B682,$B$19:$B$150,0)-1,0,COUNTA($B$19:$B$24),COUNTA($AK$17:$BB$17)),MATCH($F682,$F$19:$F$24,0),MATCH(AP$17,$AK$17:$BB$17,0))*INDEX($10:$13,MATCH($O682,$R$10:$R$13,0),COLUMN())</f>
        <v>4.8357234239999993E-3</v>
      </c>
      <c r="AQ682" s="1050" cm="1">
        <f t="array" aca="1" ref="AQ682" ca="1">INDEX(OFFSET($AK$19,MATCH($B682,$B$19:$B$150,0)-1,0,COUNTA($B$19:$B$24),COUNTA($AK$17:$BB$17)),MATCH($F682,$F$19:$F$24,0),MATCH(AQ$17,$AK$17:$BB$17,0))*INDEX($10:$13,MATCH($O682,$R$10:$R$13,0),COLUMN())</f>
        <v>7.6666966879999996E-3</v>
      </c>
      <c r="AR682" s="1050" cm="1">
        <f t="array" aca="1" ref="AR682" ca="1">INDEX(OFFSET($AK$19,MATCH($B682,$B$19:$B$150,0)-1,0,COUNTA($B$19:$B$24),COUNTA($AK$17:$BB$17)),MATCH($F682,$F$19:$F$24,0),MATCH(AR$17,$AK$17:$BB$17,0))*INDEX($10:$13,MATCH($O682,$R$10:$R$13,0),COLUMN())</f>
        <v>0.29188965017999996</v>
      </c>
      <c r="AS682" s="1050" cm="1">
        <f t="array" aca="1" ref="AS682" ca="1">INDEX(OFFSET($AK$19,MATCH($B682,$B$19:$B$150,0)-1,0,COUNTA($B$19:$B$24),COUNTA($AK$17:$BB$17)),MATCH($F682,$F$19:$F$24,0),MATCH(AS$17,$AK$17:$BB$17,0))*INDEX($10:$13,MATCH($O682,$R$10:$R$13,0),COLUMN())</f>
        <v>1.1290017018999998E-4</v>
      </c>
      <c r="AT682" s="1050" cm="1">
        <f t="array" aca="1" ref="AT682" ca="1">INDEX(OFFSET($AK$19,MATCH($B682,$B$19:$B$150,0)-1,0,COUNTA($B$19:$B$24),COUNTA($AK$17:$BB$17)),MATCH($F682,$F$19:$F$24,0),MATCH(AT$17,$AK$17:$BB$17,0))*INDEX($10:$13,MATCH($O682,$R$10:$R$13,0),COLUMN())</f>
        <v>3.3497550080000004E-6</v>
      </c>
      <c r="AU682" s="1050" cm="1">
        <f t="array" aca="1" ref="AU682" ca="1">INDEX(OFFSET($AK$19,MATCH($B682,$B$19:$B$150,0)-1,0,COUNTA($B$19:$B$24),COUNTA($AK$17:$BB$17)),MATCH($F682,$F$19:$F$24,0),MATCH(AU$17,$AK$17:$BB$17,0))*INDEX($10:$13,MATCH($O682,$R$10:$R$13,0),COLUMN())</f>
        <v>7.0999072139999997E-7</v>
      </c>
      <c r="AV682" s="1050" cm="1">
        <f t="array" aca="1" ref="AV682" ca="1">INDEX(OFFSET($AK$19,MATCH($B682,$B$19:$B$150,0)-1,0,COUNTA($B$19:$B$24),COUNTA($AK$17:$BB$17)),MATCH($F682,$F$19:$F$24,0),MATCH(AV$17,$AK$17:$BB$17,0))*INDEX($10:$13,MATCH($O682,$R$10:$R$13,0),COLUMN())</f>
        <v>2.9377938929887507E-4</v>
      </c>
      <c r="AW682" s="1050" cm="1">
        <f t="array" aca="1" ref="AW682" ca="1">INDEX(OFFSET($AK$19,MATCH($B682,$B$19:$B$150,0)-1,0,COUNTA($B$19:$B$24),COUNTA($AK$17:$BB$17)),MATCH($F682,$F$19:$F$24,0),MATCH(AW$17,$AK$17:$BB$17,0))*INDEX($10:$13,MATCH($O682,$R$10:$R$13,0),COLUMN())</f>
        <v>0.47991439000000008</v>
      </c>
      <c r="AX682" s="1050" cm="1">
        <f t="array" aca="1" ref="AX682" ca="1">INDEX(OFFSET($AK$19,MATCH($B682,$B$19:$B$150,0)-1,0,COUNTA($B$19:$B$24),COUNTA($AK$17:$BB$17)),MATCH($F682,$F$19:$F$24,0),MATCH(AX$17,$AK$17:$BB$17,0))*INDEX($10:$13,MATCH($O682,$R$10:$R$13,0),COLUMN())</f>
        <v>1.4293844320000001E-7</v>
      </c>
      <c r="AY682" s="1050" cm="1">
        <f t="array" aca="1" ref="AY682" ca="1">INDEX(OFFSET($AK$19,MATCH($B682,$B$19:$B$150,0)-1,0,COUNTA($B$19:$B$24),COUNTA($AK$17:$BB$17)),MATCH($F682,$F$19:$F$24,0),MATCH(AY$17,$AK$17:$BB$17,0))*INDEX($10:$13,MATCH($O682,$R$10:$R$13,0),COLUMN())</f>
        <v>-9.1660599840000012E-11</v>
      </c>
      <c r="AZ682" s="1050" cm="1">
        <f t="array" aca="1" ref="AZ682" ca="1">INDEX(OFFSET($AK$19,MATCH($B682,$B$19:$B$150,0)-1,0,COUNTA($B$19:$B$24),COUNTA($AK$17:$BB$17)),MATCH($F682,$F$19:$F$24,0),MATCH(AZ$17,$AK$17:$BB$17,0))*INDEX($10:$13,MATCH($O682,$R$10:$R$13,0),COLUMN())</f>
        <v>4.5113877126463692E-6</v>
      </c>
      <c r="BA682" s="1050" cm="1">
        <f t="array" aca="1" ref="BA682" ca="1">INDEX(OFFSET($AK$19,MATCH($B682,$B$19:$B$150,0)-1,0,COUNTA($B$19:$B$24),COUNTA($AK$17:$BB$17)),MATCH($F682,$F$19:$F$24,0),MATCH(BA$17,$AK$17:$BB$17,0))*INDEX($10:$13,MATCH($O682,$R$10:$R$13,0),COLUMN())</f>
        <v>1.2589619526E-2</v>
      </c>
      <c r="BB682" s="1051" cm="1">
        <f t="array" aca="1" ref="BB682" ca="1">INDEX(OFFSET($AK$19,MATCH($B682,$B$19:$B$150,0)-1,0,COUNTA($B$19:$B$24),COUNTA($AK$17:$BB$17)),MATCH($F682,$F$19:$F$24,0),MATCH(BB$17,$AK$17:$BB$17,0))*INDEX($10:$13,MATCH($O682,$R$10:$R$13,0),COLUMN())</f>
        <v>1.7204264550000001E-4</v>
      </c>
      <c r="BC682" s="1053">
        <f t="shared" ref="BC682:BC734" ca="1" si="196">SUM(AW682:AY682)</f>
        <v>0.47991453284678265</v>
      </c>
      <c r="BE682" s="1"/>
      <c r="BF682" s="1"/>
      <c r="BG682" s="1"/>
      <c r="BH682" s="1"/>
      <c r="BI682" s="1"/>
      <c r="BJ682" s="1"/>
      <c r="BK682" s="1"/>
      <c r="BL682" s="1"/>
      <c r="BM682" s="1"/>
      <c r="BN682" s="1"/>
      <c r="BO682" s="1"/>
      <c r="BP682" s="1"/>
      <c r="BQ682" s="1"/>
      <c r="BR682" s="1"/>
      <c r="BS682" s="1"/>
      <c r="BT682" s="1"/>
      <c r="BU682" s="1"/>
      <c r="BV682" s="1"/>
      <c r="BW682" s="1"/>
      <c r="BX682" s="1"/>
      <c r="BY682" s="1"/>
      <c r="BZ682" s="1"/>
    </row>
    <row r="683" spans="2:78" ht="12" customHeight="1" outlineLevel="1" x14ac:dyDescent="0.25">
      <c r="B683" s="104" t="s">
        <v>91</v>
      </c>
      <c r="C683" s="104" t="s">
        <v>121</v>
      </c>
      <c r="D683" s="2" t="s">
        <v>132</v>
      </c>
      <c r="E683" s="2" t="s">
        <v>133</v>
      </c>
      <c r="F683" s="105" t="s">
        <v>93</v>
      </c>
      <c r="G683" s="27" t="s">
        <v>1578</v>
      </c>
      <c r="H683" s="106" t="s">
        <v>130</v>
      </c>
      <c r="I683" s="107" t="s">
        <v>129</v>
      </c>
      <c r="J683" s="147">
        <v>3.8217059399999997</v>
      </c>
      <c r="K683" s="148">
        <v>0.43951000000000001</v>
      </c>
      <c r="L683" s="149">
        <f t="shared" ca="1" si="193"/>
        <v>2.2109966223524582</v>
      </c>
      <c r="M683" s="148">
        <f t="shared" ca="1" si="194"/>
        <v>1.4112651254901289</v>
      </c>
      <c r="N683" s="163">
        <f t="shared" ca="1" si="195"/>
        <v>0.97175512549012888</v>
      </c>
      <c r="O683" s="1061" t="s">
        <v>1586</v>
      </c>
      <c r="P683" s="104"/>
      <c r="R683" s="119"/>
      <c r="S683" s="1072"/>
      <c r="T683" s="1072"/>
      <c r="U683" s="1072"/>
      <c r="V683" s="1072"/>
      <c r="W683" s="1072"/>
      <c r="X683" s="1072"/>
      <c r="Y683" s="1072"/>
      <c r="Z683" s="1072"/>
      <c r="AA683" s="1072"/>
      <c r="AB683" s="1072"/>
      <c r="AC683" s="1072"/>
      <c r="AD683" s="1072"/>
      <c r="AE683" s="1072"/>
      <c r="AF683" s="1072"/>
      <c r="AG683" s="1072"/>
      <c r="AH683" s="1072"/>
      <c r="AI683" s="1072"/>
      <c r="AJ683" s="1073"/>
      <c r="AK683" s="1052" cm="1">
        <f t="array" aca="1" ref="AK683" ca="1">INDEX(OFFSET($AK$19,MATCH($B683,$B$19:$B$150,0)-1,0,COUNTA($B$19:$B$24),COUNTA($AK$17:$BB$17)),MATCH($F683,$F$19:$F$24,0),MATCH(AK$17,$AK$17:$BB$17,0))*INDEX($10:$13,MATCH($O683,$R$10:$R$13,0),COLUMN())</f>
        <v>3.8049939599999999E-2</v>
      </c>
      <c r="AL683" s="1050" cm="1">
        <f t="array" aca="1" ref="AL683" ca="1">INDEX(OFFSET($AK$19,MATCH($B683,$B$19:$B$150,0)-1,0,COUNTA($B$19:$B$24),COUNTA($AK$17:$BB$17)),MATCH($F683,$F$19:$F$24,0),MATCH(AL$17,$AK$17:$BB$17,0))*INDEX($10:$13,MATCH($O683,$R$10:$R$13,0),COLUMN())</f>
        <v>5.0631495720000002E-8</v>
      </c>
      <c r="AM683" s="1050" cm="1">
        <f t="array" aca="1" ref="AM683" ca="1">INDEX(OFFSET($AK$19,MATCH($B683,$B$19:$B$150,0)-1,0,COUNTA($B$19:$B$24),COUNTA($AK$17:$BB$17)),MATCH($F683,$F$19:$F$24,0),MATCH(AM$17,$AK$17:$BB$17,0))*INDEX($10:$13,MATCH($O683,$R$10:$R$13,0),COLUMN())</f>
        <v>0</v>
      </c>
      <c r="AN683" s="1050" cm="1">
        <f t="array" aca="1" ref="AN683" ca="1">INDEX(OFFSET($AK$19,MATCH($B683,$B$19:$B$150,0)-1,0,COUNTA($B$19:$B$24),COUNTA($AK$17:$BB$17)),MATCH($F683,$F$19:$F$24,0),MATCH(AN$17,$AK$17:$BB$17,0))*INDEX($10:$13,MATCH($O683,$R$10:$R$13,0),COLUMN())</f>
        <v>1.9915108068000002E-3</v>
      </c>
      <c r="AO683" s="1050" cm="1">
        <f t="array" aca="1" ref="AO683" ca="1">INDEX(OFFSET($AK$19,MATCH($B683,$B$19:$B$150,0)-1,0,COUNTA($B$19:$B$24),COUNTA($AK$17:$BB$17)),MATCH($F683,$F$19:$F$24,0),MATCH(AO$17,$AK$17:$BB$17,0))*INDEX($10:$13,MATCH($O683,$R$10:$R$13,0),COLUMN())</f>
        <v>1.2538093323287671E-2</v>
      </c>
      <c r="AP683" s="1050" cm="1">
        <f t="array" aca="1" ref="AP683" ca="1">INDEX(OFFSET($AK$19,MATCH($B683,$B$19:$B$150,0)-1,0,COUNTA($B$19:$B$24),COUNTA($AK$17:$BB$17)),MATCH($F683,$F$19:$F$24,0),MATCH(AP$17,$AK$17:$BB$17,0))*INDEX($10:$13,MATCH($O683,$R$10:$R$13,0),COLUMN())</f>
        <v>5.5731950400000002E-3</v>
      </c>
      <c r="AQ683" s="1050" cm="1">
        <f t="array" aca="1" ref="AQ683" ca="1">INDEX(OFFSET($AK$19,MATCH($B683,$B$19:$B$150,0)-1,0,COUNTA($B$19:$B$24),COUNTA($AK$17:$BB$17)),MATCH($F683,$F$19:$F$24,0),MATCH(AQ$17,$AK$17:$BB$17,0))*INDEX($10:$13,MATCH($O683,$R$10:$R$13,0),COLUMN())</f>
        <v>8.8359059199999996E-3</v>
      </c>
      <c r="AR683" s="1050" cm="1">
        <f t="array" aca="1" ref="AR683" ca="1">INDEX(OFFSET($AK$19,MATCH($B683,$B$19:$B$150,0)-1,0,COUNTA($B$19:$B$24),COUNTA($AK$17:$BB$17)),MATCH($F683,$F$19:$F$24,0),MATCH(AR$17,$AK$17:$BB$17,0))*INDEX($10:$13,MATCH($O683,$R$10:$R$13,0),COLUMN())</f>
        <v>0.33640426105999999</v>
      </c>
      <c r="AS683" s="1050" cm="1">
        <f t="array" aca="1" ref="AS683" ca="1">INDEX(OFFSET($AK$19,MATCH($B683,$B$19:$B$150,0)-1,0,COUNTA($B$19:$B$24),COUNTA($AK$17:$BB$17)),MATCH($F683,$F$19:$F$24,0),MATCH(AS$17,$AK$17:$BB$17,0))*INDEX($10:$13,MATCH($O683,$R$10:$R$13,0),COLUMN())</f>
        <v>1.69154725E-4</v>
      </c>
      <c r="AT683" s="1050" cm="1">
        <f t="array" aca="1" ref="AT683" ca="1">INDEX(OFFSET($AK$19,MATCH($B683,$B$19:$B$150,0)-1,0,COUNTA($B$19:$B$24),COUNTA($AK$17:$BB$17)),MATCH($F683,$F$19:$F$24,0),MATCH(AT$17,$AK$17:$BB$17,0))*INDEX($10:$13,MATCH($O683,$R$10:$R$13,0),COLUMN())</f>
        <v>3.8743277999999995E-6</v>
      </c>
      <c r="AU683" s="1050" cm="1">
        <f t="array" aca="1" ref="AU683" ca="1">INDEX(OFFSET($AK$19,MATCH($B683,$B$19:$B$150,0)-1,0,COUNTA($B$19:$B$24),COUNTA($AK$17:$BB$17)),MATCH($F683,$F$19:$F$24,0),MATCH(AU$17,$AK$17:$BB$17,0))*INDEX($10:$13,MATCH($O683,$R$10:$R$13,0),COLUMN())</f>
        <v>8.1972144179999998E-7</v>
      </c>
      <c r="AV683" s="1050" cm="1">
        <f t="array" aca="1" ref="AV683" ca="1">INDEX(OFFSET($AK$19,MATCH($B683,$B$19:$B$150,0)-1,0,COUNTA($B$19:$B$24),COUNTA($AK$17:$BB$17)),MATCH($F683,$F$19:$F$24,0),MATCH(AV$17,$AK$17:$BB$17,0))*INDEX($10:$13,MATCH($O683,$R$10:$R$13,0),COLUMN())</f>
        <v>3.7138344477143347E-4</v>
      </c>
      <c r="AW683" s="1050" cm="1">
        <f t="array" aca="1" ref="AW683" ca="1">INDEX(OFFSET($AK$19,MATCH($B683,$B$19:$B$150,0)-1,0,COUNTA($B$19:$B$24),COUNTA($AK$17:$BB$17)),MATCH($F683,$F$19:$F$24,0),MATCH(AW$17,$AK$17:$BB$17,0))*INDEX($10:$13,MATCH($O683,$R$10:$R$13,0),COLUMN())</f>
        <v>0.55310369459999997</v>
      </c>
      <c r="AX683" s="1050" cm="1">
        <f t="array" aca="1" ref="AX683" ca="1">INDEX(OFFSET($AK$19,MATCH($B683,$B$19:$B$150,0)-1,0,COUNTA($B$19:$B$24),COUNTA($AK$17:$BB$17)),MATCH($F683,$F$19:$F$24,0),MATCH(AX$17,$AK$17:$BB$17,0))*INDEX($10:$13,MATCH($O683,$R$10:$R$13,0),COLUMN())</f>
        <v>1.6473726275E-7</v>
      </c>
      <c r="AY683" s="1050" cm="1">
        <f t="array" aca="1" ref="AY683" ca="1">INDEX(OFFSET($AK$19,MATCH($B683,$B$19:$B$150,0)-1,0,COUNTA($B$19:$B$24),COUNTA($AK$17:$BB$17)),MATCH($F683,$F$19:$F$24,0),MATCH(AY$17,$AK$17:$BB$17,0))*INDEX($10:$13,MATCH($O683,$R$10:$R$13,0),COLUMN())</f>
        <v>-1.056392924E-10</v>
      </c>
      <c r="AZ683" s="1050" cm="1">
        <f t="array" aca="1" ref="AZ683" ca="1">INDEX(OFFSET($AK$19,MATCH($B683,$B$19:$B$150,0)-1,0,COUNTA($B$19:$B$24),COUNTA($AK$17:$BB$17)),MATCH($F683,$F$19:$F$24,0),MATCH(AZ$17,$AK$17:$BB$17,0))*INDEX($10:$13,MATCH($O683,$R$10:$R$13,0),COLUMN())</f>
        <v>5.1993966086651048E-6</v>
      </c>
      <c r="BA683" s="1050" cm="1">
        <f t="array" aca="1" ref="BA683" ca="1">INDEX(OFFSET($AK$19,MATCH($B683,$B$19:$B$150,0)-1,0,COUNTA($B$19:$B$24),COUNTA($AK$17:$BB$17)),MATCH($F683,$F$19:$F$24,0),MATCH(BA$17,$AK$17:$BB$17,0))*INDEX($10:$13,MATCH($O683,$R$10:$R$13,0),COLUMN())</f>
        <v>1.4509598254E-2</v>
      </c>
      <c r="BB683" s="1051" cm="1">
        <f t="array" aca="1" ref="BB683" ca="1">INDEX(OFFSET($AK$19,MATCH($B683,$B$19:$B$150,0)-1,0,COUNTA($B$19:$B$24),COUNTA($AK$17:$BB$17)),MATCH($F683,$F$19:$F$24,0),MATCH(BB$17,$AK$17:$BB$17,0))*INDEX($10:$13,MATCH($O683,$R$10:$R$13,0),COLUMN())</f>
        <v>1.9828000729999999E-4</v>
      </c>
      <c r="BC683" s="1053">
        <f t="shared" ca="1" si="196"/>
        <v>0.55310385923162342</v>
      </c>
      <c r="BE683" s="1"/>
      <c r="BF683" s="1"/>
      <c r="BG683" s="1"/>
      <c r="BH683" s="1"/>
      <c r="BI683" s="1"/>
      <c r="BJ683" s="1"/>
      <c r="BK683" s="1"/>
      <c r="BL683" s="1"/>
      <c r="BM683" s="1"/>
      <c r="BN683" s="1"/>
      <c r="BO683" s="1"/>
      <c r="BP683" s="1"/>
      <c r="BQ683" s="1"/>
      <c r="BR683" s="1"/>
      <c r="BS683" s="1"/>
      <c r="BT683" s="1"/>
      <c r="BU683" s="1"/>
      <c r="BV683" s="1"/>
      <c r="BW683" s="1"/>
      <c r="BX683" s="1"/>
      <c r="BY683" s="1"/>
      <c r="BZ683" s="1"/>
    </row>
    <row r="684" spans="2:78" ht="12" customHeight="1" outlineLevel="1" x14ac:dyDescent="0.25">
      <c r="B684" s="104" t="s">
        <v>91</v>
      </c>
      <c r="C684" s="104" t="s">
        <v>121</v>
      </c>
      <c r="D684" s="2" t="s">
        <v>132</v>
      </c>
      <c r="E684" s="2" t="s">
        <v>133</v>
      </c>
      <c r="F684" s="105" t="s">
        <v>94</v>
      </c>
      <c r="G684" s="27" t="s">
        <v>1580</v>
      </c>
      <c r="H684" s="106" t="s">
        <v>131</v>
      </c>
      <c r="I684" s="107" t="s">
        <v>129</v>
      </c>
      <c r="J684" s="147">
        <v>3.8217059399999997</v>
      </c>
      <c r="K684" s="148">
        <v>0.43951000000000001</v>
      </c>
      <c r="L684" s="149">
        <f t="shared" ca="1" si="193"/>
        <v>1.6939246863047051</v>
      </c>
      <c r="M684" s="148">
        <f t="shared" ca="1" si="194"/>
        <v>1.1840068388777809</v>
      </c>
      <c r="N684" s="148">
        <f t="shared" ca="1" si="195"/>
        <v>0.74449683887778095</v>
      </c>
      <c r="O684" s="1062" t="s">
        <v>1586</v>
      </c>
      <c r="P684" s="104"/>
      <c r="R684" s="119"/>
      <c r="S684" s="1072"/>
      <c r="T684" s="1072"/>
      <c r="U684" s="1072"/>
      <c r="V684" s="1072"/>
      <c r="W684" s="1072"/>
      <c r="X684" s="1072"/>
      <c r="Y684" s="1072"/>
      <c r="Z684" s="1072"/>
      <c r="AA684" s="1072"/>
      <c r="AB684" s="1072"/>
      <c r="AC684" s="1072"/>
      <c r="AD684" s="1072"/>
      <c r="AE684" s="1072"/>
      <c r="AF684" s="1072"/>
      <c r="AG684" s="1072"/>
      <c r="AH684" s="1072"/>
      <c r="AI684" s="1072"/>
      <c r="AJ684" s="1073"/>
      <c r="AK684" s="1052" cm="1">
        <f t="array" aca="1" ref="AK684" ca="1">INDEX(OFFSET($AK$19,MATCH($B684,$B$19:$B$150,0)-1,0,COUNTA($B$19:$B$24),COUNTA($AK$17:$BB$17)),MATCH($F684,$F$19:$F$24,0),MATCH(AK$17,$AK$17:$BB$17,0))*INDEX($10:$13,MATCH($O684,$R$10:$R$13,0),COLUMN())</f>
        <v>2.9155683919999998E-2</v>
      </c>
      <c r="AL684" s="1050" cm="1">
        <f t="array" aca="1" ref="AL684" ca="1">INDEX(OFFSET($AK$19,MATCH($B684,$B$19:$B$150,0)-1,0,COUNTA($B$19:$B$24),COUNTA($AK$17:$BB$17)),MATCH($F684,$F$19:$F$24,0),MATCH(AL$17,$AK$17:$BB$17,0))*INDEX($10:$13,MATCH($O684,$R$10:$R$13,0),COLUMN())</f>
        <v>3.8796273480000002E-8</v>
      </c>
      <c r="AM684" s="1050" cm="1">
        <f t="array" aca="1" ref="AM684" ca="1">INDEX(OFFSET($AK$19,MATCH($B684,$B$19:$B$150,0)-1,0,COUNTA($B$19:$B$24),COUNTA($AK$17:$BB$17)),MATCH($F684,$F$19:$F$24,0),MATCH(AM$17,$AK$17:$BB$17,0))*INDEX($10:$13,MATCH($O684,$R$10:$R$13,0),COLUMN())</f>
        <v>0</v>
      </c>
      <c r="AN684" s="1050" cm="1">
        <f t="array" aca="1" ref="AN684" ca="1">INDEX(OFFSET($AK$19,MATCH($B684,$B$19:$B$150,0)-1,0,COUNTA($B$19:$B$24),COUNTA($AK$17:$BB$17)),MATCH($F684,$F$19:$F$24,0),MATCH(AN$17,$AK$17:$BB$17,0))*INDEX($10:$13,MATCH($O684,$R$10:$R$13,0),COLUMN())</f>
        <v>1.5259908372000002E-3</v>
      </c>
      <c r="AO684" s="1050" cm="1">
        <f t="array" aca="1" ref="AO684" ca="1">INDEX(OFFSET($AK$19,MATCH($B684,$B$19:$B$150,0)-1,0,COUNTA($B$19:$B$24),COUNTA($AK$17:$BB$17)),MATCH($F684,$F$19:$F$24,0),MATCH(AO$17,$AK$17:$BB$17,0))*INDEX($10:$13,MATCH($O684,$R$10:$R$13,0),COLUMN())</f>
        <v>9.6072868356164368E-3</v>
      </c>
      <c r="AP684" s="1050" cm="1">
        <f t="array" aca="1" ref="AP684" ca="1">INDEX(OFFSET($AK$19,MATCH($B684,$B$19:$B$150,0)-1,0,COUNTA($B$19:$B$24),COUNTA($AK$17:$BB$17)),MATCH($F684,$F$19:$F$24,0),MATCH(AP$17,$AK$17:$BB$17,0))*INDEX($10:$13,MATCH($O684,$R$10:$R$13,0),COLUMN())</f>
        <v>4.2704487839999999E-3</v>
      </c>
      <c r="AQ684" s="1050" cm="1">
        <f t="array" aca="1" ref="AQ684" ca="1">INDEX(OFFSET($AK$19,MATCH($B684,$B$19:$B$150,0)-1,0,COUNTA($B$19:$B$24),COUNTA($AK$17:$BB$17)),MATCH($F684,$F$19:$F$24,0),MATCH(AQ$17,$AK$17:$BB$17,0))*INDEX($10:$13,MATCH($O684,$R$10:$R$13,0),COLUMN())</f>
        <v>6.7704937440000003E-3</v>
      </c>
      <c r="AR684" s="1050" cm="1">
        <f t="array" aca="1" ref="AR684" ca="1">INDEX(OFFSET($AK$19,MATCH($B684,$B$19:$B$150,0)-1,0,COUNTA($B$19:$B$24),COUNTA($AK$17:$BB$17)),MATCH($F684,$F$19:$F$24,0),MATCH(AR$17,$AK$17:$BB$17,0))*INDEX($10:$13,MATCH($O684,$R$10:$R$13,0),COLUMN())</f>
        <v>0.25776903818000002</v>
      </c>
      <c r="AS684" s="1050" cm="1">
        <f t="array" aca="1" ref="AS684" ca="1">INDEX(OFFSET($AK$19,MATCH($B684,$B$19:$B$150,0)-1,0,COUNTA($B$19:$B$24),COUNTA($AK$17:$BB$17)),MATCH($F684,$F$19:$F$24,0),MATCH(AS$17,$AK$17:$BB$17,0))*INDEX($10:$13,MATCH($O684,$R$10:$R$13,0),COLUMN())</f>
        <v>7.1041387304000001E-5</v>
      </c>
      <c r="AT684" s="1050" cm="1">
        <f t="array" aca="1" ref="AT684" ca="1">INDEX(OFFSET($AK$19,MATCH($B684,$B$19:$B$150,0)-1,0,COUNTA($B$19:$B$24),COUNTA($AK$17:$BB$17)),MATCH($F684,$F$19:$F$24,0),MATCH(AT$17,$AK$17:$BB$17,0))*INDEX($10:$13,MATCH($O684,$R$10:$R$13,0),COLUMN())</f>
        <v>2.9482004966000001E-6</v>
      </c>
      <c r="AU684" s="1050" cm="1">
        <f t="array" aca="1" ref="AU684" ca="1">INDEX(OFFSET($AK$19,MATCH($B684,$B$19:$B$150,0)-1,0,COUNTA($B$19:$B$24),COUNTA($AK$17:$BB$17)),MATCH($F684,$F$19:$F$24,0),MATCH(AU$17,$AK$17:$BB$17,0))*INDEX($10:$13,MATCH($O684,$R$10:$R$13,0),COLUMN())</f>
        <v>6.2593666500000003E-7</v>
      </c>
      <c r="AV684" s="1050" cm="1">
        <f t="array" aca="1" ref="AV684" ca="1">INDEX(OFFSET($AK$19,MATCH($B684,$B$19:$B$150,0)-1,0,COUNTA($B$19:$B$24),COUNTA($AK$17:$BB$17)),MATCH($F684,$F$19:$F$24,0),MATCH(AV$17,$AK$17:$BB$17,0))*INDEX($10:$13,MATCH($O684,$R$10:$R$13,0),COLUMN())</f>
        <v>2.3473478420283503E-4</v>
      </c>
      <c r="AW684" s="1050" cm="1">
        <f t="array" aca="1" ref="AW684" ca="1">INDEX(OFFSET($AK$19,MATCH($B684,$B$19:$B$150,0)-1,0,COUNTA($B$19:$B$24),COUNTA($AK$17:$BB$17)),MATCH($F684,$F$19:$F$24,0),MATCH(AW$17,$AK$17:$BB$17,0))*INDEX($10:$13,MATCH($O684,$R$10:$R$13,0),COLUMN())</f>
        <v>0.42381451750000004</v>
      </c>
      <c r="AX684" s="1050" cm="1">
        <f t="array" aca="1" ref="AX684" ca="1">INDEX(OFFSET($AK$19,MATCH($B684,$B$19:$B$150,0)-1,0,COUNTA($B$19:$B$24),COUNTA($AK$17:$BB$17)),MATCH($F684,$F$19:$F$24,0),MATCH(AX$17,$AK$17:$BB$17,0))*INDEX($10:$13,MATCH($O684,$R$10:$R$13,0),COLUMN())</f>
        <v>1.2622957080000003E-7</v>
      </c>
      <c r="AY684" s="1050" cm="1">
        <f t="array" aca="1" ref="AY684" ca="1">INDEX(OFFSET($AK$19,MATCH($B684,$B$19:$B$150,0)-1,0,COUNTA($B$19:$B$24),COUNTA($AK$17:$BB$17)),MATCH($F684,$F$19:$F$24,0),MATCH(AY$17,$AK$17:$BB$17,0))*INDEX($10:$13,MATCH($O684,$R$10:$R$13,0),COLUMN())</f>
        <v>-8.0945880230000001E-11</v>
      </c>
      <c r="AZ684" s="1050" cm="1">
        <f t="array" aca="1" ref="AZ684" ca="1">INDEX(OFFSET($AK$19,MATCH($B684,$B$19:$B$150,0)-1,0,COUNTA($B$19:$B$24),COUNTA($AK$17:$BB$17)),MATCH($F684,$F$19:$F$24,0),MATCH(AZ$17,$AK$17:$BB$17,0))*INDEX($10:$13,MATCH($O684,$R$10:$R$13,0),COLUMN())</f>
        <v>3.9840263976580796E-6</v>
      </c>
      <c r="BA684" s="1050" cm="1">
        <f t="array" aca="1" ref="BA684" ca="1">INDEX(OFFSET($AK$19,MATCH($B684,$B$19:$B$150,0)-1,0,COUNTA($B$19:$B$24),COUNTA($AK$17:$BB$17)),MATCH($F684,$F$19:$F$24,0),MATCH(BA$17,$AK$17:$BB$17,0))*INDEX($10:$13,MATCH($O684,$R$10:$R$13,0),COLUMN())</f>
        <v>1.1117948173000001E-2</v>
      </c>
      <c r="BB684" s="1051" cm="1">
        <f t="array" aca="1" ref="BB684" ca="1">INDEX(OFFSET($AK$19,MATCH($B684,$B$19:$B$150,0)-1,0,COUNTA($B$19:$B$24),COUNTA($AK$17:$BB$17)),MATCH($F684,$F$19:$F$24,0),MATCH(BB$17,$AK$17:$BB$17,0))*INDEX($10:$13,MATCH($O684,$R$10:$R$13,0),COLUMN())</f>
        <v>1.5193162400000001E-4</v>
      </c>
      <c r="BC684" s="1053">
        <f t="shared" ca="1" si="196"/>
        <v>0.42381464364862498</v>
      </c>
      <c r="BE684" s="1"/>
      <c r="BF684" s="1"/>
      <c r="BG684" s="1"/>
      <c r="BH684" s="1"/>
      <c r="BI684" s="1"/>
      <c r="BJ684" s="1"/>
      <c r="BK684" s="1"/>
      <c r="BL684" s="1"/>
      <c r="BM684" s="1"/>
      <c r="BN684" s="1"/>
      <c r="BO684" s="1"/>
      <c r="BP684" s="1"/>
      <c r="BQ684" s="1"/>
      <c r="BR684" s="1"/>
      <c r="BS684" s="1"/>
      <c r="BT684" s="1"/>
      <c r="BU684" s="1"/>
      <c r="BV684" s="1"/>
      <c r="BW684" s="1"/>
      <c r="BX684" s="1"/>
      <c r="BY684" s="1"/>
      <c r="BZ684" s="1"/>
    </row>
    <row r="685" spans="2:78" ht="12" customHeight="1" outlineLevel="1" x14ac:dyDescent="0.25">
      <c r="B685" s="104" t="s">
        <v>91</v>
      </c>
      <c r="C685" s="104" t="s">
        <v>121</v>
      </c>
      <c r="D685" s="2" t="s">
        <v>132</v>
      </c>
      <c r="E685" s="2" t="s">
        <v>133</v>
      </c>
      <c r="F685" s="105" t="s">
        <v>95</v>
      </c>
      <c r="G685" s="27" t="s">
        <v>1581</v>
      </c>
      <c r="H685" s="106" t="s">
        <v>128</v>
      </c>
      <c r="I685" s="107" t="s">
        <v>127</v>
      </c>
      <c r="J685" s="147">
        <v>3.8217059399999997</v>
      </c>
      <c r="K685" s="148">
        <v>0.43951000000000001</v>
      </c>
      <c r="L685" s="149">
        <f t="shared" ca="1" si="193"/>
        <v>2.2593930691185631</v>
      </c>
      <c r="M685" s="148">
        <f t="shared" ca="1" si="194"/>
        <v>1.4325358478082997</v>
      </c>
      <c r="N685" s="148">
        <f t="shared" ca="1" si="195"/>
        <v>0.99302584780829972</v>
      </c>
      <c r="O685" s="1062" t="s">
        <v>1586</v>
      </c>
      <c r="P685" s="104"/>
      <c r="R685" s="119"/>
      <c r="S685" s="1072"/>
      <c r="T685" s="1072"/>
      <c r="U685" s="1072"/>
      <c r="V685" s="1072"/>
      <c r="W685" s="1072"/>
      <c r="X685" s="1072"/>
      <c r="Y685" s="1072"/>
      <c r="Z685" s="1072"/>
      <c r="AA685" s="1072"/>
      <c r="AB685" s="1072"/>
      <c r="AC685" s="1072"/>
      <c r="AD685" s="1072"/>
      <c r="AE685" s="1072"/>
      <c r="AF685" s="1072"/>
      <c r="AG685" s="1072"/>
      <c r="AH685" s="1072"/>
      <c r="AI685" s="1072"/>
      <c r="AJ685" s="1073"/>
      <c r="AK685" s="1052" cm="1">
        <f t="array" aca="1" ref="AK685" ca="1">INDEX(OFFSET($AK$19,MATCH($B685,$B$19:$B$150,0)-1,0,COUNTA($B$19:$B$24),COUNTA($AK$17:$BB$17)),MATCH($F685,$F$19:$F$24,0),MATCH(AK$17,$AK$17:$BB$17,0))*INDEX($10:$13,MATCH($O685,$R$10:$R$13,0),COLUMN())</f>
        <v>3.7794205679999998E-2</v>
      </c>
      <c r="AL685" s="1050" cm="1">
        <f t="array" aca="1" ref="AL685" ca="1">INDEX(OFFSET($AK$19,MATCH($B685,$B$19:$B$150,0)-1,0,COUNTA($B$19:$B$24),COUNTA($AK$17:$BB$17)),MATCH($F685,$F$19:$F$24,0),MATCH(AL$17,$AK$17:$BB$17,0))*INDEX($10:$13,MATCH($O685,$R$10:$R$13,0),COLUMN())</f>
        <v>4.426584486E-8</v>
      </c>
      <c r="AM685" s="1050" cm="1">
        <f t="array" aca="1" ref="AM685" ca="1">INDEX(OFFSET($AK$19,MATCH($B685,$B$19:$B$150,0)-1,0,COUNTA($B$19:$B$24),COUNTA($AK$17:$BB$17)),MATCH($F685,$F$19:$F$24,0),MATCH(AM$17,$AK$17:$BB$17,0))*INDEX($10:$13,MATCH($O685,$R$10:$R$13,0),COLUMN())</f>
        <v>0</v>
      </c>
      <c r="AN685" s="1050" cm="1">
        <f t="array" aca="1" ref="AN685" ca="1">INDEX(OFFSET($AK$19,MATCH($B685,$B$19:$B$150,0)-1,0,COUNTA($B$19:$B$24),COUNTA($AK$17:$BB$17)),MATCH($F685,$F$19:$F$24,0),MATCH(AN$17,$AK$17:$BB$17,0))*INDEX($10:$13,MATCH($O685,$R$10:$R$13,0),COLUMN())</f>
        <v>1.8482464146E-3</v>
      </c>
      <c r="AO685" s="1050" cm="1">
        <f t="array" aca="1" ref="AO685" ca="1">INDEX(OFFSET($AK$19,MATCH($B685,$B$19:$B$150,0)-1,0,COUNTA($B$19:$B$24),COUNTA($AK$17:$BB$17)),MATCH($F685,$F$19:$F$24,0),MATCH(AO$17,$AK$17:$BB$17,0))*INDEX($10:$13,MATCH($O685,$R$10:$R$13,0),COLUMN())</f>
        <v>2.5355348247945202E-2</v>
      </c>
      <c r="AP685" s="1050" cm="1">
        <f t="array" aca="1" ref="AP685" ca="1">INDEX(OFFSET($AK$19,MATCH($B685,$B$19:$B$150,0)-1,0,COUNTA($B$19:$B$24),COUNTA($AK$17:$BB$17)),MATCH($F685,$F$19:$F$24,0),MATCH(AP$17,$AK$17:$BB$17,0))*INDEX($10:$13,MATCH($O685,$R$10:$R$13,0),COLUMN())</f>
        <v>1.6376970288E-2</v>
      </c>
      <c r="AQ685" s="1050" cm="1">
        <f t="array" aca="1" ref="AQ685" ca="1">INDEX(OFFSET($AK$19,MATCH($B685,$B$19:$B$150,0)-1,0,COUNTA($B$19:$B$24),COUNTA($AK$17:$BB$17)),MATCH($F685,$F$19:$F$24,0),MATCH(AQ$17,$AK$17:$BB$17,0))*INDEX($10:$13,MATCH($O685,$R$10:$R$13,0),COLUMN())</f>
        <v>3.0335712512000002E-2</v>
      </c>
      <c r="AR685" s="1050" cm="1">
        <f t="array" aca="1" ref="AR685" ca="1">INDEX(OFFSET($AK$19,MATCH($B685,$B$19:$B$150,0)-1,0,COUNTA($B$19:$B$24),COUNTA($AK$17:$BB$17)),MATCH($F685,$F$19:$F$24,0),MATCH(AR$17,$AK$17:$BB$17,0))*INDEX($10:$13,MATCH($O685,$R$10:$R$13,0),COLUMN())</f>
        <v>0.38456613446000004</v>
      </c>
      <c r="AS685" s="1050" cm="1">
        <f t="array" aca="1" ref="AS685" ca="1">INDEX(OFFSET($AK$19,MATCH($B685,$B$19:$B$150,0)-1,0,COUNTA($B$19:$B$24),COUNTA($AK$17:$BB$17)),MATCH($F685,$F$19:$F$24,0),MATCH(AS$17,$AK$17:$BB$17,0))*INDEX($10:$13,MATCH($O685,$R$10:$R$13,0),COLUMN())</f>
        <v>1.8093477128E-3</v>
      </c>
      <c r="AT685" s="1050" cm="1">
        <f t="array" aca="1" ref="AT685" ca="1">INDEX(OFFSET($AK$19,MATCH($B685,$B$19:$B$150,0)-1,0,COUNTA($B$19:$B$24),COUNTA($AK$17:$BB$17)),MATCH($F685,$F$19:$F$24,0),MATCH(AT$17,$AK$17:$BB$17,0))*INDEX($10:$13,MATCH($O685,$R$10:$R$13,0),COLUMN())</f>
        <v>4.6289204019999999E-6</v>
      </c>
      <c r="AU685" s="1050" cm="1">
        <f t="array" aca="1" ref="AU685" ca="1">INDEX(OFFSET($AK$19,MATCH($B685,$B$19:$B$150,0)-1,0,COUNTA($B$19:$B$24),COUNTA($AK$17:$BB$17)),MATCH($F685,$F$19:$F$24,0),MATCH(AU$17,$AK$17:$BB$17,0))*INDEX($10:$13,MATCH($O685,$R$10:$R$13,0),COLUMN())</f>
        <v>9.0667132260000001E-7</v>
      </c>
      <c r="AV685" s="1050" cm="1">
        <f t="array" aca="1" ref="AV685" ca="1">INDEX(OFFSET($AK$19,MATCH($B685,$B$19:$B$150,0)-1,0,COUNTA($B$19:$B$24),COUNTA($AK$17:$BB$17)),MATCH($F685,$F$19:$F$24,0),MATCH(AV$17,$AK$17:$BB$17,0))*INDEX($10:$13,MATCH($O685,$R$10:$R$13,0),COLUMN())</f>
        <v>1.5321272834994781E-3</v>
      </c>
      <c r="AW685" s="1050" cm="1">
        <f t="array" aca="1" ref="AW685" ca="1">INDEX(OFFSET($AK$19,MATCH($B685,$B$19:$B$150,0)-1,0,COUNTA($B$19:$B$24),COUNTA($AK$17:$BB$17)),MATCH($F685,$F$19:$F$24,0),MATCH(AW$17,$AK$17:$BB$17,0))*INDEX($10:$13,MATCH($O685,$R$10:$R$13,0),COLUMN())</f>
        <v>0.47991439000000008</v>
      </c>
      <c r="AX685" s="1050" cm="1">
        <f t="array" aca="1" ref="AX685" ca="1">INDEX(OFFSET($AK$19,MATCH($B685,$B$19:$B$150,0)-1,0,COUNTA($B$19:$B$24),COUNTA($AK$17:$BB$17)),MATCH($F685,$F$19:$F$24,0),MATCH(AX$17,$AK$17:$BB$17,0))*INDEX($10:$13,MATCH($O685,$R$10:$R$13,0),COLUMN())</f>
        <v>1.4293844320000001E-7</v>
      </c>
      <c r="AY685" s="1050" cm="1">
        <f t="array" aca="1" ref="AY685" ca="1">INDEX(OFFSET($AK$19,MATCH($B685,$B$19:$B$150,0)-1,0,COUNTA($B$19:$B$24),COUNTA($AK$17:$BB$17)),MATCH($F685,$F$19:$F$24,0),MATCH(AY$17,$AK$17:$BB$17,0))*INDEX($10:$13,MATCH($O685,$R$10:$R$13,0),COLUMN())</f>
        <v>-9.1660599840000012E-11</v>
      </c>
      <c r="AZ685" s="1050" cm="1">
        <f t="array" aca="1" ref="AZ685" ca="1">INDEX(OFFSET($AK$19,MATCH($B685,$B$19:$B$150,0)-1,0,COUNTA($B$19:$B$24),COUNTA($AK$17:$BB$17)),MATCH($F685,$F$19:$F$24,0),MATCH(AZ$17,$AK$17:$BB$17,0))*INDEX($10:$13,MATCH($O685,$R$10:$R$13,0),COLUMN())</f>
        <v>4.5177465028103034E-6</v>
      </c>
      <c r="BA685" s="1050" cm="1">
        <f t="array" aca="1" ref="BA685" ca="1">INDEX(OFFSET($AK$19,MATCH($B685,$B$19:$B$150,0)-1,0,COUNTA($B$19:$B$24),COUNTA($AK$17:$BB$17)),MATCH($F685,$F$19:$F$24,0),MATCH(BA$17,$AK$17:$BB$17,0))*INDEX($10:$13,MATCH($O685,$R$10:$R$13,0),COLUMN())</f>
        <v>1.3310492541E-2</v>
      </c>
      <c r="BB685" s="1051" cm="1">
        <f t="array" aca="1" ref="BB685" ca="1">INDEX(OFFSET($AK$19,MATCH($B685,$B$19:$B$150,0)-1,0,COUNTA($B$19:$B$24),COUNTA($AK$17:$BB$17)),MATCH($F685,$F$19:$F$24,0),MATCH(BB$17,$AK$17:$BB$17,0))*INDEX($10:$13,MATCH($O685,$R$10:$R$13,0),COLUMN())</f>
        <v>1.7263221759999999E-4</v>
      </c>
      <c r="BC685" s="1053">
        <f t="shared" ca="1" si="196"/>
        <v>0.47991453284678265</v>
      </c>
      <c r="BE685" s="1"/>
      <c r="BF685" s="1"/>
      <c r="BG685" s="1"/>
      <c r="BH685" s="1"/>
      <c r="BI685" s="1"/>
      <c r="BJ685" s="1"/>
      <c r="BK685" s="1"/>
      <c r="BL685" s="1"/>
      <c r="BM685" s="1"/>
      <c r="BN685" s="1"/>
      <c r="BO685" s="1"/>
      <c r="BP685" s="1"/>
      <c r="BQ685" s="1"/>
      <c r="BR685" s="1"/>
      <c r="BS685" s="1"/>
      <c r="BT685" s="1"/>
      <c r="BU685" s="1"/>
      <c r="BV685" s="1"/>
      <c r="BW685" s="1"/>
      <c r="BX685" s="1"/>
      <c r="BY685" s="1"/>
      <c r="BZ685" s="1"/>
    </row>
    <row r="686" spans="2:78" ht="12" customHeight="1" outlineLevel="1" x14ac:dyDescent="0.25">
      <c r="B686" s="104" t="s">
        <v>91</v>
      </c>
      <c r="C686" s="104" t="s">
        <v>121</v>
      </c>
      <c r="D686" s="2" t="s">
        <v>132</v>
      </c>
      <c r="E686" s="2" t="s">
        <v>133</v>
      </c>
      <c r="F686" s="105" t="s">
        <v>96</v>
      </c>
      <c r="G686" s="27" t="s">
        <v>1582</v>
      </c>
      <c r="H686" s="106" t="s">
        <v>128</v>
      </c>
      <c r="I686" s="107" t="s">
        <v>1577</v>
      </c>
      <c r="J686" s="147">
        <v>3.8217059399999997</v>
      </c>
      <c r="K686" s="148">
        <v>0.43951000000000001</v>
      </c>
      <c r="L686" s="149">
        <f t="shared" ca="1" si="193"/>
        <v>2.5070010140366663</v>
      </c>
      <c r="M686" s="148">
        <f t="shared" ca="1" si="194"/>
        <v>1.5413620156792553</v>
      </c>
      <c r="N686" s="148">
        <f t="shared" ca="1" si="195"/>
        <v>1.1018520156792553</v>
      </c>
      <c r="O686" s="1062" t="s">
        <v>1586</v>
      </c>
      <c r="P686" s="104"/>
      <c r="R686" s="119"/>
      <c r="S686" s="1072"/>
      <c r="T686" s="1072"/>
      <c r="U686" s="1072"/>
      <c r="V686" s="1072"/>
      <c r="W686" s="1072"/>
      <c r="X686" s="1072"/>
      <c r="Y686" s="1072"/>
      <c r="Z686" s="1072"/>
      <c r="AA686" s="1072"/>
      <c r="AB686" s="1072"/>
      <c r="AC686" s="1072"/>
      <c r="AD686" s="1072"/>
      <c r="AE686" s="1072"/>
      <c r="AF686" s="1072"/>
      <c r="AG686" s="1072"/>
      <c r="AH686" s="1072"/>
      <c r="AI686" s="1072"/>
      <c r="AJ686" s="1073"/>
      <c r="AK686" s="1052" cm="1">
        <f t="array" aca="1" ref="AK686" ca="1">INDEX(OFFSET($AK$19,MATCH($B686,$B$19:$B$150,0)-1,0,COUNTA($B$19:$B$24),COUNTA($AK$17:$BB$17)),MATCH($F686,$F$19:$F$24,0),MATCH(AK$17,$AK$17:$BB$17,0))*INDEX($10:$13,MATCH($O686,$R$10:$R$13,0),COLUMN())</f>
        <v>4.1219391919999994E-2</v>
      </c>
      <c r="AL686" s="1050" cm="1">
        <f t="array" aca="1" ref="AL686" ca="1">INDEX(OFFSET($AK$19,MATCH($B686,$B$19:$B$150,0)-1,0,COUNTA($B$19:$B$24),COUNTA($AK$17:$BB$17)),MATCH($F686,$F$19:$F$24,0),MATCH(AL$17,$AK$17:$BB$17,0))*INDEX($10:$13,MATCH($O686,$R$10:$R$13,0),COLUMN())</f>
        <v>4.4483913360000006E-8</v>
      </c>
      <c r="AM686" s="1050" cm="1">
        <f t="array" aca="1" ref="AM686" ca="1">INDEX(OFFSET($AK$19,MATCH($B686,$B$19:$B$150,0)-1,0,COUNTA($B$19:$B$24),COUNTA($AK$17:$BB$17)),MATCH($F686,$F$19:$F$24,0),MATCH(AM$17,$AK$17:$BB$17,0))*INDEX($10:$13,MATCH($O686,$R$10:$R$13,0),COLUMN())</f>
        <v>0</v>
      </c>
      <c r="AN686" s="1050" cm="1">
        <f t="array" aca="1" ref="AN686" ca="1">INDEX(OFFSET($AK$19,MATCH($B686,$B$19:$B$150,0)-1,0,COUNTA($B$19:$B$24),COUNTA($AK$17:$BB$17)),MATCH($F686,$F$19:$F$24,0),MATCH(AN$17,$AK$17:$BB$17,0))*INDEX($10:$13,MATCH($O686,$R$10:$R$13,0),COLUMN())</f>
        <v>1.9267311846000003E-3</v>
      </c>
      <c r="AO686" s="1050" cm="1">
        <f t="array" aca="1" ref="AO686" ca="1">INDEX(OFFSET($AK$19,MATCH($B686,$B$19:$B$150,0)-1,0,COUNTA($B$19:$B$24),COUNTA($AK$17:$BB$17)),MATCH($F686,$F$19:$F$24,0),MATCH(AO$17,$AK$17:$BB$17,0))*INDEX($10:$13,MATCH($O686,$R$10:$R$13,0),COLUMN())</f>
        <v>3.5879967410958905E-2</v>
      </c>
      <c r="AP686" s="1050" cm="1">
        <f t="array" aca="1" ref="AP686" ca="1">INDEX(OFFSET($AK$19,MATCH($B686,$B$19:$B$150,0)-1,0,COUNTA($B$19:$B$24),COUNTA($AK$17:$BB$17)),MATCH($F686,$F$19:$F$24,0),MATCH(AP$17,$AK$17:$BB$17,0))*INDEX($10:$13,MATCH($O686,$R$10:$R$13,0),COLUMN())</f>
        <v>2.4784621008E-2</v>
      </c>
      <c r="AQ686" s="1050" cm="1">
        <f t="array" aca="1" ref="AQ686" ca="1">INDEX(OFFSET($AK$19,MATCH($B686,$B$19:$B$150,0)-1,0,COUNTA($B$19:$B$24),COUNTA($AK$17:$BB$17)),MATCH($F686,$F$19:$F$24,0),MATCH(AQ$17,$AK$17:$BB$17,0))*INDEX($10:$13,MATCH($O686,$R$10:$R$13,0),COLUMN())</f>
        <v>4.6480116479999993E-2</v>
      </c>
      <c r="AR686" s="1050" cm="1">
        <f t="array" aca="1" ref="AR686" ca="1">INDEX(OFFSET($AK$19,MATCH($B686,$B$19:$B$150,0)-1,0,COUNTA($B$19:$B$24),COUNTA($AK$17:$BB$17)),MATCH($F686,$F$19:$F$24,0),MATCH(AR$17,$AK$17:$BB$17,0))*INDEX($10:$13,MATCH($O686,$R$10:$R$13,0),COLUMN())</f>
        <v>0.45213416458</v>
      </c>
      <c r="AS686" s="1050" cm="1">
        <f t="array" aca="1" ref="AS686" ca="1">INDEX(OFFSET($AK$19,MATCH($B686,$B$19:$B$150,0)-1,0,COUNTA($B$19:$B$24),COUNTA($AK$17:$BB$17)),MATCH($F686,$F$19:$F$24,0),MATCH(AS$17,$AK$17:$BB$17,0))*INDEX($10:$13,MATCH($O686,$R$10:$R$13,0),COLUMN())</f>
        <v>3.0083345785999996E-3</v>
      </c>
      <c r="AT686" s="1050" cm="1">
        <f t="array" aca="1" ref="AT686" ca="1">INDEX(OFFSET($AK$19,MATCH($B686,$B$19:$B$150,0)-1,0,COUNTA($B$19:$B$24),COUNTA($AK$17:$BB$17)),MATCH($F686,$F$19:$F$24,0),MATCH(AT$17,$AK$17:$BB$17,0))*INDEX($10:$13,MATCH($O686,$R$10:$R$13,0),COLUMN())</f>
        <v>5.1730199099999999E-6</v>
      </c>
      <c r="AU686" s="1050" cm="1">
        <f t="array" aca="1" ref="AU686" ca="1">INDEX(OFFSET($AK$19,MATCH($B686,$B$19:$B$150,0)-1,0,COUNTA($B$19:$B$24),COUNTA($AK$17:$BB$17)),MATCH($F686,$F$19:$F$24,0),MATCH(AU$17,$AK$17:$BB$17,0))*INDEX($10:$13,MATCH($O686,$R$10:$R$13,0),COLUMN())</f>
        <v>9.8498669279999985E-7</v>
      </c>
      <c r="AV686" s="1050" cm="1">
        <f t="array" aca="1" ref="AV686" ca="1">INDEX(OFFSET($AK$19,MATCH($B686,$B$19:$B$150,0)-1,0,COUNTA($B$19:$B$24),COUNTA($AK$17:$BB$17)),MATCH($F686,$F$19:$F$24,0),MATCH(AV$17,$AK$17:$BB$17,0))*INDEX($10:$13,MATCH($O686,$R$10:$R$13,0),COLUMN())</f>
        <v>2.5394685416060812E-3</v>
      </c>
      <c r="AW686" s="1050" cm="1">
        <f t="array" aca="1" ref="AW686" ca="1">INDEX(OFFSET($AK$19,MATCH($B686,$B$19:$B$150,0)-1,0,COUNTA($B$19:$B$24),COUNTA($AK$17:$BB$17)),MATCH($F686,$F$19:$F$24,0),MATCH(AW$17,$AK$17:$BB$17,0))*INDEX($10:$13,MATCH($O686,$R$10:$R$13,0),COLUMN())</f>
        <v>0.47991439000000008</v>
      </c>
      <c r="AX686" s="1050" cm="1">
        <f t="array" aca="1" ref="AX686" ca="1">INDEX(OFFSET($AK$19,MATCH($B686,$B$19:$B$150,0)-1,0,COUNTA($B$19:$B$24),COUNTA($AK$17:$BB$17)),MATCH($F686,$F$19:$F$24,0),MATCH(AX$17,$AK$17:$BB$17,0))*INDEX($10:$13,MATCH($O686,$R$10:$R$13,0),COLUMN())</f>
        <v>1.4293844320000001E-7</v>
      </c>
      <c r="AY686" s="1050" cm="1">
        <f t="array" aca="1" ref="AY686" ca="1">INDEX(OFFSET($AK$19,MATCH($B686,$B$19:$B$150,0)-1,0,COUNTA($B$19:$B$24),COUNTA($AK$17:$BB$17)),MATCH($F686,$F$19:$F$24,0),MATCH(AY$17,$AK$17:$BB$17,0))*INDEX($10:$13,MATCH($O686,$R$10:$R$13,0),COLUMN())</f>
        <v>-9.1660599840000012E-11</v>
      </c>
      <c r="AZ686" s="1050" cm="1">
        <f t="array" aca="1" ref="AZ686" ca="1">INDEX(OFFSET($AK$19,MATCH($B686,$B$19:$B$150,0)-1,0,COUNTA($B$19:$B$24),COUNTA($AK$17:$BB$17)),MATCH($F686,$F$19:$F$24,0),MATCH(AZ$17,$AK$17:$BB$17,0))*INDEX($10:$13,MATCH($O686,$R$10:$R$13,0),COLUMN())</f>
        <v>4.5218963918032778E-6</v>
      </c>
      <c r="BA686" s="1050" cm="1">
        <f t="array" aca="1" ref="BA686" ca="1">INDEX(OFFSET($AK$19,MATCH($B686,$B$19:$B$150,0)-1,0,COUNTA($B$19:$B$24),COUNTA($AK$17:$BB$17)),MATCH($F686,$F$19:$F$24,0),MATCH(BA$17,$AK$17:$BB$17,0))*INDEX($10:$13,MATCH($O686,$R$10:$R$13,0),COLUMN())</f>
        <v>1.3780945765E-2</v>
      </c>
      <c r="BB686" s="1051" cm="1">
        <f t="array" aca="1" ref="BB686" ca="1">INDEX(OFFSET($AK$19,MATCH($B686,$B$19:$B$150,0)-1,0,COUNTA($B$19:$B$24),COUNTA($AK$17:$BB$17)),MATCH($F686,$F$19:$F$24,0),MATCH(BB$17,$AK$17:$BB$17,0))*INDEX($10:$13,MATCH($O686,$R$10:$R$13,0),COLUMN())</f>
        <v>1.7301697680000003E-4</v>
      </c>
      <c r="BC686" s="1053">
        <f t="shared" ca="1" si="196"/>
        <v>0.47991453284678265</v>
      </c>
      <c r="BE686" s="1"/>
      <c r="BF686" s="1"/>
      <c r="BG686" s="1"/>
      <c r="BH686" s="1"/>
      <c r="BI686" s="1"/>
      <c r="BJ686" s="1"/>
      <c r="BK686" s="1"/>
      <c r="BL686" s="1"/>
      <c r="BM686" s="1"/>
      <c r="BN686" s="1"/>
      <c r="BO686" s="1"/>
      <c r="BP686" s="1"/>
      <c r="BQ686" s="1"/>
      <c r="BR686" s="1"/>
      <c r="BS686" s="1"/>
      <c r="BT686" s="1"/>
      <c r="BU686" s="1"/>
      <c r="BV686" s="1"/>
      <c r="BW686" s="1"/>
      <c r="BX686" s="1"/>
      <c r="BY686" s="1"/>
      <c r="BZ686" s="1"/>
    </row>
    <row r="687" spans="2:78" ht="12" customHeight="1" outlineLevel="1" x14ac:dyDescent="0.25">
      <c r="B687" s="88" t="s">
        <v>97</v>
      </c>
      <c r="C687" s="88" t="s">
        <v>121</v>
      </c>
      <c r="D687" s="89" t="s">
        <v>132</v>
      </c>
      <c r="E687" s="89" t="s">
        <v>134</v>
      </c>
      <c r="F687" s="90" t="s">
        <v>92</v>
      </c>
      <c r="G687" s="18" t="s">
        <v>126</v>
      </c>
      <c r="H687" s="91" t="s">
        <v>127</v>
      </c>
      <c r="I687" s="92" t="s">
        <v>127</v>
      </c>
      <c r="J687" s="142">
        <v>4.0702721800000008</v>
      </c>
      <c r="K687" s="143">
        <v>0.19115317137940699</v>
      </c>
      <c r="L687" s="144">
        <f t="shared" ca="1" si="193"/>
        <v>4.8050147704115913</v>
      </c>
      <c r="M687" s="143">
        <f t="shared" ca="1" si="194"/>
        <v>1.1096469832684759</v>
      </c>
      <c r="N687" s="162">
        <f t="shared" ca="1" si="195"/>
        <v>0.91849381188906887</v>
      </c>
      <c r="O687" s="1060" t="s">
        <v>1586</v>
      </c>
      <c r="P687" s="88"/>
      <c r="Q687" s="89"/>
      <c r="R687" s="150"/>
      <c r="S687" s="1070"/>
      <c r="T687" s="1070"/>
      <c r="U687" s="1070"/>
      <c r="V687" s="1070"/>
      <c r="W687" s="1070"/>
      <c r="X687" s="1070"/>
      <c r="Y687" s="1070"/>
      <c r="Z687" s="1070"/>
      <c r="AA687" s="1070"/>
      <c r="AB687" s="1070"/>
      <c r="AC687" s="1070"/>
      <c r="AD687" s="1070"/>
      <c r="AE687" s="1070"/>
      <c r="AF687" s="1070"/>
      <c r="AG687" s="1070"/>
      <c r="AH687" s="1070"/>
      <c r="AI687" s="1070"/>
      <c r="AJ687" s="1071"/>
      <c r="AK687" s="1048" cm="1">
        <f t="array" aca="1" ref="AK687" ca="1">INDEX(OFFSET($AK$19,MATCH($B687,$B$19:$B$150,0)-1,0,COUNTA($B$19:$B$24),COUNTA($AK$17:$BB$17)),MATCH($F687,$F$19:$F$24,0),MATCH(AK$17,$AK$17:$BB$17,0))*INDEX($10:$13,MATCH($O687,$R$10:$R$13,0),COLUMN())</f>
        <v>5.1357936319999999E-2</v>
      </c>
      <c r="AL687" s="1046" cm="1">
        <f t="array" aca="1" ref="AL687" ca="1">INDEX(OFFSET($AK$19,MATCH($B687,$B$19:$B$150,0)-1,0,COUNTA($B$19:$B$24),COUNTA($AK$17:$BB$17)),MATCH($F687,$F$19:$F$24,0),MATCH(AL$17,$AK$17:$BB$17,0))*INDEX($10:$13,MATCH($O687,$R$10:$R$13,0),COLUMN())</f>
        <v>5.6061733680000002E-8</v>
      </c>
      <c r="AM687" s="1046" cm="1">
        <f t="array" aca="1" ref="AM687" ca="1">INDEX(OFFSET($AK$19,MATCH($B687,$B$19:$B$150,0)-1,0,COUNTA($B$19:$B$24),COUNTA($AK$17:$BB$17)),MATCH($F687,$F$19:$F$24,0),MATCH(AM$17,$AK$17:$BB$17,0))*INDEX($10:$13,MATCH($O687,$R$10:$R$13,0),COLUMN())</f>
        <v>0</v>
      </c>
      <c r="AN687" s="1046" cm="1">
        <f t="array" aca="1" ref="AN687" ca="1">INDEX(OFFSET($AK$19,MATCH($B687,$B$19:$B$150,0)-1,0,COUNTA($B$19:$B$24),COUNTA($AK$17:$BB$17)),MATCH($F687,$F$19:$F$24,0),MATCH(AN$17,$AK$17:$BB$17,0))*INDEX($10:$13,MATCH($O687,$R$10:$R$13,0),COLUMN())</f>
        <v>1.0142229174000001E-3</v>
      </c>
      <c r="AO687" s="1046" cm="1">
        <f t="array" aca="1" ref="AO687" ca="1">INDEX(OFFSET($AK$19,MATCH($B687,$B$19:$B$150,0)-1,0,COUNTA($B$19:$B$24),COUNTA($AK$17:$BB$17)),MATCH($F687,$F$19:$F$24,0),MATCH(AO$17,$AK$17:$BB$17,0))*INDEX($10:$13,MATCH($O687,$R$10:$R$13,0),COLUMN())</f>
        <v>2.3768835501369861E-2</v>
      </c>
      <c r="AP687" s="1046" cm="1">
        <f t="array" aca="1" ref="AP687" ca="1">INDEX(OFFSET($AK$19,MATCH($B687,$B$19:$B$150,0)-1,0,COUNTA($B$19:$B$24),COUNTA($AK$17:$BB$17)),MATCH($F687,$F$19:$F$24,0),MATCH(AP$17,$AK$17:$BB$17,0))*INDEX($10:$13,MATCH($O687,$R$10:$R$13,0),COLUMN())</f>
        <v>1.6824759168000001E-2</v>
      </c>
      <c r="AQ687" s="1046" cm="1">
        <f t="array" aca="1" ref="AQ687" ca="1">INDEX(OFFSET($AK$19,MATCH($B687,$B$19:$B$150,0)-1,0,COUNTA($B$19:$B$24),COUNTA($AK$17:$BB$17)),MATCH($F687,$F$19:$F$24,0),MATCH(AQ$17,$AK$17:$BB$17,0))*INDEX($10:$13,MATCH($O687,$R$10:$R$13,0),COLUMN())</f>
        <v>4.6923436639999996E-2</v>
      </c>
      <c r="AR687" s="1046" cm="1">
        <f t="array" aca="1" ref="AR687" ca="1">INDEX(OFFSET($AK$19,MATCH($B687,$B$19:$B$150,0)-1,0,COUNTA($B$19:$B$24),COUNTA($AK$17:$BB$17)),MATCH($F687,$F$19:$F$24,0),MATCH(AR$17,$AK$17:$BB$17,0))*INDEX($10:$13,MATCH($O687,$R$10:$R$13,0),COLUMN())</f>
        <v>0.41325271978</v>
      </c>
      <c r="AS687" s="1046" cm="1">
        <f t="array" aca="1" ref="AS687" ca="1">INDEX(OFFSET($AK$19,MATCH($B687,$B$19:$B$150,0)-1,0,COUNTA($B$19:$B$24),COUNTA($AK$17:$BB$17)),MATCH($F687,$F$19:$F$24,0),MATCH(AS$17,$AK$17:$BB$17,0))*INDEX($10:$13,MATCH($O687,$R$10:$R$13,0),COLUMN())</f>
        <v>0.11122752493999999</v>
      </c>
      <c r="AT687" s="1046" cm="1">
        <f t="array" aca="1" ref="AT687" ca="1">INDEX(OFFSET($AK$19,MATCH($B687,$B$19:$B$150,0)-1,0,COUNTA($B$19:$B$24),COUNTA($AK$17:$BB$17)),MATCH($F687,$F$19:$F$24,0),MATCH(AT$17,$AK$17:$BB$17,0))*INDEX($10:$13,MATCH($O687,$R$10:$R$13,0),COLUMN())</f>
        <v>1.234548367E-4</v>
      </c>
      <c r="AU687" s="1046" cm="1">
        <f t="array" aca="1" ref="AU687" ca="1">INDEX(OFFSET($AK$19,MATCH($B687,$B$19:$B$150,0)-1,0,COUNTA($B$19:$B$24),COUNTA($AK$17:$BB$17)),MATCH($F687,$F$19:$F$24,0),MATCH(AU$17,$AK$17:$BB$17,0))*INDEX($10:$13,MATCH($O687,$R$10:$R$13,0),COLUMN())</f>
        <v>6.9943521959999993E-6</v>
      </c>
      <c r="AV687" s="1046" cm="1">
        <f t="array" aca="1" ref="AV687" ca="1">INDEX(OFFSET($AK$19,MATCH($B687,$B$19:$B$150,0)-1,0,COUNTA($B$19:$B$24),COUNTA($AK$17:$BB$17)),MATCH($F687,$F$19:$F$24,0),MATCH(AV$17,$AK$17:$BB$17,0))*INDEX($10:$13,MATCH($O687,$R$10:$R$13,0),COLUMN())</f>
        <v>5.2321182692735221E-4</v>
      </c>
      <c r="AW687" s="1046" cm="1">
        <f t="array" aca="1" ref="AW687" ca="1">INDEX(OFFSET($AK$19,MATCH($B687,$B$19:$B$150,0)-1,0,COUNTA($B$19:$B$24),COUNTA($AK$17:$BB$17)),MATCH($F687,$F$19:$F$24,0),MATCH(AW$17,$AK$17:$BB$17,0))*INDEX($10:$13,MATCH($O687,$R$10:$R$13,0),COLUMN())</f>
        <v>0.23551473231000003</v>
      </c>
      <c r="AX687" s="1046" cm="1">
        <f t="array" aca="1" ref="AX687" ca="1">INDEX(OFFSET($AK$19,MATCH($B687,$B$19:$B$150,0)-1,0,COUNTA($B$19:$B$24),COUNTA($AK$17:$BB$17)),MATCH($F687,$F$19:$F$24,0),MATCH(AX$17,$AK$17:$BB$17,0))*INDEX($10:$13,MATCH($O687,$R$10:$R$13,0),COLUMN())</f>
        <v>5.2951291280000008E-7</v>
      </c>
      <c r="AY687" s="1046" cm="1">
        <f t="array" aca="1" ref="AY687" ca="1">INDEX(OFFSET($AK$19,MATCH($B687,$B$19:$B$150,0)-1,0,COUNTA($B$19:$B$24),COUNTA($AK$17:$BB$17)),MATCH($F687,$F$19:$F$24,0),MATCH(AY$17,$AK$17:$BB$17,0))*INDEX($10:$13,MATCH($O687,$R$10:$R$13,0),COLUMN())</f>
        <v>-3.572327761E-10</v>
      </c>
      <c r="AZ687" s="1046" cm="1">
        <f t="array" aca="1" ref="AZ687" ca="1">INDEX(OFFSET($AK$19,MATCH($B687,$B$19:$B$150,0)-1,0,COUNTA($B$19:$B$24),COUNTA($AK$17:$BB$17)),MATCH($F687,$F$19:$F$24,0),MATCH(AZ$17,$AK$17:$BB$17,0))*INDEX($10:$13,MATCH($O687,$R$10:$R$13,0),COLUMN())</f>
        <v>2.4318340620608897E-6</v>
      </c>
      <c r="BA687" s="1046" cm="1">
        <f t="array" aca="1" ref="BA687" ca="1">INDEX(OFFSET($AK$19,MATCH($B687,$B$19:$B$150,0)-1,0,COUNTA($B$19:$B$24),COUNTA($AK$17:$BB$17)),MATCH($F687,$F$19:$F$24,0),MATCH(BA$17,$AK$17:$BB$17,0))*INDEX($10:$13,MATCH($O687,$R$10:$R$13,0),COLUMN())</f>
        <v>1.5307964042000001E-2</v>
      </c>
      <c r="BB687" s="1047" cm="1">
        <f t="array" aca="1" ref="BB687" ca="1">INDEX(OFFSET($AK$19,MATCH($B687,$B$19:$B$150,0)-1,0,COUNTA($B$19:$B$24),COUNTA($AK$17:$BB$17)),MATCH($F687,$F$19:$F$24,0),MATCH(BB$17,$AK$17:$BB$17,0))*INDEX($10:$13,MATCH($O687,$R$10:$R$13,0),COLUMN())</f>
        <v>2.6450022030000001E-3</v>
      </c>
      <c r="BC687" s="1049">
        <f t="shared" ca="1" si="196"/>
        <v>0.23551526146568005</v>
      </c>
      <c r="BE687" s="1"/>
      <c r="BF687" s="1"/>
      <c r="BG687" s="1"/>
      <c r="BH687" s="1"/>
      <c r="BI687" s="1"/>
      <c r="BJ687" s="1"/>
      <c r="BK687" s="1"/>
      <c r="BL687" s="1"/>
      <c r="BM687" s="1"/>
      <c r="BN687" s="1"/>
      <c r="BO687" s="1"/>
      <c r="BP687" s="1"/>
      <c r="BQ687" s="1"/>
      <c r="BR687" s="1"/>
      <c r="BS687" s="1"/>
      <c r="BT687" s="1"/>
      <c r="BU687" s="1"/>
      <c r="BV687" s="1"/>
      <c r="BW687" s="1"/>
      <c r="BX687" s="1"/>
      <c r="BY687" s="1"/>
      <c r="BZ687" s="1"/>
    </row>
    <row r="688" spans="2:78" ht="12" customHeight="1" outlineLevel="1" x14ac:dyDescent="0.25">
      <c r="B688" s="104" t="s">
        <v>97</v>
      </c>
      <c r="C688" s="104" t="s">
        <v>121</v>
      </c>
      <c r="D688" s="2" t="s">
        <v>132</v>
      </c>
      <c r="E688" s="2" t="s">
        <v>134</v>
      </c>
      <c r="F688" s="105" t="s">
        <v>122</v>
      </c>
      <c r="G688" s="27" t="s">
        <v>1579</v>
      </c>
      <c r="H688" s="106" t="s">
        <v>128</v>
      </c>
      <c r="I688" s="107" t="s">
        <v>129</v>
      </c>
      <c r="J688" s="147">
        <v>4.0702721800000008</v>
      </c>
      <c r="K688" s="148">
        <v>0.46051038847432407</v>
      </c>
      <c r="L688" s="149">
        <f t="shared" ca="1" si="193"/>
        <v>1.2273081376763539</v>
      </c>
      <c r="M688" s="148">
        <f t="shared" ca="1" si="194"/>
        <v>1.025698535733361</v>
      </c>
      <c r="N688" s="163">
        <f t="shared" ca="1" si="195"/>
        <v>0.56518814725903699</v>
      </c>
      <c r="O688" s="1061" t="s">
        <v>1586</v>
      </c>
      <c r="P688" s="104"/>
      <c r="R688" s="119"/>
      <c r="S688" s="1072"/>
      <c r="T688" s="1072"/>
      <c r="U688" s="1072"/>
      <c r="V688" s="1072"/>
      <c r="W688" s="1072"/>
      <c r="X688" s="1072"/>
      <c r="Y688" s="1072"/>
      <c r="Z688" s="1072"/>
      <c r="AA688" s="1072"/>
      <c r="AB688" s="1072"/>
      <c r="AC688" s="1072"/>
      <c r="AD688" s="1072"/>
      <c r="AE688" s="1072"/>
      <c r="AF688" s="1072"/>
      <c r="AG688" s="1072"/>
      <c r="AH688" s="1072"/>
      <c r="AI688" s="1072"/>
      <c r="AJ688" s="1073"/>
      <c r="AK688" s="1052" cm="1">
        <f t="array" aca="1" ref="AK688" ca="1">INDEX(OFFSET($AK$19,MATCH($B688,$B$19:$B$150,0)-1,0,COUNTA($B$19:$B$24),COUNTA($AK$17:$BB$17)),MATCH($F688,$F$19:$F$24,0),MATCH(AK$17,$AK$17:$BB$17,0))*INDEX($10:$13,MATCH($O688,$R$10:$R$13,0),COLUMN())</f>
        <v>2.4180562799999999E-2</v>
      </c>
      <c r="AL688" s="1050" cm="1">
        <f t="array" aca="1" ref="AL688" ca="1">INDEX(OFFSET($AK$19,MATCH($B688,$B$19:$B$150,0)-1,0,COUNTA($B$19:$B$24),COUNTA($AK$17:$BB$17)),MATCH($F688,$F$19:$F$24,0),MATCH(AL$17,$AK$17:$BB$17,0))*INDEX($10:$13,MATCH($O688,$R$10:$R$13,0),COLUMN())</f>
        <v>3.0250377414E-8</v>
      </c>
      <c r="AM688" s="1050" cm="1">
        <f t="array" aca="1" ref="AM688" ca="1">INDEX(OFFSET($AK$19,MATCH($B688,$B$19:$B$150,0)-1,0,COUNTA($B$19:$B$24),COUNTA($AK$17:$BB$17)),MATCH($F688,$F$19:$F$24,0),MATCH(AM$17,$AK$17:$BB$17,0))*INDEX($10:$13,MATCH($O688,$R$10:$R$13,0),COLUMN())</f>
        <v>0</v>
      </c>
      <c r="AN688" s="1050" cm="1">
        <f t="array" aca="1" ref="AN688" ca="1">INDEX(OFFSET($AK$19,MATCH($B688,$B$19:$B$150,0)-1,0,COUNTA($B$19:$B$24),COUNTA($AK$17:$BB$17)),MATCH($F688,$F$19:$F$24,0),MATCH(AN$17,$AK$17:$BB$17,0))*INDEX($10:$13,MATCH($O688,$R$10:$R$13,0),COLUMN())</f>
        <v>1.1423212464000002E-3</v>
      </c>
      <c r="AO688" s="1050" cm="1">
        <f t="array" aca="1" ref="AO688" ca="1">INDEX(OFFSET($AK$19,MATCH($B688,$B$19:$B$150,0)-1,0,COUNTA($B$19:$B$24),COUNTA($AK$17:$BB$17)),MATCH($F688,$F$19:$F$24,0),MATCH(AO$17,$AK$17:$BB$17,0))*INDEX($10:$13,MATCH($O688,$R$10:$R$13,0),COLUMN())</f>
        <v>7.1212695821917804E-3</v>
      </c>
      <c r="AP688" s="1050" cm="1">
        <f t="array" aca="1" ref="AP688" ca="1">INDEX(OFFSET($AK$19,MATCH($B688,$B$19:$B$150,0)-1,0,COUNTA($B$19:$B$24),COUNTA($AK$17:$BB$17)),MATCH($F688,$F$19:$F$24,0),MATCH(AP$17,$AK$17:$BB$17,0))*INDEX($10:$13,MATCH($O688,$R$10:$R$13,0),COLUMN())</f>
        <v>3.1434568704000001E-3</v>
      </c>
      <c r="AQ688" s="1050" cm="1">
        <f t="array" aca="1" ref="AQ688" ca="1">INDEX(OFFSET($AK$19,MATCH($B688,$B$19:$B$150,0)-1,0,COUNTA($B$19:$B$24),COUNTA($AK$17:$BB$17)),MATCH($F688,$F$19:$F$24,0),MATCH(AQ$17,$AK$17:$BB$17,0))*INDEX($10:$13,MATCH($O688,$R$10:$R$13,0),COLUMN())</f>
        <v>4.9443703040000005E-3</v>
      </c>
      <c r="AR688" s="1050" cm="1">
        <f t="array" aca="1" ref="AR688" ca="1">INDEX(OFFSET($AK$19,MATCH($B688,$B$19:$B$150,0)-1,0,COUNTA($B$19:$B$24),COUNTA($AK$17:$BB$17)),MATCH($F688,$F$19:$F$24,0),MATCH(AR$17,$AK$17:$BB$17,0))*INDEX($10:$13,MATCH($O688,$R$10:$R$13,0),COLUMN())</f>
        <v>0.20385020386</v>
      </c>
      <c r="AS688" s="1050" cm="1">
        <f t="array" aca="1" ref="AS688" ca="1">INDEX(OFFSET($AK$19,MATCH($B688,$B$19:$B$150,0)-1,0,COUNTA($B$19:$B$24),COUNTA($AK$17:$BB$17)),MATCH($F688,$F$19:$F$24,0),MATCH(AS$17,$AK$17:$BB$17,0))*INDEX($10:$13,MATCH($O688,$R$10:$R$13,0),COLUMN())</f>
        <v>6.9643443365999984E-5</v>
      </c>
      <c r="AT688" s="1050" cm="1">
        <f t="array" aca="1" ref="AT688" ca="1">INDEX(OFFSET($AK$19,MATCH($B688,$B$19:$B$150,0)-1,0,COUNTA($B$19:$B$24),COUNTA($AK$17:$BB$17)),MATCH($F688,$F$19:$F$24,0),MATCH(AT$17,$AK$17:$BB$17,0))*INDEX($10:$13,MATCH($O688,$R$10:$R$13,0),COLUMN())</f>
        <v>2.1534241370000002E-6</v>
      </c>
      <c r="AU688" s="1050" cm="1">
        <f t="array" aca="1" ref="AU688" ca="1">INDEX(OFFSET($AK$19,MATCH($B688,$B$19:$B$150,0)-1,0,COUNTA($B$19:$B$24),COUNTA($AK$17:$BB$17)),MATCH($F688,$F$19:$F$24,0),MATCH(AU$17,$AK$17:$BB$17,0))*INDEX($10:$13,MATCH($O688,$R$10:$R$13,0),COLUMN())</f>
        <v>4.5769615187999999E-7</v>
      </c>
      <c r="AV688" s="1050" cm="1">
        <f t="array" aca="1" ref="AV688" ca="1">INDEX(OFFSET($AK$19,MATCH($B688,$B$19:$B$150,0)-1,0,COUNTA($B$19:$B$24),COUNTA($AK$17:$BB$17)),MATCH($F688,$F$19:$F$24,0),MATCH(AV$17,$AK$17:$BB$17,0))*INDEX($10:$13,MATCH($O688,$R$10:$R$13,0),COLUMN())</f>
        <v>-4.1994971771284361E-4</v>
      </c>
      <c r="AW688" s="1050" cm="1">
        <f t="array" aca="1" ref="AW688" ca="1">INDEX(OFFSET($AK$19,MATCH($B688,$B$19:$B$150,0)-1,0,COUNTA($B$19:$B$24),COUNTA($AK$17:$BB$17)),MATCH($F688,$F$19:$F$24,0),MATCH(AW$17,$AK$17:$BB$17,0))*INDEX($10:$13,MATCH($O688,$R$10:$R$13,0),COLUMN())</f>
        <v>0.30941635490000002</v>
      </c>
      <c r="AX688" s="1050" cm="1">
        <f t="array" aca="1" ref="AX688" ca="1">INDEX(OFFSET($AK$19,MATCH($B688,$B$19:$B$150,0)-1,0,COUNTA($B$19:$B$24),COUNTA($AK$17:$BB$17)),MATCH($F688,$F$19:$F$24,0),MATCH(AX$17,$AK$17:$BB$17,0))*INDEX($10:$13,MATCH($O688,$R$10:$R$13,0),COLUMN())</f>
        <v>9.5080280160000009E-8</v>
      </c>
      <c r="AY688" s="1050" cm="1">
        <f t="array" aca="1" ref="AY688" ca="1">INDEX(OFFSET($AK$19,MATCH($B688,$B$19:$B$150,0)-1,0,COUNTA($B$19:$B$24),COUNTA($AK$17:$BB$17)),MATCH($F688,$F$19:$F$24,0),MATCH(AY$17,$AK$17:$BB$17,0))*INDEX($10:$13,MATCH($O688,$R$10:$R$13,0),COLUMN())</f>
        <v>-6.0971110150000006E-11</v>
      </c>
      <c r="AZ688" s="1050" cm="1">
        <f t="array" aca="1" ref="AZ688" ca="1">INDEX(OFFSET($AK$19,MATCH($B688,$B$19:$B$150,0)-1,0,COUNTA($B$19:$B$24),COUNTA($AK$17:$BB$17)),MATCH($F688,$F$19:$F$24,0),MATCH(AZ$17,$AK$17:$BB$17,0))*INDEX($10:$13,MATCH($O688,$R$10:$R$13,0),COLUMN())</f>
        <v>2.9659884166276344E-6</v>
      </c>
      <c r="BA688" s="1050" cm="1">
        <f t="array" aca="1" ref="BA688" ca="1">INDEX(OFFSET($AK$19,MATCH($B688,$B$19:$B$150,0)-1,0,COUNTA($B$19:$B$24),COUNTA($AK$17:$BB$17)),MATCH($F688,$F$19:$F$24,0),MATCH(BA$17,$AK$17:$BB$17,0))*INDEX($10:$13,MATCH($O688,$R$10:$R$13,0),COLUMN())</f>
        <v>8.3463587030000001E-3</v>
      </c>
      <c r="BB688" s="1051" cm="1">
        <f t="array" aca="1" ref="BB688" ca="1">INDEX(OFFSET($AK$19,MATCH($B688,$B$19:$B$150,0)-1,0,COUNTA($B$19:$B$24),COUNTA($AK$17:$BB$17)),MATCH($F688,$F$19:$F$24,0),MATCH(BB$17,$AK$17:$BB$17,0))*INDEX($10:$13,MATCH($O688,$R$10:$R$13,0),COLUMN())</f>
        <v>3.3878528889999997E-3</v>
      </c>
      <c r="BC688" s="1053">
        <f t="shared" ca="1" si="196"/>
        <v>0.30941644991930906</v>
      </c>
      <c r="BE688" s="1"/>
      <c r="BF688" s="1"/>
      <c r="BG688" s="1"/>
      <c r="BH688" s="1"/>
      <c r="BI688" s="1"/>
      <c r="BJ688" s="1"/>
      <c r="BK688" s="1"/>
      <c r="BL688" s="1"/>
      <c r="BM688" s="1"/>
      <c r="BN688" s="1"/>
      <c r="BO688" s="1"/>
      <c r="BP688" s="1"/>
      <c r="BQ688" s="1"/>
      <c r="BR688" s="1"/>
      <c r="BS688" s="1"/>
      <c r="BT688" s="1"/>
      <c r="BU688" s="1"/>
      <c r="BV688" s="1"/>
      <c r="BW688" s="1"/>
      <c r="BX688" s="1"/>
      <c r="BY688" s="1"/>
      <c r="BZ688" s="1"/>
    </row>
    <row r="689" spans="2:78" ht="12" customHeight="1" outlineLevel="1" x14ac:dyDescent="0.25">
      <c r="B689" s="104" t="s">
        <v>97</v>
      </c>
      <c r="C689" s="104" t="s">
        <v>121</v>
      </c>
      <c r="D689" s="2" t="s">
        <v>132</v>
      </c>
      <c r="E689" s="2" t="s">
        <v>134</v>
      </c>
      <c r="F689" s="105" t="s">
        <v>93</v>
      </c>
      <c r="G689" s="27" t="s">
        <v>1578</v>
      </c>
      <c r="H689" s="106" t="s">
        <v>130</v>
      </c>
      <c r="I689" s="107" t="s">
        <v>129</v>
      </c>
      <c r="J689" s="147">
        <v>4.0702721800000008</v>
      </c>
      <c r="K689" s="148">
        <v>0.46051038847432407</v>
      </c>
      <c r="L689" s="149">
        <f t="shared" ca="1" si="193"/>
        <v>1.5353075887573295</v>
      </c>
      <c r="M689" s="148">
        <f t="shared" ca="1" si="194"/>
        <v>1.1675354826005397</v>
      </c>
      <c r="N689" s="163">
        <f t="shared" ca="1" si="195"/>
        <v>0.70702509412621561</v>
      </c>
      <c r="O689" s="1061" t="s">
        <v>1586</v>
      </c>
      <c r="P689" s="104"/>
      <c r="R689" s="119"/>
      <c r="S689" s="1072"/>
      <c r="T689" s="1072"/>
      <c r="U689" s="1072"/>
      <c r="V689" s="1072"/>
      <c r="W689" s="1072"/>
      <c r="X689" s="1072"/>
      <c r="Y689" s="1072"/>
      <c r="Z689" s="1072"/>
      <c r="AA689" s="1072"/>
      <c r="AB689" s="1072"/>
      <c r="AC689" s="1072"/>
      <c r="AD689" s="1072"/>
      <c r="AE689" s="1072"/>
      <c r="AF689" s="1072"/>
      <c r="AG689" s="1072"/>
      <c r="AH689" s="1072"/>
      <c r="AI689" s="1072"/>
      <c r="AJ689" s="1073"/>
      <c r="AK689" s="1052" cm="1">
        <f t="array" aca="1" ref="AK689" ca="1">INDEX(OFFSET($AK$19,MATCH($B689,$B$19:$B$150,0)-1,0,COUNTA($B$19:$B$24),COUNTA($AK$17:$BB$17)),MATCH($F689,$F$19:$F$24,0),MATCH(AK$17,$AK$17:$BB$17,0))*INDEX($10:$13,MATCH($O689,$R$10:$R$13,0),COLUMN())</f>
        <v>3.024051552E-2</v>
      </c>
      <c r="AL689" s="1050" cm="1">
        <f t="array" aca="1" ref="AL689" ca="1">INDEX(OFFSET($AK$19,MATCH($B689,$B$19:$B$150,0)-1,0,COUNTA($B$19:$B$24),COUNTA($AK$17:$BB$17)),MATCH($F689,$F$19:$F$24,0),MATCH(AL$17,$AK$17:$BB$17,0))*INDEX($10:$13,MATCH($O689,$R$10:$R$13,0),COLUMN())</f>
        <v>3.7831499640000003E-8</v>
      </c>
      <c r="AM689" s="1050" cm="1">
        <f t="array" aca="1" ref="AM689" ca="1">INDEX(OFFSET($AK$19,MATCH($B689,$B$19:$B$150,0)-1,0,COUNTA($B$19:$B$24),COUNTA($AK$17:$BB$17)),MATCH($F689,$F$19:$F$24,0),MATCH(AM$17,$AK$17:$BB$17,0))*INDEX($10:$13,MATCH($O689,$R$10:$R$13,0),COLUMN())</f>
        <v>0</v>
      </c>
      <c r="AN689" s="1050" cm="1">
        <f t="array" aca="1" ref="AN689" ca="1">INDEX(OFFSET($AK$19,MATCH($B689,$B$19:$B$150,0)-1,0,COUNTA($B$19:$B$24),COUNTA($AK$17:$BB$17)),MATCH($F689,$F$19:$F$24,0),MATCH(AN$17,$AK$17:$BB$17,0))*INDEX($10:$13,MATCH($O689,$R$10:$R$13,0),COLUMN())</f>
        <v>1.4286012576000002E-3</v>
      </c>
      <c r="AO689" s="1050" cm="1">
        <f t="array" aca="1" ref="AO689" ca="1">INDEX(OFFSET($AK$19,MATCH($B689,$B$19:$B$150,0)-1,0,COUNTA($B$19:$B$24),COUNTA($AK$17:$BB$17)),MATCH($F689,$F$19:$F$24,0),MATCH(AO$17,$AK$17:$BB$17,0))*INDEX($10:$13,MATCH($O689,$R$10:$R$13,0),COLUMN())</f>
        <v>8.9059490013698641E-3</v>
      </c>
      <c r="AP689" s="1050" cm="1">
        <f t="array" aca="1" ref="AP689" ca="1">INDEX(OFFSET($AK$19,MATCH($B689,$B$19:$B$150,0)-1,0,COUNTA($B$19:$B$24),COUNTA($AK$17:$BB$17)),MATCH($F689,$F$19:$F$24,0),MATCH(AP$17,$AK$17:$BB$17,0))*INDEX($10:$13,MATCH($O689,$R$10:$R$13,0),COLUMN())</f>
        <v>3.931246704E-3</v>
      </c>
      <c r="AQ689" s="1050" cm="1">
        <f t="array" aca="1" ref="AQ689" ca="1">INDEX(OFFSET($AK$19,MATCH($B689,$B$19:$B$150,0)-1,0,COUNTA($B$19:$B$24),COUNTA($AK$17:$BB$17)),MATCH($F689,$F$19:$F$24,0),MATCH(AQ$17,$AK$17:$BB$17,0))*INDEX($10:$13,MATCH($O689,$R$10:$R$13,0),COLUMN())</f>
        <v>6.1834913279999997E-3</v>
      </c>
      <c r="AR689" s="1050" cm="1">
        <f t="array" aca="1" ref="AR689" ca="1">INDEX(OFFSET($AK$19,MATCH($B689,$B$19:$B$150,0)-1,0,COUNTA($B$19:$B$24),COUNTA($AK$17:$BB$17)),MATCH($F689,$F$19:$F$24,0),MATCH(AR$17,$AK$17:$BB$17,0))*INDEX($10:$13,MATCH($O689,$R$10:$R$13,0),COLUMN())</f>
        <v>0.25493761953999999</v>
      </c>
      <c r="AS689" s="1050" cm="1">
        <f t="array" aca="1" ref="AS689" ca="1">INDEX(OFFSET($AK$19,MATCH($B689,$B$19:$B$150,0)-1,0,COUNTA($B$19:$B$24),COUNTA($AK$17:$BB$17)),MATCH($F689,$F$19:$F$24,0),MATCH(AS$17,$AK$17:$BB$17,0))*INDEX($10:$13,MATCH($O689,$R$10:$R$13,0),COLUMN())</f>
        <v>1.2270644054999998E-4</v>
      </c>
      <c r="AT689" s="1050" cm="1">
        <f t="array" aca="1" ref="AT689" ca="1">INDEX(OFFSET($AK$19,MATCH($B689,$B$19:$B$150,0)-1,0,COUNTA($B$19:$B$24),COUNTA($AK$17:$BB$17)),MATCH($F689,$F$19:$F$24,0),MATCH(AT$17,$AK$17:$BB$17,0))*INDEX($10:$13,MATCH($O689,$R$10:$R$13,0),COLUMN())</f>
        <v>2.7042738583999998E-6</v>
      </c>
      <c r="AU689" s="1050" cm="1">
        <f t="array" aca="1" ref="AU689" ca="1">INDEX(OFFSET($AK$19,MATCH($B689,$B$19:$B$150,0)-1,0,COUNTA($B$19:$B$24),COUNTA($AK$17:$BB$17)),MATCH($F689,$F$19:$F$24,0),MATCH(AU$17,$AK$17:$BB$17,0))*INDEX($10:$13,MATCH($O689,$R$10:$R$13,0),COLUMN())</f>
        <v>5.7367091562000002E-7</v>
      </c>
      <c r="AV689" s="1050" cm="1">
        <f t="array" aca="1" ref="AV689" ca="1">INDEX(OFFSET($AK$19,MATCH($B689,$B$19:$B$150,0)-1,0,COUNTA($B$19:$B$24),COUNTA($AK$17:$BB$17)),MATCH($F689,$F$19:$F$24,0),MATCH(AV$17,$AK$17:$BB$17,0))*INDEX($10:$13,MATCH($O689,$R$10:$R$13,0),COLUMN())</f>
        <v>-3.6710832322126409E-4</v>
      </c>
      <c r="AW689" s="1050" cm="1">
        <f t="array" aca="1" ref="AW689" ca="1">INDEX(OFFSET($AK$19,MATCH($B689,$B$19:$B$150,0)-1,0,COUNTA($B$19:$B$24),COUNTA($AK$17:$BB$17)),MATCH($F689,$F$19:$F$24,0),MATCH(AW$17,$AK$17:$BB$17,0))*INDEX($10:$13,MATCH($O689,$R$10:$R$13,0),COLUMN())</f>
        <v>0.38695997660000003</v>
      </c>
      <c r="AX689" s="1050" cm="1">
        <f t="array" aca="1" ref="AX689" ca="1">INDEX(OFFSET($AK$19,MATCH($B689,$B$19:$B$150,0)-1,0,COUNTA($B$19:$B$24),COUNTA($AK$17:$BB$17)),MATCH($F689,$F$19:$F$24,0),MATCH(AX$17,$AK$17:$BB$17,0))*INDEX($10:$13,MATCH($O689,$R$10:$R$13,0),COLUMN())</f>
        <v>1.1890858972E-7</v>
      </c>
      <c r="AY689" s="1050" cm="1">
        <f t="array" aca="1" ref="AY689" ca="1">INDEX(OFFSET($AK$19,MATCH($B689,$B$19:$B$150,0)-1,0,COUNTA($B$19:$B$24),COUNTA($AK$17:$BB$17)),MATCH($F689,$F$19:$F$24,0),MATCH(AY$17,$AK$17:$BB$17,0))*INDEX($10:$13,MATCH($O689,$R$10:$R$13,0),COLUMN())</f>
        <v>-7.6251232940000004E-11</v>
      </c>
      <c r="AZ689" s="1050" cm="1">
        <f t="array" aca="1" ref="AZ689" ca="1">INDEX(OFFSET($AK$19,MATCH($B689,$B$19:$B$150,0)-1,0,COUNTA($B$19:$B$24),COUNTA($AK$17:$BB$17)),MATCH($F689,$F$19:$F$24,0),MATCH(AZ$17,$AK$17:$BB$17,0))*INDEX($10:$13,MATCH($O689,$R$10:$R$13,0),COLUMN())</f>
        <v>3.7093023049180326E-6</v>
      </c>
      <c r="BA689" s="1050" cm="1">
        <f t="array" aca="1" ref="BA689" ca="1">INDEX(OFFSET($AK$19,MATCH($B689,$B$19:$B$150,0)-1,0,COUNTA($B$19:$B$24),COUNTA($AK$17:$BB$17)),MATCH($F689,$F$19:$F$24,0),MATCH(BA$17,$AK$17:$BB$17,0))*INDEX($10:$13,MATCH($O689,$R$10:$R$13,0),COLUMN())</f>
        <v>1.0438060951E-2</v>
      </c>
      <c r="BB689" s="1051" cm="1">
        <f t="array" aca="1" ref="BB689" ca="1">INDEX(OFFSET($AK$19,MATCH($B689,$B$19:$B$150,0)-1,0,COUNTA($B$19:$B$24),COUNTA($AK$17:$BB$17)),MATCH($F689,$F$19:$F$24,0),MATCH(BB$17,$AK$17:$BB$17,0))*INDEX($10:$13,MATCH($O689,$R$10:$R$13,0),COLUMN())</f>
        <v>4.2368911959999997E-3</v>
      </c>
      <c r="BC689" s="1053">
        <f t="shared" ca="1" si="196"/>
        <v>0.3869600954323385</v>
      </c>
      <c r="BE689" s="1"/>
      <c r="BF689" s="1"/>
      <c r="BG689" s="1"/>
      <c r="BH689" s="1"/>
      <c r="BI689" s="1"/>
      <c r="BJ689" s="1"/>
      <c r="BK689" s="1"/>
      <c r="BL689" s="1"/>
      <c r="BM689" s="1"/>
      <c r="BN689" s="1"/>
      <c r="BO689" s="1"/>
      <c r="BP689" s="1"/>
      <c r="BQ689" s="1"/>
      <c r="BR689" s="1"/>
      <c r="BS689" s="1"/>
      <c r="BT689" s="1"/>
      <c r="BU689" s="1"/>
      <c r="BV689" s="1"/>
      <c r="BW689" s="1"/>
      <c r="BX689" s="1"/>
      <c r="BY689" s="1"/>
      <c r="BZ689" s="1"/>
    </row>
    <row r="690" spans="2:78" ht="12" customHeight="1" outlineLevel="1" x14ac:dyDescent="0.25">
      <c r="B690" s="104" t="s">
        <v>97</v>
      </c>
      <c r="C690" s="104" t="s">
        <v>121</v>
      </c>
      <c r="D690" s="2" t="s">
        <v>132</v>
      </c>
      <c r="E690" s="2" t="s">
        <v>134</v>
      </c>
      <c r="F690" s="105" t="s">
        <v>94</v>
      </c>
      <c r="G690" s="27" t="s">
        <v>1580</v>
      </c>
      <c r="H690" s="106" t="s">
        <v>131</v>
      </c>
      <c r="I690" s="107" t="s">
        <v>129</v>
      </c>
      <c r="J690" s="147">
        <v>4.0702721800000008</v>
      </c>
      <c r="K690" s="148">
        <v>0.46051038847432407</v>
      </c>
      <c r="L690" s="149">
        <f t="shared" ca="1" si="193"/>
        <v>1.0221266924270742</v>
      </c>
      <c r="M690" s="148">
        <f t="shared" ca="1" si="194"/>
        <v>0.93121034867389196</v>
      </c>
      <c r="N690" s="148">
        <f t="shared" ca="1" si="195"/>
        <v>0.47069996019956789</v>
      </c>
      <c r="O690" s="1062" t="s">
        <v>1586</v>
      </c>
      <c r="P690" s="104"/>
      <c r="R690" s="119"/>
      <c r="S690" s="1072"/>
      <c r="T690" s="1072"/>
      <c r="U690" s="1072"/>
      <c r="V690" s="1072"/>
      <c r="W690" s="1072"/>
      <c r="X690" s="1072"/>
      <c r="Y690" s="1072"/>
      <c r="Z690" s="1072"/>
      <c r="AA690" s="1072"/>
      <c r="AB690" s="1072"/>
      <c r="AC690" s="1072"/>
      <c r="AD690" s="1072"/>
      <c r="AE690" s="1072"/>
      <c r="AF690" s="1072"/>
      <c r="AG690" s="1072"/>
      <c r="AH690" s="1072"/>
      <c r="AI690" s="1072"/>
      <c r="AJ690" s="1073"/>
      <c r="AK690" s="1052" cm="1">
        <f t="array" aca="1" ref="AK690" ca="1">INDEX(OFFSET($AK$19,MATCH($B690,$B$19:$B$150,0)-1,0,COUNTA($B$19:$B$24),COUNTA($AK$17:$BB$17)),MATCH($F690,$F$19:$F$24,0),MATCH(AK$17,$AK$17:$BB$17,0))*INDEX($10:$13,MATCH($O690,$R$10:$R$13,0),COLUMN())</f>
        <v>2.014357504E-2</v>
      </c>
      <c r="AL690" s="1050" cm="1">
        <f t="array" aca="1" ref="AL690" ca="1">INDEX(OFFSET($AK$19,MATCH($B690,$B$19:$B$150,0)-1,0,COUNTA($B$19:$B$24),COUNTA($AK$17:$BB$17)),MATCH($F690,$F$19:$F$24,0),MATCH(AL$17,$AK$17:$BB$17,0))*INDEX($10:$13,MATCH($O690,$R$10:$R$13,0),COLUMN())</f>
        <v>2.5200023844000002E-8</v>
      </c>
      <c r="AM690" s="1050" cm="1">
        <f t="array" aca="1" ref="AM690" ca="1">INDEX(OFFSET($AK$19,MATCH($B690,$B$19:$B$150,0)-1,0,COUNTA($B$19:$B$24),COUNTA($AK$17:$BB$17)),MATCH($F690,$F$19:$F$24,0),MATCH(AM$17,$AK$17:$BB$17,0))*INDEX($10:$13,MATCH($O690,$R$10:$R$13,0),COLUMN())</f>
        <v>0</v>
      </c>
      <c r="AN690" s="1050" cm="1">
        <f t="array" aca="1" ref="AN690" ca="1">INDEX(OFFSET($AK$19,MATCH($B690,$B$19:$B$150,0)-1,0,COUNTA($B$19:$B$24),COUNTA($AK$17:$BB$17)),MATCH($F690,$F$19:$F$24,0),MATCH(AN$17,$AK$17:$BB$17,0))*INDEX($10:$13,MATCH($O690,$R$10:$R$13,0),COLUMN())</f>
        <v>9.5160870540000008E-4</v>
      </c>
      <c r="AO690" s="1050" cm="1">
        <f t="array" aca="1" ref="AO690" ca="1">INDEX(OFFSET($AK$19,MATCH($B690,$B$19:$B$150,0)-1,0,COUNTA($B$19:$B$24),COUNTA($AK$17:$BB$17)),MATCH($F690,$F$19:$F$24,0),MATCH(AO$17,$AK$17:$BB$17,0))*INDEX($10:$13,MATCH($O690,$R$10:$R$13,0),COLUMN())</f>
        <v>5.9323609972602737E-3</v>
      </c>
      <c r="AP690" s="1050" cm="1">
        <f t="array" aca="1" ref="AP690" ca="1">INDEX(OFFSET($AK$19,MATCH($B690,$B$19:$B$150,0)-1,0,COUNTA($B$19:$B$24),COUNTA($AK$17:$BB$17)),MATCH($F690,$F$19:$F$24,0),MATCH(AP$17,$AK$17:$BB$17,0))*INDEX($10:$13,MATCH($O690,$R$10:$R$13,0),COLUMN())</f>
        <v>2.6186512463999998E-3</v>
      </c>
      <c r="AQ690" s="1050" cm="1">
        <f t="array" aca="1" ref="AQ690" ca="1">INDEX(OFFSET($AK$19,MATCH($B690,$B$19:$B$150,0)-1,0,COUNTA($B$19:$B$24),COUNTA($AK$17:$BB$17)),MATCH($F690,$F$19:$F$24,0),MATCH(AQ$17,$AK$17:$BB$17,0))*INDEX($10:$13,MATCH($O690,$R$10:$R$13,0),COLUMN())</f>
        <v>4.1188990399999995E-3</v>
      </c>
      <c r="AR690" s="1050" cm="1">
        <f t="array" aca="1" ref="AR690" ca="1">INDEX(OFFSET($AK$19,MATCH($B690,$B$19:$B$150,0)-1,0,COUNTA($B$19:$B$24),COUNTA($AK$17:$BB$17)),MATCH($F690,$F$19:$F$24,0),MATCH(AR$17,$AK$17:$BB$17,0))*INDEX($10:$13,MATCH($O690,$R$10:$R$13,0),COLUMN())</f>
        <v>0.16981705215999998</v>
      </c>
      <c r="AS690" s="1050" cm="1">
        <f t="array" aca="1" ref="AS690" ca="1">INDEX(OFFSET($AK$19,MATCH($B690,$B$19:$B$150,0)-1,0,COUNTA($B$19:$B$24),COUNTA($AK$17:$BB$17)),MATCH($F690,$F$19:$F$24,0),MATCH(AS$17,$AK$17:$BB$17,0))*INDEX($10:$13,MATCH($O690,$R$10:$R$13,0),COLUMN())</f>
        <v>3.4296440191999996E-5</v>
      </c>
      <c r="AT690" s="1050" cm="1">
        <f t="array" aca="1" ref="AT690" ca="1">INDEX(OFFSET($AK$19,MATCH($B690,$B$19:$B$150,0)-1,0,COUNTA($B$19:$B$24),COUNTA($AK$17:$BB$17)),MATCH($F690,$F$19:$F$24,0),MATCH(AT$17,$AK$17:$BB$17,0))*INDEX($10:$13,MATCH($O690,$R$10:$R$13,0),COLUMN())</f>
        <v>1.7864626082E-6</v>
      </c>
      <c r="AU690" s="1050" cm="1">
        <f t="array" aca="1" ref="AU690" ca="1">INDEX(OFFSET($AK$19,MATCH($B690,$B$19:$B$150,0)-1,0,COUNTA($B$19:$B$24),COUNTA($AK$17:$BB$17)),MATCH($F690,$F$19:$F$24,0),MATCH(AU$17,$AK$17:$BB$17,0))*INDEX($10:$13,MATCH($O690,$R$10:$R$13,0),COLUMN())</f>
        <v>3.8043677064000001E-7</v>
      </c>
      <c r="AV690" s="1050" cm="1">
        <f t="array" aca="1" ref="AV690" ca="1">INDEX(OFFSET($AK$19,MATCH($B690,$B$19:$B$150,0)-1,0,COUNTA($B$19:$B$24),COUNTA($AK$17:$BB$17)),MATCH($F690,$F$19:$F$24,0),MATCH(AV$17,$AK$17:$BB$17,0))*INDEX($10:$13,MATCH($O690,$R$10:$R$13,0),COLUMN())</f>
        <v>-4.5514145024229852E-4</v>
      </c>
      <c r="AW690" s="1050" cm="1">
        <f t="array" aca="1" ref="AW690" ca="1">INDEX(OFFSET($AK$19,MATCH($B690,$B$19:$B$150,0)-1,0,COUNTA($B$19:$B$24),COUNTA($AK$17:$BB$17)),MATCH($F690,$F$19:$F$24,0),MATCH(AW$17,$AK$17:$BB$17,0))*INDEX($10:$13,MATCH($O690,$R$10:$R$13,0),COLUMN())</f>
        <v>0.25775875149999999</v>
      </c>
      <c r="AX690" s="1050" cm="1">
        <f t="array" aca="1" ref="AX690" ca="1">INDEX(OFFSET($AK$19,MATCH($B690,$B$19:$B$150,0)-1,0,COUNTA($B$19:$B$24),COUNTA($AK$17:$BB$17)),MATCH($F690,$F$19:$F$24,0),MATCH(AX$17,$AK$17:$BB$17,0))*INDEX($10:$13,MATCH($O690,$R$10:$R$13,0),COLUMN())</f>
        <v>7.9206461810000011E-8</v>
      </c>
      <c r="AY690" s="1050" cm="1">
        <f t="array" aca="1" ref="AY690" ca="1">INDEX(OFFSET($AK$19,MATCH($B690,$B$19:$B$150,0)-1,0,COUNTA($B$19:$B$24),COUNTA($AK$17:$BB$17)),MATCH($F690,$F$19:$F$24,0),MATCH(AY$17,$AK$17:$BB$17,0))*INDEX($10:$13,MATCH($O690,$R$10:$R$13,0),COLUMN())</f>
        <v>-5.0791875980000004E-11</v>
      </c>
      <c r="AZ690" s="1050" cm="1">
        <f t="array" aca="1" ref="AZ690" ca="1">INDEX(OFFSET($AK$19,MATCH($B690,$B$19:$B$150,0)-1,0,COUNTA($B$19:$B$24),COUNTA($AK$17:$BB$17)),MATCH($F690,$F$19:$F$24,0),MATCH(AZ$17,$AK$17:$BB$17,0))*INDEX($10:$13,MATCH($O690,$R$10:$R$13,0),COLUMN())</f>
        <v>2.4708114852459015E-6</v>
      </c>
      <c r="BA690" s="1050" cm="1">
        <f t="array" aca="1" ref="BA690" ca="1">INDEX(OFFSET($AK$19,MATCH($B690,$B$19:$B$150,0)-1,0,COUNTA($B$19:$B$24),COUNTA($AK$17:$BB$17)),MATCH($F690,$F$19:$F$24,0),MATCH(BA$17,$AK$17:$BB$17,0))*INDEX($10:$13,MATCH($O690,$R$10:$R$13,0),COLUMN())</f>
        <v>6.9529195269999993E-3</v>
      </c>
      <c r="BB690" s="1051" cm="1">
        <f t="array" aca="1" ref="BB690" ca="1">INDEX(OFFSET($AK$19,MATCH($B690,$B$19:$B$150,0)-1,0,COUNTA($B$19:$B$24),COUNTA($AK$17:$BB$17)),MATCH($F690,$F$19:$F$24,0),MATCH(BB$17,$AK$17:$BB$17,0))*INDEX($10:$13,MATCH($O690,$R$10:$R$13,0),COLUMN())</f>
        <v>2.822244927E-3</v>
      </c>
      <c r="BC690" s="1053">
        <f t="shared" ca="1" si="196"/>
        <v>0.25775883065566996</v>
      </c>
      <c r="BE690" s="1"/>
      <c r="BF690" s="1"/>
      <c r="BG690" s="1"/>
      <c r="BH690" s="1"/>
      <c r="BI690" s="1"/>
      <c r="BJ690" s="1"/>
      <c r="BK690" s="1"/>
      <c r="BL690" s="1"/>
      <c r="BM690" s="1"/>
      <c r="BN690" s="1"/>
      <c r="BO690" s="1"/>
      <c r="BP690" s="1"/>
      <c r="BQ690" s="1"/>
      <c r="BR690" s="1"/>
      <c r="BS690" s="1"/>
      <c r="BT690" s="1"/>
      <c r="BU690" s="1"/>
      <c r="BV690" s="1"/>
      <c r="BW690" s="1"/>
      <c r="BX690" s="1"/>
      <c r="BY690" s="1"/>
      <c r="BZ690" s="1"/>
    </row>
    <row r="691" spans="2:78" ht="12" customHeight="1" outlineLevel="1" x14ac:dyDescent="0.25">
      <c r="B691" s="104" t="s">
        <v>97</v>
      </c>
      <c r="C691" s="104" t="s">
        <v>121</v>
      </c>
      <c r="D691" s="2" t="s">
        <v>132</v>
      </c>
      <c r="E691" s="2" t="s">
        <v>134</v>
      </c>
      <c r="F691" s="105" t="s">
        <v>95</v>
      </c>
      <c r="G691" s="27" t="s">
        <v>1581</v>
      </c>
      <c r="H691" s="106" t="s">
        <v>128</v>
      </c>
      <c r="I691" s="107" t="s">
        <v>127</v>
      </c>
      <c r="J691" s="147">
        <v>4.0702721800000008</v>
      </c>
      <c r="K691" s="148">
        <v>0.46051038847432407</v>
      </c>
      <c r="L691" s="149">
        <f t="shared" ca="1" si="193"/>
        <v>1.4365410612027305</v>
      </c>
      <c r="M691" s="148">
        <f t="shared" ca="1" si="194"/>
        <v>1.1220524706281112</v>
      </c>
      <c r="N691" s="148">
        <f t="shared" ca="1" si="195"/>
        <v>0.66154208215378718</v>
      </c>
      <c r="O691" s="1062" t="s">
        <v>1586</v>
      </c>
      <c r="P691" s="104"/>
      <c r="R691" s="119"/>
      <c r="S691" s="1072"/>
      <c r="T691" s="1072"/>
      <c r="U691" s="1072"/>
      <c r="V691" s="1072"/>
      <c r="W691" s="1072"/>
      <c r="X691" s="1072"/>
      <c r="Y691" s="1072"/>
      <c r="Z691" s="1072"/>
      <c r="AA691" s="1072"/>
      <c r="AB691" s="1072"/>
      <c r="AC691" s="1072"/>
      <c r="AD691" s="1072"/>
      <c r="AE691" s="1072"/>
      <c r="AF691" s="1072"/>
      <c r="AG691" s="1072"/>
      <c r="AH691" s="1072"/>
      <c r="AI691" s="1072"/>
      <c r="AJ691" s="1073"/>
      <c r="AK691" s="1052" cm="1">
        <f t="array" aca="1" ref="AK691" ca="1">INDEX(OFFSET($AK$19,MATCH($B691,$B$19:$B$150,0)-1,0,COUNTA($B$19:$B$24),COUNTA($AK$17:$BB$17)),MATCH($F691,$F$19:$F$24,0),MATCH(AK$17,$AK$17:$BB$17,0))*INDEX($10:$13,MATCH($O691,$R$10:$R$13,0),COLUMN())</f>
        <v>2.7261877919999997E-2</v>
      </c>
      <c r="AL691" s="1050" cm="1">
        <f t="array" aca="1" ref="AL691" ca="1">INDEX(OFFSET($AK$19,MATCH($B691,$B$19:$B$150,0)-1,0,COUNTA($B$19:$B$24),COUNTA($AK$17:$BB$17)),MATCH($F691,$F$19:$F$24,0),MATCH(AL$17,$AK$17:$BB$17,0))*INDEX($10:$13,MATCH($O691,$R$10:$R$13,0),COLUMN())</f>
        <v>3.0465814146000002E-8</v>
      </c>
      <c r="AM691" s="1050" cm="1">
        <f t="array" aca="1" ref="AM691" ca="1">INDEX(OFFSET($AK$19,MATCH($B691,$B$19:$B$150,0)-1,0,COUNTA($B$19:$B$24),COUNTA($AK$17:$BB$17)),MATCH($F691,$F$19:$F$24,0),MATCH(AM$17,$AK$17:$BB$17,0))*INDEX($10:$13,MATCH($O691,$R$10:$R$13,0),COLUMN())</f>
        <v>0</v>
      </c>
      <c r="AN691" s="1050" cm="1">
        <f t="array" aca="1" ref="AN691" ca="1">INDEX(OFFSET($AK$19,MATCH($B691,$B$19:$B$150,0)-1,0,COUNTA($B$19:$B$24),COUNTA($AK$17:$BB$17)),MATCH($F691,$F$19:$F$24,0),MATCH(AN$17,$AK$17:$BB$17,0))*INDEX($10:$13,MATCH($O691,$R$10:$R$13,0),COLUMN())</f>
        <v>1.2198579210000002E-3</v>
      </c>
      <c r="AO691" s="1050" cm="1">
        <f t="array" aca="1" ref="AO691" ca="1">INDEX(OFFSET($AK$19,MATCH($B691,$B$19:$B$150,0)-1,0,COUNTA($B$19:$B$24),COUNTA($AK$17:$BB$17)),MATCH($F691,$F$19:$F$24,0),MATCH(AO$17,$AK$17:$BB$17,0))*INDEX($10:$13,MATCH($O691,$R$10:$R$13,0),COLUMN())</f>
        <v>1.6454644212328767E-2</v>
      </c>
      <c r="AP691" s="1050" cm="1">
        <f t="array" aca="1" ref="AP691" ca="1">INDEX(OFFSET($AK$19,MATCH($B691,$B$19:$B$150,0)-1,0,COUNTA($B$19:$B$24),COUNTA($AK$17:$BB$17)),MATCH($F691,$F$19:$F$24,0),MATCH(AP$17,$AK$17:$BB$17,0))*INDEX($10:$13,MATCH($O691,$R$10:$R$13,0),COLUMN())</f>
        <v>1.0584472079999999E-2</v>
      </c>
      <c r="AQ691" s="1050" cm="1">
        <f t="array" aca="1" ref="AQ691" ca="1">INDEX(OFFSET($AK$19,MATCH($B691,$B$19:$B$150,0)-1,0,COUNTA($B$19:$B$24),COUNTA($AK$17:$BB$17)),MATCH($F691,$F$19:$F$24,0),MATCH(AQ$17,$AK$17:$BB$17,0))*INDEX($10:$13,MATCH($O691,$R$10:$R$13,0),COLUMN())</f>
        <v>1.9559818432000001E-2</v>
      </c>
      <c r="AR691" s="1050" cm="1">
        <f t="array" aca="1" ref="AR691" ca="1">INDEX(OFFSET($AK$19,MATCH($B691,$B$19:$B$150,0)-1,0,COUNTA($B$19:$B$24),COUNTA($AK$17:$BB$17)),MATCH($F691,$F$19:$F$24,0),MATCH(AR$17,$AK$17:$BB$17,0))*INDEX($10:$13,MATCH($O691,$R$10:$R$13,0),COLUMN())</f>
        <v>0.26360173040000001</v>
      </c>
      <c r="AS691" s="1050" cm="1">
        <f t="array" aca="1" ref="AS691" ca="1">INDEX(OFFSET($AK$19,MATCH($B691,$B$19:$B$150,0)-1,0,COUNTA($B$19:$B$24),COUNTA($AK$17:$BB$17)),MATCH($F691,$F$19:$F$24,0),MATCH(AS$17,$AK$17:$BB$17,0))*INDEX($10:$13,MATCH($O691,$R$10:$R$13,0),COLUMN())</f>
        <v>1.1876155680000001E-3</v>
      </c>
      <c r="AT691" s="1050" cm="1">
        <f t="array" aca="1" ref="AT691" ca="1">INDEX(OFFSET($AK$19,MATCH($B691,$B$19:$B$150,0)-1,0,COUNTA($B$19:$B$24),COUNTA($AK$17:$BB$17)),MATCH($F691,$F$19:$F$24,0),MATCH(AT$17,$AK$17:$BB$17,0))*INDEX($10:$13,MATCH($O691,$R$10:$R$13,0),COLUMN())</f>
        <v>2.9969955124E-6</v>
      </c>
      <c r="AU691" s="1050" cm="1">
        <f t="array" aca="1" ref="AU691" ca="1">INDEX(OFFSET($AK$19,MATCH($B691,$B$19:$B$150,0)-1,0,COUNTA($B$19:$B$24),COUNTA($AK$17:$BB$17)),MATCH($F691,$F$19:$F$24,0),MATCH(AU$17,$AK$17:$BB$17,0))*INDEX($10:$13,MATCH($O691,$R$10:$R$13,0),COLUMN())</f>
        <v>5.8683188687999998E-7</v>
      </c>
      <c r="AV691" s="1050" cm="1">
        <f t="array" aca="1" ref="AV691" ca="1">INDEX(OFFSET($AK$19,MATCH($B691,$B$19:$B$150,0)-1,0,COUNTA($B$19:$B$24),COUNTA($AK$17:$BB$17)),MATCH($F691,$F$19:$F$24,0),MATCH(AV$17,$AK$17:$BB$17,0))*INDEX($10:$13,MATCH($O691,$R$10:$R$13,0),COLUMN())</f>
        <v>4.9669577766161277E-5</v>
      </c>
      <c r="AW691" s="1050" cm="1">
        <f t="array" aca="1" ref="AW691" ca="1">INDEX(OFFSET($AK$19,MATCH($B691,$B$19:$B$150,0)-1,0,COUNTA($B$19:$B$24),COUNTA($AK$17:$BB$17)),MATCH($F691,$F$19:$F$24,0),MATCH(AW$17,$AK$17:$BB$17,0))*INDEX($10:$13,MATCH($O691,$R$10:$R$13,0),COLUMN())</f>
        <v>0.30941635490000002</v>
      </c>
      <c r="AX691" s="1050" cm="1">
        <f t="array" aca="1" ref="AX691" ca="1">INDEX(OFFSET($AK$19,MATCH($B691,$B$19:$B$150,0)-1,0,COUNTA($B$19:$B$24),COUNTA($AK$17:$BB$17)),MATCH($F691,$F$19:$F$24,0),MATCH(AX$17,$AK$17:$BB$17,0))*INDEX($10:$13,MATCH($O691,$R$10:$R$13,0),COLUMN())</f>
        <v>9.5080280160000009E-8</v>
      </c>
      <c r="AY691" s="1050" cm="1">
        <f t="array" aca="1" ref="AY691" ca="1">INDEX(OFFSET($AK$19,MATCH($B691,$B$19:$B$150,0)-1,0,COUNTA($B$19:$B$24),COUNTA($AK$17:$BB$17)),MATCH($F691,$F$19:$F$24,0),MATCH(AY$17,$AK$17:$BB$17,0))*INDEX($10:$13,MATCH($O691,$R$10:$R$13,0),COLUMN())</f>
        <v>-6.0971110150000006E-11</v>
      </c>
      <c r="AZ691" s="1050" cm="1">
        <f t="array" aca="1" ref="AZ691" ca="1">INDEX(OFFSET($AK$19,MATCH($B691,$B$19:$B$150,0)-1,0,COUNTA($B$19:$B$24),COUNTA($AK$17:$BB$17)),MATCH($F691,$F$19:$F$24,0),MATCH(AZ$17,$AK$17:$BB$17,0))*INDEX($10:$13,MATCH($O691,$R$10:$R$13,0),COLUMN())</f>
        <v>2.9700881697892267E-6</v>
      </c>
      <c r="BA691" s="1050" cm="1">
        <f t="array" aca="1" ref="BA691" ca="1">INDEX(OFFSET($AK$19,MATCH($B691,$B$19:$B$150,0)-1,0,COUNTA($B$19:$B$24),COUNTA($AK$17:$BB$17)),MATCH($F691,$F$19:$F$24,0),MATCH(BA$17,$AK$17:$BB$17,0))*INDEX($10:$13,MATCH($O691,$R$10:$R$13,0),COLUMN())</f>
        <v>8.8111287419999993E-3</v>
      </c>
      <c r="BB691" s="1051" cm="1">
        <f t="array" aca="1" ref="BB691" ca="1">INDEX(OFFSET($AK$19,MATCH($B691,$B$19:$B$150,0)-1,0,COUNTA($B$19:$B$24),COUNTA($AK$17:$BB$17)),MATCH($F691,$F$19:$F$24,0),MATCH(BB$17,$AK$17:$BB$17,0))*INDEX($10:$13,MATCH($O691,$R$10:$R$13,0),COLUMN())</f>
        <v>3.388233E-3</v>
      </c>
      <c r="BC691" s="1053">
        <f t="shared" ca="1" si="196"/>
        <v>0.30941644991930906</v>
      </c>
      <c r="BE691" s="1"/>
      <c r="BF691" s="1"/>
      <c r="BG691" s="1"/>
      <c r="BH691" s="1"/>
      <c r="BI691" s="1"/>
      <c r="BJ691" s="1"/>
      <c r="BK691" s="1"/>
      <c r="BL691" s="1"/>
      <c r="BM691" s="1"/>
      <c r="BN691" s="1"/>
      <c r="BO691" s="1"/>
      <c r="BP691" s="1"/>
      <c r="BQ691" s="1"/>
      <c r="BR691" s="1"/>
      <c r="BS691" s="1"/>
      <c r="BT691" s="1"/>
      <c r="BU691" s="1"/>
      <c r="BV691" s="1"/>
      <c r="BW691" s="1"/>
      <c r="BX691" s="1"/>
      <c r="BY691" s="1"/>
      <c r="BZ691" s="1"/>
    </row>
    <row r="692" spans="2:78" ht="12" customHeight="1" outlineLevel="1" x14ac:dyDescent="0.25">
      <c r="B692" s="104" t="s">
        <v>97</v>
      </c>
      <c r="C692" s="104" t="s">
        <v>121</v>
      </c>
      <c r="D692" s="2" t="s">
        <v>132</v>
      </c>
      <c r="E692" s="2" t="s">
        <v>134</v>
      </c>
      <c r="F692" s="105" t="s">
        <v>96</v>
      </c>
      <c r="G692" s="27" t="s">
        <v>1582</v>
      </c>
      <c r="H692" s="106" t="s">
        <v>128</v>
      </c>
      <c r="I692" s="107" t="s">
        <v>1577</v>
      </c>
      <c r="J692" s="147">
        <v>4.0702721800000008</v>
      </c>
      <c r="K692" s="148">
        <v>0.46051038847432407</v>
      </c>
      <c r="L692" s="149">
        <f t="shared" ca="1" si="193"/>
        <v>1.588584850316074</v>
      </c>
      <c r="M692" s="148">
        <f t="shared" ca="1" si="194"/>
        <v>1.1920702150178053</v>
      </c>
      <c r="N692" s="148">
        <f t="shared" ca="1" si="195"/>
        <v>0.73155982654348117</v>
      </c>
      <c r="O692" s="1062" t="s">
        <v>1586</v>
      </c>
      <c r="P692" s="104"/>
      <c r="R692" s="119"/>
      <c r="S692" s="1072"/>
      <c r="T692" s="1072"/>
      <c r="U692" s="1072"/>
      <c r="V692" s="1072"/>
      <c r="W692" s="1072"/>
      <c r="X692" s="1072"/>
      <c r="Y692" s="1072"/>
      <c r="Z692" s="1072"/>
      <c r="AA692" s="1072"/>
      <c r="AB692" s="1072"/>
      <c r="AC692" s="1072"/>
      <c r="AD692" s="1072"/>
      <c r="AE692" s="1072"/>
      <c r="AF692" s="1072"/>
      <c r="AG692" s="1072"/>
      <c r="AH692" s="1072"/>
      <c r="AI692" s="1072"/>
      <c r="AJ692" s="1073"/>
      <c r="AK692" s="1052" cm="1">
        <f t="array" aca="1" ref="AK692" ca="1">INDEX(OFFSET($AK$19,MATCH($B692,$B$19:$B$150,0)-1,0,COUNTA($B$19:$B$24),COUNTA($AK$17:$BB$17)),MATCH($F692,$F$19:$F$24,0),MATCH(AK$17,$AK$17:$BB$17,0))*INDEX($10:$13,MATCH($O692,$R$10:$R$13,0),COLUMN())</f>
        <v>2.9470205360000001E-2</v>
      </c>
      <c r="AL692" s="1050" cm="1">
        <f t="array" aca="1" ref="AL692" ca="1">INDEX(OFFSET($AK$19,MATCH($B692,$B$19:$B$150,0)-1,0,COUNTA($B$19:$B$24),COUNTA($AK$17:$BB$17)),MATCH($F692,$F$19:$F$24,0),MATCH(AL$17,$AK$17:$BB$17,0))*INDEX($10:$13,MATCH($O692,$R$10:$R$13,0),COLUMN())</f>
        <v>3.0606411803999999E-8</v>
      </c>
      <c r="AM692" s="1050" cm="1">
        <f t="array" aca="1" ref="AM692" ca="1">INDEX(OFFSET($AK$19,MATCH($B692,$B$19:$B$150,0)-1,0,COUNTA($B$19:$B$24),COUNTA($AK$17:$BB$17)),MATCH($F692,$F$19:$F$24,0),MATCH(AM$17,$AK$17:$BB$17,0))*INDEX($10:$13,MATCH($O692,$R$10:$R$13,0),COLUMN())</f>
        <v>0</v>
      </c>
      <c r="AN692" s="1050" cm="1">
        <f t="array" aca="1" ref="AN692" ca="1">INDEX(OFFSET($AK$19,MATCH($B692,$B$19:$B$150,0)-1,0,COUNTA($B$19:$B$24),COUNTA($AK$17:$BB$17)),MATCH($F692,$F$19:$F$24,0),MATCH(AN$17,$AK$17:$BB$17,0))*INDEX($10:$13,MATCH($O692,$R$10:$R$13,0),COLUMN())</f>
        <v>1.2704595798000002E-3</v>
      </c>
      <c r="AO692" s="1050" cm="1">
        <f t="array" aca="1" ref="AO692" ca="1">INDEX(OFFSET($AK$19,MATCH($B692,$B$19:$B$150,0)-1,0,COUNTA($B$19:$B$24),COUNTA($AK$17:$BB$17)),MATCH($F692,$F$19:$F$24,0),MATCH(AO$17,$AK$17:$BB$17,0))*INDEX($10:$13,MATCH($O692,$R$10:$R$13,0),COLUMN())</f>
        <v>2.3240207506849311E-2</v>
      </c>
      <c r="AP692" s="1050" cm="1">
        <f t="array" aca="1" ref="AP692" ca="1">INDEX(OFFSET($AK$19,MATCH($B692,$B$19:$B$150,0)-1,0,COUNTA($B$19:$B$24),COUNTA($AK$17:$BB$17)),MATCH($F692,$F$19:$F$24,0),MATCH(AP$17,$AK$17:$BB$17,0))*INDEX($10:$13,MATCH($O692,$R$10:$R$13,0),COLUMN())</f>
        <v>1.6005157055999999E-2</v>
      </c>
      <c r="AQ692" s="1050" cm="1">
        <f t="array" aca="1" ref="AQ692" ca="1">INDEX(OFFSET($AK$19,MATCH($B692,$B$19:$B$150,0)-1,0,COUNTA($B$19:$B$24),COUNTA($AK$17:$BB$17)),MATCH($F692,$F$19:$F$24,0),MATCH(AQ$17,$AK$17:$BB$17,0))*INDEX($10:$13,MATCH($O692,$R$10:$R$13,0),COLUMN())</f>
        <v>2.9968637375999998E-2</v>
      </c>
      <c r="AR692" s="1050" cm="1">
        <f t="array" aca="1" ref="AR692" ca="1">INDEX(OFFSET($AK$19,MATCH($B692,$B$19:$B$150,0)-1,0,COUNTA($B$19:$B$24),COUNTA($AK$17:$BB$17)),MATCH($F692,$F$19:$F$24,0),MATCH(AR$17,$AK$17:$BB$17,0))*INDEX($10:$13,MATCH($O692,$R$10:$R$13,0),COLUMN())</f>
        <v>0.30716503062</v>
      </c>
      <c r="AS692" s="1050" cm="1">
        <f t="array" aca="1" ref="AS692" ca="1">INDEX(OFFSET($AK$19,MATCH($B692,$B$19:$B$150,0)-1,0,COUNTA($B$19:$B$24),COUNTA($AK$17:$BB$17)),MATCH($F692,$F$19:$F$24,0),MATCH(AS$17,$AK$17:$BB$17,0))*INDEX($10:$13,MATCH($O692,$R$10:$R$13,0),COLUMN())</f>
        <v>1.9848039283999999E-3</v>
      </c>
      <c r="AT692" s="1050" cm="1">
        <f t="array" aca="1" ref="AT692" ca="1">INDEX(OFFSET($AK$19,MATCH($B692,$B$19:$B$150,0)-1,0,COUNTA($B$19:$B$24),COUNTA($AK$17:$BB$17)),MATCH($F692,$F$19:$F$24,0),MATCH(AT$17,$AK$17:$BB$17,0))*INDEX($10:$13,MATCH($O692,$R$10:$R$13,0),COLUMN())</f>
        <v>3.35734004E-6</v>
      </c>
      <c r="AU692" s="1050" cm="1">
        <f t="array" aca="1" ref="AU692" ca="1">INDEX(OFFSET($AK$19,MATCH($B692,$B$19:$B$150,0)-1,0,COUNTA($B$19:$B$24),COUNTA($AK$17:$BB$17)),MATCH($F692,$F$19:$F$24,0),MATCH(AU$17,$AK$17:$BB$17,0))*INDEX($10:$13,MATCH($O692,$R$10:$R$13,0),COLUMN())</f>
        <v>6.3827447880000002E-7</v>
      </c>
      <c r="AV692" s="1050" cm="1">
        <f t="array" aca="1" ref="AV692" ca="1">INDEX(OFFSET($AK$19,MATCH($B692,$B$19:$B$150,0)-1,0,COUNTA($B$19:$B$24),COUNTA($AK$17:$BB$17)),MATCH($F692,$F$19:$F$24,0),MATCH(AV$17,$AK$17:$BB$17,0))*INDEX($10:$13,MATCH($O692,$R$10:$R$13,0),COLUMN())</f>
        <v>5.2894998349245644E-4</v>
      </c>
      <c r="AW692" s="1050" cm="1">
        <f t="array" aca="1" ref="AW692" ca="1">INDEX(OFFSET($AK$19,MATCH($B692,$B$19:$B$150,0)-1,0,COUNTA($B$19:$B$24),COUNTA($AK$17:$BB$17)),MATCH($F692,$F$19:$F$24,0),MATCH(AW$17,$AK$17:$BB$17,0))*INDEX($10:$13,MATCH($O692,$R$10:$R$13,0),COLUMN())</f>
        <v>0.30941635490000002</v>
      </c>
      <c r="AX692" s="1050" cm="1">
        <f t="array" aca="1" ref="AX692" ca="1">INDEX(OFFSET($AK$19,MATCH($B692,$B$19:$B$150,0)-1,0,COUNTA($B$19:$B$24),COUNTA($AK$17:$BB$17)),MATCH($F692,$F$19:$F$24,0),MATCH(AX$17,$AK$17:$BB$17,0))*INDEX($10:$13,MATCH($O692,$R$10:$R$13,0),COLUMN())</f>
        <v>9.5080280160000009E-8</v>
      </c>
      <c r="AY692" s="1050" cm="1">
        <f t="array" aca="1" ref="AY692" ca="1">INDEX(OFFSET($AK$19,MATCH($B692,$B$19:$B$150,0)-1,0,COUNTA($B$19:$B$24),COUNTA($AK$17:$BB$17)),MATCH($F692,$F$19:$F$24,0),MATCH(AY$17,$AK$17:$BB$17,0))*INDEX($10:$13,MATCH($O692,$R$10:$R$13,0),COLUMN())</f>
        <v>-6.0971110150000006E-11</v>
      </c>
      <c r="AZ692" s="1050" cm="1">
        <f t="array" aca="1" ref="AZ692" ca="1">INDEX(OFFSET($AK$19,MATCH($B692,$B$19:$B$150,0)-1,0,COUNTA($B$19:$B$24),COUNTA($AK$17:$BB$17)),MATCH($F692,$F$19:$F$24,0),MATCH(AZ$17,$AK$17:$BB$17,0))*INDEX($10:$13,MATCH($O692,$R$10:$R$13,0),COLUMN())</f>
        <v>2.9727636997658074E-6</v>
      </c>
      <c r="BA692" s="1050" cm="1">
        <f t="array" aca="1" ref="BA692" ca="1">INDEX(OFFSET($AK$19,MATCH($B692,$B$19:$B$150,0)-1,0,COUNTA($B$19:$B$24),COUNTA($AK$17:$BB$17)),MATCH($F692,$F$19:$F$24,0),MATCH(BA$17,$AK$17:$BB$17,0))*INDEX($10:$13,MATCH($O692,$R$10:$R$13,0),COLUMN())</f>
        <v>9.1144451980000006E-3</v>
      </c>
      <c r="BB692" s="1051" cm="1">
        <f t="array" aca="1" ref="BB692" ca="1">INDEX(OFFSET($AK$19,MATCH($B692,$B$19:$B$150,0)-1,0,COUNTA($B$19:$B$24),COUNTA($AK$17:$BB$17)),MATCH($F692,$F$19:$F$24,0),MATCH(BB$17,$AK$17:$BB$17,0))*INDEX($10:$13,MATCH($O692,$R$10:$R$13,0),COLUMN())</f>
        <v>3.3884810310000004E-3</v>
      </c>
      <c r="BC692" s="1053">
        <f t="shared" ca="1" si="196"/>
        <v>0.30941644991930906</v>
      </c>
      <c r="BE692" s="1"/>
      <c r="BF692" s="1"/>
      <c r="BG692" s="1"/>
      <c r="BH692" s="1"/>
      <c r="BI692" s="1"/>
      <c r="BJ692" s="1"/>
      <c r="BK692" s="1"/>
      <c r="BL692" s="1"/>
      <c r="BM692" s="1"/>
      <c r="BN692" s="1"/>
      <c r="BO692" s="1"/>
      <c r="BP692" s="1"/>
      <c r="BQ692" s="1"/>
      <c r="BR692" s="1"/>
      <c r="BS692" s="1"/>
      <c r="BT692" s="1"/>
      <c r="BU692" s="1"/>
      <c r="BV692" s="1"/>
      <c r="BW692" s="1"/>
      <c r="BX692" s="1"/>
      <c r="BY692" s="1"/>
      <c r="BZ692" s="1"/>
    </row>
    <row r="693" spans="2:78" ht="12" customHeight="1" outlineLevel="1" x14ac:dyDescent="0.25">
      <c r="B693" s="88" t="s">
        <v>98</v>
      </c>
      <c r="C693" s="88" t="s">
        <v>121</v>
      </c>
      <c r="D693" s="89" t="s">
        <v>132</v>
      </c>
      <c r="E693" s="89" t="s">
        <v>98</v>
      </c>
      <c r="F693" s="90" t="s">
        <v>92</v>
      </c>
      <c r="G693" s="18" t="s">
        <v>126</v>
      </c>
      <c r="H693" s="91" t="s">
        <v>127</v>
      </c>
      <c r="I693" s="92" t="s">
        <v>127</v>
      </c>
      <c r="J693" s="142">
        <v>3.8217059399999997</v>
      </c>
      <c r="K693" s="143">
        <v>0.18564647389881783</v>
      </c>
      <c r="L693" s="144">
        <f t="shared" ca="1" si="193"/>
        <v>7.3226318100308516</v>
      </c>
      <c r="M693" s="143">
        <f t="shared" ca="1" si="194"/>
        <v>1.5450672490903634</v>
      </c>
      <c r="N693" s="143">
        <f t="shared" ca="1" si="195"/>
        <v>1.3594207751915457</v>
      </c>
      <c r="O693" s="1063" t="s">
        <v>1586</v>
      </c>
      <c r="P693" s="88"/>
      <c r="Q693" s="89"/>
      <c r="R693" s="150"/>
      <c r="S693" s="1070"/>
      <c r="T693" s="1070"/>
      <c r="U693" s="1070"/>
      <c r="V693" s="1070"/>
      <c r="W693" s="1070"/>
      <c r="X693" s="1070"/>
      <c r="Y693" s="1070"/>
      <c r="Z693" s="1070"/>
      <c r="AA693" s="1070"/>
      <c r="AB693" s="1070"/>
      <c r="AC693" s="1070"/>
      <c r="AD693" s="1070"/>
      <c r="AE693" s="1070"/>
      <c r="AF693" s="1070"/>
      <c r="AG693" s="1070"/>
      <c r="AH693" s="1070"/>
      <c r="AI693" s="1070"/>
      <c r="AJ693" s="1071"/>
      <c r="AK693" s="1048" cm="1">
        <f t="array" aca="1" ref="AK693" ca="1">INDEX(OFFSET($AK$19,MATCH($B693,$B$19:$B$150,0)-1,0,COUNTA($B$19:$B$24),COUNTA($AK$17:$BB$17)),MATCH($F693,$F$19:$F$24,0),MATCH(AK$17,$AK$17:$BB$17,0))*INDEX($10:$13,MATCH($O693,$R$10:$R$13,0),COLUMN())</f>
        <v>7.3658909679999995E-2</v>
      </c>
      <c r="AL693" s="1046" cm="1">
        <f t="array" aca="1" ref="AL693" ca="1">INDEX(OFFSET($AK$19,MATCH($B693,$B$19:$B$150,0)-1,0,COUNTA($B$19:$B$24),COUNTA($AK$17:$BB$17)),MATCH($F693,$F$19:$F$24,0),MATCH(AL$17,$AK$17:$BB$17,0))*INDEX($10:$13,MATCH($O693,$R$10:$R$13,0),COLUMN())</f>
        <v>7.9609360199999994E-8</v>
      </c>
      <c r="AM693" s="1046" cm="1">
        <f t="array" aca="1" ref="AM693" ca="1">INDEX(OFFSET($AK$19,MATCH($B693,$B$19:$B$150,0)-1,0,COUNTA($B$19:$B$24),COUNTA($AK$17:$BB$17)),MATCH($F693,$F$19:$F$24,0),MATCH(AM$17,$AK$17:$BB$17,0))*INDEX($10:$13,MATCH($O693,$R$10:$R$13,0),COLUMN())</f>
        <v>0</v>
      </c>
      <c r="AN693" s="1046" cm="1">
        <f t="array" aca="1" ref="AN693" ca="1">INDEX(OFFSET($AK$19,MATCH($B693,$B$19:$B$150,0)-1,0,COUNTA($B$19:$B$24),COUNTA($AK$17:$BB$17)),MATCH($F693,$F$19:$F$24,0),MATCH(AN$17,$AK$17:$BB$17,0))*INDEX($10:$13,MATCH($O693,$R$10:$R$13,0),COLUMN())</f>
        <v>1.7684714472000001E-3</v>
      </c>
      <c r="AO693" s="1046" cm="1">
        <f t="array" aca="1" ref="AO693" ca="1">INDEX(OFFSET($AK$19,MATCH($B693,$B$19:$B$150,0)-1,0,COUNTA($B$19:$B$24),COUNTA($AK$17:$BB$17)),MATCH($F693,$F$19:$F$24,0),MATCH(AO$17,$AK$17:$BB$17,0))*INDEX($10:$13,MATCH($O693,$R$10:$R$13,0),COLUMN())</f>
        <v>3.9948060945205484E-2</v>
      </c>
      <c r="AP693" s="1046" cm="1">
        <f t="array" aca="1" ref="AP693" ca="1">INDEX(OFFSET($AK$19,MATCH($B693,$B$19:$B$150,0)-1,0,COUNTA($B$19:$B$24),COUNTA($AK$17:$BB$17)),MATCH($F693,$F$19:$F$24,0),MATCH(AP$17,$AK$17:$BB$17,0))*INDEX($10:$13,MATCH($O693,$R$10:$R$13,0),COLUMN())</f>
        <v>2.8267919232000002E-2</v>
      </c>
      <c r="AQ693" s="1046" cm="1">
        <f t="array" aca="1" ref="AQ693" ca="1">INDEX(OFFSET($AK$19,MATCH($B693,$B$19:$B$150,0)-1,0,COUNTA($B$19:$B$24),COUNTA($AK$17:$BB$17)),MATCH($F693,$F$19:$F$24,0),MATCH(AQ$17,$AK$17:$BB$17,0))*INDEX($10:$13,MATCH($O693,$R$10:$R$13,0),COLUMN())</f>
        <v>5.3593947520000004E-2</v>
      </c>
      <c r="AR693" s="1046" cm="1">
        <f t="array" aca="1" ref="AR693" ca="1">INDEX(OFFSET($AK$19,MATCH($B693,$B$19:$B$150,0)-1,0,COUNTA($B$19:$B$24),COUNTA($AK$17:$BB$17)),MATCH($F693,$F$19:$F$24,0),MATCH(AR$17,$AK$17:$BB$17,0))*INDEX($10:$13,MATCH($O693,$R$10:$R$13,0),COLUMN())</f>
        <v>0.56734752294000002</v>
      </c>
      <c r="AS693" s="1046" cm="1">
        <f t="array" aca="1" ref="AS693" ca="1">INDEX(OFFSET($AK$19,MATCH($B693,$B$19:$B$150,0)-1,0,COUNTA($B$19:$B$24),COUNTA($AK$17:$BB$17)),MATCH($F693,$F$19:$F$24,0),MATCH(AS$17,$AK$17:$BB$17,0))*INDEX($10:$13,MATCH($O693,$R$10:$R$13,0),COLUMN())</f>
        <v>0.11009323046</v>
      </c>
      <c r="AT693" s="1046" cm="1">
        <f t="array" aca="1" ref="AT693" ca="1">INDEX(OFFSET($AK$19,MATCH($B693,$B$19:$B$150,0)-1,0,COUNTA($B$19:$B$24),COUNTA($AK$17:$BB$17)),MATCH($F693,$F$19:$F$24,0),MATCH(AT$17,$AK$17:$BB$17,0))*INDEX($10:$13,MATCH($O693,$R$10:$R$13,0),COLUMN())</f>
        <v>1.2325037666000002E-4</v>
      </c>
      <c r="AU693" s="1046" cm="1">
        <f t="array" aca="1" ref="AU693" ca="1">INDEX(OFFSET($AK$19,MATCH($B693,$B$19:$B$150,0)-1,0,COUNTA($B$19:$B$24),COUNTA($AK$17:$BB$17)),MATCH($F693,$F$19:$F$24,0),MATCH(AU$17,$AK$17:$BB$17,0))*INDEX($10:$13,MATCH($O693,$R$10:$R$13,0),COLUMN())</f>
        <v>7.0637171339999995E-6</v>
      </c>
      <c r="AV693" s="1046" cm="1">
        <f t="array" aca="1" ref="AV693" ca="1">INDEX(OFFSET($AK$19,MATCH($B693,$B$19:$B$150,0)-1,0,COUNTA($B$19:$B$24),COUNTA($AK$17:$BB$17)),MATCH($F693,$F$19:$F$24,0),MATCH(AV$17,$AK$17:$BB$17,0))*INDEX($10:$13,MATCH($O693,$R$10:$R$13,0),COLUMN())</f>
        <v>2.7946356422547292E-3</v>
      </c>
      <c r="AW693" s="1046" cm="1">
        <f t="array" aca="1" ref="AW693" ca="1">INDEX(OFFSET($AK$19,MATCH($B693,$B$19:$B$150,0)-1,0,COUNTA($B$19:$B$24),COUNTA($AK$17:$BB$17)),MATCH($F693,$F$19:$F$24,0),MATCH(AW$17,$AK$17:$BB$17,0))*INDEX($10:$13,MATCH($O693,$R$10:$R$13,0),COLUMN())</f>
        <v>0.45540398400000004</v>
      </c>
      <c r="AX693" s="1046" cm="1">
        <f t="array" aca="1" ref="AX693" ca="1">INDEX(OFFSET($AK$19,MATCH($B693,$B$19:$B$150,0)-1,0,COUNTA($B$19:$B$24),COUNTA($AK$17:$BB$17)),MATCH($F693,$F$19:$F$24,0),MATCH(AX$17,$AK$17:$BB$17,0))*INDEX($10:$13,MATCH($O693,$R$10:$R$13,0),COLUMN())</f>
        <v>6.6216431800000004E-7</v>
      </c>
      <c r="AY693" s="1046" cm="1">
        <f t="array" aca="1" ref="AY693" ca="1">INDEX(OFFSET($AK$19,MATCH($B693,$B$19:$B$150,0)-1,0,COUNTA($B$19:$B$24),COUNTA($AK$17:$BB$17)),MATCH($F693,$F$19:$F$24,0),MATCH(AY$17,$AK$17:$BB$17,0))*INDEX($10:$13,MATCH($O693,$R$10:$R$13,0),COLUMN())</f>
        <v>-4.3663587320000001E-10</v>
      </c>
      <c r="AZ693" s="1046" cm="1">
        <f t="array" aca="1" ref="AZ693" ca="1">INDEX(OFFSET($AK$19,MATCH($B693,$B$19:$B$150,0)-1,0,COUNTA($B$19:$B$24),COUNTA($AK$17:$BB$17)),MATCH($F693,$F$19:$F$24,0),MATCH(AZ$17,$AK$17:$BB$17,0))*INDEX($10:$13,MATCH($O693,$R$10:$R$13,0),COLUMN())</f>
        <v>4.3218350491803276E-6</v>
      </c>
      <c r="BA693" s="1046" cm="1">
        <f t="array" aca="1" ref="BA693" ca="1">INDEX(OFFSET($AK$19,MATCH($B693,$B$19:$B$150,0)-1,0,COUNTA($B$19:$B$24),COUNTA($AK$17:$BB$17)),MATCH($F693,$F$19:$F$24,0),MATCH(BA$17,$AK$17:$BB$17,0))*INDEX($10:$13,MATCH($O693,$R$10:$R$13,0),COLUMN())</f>
        <v>2.302539453E-2</v>
      </c>
      <c r="BB693" s="1047" cm="1">
        <f t="array" aca="1" ref="BB693" ca="1">INDEX(OFFSET($AK$19,MATCH($B693,$B$19:$B$150,0)-1,0,COUNTA($B$19:$B$24),COUNTA($AK$17:$BB$17)),MATCH($F693,$F$19:$F$24,0),MATCH(BB$17,$AK$17:$BB$17,0))*INDEX($10:$13,MATCH($O693,$R$10:$R$13,0),COLUMN())</f>
        <v>3.383321529E-3</v>
      </c>
      <c r="BC693" s="1049">
        <f t="shared" ca="1" si="196"/>
        <v>0.45540464572768213</v>
      </c>
      <c r="BE693" s="1"/>
      <c r="BF693" s="1"/>
      <c r="BG693" s="1"/>
      <c r="BH693" s="1"/>
      <c r="BI693" s="1"/>
      <c r="BJ693" s="1"/>
      <c r="BK693" s="1"/>
      <c r="BL693" s="1"/>
      <c r="BM693" s="1"/>
      <c r="BN693" s="1"/>
      <c r="BO693" s="1"/>
      <c r="BP693" s="1"/>
      <c r="BQ693" s="1"/>
      <c r="BR693" s="1"/>
      <c r="BS693" s="1"/>
      <c r="BT693" s="1"/>
      <c r="BU693" s="1"/>
      <c r="BV693" s="1"/>
      <c r="BW693" s="1"/>
      <c r="BX693" s="1"/>
      <c r="BY693" s="1"/>
      <c r="BZ693" s="1"/>
    </row>
    <row r="694" spans="2:78" ht="12" customHeight="1" outlineLevel="1" x14ac:dyDescent="0.25">
      <c r="B694" s="104" t="s">
        <v>98</v>
      </c>
      <c r="C694" s="104" t="s">
        <v>121</v>
      </c>
      <c r="D694" s="2" t="s">
        <v>132</v>
      </c>
      <c r="E694" s="2" t="s">
        <v>98</v>
      </c>
      <c r="F694" s="105" t="s">
        <v>122</v>
      </c>
      <c r="G694" s="27" t="s">
        <v>1579</v>
      </c>
      <c r="H694" s="106" t="s">
        <v>128</v>
      </c>
      <c r="I694" s="107" t="s">
        <v>129</v>
      </c>
      <c r="J694" s="147">
        <v>3.8217059399999997</v>
      </c>
      <c r="K694" s="148">
        <v>0.37645999999999996</v>
      </c>
      <c r="L694" s="149">
        <f t="shared" ca="1" si="193"/>
        <v>1.8880786592623195</v>
      </c>
      <c r="M694" s="148">
        <f t="shared" ca="1" si="194"/>
        <v>1.0872460920658926</v>
      </c>
      <c r="N694" s="148">
        <f t="shared" ca="1" si="195"/>
        <v>0.71078609206589272</v>
      </c>
      <c r="O694" s="1062" t="s">
        <v>1586</v>
      </c>
      <c r="P694" s="104"/>
      <c r="R694" s="119"/>
      <c r="S694" s="1072"/>
      <c r="T694" s="1072"/>
      <c r="U694" s="1072"/>
      <c r="V694" s="1072"/>
      <c r="W694" s="1072"/>
      <c r="X694" s="1072"/>
      <c r="Y694" s="1072"/>
      <c r="Z694" s="1072"/>
      <c r="AA694" s="1072"/>
      <c r="AB694" s="1072"/>
      <c r="AC694" s="1072"/>
      <c r="AD694" s="1072"/>
      <c r="AE694" s="1072"/>
      <c r="AF694" s="1072"/>
      <c r="AG694" s="1072"/>
      <c r="AH694" s="1072"/>
      <c r="AI694" s="1072"/>
      <c r="AJ694" s="1073"/>
      <c r="AK694" s="1052" cm="1">
        <f t="array" aca="1" ref="AK694" ca="1">INDEX(OFFSET($AK$19,MATCH($B694,$B$19:$B$150,0)-1,0,COUNTA($B$19:$B$24),COUNTA($AK$17:$BB$17)),MATCH($F694,$F$19:$F$24,0),MATCH(AK$17,$AK$17:$BB$17,0))*INDEX($10:$13,MATCH($O694,$R$10:$R$13,0),COLUMN())</f>
        <v>2.7153466960000001E-2</v>
      </c>
      <c r="AL694" s="1050" cm="1">
        <f t="array" aca="1" ref="AL694" ca="1">INDEX(OFFSET($AK$19,MATCH($B694,$B$19:$B$150,0)-1,0,COUNTA($B$19:$B$24),COUNTA($AK$17:$BB$17)),MATCH($F694,$F$19:$F$24,0),MATCH(AL$17,$AK$17:$BB$17,0))*INDEX($10:$13,MATCH($O694,$R$10:$R$13,0),COLUMN())</f>
        <v>4.3377623159999999E-8</v>
      </c>
      <c r="AM694" s="1050" cm="1">
        <f t="array" aca="1" ref="AM694" ca="1">INDEX(OFFSET($AK$19,MATCH($B694,$B$19:$B$150,0)-1,0,COUNTA($B$19:$B$24),COUNTA($AK$17:$BB$17)),MATCH($F694,$F$19:$F$24,0),MATCH(AM$17,$AK$17:$BB$17,0))*INDEX($10:$13,MATCH($O694,$R$10:$R$13,0),COLUMN())</f>
        <v>0</v>
      </c>
      <c r="AN694" s="1050" cm="1">
        <f t="array" aca="1" ref="AN694" ca="1">INDEX(OFFSET($AK$19,MATCH($B694,$B$19:$B$150,0)-1,0,COUNTA($B$19:$B$24),COUNTA($AK$17:$BB$17)),MATCH($F694,$F$19:$F$24,0),MATCH(AN$17,$AK$17:$BB$17,0))*INDEX($10:$13,MATCH($O694,$R$10:$R$13,0),COLUMN())</f>
        <v>1.6543288374000001E-3</v>
      </c>
      <c r="AO694" s="1050" cm="1">
        <f t="array" aca="1" ref="AO694" ca="1">INDEX(OFFSET($AK$19,MATCH($B694,$B$19:$B$150,0)-1,0,COUNTA($B$19:$B$24),COUNTA($AK$17:$BB$17)),MATCH($F694,$F$19:$F$24,0),MATCH(AO$17,$AK$17:$BB$17,0))*INDEX($10:$13,MATCH($O694,$R$10:$R$13,0),COLUMN())</f>
        <v>1.0469638315068492E-2</v>
      </c>
      <c r="AP694" s="1050" cm="1">
        <f t="array" aca="1" ref="AP694" ca="1">INDEX(OFFSET($AK$19,MATCH($B694,$B$19:$B$150,0)-1,0,COUNTA($B$19:$B$24),COUNTA($AK$17:$BB$17)),MATCH($F694,$F$19:$F$24,0),MATCH(AP$17,$AK$17:$BB$17,0))*INDEX($10:$13,MATCH($O694,$R$10:$R$13,0),COLUMN())</f>
        <v>4.6699497600000001E-3</v>
      </c>
      <c r="AQ694" s="1050" cm="1">
        <f t="array" aca="1" ref="AQ694" ca="1">INDEX(OFFSET($AK$19,MATCH($B694,$B$19:$B$150,0)-1,0,COUNTA($B$19:$B$24),COUNTA($AK$17:$BB$17)),MATCH($F694,$F$19:$F$24,0),MATCH(AQ$17,$AK$17:$BB$17,0))*INDEX($10:$13,MATCH($O694,$R$10:$R$13,0),COLUMN())</f>
        <v>7.4307273280000002E-3</v>
      </c>
      <c r="AR694" s="1050" cm="1">
        <f t="array" aca="1" ref="AR694" ca="1">INDEX(OFFSET($AK$19,MATCH($B694,$B$19:$B$150,0)-1,0,COUNTA($B$19:$B$24),COUNTA($AK$17:$BB$17)),MATCH($F694,$F$19:$F$24,0),MATCH(AR$17,$AK$17:$BB$17,0))*INDEX($10:$13,MATCH($O694,$R$10:$R$13,0),COLUMN())</f>
        <v>0.17838792698</v>
      </c>
      <c r="AS694" s="1050" cm="1">
        <f t="array" aca="1" ref="AS694" ca="1">INDEX(OFFSET($AK$19,MATCH($B694,$B$19:$B$150,0)-1,0,COUNTA($B$19:$B$24),COUNTA($AK$17:$BB$17)),MATCH($F694,$F$19:$F$24,0),MATCH(AS$17,$AK$17:$BB$17,0))*INDEX($10:$13,MATCH($O694,$R$10:$R$13,0),COLUMN())</f>
        <v>8.4689364119999995E-5</v>
      </c>
      <c r="AT694" s="1050" cm="1">
        <f t="array" aca="1" ref="AT694" ca="1">INDEX(OFFSET($AK$19,MATCH($B694,$B$19:$B$150,0)-1,0,COUNTA($B$19:$B$24),COUNTA($AK$17:$BB$17)),MATCH($F694,$F$19:$F$24,0),MATCH(AT$17,$AK$17:$BB$17,0))*INDEX($10:$13,MATCH($O694,$R$10:$R$13,0),COLUMN())</f>
        <v>3.2407106600000003E-6</v>
      </c>
      <c r="AU694" s="1050" cm="1">
        <f t="array" aca="1" ref="AU694" ca="1">INDEX(OFFSET($AK$19,MATCH($B694,$B$19:$B$150,0)-1,0,COUNTA($B$19:$B$24),COUNTA($AK$17:$BB$17)),MATCH($F694,$F$19:$F$24,0),MATCH(AU$17,$AK$17:$BB$17,0))*INDEX($10:$13,MATCH($O694,$R$10:$R$13,0),COLUMN())</f>
        <v>6.8705074679999997E-7</v>
      </c>
      <c r="AV694" s="1050" cm="1">
        <f t="array" aca="1" ref="AV694" ca="1">INDEX(OFFSET($AK$19,MATCH($B694,$B$19:$B$150,0)-1,0,COUNTA($B$19:$B$24),COUNTA($AK$17:$BB$17)),MATCH($F694,$F$19:$F$24,0),MATCH(AV$17,$AK$17:$BB$17,0))*INDEX($10:$13,MATCH($O694,$R$10:$R$13,0),COLUMN())</f>
        <v>2.7800688677922706E-4</v>
      </c>
      <c r="AW694" s="1050" cm="1">
        <f t="array" aca="1" ref="AW694" ca="1">INDEX(OFFSET($AK$19,MATCH($B694,$B$19:$B$150,0)-1,0,COUNTA($B$19:$B$24),COUNTA($AK$17:$BB$17)),MATCH($F694,$F$19:$F$24,0),MATCH(AW$17,$AK$17:$BB$17,0))*INDEX($10:$13,MATCH($O694,$R$10:$R$13,0),COLUMN())</f>
        <v>0.46520702310000006</v>
      </c>
      <c r="AX694" s="1050" cm="1">
        <f t="array" aca="1" ref="AX694" ca="1">INDEX(OFFSET($AK$19,MATCH($B694,$B$19:$B$150,0)-1,0,COUNTA($B$19:$B$24),COUNTA($AK$17:$BB$17)),MATCH($F694,$F$19:$F$24,0),MATCH(AX$17,$AK$17:$BB$17,0))*INDEX($10:$13,MATCH($O694,$R$10:$R$13,0),COLUMN())</f>
        <v>1.3618867451000003E-7</v>
      </c>
      <c r="AY694" s="1050" cm="1">
        <f t="array" aca="1" ref="AY694" ca="1">INDEX(OFFSET($AK$19,MATCH($B694,$B$19:$B$150,0)-1,0,COUNTA($B$19:$B$24),COUNTA($AK$17:$BB$17)),MATCH($F694,$F$19:$F$24,0),MATCH(AY$17,$AK$17:$BB$17,0))*INDEX($10:$13,MATCH($O694,$R$10:$R$13,0),COLUMN())</f>
        <v>-8.7332245660000012E-11</v>
      </c>
      <c r="AZ694" s="1050" cm="1">
        <f t="array" aca="1" ref="AZ694" ca="1">INDEX(OFFSET($AK$19,MATCH($B694,$B$19:$B$150,0)-1,0,COUNTA($B$19:$B$24),COUNTA($AK$17:$BB$17)),MATCH($F694,$F$19:$F$24,0),MATCH(AZ$17,$AK$17:$BB$17,0))*INDEX($10:$13,MATCH($O694,$R$10:$R$13,0),COLUMN())</f>
        <v>4.3273021526932078E-6</v>
      </c>
      <c r="BA694" s="1050" cm="1">
        <f t="array" aca="1" ref="BA694" ca="1">INDEX(OFFSET($AK$19,MATCH($B694,$B$19:$B$150,0)-1,0,COUNTA($B$19:$B$24),COUNTA($AK$17:$BB$17)),MATCH($F694,$F$19:$F$24,0),MATCH(BA$17,$AK$17:$BB$17,0))*INDEX($10:$13,MATCH($O694,$R$10:$R$13,0),COLUMN())</f>
        <v>1.2064130522000002E-2</v>
      </c>
      <c r="BB694" s="1051" cm="1">
        <f t="array" aca="1" ref="BB694" ca="1">INDEX(OFFSET($AK$19,MATCH($B694,$B$19:$B$150,0)-1,0,COUNTA($B$19:$B$24),COUNTA($AK$17:$BB$17)),MATCH($F694,$F$19:$F$24,0),MATCH(BB$17,$AK$17:$BB$17,0))*INDEX($10:$13,MATCH($O694,$R$10:$R$13,0),COLUMN())</f>
        <v>3.3777694699999999E-3</v>
      </c>
      <c r="BC694" s="1053">
        <f t="shared" ca="1" si="196"/>
        <v>0.46520715920134231</v>
      </c>
      <c r="BE694" s="1"/>
      <c r="BF694" s="1"/>
      <c r="BG694" s="1"/>
      <c r="BH694" s="1"/>
      <c r="BI694" s="1"/>
      <c r="BJ694" s="1"/>
      <c r="BK694" s="1"/>
      <c r="BL694" s="1"/>
      <c r="BM694" s="1"/>
      <c r="BN694" s="1"/>
      <c r="BO694" s="1"/>
      <c r="BP694" s="1"/>
      <c r="BQ694" s="1"/>
      <c r="BR694" s="1"/>
      <c r="BS694" s="1"/>
      <c r="BT694" s="1"/>
      <c r="BU694" s="1"/>
      <c r="BV694" s="1"/>
      <c r="BW694" s="1"/>
      <c r="BX694" s="1"/>
      <c r="BY694" s="1"/>
      <c r="BZ694" s="1"/>
    </row>
    <row r="695" spans="2:78" ht="12" customHeight="1" outlineLevel="1" x14ac:dyDescent="0.25">
      <c r="B695" s="104" t="s">
        <v>98</v>
      </c>
      <c r="C695" s="104" t="s">
        <v>121</v>
      </c>
      <c r="D695" s="2" t="s">
        <v>132</v>
      </c>
      <c r="E695" s="2" t="s">
        <v>98</v>
      </c>
      <c r="F695" s="105" t="s">
        <v>93</v>
      </c>
      <c r="G695" s="27" t="s">
        <v>1578</v>
      </c>
      <c r="H695" s="106" t="s">
        <v>130</v>
      </c>
      <c r="I695" s="107" t="s">
        <v>129</v>
      </c>
      <c r="J695" s="147">
        <v>3.8217059399999997</v>
      </c>
      <c r="K695" s="148">
        <v>0.37645999999999996</v>
      </c>
      <c r="L695" s="149">
        <f t="shared" ca="1" si="193"/>
        <v>2.0099143395070462</v>
      </c>
      <c r="M695" s="148">
        <f t="shared" ca="1" si="194"/>
        <v>1.1331123522508224</v>
      </c>
      <c r="N695" s="148">
        <f t="shared" ca="1" si="195"/>
        <v>0.7566523522508225</v>
      </c>
      <c r="O695" s="1062" t="s">
        <v>1586</v>
      </c>
      <c r="P695" s="104"/>
      <c r="R695" s="119"/>
      <c r="S695" s="1072"/>
      <c r="T695" s="1072"/>
      <c r="U695" s="1072"/>
      <c r="V695" s="1072"/>
      <c r="W695" s="1072"/>
      <c r="X695" s="1072"/>
      <c r="Y695" s="1072"/>
      <c r="Z695" s="1072"/>
      <c r="AA695" s="1072"/>
      <c r="AB695" s="1072"/>
      <c r="AC695" s="1072"/>
      <c r="AD695" s="1072"/>
      <c r="AE695" s="1072"/>
      <c r="AF695" s="1072"/>
      <c r="AG695" s="1072"/>
      <c r="AH695" s="1072"/>
      <c r="AI695" s="1072"/>
      <c r="AJ695" s="1073"/>
      <c r="AK695" s="1052" cm="1">
        <f t="array" aca="1" ref="AK695" ca="1">INDEX(OFFSET($AK$19,MATCH($B695,$B$19:$B$150,0)-1,0,COUNTA($B$19:$B$24),COUNTA($AK$17:$BB$17)),MATCH($F695,$F$19:$F$24,0),MATCH(AK$17,$AK$17:$BB$17,0))*INDEX($10:$13,MATCH($O695,$R$10:$R$13,0),COLUMN())</f>
        <v>2.8904690879999997E-2</v>
      </c>
      <c r="AL695" s="1050" cm="1">
        <f t="array" aca="1" ref="AL695" ca="1">INDEX(OFFSET($AK$19,MATCH($B695,$B$19:$B$150,0)-1,0,COUNTA($B$19:$B$24),COUNTA($AK$17:$BB$17)),MATCH($F695,$F$19:$F$24,0),MATCH(AL$17,$AK$17:$BB$17,0))*INDEX($10:$13,MATCH($O695,$R$10:$R$13,0),COLUMN())</f>
        <v>4.6175199540000003E-8</v>
      </c>
      <c r="AM695" s="1050" cm="1">
        <f t="array" aca="1" ref="AM695" ca="1">INDEX(OFFSET($AK$19,MATCH($B695,$B$19:$B$150,0)-1,0,COUNTA($B$19:$B$24),COUNTA($AK$17:$BB$17)),MATCH($F695,$F$19:$F$24,0),MATCH(AM$17,$AK$17:$BB$17,0))*INDEX($10:$13,MATCH($O695,$R$10:$R$13,0),COLUMN())</f>
        <v>0</v>
      </c>
      <c r="AN695" s="1050" cm="1">
        <f t="array" aca="1" ref="AN695" ca="1">INDEX(OFFSET($AK$19,MATCH($B695,$B$19:$B$150,0)-1,0,COUNTA($B$19:$B$24),COUNTA($AK$17:$BB$17)),MATCH($F695,$F$19:$F$24,0),MATCH(AN$17,$AK$17:$BB$17,0))*INDEX($10:$13,MATCH($O695,$R$10:$R$13,0),COLUMN())</f>
        <v>1.7610223482000002E-3</v>
      </c>
      <c r="AO695" s="1050" cm="1">
        <f t="array" aca="1" ref="AO695" ca="1">INDEX(OFFSET($AK$19,MATCH($B695,$B$19:$B$150,0)-1,0,COUNTA($B$19:$B$24),COUNTA($AK$17:$BB$17)),MATCH($F695,$F$19:$F$24,0),MATCH(AO$17,$AK$17:$BB$17,0))*INDEX($10:$13,MATCH($O695,$R$10:$R$13,0),COLUMN())</f>
        <v>1.1144862390410959E-2</v>
      </c>
      <c r="AP695" s="1050" cm="1">
        <f t="array" aca="1" ref="AP695" ca="1">INDEX(OFFSET($AK$19,MATCH($B695,$B$19:$B$150,0)-1,0,COUNTA($B$19:$B$24),COUNTA($AK$17:$BB$17)),MATCH($F695,$F$19:$F$24,0),MATCH(AP$17,$AK$17:$BB$17,0))*INDEX($10:$13,MATCH($O695,$R$10:$R$13,0),COLUMN())</f>
        <v>4.9711314240000002E-3</v>
      </c>
      <c r="AQ695" s="1050" cm="1">
        <f t="array" aca="1" ref="AQ695" ca="1">INDEX(OFFSET($AK$19,MATCH($B695,$B$19:$B$150,0)-1,0,COUNTA($B$19:$B$24),COUNTA($AK$17:$BB$17)),MATCH($F695,$F$19:$F$24,0),MATCH(AQ$17,$AK$17:$BB$17,0))*INDEX($10:$13,MATCH($O695,$R$10:$R$13,0),COLUMN())</f>
        <v>7.9099611359999995E-3</v>
      </c>
      <c r="AR695" s="1050" cm="1">
        <f t="array" aca="1" ref="AR695" ca="1">INDEX(OFFSET($AK$19,MATCH($B695,$B$19:$B$150,0)-1,0,COUNTA($B$19:$B$24),COUNTA($AK$17:$BB$17)),MATCH($F695,$F$19:$F$24,0),MATCH(AR$17,$AK$17:$BB$17,0))*INDEX($10:$13,MATCH($O695,$R$10:$R$13,0),COLUMN())</f>
        <v>0.1898927953</v>
      </c>
      <c r="AS695" s="1050" cm="1">
        <f t="array" aca="1" ref="AS695" ca="1">INDEX(OFFSET($AK$19,MATCH($B695,$B$19:$B$150,0)-1,0,COUNTA($B$19:$B$24),COUNTA($AK$17:$BB$17)),MATCH($F695,$F$19:$F$24,0),MATCH(AS$17,$AK$17:$BB$17,0))*INDEX($10:$13,MATCH($O695,$R$10:$R$13,0),COLUMN())</f>
        <v>1.0342828347999999E-4</v>
      </c>
      <c r="AT695" s="1050" cm="1">
        <f t="array" aca="1" ref="AT695" ca="1">INDEX(OFFSET($AK$19,MATCH($B695,$B$19:$B$150,0)-1,0,COUNTA($B$19:$B$24),COUNTA($AK$17:$BB$17)),MATCH($F695,$F$19:$F$24,0),MATCH(AT$17,$AK$17:$BB$17,0))*INDEX($10:$13,MATCH($O695,$R$10:$R$13,0),COLUMN())</f>
        <v>3.4543515000000002E-6</v>
      </c>
      <c r="AU695" s="1050" cm="1">
        <f t="array" aca="1" ref="AU695" ca="1">INDEX(OFFSET($AK$19,MATCH($B695,$B$19:$B$150,0)-1,0,COUNTA($B$19:$B$24),COUNTA($AK$17:$BB$17)),MATCH($F695,$F$19:$F$24,0),MATCH(AU$17,$AK$17:$BB$17,0))*INDEX($10:$13,MATCH($O695,$R$10:$R$13,0),COLUMN())</f>
        <v>7.3186205039999989E-7</v>
      </c>
      <c r="AV695" s="1050" cm="1">
        <f t="array" aca="1" ref="AV695" ca="1">INDEX(OFFSET($AK$19,MATCH($B695,$B$19:$B$150,0)-1,0,COUNTA($B$19:$B$24),COUNTA($AK$17:$BB$17)),MATCH($F695,$F$19:$F$24,0),MATCH(AV$17,$AK$17:$BB$17,0))*INDEX($10:$13,MATCH($O695,$R$10:$R$13,0),COLUMN())</f>
        <v>3.078098757930225E-4</v>
      </c>
      <c r="AW695" s="1050" cm="1">
        <f t="array" aca="1" ref="AW695" ca="1">INDEX(OFFSET($AK$19,MATCH($B695,$B$19:$B$150,0)-1,0,COUNTA($B$19:$B$24),COUNTA($AK$17:$BB$17)),MATCH($F695,$F$19:$F$24,0),MATCH(AW$17,$AK$17:$BB$17,0))*INDEX($10:$13,MATCH($O695,$R$10:$R$13,0),COLUMN())</f>
        <v>0.49520986420000007</v>
      </c>
      <c r="AX695" s="1050" cm="1">
        <f t="array" aca="1" ref="AX695" ca="1">INDEX(OFFSET($AK$19,MATCH($B695,$B$19:$B$150,0)-1,0,COUNTA($B$19:$B$24),COUNTA($AK$17:$BB$17)),MATCH($F695,$F$19:$F$24,0),MATCH(AX$17,$AK$17:$BB$17,0))*INDEX($10:$13,MATCH($O695,$R$10:$R$13,0),COLUMN())</f>
        <v>1.4497196275000001E-7</v>
      </c>
      <c r="AY695" s="1050" cm="1">
        <f t="array" aca="1" ref="AY695" ca="1">INDEX(OFFSET($AK$19,MATCH($B695,$B$19:$B$150,0)-1,0,COUNTA($B$19:$B$24),COUNTA($AK$17:$BB$17)),MATCH($F695,$F$19:$F$24,0),MATCH(AY$17,$AK$17:$BB$17,0))*INDEX($10:$13,MATCH($O695,$R$10:$R$13,0),COLUMN())</f>
        <v>-9.2964612410000014E-11</v>
      </c>
      <c r="AZ695" s="1050" cm="1">
        <f t="array" aca="1" ref="AZ695" ca="1">INDEX(OFFSET($AK$19,MATCH($B695,$B$19:$B$150,0)-1,0,COUNTA($B$19:$B$24),COUNTA($AK$17:$BB$17)),MATCH($F695,$F$19:$F$24,0),MATCH(AZ$17,$AK$17:$BB$17,0))*INDEX($10:$13,MATCH($O695,$R$10:$R$13,0),COLUMN())</f>
        <v>4.6063851903981262E-6</v>
      </c>
      <c r="BA695" s="1050" cm="1">
        <f t="array" aca="1" ref="BA695" ca="1">INDEX(OFFSET($AK$19,MATCH($B695,$B$19:$B$150,0)-1,0,COUNTA($B$19:$B$24),COUNTA($AK$17:$BB$17)),MATCH($F695,$F$19:$F$24,0),MATCH(BA$17,$AK$17:$BB$17,0))*INDEX($10:$13,MATCH($O695,$R$10:$R$13,0),COLUMN())</f>
        <v>1.2842188919999999E-2</v>
      </c>
      <c r="BB695" s="1051" cm="1">
        <f t="array" aca="1" ref="BB695" ca="1">INDEX(OFFSET($AK$19,MATCH($B695,$B$19:$B$150,0)-1,0,COUNTA($B$19:$B$24),COUNTA($AK$17:$BB$17)),MATCH($F695,$F$19:$F$24,0),MATCH(BB$17,$AK$17:$BB$17,0))*INDEX($10:$13,MATCH($O695,$R$10:$R$13,0),COLUMN())</f>
        <v>3.5956138400000002E-3</v>
      </c>
      <c r="BC695" s="1053">
        <f t="shared" ca="1" si="196"/>
        <v>0.4952100090789982</v>
      </c>
      <c r="BE695" s="1"/>
      <c r="BF695" s="1"/>
      <c r="BG695" s="1"/>
      <c r="BH695" s="1"/>
      <c r="BI695" s="1"/>
      <c r="BJ695" s="1"/>
      <c r="BK695" s="1"/>
      <c r="BL695" s="1"/>
      <c r="BM695" s="1"/>
      <c r="BN695" s="1"/>
      <c r="BO695" s="1"/>
      <c r="BP695" s="1"/>
      <c r="BQ695" s="1"/>
      <c r="BR695" s="1"/>
      <c r="BS695" s="1"/>
      <c r="BT695" s="1"/>
      <c r="BU695" s="1"/>
      <c r="BV695" s="1"/>
      <c r="BW695" s="1"/>
      <c r="BX695" s="1"/>
      <c r="BY695" s="1"/>
      <c r="BZ695" s="1"/>
    </row>
    <row r="696" spans="2:78" ht="12" customHeight="1" outlineLevel="1" x14ac:dyDescent="0.25">
      <c r="B696" s="104" t="s">
        <v>98</v>
      </c>
      <c r="C696" s="104" t="s">
        <v>121</v>
      </c>
      <c r="D696" s="2" t="s">
        <v>132</v>
      </c>
      <c r="E696" s="2" t="s">
        <v>98</v>
      </c>
      <c r="F696" s="105" t="s">
        <v>94</v>
      </c>
      <c r="G696" s="27" t="s">
        <v>1580</v>
      </c>
      <c r="H696" s="106" t="s">
        <v>131</v>
      </c>
      <c r="I696" s="107" t="s">
        <v>129</v>
      </c>
      <c r="J696" s="147">
        <v>3.8217059399999997</v>
      </c>
      <c r="K696" s="148">
        <v>0.37645999999999996</v>
      </c>
      <c r="L696" s="149">
        <f t="shared" ca="1" si="193"/>
        <v>1.7801312378153369</v>
      </c>
      <c r="M696" s="148">
        <f t="shared" ca="1" si="194"/>
        <v>1.0466082057879615</v>
      </c>
      <c r="N696" s="148">
        <f t="shared" ca="1" si="195"/>
        <v>0.67014820578796164</v>
      </c>
      <c r="O696" s="1062" t="s">
        <v>1586</v>
      </c>
      <c r="P696" s="104"/>
      <c r="R696" s="119"/>
      <c r="S696" s="1072"/>
      <c r="T696" s="1072"/>
      <c r="U696" s="1072"/>
      <c r="V696" s="1072"/>
      <c r="W696" s="1072"/>
      <c r="X696" s="1072"/>
      <c r="Y696" s="1072"/>
      <c r="Z696" s="1072"/>
      <c r="AA696" s="1072"/>
      <c r="AB696" s="1072"/>
      <c r="AC696" s="1072"/>
      <c r="AD696" s="1072"/>
      <c r="AE696" s="1072"/>
      <c r="AF696" s="1072"/>
      <c r="AG696" s="1072"/>
      <c r="AH696" s="1072"/>
      <c r="AI696" s="1072"/>
      <c r="AJ696" s="1073"/>
      <c r="AK696" s="1052" cm="1">
        <f t="array" aca="1" ref="AK696" ca="1">INDEX(OFFSET($AK$19,MATCH($B696,$B$19:$B$150,0)-1,0,COUNTA($B$19:$B$24),COUNTA($AK$17:$BB$17)),MATCH($F696,$F$19:$F$24,0),MATCH(AK$17,$AK$17:$BB$17,0))*INDEX($10:$13,MATCH($O696,$R$10:$R$13,0),COLUMN())</f>
        <v>2.5601869200000002E-2</v>
      </c>
      <c r="AL696" s="1050" cm="1">
        <f t="array" aca="1" ref="AL696" ca="1">INDEX(OFFSET($AK$19,MATCH($B696,$B$19:$B$150,0)-1,0,COUNTA($B$19:$B$24),COUNTA($AK$17:$BB$17)),MATCH($F696,$F$19:$F$24,0),MATCH(AL$17,$AK$17:$BB$17,0))*INDEX($10:$13,MATCH($O696,$R$10:$R$13,0),COLUMN())</f>
        <v>4.0898946719999999E-8</v>
      </c>
      <c r="AM696" s="1050" cm="1">
        <f t="array" aca="1" ref="AM696" ca="1">INDEX(OFFSET($AK$19,MATCH($B696,$B$19:$B$150,0)-1,0,COUNTA($B$19:$B$24),COUNTA($AK$17:$BB$17)),MATCH($F696,$F$19:$F$24,0),MATCH(AM$17,$AK$17:$BB$17,0))*INDEX($10:$13,MATCH($O696,$R$10:$R$13,0),COLUMN())</f>
        <v>0</v>
      </c>
      <c r="AN696" s="1050" cm="1">
        <f t="array" aca="1" ref="AN696" ca="1">INDEX(OFFSET($AK$19,MATCH($B696,$B$19:$B$150,0)-1,0,COUNTA($B$19:$B$24),COUNTA($AK$17:$BB$17)),MATCH($F696,$F$19:$F$24,0),MATCH(AN$17,$AK$17:$BB$17,0))*INDEX($10:$13,MATCH($O696,$R$10:$R$13,0),COLUMN())</f>
        <v>1.5597975078000001E-3</v>
      </c>
      <c r="AO696" s="1050" cm="1">
        <f t="array" aca="1" ref="AO696" ca="1">INDEX(OFFSET($AK$19,MATCH($B696,$B$19:$B$150,0)-1,0,COUNTA($B$19:$B$24),COUNTA($AK$17:$BB$17)),MATCH($F696,$F$19:$F$24,0),MATCH(AO$17,$AK$17:$BB$17,0))*INDEX($10:$13,MATCH($O696,$R$10:$R$13,0),COLUMN())</f>
        <v>9.8713843890410966E-3</v>
      </c>
      <c r="AP696" s="1050" cm="1">
        <f t="array" aca="1" ref="AP696" ca="1">INDEX(OFFSET($AK$19,MATCH($B696,$B$19:$B$150,0)-1,0,COUNTA($B$19:$B$24),COUNTA($AK$17:$BB$17)),MATCH($F696,$F$19:$F$24,0),MATCH(AP$17,$AK$17:$BB$17,0))*INDEX($10:$13,MATCH($O696,$R$10:$R$13,0),COLUMN())</f>
        <v>4.4031005760000004E-3</v>
      </c>
      <c r="AQ696" s="1050" cm="1">
        <f t="array" aca="1" ref="AQ696" ca="1">INDEX(OFFSET($AK$19,MATCH($B696,$B$19:$B$150,0)-1,0,COUNTA($B$19:$B$24),COUNTA($AK$17:$BB$17)),MATCH($F696,$F$19:$F$24,0),MATCH(AQ$17,$AK$17:$BB$17,0))*INDEX($10:$13,MATCH($O696,$R$10:$R$13,0),COLUMN())</f>
        <v>7.006122016E-3</v>
      </c>
      <c r="AR696" s="1050" cm="1">
        <f t="array" aca="1" ref="AR696" ca="1">INDEX(OFFSET($AK$19,MATCH($B696,$B$19:$B$150,0)-1,0,COUNTA($B$19:$B$24),COUNTA($AK$17:$BB$17)),MATCH($F696,$F$19:$F$24,0),MATCH(AR$17,$AK$17:$BB$17,0))*INDEX($10:$13,MATCH($O696,$R$10:$R$13,0),COLUMN())</f>
        <v>0.16819451936000002</v>
      </c>
      <c r="AS696" s="1050" cm="1">
        <f t="array" aca="1" ref="AS696" ca="1">INDEX(OFFSET($AK$19,MATCH($B696,$B$19:$B$150,0)-1,0,COUNTA($B$19:$B$24),COUNTA($AK$17:$BB$17)),MATCH($F696,$F$19:$F$24,0),MATCH(AS$17,$AK$17:$BB$17,0))*INDEX($10:$13,MATCH($O696,$R$10:$R$13,0),COLUMN())</f>
        <v>6.8090161338000001E-5</v>
      </c>
      <c r="AT696" s="1050" cm="1">
        <f t="array" aca="1" ref="AT696" ca="1">INDEX(OFFSET($AK$19,MATCH($B696,$B$19:$B$150,0)-1,0,COUNTA($B$19:$B$24),COUNTA($AK$17:$BB$17)),MATCH($F696,$F$19:$F$24,0),MATCH(AT$17,$AK$17:$BB$17,0))*INDEX($10:$13,MATCH($O696,$R$10:$R$13,0),COLUMN())</f>
        <v>3.0514249119999999E-6</v>
      </c>
      <c r="AU696" s="1050" cm="1">
        <f t="array" aca="1" ref="AU696" ca="1">INDEX(OFFSET($AK$19,MATCH($B696,$B$19:$B$150,0)-1,0,COUNTA($B$19:$B$24),COUNTA($AK$17:$BB$17)),MATCH($F696,$F$19:$F$24,0),MATCH(AU$17,$AK$17:$BB$17,0))*INDEX($10:$13,MATCH($O696,$R$10:$R$13,0),COLUMN())</f>
        <v>6.4734764579999992E-7</v>
      </c>
      <c r="AV696" s="1050" cm="1">
        <f t="array" aca="1" ref="AV696" ca="1">INDEX(OFFSET($AK$19,MATCH($B696,$B$19:$B$150,0)-1,0,COUNTA($B$19:$B$24),COUNTA($AK$17:$BB$17)),MATCH($F696,$F$19:$F$24,0),MATCH(AV$17,$AK$17:$BB$17,0))*INDEX($10:$13,MATCH($O696,$R$10:$R$13,0),COLUMN())</f>
        <v>2.5160445267583876E-4</v>
      </c>
      <c r="AW696" s="1050" cm="1">
        <f t="array" aca="1" ref="AW696" ca="1">INDEX(OFFSET($AK$19,MATCH($B696,$B$19:$B$150,0)-1,0,COUNTA($B$19:$B$24),COUNTA($AK$17:$BB$17)),MATCH($F696,$F$19:$F$24,0),MATCH(AW$17,$AK$17:$BB$17,0))*INDEX($10:$13,MATCH($O696,$R$10:$R$13,0),COLUMN())</f>
        <v>0.4386242481</v>
      </c>
      <c r="AX696" s="1050" cm="1">
        <f t="array" aca="1" ref="AX696" ca="1">INDEX(OFFSET($AK$19,MATCH($B696,$B$19:$B$150,0)-1,0,COUNTA($B$19:$B$24),COUNTA($AK$17:$BB$17)),MATCH($F696,$F$19:$F$24,0),MATCH(AX$17,$AK$17:$BB$17,0))*INDEX($10:$13,MATCH($O696,$R$10:$R$13,0),COLUMN())</f>
        <v>1.2840660746000001E-7</v>
      </c>
      <c r="AY696" s="1050" cm="1">
        <f t="array" aca="1" ref="AY696" ca="1">INDEX(OFFSET($AK$19,MATCH($B696,$B$19:$B$150,0)-1,0,COUNTA($B$19:$B$24),COUNTA($AK$17:$BB$17)),MATCH($F696,$F$19:$F$24,0),MATCH(AY$17,$AK$17:$BB$17,0))*INDEX($10:$13,MATCH($O696,$R$10:$R$13,0),COLUMN())</f>
        <v>-8.2341924900000006E-11</v>
      </c>
      <c r="AZ696" s="1050" cm="1">
        <f t="array" aca="1" ref="AZ696" ca="1">INDEX(OFFSET($AK$19,MATCH($B696,$B$19:$B$150,0)-1,0,COUNTA($B$19:$B$24),COUNTA($AK$17:$BB$17)),MATCH($F696,$F$19:$F$24,0),MATCH(AZ$17,$AK$17:$BB$17,0))*INDEX($10:$13,MATCH($O696,$R$10:$R$13,0),COLUMN())</f>
        <v>4.0800323367681491E-6</v>
      </c>
      <c r="BA696" s="1050" cm="1">
        <f t="array" aca="1" ref="BA696" ca="1">INDEX(OFFSET($AK$19,MATCH($B696,$B$19:$B$150,0)-1,0,COUNTA($B$19:$B$24),COUNTA($AK$17:$BB$17)),MATCH($F696,$F$19:$F$24,0),MATCH(BA$17,$AK$17:$BB$17,0))*INDEX($10:$13,MATCH($O696,$R$10:$R$13,0),COLUMN())</f>
        <v>1.1374764333E-2</v>
      </c>
      <c r="BB696" s="1051" cm="1">
        <f t="array" aca="1" ref="BB696" ca="1">INDEX(OFFSET($AK$19,MATCH($B696,$B$19:$B$150,0)-1,0,COUNTA($B$19:$B$24),COUNTA($AK$17:$BB$17)),MATCH($F696,$F$19:$F$24,0),MATCH(BB$17,$AK$17:$BB$17,0))*INDEX($10:$13,MATCH($O696,$R$10:$R$13,0),COLUMN())</f>
        <v>3.1847576640000002E-3</v>
      </c>
      <c r="BC696" s="1053">
        <f t="shared" ca="1" si="196"/>
        <v>0.43862437642426555</v>
      </c>
      <c r="BE696" s="1"/>
      <c r="BF696" s="1"/>
      <c r="BG696" s="1"/>
      <c r="BH696" s="1"/>
      <c r="BI696" s="1"/>
      <c r="BJ696" s="1"/>
      <c r="BK696" s="1"/>
      <c r="BL696" s="1"/>
      <c r="BM696" s="1"/>
      <c r="BN696" s="1"/>
      <c r="BO696" s="1"/>
      <c r="BP696" s="1"/>
      <c r="BQ696" s="1"/>
      <c r="BR696" s="1"/>
      <c r="BS696" s="1"/>
      <c r="BT696" s="1"/>
      <c r="BU696" s="1"/>
      <c r="BV696" s="1"/>
      <c r="BW696" s="1"/>
      <c r="BX696" s="1"/>
      <c r="BY696" s="1"/>
      <c r="BZ696" s="1"/>
    </row>
    <row r="697" spans="2:78" ht="12" customHeight="1" outlineLevel="1" x14ac:dyDescent="0.25">
      <c r="B697" s="104" t="s">
        <v>98</v>
      </c>
      <c r="C697" s="104" t="s">
        <v>121</v>
      </c>
      <c r="D697" s="2" t="s">
        <v>132</v>
      </c>
      <c r="E697" s="2" t="s">
        <v>98</v>
      </c>
      <c r="F697" s="105" t="s">
        <v>95</v>
      </c>
      <c r="G697" s="27" t="s">
        <v>1581</v>
      </c>
      <c r="H697" s="106" t="s">
        <v>128</v>
      </c>
      <c r="I697" s="107" t="s">
        <v>127</v>
      </c>
      <c r="J697" s="147">
        <v>3.8217059399999997</v>
      </c>
      <c r="K697" s="148">
        <v>0.37645999999999996</v>
      </c>
      <c r="L697" s="149">
        <f t="shared" ca="1" si="193"/>
        <v>2.2743036955826867</v>
      </c>
      <c r="M697" s="148">
        <f t="shared" ca="1" si="194"/>
        <v>1.2326443692390581</v>
      </c>
      <c r="N697" s="148">
        <f t="shared" ca="1" si="195"/>
        <v>0.85618436923905816</v>
      </c>
      <c r="O697" s="1062" t="s">
        <v>1586</v>
      </c>
      <c r="P697" s="104"/>
      <c r="R697" s="119"/>
      <c r="S697" s="1072"/>
      <c r="T697" s="1072"/>
      <c r="U697" s="1072"/>
      <c r="V697" s="1072"/>
      <c r="W697" s="1072"/>
      <c r="X697" s="1072"/>
      <c r="Y697" s="1072"/>
      <c r="Z697" s="1072"/>
      <c r="AA697" s="1072"/>
      <c r="AB697" s="1072"/>
      <c r="AC697" s="1072"/>
      <c r="AD697" s="1072"/>
      <c r="AE697" s="1072"/>
      <c r="AF697" s="1072"/>
      <c r="AG697" s="1072"/>
      <c r="AH697" s="1072"/>
      <c r="AI697" s="1072"/>
      <c r="AJ697" s="1073"/>
      <c r="AK697" s="1052" cm="1">
        <f t="array" aca="1" ref="AK697" ca="1">INDEX(OFFSET($AK$19,MATCH($B697,$B$19:$B$150,0)-1,0,COUNTA($B$19:$B$24),COUNTA($AK$17:$BB$17)),MATCH($F697,$F$19:$F$24,0),MATCH(AK$17,$AK$17:$BB$17,0))*INDEX($10:$13,MATCH($O697,$R$10:$R$13,0),COLUMN())</f>
        <v>3.1786220240000003E-2</v>
      </c>
      <c r="AL697" s="1050" cm="1">
        <f t="array" aca="1" ref="AL697" ca="1">INDEX(OFFSET($AK$19,MATCH($B697,$B$19:$B$150,0)-1,0,COUNTA($B$19:$B$24),COUNTA($AK$17:$BB$17)),MATCH($F697,$F$19:$F$24,0),MATCH(AL$17,$AK$17:$BB$17,0))*INDEX($10:$13,MATCH($O697,$R$10:$R$13,0),COLUMN())</f>
        <v>4.3701531599999999E-8</v>
      </c>
      <c r="AM697" s="1050" cm="1">
        <f t="array" aca="1" ref="AM697" ca="1">INDEX(OFFSET($AK$19,MATCH($B697,$B$19:$B$150,0)-1,0,COUNTA($B$19:$B$24),COUNTA($AK$17:$BB$17)),MATCH($F697,$F$19:$F$24,0),MATCH(AM$17,$AK$17:$BB$17,0))*INDEX($10:$13,MATCH($O697,$R$10:$R$13,0),COLUMN())</f>
        <v>0</v>
      </c>
      <c r="AN697" s="1050" cm="1">
        <f t="array" aca="1" ref="AN697" ca="1">INDEX(OFFSET($AK$19,MATCH($B697,$B$19:$B$150,0)-1,0,COUNTA($B$19:$B$24),COUNTA($AK$17:$BB$17)),MATCH($F697,$F$19:$F$24,0),MATCH(AN$17,$AK$17:$BB$17,0))*INDEX($10:$13,MATCH($O697,$R$10:$R$13,0),COLUMN())</f>
        <v>1.7709051222E-3</v>
      </c>
      <c r="AO697" s="1050" cm="1">
        <f t="array" aca="1" ref="AO697" ca="1">INDEX(OFFSET($AK$19,MATCH($B697,$B$19:$B$150,0)-1,0,COUNTA($B$19:$B$24),COUNTA($AK$17:$BB$17)),MATCH($F697,$F$19:$F$24,0),MATCH(AO$17,$AK$17:$BB$17,0))*INDEX($10:$13,MATCH($O697,$R$10:$R$13,0),COLUMN())</f>
        <v>2.4502354167123288E-2</v>
      </c>
      <c r="AP697" s="1050" cm="1">
        <f t="array" aca="1" ref="AP697" ca="1">INDEX(OFFSET($AK$19,MATCH($B697,$B$19:$B$150,0)-1,0,COUNTA($B$19:$B$24),COUNTA($AK$17:$BB$17)),MATCH($F697,$F$19:$F$24,0),MATCH(AP$17,$AK$17:$BB$17,0))*INDEX($10:$13,MATCH($O697,$R$10:$R$13,0),COLUMN())</f>
        <v>1.5857505888000001E-2</v>
      </c>
      <c r="AQ697" s="1050" cm="1">
        <f t="array" aca="1" ref="AQ697" ca="1">INDEX(OFFSET($AK$19,MATCH($B697,$B$19:$B$150,0)-1,0,COUNTA($B$19:$B$24),COUNTA($AK$17:$BB$17)),MATCH($F697,$F$19:$F$24,0),MATCH(AQ$17,$AK$17:$BB$17,0))*INDEX($10:$13,MATCH($O697,$R$10:$R$13,0),COLUMN())</f>
        <v>2.9405032927999997E-2</v>
      </c>
      <c r="AR697" s="1050" cm="1">
        <f t="array" aca="1" ref="AR697" ca="1">INDEX(OFFSET($AK$19,MATCH($B697,$B$19:$B$150,0)-1,0,COUNTA($B$19:$B$24),COUNTA($AK$17:$BB$17)),MATCH($F697,$F$19:$F$24,0),MATCH(AR$17,$AK$17:$BB$17,0))*INDEX($10:$13,MATCH($O697,$R$10:$R$13,0),COLUMN())</f>
        <v>0.26822426878</v>
      </c>
      <c r="AS697" s="1050" cm="1">
        <f t="array" aca="1" ref="AS697" ca="1">INDEX(OFFSET($AK$19,MATCH($B697,$B$19:$B$150,0)-1,0,COUNTA($B$19:$B$24),COUNTA($AK$17:$BB$17)),MATCH($F697,$F$19:$F$24,0),MATCH(AS$17,$AK$17:$BB$17,0))*INDEX($10:$13,MATCH($O697,$R$10:$R$13,0),COLUMN())</f>
        <v>1.7848670782999998E-3</v>
      </c>
      <c r="AT697" s="1050" cm="1">
        <f t="array" aca="1" ref="AT697" ca="1">INDEX(OFFSET($AK$19,MATCH($B697,$B$19:$B$150,0)-1,0,COUNTA($B$19:$B$24),COUNTA($AK$17:$BB$17)),MATCH($F697,$F$19:$F$24,0),MATCH(AT$17,$AK$17:$BB$17,0))*INDEX($10:$13,MATCH($O697,$R$10:$R$13,0),COLUMN())</f>
        <v>4.4912343739999998E-6</v>
      </c>
      <c r="AU697" s="1050" cm="1">
        <f t="array" aca="1" ref="AU697" ca="1">INDEX(OFFSET($AK$19,MATCH($B697,$B$19:$B$150,0)-1,0,COUNTA($B$19:$B$24),COUNTA($AK$17:$BB$17)),MATCH($F697,$F$19:$F$24,0),MATCH(AU$17,$AK$17:$BB$17,0))*INDEX($10:$13,MATCH($O697,$R$10:$R$13,0),COLUMN())</f>
        <v>8.7822039479999995E-7</v>
      </c>
      <c r="AV697" s="1050" cm="1">
        <f t="array" aca="1" ref="AV697" ca="1">INDEX(OFFSET($AK$19,MATCH($B697,$B$19:$B$150,0)-1,0,COUNTA($B$19:$B$24),COUNTA($AK$17:$BB$17)),MATCH($F697,$F$19:$F$24,0),MATCH(AV$17,$AK$17:$BB$17,0))*INDEX($10:$13,MATCH($O697,$R$10:$R$13,0),COLUMN())</f>
        <v>1.4950563656999862E-3</v>
      </c>
      <c r="AW697" s="1050" cm="1">
        <f t="array" aca="1" ref="AW697" ca="1">INDEX(OFFSET($AK$19,MATCH($B697,$B$19:$B$150,0)-1,0,COUNTA($B$19:$B$24),COUNTA($AK$17:$BB$17)),MATCH($F697,$F$19:$F$24,0),MATCH(AW$17,$AK$17:$BB$17,0))*INDEX($10:$13,MATCH($O697,$R$10:$R$13,0),COLUMN())</f>
        <v>0.46520702310000006</v>
      </c>
      <c r="AX697" s="1050" cm="1">
        <f t="array" aca="1" ref="AX697" ca="1">INDEX(OFFSET($AK$19,MATCH($B697,$B$19:$B$150,0)-1,0,COUNTA($B$19:$B$24),COUNTA($AK$17:$BB$17)),MATCH($F697,$F$19:$F$24,0),MATCH(AX$17,$AK$17:$BB$17,0))*INDEX($10:$13,MATCH($O697,$R$10:$R$13,0),COLUMN())</f>
        <v>1.3618867451000003E-7</v>
      </c>
      <c r="AY697" s="1050" cm="1">
        <f t="array" aca="1" ref="AY697" ca="1">INDEX(OFFSET($AK$19,MATCH($B697,$B$19:$B$150,0)-1,0,COUNTA($B$19:$B$24),COUNTA($AK$17:$BB$17)),MATCH($F697,$F$19:$F$24,0),MATCH(AY$17,$AK$17:$BB$17,0))*INDEX($10:$13,MATCH($O697,$R$10:$R$13,0),COLUMN())</f>
        <v>-8.7332245660000012E-11</v>
      </c>
      <c r="AZ697" s="1050" cm="1">
        <f t="array" aca="1" ref="AZ697" ca="1">INDEX(OFFSET($AK$19,MATCH($B697,$B$19:$B$150,0)-1,0,COUNTA($B$19:$B$24),COUNTA($AK$17:$BB$17)),MATCH($F697,$F$19:$F$24,0),MATCH(AZ$17,$AK$17:$BB$17,0))*INDEX($10:$13,MATCH($O697,$R$10:$R$13,0),COLUMN())</f>
        <v>4.3334660920374705E-6</v>
      </c>
      <c r="BA697" s="1050" cm="1">
        <f t="array" aca="1" ref="BA697" ca="1">INDEX(OFFSET($AK$19,MATCH($B697,$B$19:$B$150,0)-1,0,COUNTA($B$19:$B$24),COUNTA($AK$17:$BB$17)),MATCH($F697,$F$19:$F$24,0),MATCH(BA$17,$AK$17:$BB$17,0))*INDEX($10:$13,MATCH($O697,$R$10:$R$13,0),COLUMN())</f>
        <v>1.2762911876E-2</v>
      </c>
      <c r="BB697" s="1051" cm="1">
        <f t="array" aca="1" ref="BB697" ca="1">INDEX(OFFSET($AK$19,MATCH($B697,$B$19:$B$150,0)-1,0,COUNTA($B$19:$B$24),COUNTA($AK$17:$BB$17)),MATCH($F697,$F$19:$F$24,0),MATCH(BB$17,$AK$17:$BB$17,0))*INDEX($10:$13,MATCH($O697,$R$10:$R$13,0),COLUMN())</f>
        <v>3.3783409700000001E-3</v>
      </c>
      <c r="BC697" s="1053">
        <f t="shared" ca="1" si="196"/>
        <v>0.46520715920134231</v>
      </c>
      <c r="BE697" s="1"/>
      <c r="BF697" s="1"/>
      <c r="BG697" s="1"/>
      <c r="BH697" s="1"/>
      <c r="BI697" s="1"/>
      <c r="BJ697" s="1"/>
      <c r="BK697" s="1"/>
      <c r="BL697" s="1"/>
      <c r="BM697" s="1"/>
      <c r="BN697" s="1"/>
      <c r="BO697" s="1"/>
      <c r="BP697" s="1"/>
      <c r="BQ697" s="1"/>
      <c r="BR697" s="1"/>
      <c r="BS697" s="1"/>
      <c r="BT697" s="1"/>
      <c r="BU697" s="1"/>
      <c r="BV697" s="1"/>
      <c r="BW697" s="1"/>
      <c r="BX697" s="1"/>
      <c r="BY697" s="1"/>
      <c r="BZ697" s="1"/>
    </row>
    <row r="698" spans="2:78" ht="12" customHeight="1" outlineLevel="1" x14ac:dyDescent="0.25">
      <c r="B698" s="104" t="s">
        <v>98</v>
      </c>
      <c r="C698" s="104" t="s">
        <v>121</v>
      </c>
      <c r="D698" s="2" t="s">
        <v>132</v>
      </c>
      <c r="E698" s="2" t="s">
        <v>98</v>
      </c>
      <c r="F698" s="105" t="s">
        <v>96</v>
      </c>
      <c r="G698" s="27" t="s">
        <v>1582</v>
      </c>
      <c r="H698" s="106" t="s">
        <v>128</v>
      </c>
      <c r="I698" s="107" t="s">
        <v>1577</v>
      </c>
      <c r="J698" s="147">
        <v>3.8217059399999997</v>
      </c>
      <c r="K698" s="148">
        <v>0.37645999999999996</v>
      </c>
      <c r="L698" s="149">
        <f t="shared" ca="1" si="193"/>
        <v>2.5546682290014169</v>
      </c>
      <c r="M698" s="148">
        <f t="shared" ca="1" si="194"/>
        <v>1.3381904014898733</v>
      </c>
      <c r="N698" s="148">
        <f t="shared" ca="1" si="195"/>
        <v>0.96173040148987332</v>
      </c>
      <c r="O698" s="1062" t="s">
        <v>1586</v>
      </c>
      <c r="P698" s="104"/>
      <c r="R698" s="119"/>
      <c r="S698" s="1072"/>
      <c r="T698" s="1072"/>
      <c r="U698" s="1072"/>
      <c r="V698" s="1072"/>
      <c r="W698" s="1072"/>
      <c r="X698" s="1072"/>
      <c r="Y698" s="1072"/>
      <c r="Z698" s="1072"/>
      <c r="AA698" s="1072"/>
      <c r="AB698" s="1072"/>
      <c r="AC698" s="1072"/>
      <c r="AD698" s="1072"/>
      <c r="AE698" s="1072"/>
      <c r="AF698" s="1072"/>
      <c r="AG698" s="1072"/>
      <c r="AH698" s="1072"/>
      <c r="AI698" s="1072"/>
      <c r="AJ698" s="1073"/>
      <c r="AK698" s="1052" cm="1">
        <f t="array" aca="1" ref="AK698" ca="1">INDEX(OFFSET($AK$19,MATCH($B698,$B$19:$B$150,0)-1,0,COUNTA($B$19:$B$24),COUNTA($AK$17:$BB$17)),MATCH($F698,$F$19:$F$24,0),MATCH(AK$17,$AK$17:$BB$17,0))*INDEX($10:$13,MATCH($O698,$R$10:$R$13,0),COLUMN())</f>
        <v>3.5106438320000002E-2</v>
      </c>
      <c r="AL698" s="1050" cm="1">
        <f t="array" aca="1" ref="AL698" ca="1">INDEX(OFFSET($AK$19,MATCH($B698,$B$19:$B$150,0)-1,0,COUNTA($B$19:$B$24),COUNTA($AK$17:$BB$17)),MATCH($F698,$F$19:$F$24,0),MATCH(AL$17,$AK$17:$BB$17,0))*INDEX($10:$13,MATCH($O698,$R$10:$R$13,0),COLUMN())</f>
        <v>4.3912918920000003E-8</v>
      </c>
      <c r="AM698" s="1050" cm="1">
        <f t="array" aca="1" ref="AM698" ca="1">INDEX(OFFSET($AK$19,MATCH($B698,$B$19:$B$150,0)-1,0,COUNTA($B$19:$B$24),COUNTA($AK$17:$BB$17)),MATCH($F698,$F$19:$F$24,0),MATCH(AM$17,$AK$17:$BB$17,0))*INDEX($10:$13,MATCH($O698,$R$10:$R$13,0),COLUMN())</f>
        <v>0</v>
      </c>
      <c r="AN698" s="1050" cm="1">
        <f t="array" aca="1" ref="AN698" ca="1">INDEX(OFFSET($AK$19,MATCH($B698,$B$19:$B$150,0)-1,0,COUNTA($B$19:$B$24),COUNTA($AK$17:$BB$17)),MATCH($F698,$F$19:$F$24,0),MATCH(AN$17,$AK$17:$BB$17,0))*INDEX($10:$13,MATCH($O698,$R$10:$R$13,0),COLUMN())</f>
        <v>1.8469846554000002E-3</v>
      </c>
      <c r="AO698" s="1050" cm="1">
        <f t="array" aca="1" ref="AO698" ca="1">INDEX(OFFSET($AK$19,MATCH($B698,$B$19:$B$150,0)-1,0,COUNTA($B$19:$B$24),COUNTA($AK$17:$BB$17)),MATCH($F698,$F$19:$F$24,0),MATCH(AO$17,$AK$17:$BB$17,0))*INDEX($10:$13,MATCH($O698,$R$10:$R$13,0),COLUMN())</f>
        <v>3.4704440054794519E-2</v>
      </c>
      <c r="AP698" s="1050" cm="1">
        <f t="array" aca="1" ref="AP698" ca="1">INDEX(OFFSET($AK$19,MATCH($B698,$B$19:$B$150,0)-1,0,COUNTA($B$19:$B$24),COUNTA($AK$17:$BB$17)),MATCH($F698,$F$19:$F$24,0),MATCH(AP$17,$AK$17:$BB$17,0))*INDEX($10:$13,MATCH($O698,$R$10:$R$13,0),COLUMN())</f>
        <v>2.4007497696E-2</v>
      </c>
      <c r="AQ698" s="1050" cm="1">
        <f t="array" aca="1" ref="AQ698" ca="1">INDEX(OFFSET($AK$19,MATCH($B698,$B$19:$B$150,0)-1,0,COUNTA($B$19:$B$24),COUNTA($AK$17:$BB$17)),MATCH($F698,$F$19:$F$24,0),MATCH(AQ$17,$AK$17:$BB$17,0))*INDEX($10:$13,MATCH($O698,$R$10:$R$13,0),COLUMN())</f>
        <v>4.5054678719999998E-2</v>
      </c>
      <c r="AR698" s="1050" cm="1">
        <f t="array" aca="1" ref="AR698" ca="1">INDEX(OFFSET($AK$19,MATCH($B698,$B$19:$B$150,0)-1,0,COUNTA($B$19:$B$24),COUNTA($AK$17:$BB$17)),MATCH($F698,$F$19:$F$24,0),MATCH(AR$17,$AK$17:$BB$17,0))*INDEX($10:$13,MATCH($O698,$R$10:$R$13,0),COLUMN())</f>
        <v>0.33372162320000004</v>
      </c>
      <c r="AS698" s="1050" cm="1">
        <f t="array" aca="1" ref="AS698" ca="1">INDEX(OFFSET($AK$19,MATCH($B698,$B$19:$B$150,0)-1,0,COUNTA($B$19:$B$24),COUNTA($AK$17:$BB$17)),MATCH($F698,$F$19:$F$24,0),MATCH(AS$17,$AK$17:$BB$17,0))*INDEX($10:$13,MATCH($O698,$R$10:$R$13,0),COLUMN())</f>
        <v>2.9895064417999996E-3</v>
      </c>
      <c r="AT698" s="1050" cm="1">
        <f t="array" aca="1" ref="AT698" ca="1">INDEX(OFFSET($AK$19,MATCH($B698,$B$19:$B$150,0)-1,0,COUNTA($B$19:$B$24),COUNTA($AK$17:$BB$17)),MATCH($F698,$F$19:$F$24,0),MATCH(AT$17,$AK$17:$BB$17,0))*INDEX($10:$13,MATCH($O698,$R$10:$R$13,0),COLUMN())</f>
        <v>5.032928452E-6</v>
      </c>
      <c r="AU698" s="1050" cm="1">
        <f t="array" aca="1" ref="AU698" ca="1">INDEX(OFFSET($AK$19,MATCH($B698,$B$19:$B$150,0)-1,0,COUNTA($B$19:$B$24),COUNTA($AK$17:$BB$17)),MATCH($F698,$F$19:$F$24,0),MATCH(AU$17,$AK$17:$BB$17,0))*INDEX($10:$13,MATCH($O698,$R$10:$R$13,0),COLUMN())</f>
        <v>9.5555932499999995E-7</v>
      </c>
      <c r="AV698" s="1050" cm="1">
        <f t="array" aca="1" ref="AV698" ca="1">INDEX(OFFSET($AK$19,MATCH($B698,$B$19:$B$150,0)-1,0,COUNTA($B$19:$B$24),COUNTA($AK$17:$BB$17)),MATCH($F698,$F$19:$F$24,0),MATCH(AV$17,$AK$17:$BB$17,0))*INDEX($10:$13,MATCH($O698,$R$10:$R$13,0),COLUMN())</f>
        <v>2.4840417460791331E-3</v>
      </c>
      <c r="AW698" s="1050" cm="1">
        <f t="array" aca="1" ref="AW698" ca="1">INDEX(OFFSET($AK$19,MATCH($B698,$B$19:$B$150,0)-1,0,COUNTA($B$19:$B$24),COUNTA($AK$17:$BB$17)),MATCH($F698,$F$19:$F$24,0),MATCH(AW$17,$AK$17:$BB$17,0))*INDEX($10:$13,MATCH($O698,$R$10:$R$13,0),COLUMN())</f>
        <v>0.46520702310000006</v>
      </c>
      <c r="AX698" s="1050" cm="1">
        <f t="array" aca="1" ref="AX698" ca="1">INDEX(OFFSET($AK$19,MATCH($B698,$B$19:$B$150,0)-1,0,COUNTA($B$19:$B$24),COUNTA($AK$17:$BB$17)),MATCH($F698,$F$19:$F$24,0),MATCH(AX$17,$AK$17:$BB$17,0))*INDEX($10:$13,MATCH($O698,$R$10:$R$13,0),COLUMN())</f>
        <v>1.3618867451000003E-7</v>
      </c>
      <c r="AY698" s="1050" cm="1">
        <f t="array" aca="1" ref="AY698" ca="1">INDEX(OFFSET($AK$19,MATCH($B698,$B$19:$B$150,0)-1,0,COUNTA($B$19:$B$24),COUNTA($AK$17:$BB$17)),MATCH($F698,$F$19:$F$24,0),MATCH(AY$17,$AK$17:$BB$17,0))*INDEX($10:$13,MATCH($O698,$R$10:$R$13,0),COLUMN())</f>
        <v>-8.7332245660000012E-11</v>
      </c>
      <c r="AZ698" s="1050" cm="1">
        <f t="array" aca="1" ref="AZ698" ca="1">INDEX(OFFSET($AK$19,MATCH($B698,$B$19:$B$150,0)-1,0,COUNTA($B$19:$B$24),COUNTA($AK$17:$BB$17)),MATCH($F698,$F$19:$F$24,0),MATCH(AZ$17,$AK$17:$BB$17,0))*INDEX($10:$13,MATCH($O698,$R$10:$R$13,0),COLUMN())</f>
        <v>4.3374887613583133E-6</v>
      </c>
      <c r="BA698" s="1050" cm="1">
        <f t="array" aca="1" ref="BA698" ca="1">INDEX(OFFSET($AK$19,MATCH($B698,$B$19:$B$150,0)-1,0,COUNTA($B$19:$B$24),COUNTA($AK$17:$BB$17)),MATCH($F698,$F$19:$F$24,0),MATCH(BA$17,$AK$17:$BB$17,0))*INDEX($10:$13,MATCH($O698,$R$10:$R$13,0),COLUMN())</f>
        <v>1.3218947595999999E-2</v>
      </c>
      <c r="BB698" s="1051" cm="1">
        <f t="array" aca="1" ref="BB698" ca="1">INDEX(OFFSET($AK$19,MATCH($B698,$B$19:$B$150,0)-1,0,COUNTA($B$19:$B$24),COUNTA($AK$17:$BB$17)),MATCH($F698,$F$19:$F$24,0),MATCH(BB$17,$AK$17:$BB$17,0))*INDEX($10:$13,MATCH($O698,$R$10:$R$13,0),COLUMN())</f>
        <v>3.3787139690000002E-3</v>
      </c>
      <c r="BC698" s="1053">
        <f t="shared" ca="1" si="196"/>
        <v>0.46520715920134231</v>
      </c>
      <c r="BE698" s="1"/>
      <c r="BF698" s="1"/>
      <c r="BG698" s="1"/>
      <c r="BH698" s="1"/>
      <c r="BI698" s="1"/>
      <c r="BJ698" s="1"/>
      <c r="BK698" s="1"/>
      <c r="BL698" s="1"/>
      <c r="BM698" s="1"/>
      <c r="BN698" s="1"/>
      <c r="BO698" s="1"/>
      <c r="BP698" s="1"/>
      <c r="BQ698" s="1"/>
      <c r="BR698" s="1"/>
      <c r="BS698" s="1"/>
      <c r="BT698" s="1"/>
      <c r="BU698" s="1"/>
      <c r="BV698" s="1"/>
      <c r="BW698" s="1"/>
      <c r="BX698" s="1"/>
      <c r="BY698" s="1"/>
      <c r="BZ698" s="1"/>
    </row>
    <row r="699" spans="2:78" ht="12" customHeight="1" outlineLevel="1" x14ac:dyDescent="0.25">
      <c r="B699" s="88" t="s">
        <v>99</v>
      </c>
      <c r="C699" s="88" t="s">
        <v>121</v>
      </c>
      <c r="D699" s="89" t="s">
        <v>132</v>
      </c>
      <c r="E699" s="89" t="s">
        <v>99</v>
      </c>
      <c r="F699" s="90" t="s">
        <v>92</v>
      </c>
      <c r="G699" s="18" t="s">
        <v>126</v>
      </c>
      <c r="H699" s="91" t="s">
        <v>127</v>
      </c>
      <c r="I699" s="92" t="s">
        <v>127</v>
      </c>
      <c r="J699" s="142">
        <v>3.72132342</v>
      </c>
      <c r="K699" s="143">
        <v>0.17004</v>
      </c>
      <c r="L699" s="144">
        <f t="shared" ca="1" si="193"/>
        <v>6.8455089690702708</v>
      </c>
      <c r="M699" s="143">
        <f t="shared" ca="1" si="194"/>
        <v>1.3340503451007089</v>
      </c>
      <c r="N699" s="143">
        <f t="shared" ca="1" si="195"/>
        <v>1.1640103451007089</v>
      </c>
      <c r="O699" s="1063" t="s">
        <v>1586</v>
      </c>
      <c r="P699" s="88"/>
      <c r="Q699" s="89"/>
      <c r="R699" s="150"/>
      <c r="S699" s="1070"/>
      <c r="T699" s="1070"/>
      <c r="U699" s="1070"/>
      <c r="V699" s="1070"/>
      <c r="W699" s="1070"/>
      <c r="X699" s="1070"/>
      <c r="Y699" s="1070"/>
      <c r="Z699" s="1070"/>
      <c r="AA699" s="1070"/>
      <c r="AB699" s="1070"/>
      <c r="AC699" s="1070"/>
      <c r="AD699" s="1070"/>
      <c r="AE699" s="1070"/>
      <c r="AF699" s="1070"/>
      <c r="AG699" s="1070"/>
      <c r="AH699" s="1070"/>
      <c r="AI699" s="1070"/>
      <c r="AJ699" s="1071"/>
      <c r="AK699" s="1048" cm="1">
        <f t="array" aca="1" ref="AK699" ca="1">INDEX(OFFSET($AK$19,MATCH($B699,$B$19:$B$150,0)-1,0,COUNTA($B$19:$B$24),COUNTA($AK$17:$BB$17)),MATCH($F699,$F$19:$F$24,0),MATCH(AK$17,$AK$17:$BB$17,0))*INDEX($10:$13,MATCH($O699,$R$10:$R$13,0),COLUMN())</f>
        <v>6.1318862639999999E-2</v>
      </c>
      <c r="AL699" s="1046" cm="1">
        <f t="array" aca="1" ref="AL699" ca="1">INDEX(OFFSET($AK$19,MATCH($B699,$B$19:$B$150,0)-1,0,COUNTA($B$19:$B$24),COUNTA($AK$17:$BB$17)),MATCH($F699,$F$19:$F$24,0),MATCH(AL$17,$AK$17:$BB$17,0))*INDEX($10:$13,MATCH($O699,$R$10:$R$13,0),COLUMN())</f>
        <v>6.7544707320000004E-8</v>
      </c>
      <c r="AM699" s="1046" cm="1">
        <f t="array" aca="1" ref="AM699" ca="1">INDEX(OFFSET($AK$19,MATCH($B699,$B$19:$B$150,0)-1,0,COUNTA($B$19:$B$24),COUNTA($AK$17:$BB$17)),MATCH($F699,$F$19:$F$24,0),MATCH(AM$17,$AK$17:$BB$17,0))*INDEX($10:$13,MATCH($O699,$R$10:$R$13,0),COLUMN())</f>
        <v>0</v>
      </c>
      <c r="AN699" s="1046" cm="1">
        <f t="array" aca="1" ref="AN699" ca="1">INDEX(OFFSET($AK$19,MATCH($B699,$B$19:$B$150,0)-1,0,COUNTA($B$19:$B$24),COUNTA($AK$17:$BB$17)),MATCH($F699,$F$19:$F$24,0),MATCH(AN$17,$AK$17:$BB$17,0))*INDEX($10:$13,MATCH($O699,$R$10:$R$13,0),COLUMN())</f>
        <v>1.4510273424E-3</v>
      </c>
      <c r="AO699" s="1046" cm="1">
        <f t="array" aca="1" ref="AO699" ca="1">INDEX(OFFSET($AK$19,MATCH($B699,$B$19:$B$150,0)-1,0,COUNTA($B$19:$B$24),COUNTA($AK$17:$BB$17)),MATCH($F699,$F$19:$F$24,0),MATCH(AO$17,$AK$17:$BB$17,0))*INDEX($10:$13,MATCH($O699,$R$10:$R$13,0),COLUMN())</f>
        <v>3.2614915315068493E-2</v>
      </c>
      <c r="AP699" s="1046" cm="1">
        <f t="array" aca="1" ref="AP699" ca="1">INDEX(OFFSET($AK$19,MATCH($B699,$B$19:$B$150,0)-1,0,COUNTA($B$19:$B$24),COUNTA($AK$17:$BB$17)),MATCH($F699,$F$19:$F$24,0),MATCH(AP$17,$AK$17:$BB$17,0))*INDEX($10:$13,MATCH($O699,$R$10:$R$13,0),COLUMN())</f>
        <v>2.3058695184E-2</v>
      </c>
      <c r="AQ699" s="1046" cm="1">
        <f t="array" aca="1" ref="AQ699" ca="1">INDEX(OFFSET($AK$19,MATCH($B699,$B$19:$B$150,0)-1,0,COUNTA($B$19:$B$24),COUNTA($AK$17:$BB$17)),MATCH($F699,$F$19:$F$24,0),MATCH(AQ$17,$AK$17:$BB$17,0))*INDEX($10:$13,MATCH($O699,$R$10:$R$13,0),COLUMN())</f>
        <v>4.3691196160000001E-2</v>
      </c>
      <c r="AR699" s="1046" cm="1">
        <f t="array" aca="1" ref="AR699" ca="1">INDEX(OFFSET($AK$19,MATCH($B699,$B$19:$B$150,0)-1,0,COUNTA($B$19:$B$24),COUNTA($AK$17:$BB$17)),MATCH($F699,$F$19:$F$24,0),MATCH(AR$17,$AK$17:$BB$17,0))*INDEX($10:$13,MATCH($O699,$R$10:$R$13,0),COLUMN())</f>
        <v>0.48766008195999999</v>
      </c>
      <c r="AS699" s="1046" cm="1">
        <f t="array" aca="1" ref="AS699" ca="1">INDEX(OFFSET($AK$19,MATCH($B699,$B$19:$B$150,0)-1,0,COUNTA($B$19:$B$24),COUNTA($AK$17:$BB$17)),MATCH($F699,$F$19:$F$24,0),MATCH(AS$17,$AK$17:$BB$17,0))*INDEX($10:$13,MATCH($O699,$R$10:$R$13,0),COLUMN())</f>
        <v>0.12153940198999999</v>
      </c>
      <c r="AT699" s="1046" cm="1">
        <f t="array" aca="1" ref="AT699" ca="1">INDEX(OFFSET($AK$19,MATCH($B699,$B$19:$B$150,0)-1,0,COUNTA($B$19:$B$24),COUNTA($AK$17:$BB$17)),MATCH($F699,$F$19:$F$24,0),MATCH(AT$17,$AK$17:$BB$17,0))*INDEX($10:$13,MATCH($O699,$R$10:$R$13,0),COLUMN())</f>
        <v>1.3533794176E-4</v>
      </c>
      <c r="AU699" s="1046" cm="1">
        <f t="array" aca="1" ref="AU699" ca="1">INDEX(OFFSET($AK$19,MATCH($B699,$B$19:$B$150,0)-1,0,COUNTA($B$19:$B$24),COUNTA($AK$17:$BB$17)),MATCH($F699,$F$19:$F$24,0),MATCH(AU$17,$AK$17:$BB$17,0))*INDEX($10:$13,MATCH($O699,$R$10:$R$13,0),COLUMN())</f>
        <v>7.5006697079999998E-6</v>
      </c>
      <c r="AV699" s="1046" cm="1">
        <f t="array" aca="1" ref="AV699" ca="1">INDEX(OFFSET($AK$19,MATCH($B699,$B$19:$B$150,0)-1,0,COUNTA($B$19:$B$24),COUNTA($AK$17:$BB$17)),MATCH($F699,$F$19:$F$24,0),MATCH(AV$17,$AK$17:$BB$17,0))*INDEX($10:$13,MATCH($O699,$R$10:$R$13,0),COLUMN())</f>
        <v>2.2092573831030506E-3</v>
      </c>
      <c r="AW699" s="1046" cm="1">
        <f t="array" aca="1" ref="AW699" ca="1">INDEX(OFFSET($AK$19,MATCH($B699,$B$19:$B$150,0)-1,0,COUNTA($B$19:$B$24),COUNTA($AK$17:$BB$17)),MATCH($F699,$F$19:$F$24,0),MATCH(AW$17,$AK$17:$BB$17,0))*INDEX($10:$13,MATCH($O699,$R$10:$R$13,0),COLUMN())</f>
        <v>0.37122777770000004</v>
      </c>
      <c r="AX699" s="1046" cm="1">
        <f t="array" aca="1" ref="AX699" ca="1">INDEX(OFFSET($AK$19,MATCH($B699,$B$19:$B$150,0)-1,0,COUNTA($B$19:$B$24),COUNTA($AK$17:$BB$17)),MATCH($F699,$F$19:$F$24,0),MATCH(AX$17,$AK$17:$BB$17,0))*INDEX($10:$13,MATCH($O699,$R$10:$R$13,0),COLUMN())</f>
        <v>5.4717539520000007E-7</v>
      </c>
      <c r="AY699" s="1046" cm="1">
        <f t="array" aca="1" ref="AY699" ca="1">INDEX(OFFSET($AK$19,MATCH($B699,$B$19:$B$150,0)-1,0,COUNTA($B$19:$B$24),COUNTA($AK$17:$BB$17)),MATCH($F699,$F$19:$F$24,0),MATCH(AY$17,$AK$17:$BB$17,0))*INDEX($10:$13,MATCH($O699,$R$10:$R$13,0),COLUMN())</f>
        <v>-3.59990907E-10</v>
      </c>
      <c r="AZ699" s="1046" cm="1">
        <f t="array" aca="1" ref="AZ699" ca="1">INDEX(OFFSET($AK$19,MATCH($B699,$B$19:$B$150,0)-1,0,COUNTA($B$19:$B$24),COUNTA($AK$17:$BB$17)),MATCH($F699,$F$19:$F$24,0),MATCH(AZ$17,$AK$17:$BB$17,0))*INDEX($10:$13,MATCH($O699,$R$10:$R$13,0),COLUMN())</f>
        <v>3.5382707576112408E-6</v>
      </c>
      <c r="BA699" s="1046" cm="1">
        <f t="array" aca="1" ref="BA699" ca="1">INDEX(OFFSET($AK$19,MATCH($B699,$B$19:$B$150,0)-1,0,COUNTA($B$19:$B$24),COUNTA($AK$17:$BB$17)),MATCH($F699,$F$19:$F$24,0),MATCH(BA$17,$AK$17:$BB$17,0))*INDEX($10:$13,MATCH($O699,$R$10:$R$13,0),COLUMN())</f>
        <v>1.8894247368000001E-2</v>
      </c>
      <c r="BB699" s="1047" cm="1">
        <f t="array" aca="1" ref="BB699" ca="1">INDEX(OFFSET($AK$19,MATCH($B699,$B$19:$B$150,0)-1,0,COUNTA($B$19:$B$24),COUNTA($AK$17:$BB$17)),MATCH($F699,$F$19:$F$24,0),MATCH(BB$17,$AK$17:$BB$17,0))*INDEX($10:$13,MATCH($O699,$R$10:$R$13,0),COLUMN())</f>
        <v>1.978908158E-4</v>
      </c>
      <c r="BC699" s="1049">
        <f t="shared" ca="1" si="196"/>
        <v>0.37122832451540433</v>
      </c>
      <c r="BE699" s="1"/>
      <c r="BF699" s="1"/>
      <c r="BG699" s="1"/>
      <c r="BH699" s="1"/>
      <c r="BI699" s="1"/>
      <c r="BJ699" s="1"/>
      <c r="BK699" s="1"/>
      <c r="BL699" s="1"/>
      <c r="BM699" s="1"/>
      <c r="BN699" s="1"/>
      <c r="BO699" s="1"/>
      <c r="BP699" s="1"/>
      <c r="BQ699" s="1"/>
      <c r="BR699" s="1"/>
      <c r="BS699" s="1"/>
      <c r="BT699" s="1"/>
      <c r="BU699" s="1"/>
      <c r="BV699" s="1"/>
      <c r="BW699" s="1"/>
      <c r="BX699" s="1"/>
      <c r="BY699" s="1"/>
      <c r="BZ699" s="1"/>
    </row>
    <row r="700" spans="2:78" ht="12" customHeight="1" outlineLevel="1" x14ac:dyDescent="0.25">
      <c r="B700" s="104" t="s">
        <v>99</v>
      </c>
      <c r="C700" s="104" t="s">
        <v>121</v>
      </c>
      <c r="D700" s="2" t="s">
        <v>132</v>
      </c>
      <c r="E700" s="2" t="s">
        <v>99</v>
      </c>
      <c r="F700" s="105" t="s">
        <v>122</v>
      </c>
      <c r="G700" s="27" t="s">
        <v>1579</v>
      </c>
      <c r="H700" s="106" t="s">
        <v>128</v>
      </c>
      <c r="I700" s="107" t="s">
        <v>129</v>
      </c>
      <c r="J700" s="147">
        <v>3.72132342</v>
      </c>
      <c r="K700" s="148">
        <v>0.37839999999999996</v>
      </c>
      <c r="L700" s="149">
        <f t="shared" ca="1" si="193"/>
        <v>2.2353026359502182</v>
      </c>
      <c r="M700" s="148">
        <f t="shared" ca="1" si="194"/>
        <v>1.2242385174435624</v>
      </c>
      <c r="N700" s="148">
        <f t="shared" ca="1" si="195"/>
        <v>0.84583851744356253</v>
      </c>
      <c r="O700" s="1062" t="s">
        <v>1586</v>
      </c>
      <c r="P700" s="104"/>
      <c r="R700" s="119"/>
      <c r="S700" s="1072"/>
      <c r="T700" s="1072"/>
      <c r="U700" s="1072"/>
      <c r="V700" s="1072"/>
      <c r="W700" s="1072"/>
      <c r="X700" s="1072"/>
      <c r="Y700" s="1072"/>
      <c r="Z700" s="1072"/>
      <c r="AA700" s="1072"/>
      <c r="AB700" s="1072"/>
      <c r="AC700" s="1072"/>
      <c r="AD700" s="1072"/>
      <c r="AE700" s="1072"/>
      <c r="AF700" s="1072"/>
      <c r="AG700" s="1072"/>
      <c r="AH700" s="1072"/>
      <c r="AI700" s="1072"/>
      <c r="AJ700" s="1073"/>
      <c r="AK700" s="1052" cm="1">
        <f t="array" aca="1" ref="AK700" ca="1">INDEX(OFFSET($AK$19,MATCH($B700,$B$19:$B$150,0)-1,0,COUNTA($B$19:$B$24),COUNTA($AK$17:$BB$17)),MATCH($F700,$F$19:$F$24,0),MATCH(AK$17,$AK$17:$BB$17,0))*INDEX($10:$13,MATCH($O700,$R$10:$R$13,0),COLUMN())</f>
        <v>3.2676617999999998E-2</v>
      </c>
      <c r="AL700" s="1050" cm="1">
        <f t="array" aca="1" ref="AL700" ca="1">INDEX(OFFSET($AK$19,MATCH($B700,$B$19:$B$150,0)-1,0,COUNTA($B$19:$B$24),COUNTA($AK$17:$BB$17)),MATCH($F700,$F$19:$F$24,0),MATCH(AL$17,$AK$17:$BB$17,0))*INDEX($10:$13,MATCH($O700,$R$10:$R$13,0),COLUMN())</f>
        <v>4.8296342220000001E-8</v>
      </c>
      <c r="AM700" s="1050" cm="1">
        <f t="array" aca="1" ref="AM700" ca="1">INDEX(OFFSET($AK$19,MATCH($B700,$B$19:$B$150,0)-1,0,COUNTA($B$19:$B$24),COUNTA($AK$17:$BB$17)),MATCH($F700,$F$19:$F$24,0),MATCH(AM$17,$AK$17:$BB$17,0))*INDEX($10:$13,MATCH($O700,$R$10:$R$13,0),COLUMN())</f>
        <v>0</v>
      </c>
      <c r="AN700" s="1050" cm="1">
        <f t="array" aca="1" ref="AN700" ca="1">INDEX(OFFSET($AK$19,MATCH($B700,$B$19:$B$150,0)-1,0,COUNTA($B$19:$B$24),COUNTA($AK$17:$BB$17)),MATCH($F700,$F$19:$F$24,0),MATCH(AN$17,$AK$17:$BB$17,0))*INDEX($10:$13,MATCH($O700,$R$10:$R$13,0),COLUMN())</f>
        <v>1.8988623258000001E-3</v>
      </c>
      <c r="AO700" s="1050" cm="1">
        <f t="array" aca="1" ref="AO700" ca="1">INDEX(OFFSET($AK$19,MATCH($B700,$B$19:$B$150,0)-1,0,COUNTA($B$19:$B$24),COUNTA($AK$17:$BB$17)),MATCH($F700,$F$19:$F$24,0),MATCH(AO$17,$AK$17:$BB$17,0))*INDEX($10:$13,MATCH($O700,$R$10:$R$13,0),COLUMN())</f>
        <v>1.1990269545205479E-2</v>
      </c>
      <c r="AP700" s="1050" cm="1">
        <f t="array" aca="1" ref="AP700" ca="1">INDEX(OFFSET($AK$19,MATCH($B700,$B$19:$B$150,0)-1,0,COUNTA($B$19:$B$24),COUNTA($AK$17:$BB$17)),MATCH($F700,$F$19:$F$24,0),MATCH(AP$17,$AK$17:$BB$17,0))*INDEX($10:$13,MATCH($O700,$R$10:$R$13,0),COLUMN())</f>
        <v>5.3407435199999999E-3</v>
      </c>
      <c r="AQ700" s="1050" cm="1">
        <f t="array" aca="1" ref="AQ700" ca="1">INDEX(OFFSET($AK$19,MATCH($B700,$B$19:$B$150,0)-1,0,COUNTA($B$19:$B$24),COUNTA($AK$17:$BB$17)),MATCH($F700,$F$19:$F$24,0),MATCH(AQ$17,$AK$17:$BB$17,0))*INDEX($10:$13,MATCH($O700,$R$10:$R$13,0),COLUMN())</f>
        <v>8.4863533440000007E-3</v>
      </c>
      <c r="AR700" s="1050" cm="1">
        <f t="array" aca="1" ref="AR700" ca="1">INDEX(OFFSET($AK$19,MATCH($B700,$B$19:$B$150,0)-1,0,COUNTA($B$19:$B$24),COUNTA($AK$17:$BB$17)),MATCH($F700,$F$19:$F$24,0),MATCH(AR$17,$AK$17:$BB$17,0))*INDEX($10:$13,MATCH($O700,$R$10:$R$13,0),COLUMN())</f>
        <v>0.23977264386</v>
      </c>
      <c r="AS700" s="1050" cm="1">
        <f t="array" aca="1" ref="AS700" ca="1">INDEX(OFFSET($AK$19,MATCH($B700,$B$19:$B$150,0)-1,0,COUNTA($B$19:$B$24),COUNTA($AK$17:$BB$17)),MATCH($F700,$F$19:$F$24,0),MATCH(AS$17,$AK$17:$BB$17,0))*INDEX($10:$13,MATCH($O700,$R$10:$R$13,0),COLUMN())</f>
        <v>1.0279046456999999E-4</v>
      </c>
      <c r="AT700" s="1050" cm="1">
        <f t="array" aca="1" ref="AT700" ca="1">INDEX(OFFSET($AK$19,MATCH($B700,$B$19:$B$150,0)-1,0,COUNTA($B$19:$B$24),COUNTA($AK$17:$BB$17)),MATCH($F700,$F$19:$F$24,0),MATCH(AT$17,$AK$17:$BB$17,0))*INDEX($10:$13,MATCH($O700,$R$10:$R$13,0),COLUMN())</f>
        <v>3.706433618E-6</v>
      </c>
      <c r="AU700" s="1050" cm="1">
        <f t="array" aca="1" ref="AU700" ca="1">INDEX(OFFSET($AK$19,MATCH($B700,$B$19:$B$150,0)-1,0,COUNTA($B$19:$B$24),COUNTA($AK$17:$BB$17)),MATCH($F700,$F$19:$F$24,0),MATCH(AU$17,$AK$17:$BB$17,0))*INDEX($10:$13,MATCH($O700,$R$10:$R$13,0),COLUMN())</f>
        <v>7.8570820499999985E-7</v>
      </c>
      <c r="AV700" s="1050" cm="1">
        <f t="array" aca="1" ref="AV700" ca="1">INDEX(OFFSET($AK$19,MATCH($B700,$B$19:$B$150,0)-1,0,COUNTA($B$19:$B$24),COUNTA($AK$17:$BB$17)),MATCH($F700,$F$19:$F$24,0),MATCH(AV$17,$AK$17:$BB$17,0))*INDEX($10:$13,MATCH($O700,$R$10:$R$13,0),COLUMN())</f>
        <v>2.7453385865520221E-4</v>
      </c>
      <c r="AW700" s="1050" cm="1">
        <f t="array" aca="1" ref="AW700" ca="1">INDEX(OFFSET($AK$19,MATCH($B700,$B$19:$B$150,0)-1,0,COUNTA($B$19:$B$24),COUNTA($AK$17:$BB$17)),MATCH($F700,$F$19:$F$24,0),MATCH(AW$17,$AK$17:$BB$17,0))*INDEX($10:$13,MATCH($O700,$R$10:$R$13,0),COLUMN())</f>
        <v>0.53126650360000005</v>
      </c>
      <c r="AX700" s="1050" cm="1">
        <f t="array" aca="1" ref="AX700" ca="1">INDEX(OFFSET($AK$19,MATCH($B700,$B$19:$B$150,0)-1,0,COUNTA($B$19:$B$24),COUNTA($AK$17:$BB$17)),MATCH($F700,$F$19:$F$24,0),MATCH(AX$17,$AK$17:$BB$17,0))*INDEX($10:$13,MATCH($O700,$R$10:$R$13,0),COLUMN())</f>
        <v>1.5661626024E-7</v>
      </c>
      <c r="AY700" s="1050" cm="1">
        <f t="array" aca="1" ref="AY700" ca="1">INDEX(OFFSET($AK$19,MATCH($B700,$B$19:$B$150,0)-1,0,COUNTA($B$19:$B$24),COUNTA($AK$17:$BB$17)),MATCH($F700,$F$19:$F$24,0),MATCH(AY$17,$AK$17:$BB$17,0))*INDEX($10:$13,MATCH($O700,$R$10:$R$13,0),COLUMN())</f>
        <v>-1.0043162469000001E-10</v>
      </c>
      <c r="AZ700" s="1050" cm="1">
        <f t="array" aca="1" ref="AZ700" ca="1">INDEX(OFFSET($AK$19,MATCH($B700,$B$19:$B$150,0)-1,0,COUNTA($B$19:$B$24),COUNTA($AK$17:$BB$17)),MATCH($F700,$F$19:$F$24,0),MATCH(AZ$17,$AK$17:$BB$17,0))*INDEX($10:$13,MATCH($O700,$R$10:$R$13,0),COLUMN())</f>
        <v>4.9626452379391099E-6</v>
      </c>
      <c r="BA700" s="1050" cm="1">
        <f t="array" aca="1" ref="BA700" ca="1">INDEX(OFFSET($AK$19,MATCH($B700,$B$19:$B$150,0)-1,0,COUNTA($B$19:$B$24),COUNTA($AK$17:$BB$17)),MATCH($F700,$F$19:$F$24,0),MATCH(BA$17,$AK$17:$BB$17,0))*INDEX($10:$13,MATCH($O700,$R$10:$R$13,0),COLUMN())</f>
        <v>1.3829654222E-2</v>
      </c>
      <c r="BB700" s="1051" cm="1">
        <f t="array" aca="1" ref="BB700" ca="1">INDEX(OFFSET($AK$19,MATCH($B700,$B$19:$B$150,0)-1,0,COUNTA($B$19:$B$24),COUNTA($AK$17:$BB$17)),MATCH($F700,$F$19:$F$24,0),MATCH(BB$17,$AK$17:$BB$17,0))*INDEX($10:$13,MATCH($O700,$R$10:$R$13,0),COLUMN())</f>
        <v>1.8988510410000001E-4</v>
      </c>
      <c r="BC700" s="1053">
        <f t="shared" ca="1" si="196"/>
        <v>0.53126666011582868</v>
      </c>
      <c r="BE700" s="1"/>
      <c r="BF700" s="1"/>
      <c r="BG700" s="1"/>
      <c r="BH700" s="1"/>
      <c r="BI700" s="1"/>
      <c r="BJ700" s="1"/>
      <c r="BK700" s="1"/>
      <c r="BL700" s="1"/>
      <c r="BM700" s="1"/>
      <c r="BN700" s="1"/>
      <c r="BO700" s="1"/>
      <c r="BP700" s="1"/>
      <c r="BQ700" s="1"/>
      <c r="BR700" s="1"/>
      <c r="BS700" s="1"/>
      <c r="BT700" s="1"/>
      <c r="BU700" s="1"/>
      <c r="BV700" s="1"/>
      <c r="BW700" s="1"/>
      <c r="BX700" s="1"/>
      <c r="BY700" s="1"/>
      <c r="BZ700" s="1"/>
    </row>
    <row r="701" spans="2:78" ht="12" customHeight="1" outlineLevel="1" x14ac:dyDescent="0.25">
      <c r="B701" s="104" t="s">
        <v>99</v>
      </c>
      <c r="C701" s="104" t="s">
        <v>121</v>
      </c>
      <c r="D701" s="2" t="s">
        <v>132</v>
      </c>
      <c r="E701" s="2" t="s">
        <v>99</v>
      </c>
      <c r="F701" s="105" t="s">
        <v>93</v>
      </c>
      <c r="G701" s="27" t="s">
        <v>1578</v>
      </c>
      <c r="H701" s="106" t="s">
        <v>130</v>
      </c>
      <c r="I701" s="107" t="s">
        <v>129</v>
      </c>
      <c r="J701" s="147">
        <v>3.72132342</v>
      </c>
      <c r="K701" s="148">
        <v>0.37839999999999996</v>
      </c>
      <c r="L701" s="149">
        <f t="shared" ca="1" si="193"/>
        <v>2.8561232704481911</v>
      </c>
      <c r="M701" s="148">
        <f t="shared" ca="1" si="194"/>
        <v>1.4591570455375953</v>
      </c>
      <c r="N701" s="148">
        <f t="shared" ca="1" si="195"/>
        <v>1.0807570455375954</v>
      </c>
      <c r="O701" s="1062" t="s">
        <v>1586</v>
      </c>
      <c r="P701" s="104"/>
      <c r="R701" s="119"/>
      <c r="S701" s="1072"/>
      <c r="T701" s="1072"/>
      <c r="U701" s="1072"/>
      <c r="V701" s="1072"/>
      <c r="W701" s="1072"/>
      <c r="X701" s="1072"/>
      <c r="Y701" s="1072"/>
      <c r="Z701" s="1072"/>
      <c r="AA701" s="1072"/>
      <c r="AB701" s="1072"/>
      <c r="AC701" s="1072"/>
      <c r="AD701" s="1072"/>
      <c r="AE701" s="1072"/>
      <c r="AF701" s="1072"/>
      <c r="AG701" s="1072"/>
      <c r="AH701" s="1072"/>
      <c r="AI701" s="1072"/>
      <c r="AJ701" s="1073"/>
      <c r="AK701" s="1052" cm="1">
        <f t="array" aca="1" ref="AK701" ca="1">INDEX(OFFSET($AK$19,MATCH($B701,$B$19:$B$150,0)-1,0,COUNTA($B$19:$B$24),COUNTA($AK$17:$BB$17)),MATCH($F701,$F$19:$F$24,0),MATCH(AK$17,$AK$17:$BB$17,0))*INDEX($10:$13,MATCH($O701,$R$10:$R$13,0),COLUMN())</f>
        <v>4.1747687679999999E-2</v>
      </c>
      <c r="AL701" s="1050" cm="1">
        <f t="array" aca="1" ref="AL701" ca="1">INDEX(OFFSET($AK$19,MATCH($B701,$B$19:$B$150,0)-1,0,COUNTA($B$19:$B$24),COUNTA($AK$17:$BB$17)),MATCH($F701,$F$19:$F$24,0),MATCH(AL$17,$AK$17:$BB$17,0))*INDEX($10:$13,MATCH($O701,$R$10:$R$13,0),COLUMN())</f>
        <v>6.1703467079999992E-8</v>
      </c>
      <c r="AM701" s="1050" cm="1">
        <f t="array" aca="1" ref="AM701" ca="1">INDEX(OFFSET($AK$19,MATCH($B701,$B$19:$B$150,0)-1,0,COUNTA($B$19:$B$24),COUNTA($AK$17:$BB$17)),MATCH($F701,$F$19:$F$24,0),MATCH(AM$17,$AK$17:$BB$17,0))*INDEX($10:$13,MATCH($O701,$R$10:$R$13,0),COLUMN())</f>
        <v>0</v>
      </c>
      <c r="AN701" s="1050" cm="1">
        <f t="array" aca="1" ref="AN701" ca="1">INDEX(OFFSET($AK$19,MATCH($B701,$B$19:$B$150,0)-1,0,COUNTA($B$19:$B$24),COUNTA($AK$17:$BB$17)),MATCH($F701,$F$19:$F$24,0),MATCH(AN$17,$AK$17:$BB$17,0))*INDEX($10:$13,MATCH($O701,$R$10:$R$13,0),COLUMN())</f>
        <v>2.4259886940000003E-3</v>
      </c>
      <c r="AO701" s="1050" cm="1">
        <f t="array" aca="1" ref="AO701" ca="1">INDEX(OFFSET($AK$19,MATCH($B701,$B$19:$B$150,0)-1,0,COUNTA($B$19:$B$24),COUNTA($AK$17:$BB$17)),MATCH($F701,$F$19:$F$24,0),MATCH(AO$17,$AK$17:$BB$17,0))*INDEX($10:$13,MATCH($O701,$R$10:$R$13,0),COLUMN())</f>
        <v>1.53187830369863E-2</v>
      </c>
      <c r="AP701" s="1050" cm="1">
        <f t="array" aca="1" ref="AP701" ca="1">INDEX(OFFSET($AK$19,MATCH($B701,$B$19:$B$150,0)-1,0,COUNTA($B$19:$B$24),COUNTA($AK$17:$BB$17)),MATCH($F701,$F$19:$F$24,0),MATCH(AP$17,$AK$17:$BB$17,0))*INDEX($10:$13,MATCH($O701,$R$10:$R$13,0),COLUMN())</f>
        <v>6.8233404959999995E-3</v>
      </c>
      <c r="AQ701" s="1050" cm="1">
        <f t="array" aca="1" ref="AQ701" ca="1">INDEX(OFFSET($AK$19,MATCH($B701,$B$19:$B$150,0)-1,0,COUNTA($B$19:$B$24),COUNTA($AK$17:$BB$17)),MATCH($F701,$F$19:$F$24,0),MATCH(AQ$17,$AK$17:$BB$17,0))*INDEX($10:$13,MATCH($O701,$R$10:$R$13,0),COLUMN())</f>
        <v>1.0842175503999999E-2</v>
      </c>
      <c r="AR701" s="1050" cm="1">
        <f t="array" aca="1" ref="AR701" ca="1">INDEX(OFFSET($AK$19,MATCH($B701,$B$19:$B$150,0)-1,0,COUNTA($B$19:$B$24),COUNTA($AK$17:$BB$17)),MATCH($F701,$F$19:$F$24,0),MATCH(AR$17,$AK$17:$BB$17,0))*INDEX($10:$13,MATCH($O701,$R$10:$R$13,0),COLUMN())</f>
        <v>0.30633381857999997</v>
      </c>
      <c r="AS701" s="1050" cm="1">
        <f t="array" aca="1" ref="AS701" ca="1">INDEX(OFFSET($AK$19,MATCH($B701,$B$19:$B$150,0)-1,0,COUNTA($B$19:$B$24),COUNTA($AK$17:$BB$17)),MATCH($F701,$F$19:$F$24,0),MATCH(AS$17,$AK$17:$BB$17,0))*INDEX($10:$13,MATCH($O701,$R$10:$R$13,0),COLUMN())</f>
        <v>1.8643095670999997E-4</v>
      </c>
      <c r="AT701" s="1050" cm="1">
        <f t="array" aca="1" ref="AT701" ca="1">INDEX(OFFSET($AK$19,MATCH($B701,$B$19:$B$150,0)-1,0,COUNTA($B$19:$B$24),COUNTA($AK$17:$BB$17)),MATCH($F701,$F$19:$F$24,0),MATCH(AT$17,$AK$17:$BB$17,0))*INDEX($10:$13,MATCH($O701,$R$10:$R$13,0),COLUMN())</f>
        <v>4.7536029140000007E-6</v>
      </c>
      <c r="AU701" s="1050" cm="1">
        <f t="array" aca="1" ref="AU701" ca="1">INDEX(OFFSET($AK$19,MATCH($B701,$B$19:$B$150,0)-1,0,COUNTA($B$19:$B$24),COUNTA($AK$17:$BB$17)),MATCH($F701,$F$19:$F$24,0),MATCH(AU$17,$AK$17:$BB$17,0))*INDEX($10:$13,MATCH($O701,$R$10:$R$13,0),COLUMN())</f>
        <v>1.0057952471999999E-6</v>
      </c>
      <c r="AV701" s="1050" cm="1">
        <f t="array" aca="1" ref="AV701" ca="1">INDEX(OFFSET($AK$19,MATCH($B701,$B$19:$B$150,0)-1,0,COUNTA($B$19:$B$24),COUNTA($AK$17:$BB$17)),MATCH($F701,$F$19:$F$24,0),MATCH(AV$17,$AK$17:$BB$17,0))*INDEX($10:$13,MATCH($O701,$R$10:$R$13,0),COLUMN())</f>
        <v>4.0834318377315948E-4</v>
      </c>
      <c r="AW701" s="1050" cm="1">
        <f t="array" aca="1" ref="AW701" ca="1">INDEX(OFFSET($AK$19,MATCH($B701,$B$19:$B$150,0)-1,0,COUNTA($B$19:$B$24),COUNTA($AK$17:$BB$17)),MATCH($F701,$F$19:$F$24,0),MATCH(AW$17,$AK$17:$BB$17,0))*INDEX($10:$13,MATCH($O701,$R$10:$R$13,0),COLUMN())</f>
        <v>0.67874673550000009</v>
      </c>
      <c r="AX701" s="1050" cm="1">
        <f t="array" aca="1" ref="AX701" ca="1">INDEX(OFFSET($AK$19,MATCH($B701,$B$19:$B$150,0)-1,0,COUNTA($B$19:$B$24),COUNTA($AK$17:$BB$17)),MATCH($F701,$F$19:$F$24,0),MATCH(AX$17,$AK$17:$BB$17,0))*INDEX($10:$13,MATCH($O701,$R$10:$R$13,0),COLUMN())</f>
        <v>2.0009312308000003E-7</v>
      </c>
      <c r="AY701" s="1050" cm="1">
        <f t="array" aca="1" ref="AY701" ca="1">INDEX(OFFSET($AK$19,MATCH($B701,$B$19:$B$150,0)-1,0,COUNTA($B$19:$B$24),COUNTA($AK$17:$BB$17)),MATCH($F701,$F$19:$F$24,0),MATCH(AY$17,$AK$17:$BB$17,0))*INDEX($10:$13,MATCH($O701,$R$10:$R$13,0),COLUMN())</f>
        <v>-1.2831156637000001E-10</v>
      </c>
      <c r="AZ701" s="1050" cm="1">
        <f t="array" aca="1" ref="AZ701" ca="1">INDEX(OFFSET($AK$19,MATCH($B701,$B$19:$B$150,0)-1,0,COUNTA($B$19:$B$24),COUNTA($AK$17:$BB$17)),MATCH($F701,$F$19:$F$24,0),MATCH(AZ$17,$AK$17:$BB$17,0))*INDEX($10:$13,MATCH($O701,$R$10:$R$13,0),COLUMN())</f>
        <v>6.3402816861826685E-6</v>
      </c>
      <c r="BA701" s="1050" cm="1">
        <f t="array" aca="1" ref="BA701" ca="1">INDEX(OFFSET($AK$19,MATCH($B701,$B$19:$B$150,0)-1,0,COUNTA($B$19:$B$24),COUNTA($AK$17:$BB$17)),MATCH($F701,$F$19:$F$24,0),MATCH(BA$17,$AK$17:$BB$17,0))*INDEX($10:$13,MATCH($O701,$R$10:$R$13,0),COLUMN())</f>
        <v>1.7668783125999999E-2</v>
      </c>
      <c r="BB701" s="1051" cm="1">
        <f t="array" aca="1" ref="BB701" ca="1">INDEX(OFFSET($AK$19,MATCH($B701,$B$19:$B$150,0)-1,0,COUNTA($B$19:$B$24),COUNTA($AK$17:$BB$17)),MATCH($F701,$F$19:$F$24,0),MATCH(BB$17,$AK$17:$BB$17,0))*INDEX($10:$13,MATCH($O701,$R$10:$R$13,0),COLUMN())</f>
        <v>2.42597432E-4</v>
      </c>
      <c r="BC701" s="1053">
        <f t="shared" ca="1" si="196"/>
        <v>0.67874693546481157</v>
      </c>
      <c r="BE701" s="1"/>
      <c r="BF701" s="1"/>
      <c r="BG701" s="1"/>
      <c r="BH701" s="1"/>
      <c r="BI701" s="1"/>
      <c r="BJ701" s="1"/>
      <c r="BK701" s="1"/>
      <c r="BL701" s="1"/>
      <c r="BM701" s="1"/>
      <c r="BN701" s="1"/>
      <c r="BO701" s="1"/>
      <c r="BP701" s="1"/>
      <c r="BQ701" s="1"/>
      <c r="BR701" s="1"/>
      <c r="BS701" s="1"/>
      <c r="BT701" s="1"/>
      <c r="BU701" s="1"/>
      <c r="BV701" s="1"/>
      <c r="BW701" s="1"/>
      <c r="BX701" s="1"/>
      <c r="BY701" s="1"/>
      <c r="BZ701" s="1"/>
    </row>
    <row r="702" spans="2:78" ht="12" customHeight="1" outlineLevel="1" x14ac:dyDescent="0.25">
      <c r="B702" s="104" t="s">
        <v>99</v>
      </c>
      <c r="C702" s="104" t="s">
        <v>121</v>
      </c>
      <c r="D702" s="2" t="s">
        <v>132</v>
      </c>
      <c r="E702" s="2" t="s">
        <v>99</v>
      </c>
      <c r="F702" s="105" t="s">
        <v>94</v>
      </c>
      <c r="G702" s="27" t="s">
        <v>1580</v>
      </c>
      <c r="H702" s="106" t="s">
        <v>131</v>
      </c>
      <c r="I702" s="107" t="s">
        <v>129</v>
      </c>
      <c r="J702" s="147">
        <v>3.72132342</v>
      </c>
      <c r="K702" s="148">
        <v>0.37839999999999996</v>
      </c>
      <c r="L702" s="149">
        <f t="shared" ca="1" si="193"/>
        <v>1.8357184517484222</v>
      </c>
      <c r="M702" s="148">
        <f t="shared" ca="1" si="194"/>
        <v>1.073035862141603</v>
      </c>
      <c r="N702" s="148">
        <f t="shared" ca="1" si="195"/>
        <v>0.69463586214160289</v>
      </c>
      <c r="O702" s="1062" t="s">
        <v>1586</v>
      </c>
      <c r="P702" s="104"/>
      <c r="R702" s="119"/>
      <c r="S702" s="1072"/>
      <c r="T702" s="1072"/>
      <c r="U702" s="1072"/>
      <c r="V702" s="1072"/>
      <c r="W702" s="1072"/>
      <c r="X702" s="1072"/>
      <c r="Y702" s="1072"/>
      <c r="Z702" s="1072"/>
      <c r="AA702" s="1072"/>
      <c r="AB702" s="1072"/>
      <c r="AC702" s="1072"/>
      <c r="AD702" s="1072"/>
      <c r="AE702" s="1072"/>
      <c r="AF702" s="1072"/>
      <c r="AG702" s="1072"/>
      <c r="AH702" s="1072"/>
      <c r="AI702" s="1072"/>
      <c r="AJ702" s="1073"/>
      <c r="AK702" s="1052" cm="1">
        <f t="array" aca="1" ref="AK702" ca="1">INDEX(OFFSET($AK$19,MATCH($B702,$B$19:$B$150,0)-1,0,COUNTA($B$19:$B$24),COUNTA($AK$17:$BB$17)),MATCH($F702,$F$19:$F$24,0),MATCH(AK$17,$AK$17:$BB$17,0))*INDEX($10:$13,MATCH($O702,$R$10:$R$13,0),COLUMN())</f>
        <v>2.6838124720000002E-2</v>
      </c>
      <c r="AL702" s="1050" cm="1">
        <f t="array" aca="1" ref="AL702" ca="1">INDEX(OFFSET($AK$19,MATCH($B702,$B$19:$B$150,0)-1,0,COUNTA($B$19:$B$24),COUNTA($AK$17:$BB$17)),MATCH($F702,$F$19:$F$24,0),MATCH(AL$17,$AK$17:$BB$17,0))*INDEX($10:$13,MATCH($O702,$R$10:$R$13,0),COLUMN())</f>
        <v>3.966699246E-8</v>
      </c>
      <c r="AM702" s="1050" cm="1">
        <f t="array" aca="1" ref="AM702" ca="1">INDEX(OFFSET($AK$19,MATCH($B702,$B$19:$B$150,0)-1,0,COUNTA($B$19:$B$24),COUNTA($AK$17:$BB$17)),MATCH($F702,$F$19:$F$24,0),MATCH(AM$17,$AK$17:$BB$17,0))*INDEX($10:$13,MATCH($O702,$R$10:$R$13,0),COLUMN())</f>
        <v>0</v>
      </c>
      <c r="AN702" s="1050" cm="1">
        <f t="array" aca="1" ref="AN702" ca="1">INDEX(OFFSET($AK$19,MATCH($B702,$B$19:$B$150,0)-1,0,COUNTA($B$19:$B$24),COUNTA($AK$17:$BB$17)),MATCH($F702,$F$19:$F$24,0),MATCH(AN$17,$AK$17:$BB$17,0))*INDEX($10:$13,MATCH($O702,$R$10:$R$13,0),COLUMN())</f>
        <v>1.5595831002000002E-3</v>
      </c>
      <c r="AO702" s="1050" cm="1">
        <f t="array" aca="1" ref="AO702" ca="1">INDEX(OFFSET($AK$19,MATCH($B702,$B$19:$B$150,0)-1,0,COUNTA($B$19:$B$24),COUNTA($AK$17:$BB$17)),MATCH($F702,$F$19:$F$24,0),MATCH(AO$17,$AK$17:$BB$17,0))*INDEX($10:$13,MATCH($O702,$R$10:$R$13,0),COLUMN())</f>
        <v>9.8479084602739724E-3</v>
      </c>
      <c r="AP702" s="1050" cm="1">
        <f t="array" aca="1" ref="AP702" ca="1">INDEX(OFFSET($AK$19,MATCH($B702,$B$19:$B$150,0)-1,0,COUNTA($B$19:$B$24),COUNTA($AK$17:$BB$17)),MATCH($F702,$F$19:$F$24,0),MATCH(AP$17,$AK$17:$BB$17,0))*INDEX($10:$13,MATCH($O702,$R$10:$R$13,0),COLUMN())</f>
        <v>4.3864863839999995E-3</v>
      </c>
      <c r="AQ702" s="1050" cm="1">
        <f t="array" aca="1" ref="AQ702" ca="1">INDEX(OFFSET($AK$19,MATCH($B702,$B$19:$B$150,0)-1,0,COUNTA($B$19:$B$24),COUNTA($AK$17:$BB$17)),MATCH($F702,$F$19:$F$24,0),MATCH(AQ$17,$AK$17:$BB$17,0))*INDEX($10:$13,MATCH($O702,$R$10:$R$13,0),COLUMN())</f>
        <v>6.9700542400000006E-3</v>
      </c>
      <c r="AR702" s="1050" cm="1">
        <f t="array" aca="1" ref="AR702" ca="1">INDEX(OFFSET($AK$19,MATCH($B702,$B$19:$B$150,0)-1,0,COUNTA($B$19:$B$24),COUNTA($AK$17:$BB$17)),MATCH($F702,$F$19:$F$24,0),MATCH(AR$17,$AK$17:$BB$17,0))*INDEX($10:$13,MATCH($O702,$R$10:$R$13,0),COLUMN())</f>
        <v>0.19693126676</v>
      </c>
      <c r="AS702" s="1050" cm="1">
        <f t="array" aca="1" ref="AS702" ca="1">INDEX(OFFSET($AK$19,MATCH($B702,$B$19:$B$150,0)-1,0,COUNTA($B$19:$B$24),COUNTA($AK$17:$BB$17)),MATCH($F702,$F$19:$F$24,0),MATCH(AS$17,$AK$17:$BB$17,0))*INDEX($10:$13,MATCH($O702,$R$10:$R$13,0),COLUMN())</f>
        <v>4.8998822185000001E-5</v>
      </c>
      <c r="AT702" s="1050" cm="1">
        <f t="array" aca="1" ref="AT702" ca="1">INDEX(OFFSET($AK$19,MATCH($B702,$B$19:$B$150,0)-1,0,COUNTA($B$19:$B$24),COUNTA($AK$17:$BB$17)),MATCH($F702,$F$19:$F$24,0),MATCH(AT$17,$AK$17:$BB$17,0))*INDEX($10:$13,MATCH($O702,$R$10:$R$13,0),COLUMN())</f>
        <v>3.032448742E-6</v>
      </c>
      <c r="AU702" s="1050" cm="1">
        <f t="array" aca="1" ref="AU702" ca="1">INDEX(OFFSET($AK$19,MATCH($B702,$B$19:$B$150,0)-1,0,COUNTA($B$19:$B$24),COUNTA($AK$17:$BB$17)),MATCH($F702,$F$19:$F$24,0),MATCH(AU$17,$AK$17:$BB$17,0))*INDEX($10:$13,MATCH($O702,$R$10:$R$13,0),COLUMN())</f>
        <v>6.4405308779999994E-7</v>
      </c>
      <c r="AV702" s="1050" cm="1">
        <f t="array" aca="1" ref="AV702" ca="1">INDEX(OFFSET($AK$19,MATCH($B702,$B$19:$B$150,0)-1,0,COUNTA($B$19:$B$24),COUNTA($AK$17:$BB$17)),MATCH($F702,$F$19:$F$24,0),MATCH(AV$17,$AK$17:$BB$17,0))*INDEX($10:$13,MATCH($O702,$R$10:$R$13,0),COLUMN())</f>
        <v>1.8845352580903083E-4</v>
      </c>
      <c r="AW702" s="1050" cm="1">
        <f t="array" aca="1" ref="AW702" ca="1">INDEX(OFFSET($AK$19,MATCH($B702,$B$19:$B$150,0)-1,0,COUNTA($B$19:$B$24),COUNTA($AK$17:$BB$17)),MATCH($F702,$F$19:$F$24,0),MATCH(AW$17,$AK$17:$BB$17,0))*INDEX($10:$13,MATCH($O702,$R$10:$R$13,0),COLUMN())</f>
        <v>0.43634246730000004</v>
      </c>
      <c r="AX702" s="1050" cm="1">
        <f t="array" aca="1" ref="AX702" ca="1">INDEX(OFFSET($AK$19,MATCH($B702,$B$19:$B$150,0)-1,0,COUNTA($B$19:$B$24),COUNTA($AK$17:$BB$17)),MATCH($F702,$F$19:$F$24,0),MATCH(AX$17,$AK$17:$BB$17,0))*INDEX($10:$13,MATCH($O702,$R$10:$R$13,0),COLUMN())</f>
        <v>1.2863285203000003E-7</v>
      </c>
      <c r="AY702" s="1050" cm="1">
        <f t="array" aca="1" ref="AY702" ca="1">INDEX(OFFSET($AK$19,MATCH($B702,$B$19:$B$150,0)-1,0,COUNTA($B$19:$B$24),COUNTA($AK$17:$BB$17)),MATCH($F702,$F$19:$F$24,0),MATCH(AY$17,$AK$17:$BB$17,0))*INDEX($10:$13,MATCH($O702,$R$10:$R$13,0),COLUMN())</f>
        <v>-8.2487006469999999E-11</v>
      </c>
      <c r="AZ702" s="1050" cm="1">
        <f t="array" aca="1" ref="AZ702" ca="1">INDEX(OFFSET($AK$19,MATCH($B702,$B$19:$B$150,0)-1,0,COUNTA($B$19:$B$24),COUNTA($AK$17:$BB$17)),MATCH($F702,$F$19:$F$24,0),MATCH(AZ$17,$AK$17:$BB$17,0))*INDEX($10:$13,MATCH($O702,$R$10:$R$13,0),COLUMN())</f>
        <v>4.0759446475409831E-6</v>
      </c>
      <c r="BA702" s="1050" cm="1">
        <f t="array" aca="1" ref="BA702" ca="1">INDEX(OFFSET($AK$19,MATCH($B702,$B$19:$B$150,0)-1,0,COUNTA($B$19:$B$24),COUNTA($AK$17:$BB$17)),MATCH($F702,$F$19:$F$24,0),MATCH(BA$17,$AK$17:$BB$17,0))*INDEX($10:$13,MATCH($O702,$R$10:$R$13,0),COLUMN())</f>
        <v>1.1358640781E-2</v>
      </c>
      <c r="BB702" s="1051" cm="1">
        <f t="array" aca="1" ref="BB702" ca="1">INDEX(OFFSET($AK$19,MATCH($B702,$B$19:$B$150,0)-1,0,COUNTA($B$19:$B$24),COUNTA($AK$17:$BB$17)),MATCH($F702,$F$19:$F$24,0),MATCH(BB$17,$AK$17:$BB$17,0))*INDEX($10:$13,MATCH($O702,$R$10:$R$13,0),COLUMN())</f>
        <v>1.5595738430000002E-4</v>
      </c>
      <c r="BC702" s="1053">
        <f t="shared" ca="1" si="196"/>
        <v>0.43634259585036506</v>
      </c>
      <c r="BE702" s="1"/>
      <c r="BF702" s="1"/>
      <c r="BG702" s="1"/>
      <c r="BH702" s="1"/>
      <c r="BI702" s="1"/>
      <c r="BJ702" s="1"/>
      <c r="BK702" s="1"/>
      <c r="BL702" s="1"/>
      <c r="BM702" s="1"/>
      <c r="BN702" s="1"/>
      <c r="BO702" s="1"/>
      <c r="BP702" s="1"/>
      <c r="BQ702" s="1"/>
      <c r="BR702" s="1"/>
      <c r="BS702" s="1"/>
      <c r="BT702" s="1"/>
      <c r="BU702" s="1"/>
      <c r="BV702" s="1"/>
      <c r="BW702" s="1"/>
      <c r="BX702" s="1"/>
      <c r="BY702" s="1"/>
      <c r="BZ702" s="1"/>
    </row>
    <row r="703" spans="2:78" ht="12" customHeight="1" outlineLevel="1" x14ac:dyDescent="0.25">
      <c r="B703" s="104" t="s">
        <v>99</v>
      </c>
      <c r="C703" s="104" t="s">
        <v>121</v>
      </c>
      <c r="D703" s="2" t="s">
        <v>132</v>
      </c>
      <c r="E703" s="2" t="s">
        <v>99</v>
      </c>
      <c r="F703" s="105" t="s">
        <v>95</v>
      </c>
      <c r="G703" s="27" t="s">
        <v>1581</v>
      </c>
      <c r="H703" s="106" t="s">
        <v>128</v>
      </c>
      <c r="I703" s="107" t="s">
        <v>127</v>
      </c>
      <c r="J703" s="147">
        <v>3.72132342</v>
      </c>
      <c r="K703" s="148">
        <v>0.37839999999999996</v>
      </c>
      <c r="L703" s="149">
        <f t="shared" ca="1" si="193"/>
        <v>2.6740196803534673</v>
      </c>
      <c r="M703" s="148">
        <f t="shared" ca="1" si="194"/>
        <v>1.390249047045752</v>
      </c>
      <c r="N703" s="148">
        <f t="shared" ca="1" si="195"/>
        <v>1.011849047045752</v>
      </c>
      <c r="O703" s="1062" t="s">
        <v>1586</v>
      </c>
      <c r="P703" s="104"/>
      <c r="R703" s="119"/>
      <c r="S703" s="1072"/>
      <c r="T703" s="1072"/>
      <c r="U703" s="1072"/>
      <c r="V703" s="1072"/>
      <c r="W703" s="1072"/>
      <c r="X703" s="1072"/>
      <c r="Y703" s="1072"/>
      <c r="Z703" s="1072"/>
      <c r="AA703" s="1072"/>
      <c r="AB703" s="1072"/>
      <c r="AC703" s="1072"/>
      <c r="AD703" s="1072"/>
      <c r="AE703" s="1072"/>
      <c r="AF703" s="1072"/>
      <c r="AG703" s="1072"/>
      <c r="AH703" s="1072"/>
      <c r="AI703" s="1072"/>
      <c r="AJ703" s="1073"/>
      <c r="AK703" s="1052" cm="1">
        <f t="array" aca="1" ref="AK703" ca="1">INDEX(OFFSET($AK$19,MATCH($B703,$B$19:$B$150,0)-1,0,COUNTA($B$19:$B$24),COUNTA($AK$17:$BB$17)),MATCH($F703,$F$19:$F$24,0),MATCH(AK$17,$AK$17:$BB$17,0))*INDEX($10:$13,MATCH($O703,$R$10:$R$13,0),COLUMN())</f>
        <v>3.7967222719999999E-2</v>
      </c>
      <c r="AL703" s="1050" cm="1">
        <f t="array" aca="1" ref="AL703" ca="1">INDEX(OFFSET($AK$19,MATCH($B703,$B$19:$B$150,0)-1,0,COUNTA($B$19:$B$24),COUNTA($AK$17:$BB$17)),MATCH($F703,$F$19:$F$24,0),MATCH(AL$17,$AK$17:$BB$17,0))*INDEX($10:$13,MATCH($O703,$R$10:$R$13,0),COLUMN())</f>
        <v>4.866624618E-8</v>
      </c>
      <c r="AM703" s="1050" cm="1">
        <f t="array" aca="1" ref="AM703" ca="1">INDEX(OFFSET($AK$19,MATCH($B703,$B$19:$B$150,0)-1,0,COUNTA($B$19:$B$24),COUNTA($AK$17:$BB$17)),MATCH($F703,$F$19:$F$24,0),MATCH(AM$17,$AK$17:$BB$17,0))*INDEX($10:$13,MATCH($O703,$R$10:$R$13,0),COLUMN())</f>
        <v>0</v>
      </c>
      <c r="AN703" s="1050" cm="1">
        <f t="array" aca="1" ref="AN703" ca="1">INDEX(OFFSET($AK$19,MATCH($B703,$B$19:$B$150,0)-1,0,COUNTA($B$19:$B$24),COUNTA($AK$17:$BB$17)),MATCH($F703,$F$19:$F$24,0),MATCH(AN$17,$AK$17:$BB$17,0))*INDEX($10:$13,MATCH($O703,$R$10:$R$13,0),COLUMN())</f>
        <v>2.0319924624000001E-3</v>
      </c>
      <c r="AO703" s="1050" cm="1">
        <f t="array" aca="1" ref="AO703" ca="1">INDEX(OFFSET($AK$19,MATCH($B703,$B$19:$B$150,0)-1,0,COUNTA($B$19:$B$24),COUNTA($AK$17:$BB$17)),MATCH($F703,$F$19:$F$24,0),MATCH(AO$17,$AK$17:$BB$17,0))*INDEX($10:$13,MATCH($O703,$R$10:$R$13,0),COLUMN())</f>
        <v>2.8015633799999998E-2</v>
      </c>
      <c r="AP703" s="1050" cm="1">
        <f t="array" aca="1" ref="AP703" ca="1">INDEX(OFFSET($AK$19,MATCH($B703,$B$19:$B$150,0)-1,0,COUNTA($B$19:$B$24),COUNTA($AK$17:$BB$17)),MATCH($F703,$F$19:$F$24,0),MATCH(AP$17,$AK$17:$BB$17,0))*INDEX($10:$13,MATCH($O703,$R$10:$R$13,0),COLUMN())</f>
        <v>1.8116934863999998E-2</v>
      </c>
      <c r="AQ703" s="1050" cm="1">
        <f t="array" aca="1" ref="AQ703" ca="1">INDEX(OFFSET($AK$19,MATCH($B703,$B$19:$B$150,0)-1,0,COUNTA($B$19:$B$24),COUNTA($AK$17:$BB$17)),MATCH($F703,$F$19:$F$24,0),MATCH(AQ$17,$AK$17:$BB$17,0))*INDEX($10:$13,MATCH($O703,$R$10:$R$13,0),COLUMN())</f>
        <v>3.3581013440000002E-2</v>
      </c>
      <c r="AR703" s="1050" cm="1">
        <f t="array" aca="1" ref="AR703" ca="1">INDEX(OFFSET($AK$19,MATCH($B703,$B$19:$B$150,0)-1,0,COUNTA($B$19:$B$24),COUNTA($AK$17:$BB$17)),MATCH($F703,$F$19:$F$24,0),MATCH(AR$17,$AK$17:$BB$17,0))*INDEX($10:$13,MATCH($O703,$R$10:$R$13,0),COLUMN())</f>
        <v>0.34236576305999999</v>
      </c>
      <c r="AS703" s="1050" cm="1">
        <f t="array" aca="1" ref="AS703" ca="1">INDEX(OFFSET($AK$19,MATCH($B703,$B$19:$B$150,0)-1,0,COUNTA($B$19:$B$24),COUNTA($AK$17:$BB$17)),MATCH($F703,$F$19:$F$24,0),MATCH(AS$17,$AK$17:$BB$17,0))*INDEX($10:$13,MATCH($O703,$R$10:$R$13,0),COLUMN())</f>
        <v>2.0347672215E-3</v>
      </c>
      <c r="AT703" s="1050" cm="1">
        <f t="array" aca="1" ref="AT703" ca="1">INDEX(OFFSET($AK$19,MATCH($B703,$B$19:$B$150,0)-1,0,COUNTA($B$19:$B$24),COUNTA($AK$17:$BB$17)),MATCH($F703,$F$19:$F$24,0),MATCH(AT$17,$AK$17:$BB$17,0))*INDEX($10:$13,MATCH($O703,$R$10:$R$13,0),COLUMN())</f>
        <v>5.1343325020000005E-6</v>
      </c>
      <c r="AU703" s="1050" cm="1">
        <f t="array" aca="1" ref="AU703" ca="1">INDEX(OFFSET($AK$19,MATCH($B703,$B$19:$B$150,0)-1,0,COUNTA($B$19:$B$24),COUNTA($AK$17:$BB$17)),MATCH($F703,$F$19:$F$24,0),MATCH(AU$17,$AK$17:$BB$17,0))*INDEX($10:$13,MATCH($O703,$R$10:$R$13,0),COLUMN())</f>
        <v>1.0041059442E-6</v>
      </c>
      <c r="AV703" s="1050" cm="1">
        <f t="array" aca="1" ref="AV703" ca="1">INDEX(OFFSET($AK$19,MATCH($B703,$B$19:$B$150,0)-1,0,COUNTA($B$19:$B$24),COUNTA($AK$17:$BB$17)),MATCH($F703,$F$19:$F$24,0),MATCH(AV$17,$AK$17:$BB$17,0))*INDEX($10:$13,MATCH($O703,$R$10:$R$13,0),COLUMN())</f>
        <v>1.6397018347654457E-3</v>
      </c>
      <c r="AW703" s="1050" cm="1">
        <f t="array" aca="1" ref="AW703" ca="1">INDEX(OFFSET($AK$19,MATCH($B703,$B$19:$B$150,0)-1,0,COUNTA($B$19:$B$24),COUNTA($AK$17:$BB$17)),MATCH($F703,$F$19:$F$24,0),MATCH(AW$17,$AK$17:$BB$17,0))*INDEX($10:$13,MATCH($O703,$R$10:$R$13,0),COLUMN())</f>
        <v>0.53126650360000005</v>
      </c>
      <c r="AX703" s="1050" cm="1">
        <f t="array" aca="1" ref="AX703" ca="1">INDEX(OFFSET($AK$19,MATCH($B703,$B$19:$B$150,0)-1,0,COUNTA($B$19:$B$24),COUNTA($AK$17:$BB$17)),MATCH($F703,$F$19:$F$24,0),MATCH(AX$17,$AK$17:$BB$17,0))*INDEX($10:$13,MATCH($O703,$R$10:$R$13,0),COLUMN())</f>
        <v>1.5661626024E-7</v>
      </c>
      <c r="AY703" s="1050" cm="1">
        <f t="array" aca="1" ref="AY703" ca="1">INDEX(OFFSET($AK$19,MATCH($B703,$B$19:$B$150,0)-1,0,COUNTA($B$19:$B$24),COUNTA($AK$17:$BB$17)),MATCH($F703,$F$19:$F$24,0),MATCH(AY$17,$AK$17:$BB$17,0))*INDEX($10:$13,MATCH($O703,$R$10:$R$13,0),COLUMN())</f>
        <v>-1.0043162469000001E-10</v>
      </c>
      <c r="AZ703" s="1050" cm="1">
        <f t="array" aca="1" ref="AZ703" ca="1">INDEX(OFFSET($AK$19,MATCH($B703,$B$19:$B$150,0)-1,0,COUNTA($B$19:$B$24),COUNTA($AK$17:$BB$17)),MATCH($F703,$F$19:$F$24,0),MATCH(AZ$17,$AK$17:$BB$17,0))*INDEX($10:$13,MATCH($O703,$R$10:$R$13,0),COLUMN())</f>
        <v>4.969684465339578E-6</v>
      </c>
      <c r="BA703" s="1050" cm="1">
        <f t="array" aca="1" ref="BA703" ca="1">INDEX(OFFSET($AK$19,MATCH($B703,$B$19:$B$150,0)-1,0,COUNTA($B$19:$B$24),COUNTA($AK$17:$BB$17)),MATCH($F703,$F$19:$F$24,0),MATCH(BA$17,$AK$17:$BB$17,0))*INDEX($10:$13,MATCH($O703,$R$10:$R$13,0),COLUMN())</f>
        <v>1.4627662981E-2</v>
      </c>
      <c r="BB703" s="1051" cm="1">
        <f t="array" aca="1" ref="BB703" ca="1">INDEX(OFFSET($AK$19,MATCH($B703,$B$19:$B$150,0)-1,0,COUNTA($B$19:$B$24),COUNTA($AK$17:$BB$17)),MATCH($F703,$F$19:$F$24,0),MATCH(BB$17,$AK$17:$BB$17,0))*INDEX($10:$13,MATCH($O703,$R$10:$R$13,0),COLUMN())</f>
        <v>1.905377571E-4</v>
      </c>
      <c r="BC703" s="1053">
        <f t="shared" ca="1" si="196"/>
        <v>0.53126666011582868</v>
      </c>
      <c r="BE703" s="1"/>
      <c r="BF703" s="1"/>
      <c r="BG703" s="1"/>
      <c r="BH703" s="1"/>
      <c r="BI703" s="1"/>
      <c r="BJ703" s="1"/>
      <c r="BK703" s="1"/>
      <c r="BL703" s="1"/>
      <c r="BM703" s="1"/>
      <c r="BN703" s="1"/>
      <c r="BO703" s="1"/>
      <c r="BP703" s="1"/>
      <c r="BQ703" s="1"/>
      <c r="BR703" s="1"/>
      <c r="BS703" s="1"/>
      <c r="BT703" s="1"/>
      <c r="BU703" s="1"/>
      <c r="BV703" s="1"/>
      <c r="BW703" s="1"/>
      <c r="BX703" s="1"/>
      <c r="BY703" s="1"/>
      <c r="BZ703" s="1"/>
    </row>
    <row r="704" spans="2:78" ht="12" customHeight="1" outlineLevel="1" x14ac:dyDescent="0.25">
      <c r="B704" s="104" t="s">
        <v>99</v>
      </c>
      <c r="C704" s="104" t="s">
        <v>121</v>
      </c>
      <c r="D704" s="2" t="s">
        <v>132</v>
      </c>
      <c r="E704" s="2" t="s">
        <v>99</v>
      </c>
      <c r="F704" s="105" t="s">
        <v>96</v>
      </c>
      <c r="G704" s="27" t="s">
        <v>1582</v>
      </c>
      <c r="H704" s="106" t="s">
        <v>128</v>
      </c>
      <c r="I704" s="107" t="s">
        <v>1577</v>
      </c>
      <c r="J704" s="147">
        <v>3.72132342</v>
      </c>
      <c r="K704" s="148">
        <v>0.37839999999999996</v>
      </c>
      <c r="L704" s="149">
        <f t="shared" ca="1" si="193"/>
        <v>2.9925374203737141</v>
      </c>
      <c r="M704" s="148">
        <f t="shared" ca="1" si="194"/>
        <v>1.5107761598694132</v>
      </c>
      <c r="N704" s="148">
        <f t="shared" ca="1" si="195"/>
        <v>1.1323761598694133</v>
      </c>
      <c r="O704" s="1062" t="s">
        <v>1586</v>
      </c>
      <c r="P704" s="104"/>
      <c r="R704" s="119"/>
      <c r="S704" s="1072"/>
      <c r="T704" s="1072"/>
      <c r="U704" s="1072"/>
      <c r="V704" s="1072"/>
      <c r="W704" s="1072"/>
      <c r="X704" s="1072"/>
      <c r="Y704" s="1072"/>
      <c r="Z704" s="1072"/>
      <c r="AA704" s="1072"/>
      <c r="AB704" s="1072"/>
      <c r="AC704" s="1072"/>
      <c r="AD704" s="1072"/>
      <c r="AE704" s="1072"/>
      <c r="AF704" s="1072"/>
      <c r="AG704" s="1072"/>
      <c r="AH704" s="1072"/>
      <c r="AI704" s="1072"/>
      <c r="AJ704" s="1073"/>
      <c r="AK704" s="1052" cm="1">
        <f t="array" aca="1" ref="AK704" ca="1">INDEX(OFFSET($AK$19,MATCH($B704,$B$19:$B$150,0)-1,0,COUNTA($B$19:$B$24),COUNTA($AK$17:$BB$17)),MATCH($F704,$F$19:$F$24,0),MATCH(AK$17,$AK$17:$BB$17,0))*INDEX($10:$13,MATCH($O704,$R$10:$R$13,0),COLUMN())</f>
        <v>4.1758912880000006E-2</v>
      </c>
      <c r="AL704" s="1050" cm="1">
        <f t="array" aca="1" ref="AL704" ca="1">INDEX(OFFSET($AK$19,MATCH($B704,$B$19:$B$150,0)-1,0,COUNTA($B$19:$B$24),COUNTA($AK$17:$BB$17)),MATCH($F704,$F$19:$F$24,0),MATCH(AL$17,$AK$17:$BB$17,0))*INDEX($10:$13,MATCH($O704,$R$10:$R$13,0),COLUMN())</f>
        <v>4.8907652700000004E-8</v>
      </c>
      <c r="AM704" s="1050" cm="1">
        <f t="array" aca="1" ref="AM704" ca="1">INDEX(OFFSET($AK$19,MATCH($B704,$B$19:$B$150,0)-1,0,COUNTA($B$19:$B$24),COUNTA($AK$17:$BB$17)),MATCH($F704,$F$19:$F$24,0),MATCH(AM$17,$AK$17:$BB$17,0))*INDEX($10:$13,MATCH($O704,$R$10:$R$13,0),COLUMN())</f>
        <v>0</v>
      </c>
      <c r="AN704" s="1050" cm="1">
        <f t="array" aca="1" ref="AN704" ca="1">INDEX(OFFSET($AK$19,MATCH($B704,$B$19:$B$150,0)-1,0,COUNTA($B$19:$B$24),COUNTA($AK$17:$BB$17)),MATCH($F704,$F$19:$F$24,0),MATCH(AN$17,$AK$17:$BB$17,0))*INDEX($10:$13,MATCH($O704,$R$10:$R$13,0),COLUMN())</f>
        <v>2.1188752926000003E-3</v>
      </c>
      <c r="AO704" s="1050" cm="1">
        <f t="array" aca="1" ref="AO704" ca="1">INDEX(OFFSET($AK$19,MATCH($B704,$B$19:$B$150,0)-1,0,COUNTA($B$19:$B$24),COUNTA($AK$17:$BB$17)),MATCH($F704,$F$19:$F$24,0),MATCH(AO$17,$AK$17:$BB$17,0))*INDEX($10:$13,MATCH($O704,$R$10:$R$13,0),COLUMN())</f>
        <v>3.9666414986301371E-2</v>
      </c>
      <c r="AP704" s="1050" cm="1">
        <f t="array" aca="1" ref="AP704" ca="1">INDEX(OFFSET($AK$19,MATCH($B704,$B$19:$B$150,0)-1,0,COUNTA($B$19:$B$24),COUNTA($AK$17:$BB$17)),MATCH($F704,$F$19:$F$24,0),MATCH(AP$17,$AK$17:$BB$17,0))*INDEX($10:$13,MATCH($O704,$R$10:$R$13,0),COLUMN())</f>
        <v>2.7424226927999999E-2</v>
      </c>
      <c r="AQ704" s="1050" cm="1">
        <f t="array" aca="1" ref="AQ704" ca="1">INDEX(OFFSET($AK$19,MATCH($B704,$B$19:$B$150,0)-1,0,COUNTA($B$19:$B$24),COUNTA($AK$17:$BB$17)),MATCH($F704,$F$19:$F$24,0),MATCH(AQ$17,$AK$17:$BB$17,0))*INDEX($10:$13,MATCH($O704,$R$10:$R$13,0),COLUMN())</f>
        <v>5.1452911999999996E-2</v>
      </c>
      <c r="AR704" s="1050" cm="1">
        <f t="array" aca="1" ref="AR704" ca="1">INDEX(OFFSET($AK$19,MATCH($B704,$B$19:$B$150,0)-1,0,COUNTA($B$19:$B$24),COUNTA($AK$17:$BB$17)),MATCH($F704,$F$19:$F$24,0),MATCH(AR$17,$AK$17:$BB$17,0))*INDEX($10:$13,MATCH($O704,$R$10:$R$13,0),COLUMN())</f>
        <v>0.417163758</v>
      </c>
      <c r="AS704" s="1050" cm="1">
        <f t="array" aca="1" ref="AS704" ca="1">INDEX(OFFSET($AK$19,MATCH($B704,$B$19:$B$150,0)-1,0,COUNTA($B$19:$B$24),COUNTA($AK$17:$BB$17)),MATCH($F704,$F$19:$F$24,0),MATCH(AS$17,$AK$17:$BB$17,0))*INDEX($10:$13,MATCH($O704,$R$10:$R$13,0),COLUMN())</f>
        <v>3.4086683243999996E-3</v>
      </c>
      <c r="AT704" s="1050" cm="1">
        <f t="array" aca="1" ref="AT704" ca="1">INDEX(OFFSET($AK$19,MATCH($B704,$B$19:$B$150,0)-1,0,COUNTA($B$19:$B$24),COUNTA($AK$17:$BB$17)),MATCH($F704,$F$19:$F$24,0),MATCH(AT$17,$AK$17:$BB$17,0))*INDEX($10:$13,MATCH($O704,$R$10:$R$13,0),COLUMN())</f>
        <v>5.7526726700000002E-6</v>
      </c>
      <c r="AU704" s="1050" cm="1">
        <f t="array" aca="1" ref="AU704" ca="1">INDEX(OFFSET($AK$19,MATCH($B704,$B$19:$B$150,0)-1,0,COUNTA($B$19:$B$24),COUNTA($AK$17:$BB$17)),MATCH($F704,$F$19:$F$24,0),MATCH(AU$17,$AK$17:$BB$17,0))*INDEX($10:$13,MATCH($O704,$R$10:$R$13,0),COLUMN())</f>
        <v>1.0924043009999999E-6</v>
      </c>
      <c r="AV704" s="1050" cm="1">
        <f t="array" aca="1" ref="AV704" ca="1">INDEX(OFFSET($AK$19,MATCH($B704,$B$19:$B$150,0)-1,0,COUNTA($B$19:$B$24),COUNTA($AK$17:$BB$17)),MATCH($F704,$F$19:$F$24,0),MATCH(AV$17,$AK$17:$BB$17,0))*INDEX($10:$13,MATCH($O704,$R$10:$R$13,0),COLUMN())</f>
        <v>2.7644434065897221E-3</v>
      </c>
      <c r="AW704" s="1050" cm="1">
        <f t="array" aca="1" ref="AW704" ca="1">INDEX(OFFSET($AK$19,MATCH($B704,$B$19:$B$150,0)-1,0,COUNTA($B$19:$B$24),COUNTA($AK$17:$BB$17)),MATCH($F704,$F$19:$F$24,0),MATCH(AW$17,$AK$17:$BB$17,0))*INDEX($10:$13,MATCH($O704,$R$10:$R$13,0),COLUMN())</f>
        <v>0.53126650360000005</v>
      </c>
      <c r="AX704" s="1050" cm="1">
        <f t="array" aca="1" ref="AX704" ca="1">INDEX(OFFSET($AK$19,MATCH($B704,$B$19:$B$150,0)-1,0,COUNTA($B$19:$B$24),COUNTA($AK$17:$BB$17)),MATCH($F704,$F$19:$F$24,0),MATCH(AX$17,$AK$17:$BB$17,0))*INDEX($10:$13,MATCH($O704,$R$10:$R$13,0),COLUMN())</f>
        <v>1.5661626024E-7</v>
      </c>
      <c r="AY704" s="1050" cm="1">
        <f t="array" aca="1" ref="AY704" ca="1">INDEX(OFFSET($AK$19,MATCH($B704,$B$19:$B$150,0)-1,0,COUNTA($B$19:$B$24),COUNTA($AK$17:$BB$17)),MATCH($F704,$F$19:$F$24,0),MATCH(AY$17,$AK$17:$BB$17,0))*INDEX($10:$13,MATCH($O704,$R$10:$R$13,0),COLUMN())</f>
        <v>-1.0043162469000001E-10</v>
      </c>
      <c r="AZ704" s="1050" cm="1">
        <f t="array" aca="1" ref="AZ704" ca="1">INDEX(OFFSET($AK$19,MATCH($B704,$B$19:$B$150,0)-1,0,COUNTA($B$19:$B$24),COUNTA($AK$17:$BB$17)),MATCH($F704,$F$19:$F$24,0),MATCH(AZ$17,$AK$17:$BB$17,0))*INDEX($10:$13,MATCH($O704,$R$10:$R$13,0),COLUMN())</f>
        <v>4.9742783697892261E-6</v>
      </c>
      <c r="BA704" s="1050" cm="1">
        <f t="array" aca="1" ref="BA704" ca="1">INDEX(OFFSET($AK$19,MATCH($B704,$B$19:$B$150,0)-1,0,COUNTA($B$19:$B$24),COUNTA($AK$17:$BB$17)),MATCH($F704,$F$19:$F$24,0),MATCH(BA$17,$AK$17:$BB$17,0))*INDEX($10:$13,MATCH($O704,$R$10:$R$13,0),COLUMN())</f>
        <v>1.5148455983000001E-2</v>
      </c>
      <c r="BB704" s="1051" cm="1">
        <f t="array" aca="1" ref="BB704" ca="1">INDEX(OFFSET($AK$19,MATCH($B704,$B$19:$B$150,0)-1,0,COUNTA($B$19:$B$24),COUNTA($AK$17:$BB$17)),MATCH($F704,$F$19:$F$24,0),MATCH(BB$17,$AK$17:$BB$17,0))*INDEX($10:$13,MATCH($O704,$R$10:$R$13,0),COLUMN())</f>
        <v>1.9096368970000001E-4</v>
      </c>
      <c r="BC704" s="1053">
        <f t="shared" ca="1" si="196"/>
        <v>0.53126666011582868</v>
      </c>
      <c r="BE704" s="1"/>
      <c r="BF704" s="1"/>
      <c r="BG704" s="1"/>
      <c r="BH704" s="1"/>
      <c r="BI704" s="1"/>
      <c r="BJ704" s="1"/>
      <c r="BK704" s="1"/>
      <c r="BL704" s="1"/>
      <c r="BM704" s="1"/>
      <c r="BN704" s="1"/>
      <c r="BO704" s="1"/>
      <c r="BP704" s="1"/>
      <c r="BQ704" s="1"/>
      <c r="BR704" s="1"/>
      <c r="BS704" s="1"/>
      <c r="BT704" s="1"/>
      <c r="BU704" s="1"/>
      <c r="BV704" s="1"/>
      <c r="BW704" s="1"/>
      <c r="BX704" s="1"/>
      <c r="BY704" s="1"/>
      <c r="BZ704" s="1"/>
    </row>
    <row r="705" spans="2:78" ht="12" customHeight="1" outlineLevel="1" x14ac:dyDescent="0.25">
      <c r="B705" s="88" t="s">
        <v>100</v>
      </c>
      <c r="C705" s="88" t="s">
        <v>121</v>
      </c>
      <c r="D705" s="89" t="s">
        <v>132</v>
      </c>
      <c r="E705" s="89" t="s">
        <v>135</v>
      </c>
      <c r="F705" s="90" t="s">
        <v>92</v>
      </c>
      <c r="G705" s="18" t="s">
        <v>126</v>
      </c>
      <c r="H705" s="91" t="s">
        <v>127</v>
      </c>
      <c r="I705" s="92" t="s">
        <v>127</v>
      </c>
      <c r="J705" s="142">
        <v>3.7523941999999999</v>
      </c>
      <c r="K705" s="143">
        <v>0.19027961896782761</v>
      </c>
      <c r="L705" s="144">
        <f t="shared" ca="1" si="193"/>
        <v>5.4805121460831572</v>
      </c>
      <c r="M705" s="143">
        <f t="shared" ca="1" si="194"/>
        <v>1.2331093818730818</v>
      </c>
      <c r="N705" s="162">
        <f t="shared" ca="1" si="195"/>
        <v>1.0428297629052543</v>
      </c>
      <c r="O705" s="1060" t="s">
        <v>1586</v>
      </c>
      <c r="P705" s="88"/>
      <c r="Q705" s="89"/>
      <c r="R705" s="150"/>
      <c r="S705" s="1070"/>
      <c r="T705" s="1070"/>
      <c r="U705" s="1070"/>
      <c r="V705" s="1070"/>
      <c r="W705" s="1070"/>
      <c r="X705" s="1070"/>
      <c r="Y705" s="1070"/>
      <c r="Z705" s="1070"/>
      <c r="AA705" s="1070"/>
      <c r="AB705" s="1070"/>
      <c r="AC705" s="1070"/>
      <c r="AD705" s="1070"/>
      <c r="AE705" s="1070"/>
      <c r="AF705" s="1070"/>
      <c r="AG705" s="1070"/>
      <c r="AH705" s="1070"/>
      <c r="AI705" s="1070"/>
      <c r="AJ705" s="1071"/>
      <c r="AK705" s="1048" cm="1">
        <f t="array" aca="1" ref="AK705" ca="1">INDEX(OFFSET($AK$19,MATCH($B705,$B$19:$B$150,0)-1,0,COUNTA($B$19:$B$24),COUNTA($AK$17:$BB$17)),MATCH($F705,$F$19:$F$24,0),MATCH(AK$17,$AK$17:$BB$17,0))*INDEX($10:$13,MATCH($O705,$R$10:$R$13,0),COLUMN())</f>
        <v>5.7313562319999997E-2</v>
      </c>
      <c r="AL705" s="1046" cm="1">
        <f t="array" aca="1" ref="AL705" ca="1">INDEX(OFFSET($AK$19,MATCH($B705,$B$19:$B$150,0)-1,0,COUNTA($B$19:$B$24),COUNTA($AK$17:$BB$17)),MATCH($F705,$F$19:$F$24,0),MATCH(AL$17,$AK$17:$BB$17,0))*INDEX($10:$13,MATCH($O705,$R$10:$R$13,0),COLUMN())</f>
        <v>6.0633905879999997E-8</v>
      </c>
      <c r="AM705" s="1046" cm="1">
        <f t="array" aca="1" ref="AM705" ca="1">INDEX(OFFSET($AK$19,MATCH($B705,$B$19:$B$150,0)-1,0,COUNTA($B$19:$B$24),COUNTA($AK$17:$BB$17)),MATCH($F705,$F$19:$F$24,0),MATCH(AM$17,$AK$17:$BB$17,0))*INDEX($10:$13,MATCH($O705,$R$10:$R$13,0),COLUMN())</f>
        <v>0</v>
      </c>
      <c r="AN705" s="1046" cm="1">
        <f t="array" aca="1" ref="AN705" ca="1">INDEX(OFFSET($AK$19,MATCH($B705,$B$19:$B$150,0)-1,0,COUNTA($B$19:$B$24),COUNTA($AK$17:$BB$17)),MATCH($F705,$F$19:$F$24,0),MATCH(AN$17,$AK$17:$BB$17,0))*INDEX($10:$13,MATCH($O705,$R$10:$R$13,0),COLUMN())</f>
        <v>1.2865391508000003E-3</v>
      </c>
      <c r="AO705" s="1046" cm="1">
        <f t="array" aca="1" ref="AO705" ca="1">INDEX(OFFSET($AK$19,MATCH($B705,$B$19:$B$150,0)-1,0,COUNTA($B$19:$B$24),COUNTA($AK$17:$BB$17)),MATCH($F705,$F$19:$F$24,0),MATCH(AO$17,$AK$17:$BB$17,0))*INDEX($10:$13,MATCH($O705,$R$10:$R$13,0),COLUMN())</f>
        <v>2.8799770261643837E-2</v>
      </c>
      <c r="AP705" s="1046" cm="1">
        <f t="array" aca="1" ref="AP705" ca="1">INDEX(OFFSET($AK$19,MATCH($B705,$B$19:$B$150,0)-1,0,COUNTA($B$19:$B$24),COUNTA($AK$17:$BB$17)),MATCH($F705,$F$19:$F$24,0),MATCH(AP$17,$AK$17:$BB$17,0))*INDEX($10:$13,MATCH($O705,$R$10:$R$13,0),COLUMN())</f>
        <v>2.0349441167999999E-2</v>
      </c>
      <c r="AQ705" s="1046" cm="1">
        <f t="array" aca="1" ref="AQ705" ca="1">INDEX(OFFSET($AK$19,MATCH($B705,$B$19:$B$150,0)-1,0,COUNTA($B$19:$B$24),COUNTA($AK$17:$BB$17)),MATCH($F705,$F$19:$F$24,0),MATCH(AQ$17,$AK$17:$BB$17,0))*INDEX($10:$13,MATCH($O705,$R$10:$R$13,0),COLUMN())</f>
        <v>3.854607216E-2</v>
      </c>
      <c r="AR705" s="1046" cm="1">
        <f t="array" aca="1" ref="AR705" ca="1">INDEX(OFFSET($AK$19,MATCH($B705,$B$19:$B$150,0)-1,0,COUNTA($B$19:$B$24),COUNTA($AK$17:$BB$17)),MATCH($F705,$F$19:$F$24,0),MATCH(AR$17,$AK$17:$BB$17,0))*INDEX($10:$13,MATCH($O705,$R$10:$R$13,0),COLUMN())</f>
        <v>0.44234056370000002</v>
      </c>
      <c r="AS705" s="1046" cm="1">
        <f t="array" aca="1" ref="AS705" ca="1">INDEX(OFFSET($AK$19,MATCH($B705,$B$19:$B$150,0)-1,0,COUNTA($B$19:$B$24),COUNTA($AK$17:$BB$17)),MATCH($F705,$F$19:$F$24,0),MATCH(AS$17,$AK$17:$BB$17,0))*INDEX($10:$13,MATCH($O705,$R$10:$R$13,0),COLUMN())</f>
        <v>0.10592415445</v>
      </c>
      <c r="AT705" s="1046" cm="1">
        <f t="array" aca="1" ref="AT705" ca="1">INDEX(OFFSET($AK$19,MATCH($B705,$B$19:$B$150,0)-1,0,COUNTA($B$19:$B$24),COUNTA($AK$17:$BB$17)),MATCH($F705,$F$19:$F$24,0),MATCH(AT$17,$AK$17:$BB$17,0))*INDEX($10:$13,MATCH($O705,$R$10:$R$13,0),COLUMN())</f>
        <v>1.1807442584E-4</v>
      </c>
      <c r="AU705" s="1046" cm="1">
        <f t="array" aca="1" ref="AU705" ca="1">INDEX(OFFSET($AK$19,MATCH($B705,$B$19:$B$150,0)-1,0,COUNTA($B$19:$B$24),COUNTA($AK$17:$BB$17)),MATCH($F705,$F$19:$F$24,0),MATCH(AU$17,$AK$17:$BB$17,0))*INDEX($10:$13,MATCH($O705,$R$10:$R$13,0),COLUMN())</f>
        <v>6.5136476939999994E-6</v>
      </c>
      <c r="AV705" s="1046" cm="1">
        <f t="array" aca="1" ref="AV705" ca="1">INDEX(OFFSET($AK$19,MATCH($B705,$B$19:$B$150,0)-1,0,COUNTA($B$19:$B$24),COUNTA($AK$17:$BB$17)),MATCH($F705,$F$19:$F$24,0),MATCH(AV$17,$AK$17:$BB$17,0))*INDEX($10:$13,MATCH($O705,$R$10:$R$13,0),COLUMN())</f>
        <v>1.8113601796322673E-3</v>
      </c>
      <c r="AW705" s="1046" cm="1">
        <f t="array" aca="1" ref="AW705" ca="1">INDEX(OFFSET($AK$19,MATCH($B705,$B$19:$B$150,0)-1,0,COUNTA($B$19:$B$24),COUNTA($AK$17:$BB$17)),MATCH($F705,$F$19:$F$24,0),MATCH(AW$17,$AK$17:$BB$17,0))*INDEX($10:$13,MATCH($O705,$R$10:$R$13,0),COLUMN())</f>
        <v>0.32750872660000002</v>
      </c>
      <c r="AX705" s="1046" cm="1">
        <f t="array" aca="1" ref="AX705" ca="1">INDEX(OFFSET($AK$19,MATCH($B705,$B$19:$B$150,0)-1,0,COUNTA($B$19:$B$24),COUNTA($AK$17:$BB$17)),MATCH($F705,$F$19:$F$24,0),MATCH(AX$17,$AK$17:$BB$17,0))*INDEX($10:$13,MATCH($O705,$R$10:$R$13,0),COLUMN())</f>
        <v>4.8382292430000008E-7</v>
      </c>
      <c r="AY705" s="1046" cm="1">
        <f t="array" aca="1" ref="AY705" ca="1">INDEX(OFFSET($AK$19,MATCH($B705,$B$19:$B$150,0)-1,0,COUNTA($B$19:$B$24),COUNTA($AK$17:$BB$17)),MATCH($F705,$F$19:$F$24,0),MATCH(AY$17,$AK$17:$BB$17,0))*INDEX($10:$13,MATCH($O705,$R$10:$R$13,0),COLUMN())</f>
        <v>-3.1825244300000001E-10</v>
      </c>
      <c r="AZ705" s="1046" cm="1">
        <f t="array" aca="1" ref="AZ705" ca="1">INDEX(OFFSET($AK$19,MATCH($B705,$B$19:$B$150,0)-1,0,COUNTA($B$19:$B$24),COUNTA($AK$17:$BB$17)),MATCH($F705,$F$19:$F$24,0),MATCH(AZ$17,$AK$17:$BB$17,0))*INDEX($10:$13,MATCH($O705,$R$10:$R$13,0),COLUMN())</f>
        <v>3.1370000662763464E-6</v>
      </c>
      <c r="BA705" s="1046" cm="1">
        <f t="array" aca="1" ref="BA705" ca="1">INDEX(OFFSET($AK$19,MATCH($B705,$B$19:$B$150,0)-1,0,COUNTA($B$19:$B$24),COUNTA($AK$17:$BB$17)),MATCH($F705,$F$19:$F$24,0),MATCH(BA$17,$AK$17:$BB$17,0))*INDEX($10:$13,MATCH($O705,$R$10:$R$13,0),COLUMN())</f>
        <v>1.6732243619000001E-2</v>
      </c>
      <c r="BB705" s="1047" cm="1">
        <f t="array" aca="1" ref="BB705" ca="1">INDEX(OFFSET($AK$19,MATCH($B705,$B$19:$B$150,0)-1,0,COUNTA($B$19:$B$24),COUNTA($AK$17:$BB$17)),MATCH($F705,$F$19:$F$24,0),MATCH(BB$17,$AK$17:$BB$17,0))*INDEX($10:$13,MATCH($O705,$R$10:$R$13,0),COLUMN())</f>
        <v>2.0890600839999999E-3</v>
      </c>
      <c r="BC705" s="1049">
        <f t="shared" ca="1" si="196"/>
        <v>0.32750921010467188</v>
      </c>
      <c r="BE705" s="1"/>
      <c r="BF705" s="1"/>
      <c r="BG705" s="1"/>
      <c r="BH705" s="1"/>
      <c r="BI705" s="1"/>
      <c r="BJ705" s="1"/>
      <c r="BK705" s="1"/>
      <c r="BL705" s="1"/>
      <c r="BM705" s="1"/>
      <c r="BN705" s="1"/>
      <c r="BO705" s="1"/>
      <c r="BP705" s="1"/>
      <c r="BQ705" s="1"/>
      <c r="BR705" s="1"/>
      <c r="BS705" s="1"/>
      <c r="BT705" s="1"/>
      <c r="BU705" s="1"/>
      <c r="BV705" s="1"/>
      <c r="BW705" s="1"/>
      <c r="BX705" s="1"/>
      <c r="BY705" s="1"/>
      <c r="BZ705" s="1"/>
    </row>
    <row r="706" spans="2:78" ht="12" customHeight="1" outlineLevel="1" x14ac:dyDescent="0.25">
      <c r="B706" s="104" t="s">
        <v>100</v>
      </c>
      <c r="C706" s="104" t="s">
        <v>121</v>
      </c>
      <c r="D706" s="2" t="s">
        <v>132</v>
      </c>
      <c r="E706" s="2" t="s">
        <v>135</v>
      </c>
      <c r="F706" s="105" t="s">
        <v>122</v>
      </c>
      <c r="G706" s="27" t="s">
        <v>1579</v>
      </c>
      <c r="H706" s="106" t="s">
        <v>128</v>
      </c>
      <c r="I706" s="107" t="s">
        <v>129</v>
      </c>
      <c r="J706" s="147">
        <v>3.7523941999999999</v>
      </c>
      <c r="K706" s="148">
        <v>0.4056506487491307</v>
      </c>
      <c r="L706" s="149">
        <f t="shared" ca="1" si="193"/>
        <v>1.8893967275993633</v>
      </c>
      <c r="M706" s="148">
        <f t="shared" ca="1" si="194"/>
        <v>1.172085657044297</v>
      </c>
      <c r="N706" s="163">
        <f t="shared" ca="1" si="195"/>
        <v>0.76643500829516631</v>
      </c>
      <c r="O706" s="1061" t="s">
        <v>1586</v>
      </c>
      <c r="P706" s="104"/>
      <c r="R706" s="119"/>
      <c r="S706" s="1072"/>
      <c r="T706" s="1072"/>
      <c r="U706" s="1072"/>
      <c r="V706" s="1072"/>
      <c r="W706" s="1072"/>
      <c r="X706" s="1072"/>
      <c r="Y706" s="1072"/>
      <c r="Z706" s="1072"/>
      <c r="AA706" s="1072"/>
      <c r="AB706" s="1072"/>
      <c r="AC706" s="1072"/>
      <c r="AD706" s="1072"/>
      <c r="AE706" s="1072"/>
      <c r="AF706" s="1072"/>
      <c r="AG706" s="1072"/>
      <c r="AH706" s="1072"/>
      <c r="AI706" s="1072"/>
      <c r="AJ706" s="1073"/>
      <c r="AK706" s="1052" cm="1">
        <f t="array" aca="1" ref="AK706" ca="1">INDEX(OFFSET($AK$19,MATCH($B706,$B$19:$B$150,0)-1,0,COUNTA($B$19:$B$24),COUNTA($AK$17:$BB$17)),MATCH($F706,$F$19:$F$24,0),MATCH(AK$17,$AK$17:$BB$17,0))*INDEX($10:$13,MATCH($O706,$R$10:$R$13,0),COLUMN())</f>
        <v>3.3245842799999994E-2</v>
      </c>
      <c r="AL706" s="1050" cm="1">
        <f t="array" aca="1" ref="AL706" ca="1">INDEX(OFFSET($AK$19,MATCH($B706,$B$19:$B$150,0)-1,0,COUNTA($B$19:$B$24),COUNTA($AK$17:$BB$17)),MATCH($F706,$F$19:$F$24,0),MATCH(AL$17,$AK$17:$BB$17,0))*INDEX($10:$13,MATCH($O706,$R$10:$R$13,0),COLUMN())</f>
        <v>4.3709891820000004E-8</v>
      </c>
      <c r="AM706" s="1050" cm="1">
        <f t="array" aca="1" ref="AM706" ca="1">INDEX(OFFSET($AK$19,MATCH($B706,$B$19:$B$150,0)-1,0,COUNTA($B$19:$B$24),COUNTA($AK$17:$BB$17)),MATCH($F706,$F$19:$F$24,0),MATCH(AM$17,$AK$17:$BB$17,0))*INDEX($10:$13,MATCH($O706,$R$10:$R$13,0),COLUMN())</f>
        <v>0</v>
      </c>
      <c r="AN706" s="1050" cm="1">
        <f t="array" aca="1" ref="AN706" ca="1">INDEX(OFFSET($AK$19,MATCH($B706,$B$19:$B$150,0)-1,0,COUNTA($B$19:$B$24),COUNTA($AK$17:$BB$17)),MATCH($F706,$F$19:$F$24,0),MATCH(AN$17,$AK$17:$BB$17,0))*INDEX($10:$13,MATCH($O706,$R$10:$R$13,0),COLUMN())</f>
        <v>1.6759488402000001E-3</v>
      </c>
      <c r="AO706" s="1050" cm="1">
        <f t="array" aca="1" ref="AO706" ca="1">INDEX(OFFSET($AK$19,MATCH($B706,$B$19:$B$150,0)-1,0,COUNTA($B$19:$B$24),COUNTA($AK$17:$BB$17)),MATCH($F706,$F$19:$F$24,0),MATCH(AO$17,$AK$17:$BB$17,0))*INDEX($10:$13,MATCH($O706,$R$10:$R$13,0),COLUMN())</f>
        <v>1.0558331872602741E-2</v>
      </c>
      <c r="AP706" s="1050" cm="1">
        <f t="array" aca="1" ref="AP706" ca="1">INDEX(OFFSET($AK$19,MATCH($B706,$B$19:$B$150,0)-1,0,COUNTA($B$19:$B$24),COUNTA($AK$17:$BB$17)),MATCH($F706,$F$19:$F$24,0),MATCH(AP$17,$AK$17:$BB$17,0))*INDEX($10:$13,MATCH($O706,$R$10:$R$13,0),COLUMN())</f>
        <v>4.6946393759999998E-3</v>
      </c>
      <c r="AQ706" s="1050" cm="1">
        <f t="array" aca="1" ref="AQ706" ca="1">INDEX(OFFSET($AK$19,MATCH($B706,$B$19:$B$150,0)-1,0,COUNTA($B$19:$B$24),COUNTA($AK$17:$BB$17)),MATCH($F706,$F$19:$F$24,0),MATCH(AQ$17,$AK$17:$BB$17,0))*INDEX($10:$13,MATCH($O706,$R$10:$R$13,0),COLUMN())</f>
        <v>7.444775168E-3</v>
      </c>
      <c r="AR706" s="1050" cm="1">
        <f t="array" aca="1" ref="AR706" ca="1">INDEX(OFFSET($AK$19,MATCH($B706,$B$19:$B$150,0)-1,0,COUNTA($B$19:$B$24),COUNTA($AK$17:$BB$17)),MATCH($F706,$F$19:$F$24,0),MATCH(AR$17,$AK$17:$BB$17,0))*INDEX($10:$13,MATCH($O706,$R$10:$R$13,0),COLUMN())</f>
        <v>0.2275700205</v>
      </c>
      <c r="AS706" s="1050" cm="1">
        <f t="array" aca="1" ref="AS706" ca="1">INDEX(OFFSET($AK$19,MATCH($B706,$B$19:$B$150,0)-1,0,COUNTA($B$19:$B$24),COUNTA($AK$17:$BB$17)),MATCH($F706,$F$19:$F$24,0),MATCH(AS$17,$AK$17:$BB$17,0))*INDEX($10:$13,MATCH($O706,$R$10:$R$13,0),COLUMN())</f>
        <v>-5.3513189752999996E-5</v>
      </c>
      <c r="AT706" s="1050" cm="1">
        <f t="array" aca="1" ref="AT706" ca="1">INDEX(OFFSET($AK$19,MATCH($B706,$B$19:$B$150,0)-1,0,COUNTA($B$19:$B$24),COUNTA($AK$17:$BB$17)),MATCH($F706,$F$19:$F$24,0),MATCH(AT$17,$AK$17:$BB$17,0))*INDEX($10:$13,MATCH($O706,$R$10:$R$13,0),COLUMN())</f>
        <v>3.1981491960000001E-6</v>
      </c>
      <c r="AU706" s="1050" cm="1">
        <f t="array" aca="1" ref="AU706" ca="1">INDEX(OFFSET($AK$19,MATCH($B706,$B$19:$B$150,0)-1,0,COUNTA($B$19:$B$24),COUNTA($AK$17:$BB$17)),MATCH($F706,$F$19:$F$24,0),MATCH(AU$17,$AK$17:$BB$17,0))*INDEX($10:$13,MATCH($O706,$R$10:$R$13,0),COLUMN())</f>
        <v>6.8382460139999999E-7</v>
      </c>
      <c r="AV706" s="1050" cm="1">
        <f t="array" aca="1" ref="AV706" ca="1">INDEX(OFFSET($AK$19,MATCH($B706,$B$19:$B$150,0)-1,0,COUNTA($B$19:$B$24),COUNTA($AK$17:$BB$17)),MATCH($F706,$F$19:$F$24,0),MATCH(AV$17,$AK$17:$BB$17,0))*INDEX($10:$13,MATCH($O706,$R$10:$R$13,0),COLUMN())</f>
        <v>1.4505551114352361E-4</v>
      </c>
      <c r="AW706" s="1050" cm="1">
        <f t="array" aca="1" ref="AW706" ca="1">INDEX(OFFSET($AK$19,MATCH($B706,$B$19:$B$150,0)-1,0,COUNTA($B$19:$B$24),COUNTA($AK$17:$BB$17)),MATCH($F706,$F$19:$F$24,0),MATCH(AW$17,$AK$17:$BB$17,0))*INDEX($10:$13,MATCH($O706,$R$10:$R$13,0),COLUMN())</f>
        <v>0.46602803590000003</v>
      </c>
      <c r="AX706" s="1050" cm="1">
        <f t="array" aca="1" ref="AX706" ca="1">INDEX(OFFSET($AK$19,MATCH($B706,$B$19:$B$150,0)-1,0,COUNTA($B$19:$B$24),COUNTA($AK$17:$BB$17)),MATCH($F706,$F$19:$F$24,0),MATCH(AX$17,$AK$17:$BB$17,0))*INDEX($10:$13,MATCH($O706,$R$10:$R$13,0),COLUMN())</f>
        <v>1.3861278459000001E-7</v>
      </c>
      <c r="AY706" s="1050" cm="1">
        <f t="array" aca="1" ref="AY706" ca="1">INDEX(OFFSET($AK$19,MATCH($B706,$B$19:$B$150,0)-1,0,COUNTA($B$19:$B$24),COUNTA($AK$17:$BB$17)),MATCH($F706,$F$19:$F$24,0),MATCH(AY$17,$AK$17:$BB$17,0))*INDEX($10:$13,MATCH($O706,$R$10:$R$13,0),COLUMN())</f>
        <v>-8.8886729599999989E-11</v>
      </c>
      <c r="AZ706" s="1050" cm="1">
        <f t="array" aca="1" ref="AZ706" ca="1">INDEX(OFFSET($AK$19,MATCH($B706,$B$19:$B$150,0)-1,0,COUNTA($B$19:$B$24),COUNTA($AK$17:$BB$17)),MATCH($F706,$F$19:$F$24,0),MATCH(AZ$17,$AK$17:$BB$17,0))*INDEX($10:$13,MATCH($O706,$R$10:$R$13,0),COLUMN())</f>
        <v>4.3773863859484777E-6</v>
      </c>
      <c r="BA706" s="1050" cm="1">
        <f t="array" aca="1" ref="BA706" ca="1">INDEX(OFFSET($AK$19,MATCH($B706,$B$19:$B$150,0)-1,0,COUNTA($B$19:$B$24),COUNTA($AK$17:$BB$17)),MATCH($F706,$F$19:$F$24,0),MATCH(BA$17,$AK$17:$BB$17,0))*INDEX($10:$13,MATCH($O706,$R$10:$R$13,0),COLUMN())</f>
        <v>1.2225839313E-2</v>
      </c>
      <c r="BB706" s="1051" cm="1">
        <f t="array" aca="1" ref="BB706" ca="1">INDEX(OFFSET($AK$19,MATCH($B706,$B$19:$B$150,0)-1,0,COUNTA($B$19:$B$24),COUNTA($AK$17:$BB$17)),MATCH($F706,$F$19:$F$24,0),MATCH(BB$17,$AK$17:$BB$17,0))*INDEX($10:$13,MATCH($O706,$R$10:$R$13,0),COLUMN())</f>
        <v>2.8915906100000005E-3</v>
      </c>
      <c r="BC706" s="1053">
        <f t="shared" ca="1" si="196"/>
        <v>0.46602817442389788</v>
      </c>
      <c r="BE706" s="1"/>
      <c r="BF706" s="1"/>
      <c r="BG706" s="1"/>
      <c r="BH706" s="1"/>
      <c r="BI706" s="1"/>
      <c r="BJ706" s="1"/>
      <c r="BK706" s="1"/>
      <c r="BL706" s="1"/>
      <c r="BM706" s="1"/>
      <c r="BN706" s="1"/>
      <c r="BO706" s="1"/>
      <c r="BP706" s="1"/>
      <c r="BQ706" s="1"/>
      <c r="BR706" s="1"/>
      <c r="BS706" s="1"/>
      <c r="BT706" s="1"/>
      <c r="BU706" s="1"/>
      <c r="BV706" s="1"/>
      <c r="BW706" s="1"/>
      <c r="BX706" s="1"/>
      <c r="BY706" s="1"/>
      <c r="BZ706" s="1"/>
    </row>
    <row r="707" spans="2:78" ht="12" customHeight="1" outlineLevel="1" x14ac:dyDescent="0.25">
      <c r="B707" s="104" t="s">
        <v>100</v>
      </c>
      <c r="C707" s="104" t="s">
        <v>121</v>
      </c>
      <c r="D707" s="2" t="s">
        <v>132</v>
      </c>
      <c r="E707" s="2" t="s">
        <v>135</v>
      </c>
      <c r="F707" s="105" t="s">
        <v>93</v>
      </c>
      <c r="G707" s="27" t="s">
        <v>1578</v>
      </c>
      <c r="H707" s="106" t="s">
        <v>130</v>
      </c>
      <c r="I707" s="107" t="s">
        <v>129</v>
      </c>
      <c r="J707" s="147">
        <v>3.7523941999999999</v>
      </c>
      <c r="K707" s="148">
        <v>0.4056506487491307</v>
      </c>
      <c r="L707" s="149">
        <f t="shared" ca="1" si="193"/>
        <v>2.4022134246964875</v>
      </c>
      <c r="M707" s="148">
        <f t="shared" ca="1" si="194"/>
        <v>1.3801100829111319</v>
      </c>
      <c r="N707" s="163">
        <f t="shared" ca="1" si="195"/>
        <v>0.9744594341620012</v>
      </c>
      <c r="O707" s="1061" t="s">
        <v>1586</v>
      </c>
      <c r="P707" s="104"/>
      <c r="R707" s="119"/>
      <c r="S707" s="1072"/>
      <c r="T707" s="1072"/>
      <c r="U707" s="1072"/>
      <c r="V707" s="1072"/>
      <c r="W707" s="1072"/>
      <c r="X707" s="1072"/>
      <c r="Y707" s="1072"/>
      <c r="Z707" s="1072"/>
      <c r="AA707" s="1072"/>
      <c r="AB707" s="1072"/>
      <c r="AC707" s="1072"/>
      <c r="AD707" s="1072"/>
      <c r="AE707" s="1072"/>
      <c r="AF707" s="1072"/>
      <c r="AG707" s="1072"/>
      <c r="AH707" s="1072"/>
      <c r="AI707" s="1072"/>
      <c r="AJ707" s="1073"/>
      <c r="AK707" s="1052" cm="1">
        <f t="array" aca="1" ref="AK707" ca="1">INDEX(OFFSET($AK$19,MATCH($B707,$B$19:$B$150,0)-1,0,COUNTA($B$19:$B$24),COUNTA($AK$17:$BB$17)),MATCH($F707,$F$19:$F$24,0),MATCH(AK$17,$AK$17:$BB$17,0))*INDEX($10:$13,MATCH($O707,$R$10:$R$13,0),COLUMN())</f>
        <v>4.2263399359999995E-2</v>
      </c>
      <c r="AL707" s="1050" cm="1">
        <f t="array" aca="1" ref="AL707" ca="1">INDEX(OFFSET($AK$19,MATCH($B707,$B$19:$B$150,0)-1,0,COUNTA($B$19:$B$24),COUNTA($AK$17:$BB$17)),MATCH($F707,$F$19:$F$24,0),MATCH(AL$17,$AK$17:$BB$17,0))*INDEX($10:$13,MATCH($O707,$R$10:$R$13,0),COLUMN())</f>
        <v>5.5565701380000007E-8</v>
      </c>
      <c r="AM707" s="1050" cm="1">
        <f t="array" aca="1" ref="AM707" ca="1">INDEX(OFFSET($AK$19,MATCH($B707,$B$19:$B$150,0)-1,0,COUNTA($B$19:$B$24),COUNTA($AK$17:$BB$17)),MATCH($F707,$F$19:$F$24,0),MATCH(AM$17,$AK$17:$BB$17,0))*INDEX($10:$13,MATCH($O707,$R$10:$R$13,0),COLUMN())</f>
        <v>0</v>
      </c>
      <c r="AN707" s="1050" cm="1">
        <f t="array" aca="1" ref="AN707" ca="1">INDEX(OFFSET($AK$19,MATCH($B707,$B$19:$B$150,0)-1,0,COUNTA($B$19:$B$24),COUNTA($AK$17:$BB$17)),MATCH($F707,$F$19:$F$24,0),MATCH(AN$17,$AK$17:$BB$17,0))*INDEX($10:$13,MATCH($O707,$R$10:$R$13,0),COLUMN())</f>
        <v>2.1305308476E-3</v>
      </c>
      <c r="AO707" s="1050" cm="1">
        <f t="array" aca="1" ref="AO707" ca="1">INDEX(OFFSET($AK$19,MATCH($B707,$B$19:$B$150,0)-1,0,COUNTA($B$19:$B$24),COUNTA($AK$17:$BB$17)),MATCH($F707,$F$19:$F$24,0),MATCH(AO$17,$AK$17:$BB$17,0))*INDEX($10:$13,MATCH($O707,$R$10:$R$13,0),COLUMN())</f>
        <v>1.3422158802739725E-2</v>
      </c>
      <c r="AP707" s="1050" cm="1">
        <f t="array" aca="1" ref="AP707" ca="1">INDEX(OFFSET($AK$19,MATCH($B707,$B$19:$B$150,0)-1,0,COUNTA($B$19:$B$24),COUNTA($AK$17:$BB$17)),MATCH($F707,$F$19:$F$24,0),MATCH(AP$17,$AK$17:$BB$17,0))*INDEX($10:$13,MATCH($O707,$R$10:$R$13,0),COLUMN())</f>
        <v>5.9680067999999999E-3</v>
      </c>
      <c r="AQ707" s="1050" cm="1">
        <f t="array" aca="1" ref="AQ707" ca="1">INDEX(OFFSET($AK$19,MATCH($B707,$B$19:$B$150,0)-1,0,COUNTA($B$19:$B$24),COUNTA($AK$17:$BB$17)),MATCH($F707,$F$19:$F$24,0),MATCH(AQ$17,$AK$17:$BB$17,0))*INDEX($10:$13,MATCH($O707,$R$10:$R$13,0),COLUMN())</f>
        <v>9.4640854400000005E-3</v>
      </c>
      <c r="AR707" s="1050" cm="1">
        <f t="array" aca="1" ref="AR707" ca="1">INDEX(OFFSET($AK$19,MATCH($B707,$B$19:$B$150,0)-1,0,COUNTA($B$19:$B$24),COUNTA($AK$17:$BB$17)),MATCH($F707,$F$19:$F$24,0),MATCH(AR$17,$AK$17:$BB$17,0))*INDEX($10:$13,MATCH($O707,$R$10:$R$13,0),COLUMN())</f>
        <v>0.28929579768000002</v>
      </c>
      <c r="AS707" s="1050" cm="1">
        <f t="array" aca="1" ref="AS707" ca="1">INDEX(OFFSET($AK$19,MATCH($B707,$B$19:$B$150,0)-1,0,COUNTA($B$19:$B$24),COUNTA($AK$17:$BB$17)),MATCH($F707,$F$19:$F$24,0),MATCH(AS$17,$AK$17:$BB$17,0))*INDEX($10:$13,MATCH($O707,$R$10:$R$13,0),COLUMN())</f>
        <v>3.8220327454999998E-6</v>
      </c>
      <c r="AT707" s="1050" cm="1">
        <f t="array" aca="1" ref="AT707" ca="1">INDEX(OFFSET($AK$19,MATCH($B707,$B$19:$B$150,0)-1,0,COUNTA($B$19:$B$24),COUNTA($AK$17:$BB$17)),MATCH($F707,$F$19:$F$24,0),MATCH(AT$17,$AK$17:$BB$17,0))*INDEX($10:$13,MATCH($O707,$R$10:$R$13,0),COLUMN())</f>
        <v>4.0901068000000001E-6</v>
      </c>
      <c r="AU707" s="1050" cm="1">
        <f t="array" aca="1" ref="AU707" ca="1">INDEX(OFFSET($AK$19,MATCH($B707,$B$19:$B$150,0)-1,0,COUNTA($B$19:$B$24),COUNTA($AK$17:$BB$17)),MATCH($F707,$F$19:$F$24,0),MATCH(AU$17,$AK$17:$BB$17,0))*INDEX($10:$13,MATCH($O707,$R$10:$R$13,0),COLUMN())</f>
        <v>8.719038168E-7</v>
      </c>
      <c r="AV707" s="1050" cm="1">
        <f t="array" aca="1" ref="AV707" ca="1">INDEX(OFFSET($AK$19,MATCH($B707,$B$19:$B$150,0)-1,0,COUNTA($B$19:$B$24),COUNTA($AK$17:$BB$17)),MATCH($F707,$F$19:$F$24,0),MATCH(AV$17,$AK$17:$BB$17,0))*INDEX($10:$13,MATCH($O707,$R$10:$R$13,0),COLUMN())</f>
        <v>2.5017342036484733E-4</v>
      </c>
      <c r="AW707" s="1050" cm="1">
        <f t="array" aca="1" ref="AW707" ca="1">INDEX(OFFSET($AK$19,MATCH($B707,$B$19:$B$150,0)-1,0,COUNTA($B$19:$B$24),COUNTA($AK$17:$BB$17)),MATCH($F707,$F$19:$F$24,0),MATCH(AW$17,$AK$17:$BB$17,0))*INDEX($10:$13,MATCH($O707,$R$10:$R$13,0),COLUMN())</f>
        <v>0.59243284149999997</v>
      </c>
      <c r="AX707" s="1050" cm="1">
        <f t="array" aca="1" ref="AX707" ca="1">INDEX(OFFSET($AK$19,MATCH($B707,$B$19:$B$150,0)-1,0,COUNTA($B$19:$B$24),COUNTA($AK$17:$BB$17)),MATCH($F707,$F$19:$F$24,0),MATCH(AX$17,$AK$17:$BB$17,0))*INDEX($10:$13,MATCH($O707,$R$10:$R$13,0),COLUMN())</f>
        <v>1.7620992000000002E-7</v>
      </c>
      <c r="AY707" s="1050" cm="1">
        <f t="array" aca="1" ref="AY707" ca="1">INDEX(OFFSET($AK$19,MATCH($B707,$B$19:$B$150,0)-1,0,COUNTA($B$19:$B$24),COUNTA($AK$17:$BB$17)),MATCH($F707,$F$19:$F$24,0),MATCH(AY$17,$AK$17:$BB$17,0))*INDEX($10:$13,MATCH($O707,$R$10:$R$13,0),COLUMN())</f>
        <v>-1.129962408E-10</v>
      </c>
      <c r="AZ707" s="1050" cm="1">
        <f t="array" aca="1" ref="AZ707" ca="1">INDEX(OFFSET($AK$19,MATCH($B707,$B$19:$B$150,0)-1,0,COUNTA($B$19:$B$24),COUNTA($AK$17:$BB$17)),MATCH($F707,$F$19:$F$24,0),MATCH(AZ$17,$AK$17:$BB$17,0))*INDEX($10:$13,MATCH($O707,$R$10:$R$13,0),COLUMN())</f>
        <v>5.5647023091334882E-6</v>
      </c>
      <c r="BA707" s="1050" cm="1">
        <f t="array" aca="1" ref="BA707" ca="1">INDEX(OFFSET($AK$19,MATCH($B707,$B$19:$B$150,0)-1,0,COUNTA($B$19:$B$24),COUNTA($AK$17:$BB$17)),MATCH($F707,$F$19:$F$24,0),MATCH(BA$17,$AK$17:$BB$17,0))*INDEX($10:$13,MATCH($O707,$R$10:$R$13,0),COLUMN())</f>
        <v>1.5541958313999999E-2</v>
      </c>
      <c r="BB707" s="1051" cm="1">
        <f t="array" aca="1" ref="BB707" ca="1">INDEX(OFFSET($AK$19,MATCH($B707,$B$19:$B$150,0)-1,0,COUNTA($B$19:$B$24),COUNTA($AK$17:$BB$17)),MATCH($F707,$F$19:$F$24,0),MATCH(BB$17,$AK$17:$BB$17,0))*INDEX($10:$13,MATCH($O707,$R$10:$R$13,0),COLUMN())</f>
        <v>3.6759015889999999E-3</v>
      </c>
      <c r="BC707" s="1053">
        <f t="shared" ca="1" si="196"/>
        <v>0.59243301759692368</v>
      </c>
      <c r="BE707" s="1"/>
      <c r="BF707" s="1"/>
      <c r="BG707" s="1"/>
      <c r="BH707" s="1"/>
      <c r="BI707" s="1"/>
      <c r="BJ707" s="1"/>
      <c r="BK707" s="1"/>
      <c r="BL707" s="1"/>
      <c r="BM707" s="1"/>
      <c r="BN707" s="1"/>
      <c r="BO707" s="1"/>
      <c r="BP707" s="1"/>
      <c r="BQ707" s="1"/>
      <c r="BR707" s="1"/>
      <c r="BS707" s="1"/>
      <c r="BT707" s="1"/>
      <c r="BU707" s="1"/>
      <c r="BV707" s="1"/>
      <c r="BW707" s="1"/>
      <c r="BX707" s="1"/>
      <c r="BY707" s="1"/>
      <c r="BZ707" s="1"/>
    </row>
    <row r="708" spans="2:78" ht="12" customHeight="1" outlineLevel="1" x14ac:dyDescent="0.25">
      <c r="B708" s="104" t="s">
        <v>100</v>
      </c>
      <c r="C708" s="104" t="s">
        <v>121</v>
      </c>
      <c r="D708" s="2" t="s">
        <v>132</v>
      </c>
      <c r="E708" s="2" t="s">
        <v>135</v>
      </c>
      <c r="F708" s="105" t="s">
        <v>94</v>
      </c>
      <c r="G708" s="27" t="s">
        <v>1580</v>
      </c>
      <c r="H708" s="106" t="s">
        <v>131</v>
      </c>
      <c r="I708" s="107" t="s">
        <v>129</v>
      </c>
      <c r="J708" s="147">
        <v>3.7523941999999999</v>
      </c>
      <c r="K708" s="148">
        <v>0.4056506487491307</v>
      </c>
      <c r="L708" s="149">
        <f t="shared" ca="1" si="193"/>
        <v>1.5567948725733542</v>
      </c>
      <c r="M708" s="148">
        <f t="shared" ca="1" si="194"/>
        <v>1.0371654987778323</v>
      </c>
      <c r="N708" s="148">
        <f t="shared" ca="1" si="195"/>
        <v>0.63151485002870145</v>
      </c>
      <c r="O708" s="1062" t="s">
        <v>1586</v>
      </c>
      <c r="P708" s="104"/>
      <c r="R708" s="119"/>
      <c r="S708" s="1072"/>
      <c r="T708" s="1072"/>
      <c r="U708" s="1072"/>
      <c r="V708" s="1072"/>
      <c r="W708" s="1072"/>
      <c r="X708" s="1072"/>
      <c r="Y708" s="1072"/>
      <c r="Z708" s="1072"/>
      <c r="AA708" s="1072"/>
      <c r="AB708" s="1072"/>
      <c r="AC708" s="1072"/>
      <c r="AD708" s="1072"/>
      <c r="AE708" s="1072"/>
      <c r="AF708" s="1072"/>
      <c r="AG708" s="1072"/>
      <c r="AH708" s="1072"/>
      <c r="AI708" s="1072"/>
      <c r="AJ708" s="1073"/>
      <c r="AK708" s="1052" cm="1">
        <f t="array" aca="1" ref="AK708" ca="1">INDEX(OFFSET($AK$19,MATCH($B708,$B$19:$B$150,0)-1,0,COUNTA($B$19:$B$24),COUNTA($AK$17:$BB$17)),MATCH($F708,$F$19:$F$24,0),MATCH(AK$17,$AK$17:$BB$17,0))*INDEX($10:$13,MATCH($O708,$R$10:$R$13,0),COLUMN())</f>
        <v>2.7397247599999997E-2</v>
      </c>
      <c r="AL708" s="1050" cm="1">
        <f t="array" aca="1" ref="AL708" ca="1">INDEX(OFFSET($AK$19,MATCH($B708,$B$19:$B$150,0)-1,0,COUNTA($B$19:$B$24),COUNTA($AK$17:$BB$17)),MATCH($F708,$F$19:$F$24,0),MATCH(AL$17,$AK$17:$BB$17,0))*INDEX($10:$13,MATCH($O708,$R$10:$R$13,0),COLUMN())</f>
        <v>3.6020464200000007E-8</v>
      </c>
      <c r="AM708" s="1050" cm="1">
        <f t="array" aca="1" ref="AM708" ca="1">INDEX(OFFSET($AK$19,MATCH($B708,$B$19:$B$150,0)-1,0,COUNTA($B$19:$B$24),COUNTA($AK$17:$BB$17)),MATCH($F708,$F$19:$F$24,0),MATCH(AM$17,$AK$17:$BB$17,0))*INDEX($10:$13,MATCH($O708,$R$10:$R$13,0),COLUMN())</f>
        <v>0</v>
      </c>
      <c r="AN708" s="1050" cm="1">
        <f t="array" aca="1" ref="AN708" ca="1">INDEX(OFFSET($AK$19,MATCH($B708,$B$19:$B$150,0)-1,0,COUNTA($B$19:$B$24),COUNTA($AK$17:$BB$17)),MATCH($F708,$F$19:$F$24,0),MATCH(AN$17,$AK$17:$BB$17,0))*INDEX($10:$13,MATCH($O708,$R$10:$R$13,0),COLUMN())</f>
        <v>1.3811165676000001E-3</v>
      </c>
      <c r="AO708" s="1050" cm="1">
        <f t="array" aca="1" ref="AO708" ca="1">INDEX(OFFSET($AK$19,MATCH($B708,$B$19:$B$150,0)-1,0,COUNTA($B$19:$B$24),COUNTA($AK$17:$BB$17)),MATCH($F708,$F$19:$F$24,0),MATCH(AO$17,$AK$17:$BB$17,0))*INDEX($10:$13,MATCH($O708,$R$10:$R$13,0),COLUMN())</f>
        <v>8.7009140342465749E-3</v>
      </c>
      <c r="AP708" s="1050" cm="1">
        <f t="array" aca="1" ref="AP708" ca="1">INDEX(OFFSET($AK$19,MATCH($B708,$B$19:$B$150,0)-1,0,COUNTA($B$19:$B$24),COUNTA($AK$17:$BB$17)),MATCH($F708,$F$19:$F$24,0),MATCH(AP$17,$AK$17:$BB$17,0))*INDEX($10:$13,MATCH($O708,$R$10:$R$13,0),COLUMN())</f>
        <v>3.8687601119999997E-3</v>
      </c>
      <c r="AQ708" s="1050" cm="1">
        <f t="array" aca="1" ref="AQ708" ca="1">INDEX(OFFSET($AK$19,MATCH($B708,$B$19:$B$150,0)-1,0,COUNTA($B$19:$B$24),COUNTA($AK$17:$BB$17)),MATCH($F708,$F$19:$F$24,0),MATCH(AQ$17,$AK$17:$BB$17,0))*INDEX($10:$13,MATCH($O708,$R$10:$R$13,0),COLUMN())</f>
        <v>6.1350930080000003E-3</v>
      </c>
      <c r="AR708" s="1050" cm="1">
        <f t="array" aca="1" ref="AR708" ca="1">INDEX(OFFSET($AK$19,MATCH($B708,$B$19:$B$150,0)-1,0,COUNTA($B$19:$B$24),COUNTA($AK$17:$BB$17)),MATCH($F708,$F$19:$F$24,0),MATCH(AR$17,$AK$17:$BB$17,0))*INDEX($10:$13,MATCH($O708,$R$10:$R$13,0),COLUMN())</f>
        <v>0.18753599540000002</v>
      </c>
      <c r="AS708" s="1050" cm="1">
        <f t="array" aca="1" ref="AS708" ca="1">INDEX(OFFSET($AK$19,MATCH($B708,$B$19:$B$150,0)-1,0,COUNTA($B$19:$B$24),COUNTA($AK$17:$BB$17)),MATCH($F708,$F$19:$F$24,0),MATCH(AS$17,$AK$17:$BB$17,0))*INDEX($10:$13,MATCH($O708,$R$10:$R$13,0),COLUMN())</f>
        <v>-9.0675961939999994E-5</v>
      </c>
      <c r="AT708" s="1050" cm="1">
        <f t="array" aca="1" ref="AT708" ca="1">INDEX(OFFSET($AK$19,MATCH($B708,$B$19:$B$150,0)-1,0,COUNTA($B$19:$B$24),COUNTA($AK$17:$BB$17)),MATCH($F708,$F$19:$F$24,0),MATCH(AT$17,$AK$17:$BB$17,0))*INDEX($10:$13,MATCH($O708,$R$10:$R$13,0),COLUMN())</f>
        <v>2.6196526732E-6</v>
      </c>
      <c r="AU708" s="1050" cm="1">
        <f t="array" aca="1" ref="AU708" ca="1">INDEX(OFFSET($AK$19,MATCH($B708,$B$19:$B$150,0)-1,0,COUNTA($B$19:$B$24),COUNTA($AK$17:$BB$17)),MATCH($F708,$F$19:$F$24,0),MATCH(AU$17,$AK$17:$BB$17,0))*INDEX($10:$13,MATCH($O708,$R$10:$R$13,0),COLUMN())</f>
        <v>5.618411967E-7</v>
      </c>
      <c r="AV708" s="1050" cm="1">
        <f t="array" aca="1" ref="AV708" ca="1">INDEX(OFFSET($AK$19,MATCH($B708,$B$19:$B$150,0)-1,0,COUNTA($B$19:$B$24),COUNTA($AK$17:$BB$17)),MATCH($F708,$F$19:$F$24,0),MATCH(AV$17,$AK$17:$BB$17,0))*INDEX($10:$13,MATCH($O708,$R$10:$R$13,0),COLUMN())</f>
        <v>7.6899892392349642E-5</v>
      </c>
      <c r="AW708" s="1050" cm="1">
        <f t="array" aca="1" ref="AW708" ca="1">INDEX(OFFSET($AK$19,MATCH($B708,$B$19:$B$150,0)-1,0,COUNTA($B$19:$B$24),COUNTA($AK$17:$BB$17)),MATCH($F708,$F$19:$F$24,0),MATCH(AW$17,$AK$17:$BB$17,0))*INDEX($10:$13,MATCH($O708,$R$10:$R$13,0),COLUMN())</f>
        <v>0.38404458290000004</v>
      </c>
      <c r="AX708" s="1050" cm="1">
        <f t="array" aca="1" ref="AX708" ca="1">INDEX(OFFSET($AK$19,MATCH($B708,$B$19:$B$150,0)-1,0,COUNTA($B$19:$B$24),COUNTA($AK$17:$BB$17)),MATCH($F708,$F$19:$F$24,0),MATCH(AX$17,$AK$17:$BB$17,0))*INDEX($10:$13,MATCH($O708,$R$10:$R$13,0),COLUMN())</f>
        <v>1.1422807586000002E-7</v>
      </c>
      <c r="AY708" s="1050" cm="1">
        <f t="array" aca="1" ref="AY708" ca="1">INDEX(OFFSET($AK$19,MATCH($B708,$B$19:$B$150,0)-1,0,COUNTA($B$19:$B$24),COUNTA($AK$17:$BB$17)),MATCH($F708,$F$19:$F$24,0),MATCH(AY$17,$AK$17:$BB$17,0))*INDEX($10:$13,MATCH($O708,$R$10:$R$13,0),COLUMN())</f>
        <v>-7.3249811270000004E-11</v>
      </c>
      <c r="AZ708" s="1050" cm="1">
        <f t="array" aca="1" ref="AZ708" ca="1">INDEX(OFFSET($AK$19,MATCH($B708,$B$19:$B$150,0)-1,0,COUNTA($B$19:$B$24),COUNTA($AK$17:$BB$17)),MATCH($F708,$F$19:$F$24,0),MATCH(AZ$17,$AK$17:$BB$17,0))*INDEX($10:$13,MATCH($O708,$R$10:$R$13,0),COLUMN())</f>
        <v>3.6073182423887585E-6</v>
      </c>
      <c r="BA708" s="1050" cm="1">
        <f t="array" aca="1" ref="BA708" ca="1">INDEX(OFFSET($AK$19,MATCH($B708,$B$19:$B$150,0)-1,0,COUNTA($B$19:$B$24),COUNTA($AK$17:$BB$17)),MATCH($F708,$F$19:$F$24,0),MATCH(BA$17,$AK$17:$BB$17,0))*INDEX($10:$13,MATCH($O708,$R$10:$R$13,0),COLUMN())</f>
        <v>1.0075074329999999E-2</v>
      </c>
      <c r="BB708" s="1051" cm="1">
        <f t="array" aca="1" ref="BB708" ca="1">INDEX(OFFSET($AK$19,MATCH($B708,$B$19:$B$150,0)-1,0,COUNTA($B$19:$B$24),COUNTA($AK$17:$BB$17)),MATCH($F708,$F$19:$F$24,0),MATCH(BB$17,$AK$17:$BB$17,0))*INDEX($10:$13,MATCH($O708,$R$10:$R$13,0),COLUMN())</f>
        <v>2.3829031589999998E-3</v>
      </c>
      <c r="BC708" s="1053">
        <f t="shared" ca="1" si="196"/>
        <v>0.38404469705482613</v>
      </c>
      <c r="BE708" s="1"/>
      <c r="BF708" s="1"/>
      <c r="BG708" s="1"/>
      <c r="BH708" s="1"/>
      <c r="BI708" s="1"/>
      <c r="BJ708" s="1"/>
      <c r="BK708" s="1"/>
      <c r="BL708" s="1"/>
      <c r="BM708" s="1"/>
      <c r="BN708" s="1"/>
      <c r="BO708" s="1"/>
      <c r="BP708" s="1"/>
      <c r="BQ708" s="1"/>
      <c r="BR708" s="1"/>
      <c r="BS708" s="1"/>
      <c r="BT708" s="1"/>
      <c r="BU708" s="1"/>
      <c r="BV708" s="1"/>
      <c r="BW708" s="1"/>
      <c r="BX708" s="1"/>
      <c r="BY708" s="1"/>
      <c r="BZ708" s="1"/>
    </row>
    <row r="709" spans="2:78" ht="12" customHeight="1" outlineLevel="1" x14ac:dyDescent="0.25">
      <c r="B709" s="104" t="s">
        <v>100</v>
      </c>
      <c r="C709" s="104" t="s">
        <v>121</v>
      </c>
      <c r="D709" s="2" t="s">
        <v>132</v>
      </c>
      <c r="E709" s="2" t="s">
        <v>135</v>
      </c>
      <c r="F709" s="105" t="s">
        <v>95</v>
      </c>
      <c r="G709" s="27" t="s">
        <v>1581</v>
      </c>
      <c r="H709" s="106" t="s">
        <v>128</v>
      </c>
      <c r="I709" s="107" t="s">
        <v>127</v>
      </c>
      <c r="J709" s="147">
        <v>3.7523941999999999</v>
      </c>
      <c r="K709" s="148">
        <v>0.4056506487491307</v>
      </c>
      <c r="L709" s="149">
        <f t="shared" ca="1" si="193"/>
        <v>2.2481698928657607</v>
      </c>
      <c r="M709" s="148">
        <f t="shared" ca="1" si="194"/>
        <v>1.3176222242883902</v>
      </c>
      <c r="N709" s="148">
        <f t="shared" ca="1" si="195"/>
        <v>0.91197157553925956</v>
      </c>
      <c r="O709" s="1062" t="s">
        <v>1586</v>
      </c>
      <c r="P709" s="104"/>
      <c r="R709" s="119"/>
      <c r="S709" s="1072"/>
      <c r="T709" s="1072"/>
      <c r="U709" s="1072"/>
      <c r="V709" s="1072"/>
      <c r="W709" s="1072"/>
      <c r="X709" s="1072"/>
      <c r="Y709" s="1072"/>
      <c r="Z709" s="1072"/>
      <c r="AA709" s="1072"/>
      <c r="AB709" s="1072"/>
      <c r="AC709" s="1072"/>
      <c r="AD709" s="1072"/>
      <c r="AE709" s="1072"/>
      <c r="AF709" s="1072"/>
      <c r="AG709" s="1072"/>
      <c r="AH709" s="1072"/>
      <c r="AI709" s="1072"/>
      <c r="AJ709" s="1073"/>
      <c r="AK709" s="1052" cm="1">
        <f t="array" aca="1" ref="AK709" ca="1">INDEX(OFFSET($AK$19,MATCH($B709,$B$19:$B$150,0)-1,0,COUNTA($B$19:$B$24),COUNTA($AK$17:$BB$17)),MATCH($F709,$F$19:$F$24,0),MATCH(AK$17,$AK$17:$BB$17,0))*INDEX($10:$13,MATCH($O709,$R$10:$R$13,0),COLUMN())</f>
        <v>3.7886772159999998E-2</v>
      </c>
      <c r="AL709" s="1050" cm="1">
        <f t="array" aca="1" ref="AL709" ca="1">INDEX(OFFSET($AK$19,MATCH($B709,$B$19:$B$150,0)-1,0,COUNTA($B$19:$B$24),COUNTA($AK$17:$BB$17)),MATCH($F709,$F$19:$F$24,0),MATCH(AL$17,$AK$17:$BB$17,0))*INDEX($10:$13,MATCH($O709,$R$10:$R$13,0),COLUMN())</f>
        <v>4.4034372660000001E-8</v>
      </c>
      <c r="AM709" s="1050" cm="1">
        <f t="array" aca="1" ref="AM709" ca="1">INDEX(OFFSET($AK$19,MATCH($B709,$B$19:$B$150,0)-1,0,COUNTA($B$19:$B$24),COUNTA($AK$17:$BB$17)),MATCH($F709,$F$19:$F$24,0),MATCH(AM$17,$AK$17:$BB$17,0))*INDEX($10:$13,MATCH($O709,$R$10:$R$13,0),COLUMN())</f>
        <v>0</v>
      </c>
      <c r="AN709" s="1050" cm="1">
        <f t="array" aca="1" ref="AN709" ca="1">INDEX(OFFSET($AK$19,MATCH($B709,$B$19:$B$150,0)-1,0,COUNTA($B$19:$B$24),COUNTA($AK$17:$BB$17)),MATCH($F709,$F$19:$F$24,0),MATCH(AN$17,$AK$17:$BB$17,0))*INDEX($10:$13,MATCH($O709,$R$10:$R$13,0),COLUMN())</f>
        <v>1.7927308746E-3</v>
      </c>
      <c r="AO709" s="1050" cm="1">
        <f t="array" aca="1" ref="AO709" ca="1">INDEX(OFFSET($AK$19,MATCH($B709,$B$19:$B$150,0)-1,0,COUNTA($B$19:$B$24),COUNTA($AK$17:$BB$17)),MATCH($F709,$F$19:$F$24,0),MATCH(AO$17,$AK$17:$BB$17,0))*INDEX($10:$13,MATCH($O709,$R$10:$R$13,0),COLUMN())</f>
        <v>2.461581313972603E-2</v>
      </c>
      <c r="AP709" s="1050" cm="1">
        <f t="array" aca="1" ref="AP709" ca="1">INDEX(OFFSET($AK$19,MATCH($B709,$B$19:$B$150,0)-1,0,COUNTA($B$19:$B$24),COUNTA($AK$17:$BB$17)),MATCH($F709,$F$19:$F$24,0),MATCH(AP$17,$AK$17:$BB$17,0))*INDEX($10:$13,MATCH($O709,$R$10:$R$13,0),COLUMN())</f>
        <v>1.5901939872E-2</v>
      </c>
      <c r="AQ709" s="1050" cm="1">
        <f t="array" aca="1" ref="AQ709" ca="1">INDEX(OFFSET($AK$19,MATCH($B709,$B$19:$B$150,0)-1,0,COUNTA($B$19:$B$24),COUNTA($AK$17:$BB$17)),MATCH($F709,$F$19:$F$24,0),MATCH(AQ$17,$AK$17:$BB$17,0))*INDEX($10:$13,MATCH($O709,$R$10:$R$13,0),COLUMN())</f>
        <v>2.9457862047999998E-2</v>
      </c>
      <c r="AR709" s="1050" cm="1">
        <f t="array" aca="1" ref="AR709" ca="1">INDEX(OFFSET($AK$19,MATCH($B709,$B$19:$B$150,0)-1,0,COUNTA($B$19:$B$24),COUNTA($AK$17:$BB$17)),MATCH($F709,$F$19:$F$24,0),MATCH(AR$17,$AK$17:$BB$17,0))*INDEX($10:$13,MATCH($O709,$R$10:$R$13,0),COLUMN())</f>
        <v>0.31756491302000001</v>
      </c>
      <c r="AS709" s="1050" cm="1">
        <f t="array" aca="1" ref="AS709" ca="1">INDEX(OFFSET($AK$19,MATCH($B709,$B$19:$B$150,0)-1,0,COUNTA($B$19:$B$24),COUNTA($AK$17:$BB$17)),MATCH($F709,$F$19:$F$24,0),MATCH(AS$17,$AK$17:$BB$17,0))*INDEX($10:$13,MATCH($O709,$R$10:$R$13,0),COLUMN())</f>
        <v>1.6073675564999999E-3</v>
      </c>
      <c r="AT709" s="1050" cm="1">
        <f t="array" aca="1" ref="AT709" ca="1">INDEX(OFFSET($AK$19,MATCH($B709,$B$19:$B$150,0)-1,0,COUNTA($B$19:$B$24),COUNTA($AK$17:$BB$17)),MATCH($F709,$F$19:$F$24,0),MATCH(AT$17,$AK$17:$BB$17,0))*INDEX($10:$13,MATCH($O709,$R$10:$R$13,0),COLUMN())</f>
        <v>4.44520595E-6</v>
      </c>
      <c r="AU709" s="1050" cm="1">
        <f t="array" aca="1" ref="AU709" ca="1">INDEX(OFFSET($AK$19,MATCH($B709,$B$19:$B$150,0)-1,0,COUNTA($B$19:$B$24),COUNTA($AK$17:$BB$17)),MATCH($F709,$F$19:$F$24,0),MATCH(AU$17,$AK$17:$BB$17,0))*INDEX($10:$13,MATCH($O709,$R$10:$R$13,0),COLUMN())</f>
        <v>8.7500110919999992E-7</v>
      </c>
      <c r="AV709" s="1050" cm="1">
        <f t="array" aca="1" ref="AV709" ca="1">INDEX(OFFSET($AK$19,MATCH($B709,$B$19:$B$150,0)-1,0,COUNTA($B$19:$B$24),COUNTA($AK$17:$BB$17)),MATCH($F709,$F$19:$F$24,0),MATCH(AV$17,$AK$17:$BB$17,0))*INDEX($10:$13,MATCH($O709,$R$10:$R$13,0),COLUMN())</f>
        <v>1.2882376349157725E-3</v>
      </c>
      <c r="AW709" s="1050" cm="1">
        <f t="array" aca="1" ref="AW709" ca="1">INDEX(OFFSET($AK$19,MATCH($B709,$B$19:$B$150,0)-1,0,COUNTA($B$19:$B$24),COUNTA($AK$17:$BB$17)),MATCH($F709,$F$19:$F$24,0),MATCH(AW$17,$AK$17:$BB$17,0))*INDEX($10:$13,MATCH($O709,$R$10:$R$13,0),COLUMN())</f>
        <v>0.46602803590000003</v>
      </c>
      <c r="AX709" s="1050" cm="1">
        <f t="array" aca="1" ref="AX709" ca="1">INDEX(OFFSET($AK$19,MATCH($B709,$B$19:$B$150,0)-1,0,COUNTA($B$19:$B$24),COUNTA($AK$17:$BB$17)),MATCH($F709,$F$19:$F$24,0),MATCH(AX$17,$AK$17:$BB$17,0))*INDEX($10:$13,MATCH($O709,$R$10:$R$13,0),COLUMN())</f>
        <v>1.3861278459000001E-7</v>
      </c>
      <c r="AY709" s="1050" cm="1">
        <f t="array" aca="1" ref="AY709" ca="1">INDEX(OFFSET($AK$19,MATCH($B709,$B$19:$B$150,0)-1,0,COUNTA($B$19:$B$24),COUNTA($AK$17:$BB$17)),MATCH($F709,$F$19:$F$24,0),MATCH(AY$17,$AK$17:$BB$17,0))*INDEX($10:$13,MATCH($O709,$R$10:$R$13,0),COLUMN())</f>
        <v>-8.8886729599999989E-11</v>
      </c>
      <c r="AZ709" s="1050" cm="1">
        <f t="array" aca="1" ref="AZ709" ca="1">INDEX(OFFSET($AK$19,MATCH($B709,$B$19:$B$150,0)-1,0,COUNTA($B$19:$B$24),COUNTA($AK$17:$BB$17)),MATCH($F709,$F$19:$F$24,0),MATCH(AZ$17,$AK$17:$BB$17,0))*INDEX($10:$13,MATCH($O709,$R$10:$R$13,0),COLUMN())</f>
        <v>4.3835611880562058E-6</v>
      </c>
      <c r="BA709" s="1050" cm="1">
        <f t="array" aca="1" ref="BA709" ca="1">INDEX(OFFSET($AK$19,MATCH($B709,$B$19:$B$150,0)-1,0,COUNTA($B$19:$B$24),COUNTA($AK$17:$BB$17)),MATCH($F709,$F$19:$F$24,0),MATCH(BA$17,$AK$17:$BB$17,0))*INDEX($10:$13,MATCH($O709,$R$10:$R$13,0),COLUMN())</f>
        <v>1.2925853881E-2</v>
      </c>
      <c r="BB709" s="1051" cm="1">
        <f t="array" aca="1" ref="BB709" ca="1">INDEX(OFFSET($AK$19,MATCH($B709,$B$19:$B$150,0)-1,0,COUNTA($B$19:$B$24),COUNTA($AK$17:$BB$17)),MATCH($F709,$F$19:$F$24,0),MATCH(BB$17,$AK$17:$BB$17,0))*INDEX($10:$13,MATCH($O709,$R$10:$R$13,0),COLUMN())</f>
        <v>2.892163126E-3</v>
      </c>
      <c r="BC709" s="1053">
        <f t="shared" ca="1" si="196"/>
        <v>0.46602817442389788</v>
      </c>
      <c r="BE709" s="1"/>
      <c r="BF709" s="1"/>
      <c r="BG709" s="1"/>
      <c r="BH709" s="1"/>
      <c r="BI709" s="1"/>
      <c r="BJ709" s="1"/>
      <c r="BK709" s="1"/>
      <c r="BL709" s="1"/>
      <c r="BM709" s="1"/>
      <c r="BN709" s="1"/>
      <c r="BO709" s="1"/>
      <c r="BP709" s="1"/>
      <c r="BQ709" s="1"/>
      <c r="BR709" s="1"/>
      <c r="BS709" s="1"/>
      <c r="BT709" s="1"/>
      <c r="BU709" s="1"/>
      <c r="BV709" s="1"/>
      <c r="BW709" s="1"/>
      <c r="BX709" s="1"/>
      <c r="BY709" s="1"/>
      <c r="BZ709" s="1"/>
    </row>
    <row r="710" spans="2:78" ht="12" customHeight="1" outlineLevel="1" x14ac:dyDescent="0.25">
      <c r="B710" s="104" t="s">
        <v>100</v>
      </c>
      <c r="C710" s="104" t="s">
        <v>121</v>
      </c>
      <c r="D710" s="2" t="s">
        <v>132</v>
      </c>
      <c r="E710" s="2" t="s">
        <v>135</v>
      </c>
      <c r="F710" s="105" t="s">
        <v>96</v>
      </c>
      <c r="G710" s="27" t="s">
        <v>1582</v>
      </c>
      <c r="H710" s="106" t="s">
        <v>128</v>
      </c>
      <c r="I710" s="107" t="s">
        <v>1577</v>
      </c>
      <c r="J710" s="147">
        <v>3.7523941999999999</v>
      </c>
      <c r="K710" s="148">
        <v>0.4056506487491307</v>
      </c>
      <c r="L710" s="149">
        <f t="shared" ca="1" si="193"/>
        <v>2.5087678203070696</v>
      </c>
      <c r="M710" s="148">
        <f t="shared" ca="1" si="194"/>
        <v>1.4233339426176361</v>
      </c>
      <c r="N710" s="148">
        <f t="shared" ca="1" si="195"/>
        <v>1.0176832938685054</v>
      </c>
      <c r="O710" s="1062" t="s">
        <v>1586</v>
      </c>
      <c r="P710" s="104"/>
      <c r="R710" s="119"/>
      <c r="S710" s="1072"/>
      <c r="T710" s="1072"/>
      <c r="U710" s="1072"/>
      <c r="V710" s="1072"/>
      <c r="W710" s="1072"/>
      <c r="X710" s="1072"/>
      <c r="Y710" s="1072"/>
      <c r="Z710" s="1072"/>
      <c r="AA710" s="1072"/>
      <c r="AB710" s="1072"/>
      <c r="AC710" s="1072"/>
      <c r="AD710" s="1072"/>
      <c r="AE710" s="1072"/>
      <c r="AF710" s="1072"/>
      <c r="AG710" s="1072"/>
      <c r="AH710" s="1072"/>
      <c r="AI710" s="1072"/>
      <c r="AJ710" s="1073"/>
      <c r="AK710" s="1052" cm="1">
        <f t="array" aca="1" ref="AK710" ca="1">INDEX(OFFSET($AK$19,MATCH($B710,$B$19:$B$150,0)-1,0,COUNTA($B$19:$B$24),COUNTA($AK$17:$BB$17)),MATCH($F710,$F$19:$F$24,0),MATCH(AK$17,$AK$17:$BB$17,0))*INDEX($10:$13,MATCH($O710,$R$10:$R$13,0),COLUMN())</f>
        <v>4.1212849839999996E-2</v>
      </c>
      <c r="AL710" s="1050" cm="1">
        <f t="array" aca="1" ref="AL710" ca="1">INDEX(OFFSET($AK$19,MATCH($B710,$B$19:$B$150,0)-1,0,COUNTA($B$19:$B$24),COUNTA($AK$17:$BB$17)),MATCH($F710,$F$19:$F$24,0),MATCH(AL$17,$AK$17:$BB$17,0))*INDEX($10:$13,MATCH($O710,$R$10:$R$13,0),COLUMN())</f>
        <v>4.4246135220000004E-8</v>
      </c>
      <c r="AM710" s="1050" cm="1">
        <f t="array" aca="1" ref="AM710" ca="1">INDEX(OFFSET($AK$19,MATCH($B710,$B$19:$B$150,0)-1,0,COUNTA($B$19:$B$24),COUNTA($AK$17:$BB$17)),MATCH($F710,$F$19:$F$24,0),MATCH(AM$17,$AK$17:$BB$17,0))*INDEX($10:$13,MATCH($O710,$R$10:$R$13,0),COLUMN())</f>
        <v>0</v>
      </c>
      <c r="AN710" s="1050" cm="1">
        <f t="array" aca="1" ref="AN710" ca="1">INDEX(OFFSET($AK$19,MATCH($B710,$B$19:$B$150,0)-1,0,COUNTA($B$19:$B$24),COUNTA($AK$17:$BB$17)),MATCH($F710,$F$19:$F$24,0),MATCH(AN$17,$AK$17:$BB$17,0))*INDEX($10:$13,MATCH($O710,$R$10:$R$13,0),COLUMN())</f>
        <v>1.8689446734E-3</v>
      </c>
      <c r="AO710" s="1050" cm="1">
        <f t="array" aca="1" ref="AO710" ca="1">INDEX(OFFSET($AK$19,MATCH($B710,$B$19:$B$150,0)-1,0,COUNTA($B$19:$B$24),COUNTA($AK$17:$BB$17)),MATCH($F710,$F$19:$F$24,0),MATCH(AO$17,$AK$17:$BB$17,0))*INDEX($10:$13,MATCH($O710,$R$10:$R$13,0),COLUMN())</f>
        <v>3.4835901205479448E-2</v>
      </c>
      <c r="AP710" s="1050" cm="1">
        <f t="array" aca="1" ref="AP710" ca="1">INDEX(OFFSET($AK$19,MATCH($B710,$B$19:$B$150,0)-1,0,COUNTA($B$19:$B$24),COUNTA($AK$17:$BB$17)),MATCH($F710,$F$19:$F$24,0),MATCH(AP$17,$AK$17:$BB$17,0))*INDEX($10:$13,MATCH($O710,$R$10:$R$13,0),COLUMN())</f>
        <v>2.4066315168000001E-2</v>
      </c>
      <c r="AQ710" s="1050" cm="1">
        <f t="array" aca="1" ref="AQ710" ca="1">INDEX(OFFSET($AK$19,MATCH($B710,$B$19:$B$150,0)-1,0,COUNTA($B$19:$B$24),COUNTA($AK$17:$BB$17)),MATCH($F710,$F$19:$F$24,0),MATCH(AQ$17,$AK$17:$BB$17,0))*INDEX($10:$13,MATCH($O710,$R$10:$R$13,0),COLUMN())</f>
        <v>4.5135126240000004E-2</v>
      </c>
      <c r="AR710" s="1050" cm="1">
        <f t="array" aca="1" ref="AR710" ca="1">INDEX(OFFSET($AK$19,MATCH($B710,$B$19:$B$150,0)-1,0,COUNTA($B$19:$B$24),COUNTA($AK$17:$BB$17)),MATCH($F710,$F$19:$F$24,0),MATCH(AR$17,$AK$17:$BB$17,0))*INDEX($10:$13,MATCH($O710,$R$10:$R$13,0),COLUMN())</f>
        <v>0.38317785832000001</v>
      </c>
      <c r="AS710" s="1050" cm="1">
        <f t="array" aca="1" ref="AS710" ca="1">INDEX(OFFSET($AK$19,MATCH($B710,$B$19:$B$150,0)-1,0,COUNTA($B$19:$B$24),COUNTA($AK$17:$BB$17)),MATCH($F710,$F$19:$F$24,0),MATCH(AS$17,$AK$17:$BB$17,0))*INDEX($10:$13,MATCH($O710,$R$10:$R$13,0),COLUMN())</f>
        <v>2.8071672809999999E-3</v>
      </c>
      <c r="AT710" s="1050" cm="1">
        <f t="array" aca="1" ref="AT710" ca="1">INDEX(OFFSET($AK$19,MATCH($B710,$B$19:$B$150,0)-1,0,COUNTA($B$19:$B$24),COUNTA($AK$17:$BB$17)),MATCH($F710,$F$19:$F$24,0),MATCH(AT$17,$AK$17:$BB$17,0))*INDEX($10:$13,MATCH($O710,$R$10:$R$13,0),COLUMN())</f>
        <v>4.986591988E-6</v>
      </c>
      <c r="AU710" s="1050" cm="1">
        <f t="array" aca="1" ref="AU710" ca="1">INDEX(OFFSET($AK$19,MATCH($B710,$B$19:$B$150,0)-1,0,COUNTA($B$19:$B$24),COUNTA($AK$17:$BB$17)),MATCH($F710,$F$19:$F$24,0),MATCH(AU$17,$AK$17:$BB$17,0))*INDEX($10:$13,MATCH($O710,$R$10:$R$13,0),COLUMN())</f>
        <v>9.5235252299999992E-7</v>
      </c>
      <c r="AV710" s="1050" cm="1">
        <f t="array" aca="1" ref="AV710" ca="1">INDEX(OFFSET($AK$19,MATCH($B710,$B$19:$B$150,0)-1,0,COUNTA($B$19:$B$24),COUNTA($AK$17:$BB$17)),MATCH($F710,$F$19:$F$24,0),MATCH(AV$17,$AK$17:$BB$17,0))*INDEX($10:$13,MATCH($O710,$R$10:$R$13,0),COLUMN())</f>
        <v>2.2653546201222736E-3</v>
      </c>
      <c r="AW710" s="1050" cm="1">
        <f t="array" aca="1" ref="AW710" ca="1">INDEX(OFFSET($AK$19,MATCH($B710,$B$19:$B$150,0)-1,0,COUNTA($B$19:$B$24),COUNTA($AK$17:$BB$17)),MATCH($F710,$F$19:$F$24,0),MATCH(AW$17,$AK$17:$BB$17,0))*INDEX($10:$13,MATCH($O710,$R$10:$R$13,0),COLUMN())</f>
        <v>0.46602803590000003</v>
      </c>
      <c r="AX710" s="1050" cm="1">
        <f t="array" aca="1" ref="AX710" ca="1">INDEX(OFFSET($AK$19,MATCH($B710,$B$19:$B$150,0)-1,0,COUNTA($B$19:$B$24),COUNTA($AK$17:$BB$17)),MATCH($F710,$F$19:$F$24,0),MATCH(AX$17,$AK$17:$BB$17,0))*INDEX($10:$13,MATCH($O710,$R$10:$R$13,0),COLUMN())</f>
        <v>1.3861278459000001E-7</v>
      </c>
      <c r="AY710" s="1050" cm="1">
        <f t="array" aca="1" ref="AY710" ca="1">INDEX(OFFSET($AK$19,MATCH($B710,$B$19:$B$150,0)-1,0,COUNTA($B$19:$B$24),COUNTA($AK$17:$BB$17)),MATCH($F710,$F$19:$F$24,0),MATCH(AY$17,$AK$17:$BB$17,0))*INDEX($10:$13,MATCH($O710,$R$10:$R$13,0),COLUMN())</f>
        <v>-8.8886729599999989E-11</v>
      </c>
      <c r="AZ710" s="1050" cm="1">
        <f t="array" aca="1" ref="AZ710" ca="1">INDEX(OFFSET($AK$19,MATCH($B710,$B$19:$B$150,0)-1,0,COUNTA($B$19:$B$24),COUNTA($AK$17:$BB$17)),MATCH($F710,$F$19:$F$24,0),MATCH(AZ$17,$AK$17:$BB$17,0))*INDEX($10:$13,MATCH($O710,$R$10:$R$13,0),COLUMN())</f>
        <v>4.3875909599531612E-6</v>
      </c>
      <c r="BA710" s="1050" cm="1">
        <f t="array" aca="1" ref="BA710" ca="1">INDEX(OFFSET($AK$19,MATCH($B710,$B$19:$B$150,0)-1,0,COUNTA($B$19:$B$24),COUNTA($AK$17:$BB$17)),MATCH($F710,$F$19:$F$24,0),MATCH(BA$17,$AK$17:$BB$17,0))*INDEX($10:$13,MATCH($O710,$R$10:$R$13,0),COLUMN())</f>
        <v>1.3382694555E-2</v>
      </c>
      <c r="BB710" s="1051" cm="1">
        <f t="array" aca="1" ref="BB710" ca="1">INDEX(OFFSET($AK$19,MATCH($B710,$B$19:$B$150,0)-1,0,COUNTA($B$19:$B$24),COUNTA($AK$17:$BB$17)),MATCH($F710,$F$19:$F$24,0),MATCH(BB$17,$AK$17:$BB$17,0))*INDEX($10:$13,MATCH($O710,$R$10:$R$13,0),COLUMN())</f>
        <v>2.8925367600000002E-3</v>
      </c>
      <c r="BC710" s="1053">
        <f t="shared" ca="1" si="196"/>
        <v>0.46602817442389788</v>
      </c>
      <c r="BE710" s="1"/>
      <c r="BF710" s="1"/>
      <c r="BG710" s="1"/>
      <c r="BH710" s="1"/>
      <c r="BI710" s="1"/>
      <c r="BJ710" s="1"/>
      <c r="BK710" s="1"/>
      <c r="BL710" s="1"/>
      <c r="BM710" s="1"/>
      <c r="BN710" s="1"/>
      <c r="BO710" s="1"/>
      <c r="BP710" s="1"/>
      <c r="BQ710" s="1"/>
      <c r="BR710" s="1"/>
      <c r="BS710" s="1"/>
      <c r="BT710" s="1"/>
      <c r="BU710" s="1"/>
      <c r="BV710" s="1"/>
      <c r="BW710" s="1"/>
      <c r="BX710" s="1"/>
      <c r="BY710" s="1"/>
      <c r="BZ710" s="1"/>
    </row>
    <row r="711" spans="2:78" ht="12" customHeight="1" outlineLevel="1" x14ac:dyDescent="0.25">
      <c r="B711" s="88" t="s">
        <v>101</v>
      </c>
      <c r="C711" s="88" t="s">
        <v>121</v>
      </c>
      <c r="D711" s="89" t="s">
        <v>132</v>
      </c>
      <c r="E711" s="89" t="s">
        <v>136</v>
      </c>
      <c r="F711" s="90" t="s">
        <v>92</v>
      </c>
      <c r="G711" s="18" t="s">
        <v>126</v>
      </c>
      <c r="H711" s="91" t="s">
        <v>127</v>
      </c>
      <c r="I711" s="92" t="s">
        <v>127</v>
      </c>
      <c r="J711" s="142">
        <v>3.7906351599999999</v>
      </c>
      <c r="K711" s="143">
        <v>0.18195499999999998</v>
      </c>
      <c r="L711" s="144">
        <f t="shared" ca="1" si="193"/>
        <v>5.3552840390206917</v>
      </c>
      <c r="M711" s="143">
        <f t="shared" ca="1" si="194"/>
        <v>1.1563757073200098</v>
      </c>
      <c r="N711" s="143">
        <f t="shared" ca="1" si="195"/>
        <v>0.97442070732000985</v>
      </c>
      <c r="O711" s="1063" t="s">
        <v>1586</v>
      </c>
      <c r="P711" s="88"/>
      <c r="Q711" s="89"/>
      <c r="R711" s="150"/>
      <c r="S711" s="1070"/>
      <c r="T711" s="1070"/>
      <c r="U711" s="1070"/>
      <c r="V711" s="1070"/>
      <c r="W711" s="1070"/>
      <c r="X711" s="1070"/>
      <c r="Y711" s="1070"/>
      <c r="Z711" s="1070"/>
      <c r="AA711" s="1070"/>
      <c r="AB711" s="1070"/>
      <c r="AC711" s="1070"/>
      <c r="AD711" s="1070"/>
      <c r="AE711" s="1070"/>
      <c r="AF711" s="1070"/>
      <c r="AG711" s="1070"/>
      <c r="AH711" s="1070"/>
      <c r="AI711" s="1070"/>
      <c r="AJ711" s="1071"/>
      <c r="AK711" s="1048" cm="1">
        <f t="array" aca="1" ref="AK711" ca="1">INDEX(OFFSET($AK$19,MATCH($B711,$B$19:$B$150,0)-1,0,COUNTA($B$19:$B$24),COUNTA($AK$17:$BB$17)),MATCH($F711,$F$19:$F$24,0),MATCH(AK$17,$AK$17:$BB$17,0))*INDEX($10:$13,MATCH($O711,$R$10:$R$13,0),COLUMN())</f>
        <v>5.9133031199999998E-2</v>
      </c>
      <c r="AL711" s="1046" cm="1">
        <f t="array" aca="1" ref="AL711" ca="1">INDEX(OFFSET($AK$19,MATCH($B711,$B$19:$B$150,0)-1,0,COUNTA($B$19:$B$24),COUNTA($AK$17:$BB$17)),MATCH($F711,$F$19:$F$24,0),MATCH(AL$17,$AK$17:$BB$17,0))*INDEX($10:$13,MATCH($O711,$R$10:$R$13,0),COLUMN())</f>
        <v>4.2562535099999998E-8</v>
      </c>
      <c r="AM711" s="1046" cm="1">
        <f t="array" aca="1" ref="AM711" ca="1">INDEX(OFFSET($AK$19,MATCH($B711,$B$19:$B$150,0)-1,0,COUNTA($B$19:$B$24),COUNTA($AK$17:$BB$17)),MATCH($F711,$F$19:$F$24,0),MATCH(AM$17,$AK$17:$BB$17,0))*INDEX($10:$13,MATCH($O711,$R$10:$R$13,0),COLUMN())</f>
        <v>0</v>
      </c>
      <c r="AN711" s="1046" cm="1">
        <f t="array" aca="1" ref="AN711" ca="1">INDEX(OFFSET($AK$19,MATCH($B711,$B$19:$B$150,0)-1,0,COUNTA($B$19:$B$24),COUNTA($AK$17:$BB$17)),MATCH($F711,$F$19:$F$24,0),MATCH(AN$17,$AK$17:$BB$17,0))*INDEX($10:$13,MATCH($O711,$R$10:$R$13,0),COLUMN())</f>
        <v>1.0472504124000002E-3</v>
      </c>
      <c r="AO711" s="1046" cm="1">
        <f t="array" aca="1" ref="AO711" ca="1">INDEX(OFFSET($AK$19,MATCH($B711,$B$19:$B$150,0)-1,0,COUNTA($B$19:$B$24),COUNTA($AK$17:$BB$17)),MATCH($F711,$F$19:$F$24,0),MATCH(AO$17,$AK$17:$BB$17,0))*INDEX($10:$13,MATCH($O711,$R$10:$R$13,0),COLUMN())</f>
        <v>2.7206584146575341E-2</v>
      </c>
      <c r="AP711" s="1046" cm="1">
        <f t="array" aca="1" ref="AP711" ca="1">INDEX(OFFSET($AK$19,MATCH($B711,$B$19:$B$150,0)-1,0,COUNTA($B$19:$B$24),COUNTA($AK$17:$BB$17)),MATCH($F711,$F$19:$F$24,0),MATCH(AP$17,$AK$17:$BB$17,0))*INDEX($10:$13,MATCH($O711,$R$10:$R$13,0),COLUMN())</f>
        <v>1.9638692975999999E-2</v>
      </c>
      <c r="AQ711" s="1046" cm="1">
        <f t="array" aca="1" ref="AQ711" ca="1">INDEX(OFFSET($AK$19,MATCH($B711,$B$19:$B$150,0)-1,0,COUNTA($B$19:$B$24),COUNTA($AK$17:$BB$17)),MATCH($F711,$F$19:$F$24,0),MATCH(AQ$17,$AK$17:$BB$17,0))*INDEX($10:$13,MATCH($O711,$R$10:$R$13,0),COLUMN())</f>
        <v>3.264040704E-2</v>
      </c>
      <c r="AR711" s="1046" cm="1">
        <f t="array" aca="1" ref="AR711" ca="1">INDEX(OFFSET($AK$19,MATCH($B711,$B$19:$B$150,0)-1,0,COUNTA($B$19:$B$24),COUNTA($AK$17:$BB$17)),MATCH($F711,$F$19:$F$24,0),MATCH(AR$17,$AK$17:$BB$17,0))*INDEX($10:$13,MATCH($O711,$R$10:$R$13,0),COLUMN())</f>
        <v>0.49488971709999996</v>
      </c>
      <c r="AS711" s="1046" cm="1">
        <f t="array" aca="1" ref="AS711" ca="1">INDEX(OFFSET($AK$19,MATCH($B711,$B$19:$B$150,0)-1,0,COUNTA($B$19:$B$24),COUNTA($AK$17:$BB$17)),MATCH($F711,$F$19:$F$24,0),MATCH(AS$17,$AK$17:$BB$17,0))*INDEX($10:$13,MATCH($O711,$R$10:$R$13,0),COLUMN())</f>
        <v>6.4724593354000007E-2</v>
      </c>
      <c r="AT711" s="1046" cm="1">
        <f t="array" aca="1" ref="AT711" ca="1">INDEX(OFFSET($AK$19,MATCH($B711,$B$19:$B$150,0)-1,0,COUNTA($B$19:$B$24),COUNTA($AK$17:$BB$17)),MATCH($F711,$F$19:$F$24,0),MATCH(AT$17,$AK$17:$BB$17,0))*INDEX($10:$13,MATCH($O711,$R$10:$R$13,0),COLUMN())</f>
        <v>7.2251328619999996E-5</v>
      </c>
      <c r="AU711" s="1046" cm="1">
        <f t="array" aca="1" ref="AU711" ca="1">INDEX(OFFSET($AK$19,MATCH($B711,$B$19:$B$150,0)-1,0,COUNTA($B$19:$B$24),COUNTA($AK$17:$BB$17)),MATCH($F711,$F$19:$F$24,0),MATCH(AU$17,$AK$17:$BB$17,0))*INDEX($10:$13,MATCH($O711,$R$10:$R$13,0),COLUMN())</f>
        <v>3.6867844926000001E-6</v>
      </c>
      <c r="AV711" s="1046" cm="1">
        <f t="array" aca="1" ref="AV711" ca="1">INDEX(OFFSET($AK$19,MATCH($B711,$B$19:$B$150,0)-1,0,COUNTA($B$19:$B$24),COUNTA($AK$17:$BB$17)),MATCH($F711,$F$19:$F$24,0),MATCH(AV$17,$AK$17:$BB$17,0))*INDEX($10:$13,MATCH($O711,$R$10:$R$13,0),COLUMN())</f>
        <v>1.5737795642854957E-3</v>
      </c>
      <c r="AW711" s="1046" cm="1">
        <f t="array" aca="1" ref="AW711" ca="1">INDEX(OFFSET($AK$19,MATCH($B711,$B$19:$B$150,0)-1,0,COUNTA($B$19:$B$24),COUNTA($AK$17:$BB$17)),MATCH($F711,$F$19:$F$24,0),MATCH(AW$17,$AK$17:$BB$17,0))*INDEX($10:$13,MATCH($O711,$R$10:$R$13,0),COLUMN())</f>
        <v>0.25746325190000002</v>
      </c>
      <c r="AX711" s="1046" cm="1">
        <f t="array" aca="1" ref="AX711" ca="1">INDEX(OFFSET($AK$19,MATCH($B711,$B$19:$B$150,0)-1,0,COUNTA($B$19:$B$24),COUNTA($AK$17:$BB$17)),MATCH($F711,$F$19:$F$24,0),MATCH(AX$17,$AK$17:$BB$17,0))*INDEX($10:$13,MATCH($O711,$R$10:$R$13,0),COLUMN())</f>
        <v>4.9780870240000012E-7</v>
      </c>
      <c r="AY711" s="1046" cm="1">
        <f t="array" aca="1" ref="AY711" ca="1">INDEX(OFFSET($AK$19,MATCH($B711,$B$19:$B$150,0)-1,0,COUNTA($B$19:$B$24),COUNTA($AK$17:$BB$17)),MATCH($F711,$F$19:$F$24,0),MATCH(AY$17,$AK$17:$BB$17,0))*INDEX($10:$13,MATCH($O711,$R$10:$R$13,0),COLUMN())</f>
        <v>-3.2895704509999997E-10</v>
      </c>
      <c r="AZ711" s="1046" cm="1">
        <f t="array" aca="1" ref="AZ711" ca="1">INDEX(OFFSET($AK$19,MATCH($B711,$B$19:$B$150,0)-1,0,COUNTA($B$19:$B$24),COUNTA($AK$17:$BB$17)),MATCH($F711,$F$19:$F$24,0),MATCH(AZ$17,$AK$17:$BB$17,0))*INDEX($10:$13,MATCH($O711,$R$10:$R$13,0),COLUMN())</f>
        <v>2.5463338559718964E-6</v>
      </c>
      <c r="BA711" s="1046" cm="1">
        <f t="array" aca="1" ref="BA711" ca="1">INDEX(OFFSET($AK$19,MATCH($B711,$B$19:$B$150,0)-1,0,COUNTA($B$19:$B$24),COUNTA($AK$17:$BB$17)),MATCH($F711,$F$19:$F$24,0),MATCH(BA$17,$AK$17:$BB$17,0))*INDEX($10:$13,MATCH($O711,$R$10:$R$13,0),COLUMN())</f>
        <v>1.5873752312E-2</v>
      </c>
      <c r="BB711" s="1047" cm="1">
        <f t="array" aca="1" ref="BB711" ca="1">INDEX(OFFSET($AK$19,MATCH($B711,$B$19:$B$150,0)-1,0,COUNTA($B$19:$B$24),COUNTA($AK$17:$BB$17)),MATCH($F711,$F$19:$F$24,0),MATCH(BB$17,$AK$17:$BB$17,0))*INDEX($10:$13,MATCH($O711,$R$10:$R$13,0),COLUMN())</f>
        <v>1.506228255E-4</v>
      </c>
      <c r="BC711" s="1049">
        <f t="shared" ca="1" si="196"/>
        <v>0.25746374937974542</v>
      </c>
      <c r="BE711" s="1"/>
      <c r="BF711" s="1"/>
      <c r="BG711" s="1"/>
      <c r="BH711" s="1"/>
      <c r="BI711" s="1"/>
      <c r="BJ711" s="1"/>
      <c r="BK711" s="1"/>
      <c r="BL711" s="1"/>
      <c r="BM711" s="1"/>
      <c r="BN711" s="1"/>
      <c r="BO711" s="1"/>
      <c r="BP711" s="1"/>
      <c r="BQ711" s="1"/>
      <c r="BR711" s="1"/>
      <c r="BS711" s="1"/>
      <c r="BT711" s="1"/>
      <c r="BU711" s="1"/>
      <c r="BV711" s="1"/>
      <c r="BW711" s="1"/>
      <c r="BX711" s="1"/>
      <c r="BY711" s="1"/>
      <c r="BZ711" s="1"/>
    </row>
    <row r="712" spans="2:78" ht="12" customHeight="1" outlineLevel="1" x14ac:dyDescent="0.25">
      <c r="B712" s="104" t="s">
        <v>101</v>
      </c>
      <c r="C712" s="104" t="s">
        <v>121</v>
      </c>
      <c r="D712" s="2" t="s">
        <v>132</v>
      </c>
      <c r="E712" s="2" t="s">
        <v>136</v>
      </c>
      <c r="F712" s="105" t="s">
        <v>122</v>
      </c>
      <c r="G712" s="27" t="s">
        <v>1579</v>
      </c>
      <c r="H712" s="106" t="s">
        <v>128</v>
      </c>
      <c r="I712" s="107" t="s">
        <v>129</v>
      </c>
      <c r="J712" s="147">
        <v>3.7906351599999999</v>
      </c>
      <c r="K712" s="148">
        <v>0.41675000000000001</v>
      </c>
      <c r="L712" s="149">
        <f t="shared" ca="1" si="193"/>
        <v>1.8207019611729749</v>
      </c>
      <c r="M712" s="148">
        <f t="shared" ca="1" si="194"/>
        <v>1.1755275423188374</v>
      </c>
      <c r="N712" s="148">
        <f t="shared" ca="1" si="195"/>
        <v>0.75877754231883732</v>
      </c>
      <c r="O712" s="1062" t="s">
        <v>1586</v>
      </c>
      <c r="P712" s="104"/>
      <c r="R712" s="119"/>
      <c r="S712" s="1072"/>
      <c r="T712" s="1072"/>
      <c r="U712" s="1072"/>
      <c r="V712" s="1072"/>
      <c r="W712" s="1072"/>
      <c r="X712" s="1072"/>
      <c r="Y712" s="1072"/>
      <c r="Z712" s="1072"/>
      <c r="AA712" s="1072"/>
      <c r="AB712" s="1072"/>
      <c r="AC712" s="1072"/>
      <c r="AD712" s="1072"/>
      <c r="AE712" s="1072"/>
      <c r="AF712" s="1072"/>
      <c r="AG712" s="1072"/>
      <c r="AH712" s="1072"/>
      <c r="AI712" s="1072"/>
      <c r="AJ712" s="1073"/>
      <c r="AK712" s="1052" cm="1">
        <f t="array" aca="1" ref="AK712" ca="1">INDEX(OFFSET($AK$19,MATCH($B712,$B$19:$B$150,0)-1,0,COUNTA($B$19:$B$24),COUNTA($AK$17:$BB$17)),MATCH($F712,$F$19:$F$24,0),MATCH(AK$17,$AK$17:$BB$17,0))*INDEX($10:$13,MATCH($O712,$R$10:$R$13,0),COLUMN())</f>
        <v>3.2281234079999999E-2</v>
      </c>
      <c r="AL712" s="1050" cm="1">
        <f t="array" aca="1" ref="AL712" ca="1">INDEX(OFFSET($AK$19,MATCH($B712,$B$19:$B$150,0)-1,0,COUNTA($B$19:$B$24),COUNTA($AK$17:$BB$17)),MATCH($F712,$F$19:$F$24,0),MATCH(AL$17,$AK$17:$BB$17,0))*INDEX($10:$13,MATCH($O712,$R$10:$R$13,0),COLUMN())</f>
        <v>3.7139468040000002E-8</v>
      </c>
      <c r="AM712" s="1050" cm="1">
        <f t="array" aca="1" ref="AM712" ca="1">INDEX(OFFSET($AK$19,MATCH($B712,$B$19:$B$150,0)-1,0,COUNTA($B$19:$B$24),COUNTA($AK$17:$BB$17)),MATCH($F712,$F$19:$F$24,0),MATCH(AM$17,$AK$17:$BB$17,0))*INDEX($10:$13,MATCH($O712,$R$10:$R$13,0),COLUMN())</f>
        <v>0</v>
      </c>
      <c r="AN712" s="1050" cm="1">
        <f t="array" aca="1" ref="AN712" ca="1">INDEX(OFFSET($AK$19,MATCH($B712,$B$19:$B$150,0)-1,0,COUNTA($B$19:$B$24),COUNTA($AK$17:$BB$17)),MATCH($F712,$F$19:$F$24,0),MATCH(AN$17,$AK$17:$BB$17,0))*INDEX($10:$13,MATCH($O712,$R$10:$R$13,0),COLUMN())</f>
        <v>1.463786748E-3</v>
      </c>
      <c r="AO712" s="1050" cm="1">
        <f t="array" aca="1" ref="AO712" ca="1">INDEX(OFFSET($AK$19,MATCH($B712,$B$19:$B$150,0)-1,0,COUNTA($B$19:$B$24),COUNTA($AK$17:$BB$17)),MATCH($F712,$F$19:$F$24,0),MATCH(AO$17,$AK$17:$BB$17,0))*INDEX($10:$13,MATCH($O712,$R$10:$R$13,0),COLUMN())</f>
        <v>9.1781378835616451E-3</v>
      </c>
      <c r="AP712" s="1050" cm="1">
        <f t="array" aca="1" ref="AP712" ca="1">INDEX(OFFSET($AK$19,MATCH($B712,$B$19:$B$150,0)-1,0,COUNTA($B$19:$B$24),COUNTA($AK$17:$BB$17)),MATCH($F712,$F$19:$F$24,0),MATCH(AP$17,$AK$17:$BB$17,0))*INDEX($10:$13,MATCH($O712,$R$10:$R$13,0),COLUMN())</f>
        <v>4.0686723839999999E-3</v>
      </c>
      <c r="AQ712" s="1050" cm="1">
        <f t="array" aca="1" ref="AQ712" ca="1">INDEX(OFFSET($AK$19,MATCH($B712,$B$19:$B$150,0)-1,0,COUNTA($B$19:$B$24),COUNTA($AK$17:$BB$17)),MATCH($F712,$F$19:$F$24,0),MATCH(AQ$17,$AK$17:$BB$17,0))*INDEX($10:$13,MATCH($O712,$R$10:$R$13,0),COLUMN())</f>
        <v>6.4310744000000003E-3</v>
      </c>
      <c r="AR712" s="1050" cm="1">
        <f t="array" aca="1" ref="AR712" ca="1">INDEX(OFFSET($AK$19,MATCH($B712,$B$19:$B$150,0)-1,0,COUNTA($B$19:$B$24),COUNTA($AK$17:$BB$17)),MATCH($F712,$F$19:$F$24,0),MATCH(AR$17,$AK$17:$BB$17,0))*INDEX($10:$13,MATCH($O712,$R$10:$R$13,0),COLUMN())</f>
        <v>0.29193842380000001</v>
      </c>
      <c r="AS712" s="1050" cm="1">
        <f t="array" aca="1" ref="AS712" ca="1">INDEX(OFFSET($AK$19,MATCH($B712,$B$19:$B$150,0)-1,0,COUNTA($B$19:$B$24),COUNTA($AK$17:$BB$17)),MATCH($F712,$F$19:$F$24,0),MATCH(AS$17,$AK$17:$BB$17,0))*INDEX($10:$13,MATCH($O712,$R$10:$R$13,0),COLUMN())</f>
        <v>-6.5238787367999997E-5</v>
      </c>
      <c r="AT712" s="1050" cm="1">
        <f t="array" aca="1" ref="AT712" ca="1">INDEX(OFFSET($AK$19,MATCH($B712,$B$19:$B$150,0)-1,0,COUNTA($B$19:$B$24),COUNTA($AK$17:$BB$17)),MATCH($F712,$F$19:$F$24,0),MATCH(AT$17,$AK$17:$BB$17,0))*INDEX($10:$13,MATCH($O712,$R$10:$R$13,0),COLUMN())</f>
        <v>2.7442933884000002E-6</v>
      </c>
      <c r="AU712" s="1050" cm="1">
        <f t="array" aca="1" ref="AU712" ca="1">INDEX(OFFSET($AK$19,MATCH($B712,$B$19:$B$150,0)-1,0,COUNTA($B$19:$B$24),COUNTA($AK$17:$BB$17)),MATCH($F712,$F$19:$F$24,0),MATCH(AU$17,$AK$17:$BB$17,0))*INDEX($10:$13,MATCH($O712,$R$10:$R$13,0),COLUMN())</f>
        <v>5.8945144673999994E-7</v>
      </c>
      <c r="AV712" s="1050" cm="1">
        <f t="array" aca="1" ref="AV712" ca="1">INDEX(OFFSET($AK$19,MATCH($B712,$B$19:$B$150,0)-1,0,COUNTA($B$19:$B$24),COUNTA($AK$17:$BB$17)),MATCH($F712,$F$19:$F$24,0),MATCH(AV$17,$AK$17:$BB$17,0))*INDEX($10:$13,MATCH($O712,$R$10:$R$13,0),COLUMN())</f>
        <v>1.398700256597672E-4</v>
      </c>
      <c r="AW712" s="1050" cm="1">
        <f t="array" aca="1" ref="AW712" ca="1">INDEX(OFFSET($AK$19,MATCH($B712,$B$19:$B$150,0)-1,0,COUNTA($B$19:$B$24),COUNTA($AK$17:$BB$17)),MATCH($F712,$F$19:$F$24,0),MATCH(AW$17,$AK$17:$BB$17,0))*INDEX($10:$13,MATCH($O712,$R$10:$R$13,0),COLUMN())</f>
        <v>0.40252387170000004</v>
      </c>
      <c r="AX712" s="1050" cm="1">
        <f t="array" aca="1" ref="AX712" ca="1">INDEX(OFFSET($AK$19,MATCH($B712,$B$19:$B$150,0)-1,0,COUNTA($B$19:$B$24),COUNTA($AK$17:$BB$17)),MATCH($F712,$F$19:$F$24,0),MATCH(AX$17,$AK$17:$BB$17,0))*INDEX($10:$13,MATCH($O712,$R$10:$R$13,0),COLUMN())</f>
        <v>1.2125931963E-7</v>
      </c>
      <c r="AY712" s="1050" cm="1">
        <f t="array" aca="1" ref="AY712" ca="1">INDEX(OFFSET($AK$19,MATCH($B712,$B$19:$B$150,0)-1,0,COUNTA($B$19:$B$24),COUNTA($AK$17:$BB$17)),MATCH($F712,$F$19:$F$24,0),MATCH(AY$17,$AK$17:$BB$17,0))*INDEX($10:$13,MATCH($O712,$R$10:$R$13,0),COLUMN())</f>
        <v>-7.7758661650000006E-11</v>
      </c>
      <c r="AZ712" s="1050" cm="1">
        <f t="array" aca="1" ref="AZ712" ca="1">INDEX(OFFSET($AK$19,MATCH($B712,$B$19:$B$150,0)-1,0,COUNTA($B$19:$B$24),COUNTA($AK$17:$BB$17)),MATCH($F712,$F$19:$F$24,0),MATCH(AZ$17,$AK$17:$BB$17,0))*INDEX($10:$13,MATCH($O712,$R$10:$R$13,0),COLUMN())</f>
        <v>3.8107066196721306E-6</v>
      </c>
      <c r="BA712" s="1050" cm="1">
        <f t="array" aca="1" ref="BA712" ca="1">INDEX(OFFSET($AK$19,MATCH($B712,$B$19:$B$150,0)-1,0,COUNTA($B$19:$B$24),COUNTA($AK$17:$BB$17)),MATCH($F712,$F$19:$F$24,0),MATCH(BA$17,$AK$17:$BB$17,0))*INDEX($10:$13,MATCH($O712,$R$10:$R$13,0),COLUMN())</f>
        <v>1.0665613406E-2</v>
      </c>
      <c r="BB712" s="1051" cm="1">
        <f t="array" aca="1" ref="BB712" ca="1">INDEX(OFFSET($AK$19,MATCH($B712,$B$19:$B$150,0)-1,0,COUNTA($B$19:$B$24),COUNTA($AK$17:$BB$17)),MATCH($F712,$F$19:$F$24,0),MATCH(BB$17,$AK$17:$BB$17,0))*INDEX($10:$13,MATCH($O712,$R$10:$R$13,0),COLUMN())</f>
        <v>1.447939065E-4</v>
      </c>
      <c r="BC712" s="1053">
        <f t="shared" ca="1" si="196"/>
        <v>0.40252399288156099</v>
      </c>
      <c r="BE712" s="1"/>
      <c r="BF712" s="1"/>
      <c r="BG712" s="1"/>
      <c r="BH712" s="1"/>
      <c r="BI712" s="1"/>
      <c r="BJ712" s="1"/>
      <c r="BK712" s="1"/>
      <c r="BL712" s="1"/>
      <c r="BM712" s="1"/>
      <c r="BN712" s="1"/>
      <c r="BO712" s="1"/>
      <c r="BP712" s="1"/>
      <c r="BQ712" s="1"/>
      <c r="BR712" s="1"/>
      <c r="BS712" s="1"/>
      <c r="BT712" s="1"/>
      <c r="BU712" s="1"/>
      <c r="BV712" s="1"/>
      <c r="BW712" s="1"/>
      <c r="BX712" s="1"/>
      <c r="BY712" s="1"/>
      <c r="BZ712" s="1"/>
    </row>
    <row r="713" spans="2:78" ht="12" customHeight="1" outlineLevel="1" x14ac:dyDescent="0.25">
      <c r="B713" s="104" t="s">
        <v>101</v>
      </c>
      <c r="C713" s="104" t="s">
        <v>121</v>
      </c>
      <c r="D713" s="2" t="s">
        <v>132</v>
      </c>
      <c r="E713" s="2" t="s">
        <v>136</v>
      </c>
      <c r="F713" s="105" t="s">
        <v>93</v>
      </c>
      <c r="G713" s="27" t="s">
        <v>1578</v>
      </c>
      <c r="H713" s="106" t="s">
        <v>130</v>
      </c>
      <c r="I713" s="107" t="s">
        <v>129</v>
      </c>
      <c r="J713" s="147">
        <v>3.7906351599999999</v>
      </c>
      <c r="K713" s="148">
        <v>0.41675000000000001</v>
      </c>
      <c r="L713" s="149">
        <f t="shared" ca="1" si="193"/>
        <v>2.2964824868093681</v>
      </c>
      <c r="M713" s="148">
        <f t="shared" ca="1" si="194"/>
        <v>1.3738090763778041</v>
      </c>
      <c r="N713" s="148">
        <f t="shared" ca="1" si="195"/>
        <v>0.95705907637780419</v>
      </c>
      <c r="O713" s="1062" t="s">
        <v>1586</v>
      </c>
      <c r="P713" s="104"/>
      <c r="R713" s="119"/>
      <c r="S713" s="1072"/>
      <c r="T713" s="1072"/>
      <c r="U713" s="1072"/>
      <c r="V713" s="1072"/>
      <c r="W713" s="1072"/>
      <c r="X713" s="1072"/>
      <c r="Y713" s="1072"/>
      <c r="Z713" s="1072"/>
      <c r="AA713" s="1072"/>
      <c r="AB713" s="1072"/>
      <c r="AC713" s="1072"/>
      <c r="AD713" s="1072"/>
      <c r="AE713" s="1072"/>
      <c r="AF713" s="1072"/>
      <c r="AG713" s="1072"/>
      <c r="AH713" s="1072"/>
      <c r="AI713" s="1072"/>
      <c r="AJ713" s="1073"/>
      <c r="AK713" s="1052" cm="1">
        <f t="array" aca="1" ref="AK713" ca="1">INDEX(OFFSET($AK$19,MATCH($B713,$B$19:$B$150,0)-1,0,COUNTA($B$19:$B$24),COUNTA($AK$17:$BB$17)),MATCH($F713,$F$19:$F$24,0),MATCH(AK$17,$AK$17:$BB$17,0))*INDEX($10:$13,MATCH($O713,$R$10:$R$13,0),COLUMN())</f>
        <v>4.0712620879999994E-2</v>
      </c>
      <c r="AL713" s="1050" cm="1">
        <f t="array" aca="1" ref="AL713" ca="1">INDEX(OFFSET($AK$19,MATCH($B713,$B$19:$B$150,0)-1,0,COUNTA($B$19:$B$24),COUNTA($AK$17:$BB$17)),MATCH($F713,$F$19:$F$24,0),MATCH(AL$17,$AK$17:$BB$17,0))*INDEX($10:$13,MATCH($O713,$R$10:$R$13,0),COLUMN())</f>
        <v>4.6839752760000002E-8</v>
      </c>
      <c r="AM713" s="1050" cm="1">
        <f t="array" aca="1" ref="AM713" ca="1">INDEX(OFFSET($AK$19,MATCH($B713,$B$19:$B$150,0)-1,0,COUNTA($B$19:$B$24),COUNTA($AK$17:$BB$17)),MATCH($F713,$F$19:$F$24,0),MATCH(AM$17,$AK$17:$BB$17,0))*INDEX($10:$13,MATCH($O713,$R$10:$R$13,0),COLUMN())</f>
        <v>0</v>
      </c>
      <c r="AN713" s="1050" cm="1">
        <f t="array" aca="1" ref="AN713" ca="1">INDEX(OFFSET($AK$19,MATCH($B713,$B$19:$B$150,0)-1,0,COUNTA($B$19:$B$24),COUNTA($AK$17:$BB$17)),MATCH($F713,$F$19:$F$24,0),MATCH(AN$17,$AK$17:$BB$17,0))*INDEX($10:$13,MATCH($O713,$R$10:$R$13,0),COLUMN())</f>
        <v>1.8461064678000003E-3</v>
      </c>
      <c r="AO713" s="1050" cm="1">
        <f t="array" aca="1" ref="AO713" ca="1">INDEX(OFFSET($AK$19,MATCH($B713,$B$19:$B$150,0)-1,0,COUNTA($B$19:$B$24),COUNTA($AK$17:$BB$17)),MATCH($F713,$F$19:$F$24,0),MATCH(AO$17,$AK$17:$BB$17,0))*INDEX($10:$13,MATCH($O713,$R$10:$R$13,0),COLUMN())</f>
        <v>1.1575333105479452E-2</v>
      </c>
      <c r="AP713" s="1050" cm="1">
        <f t="array" aca="1" ref="AP713" ca="1">INDEX(OFFSET($AK$19,MATCH($B713,$B$19:$B$150,0)-1,0,COUNTA($B$19:$B$24),COUNTA($AK$17:$BB$17)),MATCH($F713,$F$19:$F$24,0),MATCH(AP$17,$AK$17:$BB$17,0))*INDEX($10:$13,MATCH($O713,$R$10:$R$13,0),COLUMN())</f>
        <v>5.1313499999999998E-3</v>
      </c>
      <c r="AQ713" s="1050" cm="1">
        <f t="array" aca="1" ref="AQ713" ca="1">INDEX(OFFSET($AK$19,MATCH($B713,$B$19:$B$150,0)-1,0,COUNTA($B$19:$B$24),COUNTA($AK$17:$BB$17)),MATCH($F713,$F$19:$F$24,0),MATCH(AQ$17,$AK$17:$BB$17,0))*INDEX($10:$13,MATCH($O713,$R$10:$R$13,0),COLUMN())</f>
        <v>8.1107768480000002E-3</v>
      </c>
      <c r="AR713" s="1050" cm="1">
        <f t="array" aca="1" ref="AR713" ca="1">INDEX(OFFSET($AK$19,MATCH($B713,$B$19:$B$150,0)-1,0,COUNTA($B$19:$B$24),COUNTA($AK$17:$BB$17)),MATCH($F713,$F$19:$F$24,0),MATCH(AR$17,$AK$17:$BB$17,0))*INDEX($10:$13,MATCH($O713,$R$10:$R$13,0),COLUMN())</f>
        <v>0.36818847527999998</v>
      </c>
      <c r="AS713" s="1050" cm="1">
        <f t="array" aca="1" ref="AS713" ca="1">INDEX(OFFSET($AK$19,MATCH($B713,$B$19:$B$150,0)-1,0,COUNTA($B$19:$B$24),COUNTA($AK$17:$BB$17)),MATCH($F713,$F$19:$F$24,0),MATCH(AS$17,$AK$17:$BB$17,0))*INDEX($10:$13,MATCH($O713,$R$10:$R$13,0),COLUMN())</f>
        <v>-2.7697247453999998E-5</v>
      </c>
      <c r="AT713" s="1050" cm="1">
        <f t="array" aca="1" ref="AT713" ca="1">INDEX(OFFSET($AK$19,MATCH($B713,$B$19:$B$150,0)-1,0,COUNTA($B$19:$B$24),COUNTA($AK$17:$BB$17)),MATCH($F713,$F$19:$F$24,0),MATCH(AT$17,$AK$17:$BB$17,0))*INDEX($10:$13,MATCH($O713,$R$10:$R$13,0),COLUMN())</f>
        <v>3.4804814460000002E-6</v>
      </c>
      <c r="AU713" s="1050" cm="1">
        <f t="array" aca="1" ref="AU713" ca="1">INDEX(OFFSET($AK$19,MATCH($B713,$B$19:$B$150,0)-1,0,COUNTA($B$19:$B$24),COUNTA($AK$17:$BB$17)),MATCH($F713,$F$19:$F$24,0),MATCH(AU$17,$AK$17:$BB$17,0))*INDEX($10:$13,MATCH($O713,$R$10:$R$13,0),COLUMN())</f>
        <v>7.4549445060000001E-7</v>
      </c>
      <c r="AV713" s="1050" cm="1">
        <f t="array" aca="1" ref="AV713" ca="1">INDEX(OFFSET($AK$19,MATCH($B713,$B$19:$B$150,0)-1,0,COUNTA($B$19:$B$24),COUNTA($AK$17:$BB$17)),MATCH($F713,$F$19:$F$24,0),MATCH(AV$17,$AK$17:$BB$17,0))*INDEX($10:$13,MATCH($O713,$R$10:$R$13,0),COLUMN())</f>
        <v>2.217045308827093E-4</v>
      </c>
      <c r="AW713" s="1050" cm="1">
        <f t="array" aca="1" ref="AW713" ca="1">INDEX(OFFSET($AK$19,MATCH($B713,$B$19:$B$150,0)-1,0,COUNTA($B$19:$B$24),COUNTA($AK$17:$BB$17)),MATCH($F713,$F$19:$F$24,0),MATCH(AW$17,$AK$17:$BB$17,0))*INDEX($10:$13,MATCH($O713,$R$10:$R$13,0),COLUMN())</f>
        <v>0.50765724710000004</v>
      </c>
      <c r="AX713" s="1050" cm="1">
        <f t="array" aca="1" ref="AX713" ca="1">INDEX(OFFSET($AK$19,MATCH($B713,$B$19:$B$150,0)-1,0,COUNTA($B$19:$B$24),COUNTA($AK$17:$BB$17)),MATCH($F713,$F$19:$F$24,0),MATCH(AX$17,$AK$17:$BB$17,0))*INDEX($10:$13,MATCH($O713,$R$10:$R$13,0),COLUMN())</f>
        <v>1.5293048350000001E-7</v>
      </c>
      <c r="AY713" s="1050" cm="1">
        <f t="array" aca="1" ref="AY713" ca="1">INDEX(OFFSET($AK$19,MATCH($B713,$B$19:$B$150,0)-1,0,COUNTA($B$19:$B$24),COUNTA($AK$17:$BB$17)),MATCH($F713,$F$19:$F$24,0),MATCH(AY$17,$AK$17:$BB$17,0))*INDEX($10:$13,MATCH($O713,$R$10:$R$13,0),COLUMN())</f>
        <v>-9.8068087829999997E-11</v>
      </c>
      <c r="AZ713" s="1050" cm="1">
        <f t="array" aca="1" ref="AZ713" ca="1">INDEX(OFFSET($AK$19,MATCH($B713,$B$19:$B$150,0)-1,0,COUNTA($B$19:$B$24),COUNTA($AK$17:$BB$17)),MATCH($F713,$F$19:$F$24,0),MATCH(AZ$17,$AK$17:$BB$17,0))*INDEX($10:$13,MATCH($O713,$R$10:$R$13,0),COLUMN())</f>
        <v>4.8060075311475401E-6</v>
      </c>
      <c r="BA713" s="1050" cm="1">
        <f t="array" aca="1" ref="BA713" ca="1">INDEX(OFFSET($AK$19,MATCH($B713,$B$19:$B$150,0)-1,0,COUNTA($B$19:$B$24),COUNTA($AK$17:$BB$17)),MATCH($F713,$F$19:$F$24,0),MATCH(BA$17,$AK$17:$BB$17,0))*INDEX($10:$13,MATCH($O713,$R$10:$R$13,0),COLUMN())</f>
        <v>1.3451315791E-2</v>
      </c>
      <c r="BB713" s="1051" cm="1">
        <f t="array" aca="1" ref="BB713" ca="1">INDEX(OFFSET($AK$19,MATCH($B713,$B$19:$B$150,0)-1,0,COUNTA($B$19:$B$24),COUNTA($AK$17:$BB$17)),MATCH($F713,$F$19:$F$24,0),MATCH(BB$17,$AK$17:$BB$17,0))*INDEX($10:$13,MATCH($O713,$R$10:$R$13,0),COLUMN())</f>
        <v>1.8261196649999999E-4</v>
      </c>
      <c r="BC713" s="1053">
        <f t="shared" ca="1" si="196"/>
        <v>0.50765739993241543</v>
      </c>
      <c r="BE713" s="1"/>
      <c r="BF713" s="1"/>
      <c r="BG713" s="1"/>
      <c r="BH713" s="1"/>
      <c r="BI713" s="1"/>
      <c r="BJ713" s="1"/>
      <c r="BK713" s="1"/>
      <c r="BL713" s="1"/>
      <c r="BM713" s="1"/>
      <c r="BN713" s="1"/>
      <c r="BO713" s="1"/>
      <c r="BP713" s="1"/>
      <c r="BQ713" s="1"/>
      <c r="BR713" s="1"/>
      <c r="BS713" s="1"/>
      <c r="BT713" s="1"/>
      <c r="BU713" s="1"/>
      <c r="BV713" s="1"/>
      <c r="BW713" s="1"/>
      <c r="BX713" s="1"/>
      <c r="BY713" s="1"/>
      <c r="BZ713" s="1"/>
    </row>
    <row r="714" spans="2:78" ht="12" customHeight="1" outlineLevel="1" x14ac:dyDescent="0.25">
      <c r="B714" s="104" t="s">
        <v>101</v>
      </c>
      <c r="C714" s="104" t="s">
        <v>121</v>
      </c>
      <c r="D714" s="2" t="s">
        <v>132</v>
      </c>
      <c r="E714" s="2" t="s">
        <v>136</v>
      </c>
      <c r="F714" s="105" t="s">
        <v>94</v>
      </c>
      <c r="G714" s="27" t="s">
        <v>1580</v>
      </c>
      <c r="H714" s="106" t="s">
        <v>131</v>
      </c>
      <c r="I714" s="107" t="s">
        <v>129</v>
      </c>
      <c r="J714" s="147">
        <v>3.7906351599999999</v>
      </c>
      <c r="K714" s="148">
        <v>0.41675000000000001</v>
      </c>
      <c r="L714" s="149">
        <f t="shared" ca="1" si="193"/>
        <v>1.5080877916156084</v>
      </c>
      <c r="M714" s="148">
        <f t="shared" ca="1" si="194"/>
        <v>1.0452455871558048</v>
      </c>
      <c r="N714" s="148">
        <f t="shared" ca="1" si="195"/>
        <v>0.62849558715580478</v>
      </c>
      <c r="O714" s="1062" t="s">
        <v>1586</v>
      </c>
      <c r="P714" s="104"/>
      <c r="R714" s="119"/>
      <c r="S714" s="1072"/>
      <c r="T714" s="1072"/>
      <c r="U714" s="1072"/>
      <c r="V714" s="1072"/>
      <c r="W714" s="1072"/>
      <c r="X714" s="1072"/>
      <c r="Y714" s="1072"/>
      <c r="Z714" s="1072"/>
      <c r="AA714" s="1072"/>
      <c r="AB714" s="1072"/>
      <c r="AC714" s="1072"/>
      <c r="AD714" s="1072"/>
      <c r="AE714" s="1072"/>
      <c r="AF714" s="1072"/>
      <c r="AG714" s="1072"/>
      <c r="AH714" s="1072"/>
      <c r="AI714" s="1072"/>
      <c r="AJ714" s="1073"/>
      <c r="AK714" s="1052" cm="1">
        <f t="array" aca="1" ref="AK714" ca="1">INDEX(OFFSET($AK$19,MATCH($B714,$B$19:$B$150,0)-1,0,COUNTA($B$19:$B$24),COUNTA($AK$17:$BB$17)),MATCH($F714,$F$19:$F$24,0),MATCH(AK$17,$AK$17:$BB$17,0))*INDEX($10:$13,MATCH($O714,$R$10:$R$13,0),COLUMN())</f>
        <v>2.67413448E-2</v>
      </c>
      <c r="AL714" s="1050" cm="1">
        <f t="array" aca="1" ref="AL714" ca="1">INDEX(OFFSET($AK$19,MATCH($B714,$B$19:$B$150,0)-1,0,COUNTA($B$19:$B$24),COUNTA($AK$17:$BB$17)),MATCH($F714,$F$19:$F$24,0),MATCH(AL$17,$AK$17:$BB$17,0))*INDEX($10:$13,MATCH($O714,$R$10:$R$13,0),COLUMN())</f>
        <v>3.0765839832000002E-8</v>
      </c>
      <c r="AM714" s="1050" cm="1">
        <f t="array" aca="1" ref="AM714" ca="1">INDEX(OFFSET($AK$19,MATCH($B714,$B$19:$B$150,0)-1,0,COUNTA($B$19:$B$24),COUNTA($AK$17:$BB$17)),MATCH($F714,$F$19:$F$24,0),MATCH(AM$17,$AK$17:$BB$17,0))*INDEX($10:$13,MATCH($O714,$R$10:$R$13,0),COLUMN())</f>
        <v>0</v>
      </c>
      <c r="AN714" s="1050" cm="1">
        <f t="array" aca="1" ref="AN714" ca="1">INDEX(OFFSET($AK$19,MATCH($B714,$B$19:$B$150,0)-1,0,COUNTA($B$19:$B$24),COUNTA($AK$17:$BB$17)),MATCH($F714,$F$19:$F$24,0),MATCH(AN$17,$AK$17:$BB$17,0))*INDEX($10:$13,MATCH($O714,$R$10:$R$13,0),COLUMN())</f>
        <v>1.2125814492E-3</v>
      </c>
      <c r="AO714" s="1050" cm="1">
        <f t="array" aca="1" ref="AO714" ca="1">INDEX(OFFSET($AK$19,MATCH($B714,$B$19:$B$150,0)-1,0,COUNTA($B$19:$B$24),COUNTA($AK$17:$BB$17)),MATCH($F714,$F$19:$F$24,0),MATCH(AO$17,$AK$17:$BB$17,0))*INDEX($10:$13,MATCH($O714,$R$10:$R$13,0),COLUMN())</f>
        <v>7.6030469794520546E-3</v>
      </c>
      <c r="AP714" s="1050" cm="1">
        <f t="array" aca="1" ref="AP714" ca="1">INDEX(OFFSET($AK$19,MATCH($B714,$B$19:$B$150,0)-1,0,COUNTA($B$19:$B$24),COUNTA($AK$17:$BB$17)),MATCH($F714,$F$19:$F$24,0),MATCH(AP$17,$AK$17:$BB$17,0))*INDEX($10:$13,MATCH($O714,$R$10:$R$13,0),COLUMN())</f>
        <v>3.3704341439999997E-3</v>
      </c>
      <c r="AQ714" s="1050" cm="1">
        <f t="array" aca="1" ref="AQ714" ca="1">INDEX(OFFSET($AK$19,MATCH($B714,$B$19:$B$150,0)-1,0,COUNTA($B$19:$B$24),COUNTA($AK$17:$BB$17)),MATCH($F714,$F$19:$F$24,0),MATCH(AQ$17,$AK$17:$BB$17,0))*INDEX($10:$13,MATCH($O714,$R$10:$R$13,0),COLUMN())</f>
        <v>5.3274163839999999E-3</v>
      </c>
      <c r="AR714" s="1050" cm="1">
        <f t="array" aca="1" ref="AR714" ca="1">INDEX(OFFSET($AK$19,MATCH($B714,$B$19:$B$150,0)-1,0,COUNTA($B$19:$B$24),COUNTA($AK$17:$BB$17)),MATCH($F714,$F$19:$F$24,0),MATCH(AR$17,$AK$17:$BB$17,0))*INDEX($10:$13,MATCH($O714,$R$10:$R$13,0),COLUMN())</f>
        <v>0.24183789885999998</v>
      </c>
      <c r="AS714" s="1050" cm="1">
        <f t="array" aca="1" ref="AS714" ca="1">INDEX(OFFSET($AK$19,MATCH($B714,$B$19:$B$150,0)-1,0,COUNTA($B$19:$B$24),COUNTA($AK$17:$BB$17)),MATCH($F714,$F$19:$F$24,0),MATCH(AS$17,$AK$17:$BB$17,0))*INDEX($10:$13,MATCH($O714,$R$10:$R$13,0),COLUMN())</f>
        <v>-8.9893455489999994E-5</v>
      </c>
      <c r="AT714" s="1050" cm="1">
        <f t="array" aca="1" ref="AT714" ca="1">INDEX(OFFSET($AK$19,MATCH($B714,$B$19:$B$150,0)-1,0,COUNTA($B$19:$B$24),COUNTA($AK$17:$BB$17)),MATCH($F714,$F$19:$F$24,0),MATCH(AT$17,$AK$17:$BB$17,0))*INDEX($10:$13,MATCH($O714,$R$10:$R$13,0),COLUMN())</f>
        <v>2.2605812266000003E-6</v>
      </c>
      <c r="AU714" s="1050" cm="1">
        <f t="array" aca="1" ref="AU714" ca="1">INDEX(OFFSET($AK$19,MATCH($B714,$B$19:$B$150,0)-1,0,COUNTA($B$19:$B$24),COUNTA($AK$17:$BB$17)),MATCH($F714,$F$19:$F$24,0),MATCH(AU$17,$AK$17:$BB$17,0))*INDEX($10:$13,MATCH($O714,$R$10:$R$13,0),COLUMN())</f>
        <v>4.8692300957999997E-7</v>
      </c>
      <c r="AV714" s="1050" cm="1">
        <f t="array" aca="1" ref="AV714" ca="1">INDEX(OFFSET($AK$19,MATCH($B714,$B$19:$B$150,0)-1,0,COUNTA($B$19:$B$24),COUNTA($AK$17:$BB$17)),MATCH($F714,$F$19:$F$24,0),MATCH(AV$17,$AK$17:$BB$17,0))*INDEX($10:$13,MATCH($O714,$R$10:$R$13,0),COLUMN())</f>
        <v>8.6110340416911254E-5</v>
      </c>
      <c r="AW714" s="1050" cm="1">
        <f t="array" aca="1" ref="AW714" ca="1">INDEX(OFFSET($AK$19,MATCH($B714,$B$19:$B$150,0)-1,0,COUNTA($B$19:$B$24),COUNTA($AK$17:$BB$17)),MATCH($F714,$F$19:$F$24,0),MATCH(AW$17,$AK$17:$BB$17,0))*INDEX($10:$13,MATCH($O714,$R$10:$R$13,0),COLUMN())</f>
        <v>0.33344541490000001</v>
      </c>
      <c r="AX714" s="1050" cm="1">
        <f t="array" aca="1" ref="AX714" ca="1">INDEX(OFFSET($AK$19,MATCH($B714,$B$19:$B$150,0)-1,0,COUNTA($B$19:$B$24),COUNTA($AK$17:$BB$17)),MATCH($F714,$F$19:$F$24,0),MATCH(AX$17,$AK$17:$BB$17,0))*INDEX($10:$13,MATCH($O714,$R$10:$R$13,0),COLUMN())</f>
        <v>1.0044960636E-7</v>
      </c>
      <c r="AY714" s="1050" cm="1">
        <f t="array" aca="1" ref="AY714" ca="1">INDEX(OFFSET($AK$19,MATCH($B714,$B$19:$B$150,0)-1,0,COUNTA($B$19:$B$24),COUNTA($AK$17:$BB$17)),MATCH($F714,$F$19:$F$24,0),MATCH(AY$17,$AK$17:$BB$17,0))*INDEX($10:$13,MATCH($O714,$R$10:$R$13,0),COLUMN())</f>
        <v>-6.4414239070000002E-11</v>
      </c>
      <c r="AZ714" s="1050" cm="1">
        <f t="array" aca="1" ref="AZ714" ca="1">INDEX(OFFSET($AK$19,MATCH($B714,$B$19:$B$150,0)-1,0,COUNTA($B$19:$B$24),COUNTA($AK$17:$BB$17)),MATCH($F714,$F$19:$F$24,0),MATCH(AZ$17,$AK$17:$BB$17,0))*INDEX($10:$13,MATCH($O714,$R$10:$R$13,0),COLUMN())</f>
        <v>3.1567386475409833E-6</v>
      </c>
      <c r="BA714" s="1050" cm="1">
        <f t="array" aca="1" ref="BA714" ca="1">INDEX(OFFSET($AK$19,MATCH($B714,$B$19:$B$150,0)-1,0,COUNTA($B$19:$B$24),COUNTA($AK$17:$BB$17)),MATCH($F714,$F$19:$F$24,0),MATCH(BA$17,$AK$17:$BB$17,0))*INDEX($10:$13,MATCH($O714,$R$10:$R$13,0),COLUMN())</f>
        <v>8.835252016E-3</v>
      </c>
      <c r="BB714" s="1051" cm="1">
        <f t="array" aca="1" ref="BB714" ca="1">INDEX(OFFSET($AK$19,MATCH($B714,$B$19:$B$150,0)-1,0,COUNTA($B$19:$B$24),COUNTA($AK$17:$BB$17)),MATCH($F714,$F$19:$F$24,0),MATCH(BB$17,$AK$17:$BB$17,0))*INDEX($10:$13,MATCH($O714,$R$10:$R$13,0),COLUMN())</f>
        <v>1.1994534431E-4</v>
      </c>
      <c r="BC714" s="1053">
        <f t="shared" ca="1" si="196"/>
        <v>0.33344551528519212</v>
      </c>
      <c r="BE714" s="1"/>
      <c r="BF714" s="1"/>
      <c r="BG714" s="1"/>
      <c r="BH714" s="1"/>
      <c r="BI714" s="1"/>
      <c r="BJ714" s="1"/>
      <c r="BK714" s="1"/>
      <c r="BL714" s="1"/>
      <c r="BM714" s="1"/>
      <c r="BN714" s="1"/>
      <c r="BO714" s="1"/>
      <c r="BP714" s="1"/>
      <c r="BQ714" s="1"/>
      <c r="BR714" s="1"/>
      <c r="BS714" s="1"/>
      <c r="BT714" s="1"/>
      <c r="BU714" s="1"/>
      <c r="BV714" s="1"/>
      <c r="BW714" s="1"/>
      <c r="BX714" s="1"/>
      <c r="BY714" s="1"/>
      <c r="BZ714" s="1"/>
    </row>
    <row r="715" spans="2:78" ht="12" customHeight="1" outlineLevel="1" x14ac:dyDescent="0.25">
      <c r="B715" s="104" t="s">
        <v>101</v>
      </c>
      <c r="C715" s="104" t="s">
        <v>121</v>
      </c>
      <c r="D715" s="2" t="s">
        <v>132</v>
      </c>
      <c r="E715" s="2" t="s">
        <v>136</v>
      </c>
      <c r="F715" s="105" t="s">
        <v>95</v>
      </c>
      <c r="G715" s="27" t="s">
        <v>1581</v>
      </c>
      <c r="H715" s="106" t="s">
        <v>128</v>
      </c>
      <c r="I715" s="107" t="s">
        <v>127</v>
      </c>
      <c r="J715" s="147">
        <v>3.7906351599999999</v>
      </c>
      <c r="K715" s="148">
        <v>0.41675000000000001</v>
      </c>
      <c r="L715" s="149">
        <f t="shared" ca="1" si="193"/>
        <v>2.1223538264808162</v>
      </c>
      <c r="M715" s="148">
        <f t="shared" ca="1" si="194"/>
        <v>1.3012409571858801</v>
      </c>
      <c r="N715" s="148">
        <f t="shared" ca="1" si="195"/>
        <v>0.88449095718588011</v>
      </c>
      <c r="O715" s="1062" t="s">
        <v>1586</v>
      </c>
      <c r="P715" s="104"/>
      <c r="R715" s="119"/>
      <c r="S715" s="1072"/>
      <c r="T715" s="1072"/>
      <c r="U715" s="1072"/>
      <c r="V715" s="1072"/>
      <c r="W715" s="1072"/>
      <c r="X715" s="1072"/>
      <c r="Y715" s="1072"/>
      <c r="Z715" s="1072"/>
      <c r="AA715" s="1072"/>
      <c r="AB715" s="1072"/>
      <c r="AC715" s="1072"/>
      <c r="AD715" s="1072"/>
      <c r="AE715" s="1072"/>
      <c r="AF715" s="1072"/>
      <c r="AG715" s="1072"/>
      <c r="AH715" s="1072"/>
      <c r="AI715" s="1072"/>
      <c r="AJ715" s="1073"/>
      <c r="AK715" s="1052" cm="1">
        <f t="array" aca="1" ref="AK715" ca="1">INDEX(OFFSET($AK$19,MATCH($B715,$B$19:$B$150,0)-1,0,COUNTA($B$19:$B$24),COUNTA($AK$17:$BB$17)),MATCH($F715,$F$19:$F$24,0),MATCH(AK$17,$AK$17:$BB$17,0))*INDEX($10:$13,MATCH($O715,$R$10:$R$13,0),COLUMN())</f>
        <v>3.6289758319999997E-2</v>
      </c>
      <c r="AL715" s="1050" cm="1">
        <f t="array" aca="1" ref="AL715" ca="1">INDEX(OFFSET($AK$19,MATCH($B715,$B$19:$B$150,0)-1,0,COUNTA($B$19:$B$24),COUNTA($AK$17:$BB$17)),MATCH($F715,$F$19:$F$24,0),MATCH(AL$17,$AK$17:$BB$17,0))*INDEX($10:$13,MATCH($O715,$R$10:$R$13,0),COLUMN())</f>
        <v>3.7419730980000001E-8</v>
      </c>
      <c r="AM715" s="1050" cm="1">
        <f t="array" aca="1" ref="AM715" ca="1">INDEX(OFFSET($AK$19,MATCH($B715,$B$19:$B$150,0)-1,0,COUNTA($B$19:$B$24),COUNTA($AK$17:$BB$17)),MATCH($F715,$F$19:$F$24,0),MATCH(AM$17,$AK$17:$BB$17,0))*INDEX($10:$13,MATCH($O715,$R$10:$R$13,0),COLUMN())</f>
        <v>0</v>
      </c>
      <c r="AN715" s="1050" cm="1">
        <f t="array" aca="1" ref="AN715" ca="1">INDEX(OFFSET($AK$19,MATCH($B715,$B$19:$B$150,0)-1,0,COUNTA($B$19:$B$24),COUNTA($AK$17:$BB$17)),MATCH($F715,$F$19:$F$24,0),MATCH(AN$17,$AK$17:$BB$17,0))*INDEX($10:$13,MATCH($O715,$R$10:$R$13,0),COLUMN())</f>
        <v>1.5646552451999999E-3</v>
      </c>
      <c r="AO715" s="1050" cm="1">
        <f t="array" aca="1" ref="AO715" ca="1">INDEX(OFFSET($AK$19,MATCH($B715,$B$19:$B$150,0)-1,0,COUNTA($B$19:$B$24),COUNTA($AK$17:$BB$17)),MATCH($F715,$F$19:$F$24,0),MATCH(AO$17,$AK$17:$BB$17,0))*INDEX($10:$13,MATCH($O715,$R$10:$R$13,0),COLUMN())</f>
        <v>2.1320050701369862E-2</v>
      </c>
      <c r="AP715" s="1050" cm="1">
        <f t="array" aca="1" ref="AP715" ca="1">INDEX(OFFSET($AK$19,MATCH($B715,$B$19:$B$150,0)-1,0,COUNTA($B$19:$B$24),COUNTA($AK$17:$BB$17)),MATCH($F715,$F$19:$F$24,0),MATCH(AP$17,$AK$17:$BB$17,0))*INDEX($10:$13,MATCH($O715,$R$10:$R$13,0),COLUMN())</f>
        <v>1.3748789376000001E-2</v>
      </c>
      <c r="AQ715" s="1050" cm="1">
        <f t="array" aca="1" ref="AQ715" ca="1">INDEX(OFFSET($AK$19,MATCH($B715,$B$19:$B$150,0)-1,0,COUNTA($B$19:$B$24),COUNTA($AK$17:$BB$17)),MATCH($F715,$F$19:$F$24,0),MATCH(AQ$17,$AK$17:$BB$17,0))*INDEX($10:$13,MATCH($O715,$R$10:$R$13,0),COLUMN())</f>
        <v>2.5444507248000001E-2</v>
      </c>
      <c r="AR715" s="1050" cm="1">
        <f t="array" aca="1" ref="AR715" ca="1">INDEX(OFFSET($AK$19,MATCH($B715,$B$19:$B$150,0)-1,0,COUNTA($B$19:$B$24),COUNTA($AK$17:$BB$17)),MATCH($F715,$F$19:$F$24,0),MATCH(AR$17,$AK$17:$BB$17,0))*INDEX($10:$13,MATCH($O715,$R$10:$R$13,0),COLUMN())</f>
        <v>0.36966999379999999</v>
      </c>
      <c r="AS715" s="1050" cm="1">
        <f t="array" aca="1" ref="AS715" ca="1">INDEX(OFFSET($AK$19,MATCH($B715,$B$19:$B$150,0)-1,0,COUNTA($B$19:$B$24),COUNTA($AK$17:$BB$17)),MATCH($F715,$F$19:$F$24,0),MATCH(AS$17,$AK$17:$BB$17,0))*INDEX($10:$13,MATCH($O715,$R$10:$R$13,0),COLUMN())</f>
        <v>1.3706940877999999E-3</v>
      </c>
      <c r="AT715" s="1050" cm="1">
        <f t="array" aca="1" ref="AT715" ca="1">INDEX(OFFSET($AK$19,MATCH($B715,$B$19:$B$150,0)-1,0,COUNTA($B$19:$B$24),COUNTA($AK$17:$BB$17)),MATCH($F715,$F$19:$F$24,0),MATCH(AT$17,$AK$17:$BB$17,0))*INDEX($10:$13,MATCH($O715,$R$10:$R$13,0),COLUMN())</f>
        <v>3.8254152759999998E-6</v>
      </c>
      <c r="AU715" s="1050" cm="1">
        <f t="array" aca="1" ref="AU715" ca="1">INDEX(OFFSET($AK$19,MATCH($B715,$B$19:$B$150,0)-1,0,COUNTA($B$19:$B$24),COUNTA($AK$17:$BB$17)),MATCH($F715,$F$19:$F$24,0),MATCH(AU$17,$AK$17:$BB$17,0))*INDEX($10:$13,MATCH($O715,$R$10:$R$13,0),COLUMN())</f>
        <v>7.5520038779999997E-7</v>
      </c>
      <c r="AV715" s="1050" cm="1">
        <f t="array" aca="1" ref="AV715" ca="1">INDEX(OFFSET($AK$19,MATCH($B715,$B$19:$B$150,0)-1,0,COUNTA($B$19:$B$24),COUNTA($AK$17:$BB$17)),MATCH($F715,$F$19:$F$24,0),MATCH(AV$17,$AK$17:$BB$17,0))*INDEX($10:$13,MATCH($O715,$R$10:$R$13,0),COLUMN())</f>
        <v>1.1345538671268579E-3</v>
      </c>
      <c r="AW715" s="1050" cm="1">
        <f t="array" aca="1" ref="AW715" ca="1">INDEX(OFFSET($AK$19,MATCH($B715,$B$19:$B$150,0)-1,0,COUNTA($B$19:$B$24),COUNTA($AK$17:$BB$17)),MATCH($F715,$F$19:$F$24,0),MATCH(AW$17,$AK$17:$BB$17,0))*INDEX($10:$13,MATCH($O715,$R$10:$R$13,0),COLUMN())</f>
        <v>0.40252387170000004</v>
      </c>
      <c r="AX715" s="1050" cm="1">
        <f t="array" aca="1" ref="AX715" ca="1">INDEX(OFFSET($AK$19,MATCH($B715,$B$19:$B$150,0)-1,0,COUNTA($B$19:$B$24),COUNTA($AK$17:$BB$17)),MATCH($F715,$F$19:$F$24,0),MATCH(AX$17,$AK$17:$BB$17,0))*INDEX($10:$13,MATCH($O715,$R$10:$R$13,0),COLUMN())</f>
        <v>1.2125931963E-7</v>
      </c>
      <c r="AY715" s="1050" cm="1">
        <f t="array" aca="1" ref="AY715" ca="1">INDEX(OFFSET($AK$19,MATCH($B715,$B$19:$B$150,0)-1,0,COUNTA($B$19:$B$24),COUNTA($AK$17:$BB$17)),MATCH($F715,$F$19:$F$24,0),MATCH(AY$17,$AK$17:$BB$17,0))*INDEX($10:$13,MATCH($O715,$R$10:$R$13,0),COLUMN())</f>
        <v>-7.7758661650000006E-11</v>
      </c>
      <c r="AZ715" s="1050" cm="1">
        <f t="array" aca="1" ref="AZ715" ca="1">INDEX(OFFSET($AK$19,MATCH($B715,$B$19:$B$150,0)-1,0,COUNTA($B$19:$B$24),COUNTA($AK$17:$BB$17)),MATCH($F715,$F$19:$F$24,0),MATCH(AZ$17,$AK$17:$BB$17,0))*INDEX($10:$13,MATCH($O715,$R$10:$R$13,0),COLUMN())</f>
        <v>3.8160400276346598E-6</v>
      </c>
      <c r="BA715" s="1050" cm="1">
        <f t="array" aca="1" ref="BA715" ca="1">INDEX(OFFSET($AK$19,MATCH($B715,$B$19:$B$150,0)-1,0,COUNTA($B$19:$B$24),COUNTA($AK$17:$BB$17)),MATCH($F715,$F$19:$F$24,0),MATCH(BA$17,$AK$17:$BB$17,0))*INDEX($10:$13,MATCH($O715,$R$10:$R$13,0),COLUMN())</f>
        <v>1.1270239176999999E-2</v>
      </c>
      <c r="BB715" s="1051" cm="1">
        <f t="array" aca="1" ref="BB715" ca="1">INDEX(OFFSET($AK$19,MATCH($B715,$B$19:$B$150,0)-1,0,COUNTA($B$19:$B$24),COUNTA($AK$17:$BB$17)),MATCH($F715,$F$19:$F$24,0),MATCH(BB$17,$AK$17:$BB$17,0))*INDEX($10:$13,MATCH($O715,$R$10:$R$13,0),COLUMN())</f>
        <v>1.4528840640000001E-4</v>
      </c>
      <c r="BC715" s="1053">
        <f t="shared" ca="1" si="196"/>
        <v>0.40252399288156099</v>
      </c>
      <c r="BE715" s="1"/>
      <c r="BF715" s="1"/>
      <c r="BG715" s="1"/>
      <c r="BH715" s="1"/>
      <c r="BI715" s="1"/>
      <c r="BJ715" s="1"/>
      <c r="BK715" s="1"/>
      <c r="BL715" s="1"/>
      <c r="BM715" s="1"/>
      <c r="BN715" s="1"/>
      <c r="BO715" s="1"/>
      <c r="BP715" s="1"/>
      <c r="BQ715" s="1"/>
      <c r="BR715" s="1"/>
      <c r="BS715" s="1"/>
      <c r="BT715" s="1"/>
      <c r="BU715" s="1"/>
      <c r="BV715" s="1"/>
      <c r="BW715" s="1"/>
      <c r="BX715" s="1"/>
      <c r="BY715" s="1"/>
      <c r="BZ715" s="1"/>
    </row>
    <row r="716" spans="2:78" ht="12" customHeight="1" outlineLevel="1" x14ac:dyDescent="0.25">
      <c r="B716" s="104" t="s">
        <v>101</v>
      </c>
      <c r="C716" s="104" t="s">
        <v>121</v>
      </c>
      <c r="D716" s="2" t="s">
        <v>132</v>
      </c>
      <c r="E716" s="2" t="s">
        <v>136</v>
      </c>
      <c r="F716" s="105" t="s">
        <v>96</v>
      </c>
      <c r="G716" s="27" t="s">
        <v>1582</v>
      </c>
      <c r="H716" s="106" t="s">
        <v>128</v>
      </c>
      <c r="I716" s="107" t="s">
        <v>1577</v>
      </c>
      <c r="J716" s="147">
        <v>3.7906351599999999</v>
      </c>
      <c r="K716" s="148">
        <v>0.41675000000000001</v>
      </c>
      <c r="L716" s="149">
        <f t="shared" ca="1" si="193"/>
        <v>2.3414476063168106</v>
      </c>
      <c r="M716" s="148">
        <f t="shared" ca="1" si="194"/>
        <v>1.3925482899325308</v>
      </c>
      <c r="N716" s="148">
        <f t="shared" ca="1" si="195"/>
        <v>0.97579828993253082</v>
      </c>
      <c r="O716" s="1062" t="s">
        <v>1586</v>
      </c>
      <c r="P716" s="104"/>
      <c r="R716" s="119"/>
      <c r="S716" s="1072"/>
      <c r="T716" s="1072"/>
      <c r="U716" s="1072"/>
      <c r="V716" s="1072"/>
      <c r="W716" s="1072"/>
      <c r="X716" s="1072"/>
      <c r="Y716" s="1072"/>
      <c r="Z716" s="1072"/>
      <c r="AA716" s="1072"/>
      <c r="AB716" s="1072"/>
      <c r="AC716" s="1072"/>
      <c r="AD716" s="1072"/>
      <c r="AE716" s="1072"/>
      <c r="AF716" s="1072"/>
      <c r="AG716" s="1072"/>
      <c r="AH716" s="1072"/>
      <c r="AI716" s="1072"/>
      <c r="AJ716" s="1073"/>
      <c r="AK716" s="1052" cm="1">
        <f t="array" aca="1" ref="AK716" ca="1">INDEX(OFFSET($AK$19,MATCH($B716,$B$19:$B$150,0)-1,0,COUNTA($B$19:$B$24),COUNTA($AK$17:$BB$17)),MATCH($F716,$F$19:$F$24,0),MATCH(AK$17,$AK$17:$BB$17,0))*INDEX($10:$13,MATCH($O716,$R$10:$R$13,0),COLUMN())</f>
        <v>3.9162602400000003E-2</v>
      </c>
      <c r="AL716" s="1050" cm="1">
        <f t="array" aca="1" ref="AL716" ca="1">INDEX(OFFSET($AK$19,MATCH($B716,$B$19:$B$150,0)-1,0,COUNTA($B$19:$B$24),COUNTA($AK$17:$BB$17)),MATCH($F716,$F$19:$F$24,0),MATCH(AL$17,$AK$17:$BB$17,0))*INDEX($10:$13,MATCH($O716,$R$10:$R$13,0),COLUMN())</f>
        <v>3.7602638219999999E-8</v>
      </c>
      <c r="AM716" s="1050" cm="1">
        <f t="array" aca="1" ref="AM716" ca="1">INDEX(OFFSET($AK$19,MATCH($B716,$B$19:$B$150,0)-1,0,COUNTA($B$19:$B$24),COUNTA($AK$17:$BB$17)),MATCH($F716,$F$19:$F$24,0),MATCH(AM$17,$AK$17:$BB$17,0))*INDEX($10:$13,MATCH($O716,$R$10:$R$13,0),COLUMN())</f>
        <v>0</v>
      </c>
      <c r="AN716" s="1050" cm="1">
        <f t="array" aca="1" ref="AN716" ca="1">INDEX(OFFSET($AK$19,MATCH($B716,$B$19:$B$150,0)-1,0,COUNTA($B$19:$B$24),COUNTA($AK$17:$BB$17)),MATCH($F716,$F$19:$F$24,0),MATCH(AN$17,$AK$17:$BB$17,0))*INDEX($10:$13,MATCH($O716,$R$10:$R$13,0),COLUMN())</f>
        <v>1.6304836398000002E-3</v>
      </c>
      <c r="AO716" s="1050" cm="1">
        <f t="array" aca="1" ref="AO716" ca="1">INDEX(OFFSET($AK$19,MATCH($B716,$B$19:$B$150,0)-1,0,COUNTA($B$19:$B$24),COUNTA($AK$17:$BB$17)),MATCH($F716,$F$19:$F$24,0),MATCH(AO$17,$AK$17:$BB$17,0))*INDEX($10:$13,MATCH($O716,$R$10:$R$13,0),COLUMN())</f>
        <v>3.0147480904109587E-2</v>
      </c>
      <c r="AP716" s="1050" cm="1">
        <f t="array" aca="1" ref="AP716" ca="1">INDEX(OFFSET($AK$19,MATCH($B716,$B$19:$B$150,0)-1,0,COUNTA($B$19:$B$24),COUNTA($AK$17:$BB$17)),MATCH($F716,$F$19:$F$24,0),MATCH(AP$17,$AK$17:$BB$17,0))*INDEX($10:$13,MATCH($O716,$R$10:$R$13,0),COLUMN())</f>
        <v>2.080063104E-2</v>
      </c>
      <c r="AQ716" s="1050" cm="1">
        <f t="array" aca="1" ref="AQ716" ca="1">INDEX(OFFSET($AK$19,MATCH($B716,$B$19:$B$150,0)-1,0,COUNTA($B$19:$B$24),COUNTA($AK$17:$BB$17)),MATCH($F716,$F$19:$F$24,0),MATCH(AQ$17,$AK$17:$BB$17,0))*INDEX($10:$13,MATCH($O716,$R$10:$R$13,0),COLUMN())</f>
        <v>3.8985479840000004E-2</v>
      </c>
      <c r="AR716" s="1050" cm="1">
        <f t="array" aca="1" ref="AR716" ca="1">INDEX(OFFSET($AK$19,MATCH($B716,$B$19:$B$150,0)-1,0,COUNTA($B$19:$B$24),COUNTA($AK$17:$BB$17)),MATCH($F716,$F$19:$F$24,0),MATCH(AR$17,$AK$17:$BB$17,0))*INDEX($10:$13,MATCH($O716,$R$10:$R$13,0),COLUMN())</f>
        <v>0.42634206822000004</v>
      </c>
      <c r="AS716" s="1050" cm="1">
        <f t="array" aca="1" ref="AS716" ca="1">INDEX(OFFSET($AK$19,MATCH($B716,$B$19:$B$150,0)-1,0,COUNTA($B$19:$B$24),COUNTA($AK$17:$BB$17)),MATCH($F716,$F$19:$F$24,0),MATCH(AS$17,$AK$17:$BB$17,0))*INDEX($10:$13,MATCH($O716,$R$10:$R$13,0),COLUMN())</f>
        <v>2.4070985994E-3</v>
      </c>
      <c r="AT716" s="1050" cm="1">
        <f t="array" aca="1" ref="AT716" ca="1">INDEX(OFFSET($AK$19,MATCH($B716,$B$19:$B$150,0)-1,0,COUNTA($B$19:$B$24),COUNTA($AK$17:$BB$17)),MATCH($F716,$F$19:$F$24,0),MATCH(AT$17,$AK$17:$BB$17,0))*INDEX($10:$13,MATCH($O716,$R$10:$R$13,0),COLUMN())</f>
        <v>4.2930293580000002E-6</v>
      </c>
      <c r="AU716" s="1050" cm="1">
        <f t="array" aca="1" ref="AU716" ca="1">INDEX(OFFSET($AK$19,MATCH($B716,$B$19:$B$150,0)-1,0,COUNTA($B$19:$B$24),COUNTA($AK$17:$BB$17)),MATCH($F716,$F$19:$F$24,0),MATCH(AU$17,$AK$17:$BB$17,0))*INDEX($10:$13,MATCH($O716,$R$10:$R$13,0),COLUMN())</f>
        <v>8.2198678260000007E-7</v>
      </c>
      <c r="AV716" s="1050" cm="1">
        <f t="array" aca="1" ref="AV716" ca="1">INDEX(OFFSET($AK$19,MATCH($B716,$B$19:$B$150,0)-1,0,COUNTA($B$19:$B$24),COUNTA($AK$17:$BB$17)),MATCH($F716,$F$19:$F$24,0),MATCH(AV$17,$AK$17:$BB$17,0))*INDEX($10:$13,MATCH($O716,$R$10:$R$13,0),COLUMN())</f>
        <v>1.979041264825821E-3</v>
      </c>
      <c r="AW716" s="1050" cm="1">
        <f t="array" aca="1" ref="AW716" ca="1">INDEX(OFFSET($AK$19,MATCH($B716,$B$19:$B$150,0)-1,0,COUNTA($B$19:$B$24),COUNTA($AK$17:$BB$17)),MATCH($F716,$F$19:$F$24,0),MATCH(AW$17,$AK$17:$BB$17,0))*INDEX($10:$13,MATCH($O716,$R$10:$R$13,0),COLUMN())</f>
        <v>0.40252387170000004</v>
      </c>
      <c r="AX716" s="1050" cm="1">
        <f t="array" aca="1" ref="AX716" ca="1">INDEX(OFFSET($AK$19,MATCH($B716,$B$19:$B$150,0)-1,0,COUNTA($B$19:$B$24),COUNTA($AK$17:$BB$17)),MATCH($F716,$F$19:$F$24,0),MATCH(AX$17,$AK$17:$BB$17,0))*INDEX($10:$13,MATCH($O716,$R$10:$R$13,0),COLUMN())</f>
        <v>1.2125931963E-7</v>
      </c>
      <c r="AY716" s="1050" cm="1">
        <f t="array" aca="1" ref="AY716" ca="1">INDEX(OFFSET($AK$19,MATCH($B716,$B$19:$B$150,0)-1,0,COUNTA($B$19:$B$24),COUNTA($AK$17:$BB$17)),MATCH($F716,$F$19:$F$24,0),MATCH(AY$17,$AK$17:$BB$17,0))*INDEX($10:$13,MATCH($O716,$R$10:$R$13,0),COLUMN())</f>
        <v>-7.7758661650000006E-11</v>
      </c>
      <c r="AZ716" s="1050" cm="1">
        <f t="array" aca="1" ref="AZ716" ca="1">INDEX(OFFSET($AK$19,MATCH($B716,$B$19:$B$150,0)-1,0,COUNTA($B$19:$B$24),COUNTA($AK$17:$BB$17)),MATCH($F716,$F$19:$F$24,0),MATCH(AZ$17,$AK$17:$BB$17,0))*INDEX($10:$13,MATCH($O716,$R$10:$R$13,0),COLUMN())</f>
        <v>3.8195206555035125E-6</v>
      </c>
      <c r="BA716" s="1050" cm="1">
        <f t="array" aca="1" ref="BA716" ca="1">INDEX(OFFSET($AK$19,MATCH($B716,$B$19:$B$150,0)-1,0,COUNTA($B$19:$B$24),COUNTA($AK$17:$BB$17)),MATCH($F716,$F$19:$F$24,0),MATCH(BA$17,$AK$17:$BB$17,0))*INDEX($10:$13,MATCH($O716,$R$10:$R$13,0),COLUMN())</f>
        <v>1.166482789E-2</v>
      </c>
      <c r="BB716" s="1051" cm="1">
        <f t="array" aca="1" ref="BB716" ca="1">INDEX(OFFSET($AK$19,MATCH($B716,$B$19:$B$150,0)-1,0,COUNTA($B$19:$B$24),COUNTA($AK$17:$BB$17)),MATCH($F716,$F$19:$F$24,0),MATCH(BB$17,$AK$17:$BB$17,0))*INDEX($10:$13,MATCH($O716,$R$10:$R$13,0),COLUMN())</f>
        <v>1.456111134E-4</v>
      </c>
      <c r="BC716" s="1053">
        <f t="shared" ca="1" si="196"/>
        <v>0.40252399288156099</v>
      </c>
      <c r="BE716" s="1"/>
      <c r="BF716" s="1"/>
      <c r="BG716" s="1"/>
      <c r="BH716" s="1"/>
      <c r="BI716" s="1"/>
      <c r="BJ716" s="1"/>
      <c r="BK716" s="1"/>
      <c r="BL716" s="1"/>
      <c r="BM716" s="1"/>
      <c r="BN716" s="1"/>
      <c r="BO716" s="1"/>
      <c r="BP716" s="1"/>
      <c r="BQ716" s="1"/>
      <c r="BR716" s="1"/>
      <c r="BS716" s="1"/>
      <c r="BT716" s="1"/>
      <c r="BU716" s="1"/>
      <c r="BV716" s="1"/>
      <c r="BW716" s="1"/>
      <c r="BX716" s="1"/>
      <c r="BY716" s="1"/>
      <c r="BZ716" s="1"/>
    </row>
    <row r="717" spans="2:78" ht="12" customHeight="1" outlineLevel="1" x14ac:dyDescent="0.25">
      <c r="B717" s="88" t="s">
        <v>102</v>
      </c>
      <c r="C717" s="88" t="s">
        <v>121</v>
      </c>
      <c r="D717" s="89" t="s">
        <v>137</v>
      </c>
      <c r="E717" s="89" t="s">
        <v>138</v>
      </c>
      <c r="F717" s="90" t="s">
        <v>92</v>
      </c>
      <c r="G717" s="18" t="s">
        <v>126</v>
      </c>
      <c r="H717" s="91" t="s">
        <v>127</v>
      </c>
      <c r="I717" s="92" t="s">
        <v>127</v>
      </c>
      <c r="J717" s="142">
        <v>3.8814574399999997</v>
      </c>
      <c r="K717" s="143">
        <v>1.4249898934019873</v>
      </c>
      <c r="L717" s="144">
        <f t="shared" ca="1" si="193"/>
        <v>1.1309321178482685</v>
      </c>
      <c r="M717" s="143">
        <f t="shared" ca="1" si="194"/>
        <v>3.0365567314594752</v>
      </c>
      <c r="N717" s="143">
        <f t="shared" ca="1" si="195"/>
        <v>1.6115668380574879</v>
      </c>
      <c r="O717" s="1063" t="s">
        <v>1586</v>
      </c>
      <c r="P717" s="88"/>
      <c r="Q717" s="89"/>
      <c r="R717" s="150"/>
      <c r="S717" s="1070"/>
      <c r="T717" s="1070"/>
      <c r="U717" s="1070"/>
      <c r="V717" s="1070"/>
      <c r="W717" s="1070"/>
      <c r="X717" s="1070"/>
      <c r="Y717" s="1070"/>
      <c r="Z717" s="1070"/>
      <c r="AA717" s="1070"/>
      <c r="AB717" s="1070"/>
      <c r="AC717" s="1070"/>
      <c r="AD717" s="1070"/>
      <c r="AE717" s="1070"/>
      <c r="AF717" s="1070"/>
      <c r="AG717" s="1070"/>
      <c r="AH717" s="1070"/>
      <c r="AI717" s="1070"/>
      <c r="AJ717" s="1071"/>
      <c r="AK717" s="1048" cm="1">
        <f t="array" aca="1" ref="AK717" ca="1">INDEX(OFFSET($AK$19,MATCH($B717,$B$19:$B$150,0)-1,0,COUNTA($B$19:$B$24),COUNTA($AK$17:$BB$17)),MATCH($F717,$F$19:$F$24,0),MATCH(AK$17,$AK$17:$BB$17,0))*INDEX($10:$13,MATCH($O717,$R$10:$R$13,0),COLUMN())</f>
        <v>6.1834715679999999E-2</v>
      </c>
      <c r="AL717" s="1046" cm="1">
        <f t="array" aca="1" ref="AL717" ca="1">INDEX(OFFSET($AK$19,MATCH($B717,$B$19:$B$150,0)-1,0,COUNTA($B$19:$B$24),COUNTA($AK$17:$BB$17)),MATCH($F717,$F$19:$F$24,0),MATCH(AL$17,$AK$17:$BB$17,0))*INDEX($10:$13,MATCH($O717,$R$10:$R$13,0),COLUMN())</f>
        <v>1.3594319694000001E-7</v>
      </c>
      <c r="AM717" s="1046" cm="1">
        <f t="array" aca="1" ref="AM717" ca="1">INDEX(OFFSET($AK$19,MATCH($B717,$B$19:$B$150,0)-1,0,COUNTA($B$19:$B$24),COUNTA($AK$17:$BB$17)),MATCH($F717,$F$19:$F$24,0),MATCH(AM$17,$AK$17:$BB$17,0))*INDEX($10:$13,MATCH($O717,$R$10:$R$13,0),COLUMN())</f>
        <v>0</v>
      </c>
      <c r="AN717" s="1046" cm="1">
        <f t="array" aca="1" ref="AN717" ca="1">INDEX(OFFSET($AK$19,MATCH($B717,$B$19:$B$150,0)-1,0,COUNTA($B$19:$B$24),COUNTA($AK$17:$BB$17)),MATCH($F717,$F$19:$F$24,0),MATCH(AN$17,$AK$17:$BB$17,0))*INDEX($10:$13,MATCH($O717,$R$10:$R$13,0),COLUMN())</f>
        <v>2.0758722720000001E-3</v>
      </c>
      <c r="AO717" s="1046" cm="1">
        <f t="array" aca="1" ref="AO717" ca="1">INDEX(OFFSET($AK$19,MATCH($B717,$B$19:$B$150,0)-1,0,COUNTA($B$19:$B$24),COUNTA($AK$17:$BB$17)),MATCH($F717,$F$19:$F$24,0),MATCH(AO$17,$AK$17:$BB$17,0))*INDEX($10:$13,MATCH($O717,$R$10:$R$13,0),COLUMN())</f>
        <v>3.721679605479452E-2</v>
      </c>
      <c r="AP717" s="1046" cm="1">
        <f t="array" aca="1" ref="AP717" ca="1">INDEX(OFFSET($AK$19,MATCH($B717,$B$19:$B$150,0)-1,0,COUNTA($B$19:$B$24),COUNTA($AK$17:$BB$17)),MATCH($F717,$F$19:$F$24,0),MATCH(AP$17,$AK$17:$BB$17,0))*INDEX($10:$13,MATCH($O717,$R$10:$R$13,0),COLUMN())</f>
        <v>2.5112587247999998E-2</v>
      </c>
      <c r="AQ717" s="1046" cm="1">
        <f t="array" aca="1" ref="AQ717" ca="1">INDEX(OFFSET($AK$19,MATCH($B717,$B$19:$B$150,0)-1,0,COUNTA($B$19:$B$24),COUNTA($AK$17:$BB$17)),MATCH($F717,$F$19:$F$24,0),MATCH(AQ$17,$AK$17:$BB$17,0))*INDEX($10:$13,MATCH($O717,$R$10:$R$13,0),COLUMN())</f>
        <v>7.8961817279999999E-2</v>
      </c>
      <c r="AR717" s="1046" cm="1">
        <f t="array" aca="1" ref="AR717" ca="1">INDEX(OFFSET($AK$19,MATCH($B717,$B$19:$B$150,0)-1,0,COUNTA($B$19:$B$24),COUNTA($AK$17:$BB$17)),MATCH($F717,$F$19:$F$24,0),MATCH(AR$17,$AK$17:$BB$17,0))*INDEX($10:$13,MATCH($O717,$R$10:$R$13,0),COLUMN())</f>
        <v>0.49009599238000001</v>
      </c>
      <c r="AS717" s="1046" cm="1">
        <f t="array" aca="1" ref="AS717" ca="1">INDEX(OFFSET($AK$19,MATCH($B717,$B$19:$B$150,0)-1,0,COUNTA($B$19:$B$24),COUNTA($AK$17:$BB$17)),MATCH($F717,$F$19:$F$24,0),MATCH(AS$17,$AK$17:$BB$17,0))*INDEX($10:$13,MATCH($O717,$R$10:$R$13,0),COLUMN())</f>
        <v>0.26713992312999996</v>
      </c>
      <c r="AT717" s="1046" cm="1">
        <f t="array" aca="1" ref="AT717" ca="1">INDEX(OFFSET($AK$19,MATCH($B717,$B$19:$B$150,0)-1,0,COUNTA($B$19:$B$24),COUNTA($AK$17:$BB$17)),MATCH($F717,$F$19:$F$24,0),MATCH(AT$17,$AK$17:$BB$17,0))*INDEX($10:$13,MATCH($O717,$R$10:$R$13,0),COLUMN())</f>
        <v>2.9717898977999998E-4</v>
      </c>
      <c r="AU717" s="1046" cm="1">
        <f t="array" aca="1" ref="AU717" ca="1">INDEX(OFFSET($AK$19,MATCH($B717,$B$19:$B$150,0)-1,0,COUNTA($B$19:$B$24),COUNTA($AK$17:$BB$17)),MATCH($F717,$F$19:$F$24,0),MATCH(AU$17,$AK$17:$BB$17,0))*INDEX($10:$13,MATCH($O717,$R$10:$R$13,0),COLUMN())</f>
        <v>1.7364193817999998E-5</v>
      </c>
      <c r="AV717" s="1046" cm="1">
        <f t="array" aca="1" ref="AV717" ca="1">INDEX(OFFSET($AK$19,MATCH($B717,$B$19:$B$150,0)-1,0,COUNTA($B$19:$B$24),COUNTA($AK$17:$BB$17)),MATCH($F717,$F$19:$F$24,0),MATCH(AV$17,$AK$17:$BB$17,0))*INDEX($10:$13,MATCH($O717,$R$10:$R$13,0),COLUMN())</f>
        <v>3.7619851842877823E-3</v>
      </c>
      <c r="AW717" s="1046" cm="1">
        <f t="array" aca="1" ref="AW717" ca="1">INDEX(OFFSET($AK$19,MATCH($B717,$B$19:$B$150,0)-1,0,COUNTA($B$19:$B$24),COUNTA($AK$17:$BB$17)),MATCH($F717,$F$19:$F$24,0),MATCH(AW$17,$AK$17:$BB$17,0))*INDEX($10:$13,MATCH($O717,$R$10:$R$13,0),COLUMN())</f>
        <v>0.62332473870000005</v>
      </c>
      <c r="AX717" s="1046" cm="1">
        <f t="array" aca="1" ref="AX717" ca="1">INDEX(OFFSET($AK$19,MATCH($B717,$B$19:$B$150,0)-1,0,COUNTA($B$19:$B$24),COUNTA($AK$17:$BB$17)),MATCH($F717,$F$19:$F$24,0),MATCH(AX$17,$AK$17:$BB$17,0))*INDEX($10:$13,MATCH($O717,$R$10:$R$13,0),COLUMN())</f>
        <v>6.4030877180000005E-7</v>
      </c>
      <c r="AY717" s="1046" cm="1">
        <f t="array" aca="1" ref="AY717" ca="1">INDEX(OFFSET($AK$19,MATCH($B717,$B$19:$B$150,0)-1,0,COUNTA($B$19:$B$24),COUNTA($AK$17:$BB$17)),MATCH($F717,$F$19:$F$24,0),MATCH(AY$17,$AK$17:$BB$17,0))*INDEX($10:$13,MATCH($O717,$R$10:$R$13,0),COLUMN())</f>
        <v>-4.2055915650000002E-10</v>
      </c>
      <c r="AZ717" s="1046" cm="1">
        <f t="array" aca="1" ref="AZ717" ca="1">INDEX(OFFSET($AK$19,MATCH($B717,$B$19:$B$150,0)-1,0,COUNTA($B$19:$B$24),COUNTA($AK$17:$BB$17)),MATCH($F717,$F$19:$F$24,0),MATCH(AZ$17,$AK$17:$BB$17,0))*INDEX($10:$13,MATCH($O717,$R$10:$R$13,0),COLUMN())</f>
        <v>5.2687786978922708E-6</v>
      </c>
      <c r="BA717" s="1046" cm="1">
        <f t="array" aca="1" ref="BA717" ca="1">INDEX(OFFSET($AK$19,MATCH($B717,$B$19:$B$150,0)-1,0,COUNTA($B$19:$B$24),COUNTA($AK$17:$BB$17)),MATCH($F717,$F$19:$F$24,0),MATCH(BA$17,$AK$17:$BB$17,0))*INDEX($10:$13,MATCH($O717,$R$10:$R$13,0),COLUMN())</f>
        <v>2.1425425658E-2</v>
      </c>
      <c r="BB717" s="1047" cm="1">
        <f t="array" aca="1" ref="BB717" ca="1">INDEX(OFFSET($AK$19,MATCH($B717,$B$19:$B$150,0)-1,0,COUNTA($B$19:$B$24),COUNTA($AK$17:$BB$17)),MATCH($F717,$F$19:$F$24,0),MATCH(BB$17,$AK$17:$BB$17,0))*INDEX($10:$13,MATCH($O717,$R$10:$R$13,0),COLUMN())</f>
        <v>2.963966767E-4</v>
      </c>
      <c r="BC717" s="1049">
        <f t="shared" ca="1" si="196"/>
        <v>0.62332537858821269</v>
      </c>
      <c r="BE717" s="1"/>
      <c r="BF717" s="1"/>
      <c r="BG717" s="1"/>
      <c r="BH717" s="1"/>
      <c r="BI717" s="1"/>
      <c r="BJ717" s="1"/>
      <c r="BK717" s="1"/>
      <c r="BL717" s="1"/>
      <c r="BM717" s="1"/>
      <c r="BN717" s="1"/>
      <c r="BO717" s="1"/>
      <c r="BP717" s="1"/>
      <c r="BQ717" s="1"/>
      <c r="BR717" s="1"/>
      <c r="BS717" s="1"/>
      <c r="BT717" s="1"/>
      <c r="BU717" s="1"/>
      <c r="BV717" s="1"/>
      <c r="BW717" s="1"/>
      <c r="BX717" s="1"/>
      <c r="BY717" s="1"/>
      <c r="BZ717" s="1"/>
    </row>
    <row r="718" spans="2:78" ht="12" customHeight="1" outlineLevel="1" x14ac:dyDescent="0.25">
      <c r="B718" s="104" t="s">
        <v>102</v>
      </c>
      <c r="C718" s="104" t="s">
        <v>121</v>
      </c>
      <c r="D718" s="2" t="s">
        <v>137</v>
      </c>
      <c r="E718" s="2" t="s">
        <v>138</v>
      </c>
      <c r="F718" s="105" t="s">
        <v>122</v>
      </c>
      <c r="G718" s="27" t="s">
        <v>1579</v>
      </c>
      <c r="H718" s="106" t="s">
        <v>128</v>
      </c>
      <c r="I718" s="107" t="s">
        <v>129</v>
      </c>
      <c r="J718" s="147">
        <v>3.8814574399999997</v>
      </c>
      <c r="K718" s="148">
        <v>3.49</v>
      </c>
      <c r="L718" s="149">
        <f t="shared" ca="1" si="193"/>
        <v>0.31823830305428608</v>
      </c>
      <c r="M718" s="148">
        <f t="shared" ca="1" si="194"/>
        <v>4.6006516776594584</v>
      </c>
      <c r="N718" s="148">
        <f t="shared" ca="1" si="195"/>
        <v>1.1106516776594584</v>
      </c>
      <c r="O718" s="1062" t="s">
        <v>1586</v>
      </c>
      <c r="P718" s="104"/>
      <c r="R718" s="119"/>
      <c r="S718" s="1072"/>
      <c r="T718" s="1072"/>
      <c r="U718" s="1072"/>
      <c r="V718" s="1072"/>
      <c r="W718" s="1072"/>
      <c r="X718" s="1072"/>
      <c r="Y718" s="1072"/>
      <c r="Z718" s="1072"/>
      <c r="AA718" s="1072"/>
      <c r="AB718" s="1072"/>
      <c r="AC718" s="1072"/>
      <c r="AD718" s="1072"/>
      <c r="AE718" s="1072"/>
      <c r="AF718" s="1072"/>
      <c r="AG718" s="1072"/>
      <c r="AH718" s="1072"/>
      <c r="AI718" s="1072"/>
      <c r="AJ718" s="1073"/>
      <c r="AK718" s="1052" cm="1">
        <f t="array" aca="1" ref="AK718" ca="1">INDEX(OFFSET($AK$19,MATCH($B718,$B$19:$B$150,0)-1,0,COUNTA($B$19:$B$24),COUNTA($AK$17:$BB$17)),MATCH($F718,$F$19:$F$24,0),MATCH(AK$17,$AK$17:$BB$17,0))*INDEX($10:$13,MATCH($O718,$R$10:$R$13,0),COLUMN())</f>
        <v>4.3820087600000002E-2</v>
      </c>
      <c r="AL718" s="1050" cm="1">
        <f t="array" aca="1" ref="AL718" ca="1">INDEX(OFFSET($AK$19,MATCH($B718,$B$19:$B$150,0)-1,0,COUNTA($B$19:$B$24),COUNTA($AK$17:$BB$17)),MATCH($F718,$F$19:$F$24,0),MATCH(AL$17,$AK$17:$BB$17,0))*INDEX($10:$13,MATCH($O718,$R$10:$R$13,0),COLUMN())</f>
        <v>5.7306188520000002E-8</v>
      </c>
      <c r="AM718" s="1050" cm="1">
        <f t="array" aca="1" ref="AM718" ca="1">INDEX(OFFSET($AK$19,MATCH($B718,$B$19:$B$150,0)-1,0,COUNTA($B$19:$B$24),COUNTA($AK$17:$BB$17)),MATCH($F718,$F$19:$F$24,0),MATCH(AM$17,$AK$17:$BB$17,0))*INDEX($10:$13,MATCH($O718,$R$10:$R$13,0),COLUMN())</f>
        <v>0</v>
      </c>
      <c r="AN718" s="1050" cm="1">
        <f t="array" aca="1" ref="AN718" ca="1">INDEX(OFFSET($AK$19,MATCH($B718,$B$19:$B$150,0)-1,0,COUNTA($B$19:$B$24),COUNTA($AK$17:$BB$17)),MATCH($F718,$F$19:$F$24,0),MATCH(AN$17,$AK$17:$BB$17,0))*INDEX($10:$13,MATCH($O718,$R$10:$R$13,0),COLUMN())</f>
        <v>2.1450942252000003E-3</v>
      </c>
      <c r="AO718" s="1050" cm="1">
        <f t="array" aca="1" ref="AO718" ca="1">INDEX(OFFSET($AK$19,MATCH($B718,$B$19:$B$150,0)-1,0,COUNTA($B$19:$B$24),COUNTA($AK$17:$BB$17)),MATCH($F718,$F$19:$F$24,0),MATCH(AO$17,$AK$17:$BB$17,0))*INDEX($10:$13,MATCH($O718,$R$10:$R$13,0),COLUMN())</f>
        <v>1.4601570123287671E-2</v>
      </c>
      <c r="AP718" s="1050" cm="1">
        <f t="array" aca="1" ref="AP718" ca="1">INDEX(OFFSET($AK$19,MATCH($B718,$B$19:$B$150,0)-1,0,COUNTA($B$19:$B$24),COUNTA($AK$17:$BB$17)),MATCH($F718,$F$19:$F$24,0),MATCH(AP$17,$AK$17:$BB$17,0))*INDEX($10:$13,MATCH($O718,$R$10:$R$13,0),COLUMN())</f>
        <v>6.8052408479999998E-3</v>
      </c>
      <c r="AQ718" s="1050" cm="1">
        <f t="array" aca="1" ref="AQ718" ca="1">INDEX(OFFSET($AK$19,MATCH($B718,$B$19:$B$150,0)-1,0,COUNTA($B$19:$B$24),COUNTA($AK$17:$BB$17)),MATCH($F718,$F$19:$F$24,0),MATCH(AQ$17,$AK$17:$BB$17,0))*INDEX($10:$13,MATCH($O718,$R$10:$R$13,0),COLUMN())</f>
        <v>1.1353560960000002E-2</v>
      </c>
      <c r="AR718" s="1050" cm="1">
        <f t="array" aca="1" ref="AR718" ca="1">INDEX(OFFSET($AK$19,MATCH($B718,$B$19:$B$150,0)-1,0,COUNTA($B$19:$B$24),COUNTA($AK$17:$BB$17)),MATCH($F718,$F$19:$F$24,0),MATCH(AR$17,$AK$17:$BB$17,0))*INDEX($10:$13,MATCH($O718,$R$10:$R$13,0),COLUMN())</f>
        <v>0.30350194345999998</v>
      </c>
      <c r="AS718" s="1050" cm="1">
        <f t="array" aca="1" ref="AS718" ca="1">INDEX(OFFSET($AK$19,MATCH($B718,$B$19:$B$150,0)-1,0,COUNTA($B$19:$B$24),COUNTA($AK$17:$BB$17)),MATCH($F718,$F$19:$F$24,0),MATCH(AS$17,$AK$17:$BB$17,0))*INDEX($10:$13,MATCH($O718,$R$10:$R$13,0),COLUMN())</f>
        <v>8.2077929230000001E-5</v>
      </c>
      <c r="AT718" s="1050" cm="1">
        <f t="array" aca="1" ref="AT718" ca="1">INDEX(OFFSET($AK$19,MATCH($B718,$B$19:$B$150,0)-1,0,COUNTA($B$19:$B$24),COUNTA($AK$17:$BB$17)),MATCH($F718,$F$19:$F$24,0),MATCH(AT$17,$AK$17:$BB$17,0))*INDEX($10:$13,MATCH($O718,$R$10:$R$13,0),COLUMN())</f>
        <v>4.8874792119999998E-6</v>
      </c>
      <c r="AU718" s="1050" cm="1">
        <f t="array" aca="1" ref="AU718" ca="1">INDEX(OFFSET($AK$19,MATCH($B718,$B$19:$B$150,0)-1,0,COUNTA($B$19:$B$24),COUNTA($AK$17:$BB$17)),MATCH($F718,$F$19:$F$24,0),MATCH(AU$17,$AK$17:$BB$17,0))*INDEX($10:$13,MATCH($O718,$R$10:$R$13,0),COLUMN())</f>
        <v>1.0100029001999999E-6</v>
      </c>
      <c r="AV718" s="1050" cm="1">
        <f t="array" aca="1" ref="AV718" ca="1">INDEX(OFFSET($AK$19,MATCH($B718,$B$19:$B$150,0)-1,0,COUNTA($B$19:$B$24),COUNTA($AK$17:$BB$17)),MATCH($F718,$F$19:$F$24,0),MATCH(AV$17,$AK$17:$BB$17,0))*INDEX($10:$13,MATCH($O718,$R$10:$R$13,0),COLUMN())</f>
        <v>4.8042182143202806E-4</v>
      </c>
      <c r="AW718" s="1050" cm="1">
        <f t="array" aca="1" ref="AW718" ca="1">INDEX(OFFSET($AK$19,MATCH($B718,$B$19:$B$150,0)-1,0,COUNTA($B$19:$B$24),COUNTA($AK$17:$BB$17)),MATCH($F718,$F$19:$F$24,0),MATCH(AW$17,$AK$17:$BB$17,0))*INDEX($10:$13,MATCH($O718,$R$10:$R$13,0),COLUMN())</f>
        <v>0.71195848620000013</v>
      </c>
      <c r="AX718" s="1050" cm="1">
        <f t="array" aca="1" ref="AX718" ca="1">INDEX(OFFSET($AK$19,MATCH($B718,$B$19:$B$150,0)-1,0,COUNTA($B$19:$B$24),COUNTA($AK$17:$BB$17)),MATCH($F718,$F$19:$F$24,0),MATCH(AX$17,$AK$17:$BB$17,0))*INDEX($10:$13,MATCH($O718,$R$10:$R$13,0),COLUMN())</f>
        <v>1.7557398402000001E-7</v>
      </c>
      <c r="AY718" s="1050" cm="1">
        <f t="array" aca="1" ref="AY718" ca="1">INDEX(OFFSET($AK$19,MATCH($B718,$B$19:$B$150,0)-1,0,COUNTA($B$19:$B$24),COUNTA($AK$17:$BB$17)),MATCH($F718,$F$19:$F$24,0),MATCH(AY$17,$AK$17:$BB$17,0))*INDEX($10:$13,MATCH($O718,$R$10:$R$13,0),COLUMN())</f>
        <v>-1.1258844069999999E-10</v>
      </c>
      <c r="AZ718" s="1050" cm="1">
        <f t="array" aca="1" ref="AZ718" ca="1">INDEX(OFFSET($AK$19,MATCH($B718,$B$19:$B$150,0)-1,0,COUNTA($B$19:$B$24),COUNTA($AK$17:$BB$17)),MATCH($F718,$F$19:$F$24,0),MATCH(AZ$17,$AK$17:$BB$17,0))*INDEX($10:$13,MATCH($O718,$R$10:$R$13,0),COLUMN())</f>
        <v>5.9773087119437932E-6</v>
      </c>
      <c r="BA718" s="1050" cm="1">
        <f t="array" aca="1" ref="BA718" ca="1">INDEX(OFFSET($AK$19,MATCH($B718,$B$19:$B$150,0)-1,0,COUNTA($B$19:$B$24),COUNTA($AK$17:$BB$17)),MATCH($F718,$F$19:$F$24,0),MATCH(BA$17,$AK$17:$BB$17,0))*INDEX($10:$13,MATCH($O718,$R$10:$R$13,0),COLUMN())</f>
        <v>1.5649141304000001E-2</v>
      </c>
      <c r="BB718" s="1051" cm="1">
        <f t="array" aca="1" ref="BB718" ca="1">INDEX(OFFSET($AK$19,MATCH($B718,$B$19:$B$150,0)-1,0,COUNTA($B$19:$B$24),COUNTA($AK$17:$BB$17)),MATCH($F718,$F$19:$F$24,0),MATCH(BB$17,$AK$17:$BB$17,0))*INDEX($10:$13,MATCH($O718,$R$10:$R$13,0),COLUMN())</f>
        <v>2.419456299E-4</v>
      </c>
      <c r="BC718" s="1053">
        <f t="shared" ca="1" si="196"/>
        <v>0.71195866166139565</v>
      </c>
      <c r="BE718" s="1"/>
      <c r="BF718" s="1"/>
      <c r="BG718" s="1"/>
      <c r="BH718" s="1"/>
      <c r="BI718" s="1"/>
      <c r="BJ718" s="1"/>
      <c r="BK718" s="1"/>
      <c r="BL718" s="1"/>
      <c r="BM718" s="1"/>
      <c r="BN718" s="1"/>
      <c r="BO718" s="1"/>
      <c r="BP718" s="1"/>
      <c r="BQ718" s="1"/>
      <c r="BR718" s="1"/>
      <c r="BS718" s="1"/>
      <c r="BT718" s="1"/>
      <c r="BU718" s="1"/>
      <c r="BV718" s="1"/>
      <c r="BW718" s="1"/>
      <c r="BX718" s="1"/>
      <c r="BY718" s="1"/>
      <c r="BZ718" s="1"/>
    </row>
    <row r="719" spans="2:78" ht="12" customHeight="1" outlineLevel="1" x14ac:dyDescent="0.25">
      <c r="B719" s="104" t="s">
        <v>102</v>
      </c>
      <c r="C719" s="104" t="s">
        <v>121</v>
      </c>
      <c r="D719" s="2" t="s">
        <v>137</v>
      </c>
      <c r="E719" s="2" t="s">
        <v>138</v>
      </c>
      <c r="F719" s="105" t="s">
        <v>93</v>
      </c>
      <c r="G719" s="27" t="s">
        <v>1578</v>
      </c>
      <c r="H719" s="106" t="s">
        <v>130</v>
      </c>
      <c r="I719" s="107" t="s">
        <v>129</v>
      </c>
      <c r="J719" s="147">
        <v>3.8814574399999997</v>
      </c>
      <c r="K719" s="148">
        <v>3.49</v>
      </c>
      <c r="L719" s="149">
        <f t="shared" ca="1" si="193"/>
        <v>0.42488953495616572</v>
      </c>
      <c r="M719" s="148">
        <f t="shared" ca="1" si="194"/>
        <v>4.9728644769970192</v>
      </c>
      <c r="N719" s="148">
        <f t="shared" ca="1" si="195"/>
        <v>1.4828644769970185</v>
      </c>
      <c r="O719" s="1062" t="s">
        <v>1586</v>
      </c>
      <c r="P719" s="104"/>
      <c r="R719" s="119"/>
      <c r="S719" s="1072"/>
      <c r="T719" s="1072"/>
      <c r="U719" s="1072"/>
      <c r="V719" s="1072"/>
      <c r="W719" s="1072"/>
      <c r="X719" s="1072"/>
      <c r="Y719" s="1072"/>
      <c r="Z719" s="1072"/>
      <c r="AA719" s="1072"/>
      <c r="AB719" s="1072"/>
      <c r="AC719" s="1072"/>
      <c r="AD719" s="1072"/>
      <c r="AE719" s="1072"/>
      <c r="AF719" s="1072"/>
      <c r="AG719" s="1072"/>
      <c r="AH719" s="1072"/>
      <c r="AI719" s="1072"/>
      <c r="AJ719" s="1073"/>
      <c r="AK719" s="1052" cm="1">
        <f t="array" aca="1" ref="AK719" ca="1">INDEX(OFFSET($AK$19,MATCH($B719,$B$19:$B$150,0)-1,0,COUNTA($B$19:$B$24),COUNTA($AK$17:$BB$17)),MATCH($F719,$F$19:$F$24,0),MATCH(AK$17,$AK$17:$BB$17,0))*INDEX($10:$13,MATCH($O719,$R$10:$R$13,0),COLUMN())</f>
        <v>5.849633512E-2</v>
      </c>
      <c r="AL719" s="1050" cm="1">
        <f t="array" aca="1" ref="AL719" ca="1">INDEX(OFFSET($AK$19,MATCH($B719,$B$19:$B$150,0)-1,0,COUNTA($B$19:$B$24),COUNTA($AK$17:$BB$17)),MATCH($F719,$F$19:$F$24,0),MATCH(AL$17,$AK$17:$BB$17,0))*INDEX($10:$13,MATCH($O719,$R$10:$R$13,0),COLUMN())</f>
        <v>7.6499212080000002E-8</v>
      </c>
      <c r="AM719" s="1050" cm="1">
        <f t="array" aca="1" ref="AM719" ca="1">INDEX(OFFSET($AK$19,MATCH($B719,$B$19:$B$150,0)-1,0,COUNTA($B$19:$B$24),COUNTA($AK$17:$BB$17)),MATCH($F719,$F$19:$F$24,0),MATCH(AM$17,$AK$17:$BB$17,0))*INDEX($10:$13,MATCH($O719,$R$10:$R$13,0),COLUMN())</f>
        <v>0</v>
      </c>
      <c r="AN719" s="1050" cm="1">
        <f t="array" aca="1" ref="AN719" ca="1">INDEX(OFFSET($AK$19,MATCH($B719,$B$19:$B$150,0)-1,0,COUNTA($B$19:$B$24),COUNTA($AK$17:$BB$17)),MATCH($F719,$F$19:$F$24,0),MATCH(AN$17,$AK$17:$BB$17,0))*INDEX($10:$13,MATCH($O719,$R$10:$R$13,0),COLUMN())</f>
        <v>2.8635304920000002E-3</v>
      </c>
      <c r="AO719" s="1050" cm="1">
        <f t="array" aca="1" ref="AO719" ca="1">INDEX(OFFSET($AK$19,MATCH($B719,$B$19:$B$150,0)-1,0,COUNTA($B$19:$B$24),COUNTA($AK$17:$BB$17)),MATCH($F719,$F$19:$F$24,0),MATCH(AO$17,$AK$17:$BB$17,0))*INDEX($10:$13,MATCH($O719,$R$10:$R$13,0),COLUMN())</f>
        <v>1.9491936320547947E-2</v>
      </c>
      <c r="AP719" s="1050" cm="1">
        <f t="array" aca="1" ref="AP719" ca="1">INDEX(OFFSET($AK$19,MATCH($B719,$B$19:$B$150,0)-1,0,COUNTA($B$19:$B$24),COUNTA($AK$17:$BB$17)),MATCH($F719,$F$19:$F$24,0),MATCH(AP$17,$AK$17:$BB$17,0))*INDEX($10:$13,MATCH($O719,$R$10:$R$13,0),COLUMN())</f>
        <v>9.084455856E-3</v>
      </c>
      <c r="AQ719" s="1050" cm="1">
        <f t="array" aca="1" ref="AQ719" ca="1">INDEX(OFFSET($AK$19,MATCH($B719,$B$19:$B$150,0)-1,0,COUNTA($B$19:$B$24),COUNTA($AK$17:$BB$17)),MATCH($F719,$F$19:$F$24,0),MATCH(AQ$17,$AK$17:$BB$17,0))*INDEX($10:$13,MATCH($O719,$R$10:$R$13,0),COLUMN())</f>
        <v>1.5156102096000001E-2</v>
      </c>
      <c r="AR719" s="1050" cm="1">
        <f t="array" aca="1" ref="AR719" ca="1">INDEX(OFFSET($AK$19,MATCH($B719,$B$19:$B$150,0)-1,0,COUNTA($B$19:$B$24),COUNTA($AK$17:$BB$17)),MATCH($F719,$F$19:$F$24,0),MATCH(AR$17,$AK$17:$BB$17,0))*INDEX($10:$13,MATCH($O719,$R$10:$R$13,0),COLUMN())</f>
        <v>0.40515098593999999</v>
      </c>
      <c r="AS719" s="1050" cm="1">
        <f t="array" aca="1" ref="AS719" ca="1">INDEX(OFFSET($AK$19,MATCH($B719,$B$19:$B$150,0)-1,0,COUNTA($B$19:$B$24),COUNTA($AK$17:$BB$17)),MATCH($F719,$F$19:$F$24,0),MATCH(AS$17,$AK$17:$BB$17,0))*INDEX($10:$13,MATCH($O719,$R$10:$R$13,0),COLUMN())</f>
        <v>2.4871361377000001E-4</v>
      </c>
      <c r="AT719" s="1050" cm="1">
        <f t="array" aca="1" ref="AT719" ca="1">INDEX(OFFSET($AK$19,MATCH($B719,$B$19:$B$150,0)-1,0,COUNTA($B$19:$B$24),COUNTA($AK$17:$BB$17)),MATCH($F719,$F$19:$F$24,0),MATCH(AT$17,$AK$17:$BB$17,0))*INDEX($10:$13,MATCH($O719,$R$10:$R$13,0),COLUMN())</f>
        <v>6.5754837500000005E-6</v>
      </c>
      <c r="AU719" s="1050" cm="1">
        <f t="array" aca="1" ref="AU719" ca="1">INDEX(OFFSET($AK$19,MATCH($B719,$B$19:$B$150,0)-1,0,COUNTA($B$19:$B$24),COUNTA($AK$17:$BB$17)),MATCH($F719,$F$19:$F$24,0),MATCH(AU$17,$AK$17:$BB$17,0))*INDEX($10:$13,MATCH($O719,$R$10:$R$13,0),COLUMN())</f>
        <v>1.3537093476E-6</v>
      </c>
      <c r="AV719" s="1050" cm="1">
        <f t="array" aca="1" ref="AV719" ca="1">INDEX(OFFSET($AK$19,MATCH($B719,$B$19:$B$150,0)-1,0,COUNTA($B$19:$B$24),COUNTA($AK$17:$BB$17)),MATCH($F719,$F$19:$F$24,0),MATCH(AV$17,$AK$17:$BB$17,0))*INDEX($10:$13,MATCH($O719,$R$10:$R$13,0),COLUMN())</f>
        <v>7.3483813810901351E-4</v>
      </c>
      <c r="AW719" s="1050" cm="1">
        <f t="array" aca="1" ref="AW719" ca="1">INDEX(OFFSET($AK$19,MATCH($B719,$B$19:$B$150,0)-1,0,COUNTA($B$19:$B$24),COUNTA($AK$17:$BB$17)),MATCH($F719,$F$19:$F$24,0),MATCH(AW$17,$AK$17:$BB$17,0))*INDEX($10:$13,MATCH($O719,$R$10:$R$13,0),COLUMN())</f>
        <v>0.95040802140000014</v>
      </c>
      <c r="AX719" s="1050" cm="1">
        <f t="array" aca="1" ref="AX719" ca="1">INDEX(OFFSET($AK$19,MATCH($B719,$B$19:$B$150,0)-1,0,COUNTA($B$19:$B$24),COUNTA($AK$17:$BB$17)),MATCH($F719,$F$19:$F$24,0),MATCH(AX$17,$AK$17:$BB$17,0))*INDEX($10:$13,MATCH($O719,$R$10:$R$13,0),COLUMN())</f>
        <v>2.3437731935999999E-7</v>
      </c>
      <c r="AY719" s="1050" cm="1">
        <f t="array" aca="1" ref="AY719" ca="1">INDEX(OFFSET($AK$19,MATCH($B719,$B$19:$B$150,0)-1,0,COUNTA($B$19:$B$24),COUNTA($AK$17:$BB$17)),MATCH($F719,$F$19:$F$24,0),MATCH(AY$17,$AK$17:$BB$17,0))*INDEX($10:$13,MATCH($O719,$R$10:$R$13,0),COLUMN())</f>
        <v>-1.5029662570000001E-10</v>
      </c>
      <c r="AZ719" s="1050" cm="1">
        <f t="array" aca="1" ref="AZ719" ca="1">INDEX(OFFSET($AK$19,MATCH($B719,$B$19:$B$150,0)-1,0,COUNTA($B$19:$B$24),COUNTA($AK$17:$BB$17)),MATCH($F719,$F$19:$F$24,0),MATCH(AZ$17,$AK$17:$BB$17,0))*INDEX($10:$13,MATCH($O719,$R$10:$R$13,0),COLUMN())</f>
        <v>7.9792324590163925E-6</v>
      </c>
      <c r="BA719" s="1050" cm="1">
        <f t="array" aca="1" ref="BA719" ca="1">INDEX(OFFSET($AK$19,MATCH($B719,$B$19:$B$150,0)-1,0,COUNTA($B$19:$B$24),COUNTA($AK$17:$BB$17)),MATCH($F719,$F$19:$F$24,0),MATCH(BA$17,$AK$17:$BB$17,0))*INDEX($10:$13,MATCH($O719,$R$10:$R$13,0),COLUMN())</f>
        <v>2.0890360673E-2</v>
      </c>
      <c r="BB719" s="1051" cm="1">
        <f t="array" aca="1" ref="BB719" ca="1">INDEX(OFFSET($AK$19,MATCH($B719,$B$19:$B$150,0)-1,0,COUNTA($B$19:$B$24),COUNTA($AK$17:$BB$17)),MATCH($F719,$F$19:$F$24,0),MATCH(BB$17,$AK$17:$BB$17,0))*INDEX($10:$13,MATCH($O719,$R$10:$R$13,0),COLUMN())</f>
        <v>3.2297819579999999E-4</v>
      </c>
      <c r="BC719" s="1053">
        <f t="shared" ca="1" si="196"/>
        <v>0.9504082556270228</v>
      </c>
      <c r="BE719" s="1"/>
      <c r="BF719" s="1"/>
      <c r="BG719" s="1"/>
      <c r="BH719" s="1"/>
      <c r="BI719" s="1"/>
      <c r="BJ719" s="1"/>
      <c r="BK719" s="1"/>
      <c r="BL719" s="1"/>
      <c r="BM719" s="1"/>
      <c r="BN719" s="1"/>
      <c r="BO719" s="1"/>
      <c r="BP719" s="1"/>
      <c r="BQ719" s="1"/>
      <c r="BR719" s="1"/>
      <c r="BS719" s="1"/>
      <c r="BT719" s="1"/>
      <c r="BU719" s="1"/>
      <c r="BV719" s="1"/>
      <c r="BW719" s="1"/>
      <c r="BX719" s="1"/>
      <c r="BY719" s="1"/>
      <c r="BZ719" s="1"/>
    </row>
    <row r="720" spans="2:78" ht="12" customHeight="1" outlineLevel="1" x14ac:dyDescent="0.25">
      <c r="B720" s="104" t="s">
        <v>102</v>
      </c>
      <c r="C720" s="104" t="s">
        <v>121</v>
      </c>
      <c r="D720" s="2" t="s">
        <v>137</v>
      </c>
      <c r="E720" s="2" t="s">
        <v>138</v>
      </c>
      <c r="F720" s="105" t="s">
        <v>94</v>
      </c>
      <c r="G720" s="27" t="s">
        <v>1580</v>
      </c>
      <c r="H720" s="106" t="s">
        <v>131</v>
      </c>
      <c r="I720" s="107" t="s">
        <v>129</v>
      </c>
      <c r="J720" s="147">
        <v>3.8814574399999997</v>
      </c>
      <c r="K720" s="148">
        <v>3.49</v>
      </c>
      <c r="L720" s="149">
        <f t="shared" ca="1" si="193"/>
        <v>0.25435247537713607</v>
      </c>
      <c r="M720" s="148">
        <f t="shared" ca="1" si="194"/>
        <v>4.3776901390662051</v>
      </c>
      <c r="N720" s="148">
        <f t="shared" ca="1" si="195"/>
        <v>0.88769013906620498</v>
      </c>
      <c r="O720" s="1062" t="s">
        <v>1586</v>
      </c>
      <c r="P720" s="104"/>
      <c r="R720" s="119"/>
      <c r="S720" s="1072"/>
      <c r="T720" s="1072"/>
      <c r="U720" s="1072"/>
      <c r="V720" s="1072"/>
      <c r="W720" s="1072"/>
      <c r="X720" s="1072"/>
      <c r="Y720" s="1072"/>
      <c r="Z720" s="1072"/>
      <c r="AA720" s="1072"/>
      <c r="AB720" s="1072"/>
      <c r="AC720" s="1072"/>
      <c r="AD720" s="1072"/>
      <c r="AE720" s="1072"/>
      <c r="AF720" s="1072"/>
      <c r="AG720" s="1072"/>
      <c r="AH720" s="1072"/>
      <c r="AI720" s="1072"/>
      <c r="AJ720" s="1073"/>
      <c r="AK720" s="1052" cm="1">
        <f t="array" aca="1" ref="AK720" ca="1">INDEX(OFFSET($AK$19,MATCH($B720,$B$19:$B$150,0)-1,0,COUNTA($B$19:$B$24),COUNTA($AK$17:$BB$17)),MATCH($F720,$F$19:$F$24,0),MATCH(AK$17,$AK$17:$BB$17,0))*INDEX($10:$13,MATCH($O720,$R$10:$R$13,0),COLUMN())</f>
        <v>3.5028773919999999E-2</v>
      </c>
      <c r="AL720" s="1050" cm="1">
        <f t="array" aca="1" ref="AL720" ca="1">INDEX(OFFSET($AK$19,MATCH($B720,$B$19:$B$150,0)-1,0,COUNTA($B$19:$B$24),COUNTA($AK$17:$BB$17)),MATCH($F720,$F$19:$F$24,0),MATCH(AL$17,$AK$17:$BB$17,0))*INDEX($10:$13,MATCH($O720,$R$10:$R$13,0),COLUMN())</f>
        <v>4.5809254680000001E-8</v>
      </c>
      <c r="AM720" s="1050" cm="1">
        <f t="array" aca="1" ref="AM720" ca="1">INDEX(OFFSET($AK$19,MATCH($B720,$B$19:$B$150,0)-1,0,COUNTA($B$19:$B$24),COUNTA($AK$17:$BB$17)),MATCH($F720,$F$19:$F$24,0),MATCH(AM$17,$AK$17:$BB$17,0))*INDEX($10:$13,MATCH($O720,$R$10:$R$13,0),COLUMN())</f>
        <v>0</v>
      </c>
      <c r="AN720" s="1050" cm="1">
        <f t="array" aca="1" ref="AN720" ca="1">INDEX(OFFSET($AK$19,MATCH($B720,$B$19:$B$150,0)-1,0,COUNTA($B$19:$B$24),COUNTA($AK$17:$BB$17)),MATCH($F720,$F$19:$F$24,0),MATCH(AN$17,$AK$17:$BB$17,0))*INDEX($10:$13,MATCH($O720,$R$10:$R$13,0),COLUMN())</f>
        <v>1.7147391444000003E-3</v>
      </c>
      <c r="AO720" s="1050" cm="1">
        <f t="array" aca="1" ref="AO720" ca="1">INDEX(OFFSET($AK$19,MATCH($B720,$B$19:$B$150,0)-1,0,COUNTA($B$19:$B$24),COUNTA($AK$17:$BB$17)),MATCH($F720,$F$19:$F$24,0),MATCH(AO$17,$AK$17:$BB$17,0))*INDEX($10:$13,MATCH($O720,$R$10:$R$13,0),COLUMN())</f>
        <v>1.1672160394520549E-2</v>
      </c>
      <c r="AP720" s="1050" cm="1">
        <f t="array" aca="1" ref="AP720" ca="1">INDEX(OFFSET($AK$19,MATCH($B720,$B$19:$B$150,0)-1,0,COUNTA($B$19:$B$24),COUNTA($AK$17:$BB$17)),MATCH($F720,$F$19:$F$24,0),MATCH(AP$17,$AK$17:$BB$17,0))*INDEX($10:$13,MATCH($O720,$R$10:$R$13,0),COLUMN())</f>
        <v>5.4399535680000003E-3</v>
      </c>
      <c r="AQ720" s="1050" cm="1">
        <f t="array" aca="1" ref="AQ720" ca="1">INDEX(OFFSET($AK$19,MATCH($B720,$B$19:$B$150,0)-1,0,COUNTA($B$19:$B$24),COUNTA($AK$17:$BB$17)),MATCH($F720,$F$19:$F$24,0),MATCH(AQ$17,$AK$17:$BB$17,0))*INDEX($10:$13,MATCH($O720,$R$10:$R$13,0),COLUMN())</f>
        <v>9.0757765120000004E-3</v>
      </c>
      <c r="AR720" s="1050" cm="1">
        <f t="array" aca="1" ref="AR720" ca="1">INDEX(OFFSET($AK$19,MATCH($B720,$B$19:$B$150,0)-1,0,COUNTA($B$19:$B$24),COUNTA($AK$17:$BB$17)),MATCH($F720,$F$19:$F$24,0),MATCH(AR$17,$AK$17:$BB$17,0))*INDEX($10:$13,MATCH($O720,$R$10:$R$13,0),COLUMN())</f>
        <v>0.24261250103999998</v>
      </c>
      <c r="AS720" s="1050" cm="1">
        <f t="array" aca="1" ref="AS720" ca="1">INDEX(OFFSET($AK$19,MATCH($B720,$B$19:$B$150,0)-1,0,COUNTA($B$19:$B$24),COUNTA($AK$17:$BB$17)),MATCH($F720,$F$19:$F$24,0),MATCH(AS$17,$AK$17:$BB$17,0))*INDEX($10:$13,MATCH($O720,$R$10:$R$13,0),COLUMN())</f>
        <v>-1.7712243416999999E-5</v>
      </c>
      <c r="AT720" s="1050" cm="1">
        <f t="array" aca="1" ref="AT720" ca="1">INDEX(OFFSET($AK$19,MATCH($B720,$B$19:$B$150,0)-1,0,COUNTA($B$19:$B$24),COUNTA($AK$17:$BB$17)),MATCH($F720,$F$19:$F$24,0),MATCH(AT$17,$AK$17:$BB$17,0))*INDEX($10:$13,MATCH($O720,$R$10:$R$13,0),COLUMN())</f>
        <v>3.8763466699999997E-6</v>
      </c>
      <c r="AU720" s="1050" cm="1">
        <f t="array" aca="1" ref="AU720" ca="1">INDEX(OFFSET($AK$19,MATCH($B720,$B$19:$B$150,0)-1,0,COUNTA($B$19:$B$24),COUNTA($AK$17:$BB$17)),MATCH($F720,$F$19:$F$24,0),MATCH(AU$17,$AK$17:$BB$17,0))*INDEX($10:$13,MATCH($O720,$R$10:$R$13,0),COLUMN())</f>
        <v>8.0411811600000002E-7</v>
      </c>
      <c r="AV720" s="1050" cm="1">
        <f t="array" aca="1" ref="AV720" ca="1">INDEX(OFFSET($AK$19,MATCH($B720,$B$19:$B$150,0)-1,0,COUNTA($B$19:$B$24),COUNTA($AK$17:$BB$17)),MATCH($F720,$F$19:$F$24,0),MATCH(AV$17,$AK$17:$BB$17,0))*INDEX($10:$13,MATCH($O720,$R$10:$R$13,0),COLUMN())</f>
        <v>3.280406530909229E-4</v>
      </c>
      <c r="AW720" s="1050" cm="1">
        <f t="array" aca="1" ref="AW720" ca="1">INDEX(OFFSET($AK$19,MATCH($B720,$B$19:$B$150,0)-1,0,COUNTA($B$19:$B$24),COUNTA($AK$17:$BB$17)),MATCH($F720,$F$19:$F$24,0),MATCH(AW$17,$AK$17:$BB$17,0))*INDEX($10:$13,MATCH($O720,$R$10:$R$13,0),COLUMN())</f>
        <v>0.56912329100000003</v>
      </c>
      <c r="AX720" s="1050" cm="1">
        <f t="array" aca="1" ref="AX720" ca="1">INDEX(OFFSET($AK$19,MATCH($B720,$B$19:$B$150,0)-1,0,COUNTA($B$19:$B$24),COUNTA($AK$17:$BB$17)),MATCH($F720,$F$19:$F$24,0),MATCH(AX$17,$AK$17:$BB$17,0))*INDEX($10:$13,MATCH($O720,$R$10:$R$13,0),COLUMN())</f>
        <v>1.4034981747000001E-7</v>
      </c>
      <c r="AY720" s="1050" cm="1">
        <f t="array" aca="1" ref="AY720" ca="1">INDEX(OFFSET($AK$19,MATCH($B720,$B$19:$B$150,0)-1,0,COUNTA($B$19:$B$24),COUNTA($AK$17:$BB$17)),MATCH($F720,$F$19:$F$24,0),MATCH(AY$17,$AK$17:$BB$17,0))*INDEX($10:$13,MATCH($O720,$R$10:$R$13,0),COLUMN())</f>
        <v>-9.0000619059999999E-11</v>
      </c>
      <c r="AZ720" s="1050" cm="1">
        <f t="array" aca="1" ref="AZ720" ca="1">INDEX(OFFSET($AK$19,MATCH($B720,$B$19:$B$150,0)-1,0,COUNTA($B$19:$B$24),COUNTA($AK$17:$BB$17)),MATCH($F720,$F$19:$F$24,0),MATCH(AZ$17,$AK$17:$BB$17,0))*INDEX($10:$13,MATCH($O720,$R$10:$R$13,0),COLUMN())</f>
        <v>4.7781236529274001E-6</v>
      </c>
      <c r="BA720" s="1050" cm="1">
        <f t="array" aca="1" ref="BA720" ca="1">INDEX(OFFSET($AK$19,MATCH($B720,$B$19:$B$150,0)-1,0,COUNTA($B$19:$B$24),COUNTA($AK$17:$BB$17)),MATCH($F720,$F$19:$F$24,0),MATCH(BA$17,$AK$17:$BB$17,0))*INDEX($10:$13,MATCH($O720,$R$10:$R$13,0),COLUMN())</f>
        <v>1.2509564621999999E-2</v>
      </c>
      <c r="BB720" s="1051" cm="1">
        <f t="array" aca="1" ref="BB720" ca="1">INDEX(OFFSET($AK$19,MATCH($B720,$B$19:$B$150,0)-1,0,COUNTA($B$19:$B$24),COUNTA($AK$17:$BB$17)),MATCH($F720,$F$19:$F$24,0),MATCH(BB$17,$AK$17:$BB$17,0))*INDEX($10:$13,MATCH($O720,$R$10:$R$13,0),COLUMN())</f>
        <v>1.934057981E-4</v>
      </c>
      <c r="BC720" s="1053">
        <f t="shared" ca="1" si="196"/>
        <v>0.56912343125981679</v>
      </c>
      <c r="BE720" s="1"/>
      <c r="BF720" s="1"/>
      <c r="BG720" s="1"/>
      <c r="BH720" s="1"/>
      <c r="BI720" s="1"/>
      <c r="BJ720" s="1"/>
      <c r="BK720" s="1"/>
      <c r="BL720" s="1"/>
      <c r="BM720" s="1"/>
      <c r="BN720" s="1"/>
      <c r="BO720" s="1"/>
      <c r="BP720" s="1"/>
      <c r="BQ720" s="1"/>
      <c r="BR720" s="1"/>
      <c r="BS720" s="1"/>
      <c r="BT720" s="1"/>
      <c r="BU720" s="1"/>
      <c r="BV720" s="1"/>
      <c r="BW720" s="1"/>
      <c r="BX720" s="1"/>
      <c r="BY720" s="1"/>
      <c r="BZ720" s="1"/>
    </row>
    <row r="721" spans="2:78" ht="12" customHeight="1" outlineLevel="1" x14ac:dyDescent="0.25">
      <c r="B721" s="104" t="s">
        <v>102</v>
      </c>
      <c r="C721" s="104" t="s">
        <v>121</v>
      </c>
      <c r="D721" s="2" t="s">
        <v>137</v>
      </c>
      <c r="E721" s="2" t="s">
        <v>138</v>
      </c>
      <c r="F721" s="105" t="s">
        <v>95</v>
      </c>
      <c r="G721" s="27" t="s">
        <v>1581</v>
      </c>
      <c r="H721" s="106" t="s">
        <v>128</v>
      </c>
      <c r="I721" s="107" t="s">
        <v>127</v>
      </c>
      <c r="J721" s="147">
        <v>3.8814574399999997</v>
      </c>
      <c r="K721" s="148">
        <v>3.49</v>
      </c>
      <c r="L721" s="149">
        <f t="shared" ca="1" si="193"/>
        <v>0.38201204744707273</v>
      </c>
      <c r="M721" s="148">
        <f t="shared" ca="1" si="194"/>
        <v>4.8232220455902839</v>
      </c>
      <c r="N721" s="148">
        <f t="shared" ca="1" si="195"/>
        <v>1.3332220455902839</v>
      </c>
      <c r="O721" s="1062" t="s">
        <v>1586</v>
      </c>
      <c r="P721" s="104"/>
      <c r="R721" s="119"/>
      <c r="S721" s="1072"/>
      <c r="T721" s="1072"/>
      <c r="U721" s="1072"/>
      <c r="V721" s="1072"/>
      <c r="W721" s="1072"/>
      <c r="X721" s="1072"/>
      <c r="Y721" s="1072"/>
      <c r="Z721" s="1072"/>
      <c r="AA721" s="1072"/>
      <c r="AB721" s="1072"/>
      <c r="AC721" s="1072"/>
      <c r="AD721" s="1072"/>
      <c r="AE721" s="1072"/>
      <c r="AF721" s="1072"/>
      <c r="AG721" s="1072"/>
      <c r="AH721" s="1072"/>
      <c r="AI721" s="1072"/>
      <c r="AJ721" s="1073"/>
      <c r="AK721" s="1052" cm="1">
        <f t="array" aca="1" ref="AK721" ca="1">INDEX(OFFSET($AK$19,MATCH($B721,$B$19:$B$150,0)-1,0,COUNTA($B$19:$B$24),COUNTA($AK$17:$BB$17)),MATCH($F721,$F$19:$F$24,0),MATCH(AK$17,$AK$17:$BB$17,0))*INDEX($10:$13,MATCH($O721,$R$10:$R$13,0),COLUMN())</f>
        <v>5.0910109360000004E-2</v>
      </c>
      <c r="AL721" s="1050" cm="1">
        <f t="array" aca="1" ref="AL721" ca="1">INDEX(OFFSET($AK$19,MATCH($B721,$B$19:$B$150,0)-1,0,COUNTA($B$19:$B$24),COUNTA($AK$17:$BB$17)),MATCH($F721,$F$19:$F$24,0),MATCH(AL$17,$AK$17:$BB$17,0))*INDEX($10:$13,MATCH($O721,$R$10:$R$13,0),COLUMN())</f>
        <v>5.7801902820000002E-8</v>
      </c>
      <c r="AM721" s="1050" cm="1">
        <f t="array" aca="1" ref="AM721" ca="1">INDEX(OFFSET($AK$19,MATCH($B721,$B$19:$B$150,0)-1,0,COUNTA($B$19:$B$24),COUNTA($AK$17:$BB$17)),MATCH($F721,$F$19:$F$24,0),MATCH(AM$17,$AK$17:$BB$17,0))*INDEX($10:$13,MATCH($O721,$R$10:$R$13,0),COLUMN())</f>
        <v>0</v>
      </c>
      <c r="AN721" s="1050" cm="1">
        <f t="array" aca="1" ref="AN721" ca="1">INDEX(OFFSET($AK$19,MATCH($B721,$B$19:$B$150,0)-1,0,COUNTA($B$19:$B$24),COUNTA($AK$17:$BB$17)),MATCH($F721,$F$19:$F$24,0),MATCH(AN$17,$AK$17:$BB$17,0))*INDEX($10:$13,MATCH($O721,$R$10:$R$13,0),COLUMN())</f>
        <v>2.3235039479999999E-3</v>
      </c>
      <c r="AO721" s="1050" cm="1">
        <f t="array" aca="1" ref="AO721" ca="1">INDEX(OFFSET($AK$19,MATCH($B721,$B$19:$B$150,0)-1,0,COUNTA($B$19:$B$24),COUNTA($AK$17:$BB$17)),MATCH($F721,$F$19:$F$24,0),MATCH(AO$17,$AK$17:$BB$17,0))*INDEX($10:$13,MATCH($O721,$R$10:$R$13,0),COLUMN())</f>
        <v>3.607741228767123E-2</v>
      </c>
      <c r="AP721" s="1050" cm="1">
        <f t="array" aca="1" ref="AP721" ca="1">INDEX(OFFSET($AK$19,MATCH($B721,$B$19:$B$150,0)-1,0,COUNTA($B$19:$B$24),COUNTA($AK$17:$BB$17)),MATCH($F721,$F$19:$F$24,0),MATCH(AP$17,$AK$17:$BB$17,0))*INDEX($10:$13,MATCH($O721,$R$10:$R$13,0),COLUMN())</f>
        <v>2.3926816031999996E-2</v>
      </c>
      <c r="AQ721" s="1050" cm="1">
        <f t="array" aca="1" ref="AQ721" ca="1">INDEX(OFFSET($AK$19,MATCH($B721,$B$19:$B$150,0)-1,0,COUNTA($B$19:$B$24),COUNTA($AK$17:$BB$17)),MATCH($F721,$F$19:$F$24,0),MATCH(AQ$17,$AK$17:$BB$17,0))*INDEX($10:$13,MATCH($O721,$R$10:$R$13,0),COLUMN())</f>
        <v>4.4983311679999999E-2</v>
      </c>
      <c r="AR721" s="1050" cm="1">
        <f t="array" aca="1" ref="AR721" ca="1">INDEX(OFFSET($AK$19,MATCH($B721,$B$19:$B$150,0)-1,0,COUNTA($B$19:$B$24),COUNTA($AK$17:$BB$17)),MATCH($F721,$F$19:$F$24,0),MATCH(AR$17,$AK$17:$BB$17,0))*INDEX($10:$13,MATCH($O721,$R$10:$R$13,0),COLUMN())</f>
        <v>0.44098859673999996</v>
      </c>
      <c r="AS721" s="1050" cm="1">
        <f t="array" aca="1" ref="AS721" ca="1">INDEX(OFFSET($AK$19,MATCH($B721,$B$19:$B$150,0)-1,0,COUNTA($B$19:$B$24),COUNTA($AK$17:$BB$17)),MATCH($F721,$F$19:$F$24,0),MATCH(AS$17,$AK$17:$BB$17,0))*INDEX($10:$13,MATCH($O721,$R$10:$R$13,0),COLUMN())</f>
        <v>2.6984434131999998E-3</v>
      </c>
      <c r="AT721" s="1050" cm="1">
        <f t="array" aca="1" ref="AT721" ca="1">INDEX(OFFSET($AK$19,MATCH($B721,$B$19:$B$150,0)-1,0,COUNTA($B$19:$B$24),COUNTA($AK$17:$BB$17)),MATCH($F721,$F$19:$F$24,0),MATCH(AT$17,$AK$17:$BB$17,0))*INDEX($10:$13,MATCH($O721,$R$10:$R$13,0),COLUMN())</f>
        <v>6.8222358700000004E-6</v>
      </c>
      <c r="AU721" s="1050" cm="1">
        <f t="array" aca="1" ref="AU721" ca="1">INDEX(OFFSET($AK$19,MATCH($B721,$B$19:$B$150,0)-1,0,COUNTA($B$19:$B$24),COUNTA($AK$17:$BB$17)),MATCH($F721,$F$19:$F$24,0),MATCH(AU$17,$AK$17:$BB$17,0))*INDEX($10:$13,MATCH($O721,$R$10:$R$13,0),COLUMN())</f>
        <v>1.3058663214000001E-6</v>
      </c>
      <c r="AV721" s="1050" cm="1">
        <f t="array" aca="1" ref="AV721" ca="1">INDEX(OFFSET($AK$19,MATCH($B721,$B$19:$B$150,0)-1,0,COUNTA($B$19:$B$24),COUNTA($AK$17:$BB$17)),MATCH($F721,$F$19:$F$24,0),MATCH(AV$17,$AK$17:$BB$17,0))*INDEX($10:$13,MATCH($O721,$R$10:$R$13,0),COLUMN())</f>
        <v>2.3796324736405478E-3</v>
      </c>
      <c r="AW721" s="1050" cm="1">
        <f t="array" aca="1" ref="AW721" ca="1">INDEX(OFFSET($AK$19,MATCH($B721,$B$19:$B$150,0)-1,0,COUNTA($B$19:$B$24),COUNTA($AK$17:$BB$17)),MATCH($F721,$F$19:$F$24,0),MATCH(AW$17,$AK$17:$BB$17,0))*INDEX($10:$13,MATCH($O721,$R$10:$R$13,0),COLUMN())</f>
        <v>0.71195848620000013</v>
      </c>
      <c r="AX721" s="1050" cm="1">
        <f t="array" aca="1" ref="AX721" ca="1">INDEX(OFFSET($AK$19,MATCH($B721,$B$19:$B$150,0)-1,0,COUNTA($B$19:$B$24),COUNTA($AK$17:$BB$17)),MATCH($F721,$F$19:$F$24,0),MATCH(AX$17,$AK$17:$BB$17,0))*INDEX($10:$13,MATCH($O721,$R$10:$R$13,0),COLUMN())</f>
        <v>1.7557398402000001E-7</v>
      </c>
      <c r="AY721" s="1050" cm="1">
        <f t="array" aca="1" ref="AY721" ca="1">INDEX(OFFSET($AK$19,MATCH($B721,$B$19:$B$150,0)-1,0,COUNTA($B$19:$B$24),COUNTA($AK$17:$BB$17)),MATCH($F721,$F$19:$F$24,0),MATCH(AY$17,$AK$17:$BB$17,0))*INDEX($10:$13,MATCH($O721,$R$10:$R$13,0),COLUMN())</f>
        <v>-1.1258844069999999E-10</v>
      </c>
      <c r="AZ721" s="1050" cm="1">
        <f t="array" aca="1" ref="AZ721" ca="1">INDEX(OFFSET($AK$19,MATCH($B721,$B$19:$B$150,0)-1,0,COUNTA($B$19:$B$24),COUNTA($AK$17:$BB$17)),MATCH($F721,$F$19:$F$24,0),MATCH(AZ$17,$AK$17:$BB$17,0))*INDEX($10:$13,MATCH($O721,$R$10:$R$13,0),COLUMN())</f>
        <v>5.986742081967212E-6</v>
      </c>
      <c r="BA721" s="1050" cm="1">
        <f t="array" aca="1" ref="BA721" ca="1">INDEX(OFFSET($AK$19,MATCH($B721,$B$19:$B$150,0)-1,0,COUNTA($B$19:$B$24),COUNTA($AK$17:$BB$17)),MATCH($F721,$F$19:$F$24,0),MATCH(BA$17,$AK$17:$BB$17,0))*INDEX($10:$13,MATCH($O721,$R$10:$R$13,0),COLUMN())</f>
        <v>1.6718565082000002E-2</v>
      </c>
      <c r="BB721" s="1051" cm="1">
        <f t="array" aca="1" ref="BB721" ca="1">INDEX(OFFSET($AK$19,MATCH($B721,$B$19:$B$150,0)-1,0,COUNTA($B$19:$B$24),COUNTA($AK$17:$BB$17)),MATCH($F721,$F$19:$F$24,0),MATCH(BB$17,$AK$17:$BB$17,0))*INDEX($10:$13,MATCH($O721,$R$10:$R$13,0),COLUMN())</f>
        <v>2.4282026619999999E-4</v>
      </c>
      <c r="BC721" s="1053">
        <f t="shared" ca="1" si="196"/>
        <v>0.71195866166139565</v>
      </c>
      <c r="BE721" s="1"/>
      <c r="BF721" s="1"/>
      <c r="BG721" s="1"/>
      <c r="BH721" s="1"/>
      <c r="BI721" s="1"/>
      <c r="BJ721" s="1"/>
      <c r="BK721" s="1"/>
      <c r="BL721" s="1"/>
      <c r="BM721" s="1"/>
      <c r="BN721" s="1"/>
      <c r="BO721" s="1"/>
      <c r="BP721" s="1"/>
      <c r="BQ721" s="1"/>
      <c r="BR721" s="1"/>
      <c r="BS721" s="1"/>
      <c r="BT721" s="1"/>
      <c r="BU721" s="1"/>
      <c r="BV721" s="1"/>
      <c r="BW721" s="1"/>
      <c r="BX721" s="1"/>
      <c r="BY721" s="1"/>
      <c r="BZ721" s="1"/>
    </row>
    <row r="722" spans="2:78" ht="12" customHeight="1" outlineLevel="1" x14ac:dyDescent="0.25">
      <c r="B722" s="104" t="s">
        <v>102</v>
      </c>
      <c r="C722" s="104" t="s">
        <v>121</v>
      </c>
      <c r="D722" s="2" t="s">
        <v>137</v>
      </c>
      <c r="E722" s="2" t="s">
        <v>138</v>
      </c>
      <c r="F722" s="105" t="s">
        <v>96</v>
      </c>
      <c r="G722" s="27" t="s">
        <v>1582</v>
      </c>
      <c r="H722" s="106" t="s">
        <v>128</v>
      </c>
      <c r="I722" s="107" t="s">
        <v>1577</v>
      </c>
      <c r="J722" s="147">
        <v>3.8814574399999997</v>
      </c>
      <c r="K722" s="148">
        <v>3.49</v>
      </c>
      <c r="L722" s="149">
        <f t="shared" ca="1" si="193"/>
        <v>0.42829849419192201</v>
      </c>
      <c r="M722" s="148">
        <f t="shared" ca="1" si="194"/>
        <v>4.9847617447298083</v>
      </c>
      <c r="N722" s="148">
        <f t="shared" ca="1" si="195"/>
        <v>1.4947617447298078</v>
      </c>
      <c r="O722" s="1062" t="s">
        <v>1586</v>
      </c>
      <c r="P722" s="104"/>
      <c r="R722" s="119"/>
      <c r="S722" s="1072"/>
      <c r="T722" s="1072"/>
      <c r="U722" s="1072"/>
      <c r="V722" s="1072"/>
      <c r="W722" s="1072"/>
      <c r="X722" s="1072"/>
      <c r="Y722" s="1072"/>
      <c r="Z722" s="1072"/>
      <c r="AA722" s="1072"/>
      <c r="AB722" s="1072"/>
      <c r="AC722" s="1072"/>
      <c r="AD722" s="1072"/>
      <c r="AE722" s="1072"/>
      <c r="AF722" s="1072"/>
      <c r="AG722" s="1072"/>
      <c r="AH722" s="1072"/>
      <c r="AI722" s="1072"/>
      <c r="AJ722" s="1073"/>
      <c r="AK722" s="1052" cm="1">
        <f t="array" aca="1" ref="AK722" ca="1">INDEX(OFFSET($AK$19,MATCH($B722,$B$19:$B$150,0)-1,0,COUNTA($B$19:$B$24),COUNTA($AK$17:$BB$17)),MATCH($F722,$F$19:$F$24,0),MATCH(AK$17,$AK$17:$BB$17,0))*INDEX($10:$13,MATCH($O722,$R$10:$R$13,0),COLUMN())</f>
        <v>5.599141312E-2</v>
      </c>
      <c r="AL722" s="1050" cm="1">
        <f t="array" aca="1" ref="AL722" ca="1">INDEX(OFFSET($AK$19,MATCH($B722,$B$19:$B$150,0)-1,0,COUNTA($B$19:$B$24),COUNTA($AK$17:$BB$17)),MATCH($F722,$F$19:$F$24,0),MATCH(AL$17,$AK$17:$BB$17,0))*INDEX($10:$13,MATCH($O722,$R$10:$R$13,0),COLUMN())</f>
        <v>5.8125416940000001E-8</v>
      </c>
      <c r="AM722" s="1050" cm="1">
        <f t="array" aca="1" ref="AM722" ca="1">INDEX(OFFSET($AK$19,MATCH($B722,$B$19:$B$150,0)-1,0,COUNTA($B$19:$B$24),COUNTA($AK$17:$BB$17)),MATCH($F722,$F$19:$F$24,0),MATCH(AM$17,$AK$17:$BB$17,0))*INDEX($10:$13,MATCH($O722,$R$10:$R$13,0),COLUMN())</f>
        <v>0</v>
      </c>
      <c r="AN722" s="1050" cm="1">
        <f t="array" aca="1" ref="AN722" ca="1">INDEX(OFFSET($AK$19,MATCH($B722,$B$19:$B$150,0)-1,0,COUNTA($B$19:$B$24),COUNTA($AK$17:$BB$17)),MATCH($F722,$F$19:$F$24,0),MATCH(AN$17,$AK$17:$BB$17,0))*INDEX($10:$13,MATCH($O722,$R$10:$R$13,0),COLUMN())</f>
        <v>2.4399371760000003E-3</v>
      </c>
      <c r="AO722" s="1050" cm="1">
        <f t="array" aca="1" ref="AO722" ca="1">INDEX(OFFSET($AK$19,MATCH($B722,$B$19:$B$150,0)-1,0,COUNTA($B$19:$B$24),COUNTA($AK$17:$BB$17)),MATCH($F722,$F$19:$F$24,0),MATCH(AO$17,$AK$17:$BB$17,0))*INDEX($10:$13,MATCH($O722,$R$10:$R$13,0),COLUMN())</f>
        <v>5.1690809876712325E-2</v>
      </c>
      <c r="AP722" s="1050" cm="1">
        <f t="array" aca="1" ref="AP722" ca="1">INDEX(OFFSET($AK$19,MATCH($B722,$B$19:$B$150,0)-1,0,COUNTA($B$19:$B$24),COUNTA($AK$17:$BB$17)),MATCH($F722,$F$19:$F$24,0),MATCH(AP$17,$AK$17:$BB$17,0))*INDEX($10:$13,MATCH($O722,$R$10:$R$13,0),COLUMN())</f>
        <v>3.6399666240000003E-2</v>
      </c>
      <c r="AQ722" s="1050" cm="1">
        <f t="array" aca="1" ref="AQ722" ca="1">INDEX(OFFSET($AK$19,MATCH($B722,$B$19:$B$150,0)-1,0,COUNTA($B$19:$B$24),COUNTA($AK$17:$BB$17)),MATCH($F722,$F$19:$F$24,0),MATCH(AQ$17,$AK$17:$BB$17,0))*INDEX($10:$13,MATCH($O722,$R$10:$R$13,0),COLUMN())</f>
        <v>6.8933723680000003E-2</v>
      </c>
      <c r="AR722" s="1050" cm="1">
        <f t="array" aca="1" ref="AR722" ca="1">INDEX(OFFSET($AK$19,MATCH($B722,$B$19:$B$150,0)-1,0,COUNTA($B$19:$B$24),COUNTA($AK$17:$BB$17)),MATCH($F722,$F$19:$F$24,0),MATCH(AR$17,$AK$17:$BB$17,0))*INDEX($10:$13,MATCH($O722,$R$10:$R$13,0),COLUMN())</f>
        <v>0.54122656443999995</v>
      </c>
      <c r="AS722" s="1050" cm="1">
        <f t="array" aca="1" ref="AS722" ca="1">INDEX(OFFSET($AK$19,MATCH($B722,$B$19:$B$150,0)-1,0,COUNTA($B$19:$B$24),COUNTA($AK$17:$BB$17)),MATCH($F722,$F$19:$F$24,0),MATCH(AS$17,$AK$17:$BB$17,0))*INDEX($10:$13,MATCH($O722,$R$10:$R$13,0),COLUMN())</f>
        <v>4.5458523386E-3</v>
      </c>
      <c r="AT722" s="1050" cm="1">
        <f t="array" aca="1" ref="AT722" ca="1">INDEX(OFFSET($AK$19,MATCH($B722,$B$19:$B$150,0)-1,0,COUNTA($B$19:$B$24),COUNTA($AK$17:$BB$17)),MATCH($F722,$F$19:$F$24,0),MATCH(AT$17,$AK$17:$BB$17,0))*INDEX($10:$13,MATCH($O722,$R$10:$R$13,0),COLUMN())</f>
        <v>7.6538982680000006E-6</v>
      </c>
      <c r="AU722" s="1050" cm="1">
        <f t="array" aca="1" ref="AU722" ca="1">INDEX(OFFSET($AK$19,MATCH($B722,$B$19:$B$150,0)-1,0,COUNTA($B$19:$B$24),COUNTA($AK$17:$BB$17)),MATCH($F722,$F$19:$F$24,0),MATCH(AU$17,$AK$17:$BB$17,0))*INDEX($10:$13,MATCH($O722,$R$10:$R$13,0),COLUMN())</f>
        <v>1.4246040828E-6</v>
      </c>
      <c r="AV722" s="1050" cm="1">
        <f t="array" aca="1" ref="AV722" ca="1">INDEX(OFFSET($AK$19,MATCH($B722,$B$19:$B$150,0)-1,0,COUNTA($B$19:$B$24),COUNTA($AK$17:$BB$17)),MATCH($F722,$F$19:$F$24,0),MATCH(AV$17,$AK$17:$BB$17,0))*INDEX($10:$13,MATCH($O722,$R$10:$R$13,0),COLUMN())</f>
        <v>3.900107872287908E-3</v>
      </c>
      <c r="AW722" s="1050" cm="1">
        <f t="array" aca="1" ref="AW722" ca="1">INDEX(OFFSET($AK$19,MATCH($B722,$B$19:$B$150,0)-1,0,COUNTA($B$19:$B$24),COUNTA($AK$17:$BB$17)),MATCH($F722,$F$19:$F$24,0),MATCH(AW$17,$AK$17:$BB$17,0))*INDEX($10:$13,MATCH($O722,$R$10:$R$13,0),COLUMN())</f>
        <v>0.71195848620000013</v>
      </c>
      <c r="AX722" s="1050" cm="1">
        <f t="array" aca="1" ref="AX722" ca="1">INDEX(OFFSET($AK$19,MATCH($B722,$B$19:$B$150,0)-1,0,COUNTA($B$19:$B$24),COUNTA($AK$17:$BB$17)),MATCH($F722,$F$19:$F$24,0),MATCH(AX$17,$AK$17:$BB$17,0))*INDEX($10:$13,MATCH($O722,$R$10:$R$13,0),COLUMN())</f>
        <v>1.7557398402000001E-7</v>
      </c>
      <c r="AY722" s="1050" cm="1">
        <f t="array" aca="1" ref="AY722" ca="1">INDEX(OFFSET($AK$19,MATCH($B722,$B$19:$B$150,0)-1,0,COUNTA($B$19:$B$24),COUNTA($AK$17:$BB$17)),MATCH($F722,$F$19:$F$24,0),MATCH(AY$17,$AK$17:$BB$17,0))*INDEX($10:$13,MATCH($O722,$R$10:$R$13,0),COLUMN())</f>
        <v>-1.1258844069999999E-10</v>
      </c>
      <c r="AZ722" s="1050" cm="1">
        <f t="array" aca="1" ref="AZ722" ca="1">INDEX(OFFSET($AK$19,MATCH($B722,$B$19:$B$150,0)-1,0,COUNTA($B$19:$B$24),COUNTA($AK$17:$BB$17)),MATCH($F722,$F$19:$F$24,0),MATCH(AZ$17,$AK$17:$BB$17,0))*INDEX($10:$13,MATCH($O722,$R$10:$R$13,0),COLUMN())</f>
        <v>5.9928983442622945E-6</v>
      </c>
      <c r="BA722" s="1050" cm="1">
        <f t="array" aca="1" ref="BA722" ca="1">INDEX(OFFSET($AK$19,MATCH($B722,$B$19:$B$150,0)-1,0,COUNTA($B$19:$B$24),COUNTA($AK$17:$BB$17)),MATCH($F722,$F$19:$F$24,0),MATCH(BA$17,$AK$17:$BB$17,0))*INDEX($10:$13,MATCH($O722,$R$10:$R$13,0),COLUMN())</f>
        <v>1.7416487730999998E-2</v>
      </c>
      <c r="BB722" s="1051" cm="1">
        <f t="array" aca="1" ref="BB722" ca="1">INDEX(OFFSET($AK$19,MATCH($B722,$B$19:$B$150,0)-1,0,COUNTA($B$19:$B$24),COUNTA($AK$17:$BB$17)),MATCH($F722,$F$19:$F$24,0),MATCH(BB$17,$AK$17:$BB$17,0))*INDEX($10:$13,MATCH($O722,$R$10:$R$13,0),COLUMN())</f>
        <v>2.4339106770000001E-4</v>
      </c>
      <c r="BC722" s="1053">
        <f t="shared" ca="1" si="196"/>
        <v>0.71195866166139565</v>
      </c>
      <c r="BE722" s="1"/>
      <c r="BF722" s="1"/>
      <c r="BG722" s="1"/>
      <c r="BH722" s="1"/>
      <c r="BI722" s="1"/>
      <c r="BJ722" s="1"/>
      <c r="BK722" s="1"/>
      <c r="BL722" s="1"/>
      <c r="BM722" s="1"/>
      <c r="BN722" s="1"/>
      <c r="BO722" s="1"/>
      <c r="BP722" s="1"/>
      <c r="BQ722" s="1"/>
      <c r="BR722" s="1"/>
      <c r="BS722" s="1"/>
      <c r="BT722" s="1"/>
      <c r="BU722" s="1"/>
      <c r="BV722" s="1"/>
      <c r="BW722" s="1"/>
      <c r="BX722" s="1"/>
      <c r="BY722" s="1"/>
      <c r="BZ722" s="1"/>
    </row>
    <row r="723" spans="2:78" ht="12" customHeight="1" outlineLevel="1" x14ac:dyDescent="0.25">
      <c r="B723" s="88" t="s">
        <v>103</v>
      </c>
      <c r="C723" s="88" t="s">
        <v>121</v>
      </c>
      <c r="D723" s="89" t="s">
        <v>137</v>
      </c>
      <c r="E723" s="89" t="s">
        <v>139</v>
      </c>
      <c r="F723" s="90" t="s">
        <v>92</v>
      </c>
      <c r="G723" s="18" t="s">
        <v>126</v>
      </c>
      <c r="H723" s="91" t="s">
        <v>127</v>
      </c>
      <c r="I723" s="92" t="s">
        <v>127</v>
      </c>
      <c r="J723" s="142">
        <v>0.31070780000000003</v>
      </c>
      <c r="K723" s="143">
        <v>1.7680061710892687</v>
      </c>
      <c r="L723" s="144">
        <f t="shared" ca="1" si="193"/>
        <v>0.40401680979706278</v>
      </c>
      <c r="M723" s="143">
        <f t="shared" ca="1" si="194"/>
        <v>2.4823103840342751</v>
      </c>
      <c r="N723" s="143">
        <f t="shared" ca="1" si="195"/>
        <v>0.71430421294500634</v>
      </c>
      <c r="O723" s="1063" t="s">
        <v>1586</v>
      </c>
      <c r="P723" s="88"/>
      <c r="Q723" s="89"/>
      <c r="R723" s="150"/>
      <c r="S723" s="1070"/>
      <c r="T723" s="1070"/>
      <c r="U723" s="1070"/>
      <c r="V723" s="1070"/>
      <c r="W723" s="1070"/>
      <c r="X723" s="1070"/>
      <c r="Y723" s="1070"/>
      <c r="Z723" s="1070"/>
      <c r="AA723" s="1070"/>
      <c r="AB723" s="1070"/>
      <c r="AC723" s="1070"/>
      <c r="AD723" s="1070"/>
      <c r="AE723" s="1070"/>
      <c r="AF723" s="1070"/>
      <c r="AG723" s="1070"/>
      <c r="AH723" s="1070"/>
      <c r="AI723" s="1070"/>
      <c r="AJ723" s="1071"/>
      <c r="AK723" s="1048" cm="1">
        <f t="array" aca="1" ref="AK723" ca="1">INDEX(OFFSET($AK$19,MATCH($B723,$B$19:$B$150,0)-1,0,COUNTA($B$19:$B$24),COUNTA($AK$17:$BB$17)),MATCH($F723,$F$19:$F$24,0),MATCH(AK$17,$AK$17:$BB$17,0))*INDEX($10:$13,MATCH($O723,$R$10:$R$13,0),COLUMN())</f>
        <v>3.9314958079999997E-2</v>
      </c>
      <c r="AL723" s="1046" cm="1">
        <f t="array" aca="1" ref="AL723" ca="1">INDEX(OFFSET($AK$19,MATCH($B723,$B$19:$B$150,0)-1,0,COUNTA($B$19:$B$24),COUNTA($AK$17:$BB$17)),MATCH($F723,$F$19:$F$24,0),MATCH(AL$17,$AK$17:$BB$17,0))*INDEX($10:$13,MATCH($O723,$R$10:$R$13,0),COLUMN())</f>
        <v>6.6465517080000001E-8</v>
      </c>
      <c r="AM723" s="1046" cm="1">
        <f t="array" aca="1" ref="AM723" ca="1">INDEX(OFFSET($AK$19,MATCH($B723,$B$19:$B$150,0)-1,0,COUNTA($B$19:$B$24),COUNTA($AK$17:$BB$17)),MATCH($F723,$F$19:$F$24,0),MATCH(AM$17,$AK$17:$BB$17,0))*INDEX($10:$13,MATCH($O723,$R$10:$R$13,0),COLUMN())</f>
        <v>0</v>
      </c>
      <c r="AN723" s="1046" cm="1">
        <f t="array" aca="1" ref="AN723" ca="1">INDEX(OFFSET($AK$19,MATCH($B723,$B$19:$B$150,0)-1,0,COUNTA($B$19:$B$24),COUNTA($AK$17:$BB$17)),MATCH($F723,$F$19:$F$24,0),MATCH(AN$17,$AK$17:$BB$17,0))*INDEX($10:$13,MATCH($O723,$R$10:$R$13,0),COLUMN())</f>
        <v>8.2039675980000008E-4</v>
      </c>
      <c r="AO723" s="1046" cm="1">
        <f t="array" aca="1" ref="AO723" ca="1">INDEX(OFFSET($AK$19,MATCH($B723,$B$19:$B$150,0)-1,0,COUNTA($B$19:$B$24),COUNTA($AK$17:$BB$17)),MATCH($F723,$F$19:$F$24,0),MATCH(AO$17,$AK$17:$BB$17,0))*INDEX($10:$13,MATCH($O723,$R$10:$R$13,0),COLUMN())</f>
        <v>2.1361235469863012E-2</v>
      </c>
      <c r="AP723" s="1046" cm="1">
        <f t="array" aca="1" ref="AP723" ca="1">INDEX(OFFSET($AK$19,MATCH($B723,$B$19:$B$150,0)-1,0,COUNTA($B$19:$B$24),COUNTA($AK$17:$BB$17)),MATCH($F723,$F$19:$F$24,0),MATCH(AP$17,$AK$17:$BB$17,0))*INDEX($10:$13,MATCH($O723,$R$10:$R$13,0),COLUMN())</f>
        <v>1.5386849519999999E-2</v>
      </c>
      <c r="AQ723" s="1046" cm="1">
        <f t="array" aca="1" ref="AQ723" ca="1">INDEX(OFFSET($AK$19,MATCH($B723,$B$19:$B$150,0)-1,0,COUNTA($B$19:$B$24),COUNTA($AK$17:$BB$17)),MATCH($F723,$F$19:$F$24,0),MATCH(AQ$17,$AK$17:$BB$17,0))*INDEX($10:$13,MATCH($O723,$R$10:$R$13,0),COLUMN())</f>
        <v>2.0812085936000001E-2</v>
      </c>
      <c r="AR723" s="1046" cm="1">
        <f t="array" aca="1" ref="AR723" ca="1">INDEX(OFFSET($AK$19,MATCH($B723,$B$19:$B$150,0)-1,0,COUNTA($B$19:$B$24),COUNTA($AK$17:$BB$17)),MATCH($F723,$F$19:$F$24,0),MATCH(AR$17,$AK$17:$BB$17,0))*INDEX($10:$13,MATCH($O723,$R$10:$R$13,0),COLUMN())</f>
        <v>0.25991869126</v>
      </c>
      <c r="AS723" s="1046" cm="1">
        <f t="array" aca="1" ref="AS723" ca="1">INDEX(OFFSET($AK$19,MATCH($B723,$B$19:$B$150,0)-1,0,COUNTA($B$19:$B$24),COUNTA($AK$17:$BB$17)),MATCH($F723,$F$19:$F$24,0),MATCH(AS$17,$AK$17:$BB$17,0))*INDEX($10:$13,MATCH($O723,$R$10:$R$13,0),COLUMN())</f>
        <v>0.12402252138</v>
      </c>
      <c r="AT723" s="1046" cm="1">
        <f t="array" aca="1" ref="AT723" ca="1">INDEX(OFFSET($AK$19,MATCH($B723,$B$19:$B$150,0)-1,0,COUNTA($B$19:$B$24),COUNTA($AK$17:$BB$17)),MATCH($F723,$F$19:$F$24,0),MATCH(AT$17,$AK$17:$BB$17,0))*INDEX($10:$13,MATCH($O723,$R$10:$R$13,0),COLUMN())</f>
        <v>1.3826719982000001E-4</v>
      </c>
      <c r="AU723" s="1046" cm="1">
        <f t="array" aca="1" ref="AU723" ca="1">INDEX(OFFSET($AK$19,MATCH($B723,$B$19:$B$150,0)-1,0,COUNTA($B$19:$B$24),COUNTA($AK$17:$BB$17)),MATCH($F723,$F$19:$F$24,0),MATCH(AU$17,$AK$17:$BB$17,0))*INDEX($10:$13,MATCH($O723,$R$10:$R$13,0),COLUMN())</f>
        <v>9.2413730040000001E-6</v>
      </c>
      <c r="AV723" s="1046" cm="1">
        <f t="array" aca="1" ref="AV723" ca="1">INDEX(OFFSET($AK$19,MATCH($B723,$B$19:$B$150,0)-1,0,COUNTA($B$19:$B$24),COUNTA($AK$17:$BB$17)),MATCH($F723,$F$19:$F$24,0),MATCH(AV$17,$AK$17:$BB$17,0))*INDEX($10:$13,MATCH($O723,$R$10:$R$13,0),COLUMN())</f>
        <v>1.6788202196471023E-3</v>
      </c>
      <c r="AW723" s="1046" cm="1">
        <f t="array" aca="1" ref="AW723" ca="1">INDEX(OFFSET($AK$19,MATCH($B723,$B$19:$B$150,0)-1,0,COUNTA($B$19:$B$24),COUNTA($AK$17:$BB$17)),MATCH($F723,$F$19:$F$24,0),MATCH(AW$17,$AK$17:$BB$17,0))*INDEX($10:$13,MATCH($O723,$R$10:$R$13,0),COLUMN())</f>
        <v>0.21654966645000001</v>
      </c>
      <c r="AX723" s="1046" cm="1">
        <f t="array" aca="1" ref="AX723" ca="1">INDEX(OFFSET($AK$19,MATCH($B723,$B$19:$B$150,0)-1,0,COUNTA($B$19:$B$24),COUNTA($AK$17:$BB$17)),MATCH($F723,$F$19:$F$24,0),MATCH(AX$17,$AK$17:$BB$17,0))*INDEX($10:$13,MATCH($O723,$R$10:$R$13,0),COLUMN())</f>
        <v>4.4899773240000008E-7</v>
      </c>
      <c r="AY723" s="1046" cm="1">
        <f t="array" aca="1" ref="AY723" ca="1">INDEX(OFFSET($AK$19,MATCH($B723,$B$19:$B$150,0)-1,0,COUNTA($B$19:$B$24),COUNTA($AK$17:$BB$17)),MATCH($F723,$F$19:$F$24,0),MATCH(AY$17,$AK$17:$BB$17,0))*INDEX($10:$13,MATCH($O723,$R$10:$R$13,0),COLUMN())</f>
        <v>-2.844283828E-10</v>
      </c>
      <c r="AZ723" s="1046" cm="1">
        <f t="array" aca="1" ref="AZ723" ca="1">INDEX(OFFSET($AK$19,MATCH($B723,$B$19:$B$150,0)-1,0,COUNTA($B$19:$B$24),COUNTA($AK$17:$BB$17)),MATCH($F723,$F$19:$F$24,0),MATCH(AZ$17,$AK$17:$BB$17,0))*INDEX($10:$13,MATCH($O723,$R$10:$R$13,0),COLUMN())</f>
        <v>1.9919240510538637E-6</v>
      </c>
      <c r="BA723" s="1046" cm="1">
        <f t="array" aca="1" ref="BA723" ca="1">INDEX(OFFSET($AK$19,MATCH($B723,$B$19:$B$150,0)-1,0,COUNTA($B$19:$B$24),COUNTA($AK$17:$BB$17)),MATCH($F723,$F$19:$F$24,0),MATCH(BA$17,$AK$17:$BB$17,0))*INDEX($10:$13,MATCH($O723,$R$10:$R$13,0),COLUMN())</f>
        <v>1.2646131055000001E-2</v>
      </c>
      <c r="BB723" s="1047" cm="1">
        <f t="array" aca="1" ref="BB723" ca="1">INDEX(OFFSET($AK$19,MATCH($B723,$B$19:$B$150,0)-1,0,COUNTA($B$19:$B$24),COUNTA($AK$17:$BB$17)),MATCH($F723,$F$19:$F$24,0),MATCH(BB$17,$AK$17:$BB$17,0))*INDEX($10:$13,MATCH($O723,$R$10:$R$13,0),COLUMN())</f>
        <v>1.642841139E-3</v>
      </c>
      <c r="BC723" s="1049">
        <f t="shared" ca="1" si="196"/>
        <v>0.21655011516330405</v>
      </c>
      <c r="BE723" s="1"/>
      <c r="BF723" s="1"/>
      <c r="BG723" s="1"/>
      <c r="BH723" s="1"/>
      <c r="BI723" s="1"/>
      <c r="BJ723" s="1"/>
      <c r="BK723" s="1"/>
      <c r="BL723" s="1"/>
      <c r="BM723" s="1"/>
      <c r="BN723" s="1"/>
      <c r="BO723" s="1"/>
      <c r="BP723" s="1"/>
      <c r="BQ723" s="1"/>
      <c r="BR723" s="1"/>
      <c r="BS723" s="1"/>
      <c r="BT723" s="1"/>
      <c r="BU723" s="1"/>
      <c r="BV723" s="1"/>
      <c r="BW723" s="1"/>
      <c r="BX723" s="1"/>
      <c r="BY723" s="1"/>
      <c r="BZ723" s="1"/>
    </row>
    <row r="724" spans="2:78" ht="12" customHeight="1" outlineLevel="1" x14ac:dyDescent="0.25">
      <c r="B724" s="104" t="s">
        <v>103</v>
      </c>
      <c r="C724" s="104" t="s">
        <v>121</v>
      </c>
      <c r="D724" s="2" t="s">
        <v>137</v>
      </c>
      <c r="E724" s="2" t="s">
        <v>139</v>
      </c>
      <c r="F724" s="105" t="s">
        <v>122</v>
      </c>
      <c r="G724" s="27" t="s">
        <v>1579</v>
      </c>
      <c r="H724" s="106" t="s">
        <v>128</v>
      </c>
      <c r="I724" s="107" t="s">
        <v>129</v>
      </c>
      <c r="J724" s="147">
        <v>0.31070780000000003</v>
      </c>
      <c r="K724" s="148">
        <v>4.28</v>
      </c>
      <c r="L724" s="149">
        <f t="shared" ref="L724:L778" ca="1" si="197">IFERROR(N724/K724,"?")</f>
        <v>7.2921347431484249E-2</v>
      </c>
      <c r="M724" s="148">
        <f t="shared" ref="M724:M778" ca="1" si="198">IFERROR(K724+N724,"?")</f>
        <v>4.5921033670067528</v>
      </c>
      <c r="N724" s="148">
        <f t="shared" ca="1" si="195"/>
        <v>0.31210336700675262</v>
      </c>
      <c r="O724" s="1062" t="s">
        <v>1586</v>
      </c>
      <c r="P724" s="104"/>
      <c r="R724" s="119"/>
      <c r="S724" s="1072"/>
      <c r="T724" s="1072"/>
      <c r="U724" s="1072"/>
      <c r="V724" s="1072"/>
      <c r="W724" s="1072"/>
      <c r="X724" s="1072"/>
      <c r="Y724" s="1072"/>
      <c r="Z724" s="1072"/>
      <c r="AA724" s="1072"/>
      <c r="AB724" s="1072"/>
      <c r="AC724" s="1072"/>
      <c r="AD724" s="1072"/>
      <c r="AE724" s="1072"/>
      <c r="AF724" s="1072"/>
      <c r="AG724" s="1072"/>
      <c r="AH724" s="1072"/>
      <c r="AI724" s="1072"/>
      <c r="AJ724" s="1073"/>
      <c r="AK724" s="1052" cm="1">
        <f t="array" aca="1" ref="AK724" ca="1">INDEX(OFFSET($AK$19,MATCH($B724,$B$19:$B$150,0)-1,0,COUNTA($B$19:$B$24),COUNTA($AK$17:$BB$17)),MATCH($F724,$F$19:$F$24,0),MATCH(AK$17,$AK$17:$BB$17,0))*INDEX($10:$13,MATCH($O724,$R$10:$R$13,0),COLUMN())</f>
        <v>1.1086494832000001E-2</v>
      </c>
      <c r="AL724" s="1050" cm="1">
        <f t="array" aca="1" ref="AL724" ca="1">INDEX(OFFSET($AK$19,MATCH($B724,$B$19:$B$150,0)-1,0,COUNTA($B$19:$B$24),COUNTA($AK$17:$BB$17)),MATCH($F724,$F$19:$F$24,0),MATCH(AL$17,$AK$17:$BB$17,0))*INDEX($10:$13,MATCH($O724,$R$10:$R$13,0),COLUMN())</f>
        <v>2.1699275052000001E-8</v>
      </c>
      <c r="AM724" s="1050" cm="1">
        <f t="array" aca="1" ref="AM724" ca="1">INDEX(OFFSET($AK$19,MATCH($B724,$B$19:$B$150,0)-1,0,COUNTA($B$19:$B$24),COUNTA($AK$17:$BB$17)),MATCH($F724,$F$19:$F$24,0),MATCH(AM$17,$AK$17:$BB$17,0))*INDEX($10:$13,MATCH($O724,$R$10:$R$13,0),COLUMN())</f>
        <v>0</v>
      </c>
      <c r="AN724" s="1050" cm="1">
        <f t="array" aca="1" ref="AN724" ca="1">INDEX(OFFSET($AK$19,MATCH($B724,$B$19:$B$150,0)-1,0,COUNTA($B$19:$B$24),COUNTA($AK$17:$BB$17)),MATCH($F724,$F$19:$F$24,0),MATCH(AN$17,$AK$17:$BB$17,0))*INDEX($10:$13,MATCH($O724,$R$10:$R$13,0),COLUMN())</f>
        <v>8.0292862320000002E-4</v>
      </c>
      <c r="AO724" s="1050" cm="1">
        <f t="array" aca="1" ref="AO724" ca="1">INDEX(OFFSET($AK$19,MATCH($B724,$B$19:$B$150,0)-1,0,COUNTA($B$19:$B$24),COUNTA($AK$17:$BB$17)),MATCH($F724,$F$19:$F$24,0),MATCH(AO$17,$AK$17:$BB$17,0))*INDEX($10:$13,MATCH($O724,$R$10:$R$13,0),COLUMN())</f>
        <v>5.2797053054794516E-3</v>
      </c>
      <c r="AP724" s="1050" cm="1">
        <f t="array" aca="1" ref="AP724" ca="1">INDEX(OFFSET($AK$19,MATCH($B724,$B$19:$B$150,0)-1,0,COUNTA($B$19:$B$24),COUNTA($AK$17:$BB$17)),MATCH($F724,$F$19:$F$24,0),MATCH(AP$17,$AK$17:$BB$17,0))*INDEX($10:$13,MATCH($O724,$R$10:$R$13,0),COLUMN())</f>
        <v>2.4105459168000001E-3</v>
      </c>
      <c r="AQ724" s="1050" cm="1">
        <f t="array" aca="1" ref="AQ724" ca="1">INDEX(OFFSET($AK$19,MATCH($B724,$B$19:$B$150,0)-1,0,COUNTA($B$19:$B$24),COUNTA($AK$17:$BB$17)),MATCH($F724,$F$19:$F$24,0),MATCH(AQ$17,$AK$17:$BB$17,0))*INDEX($10:$13,MATCH($O724,$R$10:$R$13,0),COLUMN())</f>
        <v>3.9358487839999999E-3</v>
      </c>
      <c r="AR724" s="1050" cm="1">
        <f t="array" aca="1" ref="AR724" ca="1">INDEX(OFFSET($AK$19,MATCH($B724,$B$19:$B$150,0)-1,0,COUNTA($B$19:$B$24),COUNTA($AK$17:$BB$17)),MATCH($F724,$F$19:$F$24,0),MATCH(AR$17,$AK$17:$BB$17,0))*INDEX($10:$13,MATCH($O724,$R$10:$R$13,0),COLUMN())</f>
        <v>3.3825819117999999E-2</v>
      </c>
      <c r="AS724" s="1050" cm="1">
        <f t="array" aca="1" ref="AS724" ca="1">INDEX(OFFSET($AK$19,MATCH($B724,$B$19:$B$150,0)-1,0,COUNTA($B$19:$B$24),COUNTA($AK$17:$BB$17)),MATCH($F724,$F$19:$F$24,0),MATCH(AS$17,$AK$17:$BB$17,0))*INDEX($10:$13,MATCH($O724,$R$10:$R$13,0),COLUMN())</f>
        <v>1.9025169067000001E-4</v>
      </c>
      <c r="AT724" s="1050" cm="1">
        <f t="array" aca="1" ref="AT724" ca="1">INDEX(OFFSET($AK$19,MATCH($B724,$B$19:$B$150,0)-1,0,COUNTA($B$19:$B$24),COUNTA($AK$17:$BB$17)),MATCH($F724,$F$19:$F$24,0),MATCH(AT$17,$AK$17:$BB$17,0))*INDEX($10:$13,MATCH($O724,$R$10:$R$13,0),COLUMN())</f>
        <v>1.7499688980000002E-6</v>
      </c>
      <c r="AU724" s="1050" cm="1">
        <f t="array" aca="1" ref="AU724" ca="1">INDEX(OFFSET($AK$19,MATCH($B724,$B$19:$B$150,0)-1,0,COUNTA($B$19:$B$24),COUNTA($AK$17:$BB$17)),MATCH($F724,$F$19:$F$24,0),MATCH(AU$17,$AK$17:$BB$17,0))*INDEX($10:$13,MATCH($O724,$R$10:$R$13,0),COLUMN())</f>
        <v>3.6004593479999998E-7</v>
      </c>
      <c r="AV724" s="1050" cm="1">
        <f t="array" aca="1" ref="AV724" ca="1">INDEX(OFFSET($AK$19,MATCH($B724,$B$19:$B$150,0)-1,0,COUNTA($B$19:$B$24),COUNTA($AK$17:$BB$17)),MATCH($F724,$F$19:$F$24,0),MATCH(AV$17,$AK$17:$BB$17,0))*INDEX($10:$13,MATCH($O724,$R$10:$R$13,0),COLUMN())</f>
        <v>2.7033094941661628E-4</v>
      </c>
      <c r="AW724" s="1050" cm="1">
        <f t="array" aca="1" ref="AW724" ca="1">INDEX(OFFSET($AK$19,MATCH($B724,$B$19:$B$150,0)-1,0,COUNTA($B$19:$B$24),COUNTA($AK$17:$BB$17)),MATCH($F724,$F$19:$F$24,0),MATCH(AW$17,$AK$17:$BB$17,0))*INDEX($10:$13,MATCH($O724,$R$10:$R$13,0),COLUMN())</f>
        <v>0.24662756550000003</v>
      </c>
      <c r="AX724" s="1050" cm="1">
        <f t="array" aca="1" ref="AX724" ca="1">INDEX(OFFSET($AK$19,MATCH($B724,$B$19:$B$150,0)-1,0,COUNTA($B$19:$B$24),COUNTA($AK$17:$BB$17)),MATCH($F724,$F$19:$F$24,0),MATCH(AX$17,$AK$17:$BB$17,0))*INDEX($10:$13,MATCH($O724,$R$10:$R$13,0),COLUMN())</f>
        <v>6.623175887000001E-8</v>
      </c>
      <c r="AY724" s="1050" cm="1">
        <f t="array" aca="1" ref="AY724" ca="1">INDEX(OFFSET($AK$19,MATCH($B724,$B$19:$B$150,0)-1,0,COUNTA($B$19:$B$24),COUNTA($AK$17:$BB$17)),MATCH($F724,$F$19:$F$24,0),MATCH(AY$17,$AK$17:$BB$17,0))*INDEX($10:$13,MATCH($O724,$R$10:$R$13,0),COLUMN())</f>
        <v>-4.2471728140000001E-11</v>
      </c>
      <c r="AZ724" s="1050" cm="1">
        <f t="array" aca="1" ref="AZ724" ca="1">INDEX(OFFSET($AK$19,MATCH($B724,$B$19:$B$150,0)-1,0,COUNTA($B$19:$B$24),COUNTA($AK$17:$BB$17)),MATCH($F724,$F$19:$F$24,0),MATCH(AZ$17,$AK$17:$BB$17,0))*INDEX($10:$13,MATCH($O724,$R$10:$R$13,0),COLUMN())</f>
        <v>2.1767567915690864E-6</v>
      </c>
      <c r="BA724" s="1050" cm="1">
        <f t="array" aca="1" ref="BA724" ca="1">INDEX(OFFSET($AK$19,MATCH($B724,$B$19:$B$150,0)-1,0,COUNTA($B$19:$B$24),COUNTA($AK$17:$BB$17)),MATCH($F724,$F$19:$F$24,0),MATCH(BA$17,$AK$17:$BB$17,0))*INDEX($10:$13,MATCH($O724,$R$10:$R$13,0),COLUMN())</f>
        <v>5.8665729240000002E-3</v>
      </c>
      <c r="BB724" s="1051" cm="1">
        <f t="array" aca="1" ref="BB724" ca="1">INDEX(OFFSET($AK$19,MATCH($B724,$B$19:$B$150,0)-1,0,COUNTA($B$19:$B$24),COUNTA($AK$17:$BB$17)),MATCH($F724,$F$19:$F$24,0),MATCH(BB$17,$AK$17:$BB$17,0))*INDEX($10:$13,MATCH($O724,$R$10:$R$13,0),COLUMN())</f>
        <v>1.8029287029999999E-3</v>
      </c>
      <c r="BC724" s="1053">
        <f t="shared" ca="1" si="196"/>
        <v>0.2466276316892872</v>
      </c>
      <c r="BE724" s="1"/>
      <c r="BF724" s="1"/>
      <c r="BG724" s="1"/>
      <c r="BH724" s="1"/>
      <c r="BI724" s="1"/>
      <c r="BJ724" s="1"/>
      <c r="BK724" s="1"/>
      <c r="BL724" s="1"/>
      <c r="BM724" s="1"/>
      <c r="BN724" s="1"/>
      <c r="BO724" s="1"/>
      <c r="BP724" s="1"/>
      <c r="BQ724" s="1"/>
      <c r="BR724" s="1"/>
      <c r="BS724" s="1"/>
      <c r="BT724" s="1"/>
      <c r="BU724" s="1"/>
      <c r="BV724" s="1"/>
      <c r="BW724" s="1"/>
      <c r="BX724" s="1"/>
      <c r="BY724" s="1"/>
      <c r="BZ724" s="1"/>
    </row>
    <row r="725" spans="2:78" ht="12" customHeight="1" outlineLevel="1" x14ac:dyDescent="0.25">
      <c r="B725" s="104" t="s">
        <v>103</v>
      </c>
      <c r="C725" s="104" t="s">
        <v>121</v>
      </c>
      <c r="D725" s="2" t="s">
        <v>137</v>
      </c>
      <c r="E725" s="2" t="s">
        <v>139</v>
      </c>
      <c r="F725" s="105" t="s">
        <v>93</v>
      </c>
      <c r="G725" s="27" t="s">
        <v>1578</v>
      </c>
      <c r="H725" s="106" t="s">
        <v>130</v>
      </c>
      <c r="I725" s="107" t="s">
        <v>129</v>
      </c>
      <c r="J725" s="147">
        <v>0.31070780000000003</v>
      </c>
      <c r="K725" s="148">
        <v>4.28</v>
      </c>
      <c r="L725" s="149">
        <f t="shared" ca="1" si="197"/>
        <v>9.6687942844324318E-2</v>
      </c>
      <c r="M725" s="148">
        <f t="shared" ca="1" si="198"/>
        <v>4.6938243953737082</v>
      </c>
      <c r="N725" s="148">
        <f t="shared" ca="1" si="195"/>
        <v>0.41382439537370813</v>
      </c>
      <c r="O725" s="1062" t="s">
        <v>1586</v>
      </c>
      <c r="P725" s="104"/>
      <c r="R725" s="119"/>
      <c r="S725" s="1072"/>
      <c r="T725" s="1072"/>
      <c r="U725" s="1072"/>
      <c r="V725" s="1072"/>
      <c r="W725" s="1072"/>
      <c r="X725" s="1072"/>
      <c r="Y725" s="1072"/>
      <c r="Z725" s="1072"/>
      <c r="AA725" s="1072"/>
      <c r="AB725" s="1072"/>
      <c r="AC725" s="1072"/>
      <c r="AD725" s="1072"/>
      <c r="AE725" s="1072"/>
      <c r="AF725" s="1072"/>
      <c r="AG725" s="1072"/>
      <c r="AH725" s="1072"/>
      <c r="AI725" s="1072"/>
      <c r="AJ725" s="1073"/>
      <c r="AK725" s="1052" cm="1">
        <f t="array" aca="1" ref="AK725" ca="1">INDEX(OFFSET($AK$19,MATCH($B725,$B$19:$B$150,0)-1,0,COUNTA($B$19:$B$24),COUNTA($AK$17:$BB$17)),MATCH($F725,$F$19:$F$24,0),MATCH(AK$17,$AK$17:$BB$17,0))*INDEX($10:$13,MATCH($O725,$R$10:$R$13,0),COLUMN())</f>
        <v>1.4699688048E-2</v>
      </c>
      <c r="AL725" s="1050" cm="1">
        <f t="array" aca="1" ref="AL725" ca="1">INDEX(OFFSET($AK$19,MATCH($B725,$B$19:$B$150,0)-1,0,COUNTA($B$19:$B$24),COUNTA($AK$17:$BB$17)),MATCH($F725,$F$19:$F$24,0),MATCH(AL$17,$AK$17:$BB$17,0))*INDEX($10:$13,MATCH($O725,$R$10:$R$13,0),COLUMN())</f>
        <v>2.8771273236000003E-8</v>
      </c>
      <c r="AM725" s="1050" cm="1">
        <f t="array" aca="1" ref="AM725" ca="1">INDEX(OFFSET($AK$19,MATCH($B725,$B$19:$B$150,0)-1,0,COUNTA($B$19:$B$24),COUNTA($AK$17:$BB$17)),MATCH($F725,$F$19:$F$24,0),MATCH(AM$17,$AK$17:$BB$17,0))*INDEX($10:$13,MATCH($O725,$R$10:$R$13,0),COLUMN())</f>
        <v>0</v>
      </c>
      <c r="AN725" s="1050" cm="1">
        <f t="array" aca="1" ref="AN725" ca="1">INDEX(OFFSET($AK$19,MATCH($B725,$B$19:$B$150,0)-1,0,COUNTA($B$19:$B$24),COUNTA($AK$17:$BB$17)),MATCH($F725,$F$19:$F$24,0),MATCH(AN$17,$AK$17:$BB$17,0))*INDEX($10:$13,MATCH($O725,$R$10:$R$13,0),COLUMN())</f>
        <v>1.0646106348E-3</v>
      </c>
      <c r="AO725" s="1050" cm="1">
        <f t="array" aca="1" ref="AO725" ca="1">INDEX(OFFSET($AK$19,MATCH($B725,$B$19:$B$150,0)-1,0,COUNTA($B$19:$B$24),COUNTA($AK$17:$BB$17)),MATCH($F725,$F$19:$F$24,0),MATCH(AO$17,$AK$17:$BB$17,0))*INDEX($10:$13,MATCH($O725,$R$10:$R$13,0),COLUMN())</f>
        <v>7.0004110150684931E-3</v>
      </c>
      <c r="AP725" s="1050" cm="1">
        <f t="array" aca="1" ref="AP725" ca="1">INDEX(OFFSET($AK$19,MATCH($B725,$B$19:$B$150,0)-1,0,COUNTA($B$19:$B$24),COUNTA($AK$17:$BB$17)),MATCH($F725,$F$19:$F$24,0),MATCH(AP$17,$AK$17:$BB$17,0))*INDEX($10:$13,MATCH($O725,$R$10:$R$13,0),COLUMN())</f>
        <v>3.1961655599999999E-3</v>
      </c>
      <c r="AQ725" s="1050" cm="1">
        <f t="array" aca="1" ref="AQ725" ca="1">INDEX(OFFSET($AK$19,MATCH($B725,$B$19:$B$150,0)-1,0,COUNTA($B$19:$B$24),COUNTA($AK$17:$BB$17)),MATCH($F725,$F$19:$F$24,0),MATCH(AQ$17,$AK$17:$BB$17,0))*INDEX($10:$13,MATCH($O725,$R$10:$R$13,0),COLUMN())</f>
        <v>5.2185789119999996E-3</v>
      </c>
      <c r="AR725" s="1050" cm="1">
        <f t="array" aca="1" ref="AR725" ca="1">INDEX(OFFSET($AK$19,MATCH($B725,$B$19:$B$150,0)-1,0,COUNTA($B$19:$B$24),COUNTA($AK$17:$BB$17)),MATCH($F725,$F$19:$F$24,0),MATCH(AR$17,$AK$17:$BB$17,0))*INDEX($10:$13,MATCH($O725,$R$10:$R$13,0),COLUMN())</f>
        <v>4.4849972154000002E-2</v>
      </c>
      <c r="AS725" s="1050" cm="1">
        <f t="array" aca="1" ref="AS725" ca="1">INDEX(OFFSET($AK$19,MATCH($B725,$B$19:$B$150,0)-1,0,COUNTA($B$19:$B$24),COUNTA($AK$17:$BB$17)),MATCH($F725,$F$19:$F$24,0),MATCH(AS$17,$AK$17:$BB$17,0))*INDEX($10:$13,MATCH($O725,$R$10:$R$13,0),COLUMN())</f>
        <v>2.5356372156999998E-4</v>
      </c>
      <c r="AT725" s="1050" cm="1">
        <f t="array" aca="1" ref="AT725" ca="1">INDEX(OFFSET($AK$19,MATCH($B725,$B$19:$B$150,0)-1,0,COUNTA($B$19:$B$24),COUNTA($AK$17:$BB$17)),MATCH($F725,$F$19:$F$24,0),MATCH(AT$17,$AK$17:$BB$17,0))*INDEX($10:$13,MATCH($O725,$R$10:$R$13,0),COLUMN())</f>
        <v>2.3207427070000001E-6</v>
      </c>
      <c r="AU725" s="1050" cm="1">
        <f t="array" aca="1" ref="AU725" ca="1">INDEX(OFFSET($AK$19,MATCH($B725,$B$19:$B$150,0)-1,0,COUNTA($B$19:$B$24),COUNTA($AK$17:$BB$17)),MATCH($F725,$F$19:$F$24,0),MATCH(AU$17,$AK$17:$BB$17,0))*INDEX($10:$13,MATCH($O725,$R$10:$R$13,0),COLUMN())</f>
        <v>4.7743750062000001E-7</v>
      </c>
      <c r="AV725" s="1050" cm="1">
        <f t="array" aca="1" ref="AV725" ca="1">INDEX(OFFSET($AK$19,MATCH($B725,$B$19:$B$150,0)-1,0,COUNTA($B$19:$B$24),COUNTA($AK$17:$BB$17)),MATCH($F725,$F$19:$F$24,0),MATCH(AV$17,$AK$17:$BB$17,0))*INDEX($10:$13,MATCH($O725,$R$10:$R$13,0),COLUMN())</f>
        <v>3.6071702143404186E-4</v>
      </c>
      <c r="AW725" s="1050" cm="1">
        <f t="array" aca="1" ref="AW725" ca="1">INDEX(OFFSET($AK$19,MATCH($B725,$B$19:$B$150,0)-1,0,COUNTA($B$19:$B$24),COUNTA($AK$17:$BB$17)),MATCH($F725,$F$19:$F$24,0),MATCH(AW$17,$AK$17:$BB$17,0))*INDEX($10:$13,MATCH($O725,$R$10:$R$13,0),COLUMN())</f>
        <v>0.32700582280000001</v>
      </c>
      <c r="AX725" s="1050" cm="1">
        <f t="array" aca="1" ref="AX725" ca="1">INDEX(OFFSET($AK$19,MATCH($B725,$B$19:$B$150,0)-1,0,COUNTA($B$19:$B$24),COUNTA($AK$17:$BB$17)),MATCH($F725,$F$19:$F$24,0),MATCH(AX$17,$AK$17:$BB$17,0))*INDEX($10:$13,MATCH($O725,$R$10:$R$13,0),COLUMN())</f>
        <v>8.7817311550000001E-8</v>
      </c>
      <c r="AY725" s="1050" cm="1">
        <f t="array" aca="1" ref="AY725" ca="1">INDEX(OFFSET($AK$19,MATCH($B725,$B$19:$B$150,0)-1,0,COUNTA($B$19:$B$24),COUNTA($AK$17:$BB$17)),MATCH($F725,$F$19:$F$24,0),MATCH(AY$17,$AK$17:$BB$17,0))*INDEX($10:$13,MATCH($O725,$R$10:$R$13,0),COLUMN())</f>
        <v>-5.6313663719999995E-11</v>
      </c>
      <c r="AZ725" s="1050" cm="1">
        <f t="array" aca="1" ref="AZ725" ca="1">INDEX(OFFSET($AK$19,MATCH($B725,$B$19:$B$150,0)-1,0,COUNTA($B$19:$B$24),COUNTA($AK$17:$BB$17)),MATCH($F725,$F$19:$F$24,0),MATCH(AZ$17,$AK$17:$BB$17,0))*INDEX($10:$13,MATCH($O725,$R$10:$R$13,0),COLUMN())</f>
        <v>2.8861823569086651E-6</v>
      </c>
      <c r="BA725" s="1050" cm="1">
        <f t="array" aca="1" ref="BA725" ca="1">INDEX(OFFSET($AK$19,MATCH($B725,$B$19:$B$150,0)-1,0,COUNTA($B$19:$B$24),COUNTA($AK$17:$BB$17)),MATCH($F725,$F$19:$F$24,0),MATCH(BA$17,$AK$17:$BB$17,0))*INDEX($10:$13,MATCH($O725,$R$10:$R$13,0),COLUMN())</f>
        <v>7.7785445010000002E-3</v>
      </c>
      <c r="BB725" s="1051" cm="1">
        <f t="array" aca="1" ref="BB725" ca="1">INDEX(OFFSET($AK$19,MATCH($B725,$B$19:$B$150,0)-1,0,COUNTA($B$19:$B$24),COUNTA($AK$17:$BB$17)),MATCH($F725,$F$19:$F$24,0),MATCH(BB$17,$AK$17:$BB$17,0))*INDEX($10:$13,MATCH($O725,$R$10:$R$13,0),COLUMN())</f>
        <v>2.3905201110000001E-3</v>
      </c>
      <c r="BC725" s="1053">
        <f t="shared" ca="1" si="196"/>
        <v>0.32700591056099787</v>
      </c>
      <c r="BE725" s="1"/>
      <c r="BF725" s="1"/>
      <c r="BG725" s="1"/>
      <c r="BH725" s="1"/>
      <c r="BI725" s="1"/>
      <c r="BJ725" s="1"/>
      <c r="BK725" s="1"/>
      <c r="BL725" s="1"/>
      <c r="BM725" s="1"/>
      <c r="BN725" s="1"/>
      <c r="BO725" s="1"/>
      <c r="BP725" s="1"/>
      <c r="BQ725" s="1"/>
      <c r="BR725" s="1"/>
      <c r="BS725" s="1"/>
      <c r="BT725" s="1"/>
      <c r="BU725" s="1"/>
      <c r="BV725" s="1"/>
      <c r="BW725" s="1"/>
      <c r="BX725" s="1"/>
      <c r="BY725" s="1"/>
      <c r="BZ725" s="1"/>
    </row>
    <row r="726" spans="2:78" ht="12" customHeight="1" outlineLevel="1" x14ac:dyDescent="0.25">
      <c r="B726" s="104" t="s">
        <v>103</v>
      </c>
      <c r="C726" s="104" t="s">
        <v>121</v>
      </c>
      <c r="D726" s="2" t="s">
        <v>137</v>
      </c>
      <c r="E726" s="2" t="s">
        <v>139</v>
      </c>
      <c r="F726" s="105" t="s">
        <v>94</v>
      </c>
      <c r="G726" s="27" t="s">
        <v>1580</v>
      </c>
      <c r="H726" s="106" t="s">
        <v>131</v>
      </c>
      <c r="I726" s="107" t="s">
        <v>129</v>
      </c>
      <c r="J726" s="147">
        <v>0.31070780000000003</v>
      </c>
      <c r="K726" s="148">
        <v>4.28</v>
      </c>
      <c r="L726" s="149">
        <f t="shared" ca="1" si="197"/>
        <v>5.8533093175120766E-2</v>
      </c>
      <c r="M726" s="148">
        <f t="shared" ca="1" si="198"/>
        <v>4.5305216387895175</v>
      </c>
      <c r="N726" s="148">
        <f t="shared" ca="1" si="195"/>
        <v>0.25052163878951689</v>
      </c>
      <c r="O726" s="1062" t="s">
        <v>1586</v>
      </c>
      <c r="P726" s="104"/>
      <c r="R726" s="119"/>
      <c r="S726" s="1072"/>
      <c r="T726" s="1072"/>
      <c r="U726" s="1072"/>
      <c r="V726" s="1072"/>
      <c r="W726" s="1072"/>
      <c r="X726" s="1072"/>
      <c r="Y726" s="1072"/>
      <c r="Z726" s="1072"/>
      <c r="AA726" s="1072"/>
      <c r="AB726" s="1072"/>
      <c r="AC726" s="1072"/>
      <c r="AD726" s="1072"/>
      <c r="AE726" s="1072"/>
      <c r="AF726" s="1072"/>
      <c r="AG726" s="1072"/>
      <c r="AH726" s="1072"/>
      <c r="AI726" s="1072"/>
      <c r="AJ726" s="1073"/>
      <c r="AK726" s="1052" cm="1">
        <f t="array" aca="1" ref="AK726" ca="1">INDEX(OFFSET($AK$19,MATCH($B726,$B$19:$B$150,0)-1,0,COUNTA($B$19:$B$24),COUNTA($AK$17:$BB$17)),MATCH($F726,$F$19:$F$24,0),MATCH(AK$17,$AK$17:$BB$17,0))*INDEX($10:$13,MATCH($O726,$R$10:$R$13,0),COLUMN())</f>
        <v>8.8990739280000002E-3</v>
      </c>
      <c r="AL726" s="1050" cm="1">
        <f t="array" aca="1" ref="AL726" ca="1">INDEX(OFFSET($AK$19,MATCH($B726,$B$19:$B$150,0)-1,0,COUNTA($B$19:$B$24),COUNTA($AK$17:$BB$17)),MATCH($F726,$F$19:$F$24,0),MATCH(AL$17,$AK$17:$BB$17,0))*INDEX($10:$13,MATCH($O726,$R$10:$R$13,0),COLUMN())</f>
        <v>1.7417899542E-8</v>
      </c>
      <c r="AM726" s="1050" cm="1">
        <f t="array" aca="1" ref="AM726" ca="1">INDEX(OFFSET($AK$19,MATCH($B726,$B$19:$B$150,0)-1,0,COUNTA($B$19:$B$24),COUNTA($AK$17:$BB$17)),MATCH($F726,$F$19:$F$24,0),MATCH(AM$17,$AK$17:$BB$17,0))*INDEX($10:$13,MATCH($O726,$R$10:$R$13,0),COLUMN())</f>
        <v>0</v>
      </c>
      <c r="AN726" s="1050" cm="1">
        <f t="array" aca="1" ref="AN726" ca="1">INDEX(OFFSET($AK$19,MATCH($B726,$B$19:$B$150,0)-1,0,COUNTA($B$19:$B$24),COUNTA($AK$17:$BB$17)),MATCH($F726,$F$19:$F$24,0),MATCH(AN$17,$AK$17:$BB$17,0))*INDEX($10:$13,MATCH($O726,$R$10:$R$13,0),COLUMN())</f>
        <v>6.4450680360000011E-4</v>
      </c>
      <c r="AO726" s="1050" cm="1">
        <f t="array" aca="1" ref="AO726" ca="1">INDEX(OFFSET($AK$19,MATCH($B726,$B$19:$B$150,0)-1,0,COUNTA($B$19:$B$24),COUNTA($AK$17:$BB$17)),MATCH($F726,$F$19:$F$24,0),MATCH(AO$17,$AK$17:$BB$17,0))*INDEX($10:$13,MATCH($O726,$R$10:$R$13,0),COLUMN())</f>
        <v>4.2379930849315069E-3</v>
      </c>
      <c r="AP726" s="1050" cm="1">
        <f t="array" aca="1" ref="AP726" ca="1">INDEX(OFFSET($AK$19,MATCH($B726,$B$19:$B$150,0)-1,0,COUNTA($B$19:$B$24),COUNTA($AK$17:$BB$17)),MATCH($F726,$F$19:$F$24,0),MATCH(AP$17,$AK$17:$BB$17,0))*INDEX($10:$13,MATCH($O726,$R$10:$R$13,0),COLUMN())</f>
        <v>1.9349331791999999E-3</v>
      </c>
      <c r="AQ726" s="1050" cm="1">
        <f t="array" aca="1" ref="AQ726" ca="1">INDEX(OFFSET($AK$19,MATCH($B726,$B$19:$B$150,0)-1,0,COUNTA($B$19:$B$24),COUNTA($AK$17:$BB$17)),MATCH($F726,$F$19:$F$24,0),MATCH(AQ$17,$AK$17:$BB$17,0))*INDEX($10:$13,MATCH($O726,$R$10:$R$13,0),COLUMN())</f>
        <v>3.1592862560000001E-3</v>
      </c>
      <c r="AR726" s="1050" cm="1">
        <f t="array" aca="1" ref="AR726" ca="1">INDEX(OFFSET($AK$19,MATCH($B726,$B$19:$B$150,0)-1,0,COUNTA($B$19:$B$24),COUNTA($AK$17:$BB$17)),MATCH($F726,$F$19:$F$24,0),MATCH(AR$17,$AK$17:$BB$17,0))*INDEX($10:$13,MATCH($O726,$R$10:$R$13,0),COLUMN())</f>
        <v>2.7151815871999999E-2</v>
      </c>
      <c r="AS726" s="1050" cm="1">
        <f t="array" aca="1" ref="AS726" ca="1">INDEX(OFFSET($AK$19,MATCH($B726,$B$19:$B$150,0)-1,0,COUNTA($B$19:$B$24),COUNTA($AK$17:$BB$17)),MATCH($F726,$F$19:$F$24,0),MATCH(AS$17,$AK$17:$BB$17,0))*INDEX($10:$13,MATCH($O726,$R$10:$R$13,0),COLUMN())</f>
        <v>1.5192270215999998E-4</v>
      </c>
      <c r="AT726" s="1050" cm="1">
        <f t="array" aca="1" ref="AT726" ca="1">INDEX(OFFSET($AK$19,MATCH($B726,$B$19:$B$150,0)-1,0,COUNTA($B$19:$B$24),COUNTA($AK$17:$BB$17)),MATCH($F726,$F$19:$F$24,0),MATCH(AT$17,$AK$17:$BB$17,0))*INDEX($10:$13,MATCH($O726,$R$10:$R$13,0),COLUMN())</f>
        <v>1.4044234274000001E-6</v>
      </c>
      <c r="AU726" s="1050" cm="1">
        <f t="array" aca="1" ref="AU726" ca="1">INDEX(OFFSET($AK$19,MATCH($B726,$B$19:$B$150,0)-1,0,COUNTA($B$19:$B$24),COUNTA($AK$17:$BB$17)),MATCH($F726,$F$19:$F$24,0),MATCH(AU$17,$AK$17:$BB$17,0))*INDEX($10:$13,MATCH($O726,$R$10:$R$13,0),COLUMN())</f>
        <v>2.8897728822000002E-7</v>
      </c>
      <c r="AV726" s="1050" cm="1">
        <f t="array" aca="1" ref="AV726" ca="1">INDEX(OFFSET($AK$19,MATCH($B726,$B$19:$B$150,0)-1,0,COUNTA($B$19:$B$24),COUNTA($AK$17:$BB$17)),MATCH($F726,$F$19:$F$24,0),MATCH(AV$17,$AK$17:$BB$17,0))*INDEX($10:$13,MATCH($O726,$R$10:$R$13,0),COLUMN())</f>
        <v>2.1561138640557444E-4</v>
      </c>
      <c r="AW726" s="1050" cm="1">
        <f t="array" aca="1" ref="AW726" ca="1">INDEX(OFFSET($AK$19,MATCH($B726,$B$19:$B$150,0)-1,0,COUNTA($B$19:$B$24),COUNTA($AK$17:$BB$17)),MATCH($F726,$F$19:$F$24,0),MATCH(AW$17,$AK$17:$BB$17,0))*INDEX($10:$13,MATCH($O726,$R$10:$R$13,0),COLUMN())</f>
        <v>0.19796671379000003</v>
      </c>
      <c r="AX726" s="1050" cm="1">
        <f t="array" aca="1" ref="AX726" ca="1">INDEX(OFFSET($AK$19,MATCH($B726,$B$19:$B$150,0)-1,0,COUNTA($B$19:$B$24),COUNTA($AK$17:$BB$17)),MATCH($F726,$F$19:$F$24,0),MATCH(AX$17,$AK$17:$BB$17,0))*INDEX($10:$13,MATCH($O726,$R$10:$R$13,0),COLUMN())</f>
        <v>5.3163900900000002E-8</v>
      </c>
      <c r="AY726" s="1050" cm="1">
        <f t="array" aca="1" ref="AY726" ca="1">INDEX(OFFSET($AK$19,MATCH($B726,$B$19:$B$150,0)-1,0,COUNTA($B$19:$B$24),COUNTA($AK$17:$BB$17)),MATCH($F726,$F$19:$F$24,0),MATCH(AY$17,$AK$17:$BB$17,0))*INDEX($10:$13,MATCH($O726,$R$10:$R$13,0),COLUMN())</f>
        <v>-3.4091843060000004E-11</v>
      </c>
      <c r="AZ726" s="1050" cm="1">
        <f t="array" aca="1" ref="AZ726" ca="1">INDEX(OFFSET($AK$19,MATCH($B726,$B$19:$B$150,0)-1,0,COUNTA($B$19:$B$24),COUNTA($AK$17:$BB$17)),MATCH($F726,$F$19:$F$24,0),MATCH(AZ$17,$AK$17:$BB$17,0))*INDEX($10:$13,MATCH($O726,$R$10:$R$13,0),COLUMN())</f>
        <v>1.747271795550351E-6</v>
      </c>
      <c r="BA726" s="1050" cm="1">
        <f t="array" aca="1" ref="BA726" ca="1">INDEX(OFFSET($AK$19,MATCH($B726,$B$19:$B$150,0)-1,0,COUNTA($B$19:$B$24),COUNTA($AK$17:$BB$17)),MATCH($F726,$F$19:$F$24,0),MATCH(BA$17,$AK$17:$BB$17,0))*INDEX($10:$13,MATCH($O726,$R$10:$R$13,0),COLUMN())</f>
        <v>4.7090687369999995E-3</v>
      </c>
      <c r="BB726" s="1051" cm="1">
        <f t="array" aca="1" ref="BB726" ca="1">INDEX(OFFSET($AK$19,MATCH($B726,$B$19:$B$150,0)-1,0,COUNTA($B$19:$B$24),COUNTA($AK$17:$BB$17)),MATCH($F726,$F$19:$F$24,0),MATCH(BB$17,$AK$17:$BB$17,0))*INDEX($10:$13,MATCH($O726,$R$10:$R$13,0),COLUMN())</f>
        <v>1.4472018300000001E-3</v>
      </c>
      <c r="BC726" s="1053">
        <f t="shared" ca="1" si="196"/>
        <v>0.19796676691980908</v>
      </c>
      <c r="BE726" s="1"/>
      <c r="BF726" s="1"/>
      <c r="BG726" s="1"/>
      <c r="BH726" s="1"/>
      <c r="BI726" s="1"/>
      <c r="BJ726" s="1"/>
      <c r="BK726" s="1"/>
      <c r="BL726" s="1"/>
      <c r="BM726" s="1"/>
      <c r="BN726" s="1"/>
      <c r="BO726" s="1"/>
      <c r="BP726" s="1"/>
      <c r="BQ726" s="1"/>
      <c r="BR726" s="1"/>
      <c r="BS726" s="1"/>
      <c r="BT726" s="1"/>
      <c r="BU726" s="1"/>
      <c r="BV726" s="1"/>
      <c r="BW726" s="1"/>
      <c r="BX726" s="1"/>
      <c r="BY726" s="1"/>
      <c r="BZ726" s="1"/>
    </row>
    <row r="727" spans="2:78" ht="12" customHeight="1" outlineLevel="1" x14ac:dyDescent="0.25">
      <c r="B727" s="104" t="s">
        <v>103</v>
      </c>
      <c r="C727" s="104" t="s">
        <v>121</v>
      </c>
      <c r="D727" s="2" t="s">
        <v>137</v>
      </c>
      <c r="E727" s="2" t="s">
        <v>139</v>
      </c>
      <c r="F727" s="105" t="s">
        <v>95</v>
      </c>
      <c r="G727" s="27" t="s">
        <v>1581</v>
      </c>
      <c r="H727" s="106" t="s">
        <v>128</v>
      </c>
      <c r="I727" s="107" t="s">
        <v>127</v>
      </c>
      <c r="J727" s="147">
        <v>0.31070780000000003</v>
      </c>
      <c r="K727" s="148">
        <v>4.28</v>
      </c>
      <c r="L727" s="149">
        <f t="shared" ca="1" si="197"/>
        <v>9.0959146965104279E-2</v>
      </c>
      <c r="M727" s="148">
        <f t="shared" ca="1" si="198"/>
        <v>4.669305149010647</v>
      </c>
      <c r="N727" s="148">
        <f t="shared" ca="1" si="195"/>
        <v>0.38930514901064633</v>
      </c>
      <c r="O727" s="1062" t="s">
        <v>1586</v>
      </c>
      <c r="P727" s="104"/>
      <c r="R727" s="119"/>
      <c r="S727" s="1072"/>
      <c r="T727" s="1072"/>
      <c r="U727" s="1072"/>
      <c r="V727" s="1072"/>
      <c r="W727" s="1072"/>
      <c r="X727" s="1072"/>
      <c r="Y727" s="1072"/>
      <c r="Z727" s="1072"/>
      <c r="AA727" s="1072"/>
      <c r="AB727" s="1072"/>
      <c r="AC727" s="1072"/>
      <c r="AD727" s="1072"/>
      <c r="AE727" s="1072"/>
      <c r="AF727" s="1072"/>
      <c r="AG727" s="1072"/>
      <c r="AH727" s="1072"/>
      <c r="AI727" s="1072"/>
      <c r="AJ727" s="1073"/>
      <c r="AK727" s="1052" cm="1">
        <f t="array" aca="1" ref="AK727" ca="1">INDEX(OFFSET($AK$19,MATCH($B727,$B$19:$B$150,0)-1,0,COUNTA($B$19:$B$24),COUNTA($AK$17:$BB$17)),MATCH($F727,$F$19:$F$24,0),MATCH(AK$17,$AK$17:$BB$17,0))*INDEX($10:$13,MATCH($O727,$R$10:$R$13,0),COLUMN())</f>
        <v>1.354252968E-2</v>
      </c>
      <c r="AL727" s="1050" cm="1">
        <f t="array" aca="1" ref="AL727" ca="1">INDEX(OFFSET($AK$19,MATCH($B727,$B$19:$B$150,0)-1,0,COUNTA($B$19:$B$24),COUNTA($AK$17:$BB$17)),MATCH($F727,$F$19:$F$24,0),MATCH(AL$17,$AK$17:$BB$17,0))*INDEX($10:$13,MATCH($O727,$R$10:$R$13,0),COLUMN())</f>
        <v>2.1870994098000001E-8</v>
      </c>
      <c r="AM727" s="1050" cm="1">
        <f t="array" aca="1" ref="AM727" ca="1">INDEX(OFFSET($AK$19,MATCH($B727,$B$19:$B$150,0)-1,0,COUNTA($B$19:$B$24),COUNTA($AK$17:$BB$17)),MATCH($F727,$F$19:$F$24,0),MATCH(AM$17,$AK$17:$BB$17,0))*INDEX($10:$13,MATCH($O727,$R$10:$R$13,0),COLUMN())</f>
        <v>0</v>
      </c>
      <c r="AN727" s="1050" cm="1">
        <f t="array" aca="1" ref="AN727" ca="1">INDEX(OFFSET($AK$19,MATCH($B727,$B$19:$B$150,0)-1,0,COUNTA($B$19:$B$24),COUNTA($AK$17:$BB$17)),MATCH($F727,$F$19:$F$24,0),MATCH(AN$17,$AK$17:$BB$17,0))*INDEX($10:$13,MATCH($O727,$R$10:$R$13,0),COLUMN())</f>
        <v>8.6473107000000003E-4</v>
      </c>
      <c r="AO727" s="1050" cm="1">
        <f t="array" aca="1" ref="AO727" ca="1">INDEX(OFFSET($AK$19,MATCH($B727,$B$19:$B$150,0)-1,0,COUNTA($B$19:$B$24),COUNTA($AK$17:$BB$17)),MATCH($F727,$F$19:$F$24,0),MATCH(AO$17,$AK$17:$BB$17,0))*INDEX($10:$13,MATCH($O727,$R$10:$R$13,0),COLUMN())</f>
        <v>1.2719091949315068E-2</v>
      </c>
      <c r="AP727" s="1050" cm="1">
        <f t="array" aca="1" ref="AP727" ca="1">INDEX(OFFSET($AK$19,MATCH($B727,$B$19:$B$150,0)-1,0,COUNTA($B$19:$B$24),COUNTA($AK$17:$BB$17)),MATCH($F727,$F$19:$F$24,0),MATCH(AP$17,$AK$17:$BB$17,0))*INDEX($10:$13,MATCH($O727,$R$10:$R$13,0),COLUMN())</f>
        <v>8.3415827040000008E-3</v>
      </c>
      <c r="AQ727" s="1050" cm="1">
        <f t="array" aca="1" ref="AQ727" ca="1">INDEX(OFFSET($AK$19,MATCH($B727,$B$19:$B$150,0)-1,0,COUNTA($B$19:$B$24),COUNTA($AK$17:$BB$17)),MATCH($F727,$F$19:$F$24,0),MATCH(AQ$17,$AK$17:$BB$17,0))*INDEX($10:$13,MATCH($O727,$R$10:$R$13,0),COLUMN())</f>
        <v>1.5585436736E-2</v>
      </c>
      <c r="AR727" s="1050" cm="1">
        <f t="array" aca="1" ref="AR727" ca="1">INDEX(OFFSET($AK$19,MATCH($B727,$B$19:$B$150,0)-1,0,COUNTA($B$19:$B$24),COUNTA($AK$17:$BB$17)),MATCH($F727,$F$19:$F$24,0),MATCH(AR$17,$AK$17:$BB$17,0))*INDEX($10:$13,MATCH($O727,$R$10:$R$13,0),COLUMN())</f>
        <v>8.1452186320000008E-2</v>
      </c>
      <c r="AS727" s="1050" cm="1">
        <f t="array" aca="1" ref="AS727" ca="1">INDEX(OFFSET($AK$19,MATCH($B727,$B$19:$B$150,0)-1,0,COUNTA($B$19:$B$24),COUNTA($AK$17:$BB$17)),MATCH($F727,$F$19:$F$24,0),MATCH(AS$17,$AK$17:$BB$17,0))*INDEX($10:$13,MATCH($O727,$R$10:$R$13,0),COLUMN())</f>
        <v>1.1357755971E-3</v>
      </c>
      <c r="AT727" s="1050" cm="1">
        <f t="array" aca="1" ref="AT727" ca="1">INDEX(OFFSET($AK$19,MATCH($B727,$B$19:$B$150,0)-1,0,COUNTA($B$19:$B$24),COUNTA($AK$17:$BB$17)),MATCH($F727,$F$19:$F$24,0),MATCH(AT$17,$AK$17:$BB$17,0))*INDEX($10:$13,MATCH($O727,$R$10:$R$13,0),COLUMN())</f>
        <v>2.4367594498E-6</v>
      </c>
      <c r="AU727" s="1050" cm="1">
        <f t="array" aca="1" ref="AU727" ca="1">INDEX(OFFSET($AK$19,MATCH($B727,$B$19:$B$150,0)-1,0,COUNTA($B$19:$B$24),COUNTA($AK$17:$BB$17)),MATCH($F727,$F$19:$F$24,0),MATCH(AU$17,$AK$17:$BB$17,0))*INDEX($10:$13,MATCH($O727,$R$10:$R$13,0),COLUMN())</f>
        <v>4.6476463193999995E-7</v>
      </c>
      <c r="AV727" s="1050" cm="1">
        <f t="array" aca="1" ref="AV727" ca="1">INDEX(OFFSET($AK$19,MATCH($B727,$B$19:$B$150,0)-1,0,COUNTA($B$19:$B$24),COUNTA($AK$17:$BB$17)),MATCH($F727,$F$19:$F$24,0),MATCH(AV$17,$AK$17:$BB$17,0))*INDEX($10:$13,MATCH($O727,$R$10:$R$13,0),COLUMN())</f>
        <v>9.9081906126496574E-4</v>
      </c>
      <c r="AW727" s="1050" cm="1">
        <f t="array" aca="1" ref="AW727" ca="1">INDEX(OFFSET($AK$19,MATCH($B727,$B$19:$B$150,0)-1,0,COUNTA($B$19:$B$24),COUNTA($AK$17:$BB$17)),MATCH($F727,$F$19:$F$24,0),MATCH(AW$17,$AK$17:$BB$17,0))*INDEX($10:$13,MATCH($O727,$R$10:$R$13,0),COLUMN())</f>
        <v>0.24662756550000003</v>
      </c>
      <c r="AX727" s="1050" cm="1">
        <f t="array" aca="1" ref="AX727" ca="1">INDEX(OFFSET($AK$19,MATCH($B727,$B$19:$B$150,0)-1,0,COUNTA($B$19:$B$24),COUNTA($AK$17:$BB$17)),MATCH($F727,$F$19:$F$24,0),MATCH(AX$17,$AK$17:$BB$17,0))*INDEX($10:$13,MATCH($O727,$R$10:$R$13,0),COLUMN())</f>
        <v>6.623175887000001E-8</v>
      </c>
      <c r="AY727" s="1050" cm="1">
        <f t="array" aca="1" ref="AY727" ca="1">INDEX(OFFSET($AK$19,MATCH($B727,$B$19:$B$150,0)-1,0,COUNTA($B$19:$B$24),COUNTA($AK$17:$BB$17)),MATCH($F727,$F$19:$F$24,0),MATCH(AY$17,$AK$17:$BB$17,0))*INDEX($10:$13,MATCH($O727,$R$10:$R$13,0),COLUMN())</f>
        <v>-4.2471728140000001E-11</v>
      </c>
      <c r="AZ727" s="1050" cm="1">
        <f t="array" aca="1" ref="AZ727" ca="1">INDEX(OFFSET($AK$19,MATCH($B727,$B$19:$B$150,0)-1,0,COUNTA($B$19:$B$24),COUNTA($AK$17:$BB$17)),MATCH($F727,$F$19:$F$24,0),MATCH(AZ$17,$AK$17:$BB$17,0))*INDEX($10:$13,MATCH($O727,$R$10:$R$13,0),COLUMN())</f>
        <v>2.1800246032786881E-6</v>
      </c>
      <c r="BA727" s="1050" cm="1">
        <f t="array" aca="1" ref="BA727" ca="1">INDEX(OFFSET($AK$19,MATCH($B727,$B$19:$B$150,0)-1,0,COUNTA($B$19:$B$24),COUNTA($AK$17:$BB$17)),MATCH($F727,$F$19:$F$24,0),MATCH(BA$17,$AK$17:$BB$17,0))*INDEX($10:$13,MATCH($O727,$R$10:$R$13,0),COLUMN())</f>
        <v>6.237029186E-3</v>
      </c>
      <c r="BB727" s="1051" cm="1">
        <f t="array" aca="1" ref="BB727" ca="1">INDEX(OFFSET($AK$19,MATCH($B727,$B$19:$B$150,0)-1,0,COUNTA($B$19:$B$24),COUNTA($AK$17:$BB$17)),MATCH($F727,$F$19:$F$24,0),MATCH(BB$17,$AK$17:$BB$17,0))*INDEX($10:$13,MATCH($O727,$R$10:$R$13,0),COLUMN())</f>
        <v>1.803231598E-3</v>
      </c>
      <c r="BC727" s="1053">
        <f t="shared" ca="1" si="196"/>
        <v>0.2466276316892872</v>
      </c>
      <c r="BE727" s="1"/>
      <c r="BF727" s="1"/>
      <c r="BG727" s="1"/>
      <c r="BH727" s="1"/>
      <c r="BI727" s="1"/>
      <c r="BJ727" s="1"/>
      <c r="BK727" s="1"/>
      <c r="BL727" s="1"/>
      <c r="BM727" s="1"/>
      <c r="BN727" s="1"/>
      <c r="BO727" s="1"/>
      <c r="BP727" s="1"/>
      <c r="BQ727" s="1"/>
      <c r="BR727" s="1"/>
      <c r="BS727" s="1"/>
      <c r="BT727" s="1"/>
      <c r="BU727" s="1"/>
      <c r="BV727" s="1"/>
      <c r="BW727" s="1"/>
      <c r="BX727" s="1"/>
      <c r="BY727" s="1"/>
      <c r="BZ727" s="1"/>
    </row>
    <row r="728" spans="2:78" ht="12" customHeight="1" outlineLevel="1" x14ac:dyDescent="0.25">
      <c r="B728" s="104" t="s">
        <v>103</v>
      </c>
      <c r="C728" s="104" t="s">
        <v>121</v>
      </c>
      <c r="D728" s="2" t="s">
        <v>137</v>
      </c>
      <c r="E728" s="2" t="s">
        <v>139</v>
      </c>
      <c r="F728" s="105" t="s">
        <v>96</v>
      </c>
      <c r="G728" s="27" t="s">
        <v>1582</v>
      </c>
      <c r="H728" s="106" t="s">
        <v>128</v>
      </c>
      <c r="I728" s="107" t="s">
        <v>1577</v>
      </c>
      <c r="J728" s="147">
        <v>0.31070780000000003</v>
      </c>
      <c r="K728" s="148">
        <v>4.28</v>
      </c>
      <c r="L728" s="149">
        <f t="shared" ca="1" si="197"/>
        <v>0.10403790777914187</v>
      </c>
      <c r="M728" s="148">
        <f t="shared" ca="1" si="198"/>
        <v>4.7252822452947276</v>
      </c>
      <c r="N728" s="148">
        <f t="shared" ca="1" si="195"/>
        <v>0.44528224529472726</v>
      </c>
      <c r="O728" s="1062" t="s">
        <v>1586</v>
      </c>
      <c r="P728" s="104"/>
      <c r="R728" s="119"/>
      <c r="S728" s="1072"/>
      <c r="T728" s="1072"/>
      <c r="U728" s="1072"/>
      <c r="V728" s="1072"/>
      <c r="W728" s="1072"/>
      <c r="X728" s="1072"/>
      <c r="Y728" s="1072"/>
      <c r="Z728" s="1072"/>
      <c r="AA728" s="1072"/>
      <c r="AB728" s="1072"/>
      <c r="AC728" s="1072"/>
      <c r="AD728" s="1072"/>
      <c r="AE728" s="1072"/>
      <c r="AF728" s="1072"/>
      <c r="AG728" s="1072"/>
      <c r="AH728" s="1072"/>
      <c r="AI728" s="1072"/>
      <c r="AJ728" s="1073"/>
      <c r="AK728" s="1052" cm="1">
        <f t="array" aca="1" ref="AK728" ca="1">INDEX(OFFSET($AK$19,MATCH($B728,$B$19:$B$150,0)-1,0,COUNTA($B$19:$B$24),COUNTA($AK$17:$BB$17)),MATCH($F728,$F$19:$F$24,0),MATCH(AK$17,$AK$17:$BB$17,0))*INDEX($10:$13,MATCH($O728,$R$10:$R$13,0),COLUMN())</f>
        <v>1.5302729199999998E-2</v>
      </c>
      <c r="AL728" s="1050" cm="1">
        <f t="array" aca="1" ref="AL728" ca="1">INDEX(OFFSET($AK$19,MATCH($B728,$B$19:$B$150,0)-1,0,COUNTA($B$19:$B$24),COUNTA($AK$17:$BB$17)),MATCH($F728,$F$19:$F$24,0),MATCH(AL$17,$AK$17:$BB$17,0))*INDEX($10:$13,MATCH($O728,$R$10:$R$13,0),COLUMN())</f>
        <v>2.1983060795999998E-8</v>
      </c>
      <c r="AM728" s="1050" cm="1">
        <f t="array" aca="1" ref="AM728" ca="1">INDEX(OFFSET($AK$19,MATCH($B728,$B$19:$B$150,0)-1,0,COUNTA($B$19:$B$24),COUNTA($AK$17:$BB$17)),MATCH($F728,$F$19:$F$24,0),MATCH(AM$17,$AK$17:$BB$17,0))*INDEX($10:$13,MATCH($O728,$R$10:$R$13,0),COLUMN())</f>
        <v>0</v>
      </c>
      <c r="AN728" s="1050" cm="1">
        <f t="array" aca="1" ref="AN728" ca="1">INDEX(OFFSET($AK$19,MATCH($B728,$B$19:$B$150,0)-1,0,COUNTA($B$19:$B$24),COUNTA($AK$17:$BB$17)),MATCH($F728,$F$19:$F$24,0),MATCH(AN$17,$AK$17:$BB$17,0))*INDEX($10:$13,MATCH($O728,$R$10:$R$13,0),COLUMN())</f>
        <v>9.0506431860000014E-4</v>
      </c>
      <c r="AO728" s="1050" cm="1">
        <f t="array" aca="1" ref="AO728" ca="1">INDEX(OFFSET($AK$19,MATCH($B728,$B$19:$B$150,0)-1,0,COUNTA($B$19:$B$24),COUNTA($AK$17:$BB$17)),MATCH($F728,$F$19:$F$24,0),MATCH(AO$17,$AK$17:$BB$17,0))*INDEX($10:$13,MATCH($O728,$R$10:$R$13,0),COLUMN())</f>
        <v>1.8127685128767123E-2</v>
      </c>
      <c r="AP728" s="1050" cm="1">
        <f t="array" aca="1" ref="AP728" ca="1">INDEX(OFFSET($AK$19,MATCH($B728,$B$19:$B$150,0)-1,0,COUNTA($B$19:$B$24),COUNTA($AK$17:$BB$17)),MATCH($F728,$F$19:$F$24,0),MATCH(AP$17,$AK$17:$BB$17,0))*INDEX($10:$13,MATCH($O728,$R$10:$R$13,0),COLUMN())</f>
        <v>1.2662267519999999E-2</v>
      </c>
      <c r="AQ728" s="1050" cm="1">
        <f t="array" aca="1" ref="AQ728" ca="1">INDEX(OFFSET($AK$19,MATCH($B728,$B$19:$B$150,0)-1,0,COUNTA($B$19:$B$24),COUNTA($AK$17:$BB$17)),MATCH($F728,$F$19:$F$24,0),MATCH(AQ$17,$AK$17:$BB$17,0))*INDEX($10:$13,MATCH($O728,$R$10:$R$13,0),COLUMN())</f>
        <v>2.3882031456E-2</v>
      </c>
      <c r="AR728" s="1050" cm="1">
        <f t="array" aca="1" ref="AR728" ca="1">INDEX(OFFSET($AK$19,MATCH($B728,$B$19:$B$150,0)-1,0,COUNTA($B$19:$B$24),COUNTA($AK$17:$BB$17)),MATCH($F728,$F$19:$F$24,0),MATCH(AR$17,$AK$17:$BB$17,0))*INDEX($10:$13,MATCH($O728,$R$10:$R$13,0),COLUMN())</f>
        <v>0.11617533923999999</v>
      </c>
      <c r="AS728" s="1050" cm="1">
        <f t="array" aca="1" ref="AS728" ca="1">INDEX(OFFSET($AK$19,MATCH($B728,$B$19:$B$150,0)-1,0,COUNTA($B$19:$B$24),COUNTA($AK$17:$BB$17)),MATCH($F728,$F$19:$F$24,0),MATCH(AS$17,$AK$17:$BB$17,0))*INDEX($10:$13,MATCH($O728,$R$10:$R$13,0),COLUMN())</f>
        <v>1.7823633629999998E-3</v>
      </c>
      <c r="AT728" s="1050" cm="1">
        <f t="array" aca="1" ref="AT728" ca="1">INDEX(OFFSET($AK$19,MATCH($B728,$B$19:$B$150,0)-1,0,COUNTA($B$19:$B$24),COUNTA($AK$17:$BB$17)),MATCH($F728,$F$19:$F$24,0),MATCH(AT$17,$AK$17:$BB$17,0))*INDEX($10:$13,MATCH($O728,$R$10:$R$13,0),COLUMN())</f>
        <v>2.7269321634000003E-6</v>
      </c>
      <c r="AU728" s="1050" cm="1">
        <f t="array" aca="1" ref="AU728" ca="1">INDEX(OFFSET($AK$19,MATCH($B728,$B$19:$B$150,0)-1,0,COUNTA($B$19:$B$24),COUNTA($AK$17:$BB$17)),MATCH($F728,$F$19:$F$24,0),MATCH(AU$17,$AK$17:$BB$17,0))*INDEX($10:$13,MATCH($O728,$R$10:$R$13,0),COLUMN())</f>
        <v>5.0619575981999998E-7</v>
      </c>
      <c r="AV728" s="1050" cm="1">
        <f t="array" aca="1" ref="AV728" ca="1">INDEX(OFFSET($AK$19,MATCH($B728,$B$19:$B$150,0)-1,0,COUNTA($B$19:$B$24),COUNTA($AK$17:$BB$17)),MATCH($F728,$F$19:$F$24,0),MATCH(AV$17,$AK$17:$BB$17,0))*INDEX($10:$13,MATCH($O728,$R$10:$R$13,0),COLUMN())</f>
        <v>1.5294721448850571E-3</v>
      </c>
      <c r="AW728" s="1050" cm="1">
        <f t="array" aca="1" ref="AW728" ca="1">INDEX(OFFSET($AK$19,MATCH($B728,$B$19:$B$150,0)-1,0,COUNTA($B$19:$B$24),COUNTA($AK$17:$BB$17)),MATCH($F728,$F$19:$F$24,0),MATCH(AW$17,$AK$17:$BB$17,0))*INDEX($10:$13,MATCH($O728,$R$10:$R$13,0),COLUMN())</f>
        <v>0.24662756550000003</v>
      </c>
      <c r="AX728" s="1050" cm="1">
        <f t="array" aca="1" ref="AX728" ca="1">INDEX(OFFSET($AK$19,MATCH($B728,$B$19:$B$150,0)-1,0,COUNTA($B$19:$B$24),COUNTA($AK$17:$BB$17)),MATCH($F728,$F$19:$F$24,0),MATCH(AX$17,$AK$17:$BB$17,0))*INDEX($10:$13,MATCH($O728,$R$10:$R$13,0),COLUMN())</f>
        <v>6.623175887000001E-8</v>
      </c>
      <c r="AY728" s="1050" cm="1">
        <f t="array" aca="1" ref="AY728" ca="1">INDEX(OFFSET($AK$19,MATCH($B728,$B$19:$B$150,0)-1,0,COUNTA($B$19:$B$24),COUNTA($AK$17:$BB$17)),MATCH($F728,$F$19:$F$24,0),MATCH(AY$17,$AK$17:$BB$17,0))*INDEX($10:$13,MATCH($O728,$R$10:$R$13,0),COLUMN())</f>
        <v>-4.2471728140000001E-11</v>
      </c>
      <c r="AZ728" s="1050" cm="1">
        <f t="array" aca="1" ref="AZ728" ca="1">INDEX(OFFSET($AK$19,MATCH($B728,$B$19:$B$150,0)-1,0,COUNTA($B$19:$B$24),COUNTA($AK$17:$BB$17)),MATCH($F728,$F$19:$F$24,0),MATCH(AZ$17,$AK$17:$BB$17,0))*INDEX($10:$13,MATCH($O728,$R$10:$R$13,0),COLUMN())</f>
        <v>2.1821572039812643E-6</v>
      </c>
      <c r="BA728" s="1050" cm="1">
        <f t="array" aca="1" ref="BA728" ca="1">INDEX(OFFSET($AK$19,MATCH($B728,$B$19:$B$150,0)-1,0,COUNTA($B$19:$B$24),COUNTA($AK$17:$BB$17)),MATCH($F728,$F$19:$F$24,0),MATCH(BA$17,$AK$17:$BB$17,0))*INDEX($10:$13,MATCH($O728,$R$10:$R$13,0),COLUMN())</f>
        <v>6.478794629E-3</v>
      </c>
      <c r="BB728" s="1051" cm="1">
        <f t="array" aca="1" ref="BB728" ca="1">INDEX(OFFSET($AK$19,MATCH($B728,$B$19:$B$150,0)-1,0,COUNTA($B$19:$B$24),COUNTA($AK$17:$BB$17)),MATCH($F728,$F$19:$F$24,0),MATCH(BB$17,$AK$17:$BB$17,0))*INDEX($10:$13,MATCH($O728,$R$10:$R$13,0),COLUMN())</f>
        <v>1.8034293369999998E-3</v>
      </c>
      <c r="BC728" s="1053">
        <f t="shared" ca="1" si="196"/>
        <v>0.2466276316892872</v>
      </c>
      <c r="BE728" s="1"/>
      <c r="BF728" s="1"/>
      <c r="BG728" s="1"/>
      <c r="BH728" s="1"/>
      <c r="BI728" s="1"/>
      <c r="BJ728" s="1"/>
      <c r="BK728" s="1"/>
      <c r="BL728" s="1"/>
      <c r="BM728" s="1"/>
      <c r="BN728" s="1"/>
      <c r="BO728" s="1"/>
      <c r="BP728" s="1"/>
      <c r="BQ728" s="1"/>
      <c r="BR728" s="1"/>
      <c r="BS728" s="1"/>
      <c r="BT728" s="1"/>
      <c r="BU728" s="1"/>
      <c r="BV728" s="1"/>
      <c r="BW728" s="1"/>
      <c r="BX728" s="1"/>
      <c r="BY728" s="1"/>
      <c r="BZ728" s="1"/>
    </row>
    <row r="729" spans="2:78" ht="12" customHeight="1" outlineLevel="1" x14ac:dyDescent="0.25">
      <c r="B729" s="88" t="s">
        <v>104</v>
      </c>
      <c r="C729" s="88" t="s">
        <v>121</v>
      </c>
      <c r="D729" s="89" t="s">
        <v>137</v>
      </c>
      <c r="E729" s="89" t="s">
        <v>140</v>
      </c>
      <c r="F729" s="90" t="s">
        <v>92</v>
      </c>
      <c r="G729" s="18" t="s">
        <v>126</v>
      </c>
      <c r="H729" s="91" t="s">
        <v>127</v>
      </c>
      <c r="I729" s="92" t="s">
        <v>127</v>
      </c>
      <c r="J729" s="142">
        <v>4.4622420200000006</v>
      </c>
      <c r="K729" s="143">
        <v>1.5016681086919641</v>
      </c>
      <c r="L729" s="144">
        <f t="shared" ca="1" si="197"/>
        <v>2.1688570755827588</v>
      </c>
      <c r="M729" s="143">
        <f t="shared" ca="1" si="198"/>
        <v>4.7585716114055092</v>
      </c>
      <c r="N729" s="143">
        <f t="shared" ca="1" si="195"/>
        <v>3.2569035027135453</v>
      </c>
      <c r="O729" s="1063" t="s">
        <v>1586</v>
      </c>
      <c r="P729" s="88"/>
      <c r="Q729" s="89"/>
      <c r="R729" s="150"/>
      <c r="S729" s="1070"/>
      <c r="T729" s="1070"/>
      <c r="U729" s="1070"/>
      <c r="V729" s="1070"/>
      <c r="W729" s="1070"/>
      <c r="X729" s="1070"/>
      <c r="Y729" s="1070"/>
      <c r="Z729" s="1070"/>
      <c r="AA729" s="1070"/>
      <c r="AB729" s="1070"/>
      <c r="AC729" s="1070"/>
      <c r="AD729" s="1070"/>
      <c r="AE729" s="1070"/>
      <c r="AF729" s="1070"/>
      <c r="AG729" s="1070"/>
      <c r="AH729" s="1070"/>
      <c r="AI729" s="1070"/>
      <c r="AJ729" s="1071"/>
      <c r="AK729" s="1048" cm="1">
        <f t="array" aca="1" ref="AK729" ca="1">INDEX(OFFSET($AK$19,MATCH($B729,$B$19:$B$150,0)-1,0,COUNTA($B$19:$B$24),COUNTA($AK$17:$BB$17)),MATCH($F729,$F$19:$F$24,0),MATCH(AK$17,$AK$17:$BB$17,0))*INDEX($10:$13,MATCH($O729,$R$10:$R$13,0),COLUMN())</f>
        <v>0.12765808007999999</v>
      </c>
      <c r="AL729" s="1046" cm="1">
        <f t="array" aca="1" ref="AL729" ca="1">INDEX(OFFSET($AK$19,MATCH($B729,$B$19:$B$150,0)-1,0,COUNTA($B$19:$B$24),COUNTA($AK$17:$BB$17)),MATCH($F729,$F$19:$F$24,0),MATCH(AL$17,$AK$17:$BB$17,0))*INDEX($10:$13,MATCH($O729,$R$10:$R$13,0),COLUMN())</f>
        <v>3.0592716498000004E-7</v>
      </c>
      <c r="AM729" s="1046" cm="1">
        <f t="array" aca="1" ref="AM729" ca="1">INDEX(OFFSET($AK$19,MATCH($B729,$B$19:$B$150,0)-1,0,COUNTA($B$19:$B$24),COUNTA($AK$17:$BB$17)),MATCH($F729,$F$19:$F$24,0),MATCH(AM$17,$AK$17:$BB$17,0))*INDEX($10:$13,MATCH($O729,$R$10:$R$13,0),COLUMN())</f>
        <v>0</v>
      </c>
      <c r="AN729" s="1046" cm="1">
        <f t="array" aca="1" ref="AN729" ca="1">INDEX(OFFSET($AK$19,MATCH($B729,$B$19:$B$150,0)-1,0,COUNTA($B$19:$B$24),COUNTA($AK$17:$BB$17)),MATCH($F729,$F$19:$F$24,0),MATCH(AN$17,$AK$17:$BB$17,0))*INDEX($10:$13,MATCH($O729,$R$10:$R$13,0),COLUMN())</f>
        <v>4.734827544E-3</v>
      </c>
      <c r="AO729" s="1046" cm="1">
        <f t="array" aca="1" ref="AO729" ca="1">INDEX(OFFSET($AK$19,MATCH($B729,$B$19:$B$150,0)-1,0,COUNTA($B$19:$B$24),COUNTA($AK$17:$BB$17)),MATCH($F729,$F$19:$F$24,0),MATCH(AO$17,$AK$17:$BB$17,0))*INDEX($10:$13,MATCH($O729,$R$10:$R$13,0),COLUMN())</f>
        <v>7.4513062438356162E-2</v>
      </c>
      <c r="AP729" s="1046" cm="1">
        <f t="array" aca="1" ref="AP729" ca="1">INDEX(OFFSET($AK$19,MATCH($B729,$B$19:$B$150,0)-1,0,COUNTA($B$19:$B$24),COUNTA($AK$17:$BB$17)),MATCH($F729,$F$19:$F$24,0),MATCH(AP$17,$AK$17:$BB$17,0))*INDEX($10:$13,MATCH($O729,$R$10:$R$13,0),COLUMN())</f>
        <v>4.8640015199999997E-2</v>
      </c>
      <c r="AQ729" s="1046" cm="1">
        <f t="array" aca="1" ref="AQ729" ca="1">INDEX(OFFSET($AK$19,MATCH($B729,$B$19:$B$150,0)-1,0,COUNTA($B$19:$B$24),COUNTA($AK$17:$BB$17)),MATCH($F729,$F$19:$F$24,0),MATCH(AQ$17,$AK$17:$BB$17,0))*INDEX($10:$13,MATCH($O729,$R$10:$R$13,0),COLUMN())</f>
        <v>0.26153327024</v>
      </c>
      <c r="AR729" s="1046" cm="1">
        <f t="array" aca="1" ref="AR729" ca="1">INDEX(OFFSET($AK$19,MATCH($B729,$B$19:$B$150,0)-1,0,COUNTA($B$19:$B$24),COUNTA($AK$17:$BB$17)),MATCH($F729,$F$19:$F$24,0),MATCH(AR$17,$AK$17:$BB$17,0))*INDEX($10:$13,MATCH($O729,$R$10:$R$13,0),COLUMN())</f>
        <v>0.64245540439999993</v>
      </c>
      <c r="AS729" s="1046" cm="1">
        <f t="array" aca="1" ref="AS729" ca="1">INDEX(OFFSET($AK$19,MATCH($B729,$B$19:$B$150,0)-1,0,COUNTA($B$19:$B$24),COUNTA($AK$17:$BB$17)),MATCH($F729,$F$19:$F$24,0),MATCH(AS$17,$AK$17:$BB$17,0))*INDEX($10:$13,MATCH($O729,$R$10:$R$13,0),COLUMN())</f>
        <v>0.61279260383999989</v>
      </c>
      <c r="AT729" s="1046" cm="1">
        <f t="array" aca="1" ref="AT729" ca="1">INDEX(OFFSET($AK$19,MATCH($B729,$B$19:$B$150,0)-1,0,COUNTA($B$19:$B$24),COUNTA($AK$17:$BB$17)),MATCH($F729,$F$19:$F$24,0),MATCH(AT$17,$AK$17:$BB$17,0))*INDEX($10:$13,MATCH($O729,$R$10:$R$13,0),COLUMN())</f>
        <v>6.8104774999999998E-4</v>
      </c>
      <c r="AU729" s="1046" cm="1">
        <f t="array" aca="1" ref="AU729" ca="1">INDEX(OFFSET($AK$19,MATCH($B729,$B$19:$B$150,0)-1,0,COUNTA($B$19:$B$24),COUNTA($AK$17:$BB$17)),MATCH($F729,$F$19:$F$24,0),MATCH(AU$17,$AK$17:$BB$17,0))*INDEX($10:$13,MATCH($O729,$R$10:$R$13,0),COLUMN())</f>
        <v>3.981623826E-5</v>
      </c>
      <c r="AV729" s="1046" cm="1">
        <f t="array" aca="1" ref="AV729" ca="1">INDEX(OFFSET($AK$19,MATCH($B729,$B$19:$B$150,0)-1,0,COUNTA($B$19:$B$24),COUNTA($AK$17:$BB$17)),MATCH($F729,$F$19:$F$24,0),MATCH(AV$17,$AK$17:$BB$17,0))*INDEX($10:$13,MATCH($O729,$R$10:$R$13,0),COLUMN())</f>
        <v>1.0676949967116945E-2</v>
      </c>
      <c r="AW729" s="1046" cm="1">
        <f t="array" aca="1" ref="AW729" ca="1">INDEX(OFFSET($AK$19,MATCH($B729,$B$19:$B$150,0)-1,0,COUNTA($B$19:$B$24),COUNTA($AK$17:$BB$17)),MATCH($F729,$F$19:$F$24,0),MATCH(AW$17,$AK$17:$BB$17,0))*INDEX($10:$13,MATCH($O729,$R$10:$R$13,0),COLUMN())</f>
        <v>1.4278666625000001</v>
      </c>
      <c r="AX729" s="1046" cm="1">
        <f t="array" aca="1" ref="AX729" ca="1">INDEX(OFFSET($AK$19,MATCH($B729,$B$19:$B$150,0)-1,0,COUNTA($B$19:$B$24),COUNTA($AK$17:$BB$17)),MATCH($F729,$F$19:$F$24,0),MATCH(AX$17,$AK$17:$BB$17,0))*INDEX($10:$13,MATCH($O729,$R$10:$R$13,0),COLUMN())</f>
        <v>1.4772452336000001E-6</v>
      </c>
      <c r="AY729" s="1046" cm="1">
        <f t="array" aca="1" ref="AY729" ca="1">INDEX(OFFSET($AK$19,MATCH($B729,$B$19:$B$150,0)-1,0,COUNTA($B$19:$B$24),COUNTA($AK$17:$BB$17)),MATCH($F729,$F$19:$F$24,0),MATCH(AY$17,$AK$17:$BB$17,0))*INDEX($10:$13,MATCH($O729,$R$10:$R$13,0),COLUMN())</f>
        <v>-1.0090977237000001E-9</v>
      </c>
      <c r="AZ729" s="1046" cm="1">
        <f t="array" aca="1" ref="AZ729" ca="1">INDEX(OFFSET($AK$19,MATCH($B729,$B$19:$B$150,0)-1,0,COUNTA($B$19:$B$24),COUNTA($AK$17:$BB$17)),MATCH($F729,$F$19:$F$24,0),MATCH(AZ$17,$AK$17:$BB$17,0))*INDEX($10:$13,MATCH($O729,$R$10:$R$13,0),COLUMN())</f>
        <v>1.2021704911007025E-5</v>
      </c>
      <c r="BA729" s="1046" cm="1">
        <f t="array" aca="1" ref="BA729" ca="1">INDEX(OFFSET($AK$19,MATCH($B729,$B$19:$B$150,0)-1,0,COUNTA($B$19:$B$24),COUNTA($AK$17:$BB$17)),MATCH($F729,$F$19:$F$24,0),MATCH(BA$17,$AK$17:$BB$17,0))*INDEX($10:$13,MATCH($O729,$R$10:$R$13,0),COLUMN())</f>
        <v>4.4610533199999997E-2</v>
      </c>
      <c r="BB729" s="1047" cm="1">
        <f t="array" aca="1" ref="BB729" ca="1">INDEX(OFFSET($AK$19,MATCH($B729,$B$19:$B$150,0)-1,0,COUNTA($B$19:$B$24),COUNTA($AK$17:$BB$17)),MATCH($F729,$F$19:$F$24,0),MATCH(BB$17,$AK$17:$BB$17,0))*INDEX($10:$13,MATCH($O729,$R$10:$R$13,0),COLUMN())</f>
        <v>6.8742544760000011E-4</v>
      </c>
      <c r="BC729" s="1049">
        <f t="shared" ca="1" si="196"/>
        <v>1.427868138736136</v>
      </c>
      <c r="BE729" s="1"/>
      <c r="BF729" s="1"/>
      <c r="BG729" s="1"/>
      <c r="BH729" s="1"/>
      <c r="BI729" s="1"/>
      <c r="BJ729" s="1"/>
      <c r="BK729" s="1"/>
      <c r="BL729" s="1"/>
      <c r="BM729" s="1"/>
      <c r="BN729" s="1"/>
      <c r="BO729" s="1"/>
      <c r="BP729" s="1"/>
      <c r="BQ729" s="1"/>
      <c r="BR729" s="1"/>
      <c r="BS729" s="1"/>
      <c r="BT729" s="1"/>
      <c r="BU729" s="1"/>
      <c r="BV729" s="1"/>
      <c r="BW729" s="1"/>
      <c r="BX729" s="1"/>
      <c r="BY729" s="1"/>
      <c r="BZ729" s="1"/>
    </row>
    <row r="730" spans="2:78" ht="12" customHeight="1" outlineLevel="1" x14ac:dyDescent="0.25">
      <c r="B730" s="104" t="s">
        <v>104</v>
      </c>
      <c r="C730" s="104" t="s">
        <v>121</v>
      </c>
      <c r="D730" s="2" t="s">
        <v>137</v>
      </c>
      <c r="E730" s="2" t="s">
        <v>140</v>
      </c>
      <c r="F730" s="105" t="s">
        <v>122</v>
      </c>
      <c r="G730" s="27" t="s">
        <v>1579</v>
      </c>
      <c r="H730" s="106" t="s">
        <v>128</v>
      </c>
      <c r="I730" s="107" t="s">
        <v>129</v>
      </c>
      <c r="J730" s="147">
        <v>4.4622420200000006</v>
      </c>
      <c r="K730" s="148">
        <v>3.677795697780804</v>
      </c>
      <c r="L730" s="149">
        <f t="shared" ca="1" si="197"/>
        <v>0.62204855283171967</v>
      </c>
      <c r="M730" s="148">
        <f t="shared" ca="1" si="198"/>
        <v>5.9655631891960779</v>
      </c>
      <c r="N730" s="148">
        <f t="shared" ca="1" si="195"/>
        <v>2.2877674914152739</v>
      </c>
      <c r="O730" s="1062" t="s">
        <v>1586</v>
      </c>
      <c r="P730" s="104"/>
      <c r="R730" s="119"/>
      <c r="S730" s="1072"/>
      <c r="T730" s="1072"/>
      <c r="U730" s="1072"/>
      <c r="V730" s="1072"/>
      <c r="W730" s="1072"/>
      <c r="X730" s="1072"/>
      <c r="Y730" s="1072"/>
      <c r="Z730" s="1072"/>
      <c r="AA730" s="1072"/>
      <c r="AB730" s="1072"/>
      <c r="AC730" s="1072"/>
      <c r="AD730" s="1072"/>
      <c r="AE730" s="1072"/>
      <c r="AF730" s="1072"/>
      <c r="AG730" s="1072"/>
      <c r="AH730" s="1072"/>
      <c r="AI730" s="1072"/>
      <c r="AJ730" s="1073"/>
      <c r="AK730" s="1052" cm="1">
        <f t="array" aca="1" ref="AK730" ca="1">INDEX(OFFSET($AK$19,MATCH($B730,$B$19:$B$150,0)-1,0,COUNTA($B$19:$B$24),COUNTA($AK$17:$BB$17)),MATCH($F730,$F$19:$F$24,0),MATCH(AK$17,$AK$17:$BB$17,0))*INDEX($10:$13,MATCH($O730,$R$10:$R$13,0),COLUMN())</f>
        <v>0.11770542103999999</v>
      </c>
      <c r="AL730" s="1050" cm="1">
        <f t="array" aca="1" ref="AL730" ca="1">INDEX(OFFSET($AK$19,MATCH($B730,$B$19:$B$150,0)-1,0,COUNTA($B$19:$B$24),COUNTA($AK$17:$BB$17)),MATCH($F730,$F$19:$F$24,0),MATCH(AL$17,$AK$17:$BB$17,0))*INDEX($10:$13,MATCH($O730,$R$10:$R$13,0),COLUMN())</f>
        <v>1.2895808844000001E-7</v>
      </c>
      <c r="AM730" s="1050" cm="1">
        <f t="array" aca="1" ref="AM730" ca="1">INDEX(OFFSET($AK$19,MATCH($B730,$B$19:$B$150,0)-1,0,COUNTA($B$19:$B$24),COUNTA($AK$17:$BB$17)),MATCH($F730,$F$19:$F$24,0),MATCH(AM$17,$AK$17:$BB$17,0))*INDEX($10:$13,MATCH($O730,$R$10:$R$13,0),COLUMN())</f>
        <v>0</v>
      </c>
      <c r="AN730" s="1050" cm="1">
        <f t="array" aca="1" ref="AN730" ca="1">INDEX(OFFSET($AK$19,MATCH($B730,$B$19:$B$150,0)-1,0,COUNTA($B$19:$B$24),COUNTA($AK$17:$BB$17)),MATCH($F730,$F$19:$F$24,0),MATCH(AN$17,$AK$17:$BB$17,0))*INDEX($10:$13,MATCH($O730,$R$10:$R$13,0),COLUMN())</f>
        <v>4.7845289040000004E-3</v>
      </c>
      <c r="AO730" s="1050" cm="1">
        <f t="array" aca="1" ref="AO730" ca="1">INDEX(OFFSET($AK$19,MATCH($B730,$B$19:$B$150,0)-1,0,COUNTA($B$19:$B$24),COUNTA($AK$17:$BB$17)),MATCH($F730,$F$19:$F$24,0),MATCH(AO$17,$AK$17:$BB$17,0))*INDEX($10:$13,MATCH($O730,$R$10:$R$13,0),COLUMN())</f>
        <v>3.3002109287671229E-2</v>
      </c>
      <c r="AP730" s="1050" cm="1">
        <f t="array" aca="1" ref="AP730" ca="1">INDEX(OFFSET($AK$19,MATCH($B730,$B$19:$B$150,0)-1,0,COUNTA($B$19:$B$24),COUNTA($AK$17:$BB$17)),MATCH($F730,$F$19:$F$24,0),MATCH(AP$17,$AK$17:$BB$17,0))*INDEX($10:$13,MATCH($O730,$R$10:$R$13,0),COLUMN())</f>
        <v>1.5495746111999999E-2</v>
      </c>
      <c r="AQ730" s="1050" cm="1">
        <f t="array" aca="1" ref="AQ730" ca="1">INDEX(OFFSET($AK$19,MATCH($B730,$B$19:$B$150,0)-1,0,COUNTA($B$19:$B$24),COUNTA($AK$17:$BB$17)),MATCH($F730,$F$19:$F$24,0),MATCH(AQ$17,$AK$17:$BB$17,0))*INDEX($10:$13,MATCH($O730,$R$10:$R$13,0),COLUMN())</f>
        <v>2.6049036783999998E-2</v>
      </c>
      <c r="AR730" s="1050" cm="1">
        <f t="array" aca="1" ref="AR730" ca="1">INDEX(OFFSET($AK$19,MATCH($B730,$B$19:$B$150,0)-1,0,COUNTA($B$19:$B$24),COUNTA($AK$17:$BB$17)),MATCH($F730,$F$19:$F$24,0),MATCH(AR$17,$AK$17:$BB$17,0))*INDEX($10:$13,MATCH($O730,$R$10:$R$13,0),COLUMN())</f>
        <v>0.41904484867999997</v>
      </c>
      <c r="AS730" s="1050" cm="1">
        <f t="array" aca="1" ref="AS730" ca="1">INDEX(OFFSET($AK$19,MATCH($B730,$B$19:$B$150,0)-1,0,COUNTA($B$19:$B$24),COUNTA($AK$17:$BB$17)),MATCH($F730,$F$19:$F$24,0),MATCH(AS$17,$AK$17:$BB$17,0))*INDEX($10:$13,MATCH($O730,$R$10:$R$13,0),COLUMN())</f>
        <v>7.9093165299999992E-4</v>
      </c>
      <c r="AT730" s="1050" cm="1">
        <f t="array" aca="1" ref="AT730" ca="1">INDEX(OFFSET($AK$19,MATCH($B730,$B$19:$B$150,0)-1,0,COUNTA($B$19:$B$24),COUNTA($AK$17:$BB$17)),MATCH($F730,$F$19:$F$24,0),MATCH(AT$17,$AK$17:$BB$17,0))*INDEX($10:$13,MATCH($O730,$R$10:$R$13,0),COLUMN())</f>
        <v>1.1415560740000001E-5</v>
      </c>
      <c r="AU730" s="1050" cm="1">
        <f t="array" aca="1" ref="AU730" ca="1">INDEX(OFFSET($AK$19,MATCH($B730,$B$19:$B$150,0)-1,0,COUNTA($B$19:$B$24),COUNTA($AK$17:$BB$17)),MATCH($F730,$F$19:$F$24,0),MATCH(AU$17,$AK$17:$BB$17,0))*INDEX($10:$13,MATCH($O730,$R$10:$R$13,0),COLUMN())</f>
        <v>2.3265221819999999E-6</v>
      </c>
      <c r="AV730" s="1050" cm="1">
        <f t="array" aca="1" ref="AV730" ca="1">INDEX(OFFSET($AK$19,MATCH($B730,$B$19:$B$150,0)-1,0,COUNTA($B$19:$B$24),COUNTA($AK$17:$BB$17)),MATCH($F730,$F$19:$F$24,0),MATCH(AV$17,$AK$17:$BB$17,0))*INDEX($10:$13,MATCH($O730,$R$10:$R$13,0),COLUMN())</f>
        <v>1.5033502878987973E-3</v>
      </c>
      <c r="AW730" s="1050" cm="1">
        <f t="array" aca="1" ref="AW730" ca="1">INDEX(OFFSET($AK$19,MATCH($B730,$B$19:$B$150,0)-1,0,COUNTA($B$19:$B$24),COUNTA($AK$17:$BB$17)),MATCH($F730,$F$19:$F$24,0),MATCH(AW$17,$AK$17:$BB$17,0))*INDEX($10:$13,MATCH($O730,$R$10:$R$13,0),COLUMN())</f>
        <v>1.6338965647000001</v>
      </c>
      <c r="AX730" s="1050" cm="1">
        <f t="array" aca="1" ref="AX730" ca="1">INDEX(OFFSET($AK$19,MATCH($B730,$B$19:$B$150,0)-1,0,COUNTA($B$19:$B$24),COUNTA($AK$17:$BB$17)),MATCH($F730,$F$19:$F$24,0),MATCH(AX$17,$AK$17:$BB$17,0))*INDEX($10:$13,MATCH($O730,$R$10:$R$13,0),COLUMN())</f>
        <v>3.9111640170000004E-7</v>
      </c>
      <c r="AY730" s="1050" cm="1">
        <f t="array" aca="1" ref="AY730" ca="1">INDEX(OFFSET($AK$19,MATCH($B730,$B$19:$B$150,0)-1,0,COUNTA($B$19:$B$24),COUNTA($AK$17:$BB$17)),MATCH($F730,$F$19:$F$24,0),MATCH(AY$17,$AK$17:$BB$17,0))*INDEX($10:$13,MATCH($O730,$R$10:$R$13,0),COLUMN())</f>
        <v>-2.5080700730000002E-10</v>
      </c>
      <c r="AZ730" s="1050" cm="1">
        <f t="array" aca="1" ref="AZ730" ca="1">INDEX(OFFSET($AK$19,MATCH($B730,$B$19:$B$150,0)-1,0,COUNTA($B$19:$B$24),COUNTA($AK$17:$BB$17)),MATCH($F730,$F$19:$F$24,0),MATCH(AZ$17,$AK$17:$BB$17,0))*INDEX($10:$13,MATCH($O730,$R$10:$R$13,0),COLUMN())</f>
        <v>1.3485673798594844E-5</v>
      </c>
      <c r="BA730" s="1050" cm="1">
        <f t="array" aca="1" ref="BA730" ca="1">INDEX(OFFSET($AK$19,MATCH($B730,$B$19:$B$150,0)-1,0,COUNTA($B$19:$B$24),COUNTA($AK$17:$BB$17)),MATCH($F730,$F$19:$F$24,0),MATCH(BA$17,$AK$17:$BB$17,0))*INDEX($10:$13,MATCH($O730,$R$10:$R$13,0),COLUMN())</f>
        <v>3.4916272906000002E-2</v>
      </c>
      <c r="BB730" s="1051" cm="1">
        <f t="array" aca="1" ref="BB730" ca="1">INDEX(OFFSET($AK$19,MATCH($B730,$B$19:$B$150,0)-1,0,COUNTA($B$19:$B$24),COUNTA($AK$17:$BB$17)),MATCH($F730,$F$19:$F$24,0),MATCH(BB$17,$AK$17:$BB$17,0))*INDEX($10:$13,MATCH($O730,$R$10:$R$13,0),COLUMN())</f>
        <v>5.5093348030000005E-4</v>
      </c>
      <c r="BC730" s="1053">
        <f t="shared" ca="1" si="196"/>
        <v>1.6338969555655949</v>
      </c>
      <c r="BE730" s="1"/>
      <c r="BF730" s="1"/>
      <c r="BG730" s="1"/>
      <c r="BH730" s="1"/>
      <c r="BI730" s="1"/>
      <c r="BJ730" s="1"/>
      <c r="BK730" s="1"/>
      <c r="BL730" s="1"/>
      <c r="BM730" s="1"/>
      <c r="BN730" s="1"/>
      <c r="BO730" s="1"/>
      <c r="BP730" s="1"/>
      <c r="BQ730" s="1"/>
      <c r="BR730" s="1"/>
      <c r="BS730" s="1"/>
      <c r="BT730" s="1"/>
      <c r="BU730" s="1"/>
      <c r="BV730" s="1"/>
      <c r="BW730" s="1"/>
      <c r="BX730" s="1"/>
      <c r="BY730" s="1"/>
      <c r="BZ730" s="1"/>
    </row>
    <row r="731" spans="2:78" ht="12" customHeight="1" outlineLevel="1" x14ac:dyDescent="0.25">
      <c r="B731" s="104" t="s">
        <v>104</v>
      </c>
      <c r="C731" s="104" t="s">
        <v>121</v>
      </c>
      <c r="D731" s="2" t="s">
        <v>137</v>
      </c>
      <c r="E731" s="2" t="s">
        <v>140</v>
      </c>
      <c r="F731" s="105" t="s">
        <v>93</v>
      </c>
      <c r="G731" s="27" t="s">
        <v>1578</v>
      </c>
      <c r="H731" s="106" t="s">
        <v>130</v>
      </c>
      <c r="I731" s="107" t="s">
        <v>129</v>
      </c>
      <c r="J731" s="147">
        <v>4.4622420200000006</v>
      </c>
      <c r="K731" s="148">
        <v>3.677795697780804</v>
      </c>
      <c r="L731" s="149">
        <f t="shared" ca="1" si="197"/>
        <v>0.83439615318037097</v>
      </c>
      <c r="M731" s="148">
        <f t="shared" ca="1" si="198"/>
        <v>6.7465342801924244</v>
      </c>
      <c r="N731" s="148">
        <f t="shared" ca="1" si="195"/>
        <v>3.0687385824116209</v>
      </c>
      <c r="O731" s="1062" t="s">
        <v>1586</v>
      </c>
      <c r="P731" s="104"/>
      <c r="R731" s="119"/>
      <c r="S731" s="1072"/>
      <c r="T731" s="1072"/>
      <c r="U731" s="1072"/>
      <c r="V731" s="1072"/>
      <c r="W731" s="1072"/>
      <c r="X731" s="1072"/>
      <c r="Y731" s="1072"/>
      <c r="Z731" s="1072"/>
      <c r="AA731" s="1072"/>
      <c r="AB731" s="1072"/>
      <c r="AC731" s="1072"/>
      <c r="AD731" s="1072"/>
      <c r="AE731" s="1072"/>
      <c r="AF731" s="1072"/>
      <c r="AG731" s="1072"/>
      <c r="AH731" s="1072"/>
      <c r="AI731" s="1072"/>
      <c r="AJ731" s="1073"/>
      <c r="AK731" s="1052" cm="1">
        <f t="array" aca="1" ref="AK731" ca="1">INDEX(OFFSET($AK$19,MATCH($B731,$B$19:$B$150,0)-1,0,COUNTA($B$19:$B$24),COUNTA($AK$17:$BB$17)),MATCH($F731,$F$19:$F$24,0),MATCH(AK$17,$AK$17:$BB$17,0))*INDEX($10:$13,MATCH($O731,$R$10:$R$13,0),COLUMN())</f>
        <v>0.1578262208</v>
      </c>
      <c r="AL731" s="1050" cm="1">
        <f t="array" aca="1" ref="AL731" ca="1">INDEX(OFFSET($AK$19,MATCH($B731,$B$19:$B$150,0)-1,0,COUNTA($B$19:$B$24),COUNTA($AK$17:$BB$17)),MATCH($F731,$F$19:$F$24,0),MATCH(AL$17,$AK$17:$BB$17,0))*INDEX($10:$13,MATCH($O731,$R$10:$R$13,0),COLUMN())</f>
        <v>1.7284151603999999E-7</v>
      </c>
      <c r="AM731" s="1050" cm="1">
        <f t="array" aca="1" ref="AM731" ca="1">INDEX(OFFSET($AK$19,MATCH($B731,$B$19:$B$150,0)-1,0,COUNTA($B$19:$B$24),COUNTA($AK$17:$BB$17)),MATCH($F731,$F$19:$F$24,0),MATCH(AM$17,$AK$17:$BB$17,0))*INDEX($10:$13,MATCH($O731,$R$10:$R$13,0),COLUMN())</f>
        <v>0</v>
      </c>
      <c r="AN731" s="1050" cm="1">
        <f t="array" aca="1" ref="AN731" ca="1">INDEX(OFFSET($AK$19,MATCH($B731,$B$19:$B$150,0)-1,0,COUNTA($B$19:$B$24),COUNTA($AK$17:$BB$17)),MATCH($F731,$F$19:$F$24,0),MATCH(AN$17,$AK$17:$BB$17,0))*INDEX($10:$13,MATCH($O731,$R$10:$R$13,0),COLUMN())</f>
        <v>6.410621850000001E-3</v>
      </c>
      <c r="AO731" s="1050" cm="1">
        <f t="array" aca="1" ref="AO731" ca="1">INDEX(OFFSET($AK$19,MATCH($B731,$B$19:$B$150,0)-1,0,COUNTA($B$19:$B$24),COUNTA($AK$17:$BB$17)),MATCH($F731,$F$19:$F$24,0),MATCH(AO$17,$AK$17:$BB$17,0))*INDEX($10:$13,MATCH($O731,$R$10:$R$13,0),COLUMN())</f>
        <v>4.4240933301369863E-2</v>
      </c>
      <c r="AP731" s="1050" cm="1">
        <f t="array" aca="1" ref="AP731" ca="1">INDEX(OFFSET($AK$19,MATCH($B731,$B$19:$B$150,0)-1,0,COUNTA($B$19:$B$24),COUNTA($AK$17:$BB$17)),MATCH($F731,$F$19:$F$24,0),MATCH(AP$17,$AK$17:$BB$17,0))*INDEX($10:$13,MATCH($O731,$R$10:$R$13,0),COLUMN())</f>
        <v>2.0778741648000001E-2</v>
      </c>
      <c r="AQ731" s="1050" cm="1">
        <f t="array" aca="1" ref="AQ731" ca="1">INDEX(OFFSET($AK$19,MATCH($B731,$B$19:$B$150,0)-1,0,COUNTA($B$19:$B$24),COUNTA($AK$17:$BB$17)),MATCH($F731,$F$19:$F$24,0),MATCH(AQ$17,$AK$17:$BB$17,0))*INDEX($10:$13,MATCH($O731,$R$10:$R$13,0),COLUMN())</f>
        <v>3.4940042400000003E-2</v>
      </c>
      <c r="AR731" s="1050" cm="1">
        <f t="array" aca="1" ref="AR731" ca="1">INDEX(OFFSET($AK$19,MATCH($B731,$B$19:$B$150,0)-1,0,COUNTA($B$19:$B$24),COUNTA($AK$17:$BB$17)),MATCH($F731,$F$19:$F$24,0),MATCH(AR$17,$AK$17:$BB$17,0))*INDEX($10:$13,MATCH($O731,$R$10:$R$13,0),COLUMN())</f>
        <v>0.56207075995999989</v>
      </c>
      <c r="AS731" s="1050" cm="1">
        <f t="array" aca="1" ref="AS731" ca="1">INDEX(OFFSET($AK$19,MATCH($B731,$B$19:$B$150,0)-1,0,COUNTA($B$19:$B$24),COUNTA($AK$17:$BB$17)),MATCH($F731,$F$19:$F$24,0),MATCH(AS$17,$AK$17:$BB$17,0))*INDEX($10:$13,MATCH($O731,$R$10:$R$13,0),COLUMN())</f>
        <v>1.2037074948999999E-3</v>
      </c>
      <c r="AT731" s="1050" cm="1">
        <f t="array" aca="1" ref="AT731" ca="1">INDEX(OFFSET($AK$19,MATCH($B731,$B$19:$B$150,0)-1,0,COUNTA($B$19:$B$24),COUNTA($AK$17:$BB$17)),MATCH($F731,$F$19:$F$24,0),MATCH(AT$17,$AK$17:$BB$17,0))*INDEX($10:$13,MATCH($O731,$R$10:$R$13,0),COLUMN())</f>
        <v>1.5364065176000001E-5</v>
      </c>
      <c r="AU731" s="1050" cm="1">
        <f t="array" aca="1" ref="AU731" ca="1">INDEX(OFFSET($AK$19,MATCH($B731,$B$19:$B$150,0)-1,0,COUNTA($B$19:$B$24),COUNTA($AK$17:$BB$17)),MATCH($F731,$F$19:$F$24,0),MATCH(AU$17,$AK$17:$BB$17,0))*INDEX($10:$13,MATCH($O731,$R$10:$R$13,0),COLUMN())</f>
        <v>3.1256094072000003E-6</v>
      </c>
      <c r="AV731" s="1050" cm="1">
        <f t="array" aca="1" ref="AV731" ca="1">INDEX(OFFSET($AK$19,MATCH($B731,$B$19:$B$150,0)-1,0,COUNTA($B$19:$B$24),COUNTA($AK$17:$BB$17)),MATCH($F731,$F$19:$F$24,0),MATCH(AV$17,$AK$17:$BB$17,0))*INDEX($10:$13,MATCH($O731,$R$10:$R$13,0),COLUMN())</f>
        <v>2.1121899322777901E-3</v>
      </c>
      <c r="AW731" s="1050" cm="1">
        <f t="array" aca="1" ref="AW731" ca="1">INDEX(OFFSET($AK$19,MATCH($B731,$B$19:$B$150,0)-1,0,COUNTA($B$19:$B$24),COUNTA($AK$17:$BB$17)),MATCH($F731,$F$19:$F$24,0),MATCH(AW$17,$AK$17:$BB$17,0))*INDEX($10:$13,MATCH($O731,$R$10:$R$13,0),COLUMN())</f>
        <v>2.1915959903000002</v>
      </c>
      <c r="AX731" s="1050" cm="1">
        <f t="array" aca="1" ref="AX731" ca="1">INDEX(OFFSET($AK$19,MATCH($B731,$B$19:$B$150,0)-1,0,COUNTA($B$19:$B$24),COUNTA($AK$17:$BB$17)),MATCH($F731,$F$19:$F$24,0),MATCH(AX$17,$AK$17:$BB$17,0))*INDEX($10:$13,MATCH($O731,$R$10:$R$13,0),COLUMN())</f>
        <v>5.2399378140000006E-7</v>
      </c>
      <c r="AY731" s="1050" cm="1">
        <f t="array" aca="1" ref="AY731" ca="1">INDEX(OFFSET($AK$19,MATCH($B731,$B$19:$B$150,0)-1,0,COUNTA($B$19:$B$24),COUNTA($AK$17:$BB$17)),MATCH($F731,$F$19:$F$24,0),MATCH(AY$17,$AK$17:$BB$17,0))*INDEX($10:$13,MATCH($O731,$R$10:$R$13,0),COLUMN())</f>
        <v>-3.3601586479999996E-10</v>
      </c>
      <c r="AZ731" s="1050" cm="1">
        <f t="array" aca="1" ref="AZ731" ca="1">INDEX(OFFSET($AK$19,MATCH($B731,$B$19:$B$150,0)-1,0,COUNTA($B$19:$B$24),COUNTA($AK$17:$BB$17)),MATCH($F731,$F$19:$F$24,0),MATCH(AZ$17,$AK$17:$BB$17,0))*INDEX($10:$13,MATCH($O731,$R$10:$R$13,0),COLUMN())</f>
        <v>1.8076544508196718E-5</v>
      </c>
      <c r="BA731" s="1050" cm="1">
        <f t="array" aca="1" ref="BA731" ca="1">INDEX(OFFSET($AK$19,MATCH($B731,$B$19:$B$150,0)-1,0,COUNTA($B$19:$B$24),COUNTA($AK$17:$BB$17)),MATCH($F731,$F$19:$F$24,0),MATCH(BA$17,$AK$17:$BB$17,0))*INDEX($10:$13,MATCH($O731,$R$10:$R$13,0),COLUMN())</f>
        <v>4.678335401E-2</v>
      </c>
      <c r="BB731" s="1051" cm="1">
        <f t="array" aca="1" ref="BB731" ca="1">INDEX(OFFSET($AK$19,MATCH($B731,$B$19:$B$150,0)-1,0,COUNTA($B$19:$B$24),COUNTA($AK$17:$BB$17)),MATCH($F731,$F$19:$F$24,0),MATCH(BB$17,$AK$17:$BB$17,0))*INDEX($10:$13,MATCH($O731,$R$10:$R$13,0),COLUMN())</f>
        <v>7.3875799670000003E-4</v>
      </c>
      <c r="BC731" s="1053">
        <f t="shared" ca="1" si="196"/>
        <v>2.1915965139577658</v>
      </c>
      <c r="BE731" s="1"/>
      <c r="BF731" s="1"/>
      <c r="BG731" s="1"/>
      <c r="BH731" s="1"/>
      <c r="BI731" s="1"/>
      <c r="BJ731" s="1"/>
      <c r="BK731" s="1"/>
      <c r="BL731" s="1"/>
      <c r="BM731" s="1"/>
      <c r="BN731" s="1"/>
      <c r="BO731" s="1"/>
      <c r="BP731" s="1"/>
      <c r="BQ731" s="1"/>
      <c r="BR731" s="1"/>
      <c r="BS731" s="1"/>
      <c r="BT731" s="1"/>
      <c r="BU731" s="1"/>
      <c r="BV731" s="1"/>
      <c r="BW731" s="1"/>
      <c r="BX731" s="1"/>
      <c r="BY731" s="1"/>
      <c r="BZ731" s="1"/>
    </row>
    <row r="732" spans="2:78" ht="12" customHeight="1" outlineLevel="1" x14ac:dyDescent="0.25">
      <c r="B732" s="104" t="s">
        <v>104</v>
      </c>
      <c r="C732" s="104" t="s">
        <v>121</v>
      </c>
      <c r="D732" s="2" t="s">
        <v>137</v>
      </c>
      <c r="E732" s="2" t="s">
        <v>140</v>
      </c>
      <c r="F732" s="105" t="s">
        <v>94</v>
      </c>
      <c r="G732" s="27" t="s">
        <v>1580</v>
      </c>
      <c r="H732" s="106" t="s">
        <v>131</v>
      </c>
      <c r="I732" s="107" t="s">
        <v>129</v>
      </c>
      <c r="J732" s="147">
        <v>4.4622420200000006</v>
      </c>
      <c r="K732" s="148">
        <v>3.677795697780804</v>
      </c>
      <c r="L732" s="149">
        <f t="shared" ca="1" si="197"/>
        <v>0.49575992813480019</v>
      </c>
      <c r="M732" s="148">
        <f t="shared" ca="1" si="198"/>
        <v>5.5010994286070929</v>
      </c>
      <c r="N732" s="148">
        <f t="shared" ca="1" si="195"/>
        <v>1.8233037308262887</v>
      </c>
      <c r="O732" s="1062" t="s">
        <v>1586</v>
      </c>
      <c r="P732" s="104"/>
      <c r="R732" s="119"/>
      <c r="S732" s="1072"/>
      <c r="T732" s="1072"/>
      <c r="U732" s="1072"/>
      <c r="V732" s="1072"/>
      <c r="W732" s="1072"/>
      <c r="X732" s="1072"/>
      <c r="Y732" s="1072"/>
      <c r="Z732" s="1072"/>
      <c r="AA732" s="1072"/>
      <c r="AB732" s="1072"/>
      <c r="AC732" s="1072"/>
      <c r="AD732" s="1072"/>
      <c r="AE732" s="1072"/>
      <c r="AF732" s="1072"/>
      <c r="AG732" s="1072"/>
      <c r="AH732" s="1072"/>
      <c r="AI732" s="1072"/>
      <c r="AJ732" s="1073"/>
      <c r="AK732" s="1052" cm="1">
        <f t="array" aca="1" ref="AK732" ca="1">INDEX(OFFSET($AK$19,MATCH($B732,$B$19:$B$150,0)-1,0,COUNTA($B$19:$B$24),COUNTA($AK$17:$BB$17)),MATCH($F732,$F$19:$F$24,0),MATCH(AK$17,$AK$17:$BB$17,0))*INDEX($10:$13,MATCH($O732,$R$10:$R$13,0),COLUMN())</f>
        <v>9.3833705520000005E-2</v>
      </c>
      <c r="AL732" s="1050" cm="1">
        <f t="array" aca="1" ref="AL732" ca="1">INDEX(OFFSET($AK$19,MATCH($B732,$B$19:$B$150,0)-1,0,COUNTA($B$19:$B$24),COUNTA($AK$17:$BB$17)),MATCH($F732,$F$19:$F$24,0),MATCH(AL$17,$AK$17:$BB$17,0))*INDEX($10:$13,MATCH($O732,$R$10:$R$13,0),COLUMN())</f>
        <v>1.0283107806000001E-7</v>
      </c>
      <c r="AM732" s="1050" cm="1">
        <f t="array" aca="1" ref="AM732" ca="1">INDEX(OFFSET($AK$19,MATCH($B732,$B$19:$B$150,0)-1,0,COUNTA($B$19:$B$24),COUNTA($AK$17:$BB$17)),MATCH($F732,$F$19:$F$24,0),MATCH(AM$17,$AK$17:$BB$17,0))*INDEX($10:$13,MATCH($O732,$R$10:$R$13,0),COLUMN())</f>
        <v>0</v>
      </c>
      <c r="AN732" s="1050" cm="1">
        <f t="array" aca="1" ref="AN732" ca="1">INDEX(OFFSET($AK$19,MATCH($B732,$B$19:$B$150,0)-1,0,COUNTA($B$19:$B$24),COUNTA($AK$17:$BB$17)),MATCH($F732,$F$19:$F$24,0),MATCH(AN$17,$AK$17:$BB$17,0))*INDEX($10:$13,MATCH($O732,$R$10:$R$13,0),COLUMN())</f>
        <v>3.8159326920000004E-3</v>
      </c>
      <c r="AO732" s="1050" cm="1">
        <f t="array" aca="1" ref="AO732" ca="1">INDEX(OFFSET($AK$19,MATCH($B732,$B$19:$B$150,0)-1,0,COUNTA($B$19:$B$24),COUNTA($AK$17:$BB$17)),MATCH($F732,$F$19:$F$24,0),MATCH(AO$17,$AK$17:$BB$17,0))*INDEX($10:$13,MATCH($O732,$R$10:$R$13,0),COLUMN())</f>
        <v>2.6312739139726024E-2</v>
      </c>
      <c r="AP732" s="1050" cm="1">
        <f t="array" aca="1" ref="AP732" ca="1">INDEX(OFFSET($AK$19,MATCH($B732,$B$19:$B$150,0)-1,0,COUNTA($B$19:$B$24),COUNTA($AK$17:$BB$17)),MATCH($F732,$F$19:$F$24,0),MATCH(AP$17,$AK$17:$BB$17,0))*INDEX($10:$13,MATCH($O732,$R$10:$R$13,0),COLUMN())</f>
        <v>1.2352645871999999E-2</v>
      </c>
      <c r="AQ732" s="1050" cm="1">
        <f t="array" aca="1" ref="AQ732" ca="1">INDEX(OFFSET($AK$19,MATCH($B732,$B$19:$B$150,0)-1,0,COUNTA($B$19:$B$24),COUNTA($AK$17:$BB$17)),MATCH($F732,$F$19:$F$24,0),MATCH(AQ$17,$AK$17:$BB$17,0))*INDEX($10:$13,MATCH($O732,$R$10:$R$13,0),COLUMN())</f>
        <v>2.0761643520000001E-2</v>
      </c>
      <c r="AR732" s="1050" cm="1">
        <f t="array" aca="1" ref="AR732" ca="1">INDEX(OFFSET($AK$19,MATCH($B732,$B$19:$B$150,0)-1,0,COUNTA($B$19:$B$24),COUNTA($AK$17:$BB$17)),MATCH($F732,$F$19:$F$24,0),MATCH(AR$17,$AK$17:$BB$17,0))*INDEX($10:$13,MATCH($O732,$R$10:$R$13,0),COLUMN())</f>
        <v>0.33398837235999995</v>
      </c>
      <c r="AS732" s="1050" cm="1">
        <f t="array" aca="1" ref="AS732" ca="1">INDEX(OFFSET($AK$19,MATCH($B732,$B$19:$B$150,0)-1,0,COUNTA($B$19:$B$24),COUNTA($AK$17:$BB$17)),MATCH($F732,$F$19:$F$24,0),MATCH(AS$17,$AK$17:$BB$17,0))*INDEX($10:$13,MATCH($O732,$R$10:$R$13,0),COLUMN())</f>
        <v>5.4552737958E-4</v>
      </c>
      <c r="AT732" s="1050" cm="1">
        <f t="array" aca="1" ref="AT732" ca="1">INDEX(OFFSET($AK$19,MATCH($B732,$B$19:$B$150,0)-1,0,COUNTA($B$19:$B$24),COUNTA($AK$17:$BB$17)),MATCH($F732,$F$19:$F$24,0),MATCH(AT$17,$AK$17:$BB$17,0))*INDEX($10:$13,MATCH($O732,$R$10:$R$13,0),COLUMN())</f>
        <v>9.0673829940000006E-6</v>
      </c>
      <c r="AU732" s="1050" cm="1">
        <f t="array" aca="1" ref="AU732" ca="1">INDEX(OFFSET($AK$19,MATCH($B732,$B$19:$B$150,0)-1,0,COUNTA($B$19:$B$24),COUNTA($AK$17:$BB$17)),MATCH($F732,$F$19:$F$24,0),MATCH(AU$17,$AK$17:$BB$17,0))*INDEX($10:$13,MATCH($O732,$R$10:$R$13,0),COLUMN())</f>
        <v>1.8511847627999999E-6</v>
      </c>
      <c r="AV732" s="1050" cm="1">
        <f t="array" aca="1" ref="AV732" ca="1">INDEX(OFFSET($AK$19,MATCH($B732,$B$19:$B$150,0)-1,0,COUNTA($B$19:$B$24),COUNTA($AK$17:$BB$17)),MATCH($F732,$F$19:$F$24,0),MATCH(AV$17,$AK$17:$BB$17,0))*INDEX($10:$13,MATCH($O732,$R$10:$R$13,0),COLUMN())</f>
        <v>1.1413065489259513E-3</v>
      </c>
      <c r="AW732" s="1050" cm="1">
        <f t="array" aca="1" ref="AW732" ca="1">INDEX(OFFSET($AK$19,MATCH($B732,$B$19:$B$150,0)-1,0,COUNTA($B$19:$B$24),COUNTA($AK$17:$BB$17)),MATCH($F732,$F$19:$F$24,0),MATCH(AW$17,$AK$17:$BB$17,0))*INDEX($10:$13,MATCH($O732,$R$10:$R$13,0),COLUMN())</f>
        <v>1.3022429806000002</v>
      </c>
      <c r="AX732" s="1050" cm="1">
        <f t="array" aca="1" ref="AX732" ca="1">INDEX(OFFSET($AK$19,MATCH($B732,$B$19:$B$150,0)-1,0,COUNTA($B$19:$B$24),COUNTA($AK$17:$BB$17)),MATCH($F732,$F$19:$F$24,0),MATCH(AX$17,$AK$17:$BB$17,0))*INDEX($10:$13,MATCH($O732,$R$10:$R$13,0),COLUMN())</f>
        <v>3.119556343E-7</v>
      </c>
      <c r="AY732" s="1050" cm="1">
        <f t="array" aca="1" ref="AY732" ca="1">INDEX(OFFSET($AK$19,MATCH($B732,$B$19:$B$150,0)-1,0,COUNTA($B$19:$B$24),COUNTA($AK$17:$BB$17)),MATCH($F732,$F$19:$F$24,0),MATCH(AY$17,$AK$17:$BB$17,0))*INDEX($10:$13,MATCH($O732,$R$10:$R$13,0),COLUMN())</f>
        <v>-2.0004443352000002E-10</v>
      </c>
      <c r="AZ732" s="1050" cm="1">
        <f t="array" aca="1" ref="AZ732" ca="1">INDEX(OFFSET($AK$19,MATCH($B732,$B$19:$B$150,0)-1,0,COUNTA($B$19:$B$24),COUNTA($AK$17:$BB$17)),MATCH($F732,$F$19:$F$24,0),MATCH(AZ$17,$AK$17:$BB$17,0))*INDEX($10:$13,MATCH($O732,$R$10:$R$13,0),COLUMN())</f>
        <v>1.0752802531615923E-5</v>
      </c>
      <c r="BA732" s="1050" cm="1">
        <f t="array" aca="1" ref="BA732" ca="1">INDEX(OFFSET($AK$19,MATCH($B732,$B$19:$B$150,0)-1,0,COUNTA($B$19:$B$24),COUNTA($AK$17:$BB$17)),MATCH($F732,$F$19:$F$24,0),MATCH(BA$17,$AK$17:$BB$17,0))*INDEX($10:$13,MATCH($O732,$R$10:$R$13,0),COLUMN())</f>
        <v>2.7847604752000002E-2</v>
      </c>
      <c r="BB732" s="1051" cm="1">
        <f t="array" aca="1" ref="BB732" ca="1">INDEX(OFFSET($AK$19,MATCH($B732,$B$19:$B$150,0)-1,0,COUNTA($B$19:$B$24),COUNTA($AK$17:$BB$17)),MATCH($F732,$F$19:$F$24,0),MATCH(BB$17,$AK$17:$BB$17,0))*INDEX($10:$13,MATCH($O732,$R$10:$R$13,0),COLUMN())</f>
        <v>4.3918648510000004E-4</v>
      </c>
      <c r="BC732" s="1053">
        <f t="shared" ca="1" si="196"/>
        <v>1.30224329235559</v>
      </c>
      <c r="BE732" s="1"/>
      <c r="BF732" s="1"/>
      <c r="BG732" s="1"/>
      <c r="BH732" s="1"/>
      <c r="BI732" s="1"/>
      <c r="BJ732" s="1"/>
      <c r="BK732" s="1"/>
      <c r="BL732" s="1"/>
      <c r="BM732" s="1"/>
      <c r="BN732" s="1"/>
      <c r="BO732" s="1"/>
      <c r="BP732" s="1"/>
      <c r="BQ732" s="1"/>
      <c r="BR732" s="1"/>
      <c r="BS732" s="1"/>
      <c r="BT732" s="1"/>
      <c r="BU732" s="1"/>
      <c r="BV732" s="1"/>
      <c r="BW732" s="1"/>
      <c r="BX732" s="1"/>
      <c r="BY732" s="1"/>
      <c r="BZ732" s="1"/>
    </row>
    <row r="733" spans="2:78" ht="12" customHeight="1" outlineLevel="1" x14ac:dyDescent="0.25">
      <c r="B733" s="104" t="s">
        <v>104</v>
      </c>
      <c r="C733" s="104" t="s">
        <v>121</v>
      </c>
      <c r="D733" s="2" t="s">
        <v>137</v>
      </c>
      <c r="E733" s="2" t="s">
        <v>140</v>
      </c>
      <c r="F733" s="105" t="s">
        <v>95</v>
      </c>
      <c r="G733" s="27" t="s">
        <v>1581</v>
      </c>
      <c r="H733" s="106" t="s">
        <v>128</v>
      </c>
      <c r="I733" s="107" t="s">
        <v>127</v>
      </c>
      <c r="J733" s="147">
        <v>4.4622420200000006</v>
      </c>
      <c r="K733" s="148">
        <v>3.677795697780804</v>
      </c>
      <c r="L733" s="149">
        <f t="shared" ca="1" si="197"/>
        <v>0.76103605696953602</v>
      </c>
      <c r="M733" s="148">
        <f t="shared" ca="1" si="198"/>
        <v>6.4767308339594303</v>
      </c>
      <c r="N733" s="148">
        <f t="shared" ref="N733:N796" ca="1" si="199">SUMIFS($S733:$BB733,$S$14:$BB$14,$D$13)</f>
        <v>2.7989351361786263</v>
      </c>
      <c r="O733" s="1062" t="s">
        <v>1586</v>
      </c>
      <c r="P733" s="104"/>
      <c r="R733" s="119"/>
      <c r="S733" s="1072"/>
      <c r="T733" s="1072"/>
      <c r="U733" s="1072"/>
      <c r="V733" s="1072"/>
      <c r="W733" s="1072"/>
      <c r="X733" s="1072"/>
      <c r="Y733" s="1072"/>
      <c r="Z733" s="1072"/>
      <c r="AA733" s="1072"/>
      <c r="AB733" s="1072"/>
      <c r="AC733" s="1072"/>
      <c r="AD733" s="1072"/>
      <c r="AE733" s="1072"/>
      <c r="AF733" s="1072"/>
      <c r="AG733" s="1072"/>
      <c r="AH733" s="1072"/>
      <c r="AI733" s="1072"/>
      <c r="AJ733" s="1073"/>
      <c r="AK733" s="1052" cm="1">
        <f t="array" aca="1" ref="AK733" ca="1">INDEX(OFFSET($AK$19,MATCH($B733,$B$19:$B$150,0)-1,0,COUNTA($B$19:$B$24),COUNTA($AK$17:$BB$17)),MATCH($F733,$F$19:$F$24,0),MATCH(AK$17,$AK$17:$BB$17,0))*INDEX($10:$13,MATCH($O733,$R$10:$R$13,0),COLUMN())</f>
        <v>0.13397654376000001</v>
      </c>
      <c r="AL733" s="1050" cm="1">
        <f t="array" aca="1" ref="AL733" ca="1">INDEX(OFFSET($AK$19,MATCH($B733,$B$19:$B$150,0)-1,0,COUNTA($B$19:$B$24),COUNTA($AK$17:$BB$17)),MATCH($F733,$F$19:$F$24,0),MATCH(AL$17,$AK$17:$BB$17,0))*INDEX($10:$13,MATCH($O733,$R$10:$R$13,0),COLUMN())</f>
        <v>1.3009571754E-7</v>
      </c>
      <c r="AM733" s="1050" cm="1">
        <f t="array" aca="1" ref="AM733" ca="1">INDEX(OFFSET($AK$19,MATCH($B733,$B$19:$B$150,0)-1,0,COUNTA($B$19:$B$24),COUNTA($AK$17:$BB$17)),MATCH($F733,$F$19:$F$24,0),MATCH(AM$17,$AK$17:$BB$17,0))*INDEX($10:$13,MATCH($O733,$R$10:$R$13,0),COLUMN())</f>
        <v>0</v>
      </c>
      <c r="AN733" s="1050" cm="1">
        <f t="array" aca="1" ref="AN733" ca="1">INDEX(OFFSET($AK$19,MATCH($B733,$B$19:$B$150,0)-1,0,COUNTA($B$19:$B$24),COUNTA($AK$17:$BB$17)),MATCH($F733,$F$19:$F$24,0),MATCH(AN$17,$AK$17:$BB$17,0))*INDEX($10:$13,MATCH($O733,$R$10:$R$13,0),COLUMN())</f>
        <v>5.1939672780000005E-3</v>
      </c>
      <c r="AO733" s="1050" cm="1">
        <f t="array" aca="1" ref="AO733" ca="1">INDEX(OFFSET($AK$19,MATCH($B733,$B$19:$B$150,0)-1,0,COUNTA($B$19:$B$24),COUNTA($AK$17:$BB$17)),MATCH($F733,$F$19:$F$24,0),MATCH(AO$17,$AK$17:$BB$17,0))*INDEX($10:$13,MATCH($O733,$R$10:$R$13,0),COLUMN())</f>
        <v>8.228771868493151E-2</v>
      </c>
      <c r="AP733" s="1050" cm="1">
        <f t="array" aca="1" ref="AP733" ca="1">INDEX(OFFSET($AK$19,MATCH($B733,$B$19:$B$150,0)-1,0,COUNTA($B$19:$B$24),COUNTA($AK$17:$BB$17)),MATCH($F733,$F$19:$F$24,0),MATCH(AP$17,$AK$17:$BB$17,0))*INDEX($10:$13,MATCH($O733,$R$10:$R$13,0),COLUMN())</f>
        <v>5.478860352E-2</v>
      </c>
      <c r="AQ733" s="1050" cm="1">
        <f t="array" aca="1" ref="AQ733" ca="1">INDEX(OFFSET($AK$19,MATCH($B733,$B$19:$B$150,0)-1,0,COUNTA($B$19:$B$24),COUNTA($AK$17:$BB$17)),MATCH($F733,$F$19:$F$24,0),MATCH(AQ$17,$AK$17:$BB$17,0))*INDEX($10:$13,MATCH($O733,$R$10:$R$13,0),COLUMN())</f>
        <v>0.10322704256</v>
      </c>
      <c r="AR733" s="1050" cm="1">
        <f t="array" aca="1" ref="AR733" ca="1">INDEX(OFFSET($AK$19,MATCH($B733,$B$19:$B$150,0)-1,0,COUNTA($B$19:$B$24),COUNTA($AK$17:$BB$17)),MATCH($F733,$F$19:$F$24,0),MATCH(AR$17,$AK$17:$BB$17,0))*INDEX($10:$13,MATCH($O733,$R$10:$R$13,0),COLUMN())</f>
        <v>0.7345674257999999</v>
      </c>
      <c r="AS733" s="1050" cm="1">
        <f t="array" aca="1" ref="AS733" ca="1">INDEX(OFFSET($AK$19,MATCH($B733,$B$19:$B$150,0)-1,0,COUNTA($B$19:$B$24),COUNTA($AK$17:$BB$17)),MATCH($F733,$F$19:$F$24,0),MATCH(AS$17,$AK$17:$BB$17,0))*INDEX($10:$13,MATCH($O733,$R$10:$R$13,0),COLUMN())</f>
        <v>6.9400697338999999E-3</v>
      </c>
      <c r="AT733" s="1050" cm="1">
        <f t="array" aca="1" ref="AT733" ca="1">INDEX(OFFSET($AK$19,MATCH($B733,$B$19:$B$150,0)-1,0,COUNTA($B$19:$B$24),COUNTA($AK$17:$BB$17)),MATCH($F733,$F$19:$F$24,0),MATCH(AT$17,$AK$17:$BB$17,0))*INDEX($10:$13,MATCH($O733,$R$10:$R$13,0),COLUMN())</f>
        <v>1.5904916976E-5</v>
      </c>
      <c r="AU733" s="1050" cm="1">
        <f t="array" aca="1" ref="AU733" ca="1">INDEX(OFFSET($AK$19,MATCH($B733,$B$19:$B$150,0)-1,0,COUNTA($B$19:$B$24),COUNTA($AK$17:$BB$17)),MATCH($F733,$F$19:$F$24,0),MATCH(AU$17,$AK$17:$BB$17,0))*INDEX($10:$13,MATCH($O733,$R$10:$R$13,0),COLUMN())</f>
        <v>3.011746368E-6</v>
      </c>
      <c r="AV733" s="1050" cm="1">
        <f t="array" aca="1" ref="AV733" ca="1">INDEX(OFFSET($AK$19,MATCH($B733,$B$19:$B$150,0)-1,0,COUNTA($B$19:$B$24),COUNTA($AK$17:$BB$17)),MATCH($F733,$F$19:$F$24,0),MATCH(AV$17,$AK$17:$BB$17,0))*INDEX($10:$13,MATCH($O733,$R$10:$R$13,0),COLUMN())</f>
        <v>6.100786220983776E-3</v>
      </c>
      <c r="AW733" s="1050" cm="1">
        <f t="array" aca="1" ref="AW733" ca="1">INDEX(OFFSET($AK$19,MATCH($B733,$B$19:$B$150,0)-1,0,COUNTA($B$19:$B$24),COUNTA($AK$17:$BB$17)),MATCH($F733,$F$19:$F$24,0),MATCH(AW$17,$AK$17:$BB$17,0))*INDEX($10:$13,MATCH($O733,$R$10:$R$13,0),COLUMN())</f>
        <v>1.6338965647000001</v>
      </c>
      <c r="AX733" s="1050" cm="1">
        <f t="array" aca="1" ref="AX733" ca="1">INDEX(OFFSET($AK$19,MATCH($B733,$B$19:$B$150,0)-1,0,COUNTA($B$19:$B$24),COUNTA($AK$17:$BB$17)),MATCH($F733,$F$19:$F$24,0),MATCH(AX$17,$AK$17:$BB$17,0))*INDEX($10:$13,MATCH($O733,$R$10:$R$13,0),COLUMN())</f>
        <v>3.9111640170000004E-7</v>
      </c>
      <c r="AY733" s="1050" cm="1">
        <f t="array" aca="1" ref="AY733" ca="1">INDEX(OFFSET($AK$19,MATCH($B733,$B$19:$B$150,0)-1,0,COUNTA($B$19:$B$24),COUNTA($AK$17:$BB$17)),MATCH($F733,$F$19:$F$24,0),MATCH(AY$17,$AK$17:$BB$17,0))*INDEX($10:$13,MATCH($O733,$R$10:$R$13,0),COLUMN())</f>
        <v>-2.5080700730000002E-10</v>
      </c>
      <c r="AZ733" s="1050" cm="1">
        <f t="array" aca="1" ref="AZ733" ca="1">INDEX(OFFSET($AK$19,MATCH($B733,$B$19:$B$150,0)-1,0,COUNTA($B$19:$B$24),COUNTA($AK$17:$BB$17)),MATCH($F733,$F$19:$F$24,0),MATCH(AZ$17,$AK$17:$BB$17,0))*INDEX($10:$13,MATCH($O733,$R$10:$R$13,0),COLUMN())</f>
        <v>1.3507322555035127E-5</v>
      </c>
      <c r="BA733" s="1050" cm="1">
        <f t="array" aca="1" ref="BA733" ca="1">INDEX(OFFSET($AK$19,MATCH($B733,$B$19:$B$150,0)-1,0,COUNTA($B$19:$B$24),COUNTA($AK$17:$BB$17)),MATCH($F733,$F$19:$F$24,0),MATCH(BA$17,$AK$17:$BB$17,0))*INDEX($10:$13,MATCH($O733,$R$10:$R$13,0),COLUMN())</f>
        <v>3.7370528271E-2</v>
      </c>
      <c r="BB733" s="1051" cm="1">
        <f t="array" aca="1" ref="BB733" ca="1">INDEX(OFFSET($AK$19,MATCH($B733,$B$19:$B$150,0)-1,0,COUNTA($B$19:$B$24),COUNTA($AK$17:$BB$17)),MATCH($F733,$F$19:$F$24,0),MATCH(BB$17,$AK$17:$BB$17,0))*INDEX($10:$13,MATCH($O733,$R$10:$R$13,0),COLUMN())</f>
        <v>5.5294070260000002E-4</v>
      </c>
      <c r="BC733" s="1053">
        <f t="shared" ca="1" si="196"/>
        <v>1.6338969555655949</v>
      </c>
      <c r="BE733" s="1"/>
      <c r="BF733" s="1"/>
      <c r="BG733" s="1"/>
      <c r="BH733" s="1"/>
      <c r="BI733" s="1"/>
      <c r="BJ733" s="1"/>
      <c r="BK733" s="1"/>
      <c r="BL733" s="1"/>
      <c r="BM733" s="1"/>
      <c r="BN733" s="1"/>
      <c r="BO733" s="1"/>
      <c r="BP733" s="1"/>
      <c r="BQ733" s="1"/>
      <c r="BR733" s="1"/>
      <c r="BS733" s="1"/>
      <c r="BT733" s="1"/>
      <c r="BU733" s="1"/>
      <c r="BV733" s="1"/>
      <c r="BW733" s="1"/>
      <c r="BX733" s="1"/>
      <c r="BY733" s="1"/>
      <c r="BZ733" s="1"/>
    </row>
    <row r="734" spans="2:78" ht="12" customHeight="1" outlineLevel="1" x14ac:dyDescent="0.25">
      <c r="B734" s="104" t="s">
        <v>104</v>
      </c>
      <c r="C734" s="104" t="s">
        <v>121</v>
      </c>
      <c r="D734" s="2" t="s">
        <v>137</v>
      </c>
      <c r="E734" s="2" t="s">
        <v>140</v>
      </c>
      <c r="F734" s="105" t="s">
        <v>96</v>
      </c>
      <c r="G734" s="27" t="s">
        <v>1582</v>
      </c>
      <c r="H734" s="106" t="s">
        <v>128</v>
      </c>
      <c r="I734" s="107" t="s">
        <v>1577</v>
      </c>
      <c r="J734" s="147">
        <v>4.4622420200000006</v>
      </c>
      <c r="K734" s="148">
        <v>3.677795697780804</v>
      </c>
      <c r="L734" s="149">
        <f t="shared" ca="1" si="197"/>
        <v>0.86185609520094819</v>
      </c>
      <c r="M734" s="148">
        <f t="shared" ca="1" si="198"/>
        <v>6.8475263368170136</v>
      </c>
      <c r="N734" s="148">
        <f t="shared" ca="1" si="199"/>
        <v>3.1697306390362101</v>
      </c>
      <c r="O734" s="1062" t="s">
        <v>1586</v>
      </c>
      <c r="P734" s="104"/>
      <c r="R734" s="119"/>
      <c r="S734" s="1072"/>
      <c r="T734" s="1072"/>
      <c r="U734" s="1072"/>
      <c r="V734" s="1072"/>
      <c r="W734" s="1072"/>
      <c r="X734" s="1072"/>
      <c r="Y734" s="1072"/>
      <c r="Z734" s="1072"/>
      <c r="AA734" s="1072"/>
      <c r="AB734" s="1072"/>
      <c r="AC734" s="1072"/>
      <c r="AD734" s="1072"/>
      <c r="AE734" s="1072"/>
      <c r="AF734" s="1072"/>
      <c r="AG734" s="1072"/>
      <c r="AH734" s="1072"/>
      <c r="AI734" s="1072"/>
      <c r="AJ734" s="1073"/>
      <c r="AK734" s="1052" cm="1">
        <f t="array" aca="1" ref="AK734" ca="1">INDEX(OFFSET($AK$19,MATCH($B734,$B$19:$B$150,0)-1,0,COUNTA($B$19:$B$24),COUNTA($AK$17:$BB$17)),MATCH($F734,$F$19:$F$24,0),MATCH(AK$17,$AK$17:$BB$17,0))*INDEX($10:$13,MATCH($O734,$R$10:$R$13,0),COLUMN())</f>
        <v>0.14563779071999999</v>
      </c>
      <c r="AL734" s="1050" cm="1">
        <f t="array" aca="1" ref="AL734" ca="1">INDEX(OFFSET($AK$19,MATCH($B734,$B$19:$B$150,0)-1,0,COUNTA($B$19:$B$24),COUNTA($AK$17:$BB$17)),MATCH($F734,$F$19:$F$24,0),MATCH(AL$17,$AK$17:$BB$17,0))*INDEX($10:$13,MATCH($O734,$R$10:$R$13,0),COLUMN())</f>
        <v>1.3083815532E-7</v>
      </c>
      <c r="AM734" s="1050" cm="1">
        <f t="array" aca="1" ref="AM734" ca="1">INDEX(OFFSET($AK$19,MATCH($B734,$B$19:$B$150,0)-1,0,COUNTA($B$19:$B$24),COUNTA($AK$17:$BB$17)),MATCH($F734,$F$19:$F$24,0),MATCH(AM$17,$AK$17:$BB$17,0))*INDEX($10:$13,MATCH($O734,$R$10:$R$13,0),COLUMN())</f>
        <v>0</v>
      </c>
      <c r="AN734" s="1050" cm="1">
        <f t="array" aca="1" ref="AN734" ca="1">INDEX(OFFSET($AK$19,MATCH($B734,$B$19:$B$150,0)-1,0,COUNTA($B$19:$B$24),COUNTA($AK$17:$BB$17)),MATCH($F734,$F$19:$F$24,0),MATCH(AN$17,$AK$17:$BB$17,0))*INDEX($10:$13,MATCH($O734,$R$10:$R$13,0),COLUMN())</f>
        <v>5.4611733600000009E-3</v>
      </c>
      <c r="AO734" s="1050" cm="1">
        <f t="array" aca="1" ref="AO734" ca="1">INDEX(OFFSET($AK$19,MATCH($B734,$B$19:$B$150,0)-1,0,COUNTA($B$19:$B$24),COUNTA($AK$17:$BB$17)),MATCH($F734,$F$19:$F$24,0),MATCH(AO$17,$AK$17:$BB$17,0))*INDEX($10:$13,MATCH($O734,$R$10:$R$13,0),COLUMN())</f>
        <v>0.11811941026027396</v>
      </c>
      <c r="AP734" s="1050" cm="1">
        <f t="array" aca="1" ref="AP734" ca="1">INDEX(OFFSET($AK$19,MATCH($B734,$B$19:$B$150,0)-1,0,COUNTA($B$19:$B$24),COUNTA($AK$17:$BB$17)),MATCH($F734,$F$19:$F$24,0),MATCH(AP$17,$AK$17:$BB$17,0))*INDEX($10:$13,MATCH($O734,$R$10:$R$13,0),COLUMN())</f>
        <v>8.3412950880000003E-2</v>
      </c>
      <c r="AQ734" s="1050" cm="1">
        <f t="array" aca="1" ref="AQ734" ca="1">INDEX(OFFSET($AK$19,MATCH($B734,$B$19:$B$150,0)-1,0,COUNTA($B$19:$B$24),COUNTA($AK$17:$BB$17)),MATCH($F734,$F$19:$F$24,0),MATCH(AQ$17,$AK$17:$BB$17,0))*INDEX($10:$13,MATCH($O734,$R$10:$R$13,0),COLUMN())</f>
        <v>0.15819161967999998</v>
      </c>
      <c r="AR734" s="1050" cm="1">
        <f t="array" aca="1" ref="AR734" ca="1">INDEX(OFFSET($AK$19,MATCH($B734,$B$19:$B$150,0)-1,0,COUNTA($B$19:$B$24),COUNTA($AK$17:$BB$17)),MATCH($F734,$F$19:$F$24,0),MATCH(AR$17,$AK$17:$BB$17,0))*INDEX($10:$13,MATCH($O734,$R$10:$R$13,0),COLUMN())</f>
        <v>0.96460678119999987</v>
      </c>
      <c r="AS734" s="1050" cm="1">
        <f t="array" aca="1" ref="AS734" ca="1">INDEX(OFFSET($AK$19,MATCH($B734,$B$19:$B$150,0)-1,0,COUNTA($B$19:$B$24),COUNTA($AK$17:$BB$17)),MATCH($F734,$F$19:$F$24,0),MATCH(AS$17,$AK$17:$BB$17,0))*INDEX($10:$13,MATCH($O734,$R$10:$R$13,0),COLUMN())</f>
        <v>1.1204361878999999E-2</v>
      </c>
      <c r="AT734" s="1050" cm="1">
        <f t="array" aca="1" ref="AT734" ca="1">INDEX(OFFSET($AK$19,MATCH($B734,$B$19:$B$150,0)-1,0,COUNTA($B$19:$B$24),COUNTA($AK$17:$BB$17)),MATCH($F734,$F$19:$F$24,0),MATCH(AT$17,$AK$17:$BB$17,0))*INDEX($10:$13,MATCH($O734,$R$10:$R$13,0),COLUMN())</f>
        <v>1.7820553107999999E-5</v>
      </c>
      <c r="AU734" s="1050" cm="1">
        <f t="array" aca="1" ref="AU734" ca="1">INDEX(OFFSET($AK$19,MATCH($B734,$B$19:$B$150,0)-1,0,COUNTA($B$19:$B$24),COUNTA($AK$17:$BB$17)),MATCH($F734,$F$19:$F$24,0),MATCH(AU$17,$AK$17:$BB$17,0))*INDEX($10:$13,MATCH($O734,$R$10:$R$13,0),COLUMN())</f>
        <v>3.2852413410000003E-6</v>
      </c>
      <c r="AV734" s="1050" cm="1">
        <f t="array" aca="1" ref="AV734" ca="1">INDEX(OFFSET($AK$19,MATCH($B734,$B$19:$B$150,0)-1,0,COUNTA($B$19:$B$24),COUNTA($AK$17:$BB$17)),MATCH($F734,$F$19:$F$24,0),MATCH(AV$17,$AK$17:$BB$17,0))*INDEX($10:$13,MATCH($O734,$R$10:$R$13,0),COLUMN())</f>
        <v>9.6383726350004334E-3</v>
      </c>
      <c r="AW734" s="1050" cm="1">
        <f t="array" aca="1" ref="AW734" ca="1">INDEX(OFFSET($AK$19,MATCH($B734,$B$19:$B$150,0)-1,0,COUNTA($B$19:$B$24),COUNTA($AK$17:$BB$17)),MATCH($F734,$F$19:$F$24,0),MATCH(AW$17,$AK$17:$BB$17,0))*INDEX($10:$13,MATCH($O734,$R$10:$R$13,0),COLUMN())</f>
        <v>1.6338965647000001</v>
      </c>
      <c r="AX734" s="1050" cm="1">
        <f t="array" aca="1" ref="AX734" ca="1">INDEX(OFFSET($AK$19,MATCH($B734,$B$19:$B$150,0)-1,0,COUNTA($B$19:$B$24),COUNTA($AK$17:$BB$17)),MATCH($F734,$F$19:$F$24,0),MATCH(AX$17,$AK$17:$BB$17,0))*INDEX($10:$13,MATCH($O734,$R$10:$R$13,0),COLUMN())</f>
        <v>3.9111640170000004E-7</v>
      </c>
      <c r="AY734" s="1050" cm="1">
        <f t="array" aca="1" ref="AY734" ca="1">INDEX(OFFSET($AK$19,MATCH($B734,$B$19:$B$150,0)-1,0,COUNTA($B$19:$B$24),COUNTA($AK$17:$BB$17)),MATCH($F734,$F$19:$F$24,0),MATCH(AY$17,$AK$17:$BB$17,0))*INDEX($10:$13,MATCH($O734,$R$10:$R$13,0),COLUMN())</f>
        <v>-2.5080700730000002E-10</v>
      </c>
      <c r="AZ734" s="1050" cm="1">
        <f t="array" aca="1" ref="AZ734" ca="1">INDEX(OFFSET($AK$19,MATCH($B734,$B$19:$B$150,0)-1,0,COUNTA($B$19:$B$24),COUNTA($AK$17:$BB$17)),MATCH($F734,$F$19:$F$24,0),MATCH(AZ$17,$AK$17:$BB$17,0))*INDEX($10:$13,MATCH($O734,$R$10:$R$13,0),COLUMN())</f>
        <v>1.3521450936768149E-5</v>
      </c>
      <c r="BA734" s="1050" cm="1">
        <f t="array" aca="1" ref="BA734" ca="1">INDEX(OFFSET($AK$19,MATCH($B734,$B$19:$B$150,0)-1,0,COUNTA($B$19:$B$24),COUNTA($AK$17:$BB$17)),MATCH($F734,$F$19:$F$24,0),MATCH(BA$17,$AK$17:$BB$17,0))*INDEX($10:$13,MATCH($O734,$R$10:$R$13,0),COLUMN())</f>
        <v>3.8972214115999999E-2</v>
      </c>
      <c r="BB734" s="1051" cm="1">
        <f t="array" aca="1" ref="BB734" ca="1">INDEX(OFFSET($AK$19,MATCH($B734,$B$19:$B$150,0)-1,0,COUNTA($B$19:$B$24),COUNTA($AK$17:$BB$17)),MATCH($F734,$F$19:$F$24,0),MATCH(BB$17,$AK$17:$BB$17,0))*INDEX($10:$13,MATCH($O734,$R$10:$R$13,0),COLUMN())</f>
        <v>5.5425065679999997E-4</v>
      </c>
      <c r="BC734" s="1053">
        <f t="shared" ca="1" si="196"/>
        <v>1.6338969555655949</v>
      </c>
      <c r="BE734" s="1"/>
      <c r="BF734" s="1"/>
      <c r="BG734" s="1"/>
      <c r="BH734" s="1"/>
      <c r="BI734" s="1"/>
      <c r="BJ734" s="1"/>
      <c r="BK734" s="1"/>
      <c r="BL734" s="1"/>
      <c r="BM734" s="1"/>
      <c r="BN734" s="1"/>
      <c r="BO734" s="1"/>
      <c r="BP734" s="1"/>
      <c r="BQ734" s="1"/>
      <c r="BR734" s="1"/>
      <c r="BS734" s="1"/>
      <c r="BT734" s="1"/>
      <c r="BU734" s="1"/>
      <c r="BV734" s="1"/>
      <c r="BW734" s="1"/>
      <c r="BX734" s="1"/>
      <c r="BY734" s="1"/>
      <c r="BZ734" s="1"/>
    </row>
    <row r="735" spans="2:78" ht="12" customHeight="1" outlineLevel="1" x14ac:dyDescent="0.25">
      <c r="B735" s="88" t="s">
        <v>105</v>
      </c>
      <c r="C735" s="88" t="s">
        <v>121</v>
      </c>
      <c r="D735" s="89" t="s">
        <v>137</v>
      </c>
      <c r="E735" s="89" t="s">
        <v>141</v>
      </c>
      <c r="F735" s="90" t="s">
        <v>92</v>
      </c>
      <c r="G735" s="18" t="s">
        <v>126</v>
      </c>
      <c r="H735" s="91" t="s">
        <v>127</v>
      </c>
      <c r="I735" s="92" t="s">
        <v>127</v>
      </c>
      <c r="J735" s="142">
        <v>0.81023034000000005</v>
      </c>
      <c r="K735" s="143">
        <v>1.2070093457943925</v>
      </c>
      <c r="L735" s="144">
        <f t="shared" ca="1" si="197"/>
        <v>0.75808475004441622</v>
      </c>
      <c r="M735" s="143">
        <f t="shared" ca="1" si="198"/>
        <v>2.122024724002209</v>
      </c>
      <c r="N735" s="162">
        <f t="shared" ca="1" si="199"/>
        <v>0.91501537820781631</v>
      </c>
      <c r="O735" s="1060" t="s">
        <v>1586</v>
      </c>
      <c r="P735" s="88"/>
      <c r="Q735" s="89"/>
      <c r="R735" s="150"/>
      <c r="S735" s="1070"/>
      <c r="T735" s="1070"/>
      <c r="U735" s="1070"/>
      <c r="V735" s="1070"/>
      <c r="W735" s="1070"/>
      <c r="X735" s="1070"/>
      <c r="Y735" s="1070"/>
      <c r="Z735" s="1070"/>
      <c r="AA735" s="1070"/>
      <c r="AB735" s="1070"/>
      <c r="AC735" s="1070"/>
      <c r="AD735" s="1070"/>
      <c r="AE735" s="1070"/>
      <c r="AF735" s="1070"/>
      <c r="AG735" s="1070"/>
      <c r="AH735" s="1070"/>
      <c r="AI735" s="1070"/>
      <c r="AJ735" s="1071"/>
      <c r="AK735" s="1048" cm="1">
        <f t="array" aca="1" ref="AK735" ca="1">INDEX(OFFSET($AK$19,MATCH($B735,$B$19:$B$150,0)-1,0,COUNTA($B$19:$B$24),COUNTA($AK$17:$BB$17)),MATCH($F735,$F$19:$F$24,0),MATCH(AK$17,$AK$17:$BB$17,0))*INDEX($10:$13,MATCH($O735,$R$10:$R$13,0),COLUMN())</f>
        <v>3.8786411520000001E-2</v>
      </c>
      <c r="AL735" s="1046" cm="1">
        <f t="array" aca="1" ref="AL735" ca="1">INDEX(OFFSET($AK$19,MATCH($B735,$B$19:$B$150,0)-1,0,COUNTA($B$19:$B$24),COUNTA($AK$17:$BB$17)),MATCH($F735,$F$19:$F$24,0),MATCH(AL$17,$AK$17:$BB$17,0))*INDEX($10:$13,MATCH($O735,$R$10:$R$13,0),COLUMN())</f>
        <v>7.8461125799999994E-8</v>
      </c>
      <c r="AM735" s="1046" cm="1">
        <f t="array" aca="1" ref="AM735" ca="1">INDEX(OFFSET($AK$19,MATCH($B735,$B$19:$B$150,0)-1,0,COUNTA($B$19:$B$24),COUNTA($AK$17:$BB$17)),MATCH($F735,$F$19:$F$24,0),MATCH(AM$17,$AK$17:$BB$17,0))*INDEX($10:$13,MATCH($O735,$R$10:$R$13,0),COLUMN())</f>
        <v>0</v>
      </c>
      <c r="AN735" s="1046" cm="1">
        <f t="array" aca="1" ref="AN735" ca="1">INDEX(OFFSET($AK$19,MATCH($B735,$B$19:$B$150,0)-1,0,COUNTA($B$19:$B$24),COUNTA($AK$17:$BB$17)),MATCH($F735,$F$19:$F$24,0),MATCH(AN$17,$AK$17:$BB$17,0))*INDEX($10:$13,MATCH($O735,$R$10:$R$13,0),COLUMN())</f>
        <v>1.4150278446000003E-3</v>
      </c>
      <c r="AO735" s="1046" cm="1">
        <f t="array" aca="1" ref="AO735" ca="1">INDEX(OFFSET($AK$19,MATCH($B735,$B$19:$B$150,0)-1,0,COUNTA($B$19:$B$24),COUNTA($AK$17:$BB$17)),MATCH($F735,$F$19:$F$24,0),MATCH(AO$17,$AK$17:$BB$17,0))*INDEX($10:$13,MATCH($O735,$R$10:$R$13,0),COLUMN())</f>
        <v>2.5079720630136988E-2</v>
      </c>
      <c r="AP735" s="1046" cm="1">
        <f t="array" aca="1" ref="AP735" ca="1">INDEX(OFFSET($AK$19,MATCH($B735,$B$19:$B$150,0)-1,0,COUNTA($B$19:$B$24),COUNTA($AK$17:$BB$17)),MATCH($F735,$F$19:$F$24,0),MATCH(AP$17,$AK$17:$BB$17,0))*INDEX($10:$13,MATCH($O735,$R$10:$R$13,0),COLUMN())</f>
        <v>1.6912707167999998E-2</v>
      </c>
      <c r="AQ735" s="1046" cm="1">
        <f t="array" aca="1" ref="AQ735" ca="1">INDEX(OFFSET($AK$19,MATCH($B735,$B$19:$B$150,0)-1,0,COUNTA($B$19:$B$24),COUNTA($AK$17:$BB$17)),MATCH($F735,$F$19:$F$24,0),MATCH(AQ$17,$AK$17:$BB$17,0))*INDEX($10:$13,MATCH($O735,$R$10:$R$13,0),COLUMN())</f>
        <v>5.3235273119999996E-2</v>
      </c>
      <c r="AR735" s="1046" cm="1">
        <f t="array" aca="1" ref="AR735" ca="1">INDEX(OFFSET($AK$19,MATCH($B735,$B$19:$B$150,0)-1,0,COUNTA($B$19:$B$24),COUNTA($AK$17:$BB$17)),MATCH($F735,$F$19:$F$24,0),MATCH(AR$17,$AK$17:$BB$17,0))*INDEX($10:$13,MATCH($O735,$R$10:$R$13,0),COLUMN())</f>
        <v>0.21375624463999998</v>
      </c>
      <c r="AS735" s="1046" cm="1">
        <f t="array" aca="1" ref="AS735" ca="1">INDEX(OFFSET($AK$19,MATCH($B735,$B$19:$B$150,0)-1,0,COUNTA($B$19:$B$24),COUNTA($AK$17:$BB$17)),MATCH($F735,$F$19:$F$24,0),MATCH(AS$17,$AK$17:$BB$17,0))*INDEX($10:$13,MATCH($O735,$R$10:$R$13,0),COLUMN())</f>
        <v>0.12550784054</v>
      </c>
      <c r="AT735" s="1046" cm="1">
        <f t="array" aca="1" ref="AT735" ca="1">INDEX(OFFSET($AK$19,MATCH($B735,$B$19:$B$150,0)-1,0,COUNTA($B$19:$B$24),COUNTA($AK$17:$BB$17)),MATCH($F735,$F$19:$F$24,0),MATCH(AT$17,$AK$17:$BB$17,0))*INDEX($10:$13,MATCH($O735,$R$10:$R$13,0),COLUMN())</f>
        <v>1.4027543036E-4</v>
      </c>
      <c r="AU735" s="1046" cm="1">
        <f t="array" aca="1" ref="AU735" ca="1">INDEX(OFFSET($AK$19,MATCH($B735,$B$19:$B$150,0)-1,0,COUNTA($B$19:$B$24),COUNTA($AK$17:$BB$17)),MATCH($F735,$F$19:$F$24,0),MATCH(AU$17,$AK$17:$BB$17,0))*INDEX($10:$13,MATCH($O735,$R$10:$R$13,0),COLUMN())</f>
        <v>8.739654029999999E-6</v>
      </c>
      <c r="AV735" s="1046" cm="1">
        <f t="array" aca="1" ref="AV735" ca="1">INDEX(OFFSET($AK$19,MATCH($B735,$B$19:$B$150,0)-1,0,COUNTA($B$19:$B$24),COUNTA($AK$17:$BB$17)),MATCH($F735,$F$19:$F$24,0),MATCH(AV$17,$AK$17:$BB$17,0))*INDEX($10:$13,MATCH($O735,$R$10:$R$13,0),COLUMN())</f>
        <v>2.7192605073924014E-3</v>
      </c>
      <c r="AW735" s="1046" cm="1">
        <f t="array" aca="1" ref="AW735" ca="1">INDEX(OFFSET($AK$19,MATCH($B735,$B$19:$B$150,0)-1,0,COUNTA($B$19:$B$24),COUNTA($AK$17:$BB$17)),MATCH($F735,$F$19:$F$24,0),MATCH(AW$17,$AK$17:$BB$17,0))*INDEX($10:$13,MATCH($O735,$R$10:$R$13,0),COLUMN())</f>
        <v>0.42031873620000004</v>
      </c>
      <c r="AX735" s="1046" cm="1">
        <f t="array" aca="1" ref="AX735" ca="1">INDEX(OFFSET($AK$19,MATCH($B735,$B$19:$B$150,0)-1,0,COUNTA($B$19:$B$24),COUNTA($AK$17:$BB$17)),MATCH($F735,$F$19:$F$24,0),MATCH(AX$17,$AK$17:$BB$17,0))*INDEX($10:$13,MATCH($O735,$R$10:$R$13,0),COLUMN())</f>
        <v>4.0296353610000004E-7</v>
      </c>
      <c r="AY735" s="1046" cm="1">
        <f t="array" aca="1" ref="AY735" ca="1">INDEX(OFFSET($AK$19,MATCH($B735,$B$19:$B$150,0)-1,0,COUNTA($B$19:$B$24),COUNTA($AK$17:$BB$17)),MATCH($F735,$F$19:$F$24,0),MATCH(AY$17,$AK$17:$BB$17,0))*INDEX($10:$13,MATCH($O735,$R$10:$R$13,0),COLUMN())</f>
        <v>-2.6847295580000001E-10</v>
      </c>
      <c r="AZ735" s="1046" cm="1">
        <f t="array" aca="1" ref="AZ735" ca="1">INDEX(OFFSET($AK$19,MATCH($B735,$B$19:$B$150,0)-1,0,COUNTA($B$19:$B$24),COUNTA($AK$17:$BB$17)),MATCH($F735,$F$19:$F$24,0),MATCH(AZ$17,$AK$17:$BB$17,0))*INDEX($10:$13,MATCH($O735,$R$10:$R$13,0),COLUMN())</f>
        <v>3.5913741079625291E-6</v>
      </c>
      <c r="BA735" s="1046" cm="1">
        <f t="array" aca="1" ref="BA735" ca="1">INDEX(OFFSET($AK$19,MATCH($B735,$B$19:$B$150,0)-1,0,COUNTA($B$19:$B$24),COUNTA($AK$17:$BB$17)),MATCH($F735,$F$19:$F$24,0),MATCH(BA$17,$AK$17:$BB$17,0))*INDEX($10:$13,MATCH($O735,$R$10:$R$13,0),COLUMN())</f>
        <v>1.4268045192999998E-2</v>
      </c>
      <c r="BB735" s="1047" cm="1">
        <f t="array" aca="1" ref="BB735" ca="1">INDEX(OFFSET($AK$19,MATCH($B735,$B$19:$B$150,0)-1,0,COUNTA($B$19:$B$24),COUNTA($AK$17:$BB$17)),MATCH($F735,$F$19:$F$24,0),MATCH(BB$17,$AK$17:$BB$17,0))*INDEX($10:$13,MATCH($O735,$R$10:$R$13,0),COLUMN())</f>
        <v>2.8630232300000001E-3</v>
      </c>
      <c r="BC735" s="1049">
        <f t="shared" ref="BC735:BC785" ca="1" si="200">SUM(AW735:AY735)</f>
        <v>0.42031913889506317</v>
      </c>
      <c r="BE735" s="1"/>
      <c r="BF735" s="1"/>
      <c r="BG735" s="1"/>
      <c r="BH735" s="1"/>
      <c r="BI735" s="1"/>
      <c r="BJ735" s="1"/>
      <c r="BK735" s="1"/>
      <c r="BL735" s="1"/>
      <c r="BM735" s="1"/>
      <c r="BN735" s="1"/>
      <c r="BO735" s="1"/>
      <c r="BP735" s="1"/>
      <c r="BQ735" s="1"/>
      <c r="BR735" s="1"/>
      <c r="BS735" s="1"/>
      <c r="BT735" s="1"/>
      <c r="BU735" s="1"/>
      <c r="BV735" s="1"/>
      <c r="BW735" s="1"/>
      <c r="BX735" s="1"/>
      <c r="BY735" s="1"/>
      <c r="BZ735" s="1"/>
    </row>
    <row r="736" spans="2:78" ht="12" customHeight="1" outlineLevel="1" x14ac:dyDescent="0.25">
      <c r="B736" s="104" t="s">
        <v>105</v>
      </c>
      <c r="C736" s="104" t="s">
        <v>121</v>
      </c>
      <c r="D736" s="2" t="s">
        <v>137</v>
      </c>
      <c r="E736" s="2" t="s">
        <v>141</v>
      </c>
      <c r="F736" s="105" t="s">
        <v>122</v>
      </c>
      <c r="G736" s="27" t="s">
        <v>1579</v>
      </c>
      <c r="H736" s="106" t="s">
        <v>128</v>
      </c>
      <c r="I736" s="107" t="s">
        <v>129</v>
      </c>
      <c r="J736" s="147">
        <v>0.81023034000000005</v>
      </c>
      <c r="K736" s="148">
        <v>3.15</v>
      </c>
      <c r="L736" s="149">
        <f t="shared" ca="1" si="197"/>
        <v>0.19591060721738476</v>
      </c>
      <c r="M736" s="148">
        <f t="shared" ca="1" si="198"/>
        <v>3.7671184127347619</v>
      </c>
      <c r="N736" s="163">
        <f t="shared" ca="1" si="199"/>
        <v>0.61711841273476198</v>
      </c>
      <c r="O736" s="1061" t="s">
        <v>1586</v>
      </c>
      <c r="P736" s="104"/>
      <c r="R736" s="119"/>
      <c r="S736" s="1072"/>
      <c r="T736" s="1072"/>
      <c r="U736" s="1072"/>
      <c r="V736" s="1072"/>
      <c r="W736" s="1072"/>
      <c r="X736" s="1072"/>
      <c r="Y736" s="1072"/>
      <c r="Z736" s="1072"/>
      <c r="AA736" s="1072"/>
      <c r="AB736" s="1072"/>
      <c r="AC736" s="1072"/>
      <c r="AD736" s="1072"/>
      <c r="AE736" s="1072"/>
      <c r="AF736" s="1072"/>
      <c r="AG736" s="1072"/>
      <c r="AH736" s="1072"/>
      <c r="AI736" s="1072"/>
      <c r="AJ736" s="1073"/>
      <c r="AK736" s="1052" cm="1">
        <f t="array" aca="1" ref="AK736" ca="1">INDEX(OFFSET($AK$19,MATCH($B736,$B$19:$B$150,0)-1,0,COUNTA($B$19:$B$24),COUNTA($AK$17:$BB$17)),MATCH($F736,$F$19:$F$24,0),MATCH(AK$17,$AK$17:$BB$17,0))*INDEX($10:$13,MATCH($O736,$R$10:$R$13,0),COLUMN())</f>
        <v>2.6844046639999997E-2</v>
      </c>
      <c r="AL736" s="1050" cm="1">
        <f t="array" aca="1" ref="AL736" ca="1">INDEX(OFFSET($AK$19,MATCH($B736,$B$19:$B$150,0)-1,0,COUNTA($B$19:$B$24),COUNTA($AK$17:$BB$17)),MATCH($F736,$F$19:$F$24,0),MATCH(AL$17,$AK$17:$BB$17,0))*INDEX($10:$13,MATCH($O736,$R$10:$R$13,0),COLUMN())</f>
        <v>4.0543991940000004E-8</v>
      </c>
      <c r="AM736" s="1050" cm="1">
        <f t="array" aca="1" ref="AM736" ca="1">INDEX(OFFSET($AK$19,MATCH($B736,$B$19:$B$150,0)-1,0,COUNTA($B$19:$B$24),COUNTA($AK$17:$BB$17)),MATCH($F736,$F$19:$F$24,0),MATCH(AM$17,$AK$17:$BB$17,0))*INDEX($10:$13,MATCH($O736,$R$10:$R$13,0),COLUMN())</f>
        <v>0</v>
      </c>
      <c r="AN736" s="1050" cm="1">
        <f t="array" aca="1" ref="AN736" ca="1">INDEX(OFFSET($AK$19,MATCH($B736,$B$19:$B$150,0)-1,0,COUNTA($B$19:$B$24),COUNTA($AK$17:$BB$17)),MATCH($F736,$F$19:$F$24,0),MATCH(AN$17,$AK$17:$BB$17,0))*INDEX($10:$13,MATCH($O736,$R$10:$R$13,0),COLUMN())</f>
        <v>1.4850028884000003E-3</v>
      </c>
      <c r="AO736" s="1050" cm="1">
        <f t="array" aca="1" ref="AO736" ca="1">INDEX(OFFSET($AK$19,MATCH($B736,$B$19:$B$150,0)-1,0,COUNTA($B$19:$B$24),COUNTA($AK$17:$BB$17)),MATCH($F736,$F$19:$F$24,0),MATCH(AO$17,$AK$17:$BB$17,0))*INDEX($10:$13,MATCH($O736,$R$10:$R$13,0),COLUMN())</f>
        <v>9.9900089013698623E-3</v>
      </c>
      <c r="AP736" s="1050" cm="1">
        <f t="array" aca="1" ref="AP736" ca="1">INDEX(OFFSET($AK$19,MATCH($B736,$B$19:$B$150,0)-1,0,COUNTA($B$19:$B$24),COUNTA($AK$17:$BB$17)),MATCH($F736,$F$19:$F$24,0),MATCH(AP$17,$AK$17:$BB$17,0))*INDEX($10:$13,MATCH($O736,$R$10:$R$13,0),COLUMN())</f>
        <v>4.6244735040000002E-3</v>
      </c>
      <c r="AQ736" s="1050" cm="1">
        <f t="array" aca="1" ref="AQ736" ca="1">INDEX(OFFSET($AK$19,MATCH($B736,$B$19:$B$150,0)-1,0,COUNTA($B$19:$B$24),COUNTA($AK$17:$BB$17)),MATCH($F736,$F$19:$F$24,0),MATCH(AQ$17,$AK$17:$BB$17,0))*INDEX($10:$13,MATCH($O736,$R$10:$R$13,0),COLUMN())</f>
        <v>7.65996248E-3</v>
      </c>
      <c r="AR736" s="1050" cm="1">
        <f t="array" aca="1" ref="AR736" ca="1">INDEX(OFFSET($AK$19,MATCH($B736,$B$19:$B$150,0)-1,0,COUNTA($B$19:$B$24),COUNTA($AK$17:$BB$17)),MATCH($F736,$F$19:$F$24,0),MATCH(AR$17,$AK$17:$BB$17,0))*INDEX($10:$13,MATCH($O736,$R$10:$R$13,0),COLUMN())</f>
        <v>7.132375735999999E-2</v>
      </c>
      <c r="AS736" s="1050" cm="1">
        <f t="array" aca="1" ref="AS736" ca="1">INDEX(OFFSET($AK$19,MATCH($B736,$B$19:$B$150,0)-1,0,COUNTA($B$19:$B$24),COUNTA($AK$17:$BB$17)),MATCH($F736,$F$19:$F$24,0),MATCH(AS$17,$AK$17:$BB$17,0))*INDEX($10:$13,MATCH($O736,$R$10:$R$13,0),COLUMN())</f>
        <v>3.6994915883999997E-4</v>
      </c>
      <c r="AT736" s="1050" cm="1">
        <f t="array" aca="1" ref="AT736" ca="1">INDEX(OFFSET($AK$19,MATCH($B736,$B$19:$B$150,0)-1,0,COUNTA($B$19:$B$24),COUNTA($AK$17:$BB$17)),MATCH($F736,$F$19:$F$24,0),MATCH(AT$17,$AK$17:$BB$17,0))*INDEX($10:$13,MATCH($O736,$R$10:$R$13,0),COLUMN())</f>
        <v>3.4030827720000003E-6</v>
      </c>
      <c r="AU736" s="1050" cm="1">
        <f t="array" aca="1" ref="AU736" ca="1">INDEX(OFFSET($AK$19,MATCH($B736,$B$19:$B$150,0)-1,0,COUNTA($B$19:$B$24),COUNTA($AK$17:$BB$17)),MATCH($F736,$F$19:$F$24,0),MATCH(AU$17,$AK$17:$BB$17,0))*INDEX($10:$13,MATCH($O736,$R$10:$R$13,0),COLUMN())</f>
        <v>6.9511700639999997E-7</v>
      </c>
      <c r="AV736" s="1050" cm="1">
        <f t="array" aca="1" ref="AV736" ca="1">INDEX(OFFSET($AK$19,MATCH($B736,$B$19:$B$150,0)-1,0,COUNTA($B$19:$B$24),COUNTA($AK$17:$BB$17)),MATCH($F736,$F$19:$F$24,0),MATCH(AV$17,$AK$17:$BB$17,0))*INDEX($10:$13,MATCH($O736,$R$10:$R$13,0),COLUMN())</f>
        <v>5.249033162044737E-4</v>
      </c>
      <c r="AW736" s="1050" cm="1">
        <f t="array" aca="1" ref="AW736" ca="1">INDEX(OFFSET($AK$19,MATCH($B736,$B$19:$B$150,0)-1,0,COUNTA($B$19:$B$24),COUNTA($AK$17:$BB$17)),MATCH($F736,$F$19:$F$24,0),MATCH(AW$17,$AK$17:$BB$17,0))*INDEX($10:$13,MATCH($O736,$R$10:$R$13,0),COLUMN())</f>
        <v>0.48022609380000003</v>
      </c>
      <c r="AX736" s="1050" cm="1">
        <f t="array" aca="1" ref="AX736" ca="1">INDEX(OFFSET($AK$19,MATCH($B736,$B$19:$B$150,0)-1,0,COUNTA($B$19:$B$24),COUNTA($AK$17:$BB$17)),MATCH($F736,$F$19:$F$24,0),MATCH(AX$17,$AK$17:$BB$17,0))*INDEX($10:$13,MATCH($O736,$R$10:$R$13,0),COLUMN())</f>
        <v>1.2149058320000003E-7</v>
      </c>
      <c r="AY736" s="1050" cm="1">
        <f t="array" aca="1" ref="AY736" ca="1">INDEX(OFFSET($AK$19,MATCH($B736,$B$19:$B$150,0)-1,0,COUNTA($B$19:$B$24),COUNTA($AK$17:$BB$17)),MATCH($F736,$F$19:$F$24,0),MATCH(AY$17,$AK$17:$BB$17,0))*INDEX($10:$13,MATCH($O736,$R$10:$R$13,0),COLUMN())</f>
        <v>-7.7906961110000005E-11</v>
      </c>
      <c r="AZ736" s="1050" cm="1">
        <f t="array" aca="1" ref="AZ736" ca="1">INDEX(OFFSET($AK$19,MATCH($B736,$B$19:$B$150,0)-1,0,COUNTA($B$19:$B$24),COUNTA($AK$17:$BB$17)),MATCH($F736,$F$19:$F$24,0),MATCH(AZ$17,$AK$17:$BB$17,0))*INDEX($10:$13,MATCH($O736,$R$10:$R$13,0),COLUMN())</f>
        <v>4.0922965011709597E-6</v>
      </c>
      <c r="BA736" s="1050" cm="1">
        <f t="array" aca="1" ref="BA736" ca="1">INDEX(OFFSET($AK$19,MATCH($B736,$B$19:$B$150,0)-1,0,COUNTA($B$19:$B$24),COUNTA($AK$17:$BB$17)),MATCH($F736,$F$19:$F$24,0),MATCH(BA$17,$AK$17:$BB$17,0))*INDEX($10:$13,MATCH($O736,$R$10:$R$13,0),COLUMN())</f>
        <v>1.0844906640000001E-2</v>
      </c>
      <c r="BB736" s="1051" cm="1">
        <f t="array" aca="1" ref="BB736" ca="1">INDEX(OFFSET($AK$19,MATCH($B736,$B$19:$B$150,0)-1,0,COUNTA($B$19:$B$24),COUNTA($AK$17:$BB$17)),MATCH($F736,$F$19:$F$24,0),MATCH(BB$17,$AK$17:$BB$17,0))*INDEX($10:$13,MATCH($O736,$R$10:$R$13,0),COLUMN())</f>
        <v>3.2169555930000003E-3</v>
      </c>
      <c r="BC736" s="1053">
        <f t="shared" ca="1" si="200"/>
        <v>0.48022621521267628</v>
      </c>
      <c r="BE736" s="1"/>
      <c r="BF736" s="1"/>
      <c r="BG736" s="1"/>
      <c r="BH736" s="1"/>
      <c r="BI736" s="1"/>
      <c r="BJ736" s="1"/>
      <c r="BK736" s="1"/>
      <c r="BL736" s="1"/>
      <c r="BM736" s="1"/>
      <c r="BN736" s="1"/>
      <c r="BO736" s="1"/>
      <c r="BP736" s="1"/>
      <c r="BQ736" s="1"/>
      <c r="BR736" s="1"/>
      <c r="BS736" s="1"/>
      <c r="BT736" s="1"/>
      <c r="BU736" s="1"/>
      <c r="BV736" s="1"/>
      <c r="BW736" s="1"/>
      <c r="BX736" s="1"/>
      <c r="BY736" s="1"/>
      <c r="BZ736" s="1"/>
    </row>
    <row r="737" spans="2:78" ht="12" customHeight="1" outlineLevel="1" x14ac:dyDescent="0.25">
      <c r="B737" s="104" t="s">
        <v>105</v>
      </c>
      <c r="C737" s="104" t="s">
        <v>121</v>
      </c>
      <c r="D737" s="2" t="s">
        <v>137</v>
      </c>
      <c r="E737" s="2" t="s">
        <v>141</v>
      </c>
      <c r="F737" s="105" t="s">
        <v>93</v>
      </c>
      <c r="G737" s="27" t="s">
        <v>1578</v>
      </c>
      <c r="H737" s="106" t="s">
        <v>130</v>
      </c>
      <c r="I737" s="107" t="s">
        <v>129</v>
      </c>
      <c r="J737" s="147">
        <v>0.81023034000000005</v>
      </c>
      <c r="K737" s="148">
        <v>3.15</v>
      </c>
      <c r="L737" s="149">
        <f t="shared" ca="1" si="197"/>
        <v>0.26162307613178254</v>
      </c>
      <c r="M737" s="148">
        <f t="shared" ca="1" si="198"/>
        <v>3.9741126898151151</v>
      </c>
      <c r="N737" s="163">
        <f t="shared" ca="1" si="199"/>
        <v>0.82411268981511498</v>
      </c>
      <c r="O737" s="1061" t="s">
        <v>1586</v>
      </c>
      <c r="P737" s="104"/>
      <c r="R737" s="119"/>
      <c r="S737" s="1072"/>
      <c r="T737" s="1072"/>
      <c r="U737" s="1072"/>
      <c r="V737" s="1072"/>
      <c r="W737" s="1072"/>
      <c r="X737" s="1072"/>
      <c r="Y737" s="1072"/>
      <c r="Z737" s="1072"/>
      <c r="AA737" s="1072"/>
      <c r="AB737" s="1072"/>
      <c r="AC737" s="1072"/>
      <c r="AD737" s="1072"/>
      <c r="AE737" s="1072"/>
      <c r="AF737" s="1072"/>
      <c r="AG737" s="1072"/>
      <c r="AH737" s="1072"/>
      <c r="AI737" s="1072"/>
      <c r="AJ737" s="1073"/>
      <c r="AK737" s="1052" cm="1">
        <f t="array" aca="1" ref="AK737" ca="1">INDEX(OFFSET($AK$19,MATCH($B737,$B$19:$B$150,0)-1,0,COUNTA($B$19:$B$24),COUNTA($AK$17:$BB$17)),MATCH($F737,$F$19:$F$24,0),MATCH(AK$17,$AK$17:$BB$17,0))*INDEX($10:$13,MATCH($O737,$R$10:$R$13,0),COLUMN())</f>
        <v>3.5847757520000002E-2</v>
      </c>
      <c r="AL737" s="1050" cm="1">
        <f t="array" aca="1" ref="AL737" ca="1">INDEX(OFFSET($AK$19,MATCH($B737,$B$19:$B$150,0)-1,0,COUNTA($B$19:$B$24),COUNTA($AK$17:$BB$17)),MATCH($F737,$F$19:$F$24,0),MATCH(AL$17,$AK$17:$BB$17,0))*INDEX($10:$13,MATCH($O737,$R$10:$R$13,0),COLUMN())</f>
        <v>5.4142775400000002E-8</v>
      </c>
      <c r="AM737" s="1050" cm="1">
        <f t="array" aca="1" ref="AM737" ca="1">INDEX(OFFSET($AK$19,MATCH($B737,$B$19:$B$150,0)-1,0,COUNTA($B$19:$B$24),COUNTA($AK$17:$BB$17)),MATCH($F737,$F$19:$F$24,0),MATCH(AM$17,$AK$17:$BB$17,0))*INDEX($10:$13,MATCH($O737,$R$10:$R$13,0),COLUMN())</f>
        <v>0</v>
      </c>
      <c r="AN737" s="1050" cm="1">
        <f t="array" aca="1" ref="AN737" ca="1">INDEX(OFFSET($AK$19,MATCH($B737,$B$19:$B$150,0)-1,0,COUNTA($B$19:$B$24),COUNTA($AK$17:$BB$17)),MATCH($F737,$F$19:$F$24,0),MATCH(AN$17,$AK$17:$BB$17,0))*INDEX($10:$13,MATCH($O737,$R$10:$R$13,0),COLUMN())</f>
        <v>1.9830848633999999E-3</v>
      </c>
      <c r="AO737" s="1050" cm="1">
        <f t="array" aca="1" ref="AO737" ca="1">INDEX(OFFSET($AK$19,MATCH($B737,$B$19:$B$150,0)-1,0,COUNTA($B$19:$B$24),COUNTA($AK$17:$BB$17)),MATCH($F737,$F$19:$F$24,0),MATCH(AO$17,$AK$17:$BB$17,0))*INDEX($10:$13,MATCH($O737,$R$10:$R$13,0),COLUMN())</f>
        <v>1.3340738580821918E-2</v>
      </c>
      <c r="AP737" s="1050" cm="1">
        <f t="array" aca="1" ref="AP737" ca="1">INDEX(OFFSET($AK$19,MATCH($B737,$B$19:$B$150,0)-1,0,COUNTA($B$19:$B$24),COUNTA($AK$17:$BB$17)),MATCH($F737,$F$19:$F$24,0),MATCH(AP$17,$AK$17:$BB$17,0))*INDEX($10:$13,MATCH($O737,$R$10:$R$13,0),COLUMN())</f>
        <v>6.1755590400000004E-3</v>
      </c>
      <c r="AQ737" s="1050" cm="1">
        <f t="array" aca="1" ref="AQ737" ca="1">INDEX(OFFSET($AK$19,MATCH($B737,$B$19:$B$150,0)-1,0,COUNTA($B$19:$B$24),COUNTA($AK$17:$BB$17)),MATCH($F737,$F$19:$F$24,0),MATCH(AQ$17,$AK$17:$BB$17,0))*INDEX($10:$13,MATCH($O737,$R$10:$R$13,0),COLUMN())</f>
        <v>1.022917592E-2</v>
      </c>
      <c r="AR737" s="1050" cm="1">
        <f t="array" aca="1" ref="AR737" ca="1">INDEX(OFFSET($AK$19,MATCH($B737,$B$19:$B$150,0)-1,0,COUNTA($B$19:$B$24),COUNTA($AK$17:$BB$17)),MATCH($F737,$F$19:$F$24,0),MATCH(AR$17,$AK$17:$BB$17,0))*INDEX($10:$13,MATCH($O737,$R$10:$R$13,0),COLUMN())</f>
        <v>9.5246327199999994E-2</v>
      </c>
      <c r="AS737" s="1050" cm="1">
        <f t="array" aca="1" ref="AS737" ca="1">INDEX(OFFSET($AK$19,MATCH($B737,$B$19:$B$150,0)-1,0,COUNTA($B$19:$B$24),COUNTA($AK$17:$BB$17)),MATCH($F737,$F$19:$F$24,0),MATCH(AS$17,$AK$17:$BB$17,0))*INDEX($10:$13,MATCH($O737,$R$10:$R$13,0),COLUMN())</f>
        <v>4.9686167969999998E-4</v>
      </c>
      <c r="AT737" s="1050" cm="1">
        <f t="array" aca="1" ref="AT737" ca="1">INDEX(OFFSET($AK$19,MATCH($B737,$B$19:$B$150,0)-1,0,COUNTA($B$19:$B$24),COUNTA($AK$17:$BB$17)),MATCH($F737,$F$19:$F$24,0),MATCH(AT$17,$AK$17:$BB$17,0))*INDEX($10:$13,MATCH($O737,$R$10:$R$13,0),COLUMN())</f>
        <v>4.5454617959999998E-6</v>
      </c>
      <c r="AU737" s="1050" cm="1">
        <f t="array" aca="1" ref="AU737" ca="1">INDEX(OFFSET($AK$19,MATCH($B737,$B$19:$B$150,0)-1,0,COUNTA($B$19:$B$24),COUNTA($AK$17:$BB$17)),MATCH($F737,$F$19:$F$24,0),MATCH(AU$17,$AK$17:$BB$17,0))*INDEX($10:$13,MATCH($O737,$R$10:$R$13,0),COLUMN())</f>
        <v>9.2837128019999992E-7</v>
      </c>
      <c r="AV737" s="1050" cm="1">
        <f t="array" aca="1" ref="AV737" ca="1">INDEX(OFFSET($AK$19,MATCH($B737,$B$19:$B$150,0)-1,0,COUNTA($B$19:$B$24),COUNTA($AK$17:$BB$17)),MATCH($F737,$F$19:$F$24,0),MATCH(AV$17,$AK$17:$BB$17,0))*INDEX($10:$13,MATCH($O737,$R$10:$R$13,0),COLUMN())</f>
        <v>7.0590371882498588E-4</v>
      </c>
      <c r="AW737" s="1050" cm="1">
        <f t="array" aca="1" ref="AW737" ca="1">INDEX(OFFSET($AK$19,MATCH($B737,$B$19:$B$150,0)-1,0,COUNTA($B$19:$B$24),COUNTA($AK$17:$BB$17)),MATCH($F737,$F$19:$F$24,0),MATCH(AW$17,$AK$17:$BB$17,0))*INDEX($10:$13,MATCH($O737,$R$10:$R$13,0),COLUMN())</f>
        <v>0.64129780160000005</v>
      </c>
      <c r="AX737" s="1050" cm="1">
        <f t="array" aca="1" ref="AX737" ca="1">INDEX(OFFSET($AK$19,MATCH($B737,$B$19:$B$150,0)-1,0,COUNTA($B$19:$B$24),COUNTA($AK$17:$BB$17)),MATCH($F737,$F$19:$F$24,0),MATCH(AX$17,$AK$17:$BB$17,0))*INDEX($10:$13,MATCH($O737,$R$10:$R$13,0),COLUMN())</f>
        <v>1.6223950721E-7</v>
      </c>
      <c r="AY737" s="1050" cm="1">
        <f t="array" aca="1" ref="AY737" ca="1">INDEX(OFFSET($AK$19,MATCH($B737,$B$19:$B$150,0)-1,0,COUNTA($B$19:$B$24),COUNTA($AK$17:$BB$17)),MATCH($F737,$F$19:$F$24,0),MATCH(AY$17,$AK$17:$BB$17,0))*INDEX($10:$13,MATCH($O737,$R$10:$R$13,0),COLUMN())</f>
        <v>-1.0403758598E-10</v>
      </c>
      <c r="AZ737" s="1050" cm="1">
        <f t="array" aca="1" ref="AZ737" ca="1">INDEX(OFFSET($AK$19,MATCH($B737,$B$19:$B$150,0)-1,0,COUNTA($B$19:$B$24),COUNTA($AK$17:$BB$17)),MATCH($F737,$F$19:$F$24,0),MATCH(AZ$17,$AK$17:$BB$17,0))*INDEX($10:$13,MATCH($O737,$R$10:$R$13,0),COLUMN())</f>
        <v>5.4648860468384063E-6</v>
      </c>
      <c r="BA737" s="1050" cm="1">
        <f t="array" aca="1" ref="BA737" ca="1">INDEX(OFFSET($AK$19,MATCH($B737,$B$19:$B$150,0)-1,0,COUNTA($B$19:$B$24),COUNTA($AK$17:$BB$17)),MATCH($F737,$F$19:$F$24,0),MATCH(BA$17,$AK$17:$BB$17,0))*INDEX($10:$13,MATCH($O737,$R$10:$R$13,0),COLUMN())</f>
        <v>1.4482376213000001E-2</v>
      </c>
      <c r="BB737" s="1051" cm="1">
        <f t="array" aca="1" ref="BB737" ca="1">INDEX(OFFSET($AK$19,MATCH($B737,$B$19:$B$150,0)-1,0,COUNTA($B$19:$B$24),COUNTA($AK$17:$BB$17)),MATCH($F737,$F$19:$F$24,0),MATCH(BB$17,$AK$17:$BB$17,0))*INDEX($10:$13,MATCH($O737,$R$10:$R$13,0),COLUMN())</f>
        <v>4.2959484819999998E-3</v>
      </c>
      <c r="BC737" s="1053">
        <f t="shared" ca="1" si="200"/>
        <v>0.64129796373546966</v>
      </c>
      <c r="BE737" s="1"/>
      <c r="BF737" s="1"/>
      <c r="BG737" s="1"/>
      <c r="BH737" s="1"/>
      <c r="BI737" s="1"/>
      <c r="BJ737" s="1"/>
      <c r="BK737" s="1"/>
      <c r="BL737" s="1"/>
      <c r="BM737" s="1"/>
      <c r="BN737" s="1"/>
      <c r="BO737" s="1"/>
      <c r="BP737" s="1"/>
      <c r="BQ737" s="1"/>
      <c r="BR737" s="1"/>
      <c r="BS737" s="1"/>
      <c r="BT737" s="1"/>
      <c r="BU737" s="1"/>
      <c r="BV737" s="1"/>
      <c r="BW737" s="1"/>
      <c r="BX737" s="1"/>
      <c r="BY737" s="1"/>
      <c r="BZ737" s="1"/>
    </row>
    <row r="738" spans="2:78" ht="12" customHeight="1" outlineLevel="1" x14ac:dyDescent="0.25">
      <c r="B738" s="104" t="s">
        <v>105</v>
      </c>
      <c r="C738" s="104" t="s">
        <v>121</v>
      </c>
      <c r="D738" s="2" t="s">
        <v>137</v>
      </c>
      <c r="E738" s="2" t="s">
        <v>141</v>
      </c>
      <c r="F738" s="105" t="s">
        <v>94</v>
      </c>
      <c r="G738" s="27" t="s">
        <v>1580</v>
      </c>
      <c r="H738" s="106" t="s">
        <v>131</v>
      </c>
      <c r="I738" s="107" t="s">
        <v>129</v>
      </c>
      <c r="J738" s="147">
        <v>0.81023034000000005</v>
      </c>
      <c r="K738" s="148">
        <v>3.15</v>
      </c>
      <c r="L738" s="149">
        <f t="shared" ca="1" si="197"/>
        <v>0.15656980269076104</v>
      </c>
      <c r="M738" s="148">
        <f t="shared" ca="1" si="198"/>
        <v>3.6431948784758972</v>
      </c>
      <c r="N738" s="148">
        <f t="shared" ca="1" si="199"/>
        <v>0.49319487847589727</v>
      </c>
      <c r="O738" s="1062" t="s">
        <v>1586</v>
      </c>
      <c r="P738" s="104"/>
      <c r="R738" s="119"/>
      <c r="S738" s="1072"/>
      <c r="T738" s="1072"/>
      <c r="U738" s="1072"/>
      <c r="V738" s="1072"/>
      <c r="W738" s="1072"/>
      <c r="X738" s="1072"/>
      <c r="Y738" s="1072"/>
      <c r="Z738" s="1072"/>
      <c r="AA738" s="1072"/>
      <c r="AB738" s="1072"/>
      <c r="AC738" s="1072"/>
      <c r="AD738" s="1072"/>
      <c r="AE738" s="1072"/>
      <c r="AF738" s="1072"/>
      <c r="AG738" s="1072"/>
      <c r="AH738" s="1072"/>
      <c r="AI738" s="1072"/>
      <c r="AJ738" s="1073"/>
      <c r="AK738" s="1052" cm="1">
        <f t="array" aca="1" ref="AK738" ca="1">INDEX(OFFSET($AK$19,MATCH($B738,$B$19:$B$150,0)-1,0,COUNTA($B$19:$B$24),COUNTA($AK$17:$BB$17)),MATCH($F738,$F$19:$F$24,0),MATCH(AK$17,$AK$17:$BB$17,0))*INDEX($10:$13,MATCH($O738,$R$10:$R$13,0),COLUMN())</f>
        <v>2.1453696479999999E-2</v>
      </c>
      <c r="AL738" s="1050" cm="1">
        <f t="array" aca="1" ref="AL738" ca="1">INDEX(OFFSET($AK$19,MATCH($B738,$B$19:$B$150,0)-1,0,COUNTA($B$19:$B$24),COUNTA($AK$17:$BB$17)),MATCH($F738,$F$19:$F$24,0),MATCH(AL$17,$AK$17:$BB$17,0))*INDEX($10:$13,MATCH($O738,$R$10:$R$13,0),COLUMN())</f>
        <v>3.2402660879999999E-8</v>
      </c>
      <c r="AM738" s="1050" cm="1">
        <f t="array" aca="1" ref="AM738" ca="1">INDEX(OFFSET($AK$19,MATCH($B738,$B$19:$B$150,0)-1,0,COUNTA($B$19:$B$24),COUNTA($AK$17:$BB$17)),MATCH($F738,$F$19:$F$24,0),MATCH(AM$17,$AK$17:$BB$17,0))*INDEX($10:$13,MATCH($O738,$R$10:$R$13,0),COLUMN())</f>
        <v>0</v>
      </c>
      <c r="AN738" s="1050" cm="1">
        <f t="array" aca="1" ref="AN738" ca="1">INDEX(OFFSET($AK$19,MATCH($B738,$B$19:$B$150,0)-1,0,COUNTA($B$19:$B$24),COUNTA($AK$17:$BB$17)),MATCH($F738,$F$19:$F$24,0),MATCH(AN$17,$AK$17:$BB$17,0))*INDEX($10:$13,MATCH($O738,$R$10:$R$13,0),COLUMN())</f>
        <v>1.1868106902E-3</v>
      </c>
      <c r="AO738" s="1050" cm="1">
        <f t="array" aca="1" ref="AO738" ca="1">INDEX(OFFSET($AK$19,MATCH($B738,$B$19:$B$150,0)-1,0,COUNTA($B$19:$B$24),COUNTA($AK$17:$BB$17)),MATCH($F738,$F$19:$F$24,0),MATCH(AO$17,$AK$17:$BB$17,0))*INDEX($10:$13,MATCH($O738,$R$10:$R$13,0),COLUMN())</f>
        <v>7.983990661643835E-3</v>
      </c>
      <c r="AP738" s="1050" cm="1">
        <f t="array" aca="1" ref="AP738" ca="1">INDEX(OFFSET($AK$19,MATCH($B738,$B$19:$B$150,0)-1,0,COUNTA($B$19:$B$24),COUNTA($AK$17:$BB$17)),MATCH($F738,$F$19:$F$24,0),MATCH(AP$17,$AK$17:$BB$17,0))*INDEX($10:$13,MATCH($O738,$R$10:$R$13,0),COLUMN())</f>
        <v>3.6958679519999995E-3</v>
      </c>
      <c r="AQ738" s="1050" cm="1">
        <f t="array" aca="1" ref="AQ738" ca="1">INDEX(OFFSET($AK$19,MATCH($B738,$B$19:$B$150,0)-1,0,COUNTA($B$19:$B$24),COUNTA($AK$17:$BB$17)),MATCH($F738,$F$19:$F$24,0),MATCH(AQ$17,$AK$17:$BB$17,0))*INDEX($10:$13,MATCH($O738,$R$10:$R$13,0),COLUMN())</f>
        <v>6.1218234079999994E-3</v>
      </c>
      <c r="AR738" s="1050" cm="1">
        <f t="array" aca="1" ref="AR738" ca="1">INDEX(OFFSET($AK$19,MATCH($B738,$B$19:$B$150,0)-1,0,COUNTA($B$19:$B$24),COUNTA($AK$17:$BB$17)),MATCH($F738,$F$19:$F$24,0),MATCH(AR$17,$AK$17:$BB$17,0))*INDEX($10:$13,MATCH($O738,$R$10:$R$13,0),COLUMN())</f>
        <v>5.7001774708000004E-2</v>
      </c>
      <c r="AS738" s="1050" cm="1">
        <f t="array" aca="1" ref="AS738" ca="1">INDEX(OFFSET($AK$19,MATCH($B738,$B$19:$B$150,0)-1,0,COUNTA($B$19:$B$24),COUNTA($AK$17:$BB$17)),MATCH($F738,$F$19:$F$24,0),MATCH(AS$17,$AK$17:$BB$17,0))*INDEX($10:$13,MATCH($O738,$R$10:$R$13,0),COLUMN())</f>
        <v>2.9396966184E-4</v>
      </c>
      <c r="AT738" s="1050" cm="1">
        <f t="array" aca="1" ref="AT738" ca="1">INDEX(OFFSET($AK$19,MATCH($B738,$B$19:$B$150,0)-1,0,COUNTA($B$19:$B$24),COUNTA($AK$17:$BB$17)),MATCH($F738,$F$19:$F$24,0),MATCH(AT$17,$AK$17:$BB$17,0))*INDEX($10:$13,MATCH($O738,$R$10:$R$13,0),COLUMN())</f>
        <v>2.7191626698000003E-6</v>
      </c>
      <c r="AU738" s="1050" cm="1">
        <f t="array" aca="1" ref="AU738" ca="1">INDEX(OFFSET($AK$19,MATCH($B738,$B$19:$B$150,0)-1,0,COUNTA($B$19:$B$24),COUNTA($AK$17:$BB$17)),MATCH($F738,$F$19:$F$24,0),MATCH(AU$17,$AK$17:$BB$17,0))*INDEX($10:$13,MATCH($O738,$R$10:$R$13,0),COLUMN())</f>
        <v>5.554720948799999E-7</v>
      </c>
      <c r="AV738" s="1050" cm="1">
        <f t="array" aca="1" ref="AV738" ca="1">INDEX(OFFSET($AK$19,MATCH($B738,$B$19:$B$150,0)-1,0,COUNTA($B$19:$B$24),COUNTA($AK$17:$BB$17)),MATCH($F738,$F$19:$F$24,0),MATCH(AV$17,$AK$17:$BB$17,0))*INDEX($10:$13,MATCH($O738,$R$10:$R$13,0),COLUMN())</f>
        <v>4.1654291266399705E-4</v>
      </c>
      <c r="AW738" s="1050" cm="1">
        <f t="array" aca="1" ref="AW738" ca="1">INDEX(OFFSET($AK$19,MATCH($B738,$B$19:$B$150,0)-1,0,COUNTA($B$19:$B$24),COUNTA($AK$17:$BB$17)),MATCH($F738,$F$19:$F$24,0),MATCH(AW$17,$AK$17:$BB$17,0))*INDEX($10:$13,MATCH($O738,$R$10:$R$13,0),COLUMN())</f>
        <v>0.38379552100000003</v>
      </c>
      <c r="AX738" s="1050" cm="1">
        <f t="array" aca="1" ref="AX738" ca="1">INDEX(OFFSET($AK$19,MATCH($B738,$B$19:$B$150,0)-1,0,COUNTA($B$19:$B$24),COUNTA($AK$17:$BB$17)),MATCH($F738,$F$19:$F$24,0),MATCH(AX$17,$AK$17:$BB$17,0))*INDEX($10:$13,MATCH($O738,$R$10:$R$13,0),COLUMN())</f>
        <v>9.7094978460000006E-8</v>
      </c>
      <c r="AY738" s="1050" cm="1">
        <f t="array" aca="1" ref="AY738" ca="1">INDEX(OFFSET($AK$19,MATCH($B738,$B$19:$B$150,0)-1,0,COUNTA($B$19:$B$24),COUNTA($AK$17:$BB$17)),MATCH($F738,$F$19:$F$24,0),MATCH(AY$17,$AK$17:$BB$17,0))*INDEX($10:$13,MATCH($O738,$R$10:$R$13,0),COLUMN())</f>
        <v>-6.2263053960000007E-11</v>
      </c>
      <c r="AZ738" s="1050" cm="1">
        <f t="array" aca="1" ref="AZ738" ca="1">INDEX(OFFSET($AK$19,MATCH($B738,$B$19:$B$150,0)-1,0,COUNTA($B$19:$B$24),COUNTA($AK$17:$BB$17)),MATCH($F738,$F$19:$F$24,0),MATCH(AZ$17,$AK$17:$BB$17,0))*INDEX($10:$13,MATCH($O738,$R$10:$R$13,0),COLUMN())</f>
        <v>3.2705534084309128E-6</v>
      </c>
      <c r="BA738" s="1050" cm="1">
        <f t="array" aca="1" ref="BA738" ca="1">INDEX(OFFSET($AK$19,MATCH($B738,$B$19:$B$150,0)-1,0,COUNTA($B$19:$B$24),COUNTA($AK$17:$BB$17)),MATCH($F738,$F$19:$F$24,0),MATCH(BA$17,$AK$17:$BB$17,0))*INDEX($10:$13,MATCH($O738,$R$10:$R$13,0),COLUMN())</f>
        <v>8.6672233309999999E-3</v>
      </c>
      <c r="BB738" s="1051" cm="1">
        <f t="array" aca="1" ref="BB738" ca="1">INDEX(OFFSET($AK$19,MATCH($B738,$B$19:$B$150,0)-1,0,COUNTA($B$19:$B$24),COUNTA($AK$17:$BB$17)),MATCH($F738,$F$19:$F$24,0),MATCH(BB$17,$AK$17:$BB$17,0))*INDEX($10:$13,MATCH($O738,$R$10:$R$13,0),COLUMN())</f>
        <v>2.570983047E-3</v>
      </c>
      <c r="BC738" s="1053">
        <f t="shared" ca="1" si="200"/>
        <v>0.38379561803271545</v>
      </c>
      <c r="BE738" s="1"/>
      <c r="BF738" s="1"/>
      <c r="BG738" s="1"/>
      <c r="BH738" s="1"/>
      <c r="BI738" s="1"/>
      <c r="BJ738" s="1"/>
      <c r="BK738" s="1"/>
      <c r="BL738" s="1"/>
      <c r="BM738" s="1"/>
      <c r="BN738" s="1"/>
      <c r="BO738" s="1"/>
      <c r="BP738" s="1"/>
      <c r="BQ738" s="1"/>
      <c r="BR738" s="1"/>
      <c r="BS738" s="1"/>
      <c r="BT738" s="1"/>
      <c r="BU738" s="1"/>
      <c r="BV738" s="1"/>
      <c r="BW738" s="1"/>
      <c r="BX738" s="1"/>
      <c r="BY738" s="1"/>
      <c r="BZ738" s="1"/>
    </row>
    <row r="739" spans="2:78" ht="12" customHeight="1" outlineLevel="1" x14ac:dyDescent="0.25">
      <c r="B739" s="104" t="s">
        <v>105</v>
      </c>
      <c r="C739" s="104" t="s">
        <v>121</v>
      </c>
      <c r="D739" s="2" t="s">
        <v>137</v>
      </c>
      <c r="E739" s="2" t="s">
        <v>141</v>
      </c>
      <c r="F739" s="105" t="s">
        <v>95</v>
      </c>
      <c r="G739" s="27" t="s">
        <v>1581</v>
      </c>
      <c r="H739" s="106" t="s">
        <v>128</v>
      </c>
      <c r="I739" s="107" t="s">
        <v>127</v>
      </c>
      <c r="J739" s="147">
        <v>0.81023034000000005</v>
      </c>
      <c r="K739" s="148">
        <v>3.15</v>
      </c>
      <c r="L739" s="149">
        <f t="shared" ca="1" si="197"/>
        <v>0.24363252226986973</v>
      </c>
      <c r="M739" s="148">
        <f t="shared" ca="1" si="198"/>
        <v>3.9174424451500895</v>
      </c>
      <c r="N739" s="148">
        <f t="shared" ca="1" si="199"/>
        <v>0.76744244515008964</v>
      </c>
      <c r="O739" s="1062" t="s">
        <v>1586</v>
      </c>
      <c r="P739" s="104"/>
      <c r="R739" s="119"/>
      <c r="S739" s="1072"/>
      <c r="T739" s="1072"/>
      <c r="U739" s="1072"/>
      <c r="V739" s="1072"/>
      <c r="W739" s="1072"/>
      <c r="X739" s="1072"/>
      <c r="Y739" s="1072"/>
      <c r="Z739" s="1072"/>
      <c r="AA739" s="1072"/>
      <c r="AB739" s="1072"/>
      <c r="AC739" s="1072"/>
      <c r="AD739" s="1072"/>
      <c r="AE739" s="1072"/>
      <c r="AF739" s="1072"/>
      <c r="AG739" s="1072"/>
      <c r="AH739" s="1072"/>
      <c r="AI739" s="1072"/>
      <c r="AJ739" s="1073"/>
      <c r="AK739" s="1052" cm="1">
        <f t="array" aca="1" ref="AK739" ca="1">INDEX(OFFSET($AK$19,MATCH($B739,$B$19:$B$150,0)-1,0,COUNTA($B$19:$B$24),COUNTA($AK$17:$BB$17)),MATCH($F739,$F$19:$F$24,0),MATCH(AK$17,$AK$17:$BB$17,0))*INDEX($10:$13,MATCH($O739,$R$10:$R$13,0),COLUMN())</f>
        <v>3.1626367920000002E-2</v>
      </c>
      <c r="AL739" s="1050" cm="1">
        <f t="array" aca="1" ref="AL739" ca="1">INDEX(OFFSET($AK$19,MATCH($B739,$B$19:$B$150,0)-1,0,COUNTA($B$19:$B$24),COUNTA($AK$17:$BB$17)),MATCH($F739,$F$19:$F$24,0),MATCH(AL$17,$AK$17:$BB$17,0))*INDEX($10:$13,MATCH($O739,$R$10:$R$13,0),COLUMN())</f>
        <v>4.0878359399999996E-8</v>
      </c>
      <c r="AM739" s="1050" cm="1">
        <f t="array" aca="1" ref="AM739" ca="1">INDEX(OFFSET($AK$19,MATCH($B739,$B$19:$B$150,0)-1,0,COUNTA($B$19:$B$24),COUNTA($AK$17:$BB$17)),MATCH($F739,$F$19:$F$24,0),MATCH(AM$17,$AK$17:$BB$17,0))*INDEX($10:$13,MATCH($O739,$R$10:$R$13,0),COLUMN())</f>
        <v>0</v>
      </c>
      <c r="AN739" s="1050" cm="1">
        <f t="array" aca="1" ref="AN739" ca="1">INDEX(OFFSET($AK$19,MATCH($B739,$B$19:$B$150,0)-1,0,COUNTA($B$19:$B$24),COUNTA($AK$17:$BB$17)),MATCH($F739,$F$19:$F$24,0),MATCH(AN$17,$AK$17:$BB$17,0))*INDEX($10:$13,MATCH($O739,$R$10:$R$13,0),COLUMN())</f>
        <v>1.6053428058000001E-3</v>
      </c>
      <c r="AO739" s="1050" cm="1">
        <f t="array" aca="1" ref="AO739" ca="1">INDEX(OFFSET($AK$19,MATCH($B739,$B$19:$B$150,0)-1,0,COUNTA($B$19:$B$24),COUNTA($AK$17:$BB$17)),MATCH($F739,$F$19:$F$24,0),MATCH(AO$17,$AK$17:$BB$17,0))*INDEX($10:$13,MATCH($O739,$R$10:$R$13,0),COLUMN())</f>
        <v>2.447576923150685E-2</v>
      </c>
      <c r="AP739" s="1050" cm="1">
        <f t="array" aca="1" ref="AP739" ca="1">INDEX(OFFSET($AK$19,MATCH($B739,$B$19:$B$150,0)-1,0,COUNTA($B$19:$B$24),COUNTA($AK$17:$BB$17)),MATCH($F739,$F$19:$F$24,0),MATCH(AP$17,$AK$17:$BB$17,0))*INDEX($10:$13,MATCH($O739,$R$10:$R$13,0),COLUMN())</f>
        <v>1.6173218208000002E-2</v>
      </c>
      <c r="AQ739" s="1050" cm="1">
        <f t="array" aca="1" ref="AQ739" ca="1">INDEX(OFFSET($AK$19,MATCH($B739,$B$19:$B$150,0)-1,0,COUNTA($B$19:$B$24),COUNTA($AK$17:$BB$17)),MATCH($F739,$F$19:$F$24,0),MATCH(AQ$17,$AK$17:$BB$17,0))*INDEX($10:$13,MATCH($O739,$R$10:$R$13,0),COLUMN())</f>
        <v>3.0343705584E-2</v>
      </c>
      <c r="AR739" s="1050" cm="1">
        <f t="array" aca="1" ref="AR739" ca="1">INDEX(OFFSET($AK$19,MATCH($B739,$B$19:$B$150,0)-1,0,COUNTA($B$19:$B$24),COUNTA($AK$17:$BB$17)),MATCH($F739,$F$19:$F$24,0),MATCH(AR$17,$AK$17:$BB$17,0))*INDEX($10:$13,MATCH($O739,$R$10:$R$13,0),COLUMN())</f>
        <v>0.16406045261999999</v>
      </c>
      <c r="AS739" s="1050" cm="1">
        <f t="array" aca="1" ref="AS739" ca="1">INDEX(OFFSET($AK$19,MATCH($B739,$B$19:$B$150,0)-1,0,COUNTA($B$19:$B$24),COUNTA($AK$17:$BB$17)),MATCH($F739,$F$19:$F$24,0),MATCH(AS$17,$AK$17:$BB$17,0))*INDEX($10:$13,MATCH($O739,$R$10:$R$13,0),COLUMN())</f>
        <v>2.2107967492999998E-3</v>
      </c>
      <c r="AT739" s="1050" cm="1">
        <f t="array" aca="1" ref="AT739" ca="1">INDEX(OFFSET($AK$19,MATCH($B739,$B$19:$B$150,0)-1,0,COUNTA($B$19:$B$24),COUNTA($AK$17:$BB$17)),MATCH($F739,$F$19:$F$24,0),MATCH(AT$17,$AK$17:$BB$17,0))*INDEX($10:$13,MATCH($O739,$R$10:$R$13,0),COLUMN())</f>
        <v>4.7398951339999996E-6</v>
      </c>
      <c r="AU739" s="1050" cm="1">
        <f t="array" aca="1" ref="AU739" ca="1">INDEX(OFFSET($AK$19,MATCH($B739,$B$19:$B$150,0)-1,0,COUNTA($B$19:$B$24),COUNTA($AK$17:$BB$17)),MATCH($F739,$F$19:$F$24,0),MATCH(AU$17,$AK$17:$BB$17,0))*INDEX($10:$13,MATCH($O739,$R$10:$R$13,0),COLUMN())</f>
        <v>8.9894434500000001E-7</v>
      </c>
      <c r="AV739" s="1050" cm="1">
        <f t="array" aca="1" ref="AV739" ca="1">INDEX(OFFSET($AK$19,MATCH($B739,$B$19:$B$150,0)-1,0,COUNTA($B$19:$B$24),COUNTA($AK$17:$BB$17)),MATCH($F739,$F$19:$F$24,0),MATCH(AV$17,$AK$17:$BB$17,0))*INDEX($10:$13,MATCH($O739,$R$10:$R$13,0),COLUMN())</f>
        <v>1.92700481449879E-3</v>
      </c>
      <c r="AW739" s="1050" cm="1">
        <f t="array" aca="1" ref="AW739" ca="1">INDEX(OFFSET($AK$19,MATCH($B739,$B$19:$B$150,0)-1,0,COUNTA($B$19:$B$24),COUNTA($AK$17:$BB$17)),MATCH($F739,$F$19:$F$24,0),MATCH(AW$17,$AK$17:$BB$17,0))*INDEX($10:$13,MATCH($O739,$R$10:$R$13,0),COLUMN())</f>
        <v>0.48022609380000003</v>
      </c>
      <c r="AX739" s="1050" cm="1">
        <f t="array" aca="1" ref="AX739" ca="1">INDEX(OFFSET($AK$19,MATCH($B739,$B$19:$B$150,0)-1,0,COUNTA($B$19:$B$24),COUNTA($AK$17:$BB$17)),MATCH($F739,$F$19:$F$24,0),MATCH(AX$17,$AK$17:$BB$17,0))*INDEX($10:$13,MATCH($O739,$R$10:$R$13,0),COLUMN())</f>
        <v>1.2149058320000003E-7</v>
      </c>
      <c r="AY739" s="1050" cm="1">
        <f t="array" aca="1" ref="AY739" ca="1">INDEX(OFFSET($AK$19,MATCH($B739,$B$19:$B$150,0)-1,0,COUNTA($B$19:$B$24),COUNTA($AK$17:$BB$17)),MATCH($F739,$F$19:$F$24,0),MATCH(AY$17,$AK$17:$BB$17,0))*INDEX($10:$13,MATCH($O739,$R$10:$R$13,0),COLUMN())</f>
        <v>-7.7906961110000005E-11</v>
      </c>
      <c r="AZ739" s="1050" cm="1">
        <f t="array" aca="1" ref="AZ739" ca="1">INDEX(OFFSET($AK$19,MATCH($B739,$B$19:$B$150,0)-1,0,COUNTA($B$19:$B$24),COUNTA($AK$17:$BB$17)),MATCH($F739,$F$19:$F$24,0),MATCH(AZ$17,$AK$17:$BB$17,0))*INDEX($10:$13,MATCH($O739,$R$10:$R$13,0),COLUMN())</f>
        <v>4.0986594693208422E-6</v>
      </c>
      <c r="BA739" s="1050" cm="1">
        <f t="array" aca="1" ref="BA739" ca="1">INDEX(OFFSET($AK$19,MATCH($B739,$B$19:$B$150,0)-1,0,COUNTA($B$19:$B$24),COUNTA($AK$17:$BB$17)),MATCH($F739,$F$19:$F$24,0),MATCH(BA$17,$AK$17:$BB$17,0))*INDEX($10:$13,MATCH($O739,$R$10:$R$13,0),COLUMN())</f>
        <v>1.1566248118999999E-2</v>
      </c>
      <c r="BB739" s="1051" cm="1">
        <f t="array" aca="1" ref="BB739" ca="1">INDEX(OFFSET($AK$19,MATCH($B739,$B$19:$B$150,0)-1,0,COUNTA($B$19:$B$24),COUNTA($AK$17:$BB$17)),MATCH($F739,$F$19:$F$24,0),MATCH(BB$17,$AK$17:$BB$17,0))*INDEX($10:$13,MATCH($O739,$R$10:$R$13,0),COLUMN())</f>
        <v>3.2175455079999997E-3</v>
      </c>
      <c r="BC739" s="1053">
        <f t="shared" ca="1" si="200"/>
        <v>0.48022621521267628</v>
      </c>
      <c r="BE739" s="1"/>
      <c r="BF739" s="1"/>
      <c r="BG739" s="1"/>
      <c r="BH739" s="1"/>
      <c r="BI739" s="1"/>
      <c r="BJ739" s="1"/>
      <c r="BK739" s="1"/>
      <c r="BL739" s="1"/>
      <c r="BM739" s="1"/>
      <c r="BN739" s="1"/>
      <c r="BO739" s="1"/>
      <c r="BP739" s="1"/>
      <c r="BQ739" s="1"/>
      <c r="BR739" s="1"/>
      <c r="BS739" s="1"/>
      <c r="BT739" s="1"/>
      <c r="BU739" s="1"/>
      <c r="BV739" s="1"/>
      <c r="BW739" s="1"/>
      <c r="BX739" s="1"/>
      <c r="BY739" s="1"/>
      <c r="BZ739" s="1"/>
    </row>
    <row r="740" spans="2:78" ht="12" customHeight="1" outlineLevel="1" x14ac:dyDescent="0.25">
      <c r="B740" s="104" t="s">
        <v>105</v>
      </c>
      <c r="C740" s="104" t="s">
        <v>121</v>
      </c>
      <c r="D740" s="2" t="s">
        <v>137</v>
      </c>
      <c r="E740" s="2" t="s">
        <v>141</v>
      </c>
      <c r="F740" s="105" t="s">
        <v>96</v>
      </c>
      <c r="G740" s="27" t="s">
        <v>1582</v>
      </c>
      <c r="H740" s="106" t="s">
        <v>128</v>
      </c>
      <c r="I740" s="107" t="s">
        <v>1577</v>
      </c>
      <c r="J740" s="147">
        <v>0.81023034000000005</v>
      </c>
      <c r="K740" s="148">
        <v>3.15</v>
      </c>
      <c r="L740" s="149">
        <f t="shared" ca="1" si="197"/>
        <v>0.27823463395068532</v>
      </c>
      <c r="M740" s="148">
        <f t="shared" ca="1" si="198"/>
        <v>4.0264390969446584</v>
      </c>
      <c r="N740" s="148">
        <f t="shared" ca="1" si="199"/>
        <v>0.87643909694465871</v>
      </c>
      <c r="O740" s="1062" t="s">
        <v>1586</v>
      </c>
      <c r="P740" s="104"/>
      <c r="R740" s="119"/>
      <c r="S740" s="1072"/>
      <c r="T740" s="1072"/>
      <c r="U740" s="1072"/>
      <c r="V740" s="1072"/>
      <c r="W740" s="1072"/>
      <c r="X740" s="1072"/>
      <c r="Y740" s="1072"/>
      <c r="Z740" s="1072"/>
      <c r="AA740" s="1072"/>
      <c r="AB740" s="1072"/>
      <c r="AC740" s="1072"/>
      <c r="AD740" s="1072"/>
      <c r="AE740" s="1072"/>
      <c r="AF740" s="1072"/>
      <c r="AG740" s="1072"/>
      <c r="AH740" s="1072"/>
      <c r="AI740" s="1072"/>
      <c r="AJ740" s="1073"/>
      <c r="AK740" s="1052" cm="1">
        <f t="array" aca="1" ref="AK740" ca="1">INDEX(OFFSET($AK$19,MATCH($B740,$B$19:$B$150,0)-1,0,COUNTA($B$19:$B$24),COUNTA($AK$17:$BB$17)),MATCH($F740,$F$19:$F$24,0),MATCH(AK$17,$AK$17:$BB$17,0))*INDEX($10:$13,MATCH($O740,$R$10:$R$13,0),COLUMN())</f>
        <v>3.5053777920000001E-2</v>
      </c>
      <c r="AL740" s="1050" cm="1">
        <f t="array" aca="1" ref="AL740" ca="1">INDEX(OFFSET($AK$19,MATCH($B740,$B$19:$B$150,0)-1,0,COUNTA($B$19:$B$24),COUNTA($AK$17:$BB$17)),MATCH($F740,$F$19:$F$24,0),MATCH(AL$17,$AK$17:$BB$17,0))*INDEX($10:$13,MATCH($O740,$R$10:$R$13,0),COLUMN())</f>
        <v>4.1096571E-8</v>
      </c>
      <c r="AM740" s="1050" cm="1">
        <f t="array" aca="1" ref="AM740" ca="1">INDEX(OFFSET($AK$19,MATCH($B740,$B$19:$B$150,0)-1,0,COUNTA($B$19:$B$24),COUNTA($AK$17:$BB$17)),MATCH($F740,$F$19:$F$24,0),MATCH(AM$17,$AK$17:$BB$17,0))*INDEX($10:$13,MATCH($O740,$R$10:$R$13,0),COLUMN())</f>
        <v>0</v>
      </c>
      <c r="AN740" s="1050" cm="1">
        <f t="array" aca="1" ref="AN740" ca="1">INDEX(OFFSET($AK$19,MATCH($B740,$B$19:$B$150,0)-1,0,COUNTA($B$19:$B$24),COUNTA($AK$17:$BB$17)),MATCH($F740,$F$19:$F$24,0),MATCH(AN$17,$AK$17:$BB$17,0))*INDEX($10:$13,MATCH($O740,$R$10:$R$13,0),COLUMN())</f>
        <v>1.6838785692000003E-3</v>
      </c>
      <c r="AO740" s="1050" cm="1">
        <f t="array" aca="1" ref="AO740" ca="1">INDEX(OFFSET($AK$19,MATCH($B740,$B$19:$B$150,0)-1,0,COUNTA($B$19:$B$24),COUNTA($AK$17:$BB$17)),MATCH($F740,$F$19:$F$24,0),MATCH(AO$17,$AK$17:$BB$17,0))*INDEX($10:$13,MATCH($O740,$R$10:$R$13,0),COLUMN())</f>
        <v>3.5007227260273978E-2</v>
      </c>
      <c r="AP740" s="1050" cm="1">
        <f t="array" aca="1" ref="AP740" ca="1">INDEX(OFFSET($AK$19,MATCH($B740,$B$19:$B$150,0)-1,0,COUNTA($B$19:$B$24),COUNTA($AK$17:$BB$17)),MATCH($F740,$F$19:$F$24,0),MATCH(AP$17,$AK$17:$BB$17,0))*INDEX($10:$13,MATCH($O740,$R$10:$R$13,0),COLUMN())</f>
        <v>2.4586331279999998E-2</v>
      </c>
      <c r="AQ740" s="1050" cm="1">
        <f t="array" aca="1" ref="AQ740" ca="1">INDEX(OFFSET($AK$19,MATCH($B740,$B$19:$B$150,0)-1,0,COUNTA($B$19:$B$24),COUNTA($AK$17:$BB$17)),MATCH($F740,$F$19:$F$24,0),MATCH(AQ$17,$AK$17:$BB$17,0))*INDEX($10:$13,MATCH($O740,$R$10:$R$13,0),COLUMN())</f>
        <v>4.6498596640000001E-2</v>
      </c>
      <c r="AR740" s="1050" cm="1">
        <f t="array" aca="1" ref="AR740" ca="1">INDEX(OFFSET($AK$19,MATCH($B740,$B$19:$B$150,0)-1,0,COUNTA($B$19:$B$24),COUNTA($AK$17:$BB$17)),MATCH($F740,$F$19:$F$24,0),MATCH(AR$17,$AK$17:$BB$17,0))*INDEX($10:$13,MATCH($O740,$R$10:$R$13,0),COLUMN())</f>
        <v>0.2316723809</v>
      </c>
      <c r="AS740" s="1050" cm="1">
        <f t="array" aca="1" ref="AS740" ca="1">INDEX(OFFSET($AK$19,MATCH($B740,$B$19:$B$150,0)-1,0,COUNTA($B$19:$B$24),COUNTA($AK$17:$BB$17)),MATCH($F740,$F$19:$F$24,0),MATCH(AS$17,$AK$17:$BB$17,0))*INDEX($10:$13,MATCH($O740,$R$10:$R$13,0),COLUMN())</f>
        <v>3.4697652589999999E-3</v>
      </c>
      <c r="AT740" s="1050" cm="1">
        <f t="array" aca="1" ref="AT740" ca="1">INDEX(OFFSET($AK$19,MATCH($B740,$B$19:$B$150,0)-1,0,COUNTA($B$19:$B$24),COUNTA($AK$17:$BB$17)),MATCH($F740,$F$19:$F$24,0),MATCH(AT$17,$AK$17:$BB$17,0))*INDEX($10:$13,MATCH($O740,$R$10:$R$13,0),COLUMN())</f>
        <v>5.3048709960000001E-6</v>
      </c>
      <c r="AU740" s="1050" cm="1">
        <f t="array" aca="1" ref="AU740" ca="1">INDEX(OFFSET($AK$19,MATCH($B740,$B$19:$B$150,0)-1,0,COUNTA($B$19:$B$24),COUNTA($AK$17:$BB$17)),MATCH($F740,$F$19:$F$24,0),MATCH(AU$17,$AK$17:$BB$17,0))*INDEX($10:$13,MATCH($O740,$R$10:$R$13,0),COLUMN())</f>
        <v>9.7961139059999995E-7</v>
      </c>
      <c r="AV740" s="1050" cm="1">
        <f t="array" aca="1" ref="AV740" ca="1">INDEX(OFFSET($AK$19,MATCH($B740,$B$19:$B$150,0)-1,0,COUNTA($B$19:$B$24),COUNTA($AK$17:$BB$17)),MATCH($F740,$F$19:$F$24,0),MATCH(AV$17,$AK$17:$BB$17,0))*INDEX($10:$13,MATCH($O740,$R$10:$R$13,0),COLUMN())</f>
        <v>2.9755576975290569E-3</v>
      </c>
      <c r="AW740" s="1050" cm="1">
        <f t="array" aca="1" ref="AW740" ca="1">INDEX(OFFSET($AK$19,MATCH($B740,$B$19:$B$150,0)-1,0,COUNTA($B$19:$B$24),COUNTA($AK$17:$BB$17)),MATCH($F740,$F$19:$F$24,0),MATCH(AW$17,$AK$17:$BB$17,0))*INDEX($10:$13,MATCH($O740,$R$10:$R$13,0),COLUMN())</f>
        <v>0.48022609380000003</v>
      </c>
      <c r="AX740" s="1050" cm="1">
        <f t="array" aca="1" ref="AX740" ca="1">INDEX(OFFSET($AK$19,MATCH($B740,$B$19:$B$150,0)-1,0,COUNTA($B$19:$B$24),COUNTA($AK$17:$BB$17)),MATCH($F740,$F$19:$F$24,0),MATCH(AX$17,$AK$17:$BB$17,0))*INDEX($10:$13,MATCH($O740,$R$10:$R$13,0),COLUMN())</f>
        <v>1.2149058320000003E-7</v>
      </c>
      <c r="AY740" s="1050" cm="1">
        <f t="array" aca="1" ref="AY740" ca="1">INDEX(OFFSET($AK$19,MATCH($B740,$B$19:$B$150,0)-1,0,COUNTA($B$19:$B$24),COUNTA($AK$17:$BB$17)),MATCH($F740,$F$19:$F$24,0),MATCH(AY$17,$AK$17:$BB$17,0))*INDEX($10:$13,MATCH($O740,$R$10:$R$13,0),COLUMN())</f>
        <v>-7.7906961110000005E-11</v>
      </c>
      <c r="AZ740" s="1050" cm="1">
        <f t="array" aca="1" ref="AZ740" ca="1">INDEX(OFFSET($AK$19,MATCH($B740,$B$19:$B$150,0)-1,0,COUNTA($B$19:$B$24),COUNTA($AK$17:$BB$17)),MATCH($F740,$F$19:$F$24,0),MATCH(AZ$17,$AK$17:$BB$17,0))*INDEX($10:$13,MATCH($O740,$R$10:$R$13,0),COLUMN())</f>
        <v>4.1028120217798584E-6</v>
      </c>
      <c r="BA740" s="1050" cm="1">
        <f t="array" aca="1" ref="BA740" ca="1">INDEX(OFFSET($AK$19,MATCH($B740,$B$19:$B$150,0)-1,0,COUNTA($B$19:$B$24),COUNTA($AK$17:$BB$17)),MATCH($F740,$F$19:$F$24,0),MATCH(BA$17,$AK$17:$BB$17,0))*INDEX($10:$13,MATCH($O740,$R$10:$R$13,0),COLUMN())</f>
        <v>1.2037007242999999E-2</v>
      </c>
      <c r="BB740" s="1051" cm="1">
        <f t="array" aca="1" ref="BB740" ca="1">INDEX(OFFSET($AK$19,MATCH($B740,$B$19:$B$150,0)-1,0,COUNTA($B$19:$B$24),COUNTA($AK$17:$BB$17)),MATCH($F740,$F$19:$F$24,0),MATCH(BB$17,$AK$17:$BB$17,0))*INDEX($10:$13,MATCH($O740,$R$10:$R$13,0),COLUMN())</f>
        <v>3.2179305720000002E-3</v>
      </c>
      <c r="BC740" s="1053">
        <f t="shared" ca="1" si="200"/>
        <v>0.48022621521267628</v>
      </c>
      <c r="BE740" s="1"/>
      <c r="BF740" s="1"/>
      <c r="BG740" s="1"/>
      <c r="BH740" s="1"/>
      <c r="BI740" s="1"/>
      <c r="BJ740" s="1"/>
      <c r="BK740" s="1"/>
      <c r="BL740" s="1"/>
      <c r="BM740" s="1"/>
      <c r="BN740" s="1"/>
      <c r="BO740" s="1"/>
      <c r="BP740" s="1"/>
      <c r="BQ740" s="1"/>
      <c r="BR740" s="1"/>
      <c r="BS740" s="1"/>
      <c r="BT740" s="1"/>
      <c r="BU740" s="1"/>
      <c r="BV740" s="1"/>
      <c r="BW740" s="1"/>
      <c r="BX740" s="1"/>
      <c r="BY740" s="1"/>
      <c r="BZ740" s="1"/>
    </row>
    <row r="741" spans="2:78" ht="12" customHeight="1" outlineLevel="1" x14ac:dyDescent="0.25">
      <c r="B741" s="88" t="s">
        <v>106</v>
      </c>
      <c r="C741" s="88" t="s">
        <v>121</v>
      </c>
      <c r="D741" s="89" t="s">
        <v>137</v>
      </c>
      <c r="E741" s="89" t="s">
        <v>142</v>
      </c>
      <c r="F741" s="90" t="s">
        <v>92</v>
      </c>
      <c r="G741" s="18" t="s">
        <v>126</v>
      </c>
      <c r="H741" s="91" t="s">
        <v>127</v>
      </c>
      <c r="I741" s="92" t="s">
        <v>127</v>
      </c>
      <c r="J741" s="142">
        <v>4.9808850400000004</v>
      </c>
      <c r="K741" s="143">
        <v>0.32371000000000005</v>
      </c>
      <c r="L741" s="144">
        <f t="shared" ca="1" si="197"/>
        <v>7.7460144699737894</v>
      </c>
      <c r="M741" s="143">
        <f t="shared" ca="1" si="198"/>
        <v>2.8311723440752159</v>
      </c>
      <c r="N741" s="143">
        <f t="shared" ca="1" si="199"/>
        <v>2.5074623440752157</v>
      </c>
      <c r="O741" s="1063" t="s">
        <v>1586</v>
      </c>
      <c r="P741" s="88"/>
      <c r="Q741" s="89"/>
      <c r="R741" s="150"/>
      <c r="S741" s="1070"/>
      <c r="T741" s="1070"/>
      <c r="U741" s="1070"/>
      <c r="V741" s="1070"/>
      <c r="W741" s="1070"/>
      <c r="X741" s="1070"/>
      <c r="Y741" s="1070"/>
      <c r="Z741" s="1070"/>
      <c r="AA741" s="1070"/>
      <c r="AB741" s="1070"/>
      <c r="AC741" s="1070"/>
      <c r="AD741" s="1070"/>
      <c r="AE741" s="1070"/>
      <c r="AF741" s="1070"/>
      <c r="AG741" s="1070"/>
      <c r="AH741" s="1070"/>
      <c r="AI741" s="1070"/>
      <c r="AJ741" s="1071"/>
      <c r="AK741" s="1048" cm="1">
        <f t="array" aca="1" ref="AK741" ca="1">INDEX(OFFSET($AK$19,MATCH($B741,$B$19:$B$150,0)-1,0,COUNTA($B$19:$B$24),COUNTA($AK$17:$BB$17)),MATCH($F741,$F$19:$F$24,0),MATCH(AK$17,$AK$17:$BB$17,0))*INDEX($10:$13,MATCH($O741,$R$10:$R$13,0),COLUMN())</f>
        <v>0.14077523016000001</v>
      </c>
      <c r="AL741" s="1046" cm="1">
        <f t="array" aca="1" ref="AL741" ca="1">INDEX(OFFSET($AK$19,MATCH($B741,$B$19:$B$150,0)-1,0,COUNTA($B$19:$B$24),COUNTA($AK$17:$BB$17)),MATCH($F741,$F$19:$F$24,0),MATCH(AL$17,$AK$17:$BB$17,0))*INDEX($10:$13,MATCH($O741,$R$10:$R$13,0),COLUMN())</f>
        <v>2.1315809664E-7</v>
      </c>
      <c r="AM741" s="1046" cm="1">
        <f t="array" aca="1" ref="AM741" ca="1">INDEX(OFFSET($AK$19,MATCH($B741,$B$19:$B$150,0)-1,0,COUNTA($B$19:$B$24),COUNTA($AK$17:$BB$17)),MATCH($F741,$F$19:$F$24,0),MATCH(AM$17,$AK$17:$BB$17,0))*INDEX($10:$13,MATCH($O741,$R$10:$R$13,0),COLUMN())</f>
        <v>0</v>
      </c>
      <c r="AN741" s="1046" cm="1">
        <f t="array" aca="1" ref="AN741" ca="1">INDEX(OFFSET($AK$19,MATCH($B741,$B$19:$B$150,0)-1,0,COUNTA($B$19:$B$24),COUNTA($AK$17:$BB$17)),MATCH($F741,$F$19:$F$24,0),MATCH(AN$17,$AK$17:$BB$17,0))*INDEX($10:$13,MATCH($O741,$R$10:$R$13,0),COLUMN())</f>
        <v>3.7446116400000006E-3</v>
      </c>
      <c r="AO741" s="1046" cm="1">
        <f t="array" aca="1" ref="AO741" ca="1">INDEX(OFFSET($AK$19,MATCH($B741,$B$19:$B$150,0)-1,0,COUNTA($B$19:$B$24),COUNTA($AK$17:$BB$17)),MATCH($F741,$F$19:$F$24,0),MATCH(AO$17,$AK$17:$BB$17,0))*INDEX($10:$13,MATCH($O741,$R$10:$R$13,0),COLUMN())</f>
        <v>7.218582920547946E-2</v>
      </c>
      <c r="AP741" s="1046" cm="1">
        <f t="array" aca="1" ref="AP741" ca="1">INDEX(OFFSET($AK$19,MATCH($B741,$B$19:$B$150,0)-1,0,COUNTA($B$19:$B$24),COUNTA($AK$17:$BB$17)),MATCH($F741,$F$19:$F$24,0),MATCH(AP$17,$AK$17:$BB$17,0))*INDEX($10:$13,MATCH($O741,$R$10:$R$13,0),COLUMN())</f>
        <v>4.95172272E-2</v>
      </c>
      <c r="AQ741" s="1046" cm="1">
        <f t="array" aca="1" ref="AQ741" ca="1">INDEX(OFFSET($AK$19,MATCH($B741,$B$19:$B$150,0)-1,0,COUNTA($B$19:$B$24),COUNTA($AK$17:$BB$17)),MATCH($F741,$F$19:$F$24,0),MATCH(AQ$17,$AK$17:$BB$17,0))*INDEX($10:$13,MATCH($O741,$R$10:$R$13,0),COLUMN())</f>
        <v>0.13625212815999999</v>
      </c>
      <c r="AR741" s="1046" cm="1">
        <f t="array" aca="1" ref="AR741" ca="1">INDEX(OFFSET($AK$19,MATCH($B741,$B$19:$B$150,0)-1,0,COUNTA($B$19:$B$24),COUNTA($AK$17:$BB$17)),MATCH($F741,$F$19:$F$24,0),MATCH(AR$17,$AK$17:$BB$17,0))*INDEX($10:$13,MATCH($O741,$R$10:$R$13,0),COLUMN())</f>
        <v>0.81520258899999998</v>
      </c>
      <c r="AS741" s="1046" cm="1">
        <f t="array" aca="1" ref="AS741" ca="1">INDEX(OFFSET($AK$19,MATCH($B741,$B$19:$B$150,0)-1,0,COUNTA($B$19:$B$24),COUNTA($AK$17:$BB$17)),MATCH($F741,$F$19:$F$24,0),MATCH(AS$17,$AK$17:$BB$17,0))*INDEX($10:$13,MATCH($O741,$R$10:$R$13,0),COLUMN())</f>
        <v>0.16626040713999998</v>
      </c>
      <c r="AT741" s="1046" cm="1">
        <f t="array" aca="1" ref="AT741" ca="1">INDEX(OFFSET($AK$19,MATCH($B741,$B$19:$B$150,0)-1,0,COUNTA($B$19:$B$24),COUNTA($AK$17:$BB$17)),MATCH($F741,$F$19:$F$24,0),MATCH(AT$17,$AK$17:$BB$17,0))*INDEX($10:$13,MATCH($O741,$R$10:$R$13,0),COLUMN())</f>
        <v>1.9014105126E-4</v>
      </c>
      <c r="AU741" s="1046" cm="1">
        <f t="array" aca="1" ref="AU741" ca="1">INDEX(OFFSET($AK$19,MATCH($B741,$B$19:$B$150,0)-1,0,COUNTA($B$19:$B$24),COUNTA($AK$17:$BB$17)),MATCH($F741,$F$19:$F$24,0),MATCH(AU$17,$AK$17:$BB$17,0))*INDEX($10:$13,MATCH($O741,$R$10:$R$13,0),COLUMN())</f>
        <v>1.3498900457999999E-5</v>
      </c>
      <c r="AV741" s="1046" cm="1">
        <f t="array" aca="1" ref="AV741" ca="1">INDEX(OFFSET($AK$19,MATCH($B741,$B$19:$B$150,0)-1,0,COUNTA($B$19:$B$24),COUNTA($AK$17:$BB$17)),MATCH($F741,$F$19:$F$24,0),MATCH(AV$17,$AK$17:$BB$17,0))*INDEX($10:$13,MATCH($O741,$R$10:$R$13,0),COLUMN())</f>
        <v>5.709733590543286E-3</v>
      </c>
      <c r="AW741" s="1046" cm="1">
        <f t="array" aca="1" ref="AW741" ca="1">INDEX(OFFSET($AK$19,MATCH($B741,$B$19:$B$150,0)-1,0,COUNTA($B$19:$B$24),COUNTA($AK$17:$BB$17)),MATCH($F741,$F$19:$F$24,0),MATCH(AW$17,$AK$17:$BB$17,0))*INDEX($10:$13,MATCH($O741,$R$10:$R$13,0),COLUMN())</f>
        <v>1.0755245214</v>
      </c>
      <c r="AX741" s="1046" cm="1">
        <f t="array" aca="1" ref="AX741" ca="1">INDEX(OFFSET($AK$19,MATCH($B741,$B$19:$B$150,0)-1,0,COUNTA($B$19:$B$24),COUNTA($AK$17:$BB$17)),MATCH($F741,$F$19:$F$24,0),MATCH(AX$17,$AK$17:$BB$17,0))*INDEX($10:$13,MATCH($O741,$R$10:$R$13,0),COLUMN())</f>
        <v>1.218445183E-6</v>
      </c>
      <c r="AY741" s="1046" cm="1">
        <f t="array" aca="1" ref="AY741" ca="1">INDEX(OFFSET($AK$19,MATCH($B741,$B$19:$B$150,0)-1,0,COUNTA($B$19:$B$24),COUNTA($AK$17:$BB$17)),MATCH($F741,$F$19:$F$24,0),MATCH(AY$17,$AK$17:$BB$17,0))*INDEX($10:$13,MATCH($O741,$R$10:$R$13,0),COLUMN())</f>
        <v>-8.0399523539999992E-10</v>
      </c>
      <c r="AZ741" s="1046" cm="1">
        <f t="array" aca="1" ref="AZ741" ca="1">INDEX(OFFSET($AK$19,MATCH($B741,$B$19:$B$150,0)-1,0,COUNTA($B$19:$B$24),COUNTA($AK$17:$BB$17)),MATCH($F741,$F$19:$F$24,0),MATCH(AZ$17,$AK$17:$BB$17,0))*INDEX($10:$13,MATCH($O741,$R$10:$R$13,0),COLUMN())</f>
        <v>9.4246886908665096E-6</v>
      </c>
      <c r="BA741" s="1046" cm="1">
        <f t="array" aca="1" ref="BA741" ca="1">INDEX(OFFSET($AK$19,MATCH($B741,$B$19:$B$150,0)-1,0,COUNTA($B$19:$B$24),COUNTA($AK$17:$BB$17)),MATCH($F741,$F$19:$F$24,0),MATCH(BA$17,$AK$17:$BB$17,0))*INDEX($10:$13,MATCH($O741,$R$10:$R$13,0),COLUMN())</f>
        <v>4.1552276973999998E-2</v>
      </c>
      <c r="BB741" s="1047" cm="1">
        <f t="array" aca="1" ref="BB741" ca="1">INDEX(OFFSET($AK$19,MATCH($B741,$B$19:$B$150,0)-1,0,COUNTA($B$19:$B$24),COUNTA($AK$17:$BB$17)),MATCH($F741,$F$19:$F$24,0),MATCH(BB$17,$AK$17:$BB$17,0))*INDEX($10:$13,MATCH($O741,$R$10:$R$13,0),COLUMN())</f>
        <v>5.2329416549999998E-4</v>
      </c>
      <c r="BC741" s="1049">
        <f t="shared" ca="1" si="200"/>
        <v>1.0755257390411876</v>
      </c>
      <c r="BE741" s="1"/>
      <c r="BF741" s="1"/>
      <c r="BG741" s="1"/>
      <c r="BH741" s="1"/>
      <c r="BI741" s="1"/>
      <c r="BJ741" s="1"/>
      <c r="BK741" s="1"/>
      <c r="BL741" s="1"/>
      <c r="BM741" s="1"/>
      <c r="BN741" s="1"/>
      <c r="BO741" s="1"/>
      <c r="BP741" s="1"/>
      <c r="BQ741" s="1"/>
      <c r="BR741" s="1"/>
      <c r="BS741" s="1"/>
      <c r="BT741" s="1"/>
      <c r="BU741" s="1"/>
      <c r="BV741" s="1"/>
      <c r="BW741" s="1"/>
      <c r="BX741" s="1"/>
      <c r="BY741" s="1"/>
      <c r="BZ741" s="1"/>
    </row>
    <row r="742" spans="2:78" ht="12" customHeight="1" outlineLevel="1" x14ac:dyDescent="0.25">
      <c r="B742" s="104" t="s">
        <v>106</v>
      </c>
      <c r="C742" s="104" t="s">
        <v>121</v>
      </c>
      <c r="D742" s="2" t="s">
        <v>137</v>
      </c>
      <c r="E742" s="2" t="s">
        <v>142</v>
      </c>
      <c r="F742" s="105" t="s">
        <v>122</v>
      </c>
      <c r="G742" s="27" t="s">
        <v>1579</v>
      </c>
      <c r="H742" s="106" t="s">
        <v>128</v>
      </c>
      <c r="I742" s="107" t="s">
        <v>129</v>
      </c>
      <c r="J742" s="147">
        <v>4.9808850400000004</v>
      </c>
      <c r="K742" s="148">
        <v>0.70413000000000003</v>
      </c>
      <c r="L742" s="149">
        <f t="shared" ca="1" si="197"/>
        <v>2.4765615982511164</v>
      </c>
      <c r="M742" s="148">
        <f t="shared" ca="1" si="198"/>
        <v>2.4479513181765586</v>
      </c>
      <c r="N742" s="148">
        <f t="shared" ca="1" si="199"/>
        <v>1.7438213181765587</v>
      </c>
      <c r="O742" s="1062" t="s">
        <v>1586</v>
      </c>
      <c r="P742" s="104"/>
      <c r="R742" s="119"/>
      <c r="S742" s="1072"/>
      <c r="T742" s="1072"/>
      <c r="U742" s="1072"/>
      <c r="V742" s="1072"/>
      <c r="W742" s="1072"/>
      <c r="X742" s="1072"/>
      <c r="Y742" s="1072"/>
      <c r="Z742" s="1072"/>
      <c r="AA742" s="1072"/>
      <c r="AB742" s="1072"/>
      <c r="AC742" s="1072"/>
      <c r="AD742" s="1072"/>
      <c r="AE742" s="1072"/>
      <c r="AF742" s="1072"/>
      <c r="AG742" s="1072"/>
      <c r="AH742" s="1072"/>
      <c r="AI742" s="1072"/>
      <c r="AJ742" s="1073"/>
      <c r="AK742" s="1052" cm="1">
        <f t="array" aca="1" ref="AK742" ca="1">INDEX(OFFSET($AK$19,MATCH($B742,$B$19:$B$150,0)-1,0,COUNTA($B$19:$B$24),COUNTA($AK$17:$BB$17)),MATCH($F742,$F$19:$F$24,0),MATCH(AK$17,$AK$17:$BB$17,0))*INDEX($10:$13,MATCH($O742,$R$10:$R$13,0),COLUMN())</f>
        <v>9.3642901439999995E-2</v>
      </c>
      <c r="AL742" s="1050" cm="1">
        <f t="array" aca="1" ref="AL742" ca="1">INDEX(OFFSET($AK$19,MATCH($B742,$B$19:$B$150,0)-1,0,COUNTA($B$19:$B$24),COUNTA($AK$17:$BB$17)),MATCH($F742,$F$19:$F$24,0),MATCH(AL$17,$AK$17:$BB$17,0))*INDEX($10:$13,MATCH($O742,$R$10:$R$13,0),COLUMN())</f>
        <v>1.0295832894E-7</v>
      </c>
      <c r="AM742" s="1050" cm="1">
        <f t="array" aca="1" ref="AM742" ca="1">INDEX(OFFSET($AK$19,MATCH($B742,$B$19:$B$150,0)-1,0,COUNTA($B$19:$B$24),COUNTA($AK$17:$BB$17)),MATCH($F742,$F$19:$F$24,0),MATCH(AM$17,$AK$17:$BB$17,0))*INDEX($10:$13,MATCH($O742,$R$10:$R$13,0),COLUMN())</f>
        <v>0</v>
      </c>
      <c r="AN742" s="1050" cm="1">
        <f t="array" aca="1" ref="AN742" ca="1">INDEX(OFFSET($AK$19,MATCH($B742,$B$19:$B$150,0)-1,0,COUNTA($B$19:$B$24),COUNTA($AK$17:$BB$17)),MATCH($F742,$F$19:$F$24,0),MATCH(AN$17,$AK$17:$BB$17,0))*INDEX($10:$13,MATCH($O742,$R$10:$R$13,0),COLUMN())</f>
        <v>3.9058877580000003E-3</v>
      </c>
      <c r="AO742" s="1050" cm="1">
        <f t="array" aca="1" ref="AO742" ca="1">INDEX(OFFSET($AK$19,MATCH($B742,$B$19:$B$150,0)-1,0,COUNTA($B$19:$B$24),COUNTA($AK$17:$BB$17)),MATCH($F742,$F$19:$F$24,0),MATCH(AO$17,$AK$17:$BB$17,0))*INDEX($10:$13,MATCH($O742,$R$10:$R$13,0),COLUMN())</f>
        <v>2.5994949908219177E-2</v>
      </c>
      <c r="AP742" s="1050" cm="1">
        <f t="array" aca="1" ref="AP742" ca="1">INDEX(OFFSET($AK$19,MATCH($B742,$B$19:$B$150,0)-1,0,COUNTA($B$19:$B$24),COUNTA($AK$17:$BB$17)),MATCH($F742,$F$19:$F$24,0),MATCH(AP$17,$AK$17:$BB$17,0))*INDEX($10:$13,MATCH($O742,$R$10:$R$13,0),COLUMN())</f>
        <v>1.1956620479999999E-2</v>
      </c>
      <c r="AQ742" s="1050" cm="1">
        <f t="array" aca="1" ref="AQ742" ca="1">INDEX(OFFSET($AK$19,MATCH($B742,$B$19:$B$150,0)-1,0,COUNTA($B$19:$B$24),COUNTA($AK$17:$BB$17)),MATCH($F742,$F$19:$F$24,0),MATCH(AQ$17,$AK$17:$BB$17,0))*INDEX($10:$13,MATCH($O742,$R$10:$R$13,0),COLUMN())</f>
        <v>1.9677987792000001E-2</v>
      </c>
      <c r="AR742" s="1050" cm="1">
        <f t="array" aca="1" ref="AR742" ca="1">INDEX(OFFSET($AK$19,MATCH($B742,$B$19:$B$150,0)-1,0,COUNTA($B$19:$B$24),COUNTA($AK$17:$BB$17)),MATCH($F742,$F$19:$F$24,0),MATCH(AR$17,$AK$17:$BB$17,0))*INDEX($10:$13,MATCH($O742,$R$10:$R$13,0),COLUMN())</f>
        <v>0.32565372593999997</v>
      </c>
      <c r="AS742" s="1050" cm="1">
        <f t="array" aca="1" ref="AS742" ca="1">INDEX(OFFSET($AK$19,MATCH($B742,$B$19:$B$150,0)-1,0,COUNTA($B$19:$B$24),COUNTA($AK$17:$BB$17)),MATCH($F742,$F$19:$F$24,0),MATCH(AS$17,$AK$17:$BB$17,0))*INDEX($10:$13,MATCH($O742,$R$10:$R$13,0),COLUMN())</f>
        <v>-2.6911232501999999E-6</v>
      </c>
      <c r="AT742" s="1050" cm="1">
        <f t="array" aca="1" ref="AT742" ca="1">INDEX(OFFSET($AK$19,MATCH($B742,$B$19:$B$150,0)-1,0,COUNTA($B$19:$B$24),COUNTA($AK$17:$BB$17)),MATCH($F742,$F$19:$F$24,0),MATCH(AT$17,$AK$17:$BB$17,0))*INDEX($10:$13,MATCH($O742,$R$10:$R$13,0),COLUMN())</f>
        <v>8.4289084860000004E-6</v>
      </c>
      <c r="AU742" s="1050" cm="1">
        <f t="array" aca="1" ref="AU742" ca="1">INDEX(OFFSET($AK$19,MATCH($B742,$B$19:$B$150,0)-1,0,COUNTA($B$19:$B$24),COUNTA($AK$17:$BB$17)),MATCH($F742,$F$19:$F$24,0),MATCH(AU$17,$AK$17:$BB$17,0))*INDEX($10:$13,MATCH($O742,$R$10:$R$13,0),COLUMN())</f>
        <v>1.7616933569999999E-6</v>
      </c>
      <c r="AV742" s="1050" cm="1">
        <f t="array" aca="1" ref="AV742" ca="1">INDEX(OFFSET($AK$19,MATCH($B742,$B$19:$B$150,0)-1,0,COUNTA($B$19:$B$24),COUNTA($AK$17:$BB$17)),MATCH($F742,$F$19:$F$24,0),MATCH(AV$17,$AK$17:$BB$17,0))*INDEX($10:$13,MATCH($O742,$R$10:$R$13,0),COLUMN())</f>
        <v>6.6026596762520885E-4</v>
      </c>
      <c r="AW742" s="1050" cm="1">
        <f t="array" aca="1" ref="AW742" ca="1">INDEX(OFFSET($AK$19,MATCH($B742,$B$19:$B$150,0)-1,0,COUNTA($B$19:$B$24),COUNTA($AK$17:$BB$17)),MATCH($F742,$F$19:$F$24,0),MATCH(AW$17,$AK$17:$BB$17,0))*INDEX($10:$13,MATCH($O742,$R$10:$R$13,0),COLUMN())</f>
        <v>1.2333926493</v>
      </c>
      <c r="AX742" s="1050" cm="1">
        <f t="array" aca="1" ref="AX742" ca="1">INDEX(OFFSET($AK$19,MATCH($B742,$B$19:$B$150,0)-1,0,COUNTA($B$19:$B$24),COUNTA($AK$17:$BB$17)),MATCH($F742,$F$19:$F$24,0),MATCH(AX$17,$AK$17:$BB$17,0))*INDEX($10:$13,MATCH($O742,$R$10:$R$13,0),COLUMN())</f>
        <v>3.2132445819999998E-7</v>
      </c>
      <c r="AY742" s="1050" cm="1">
        <f t="array" aca="1" ref="AY742" ca="1">INDEX(OFFSET($AK$19,MATCH($B742,$B$19:$B$150,0)-1,0,COUNTA($B$19:$B$24),COUNTA($AK$17:$BB$17)),MATCH($F742,$F$19:$F$24,0),MATCH(AY$17,$AK$17:$BB$17,0))*INDEX($10:$13,MATCH($O742,$R$10:$R$13,0),COLUMN())</f>
        <v>-2.0605227874999999E-10</v>
      </c>
      <c r="AZ742" s="1050" cm="1">
        <f t="array" aca="1" ref="AZ742" ca="1">INDEX(OFFSET($AK$19,MATCH($B742,$B$19:$B$150,0)-1,0,COUNTA($B$19:$B$24),COUNTA($AK$17:$BB$17)),MATCH($F742,$F$19:$F$24,0),MATCH(AZ$17,$AK$17:$BB$17,0))*INDEX($10:$13,MATCH($O742,$R$10:$R$13,0),COLUMN())</f>
        <v>1.0691244086651053E-5</v>
      </c>
      <c r="BA742" s="1050" cm="1">
        <f t="array" aca="1" ref="BA742" ca="1">INDEX(OFFSET($AK$19,MATCH($B742,$B$19:$B$150,0)-1,0,COUNTA($B$19:$B$24),COUNTA($AK$17:$BB$17)),MATCH($F742,$F$19:$F$24,0),MATCH(BA$17,$AK$17:$BB$17,0))*INDEX($10:$13,MATCH($O742,$R$10:$R$13,0),COLUMN())</f>
        <v>2.8492355863000002E-2</v>
      </c>
      <c r="BB742" s="1051" cm="1">
        <f t="array" aca="1" ref="BB742" ca="1">INDEX(OFFSET($AK$19,MATCH($B742,$B$19:$B$150,0)-1,0,COUNTA($B$19:$B$24),COUNTA($AK$17:$BB$17)),MATCH($F742,$F$19:$F$24,0),MATCH(BB$17,$AK$17:$BB$17,0))*INDEX($10:$13,MATCH($O742,$R$10:$R$13,0),COLUMN())</f>
        <v>4.253589283E-4</v>
      </c>
      <c r="BC742" s="1053">
        <f t="shared" ca="1" si="200"/>
        <v>1.2333929704184059</v>
      </c>
      <c r="BE742" s="1"/>
      <c r="BF742" s="1"/>
      <c r="BG742" s="1"/>
      <c r="BH742" s="1"/>
      <c r="BI742" s="1"/>
      <c r="BJ742" s="1"/>
      <c r="BK742" s="1"/>
      <c r="BL742" s="1"/>
      <c r="BM742" s="1"/>
      <c r="BN742" s="1"/>
      <c r="BO742" s="1"/>
      <c r="BP742" s="1"/>
      <c r="BQ742" s="1"/>
      <c r="BR742" s="1"/>
      <c r="BS742" s="1"/>
      <c r="BT742" s="1"/>
      <c r="BU742" s="1"/>
      <c r="BV742" s="1"/>
      <c r="BW742" s="1"/>
      <c r="BX742" s="1"/>
      <c r="BY742" s="1"/>
      <c r="BZ742" s="1"/>
    </row>
    <row r="743" spans="2:78" ht="12" customHeight="1" outlineLevel="1" x14ac:dyDescent="0.25">
      <c r="B743" s="104" t="s">
        <v>106</v>
      </c>
      <c r="C743" s="104" t="s">
        <v>121</v>
      </c>
      <c r="D743" s="2" t="s">
        <v>137</v>
      </c>
      <c r="E743" s="2" t="s">
        <v>142</v>
      </c>
      <c r="F743" s="105" t="s">
        <v>93</v>
      </c>
      <c r="G743" s="27" t="s">
        <v>1578</v>
      </c>
      <c r="H743" s="106" t="s">
        <v>130</v>
      </c>
      <c r="I743" s="107" t="s">
        <v>129</v>
      </c>
      <c r="J743" s="147">
        <v>4.9808850400000004</v>
      </c>
      <c r="K743" s="148">
        <v>0.70413000000000003</v>
      </c>
      <c r="L743" s="149">
        <f t="shared" ca="1" si="197"/>
        <v>3.3400437144912245</v>
      </c>
      <c r="M743" s="148">
        <f t="shared" ca="1" si="198"/>
        <v>3.0559549806847062</v>
      </c>
      <c r="N743" s="148">
        <f t="shared" ca="1" si="199"/>
        <v>2.351824980684706</v>
      </c>
      <c r="O743" s="1062" t="s">
        <v>1586</v>
      </c>
      <c r="P743" s="104"/>
      <c r="R743" s="119"/>
      <c r="S743" s="1072"/>
      <c r="T743" s="1072"/>
      <c r="U743" s="1072"/>
      <c r="V743" s="1072"/>
      <c r="W743" s="1072"/>
      <c r="X743" s="1072"/>
      <c r="Y743" s="1072"/>
      <c r="Z743" s="1072"/>
      <c r="AA743" s="1072"/>
      <c r="AB743" s="1072"/>
      <c r="AC743" s="1072"/>
      <c r="AD743" s="1072"/>
      <c r="AE743" s="1072"/>
      <c r="AF743" s="1072"/>
      <c r="AG743" s="1072"/>
      <c r="AH743" s="1072"/>
      <c r="AI743" s="1072"/>
      <c r="AJ743" s="1073"/>
      <c r="AK743" s="1052" cm="1">
        <f t="array" aca="1" ref="AK743" ca="1">INDEX(OFFSET($AK$19,MATCH($B743,$B$19:$B$150,0)-1,0,COUNTA($B$19:$B$24),COUNTA($AK$17:$BB$17)),MATCH($F743,$F$19:$F$24,0),MATCH(AK$17,$AK$17:$BB$17,0))*INDEX($10:$13,MATCH($O743,$R$10:$R$13,0),COLUMN())</f>
        <v>0.12627256815999999</v>
      </c>
      <c r="AL743" s="1050" cm="1">
        <f t="array" aca="1" ref="AL743" ca="1">INDEX(OFFSET($AK$19,MATCH($B743,$B$19:$B$150,0)-1,0,COUNTA($B$19:$B$24),COUNTA($AK$17:$BB$17)),MATCH($F743,$F$19:$F$24,0),MATCH(AL$17,$AK$17:$BB$17,0))*INDEX($10:$13,MATCH($O743,$R$10:$R$13,0),COLUMN())</f>
        <v>1.3883393460000001E-7</v>
      </c>
      <c r="AM743" s="1050" cm="1">
        <f t="array" aca="1" ref="AM743" ca="1">INDEX(OFFSET($AK$19,MATCH($B743,$B$19:$B$150,0)-1,0,COUNTA($B$19:$B$24),COUNTA($AK$17:$BB$17)),MATCH($F743,$F$19:$F$24,0),MATCH(AM$17,$AK$17:$BB$17,0))*INDEX($10:$13,MATCH($O743,$R$10:$R$13,0),COLUMN())</f>
        <v>0</v>
      </c>
      <c r="AN743" s="1050" cm="1">
        <f t="array" aca="1" ref="AN743" ca="1">INDEX(OFFSET($AK$19,MATCH($B743,$B$19:$B$150,0)-1,0,COUNTA($B$19:$B$24),COUNTA($AK$17:$BB$17)),MATCH($F743,$F$19:$F$24,0),MATCH(AN$17,$AK$17:$BB$17,0))*INDEX($10:$13,MATCH($O743,$R$10:$R$13,0),COLUMN())</f>
        <v>5.2668858420000008E-3</v>
      </c>
      <c r="AO743" s="1050" cm="1">
        <f t="array" aca="1" ref="AO743" ca="1">INDEX(OFFSET($AK$19,MATCH($B743,$B$19:$B$150,0)-1,0,COUNTA($B$19:$B$24),COUNTA($AK$17:$BB$17)),MATCH($F743,$F$19:$F$24,0),MATCH(AO$17,$AK$17:$BB$17,0))*INDEX($10:$13,MATCH($O743,$R$10:$R$13,0),COLUMN())</f>
        <v>3.5052835520547942E-2</v>
      </c>
      <c r="AP743" s="1050" cm="1">
        <f t="array" aca="1" ref="AP743" ca="1">INDEX(OFFSET($AK$19,MATCH($B743,$B$19:$B$150,0)-1,0,COUNTA($B$19:$B$24),COUNTA($AK$17:$BB$17)),MATCH($F743,$F$19:$F$24,0),MATCH(AP$17,$AK$17:$BB$17,0))*INDEX($10:$13,MATCH($O743,$R$10:$R$13,0),COLUMN())</f>
        <v>1.6122879024E-2</v>
      </c>
      <c r="AQ743" s="1050" cm="1">
        <f t="array" aca="1" ref="AQ743" ca="1">INDEX(OFFSET($AK$19,MATCH($B743,$B$19:$B$150,0)-1,0,COUNTA($B$19:$B$24),COUNTA($AK$17:$BB$17)),MATCH($F743,$F$19:$F$24,0),MATCH(AQ$17,$AK$17:$BB$17,0))*INDEX($10:$13,MATCH($O743,$R$10:$R$13,0),COLUMN())</f>
        <v>2.6534740016000001E-2</v>
      </c>
      <c r="AR743" s="1050" cm="1">
        <f t="array" aca="1" ref="AR743" ca="1">INDEX(OFFSET($AK$19,MATCH($B743,$B$19:$B$150,0)-1,0,COUNTA($B$19:$B$24),COUNTA($AK$17:$BB$17)),MATCH($F743,$F$19:$F$24,0),MATCH(AR$17,$AK$17:$BB$17,0))*INDEX($10:$13,MATCH($O743,$R$10:$R$13,0),COLUMN())</f>
        <v>0.43912705862000001</v>
      </c>
      <c r="AS743" s="1050" cm="1">
        <f t="array" aca="1" ref="AS743" ca="1">INDEX(OFFSET($AK$19,MATCH($B743,$B$19:$B$150,0)-1,0,COUNTA($B$19:$B$24),COUNTA($AK$17:$BB$17)),MATCH($F743,$F$19:$F$24,0),MATCH(AS$17,$AK$17:$BB$17,0))*INDEX($10:$13,MATCH($O743,$R$10:$R$13,0),COLUMN())</f>
        <v>2.0852874692999998E-4</v>
      </c>
      <c r="AT743" s="1050" cm="1">
        <f t="array" aca="1" ref="AT743" ca="1">INDEX(OFFSET($AK$19,MATCH($B743,$B$19:$B$150,0)-1,0,COUNTA($B$19:$B$24),COUNTA($AK$17:$BB$17)),MATCH($F743,$F$19:$F$24,0),MATCH(AT$17,$AK$17:$BB$17,0))*INDEX($10:$13,MATCH($O743,$R$10:$R$13,0),COLUMN())</f>
        <v>1.1444122692E-5</v>
      </c>
      <c r="AU743" s="1050" cm="1">
        <f t="array" aca="1" ref="AU743" ca="1">INDEX(OFFSET($AK$19,MATCH($B743,$B$19:$B$150,0)-1,0,COUNTA($B$19:$B$24),COUNTA($AK$17:$BB$17)),MATCH($F743,$F$19:$F$24,0),MATCH(AU$17,$AK$17:$BB$17,0))*INDEX($10:$13,MATCH($O743,$R$10:$R$13,0),COLUMN())</f>
        <v>2.3836413881999999E-6</v>
      </c>
      <c r="AV743" s="1050" cm="1">
        <f t="array" aca="1" ref="AV743" ca="1">INDEX(OFFSET($AK$19,MATCH($B743,$B$19:$B$150,0)-1,0,COUNTA($B$19:$B$24),COUNTA($AK$17:$BB$17)),MATCH($F743,$F$19:$F$24,0),MATCH(AV$17,$AK$17:$BB$17,0))*INDEX($10:$13,MATCH($O743,$R$10:$R$13,0),COLUMN())</f>
        <v>1.0509866002270439E-3</v>
      </c>
      <c r="AW743" s="1050" cm="1">
        <f t="array" aca="1" ref="AW743" ca="1">INDEX(OFFSET($AK$19,MATCH($B743,$B$19:$B$150,0)-1,0,COUNTA($B$19:$B$24),COUNTA($AK$17:$BB$17)),MATCH($F743,$F$19:$F$24,0),MATCH(AW$17,$AK$17:$BB$17,0))*INDEX($10:$13,MATCH($O743,$R$10:$R$13,0),COLUMN())</f>
        <v>1.6631656519</v>
      </c>
      <c r="AX743" s="1050" cm="1">
        <f t="array" aca="1" ref="AX743" ca="1">INDEX(OFFSET($AK$19,MATCH($B743,$B$19:$B$150,0)-1,0,COUNTA($B$19:$B$24),COUNTA($AK$17:$BB$17)),MATCH($F743,$F$19:$F$24,0),MATCH(AX$17,$AK$17:$BB$17,0))*INDEX($10:$13,MATCH($O743,$R$10:$R$13,0),COLUMN())</f>
        <v>4.3328926620000006E-7</v>
      </c>
      <c r="AY743" s="1050" cm="1">
        <f t="array" aca="1" ref="AY743" ca="1">INDEX(OFFSET($AK$19,MATCH($B743,$B$19:$B$150,0)-1,0,COUNTA($B$19:$B$24),COUNTA($AK$17:$BB$17)),MATCH($F743,$F$19:$F$24,0),MATCH(AY$17,$AK$17:$BB$17,0))*INDEX($10:$13,MATCH($O743,$R$10:$R$13,0),COLUMN())</f>
        <v>-2.7785075249999997E-10</v>
      </c>
      <c r="AZ743" s="1050" cm="1">
        <f t="array" aca="1" ref="AZ743" ca="1">INDEX(OFFSET($AK$19,MATCH($B743,$B$19:$B$150,0)-1,0,COUNTA($B$19:$B$24),COUNTA($AK$17:$BB$17)),MATCH($F743,$F$19:$F$24,0),MATCH(AZ$17,$AK$17:$BB$17,0))*INDEX($10:$13,MATCH($O743,$R$10:$R$13,0),COLUMN())</f>
        <v>1.4416585470725995E-5</v>
      </c>
      <c r="BA743" s="1050" cm="1">
        <f t="array" aca="1" ref="BA743" ca="1">INDEX(OFFSET($AK$19,MATCH($B743,$B$19:$B$150,0)-1,0,COUNTA($B$19:$B$24),COUNTA($AK$17:$BB$17)),MATCH($F743,$F$19:$F$24,0),MATCH(BA$17,$AK$17:$BB$17,0))*INDEX($10:$13,MATCH($O743,$R$10:$R$13,0),COLUMN())</f>
        <v>3.8420455730999996E-2</v>
      </c>
      <c r="BB743" s="1051" cm="1">
        <f t="array" aca="1" ref="BB743" ca="1">INDEX(OFFSET($AK$19,MATCH($B743,$B$19:$B$150,0)-1,0,COUNTA($B$19:$B$24),COUNTA($AK$17:$BB$17)),MATCH($F743,$F$19:$F$24,0),MATCH(BB$17,$AK$17:$BB$17,0))*INDEX($10:$13,MATCH($O743,$R$10:$R$13,0),COLUMN())</f>
        <v>5.7357432909999994E-4</v>
      </c>
      <c r="BC743" s="1053">
        <f t="shared" ca="1" si="200"/>
        <v>1.6631660849114154</v>
      </c>
      <c r="BE743" s="1"/>
      <c r="BF743" s="1"/>
      <c r="BG743" s="1"/>
      <c r="BH743" s="1"/>
      <c r="BI743" s="1"/>
      <c r="BJ743" s="1"/>
      <c r="BK743" s="1"/>
      <c r="BL743" s="1"/>
      <c r="BM743" s="1"/>
      <c r="BN743" s="1"/>
      <c r="BO743" s="1"/>
      <c r="BP743" s="1"/>
      <c r="BQ743" s="1"/>
      <c r="BR743" s="1"/>
      <c r="BS743" s="1"/>
      <c r="BT743" s="1"/>
      <c r="BU743" s="1"/>
      <c r="BV743" s="1"/>
      <c r="BW743" s="1"/>
      <c r="BX743" s="1"/>
      <c r="BY743" s="1"/>
      <c r="BZ743" s="1"/>
    </row>
    <row r="744" spans="2:78" ht="12" customHeight="1" outlineLevel="1" x14ac:dyDescent="0.25">
      <c r="B744" s="104" t="s">
        <v>106</v>
      </c>
      <c r="C744" s="104" t="s">
        <v>121</v>
      </c>
      <c r="D744" s="2" t="s">
        <v>137</v>
      </c>
      <c r="E744" s="2" t="s">
        <v>142</v>
      </c>
      <c r="F744" s="105" t="s">
        <v>94</v>
      </c>
      <c r="G744" s="27" t="s">
        <v>1580</v>
      </c>
      <c r="H744" s="106" t="s">
        <v>131</v>
      </c>
      <c r="I744" s="107" t="s">
        <v>129</v>
      </c>
      <c r="J744" s="147">
        <v>4.9808850400000004</v>
      </c>
      <c r="K744" s="148">
        <v>0.70413000000000003</v>
      </c>
      <c r="L744" s="149">
        <f t="shared" ca="1" si="197"/>
        <v>1.9670593871214399</v>
      </c>
      <c r="M744" s="148">
        <f t="shared" ca="1" si="198"/>
        <v>2.0891955262538198</v>
      </c>
      <c r="N744" s="148">
        <f t="shared" ca="1" si="199"/>
        <v>1.3850655262538196</v>
      </c>
      <c r="O744" s="1062" t="s">
        <v>1586</v>
      </c>
      <c r="P744" s="104"/>
      <c r="R744" s="119"/>
      <c r="S744" s="1072"/>
      <c r="T744" s="1072"/>
      <c r="U744" s="1072"/>
      <c r="V744" s="1072"/>
      <c r="W744" s="1072"/>
      <c r="X744" s="1072"/>
      <c r="Y744" s="1072"/>
      <c r="Z744" s="1072"/>
      <c r="AA744" s="1072"/>
      <c r="AB744" s="1072"/>
      <c r="AC744" s="1072"/>
      <c r="AD744" s="1072"/>
      <c r="AE744" s="1072"/>
      <c r="AF744" s="1072"/>
      <c r="AG744" s="1072"/>
      <c r="AH744" s="1072"/>
      <c r="AI744" s="1072"/>
      <c r="AJ744" s="1073"/>
      <c r="AK744" s="1052" cm="1">
        <f t="array" aca="1" ref="AK744" ca="1">INDEX(OFFSET($AK$19,MATCH($B744,$B$19:$B$150,0)-1,0,COUNTA($B$19:$B$24),COUNTA($AK$17:$BB$17)),MATCH($F744,$F$19:$F$24,0),MATCH(AK$17,$AK$17:$BB$17,0))*INDEX($10:$13,MATCH($O744,$R$10:$R$13,0),COLUMN())</f>
        <v>7.4389575200000002E-2</v>
      </c>
      <c r="AL744" s="1050" cm="1">
        <f t="array" aca="1" ref="AL744" ca="1">INDEX(OFFSET($AK$19,MATCH($B744,$B$19:$B$150,0)-1,0,COUNTA($B$19:$B$24),COUNTA($AK$17:$BB$17)),MATCH($F744,$F$19:$F$24,0),MATCH(AL$17,$AK$17:$BB$17,0))*INDEX($10:$13,MATCH($O744,$R$10:$R$13,0),COLUMN())</f>
        <v>8.1789714480000007E-8</v>
      </c>
      <c r="AM744" s="1050" cm="1">
        <f t="array" aca="1" ref="AM744" ca="1">INDEX(OFFSET($AK$19,MATCH($B744,$B$19:$B$150,0)-1,0,COUNTA($B$19:$B$24),COUNTA($AK$17:$BB$17)),MATCH($F744,$F$19:$F$24,0),MATCH(AM$17,$AK$17:$BB$17,0))*INDEX($10:$13,MATCH($O744,$R$10:$R$13,0),COLUMN())</f>
        <v>0</v>
      </c>
      <c r="AN744" s="1050" cm="1">
        <f t="array" aca="1" ref="AN744" ca="1">INDEX(OFFSET($AK$19,MATCH($B744,$B$19:$B$150,0)-1,0,COUNTA($B$19:$B$24),COUNTA($AK$17:$BB$17)),MATCH($F744,$F$19:$F$24,0),MATCH(AN$17,$AK$17:$BB$17,0))*INDEX($10:$13,MATCH($O744,$R$10:$R$13,0),COLUMN())</f>
        <v>3.1028227380000004E-3</v>
      </c>
      <c r="AO744" s="1050" cm="1">
        <f t="array" aca="1" ref="AO744" ca="1">INDEX(OFFSET($AK$19,MATCH($B744,$B$19:$B$150,0)-1,0,COUNTA($B$19:$B$24),COUNTA($AK$17:$BB$17)),MATCH($F744,$F$19:$F$24,0),MATCH(AO$17,$AK$17:$BB$17,0))*INDEX($10:$13,MATCH($O744,$R$10:$R$13,0),COLUMN())</f>
        <v>2.0650292149315071E-2</v>
      </c>
      <c r="AP744" s="1050" cm="1">
        <f t="array" aca="1" ref="AP744" ca="1">INDEX(OFFSET($AK$19,MATCH($B744,$B$19:$B$150,0)-1,0,COUNTA($B$19:$B$24),COUNTA($AK$17:$BB$17)),MATCH($F744,$F$19:$F$24,0),MATCH(AP$17,$AK$17:$BB$17,0))*INDEX($10:$13,MATCH($O744,$R$10:$R$13,0),COLUMN())</f>
        <v>9.4982952959999992E-3</v>
      </c>
      <c r="AQ744" s="1050" cm="1">
        <f t="array" aca="1" ref="AQ744" ca="1">INDEX(OFFSET($AK$19,MATCH($B744,$B$19:$B$150,0)-1,0,COUNTA($B$19:$B$24),COUNTA($AK$17:$BB$17)),MATCH($F744,$F$19:$F$24,0),MATCH(AQ$17,$AK$17:$BB$17,0))*INDEX($10:$13,MATCH($O744,$R$10:$R$13,0),COLUMN())</f>
        <v>1.56321208E-2</v>
      </c>
      <c r="AR744" s="1050" cm="1">
        <f t="array" aca="1" ref="AR744" ca="1">INDEX(OFFSET($AK$19,MATCH($B744,$B$19:$B$150,0)-1,0,COUNTA($B$19:$B$24),COUNTA($AK$17:$BB$17)),MATCH($F744,$F$19:$F$24,0),MATCH(AR$17,$AK$17:$BB$17,0))*INDEX($10:$13,MATCH($O744,$R$10:$R$13,0),COLUMN())</f>
        <v>0.25869811445999996</v>
      </c>
      <c r="AS744" s="1050" cm="1">
        <f t="array" aca="1" ref="AS744" ca="1">INDEX(OFFSET($AK$19,MATCH($B744,$B$19:$B$150,0)-1,0,COUNTA($B$19:$B$24),COUNTA($AK$17:$BB$17)),MATCH($F744,$F$19:$F$24,0),MATCH(AS$17,$AK$17:$BB$17,0))*INDEX($10:$13,MATCH($O744,$R$10:$R$13,0),COLUMN())</f>
        <v>-1.2712386702999997E-4</v>
      </c>
      <c r="AT744" s="1050" cm="1">
        <f t="array" aca="1" ref="AT744" ca="1">INDEX(OFFSET($AK$19,MATCH($B744,$B$19:$B$150,0)-1,0,COUNTA($B$19:$B$24),COUNTA($AK$17:$BB$17)),MATCH($F744,$F$19:$F$24,0),MATCH(AT$17,$AK$17:$BB$17,0))*INDEX($10:$13,MATCH($O744,$R$10:$R$13,0),COLUMN())</f>
        <v>6.6498367539999995E-6</v>
      </c>
      <c r="AU744" s="1050" cm="1">
        <f t="array" aca="1" ref="AU744" ca="1">INDEX(OFFSET($AK$19,MATCH($B744,$B$19:$B$150,0)-1,0,COUNTA($B$19:$B$24),COUNTA($AK$17:$BB$17)),MATCH($F744,$F$19:$F$24,0),MATCH(AU$17,$AK$17:$BB$17,0))*INDEX($10:$13,MATCH($O744,$R$10:$R$13,0),COLUMN())</f>
        <v>1.3947168612E-6</v>
      </c>
      <c r="AV744" s="1050" cm="1">
        <f t="array" aca="1" ref="AV744" ca="1">INDEX(OFFSET($AK$19,MATCH($B744,$B$19:$B$150,0)-1,0,COUNTA($B$19:$B$24),COUNTA($AK$17:$BB$17)),MATCH($F744,$F$19:$F$24,0),MATCH(AV$17,$AK$17:$BB$17,0))*INDEX($10:$13,MATCH($O744,$R$10:$R$13,0),COLUMN())</f>
        <v>4.2986940489689914E-4</v>
      </c>
      <c r="AW744" s="1050" cm="1">
        <f t="array" aca="1" ref="AW744" ca="1">INDEX(OFFSET($AK$19,MATCH($B744,$B$19:$B$150,0)-1,0,COUNTA($B$19:$B$24),COUNTA($AK$17:$BB$17)),MATCH($F744,$F$19:$F$24,0),MATCH(AW$17,$AK$17:$BB$17,0))*INDEX($10:$13,MATCH($O744,$R$10:$R$13,0),COLUMN())</f>
        <v>0.97980255970000019</v>
      </c>
      <c r="AX744" s="1050" cm="1">
        <f t="array" aca="1" ref="AX744" ca="1">INDEX(OFFSET($AK$19,MATCH($B744,$B$19:$B$150,0)-1,0,COUNTA($B$19:$B$24),COUNTA($AK$17:$BB$17)),MATCH($F744,$F$19:$F$24,0),MATCH(AX$17,$AK$17:$BB$17,0))*INDEX($10:$13,MATCH($O744,$R$10:$R$13,0),COLUMN())</f>
        <v>2.5525895490000002E-7</v>
      </c>
      <c r="AY744" s="1050" cm="1">
        <f t="array" aca="1" ref="AY744" ca="1">INDEX(OFFSET($AK$19,MATCH($B744,$B$19:$B$150,0)-1,0,COUNTA($B$19:$B$24),COUNTA($AK$17:$BB$17)),MATCH($F744,$F$19:$F$24,0),MATCH(AY$17,$AK$17:$BB$17,0))*INDEX($10:$13,MATCH($O744,$R$10:$R$13,0),COLUMN())</f>
        <v>-1.6368716691000001E-10</v>
      </c>
      <c r="AZ744" s="1050" cm="1">
        <f t="array" aca="1" ref="AZ744" ca="1">INDEX(OFFSET($AK$19,MATCH($B744,$B$19:$B$150,0)-1,0,COUNTA($B$19:$B$24),COUNTA($AK$17:$BB$17)),MATCH($F744,$F$19:$F$24,0),MATCH(AZ$17,$AK$17:$BB$17,0))*INDEX($10:$13,MATCH($O744,$R$10:$R$13,0),COLUMN())</f>
        <v>8.4930850398126465E-6</v>
      </c>
      <c r="BA744" s="1050" cm="1">
        <f t="array" aca="1" ref="BA744" ca="1">INDEX(OFFSET($AK$19,MATCH($B744,$B$19:$B$150,0)-1,0,COUNTA($B$19:$B$24),COUNTA($AK$17:$BB$17)),MATCH($F744,$F$19:$F$24,0),MATCH(BA$17,$AK$17:$BB$17,0))*INDEX($10:$13,MATCH($O744,$R$10:$R$13,0),COLUMN())</f>
        <v>2.2634222282999997E-2</v>
      </c>
      <c r="BB744" s="1051" cm="1">
        <f t="array" aca="1" ref="BB744" ca="1">INDEX(OFFSET($AK$19,MATCH($B744,$B$19:$B$150,0)-1,0,COUNTA($B$19:$B$24),COUNTA($AK$17:$BB$17)),MATCH($F744,$F$19:$F$24,0),MATCH(BB$17,$AK$17:$BB$17,0))*INDEX($10:$13,MATCH($O744,$R$10:$R$13,0),COLUMN())</f>
        <v>3.3790356600000004E-4</v>
      </c>
      <c r="BC744" s="1053">
        <f t="shared" ca="1" si="200"/>
        <v>0.97980281479526787</v>
      </c>
      <c r="BE744" s="1"/>
      <c r="BF744" s="1"/>
      <c r="BG744" s="1"/>
      <c r="BH744" s="1"/>
      <c r="BI744" s="1"/>
      <c r="BJ744" s="1"/>
      <c r="BK744" s="1"/>
      <c r="BL744" s="1"/>
      <c r="BM744" s="1"/>
      <c r="BN744" s="1"/>
      <c r="BO744" s="1"/>
      <c r="BP744" s="1"/>
      <c r="BQ744" s="1"/>
      <c r="BR744" s="1"/>
      <c r="BS744" s="1"/>
      <c r="BT744" s="1"/>
      <c r="BU744" s="1"/>
      <c r="BV744" s="1"/>
      <c r="BW744" s="1"/>
      <c r="BX744" s="1"/>
      <c r="BY744" s="1"/>
      <c r="BZ744" s="1"/>
    </row>
    <row r="745" spans="2:78" ht="12" customHeight="1" outlineLevel="1" x14ac:dyDescent="0.25">
      <c r="B745" s="104" t="s">
        <v>106</v>
      </c>
      <c r="C745" s="104" t="s">
        <v>121</v>
      </c>
      <c r="D745" s="2" t="s">
        <v>137</v>
      </c>
      <c r="E745" s="2" t="s">
        <v>142</v>
      </c>
      <c r="F745" s="105" t="s">
        <v>95</v>
      </c>
      <c r="G745" s="27" t="s">
        <v>1581</v>
      </c>
      <c r="H745" s="106" t="s">
        <v>128</v>
      </c>
      <c r="I745" s="107" t="s">
        <v>127</v>
      </c>
      <c r="J745" s="147">
        <v>4.9808850400000004</v>
      </c>
      <c r="K745" s="148">
        <v>0.70413000000000003</v>
      </c>
      <c r="L745" s="149">
        <f t="shared" ca="1" si="197"/>
        <v>3.0239739119752191</v>
      </c>
      <c r="M745" s="148">
        <f t="shared" ca="1" si="198"/>
        <v>2.8334007506391115</v>
      </c>
      <c r="N745" s="148">
        <f t="shared" ca="1" si="199"/>
        <v>2.1292707506391113</v>
      </c>
      <c r="O745" s="1062" t="s">
        <v>1586</v>
      </c>
      <c r="P745" s="104"/>
      <c r="R745" s="119"/>
      <c r="S745" s="1072"/>
      <c r="T745" s="1072"/>
      <c r="U745" s="1072"/>
      <c r="V745" s="1072"/>
      <c r="W745" s="1072"/>
      <c r="X745" s="1072"/>
      <c r="Y745" s="1072"/>
      <c r="Z745" s="1072"/>
      <c r="AA745" s="1072"/>
      <c r="AB745" s="1072"/>
      <c r="AC745" s="1072"/>
      <c r="AD745" s="1072"/>
      <c r="AE745" s="1072"/>
      <c r="AF745" s="1072"/>
      <c r="AG745" s="1072"/>
      <c r="AH745" s="1072"/>
      <c r="AI745" s="1072"/>
      <c r="AJ745" s="1073"/>
      <c r="AK745" s="1052" cm="1">
        <f t="array" aca="1" ref="AK745" ca="1">INDEX(OFFSET($AK$19,MATCH($B745,$B$19:$B$150,0)-1,0,COUNTA($B$19:$B$24),COUNTA($AK$17:$BB$17)),MATCH($F745,$F$19:$F$24,0),MATCH(AK$17,$AK$17:$BB$17,0))*INDEX($10:$13,MATCH($O745,$R$10:$R$13,0),COLUMN())</f>
        <v>0.10592561407999999</v>
      </c>
      <c r="AL745" s="1050" cm="1">
        <f t="array" aca="1" ref="AL745" ca="1">INDEX(OFFSET($AK$19,MATCH($B745,$B$19:$B$150,0)-1,0,COUNTA($B$19:$B$24),COUNTA($AK$17:$BB$17)),MATCH($F745,$F$19:$F$24,0),MATCH(AL$17,$AK$17:$BB$17,0))*INDEX($10:$13,MATCH($O745,$R$10:$R$13,0),COLUMN())</f>
        <v>1.0381710066E-7</v>
      </c>
      <c r="AM745" s="1050" cm="1">
        <f t="array" aca="1" ref="AM745" ca="1">INDEX(OFFSET($AK$19,MATCH($B745,$B$19:$B$150,0)-1,0,COUNTA($B$19:$B$24),COUNTA($AK$17:$BB$17)),MATCH($F745,$F$19:$F$24,0),MATCH(AM$17,$AK$17:$BB$17,0))*INDEX($10:$13,MATCH($O745,$R$10:$R$13,0),COLUMN())</f>
        <v>0</v>
      </c>
      <c r="AN745" s="1050" cm="1">
        <f t="array" aca="1" ref="AN745" ca="1">INDEX(OFFSET($AK$19,MATCH($B745,$B$19:$B$150,0)-1,0,COUNTA($B$19:$B$24),COUNTA($AK$17:$BB$17)),MATCH($F745,$F$19:$F$24,0),MATCH(AN$17,$AK$17:$BB$17,0))*INDEX($10:$13,MATCH($O745,$R$10:$R$13,0),COLUMN())</f>
        <v>4.2149637060000002E-3</v>
      </c>
      <c r="AO745" s="1050" cm="1">
        <f t="array" aca="1" ref="AO745" ca="1">INDEX(OFFSET($AK$19,MATCH($B745,$B$19:$B$150,0)-1,0,COUNTA($B$19:$B$24),COUNTA($AK$17:$BB$17)),MATCH($F745,$F$19:$F$24,0),MATCH(AO$17,$AK$17:$BB$17,0))*INDEX($10:$13,MATCH($O745,$R$10:$R$13,0),COLUMN())</f>
        <v>6.319957163013698E-2</v>
      </c>
      <c r="AP745" s="1050" cm="1">
        <f t="array" aca="1" ref="AP745" ca="1">INDEX(OFFSET($AK$19,MATCH($B745,$B$19:$B$150,0)-1,0,COUNTA($B$19:$B$24),COUNTA($AK$17:$BB$17)),MATCH($F745,$F$19:$F$24,0),MATCH(AP$17,$AK$17:$BB$17,0))*INDEX($10:$13,MATCH($O745,$R$10:$R$13,0),COLUMN())</f>
        <v>4.1617934399999994E-2</v>
      </c>
      <c r="AQ745" s="1050" cm="1">
        <f t="array" aca="1" ref="AQ745" ca="1">INDEX(OFFSET($AK$19,MATCH($B745,$B$19:$B$150,0)-1,0,COUNTA($B$19:$B$24),COUNTA($AK$17:$BB$17)),MATCH($F745,$F$19:$F$24,0),MATCH(AQ$17,$AK$17:$BB$17,0))*INDEX($10:$13,MATCH($O745,$R$10:$R$13,0),COLUMN())</f>
        <v>7.7937966560000002E-2</v>
      </c>
      <c r="AR745" s="1050" cm="1">
        <f t="array" aca="1" ref="AR745" ca="1">INDEX(OFFSET($AK$19,MATCH($B745,$B$19:$B$150,0)-1,0,COUNTA($B$19:$B$24),COUNTA($AK$17:$BB$17)),MATCH($F745,$F$19:$F$24,0),MATCH(AR$17,$AK$17:$BB$17,0))*INDEX($10:$13,MATCH($O745,$R$10:$R$13,0),COLUMN())</f>
        <v>0.56383478253999997</v>
      </c>
      <c r="AS745" s="1050" cm="1">
        <f t="array" aca="1" ref="AS745" ca="1">INDEX(OFFSET($AK$19,MATCH($B745,$B$19:$B$150,0)-1,0,COUNTA($B$19:$B$24),COUNTA($AK$17:$BB$17)),MATCH($F745,$F$19:$F$24,0),MATCH(AS$17,$AK$17:$BB$17,0))*INDEX($10:$13,MATCH($O745,$R$10:$R$13,0),COLUMN())</f>
        <v>4.5056592711999995E-3</v>
      </c>
      <c r="AT745" s="1050" cm="1">
        <f t="array" aca="1" ref="AT745" ca="1">INDEX(OFFSET($AK$19,MATCH($B745,$B$19:$B$150,0)-1,0,COUNTA($B$19:$B$24),COUNTA($AK$17:$BB$17)),MATCH($F745,$F$19:$F$24,0),MATCH(AT$17,$AK$17:$BB$17,0))*INDEX($10:$13,MATCH($O745,$R$10:$R$13,0),COLUMN())</f>
        <v>1.1770830519999999E-5</v>
      </c>
      <c r="AU745" s="1050" cm="1">
        <f t="array" aca="1" ref="AU745" ca="1">INDEX(OFFSET($AK$19,MATCH($B745,$B$19:$B$150,0)-1,0,COUNTA($B$19:$B$24),COUNTA($AK$17:$BB$17)),MATCH($F745,$F$19:$F$24,0),MATCH(AU$17,$AK$17:$BB$17,0))*INDEX($10:$13,MATCH($O745,$R$10:$R$13,0),COLUMN())</f>
        <v>2.2733559510000001E-6</v>
      </c>
      <c r="AV745" s="1050" cm="1">
        <f t="array" aca="1" ref="AV745" ca="1">INDEX(OFFSET($AK$19,MATCH($B745,$B$19:$B$150,0)-1,0,COUNTA($B$19:$B$24),COUNTA($AK$17:$BB$17)),MATCH($F745,$F$19:$F$24,0),MATCH(AV$17,$AK$17:$BB$17,0))*INDEX($10:$13,MATCH($O745,$R$10:$R$13,0),COLUMN())</f>
        <v>3.8445391920958324E-3</v>
      </c>
      <c r="AW745" s="1050" cm="1">
        <f t="array" aca="1" ref="AW745" ca="1">INDEX(OFFSET($AK$19,MATCH($B745,$B$19:$B$150,0)-1,0,COUNTA($B$19:$B$24),COUNTA($AK$17:$BB$17)),MATCH($F745,$F$19:$F$24,0),MATCH(AW$17,$AK$17:$BB$17,0))*INDEX($10:$13,MATCH($O745,$R$10:$R$13,0),COLUMN())</f>
        <v>1.2333926493</v>
      </c>
      <c r="AX745" s="1050" cm="1">
        <f t="array" aca="1" ref="AX745" ca="1">INDEX(OFFSET($AK$19,MATCH($B745,$B$19:$B$150,0)-1,0,COUNTA($B$19:$B$24),COUNTA($AK$17:$BB$17)),MATCH($F745,$F$19:$F$24,0),MATCH(AX$17,$AK$17:$BB$17,0))*INDEX($10:$13,MATCH($O745,$R$10:$R$13,0),COLUMN())</f>
        <v>3.2132445819999998E-7</v>
      </c>
      <c r="AY745" s="1050" cm="1">
        <f t="array" aca="1" ref="AY745" ca="1">INDEX(OFFSET($AK$19,MATCH($B745,$B$19:$B$150,0)-1,0,COUNTA($B$19:$B$24),COUNTA($AK$17:$BB$17)),MATCH($F745,$F$19:$F$24,0),MATCH(AY$17,$AK$17:$BB$17,0))*INDEX($10:$13,MATCH($O745,$R$10:$R$13,0),COLUMN())</f>
        <v>-2.0605227874999999E-10</v>
      </c>
      <c r="AZ745" s="1050" cm="1">
        <f t="array" aca="1" ref="AZ745" ca="1">INDEX(OFFSET($AK$19,MATCH($B745,$B$19:$B$150,0)-1,0,COUNTA($B$19:$B$24),COUNTA($AK$17:$BB$17)),MATCH($F745,$F$19:$F$24,0),MATCH(AZ$17,$AK$17:$BB$17,0))*INDEX($10:$13,MATCH($O745,$R$10:$R$13,0),COLUMN())</f>
        <v>1.0707586800936766E-5</v>
      </c>
      <c r="BA745" s="1050" cm="1">
        <f t="array" aca="1" ref="BA745" ca="1">INDEX(OFFSET($AK$19,MATCH($B745,$B$19:$B$150,0)-1,0,COUNTA($B$19:$B$24),COUNTA($AK$17:$BB$17)),MATCH($F745,$F$19:$F$24,0),MATCH(BA$17,$AK$17:$BB$17,0))*INDEX($10:$13,MATCH($O745,$R$10:$R$13,0),COLUMN())</f>
        <v>3.0345019110999998E-2</v>
      </c>
      <c r="BB745" s="1051" cm="1">
        <f t="array" aca="1" ref="BB745" ca="1">INDEX(OFFSET($AK$19,MATCH($B745,$B$19:$B$150,0)-1,0,COUNTA($B$19:$B$24),COUNTA($AK$17:$BB$17)),MATCH($F745,$F$19:$F$24,0),MATCH(BB$17,$AK$17:$BB$17,0))*INDEX($10:$13,MATCH($O745,$R$10:$R$13,0),COLUMN())</f>
        <v>4.268741399E-4</v>
      </c>
      <c r="BC745" s="1053">
        <f t="shared" ca="1" si="200"/>
        <v>1.2333929704184059</v>
      </c>
      <c r="BE745" s="1"/>
      <c r="BF745" s="1"/>
      <c r="BG745" s="1"/>
      <c r="BH745" s="1"/>
      <c r="BI745" s="1"/>
      <c r="BJ745" s="1"/>
      <c r="BK745" s="1"/>
      <c r="BL745" s="1"/>
      <c r="BM745" s="1"/>
      <c r="BN745" s="1"/>
      <c r="BO745" s="1"/>
      <c r="BP745" s="1"/>
      <c r="BQ745" s="1"/>
      <c r="BR745" s="1"/>
      <c r="BS745" s="1"/>
      <c r="BT745" s="1"/>
      <c r="BU745" s="1"/>
      <c r="BV745" s="1"/>
      <c r="BW745" s="1"/>
      <c r="BX745" s="1"/>
      <c r="BY745" s="1"/>
      <c r="BZ745" s="1"/>
    </row>
    <row r="746" spans="2:78" ht="12" customHeight="1" outlineLevel="1" x14ac:dyDescent="0.25">
      <c r="B746" s="104" t="s">
        <v>106</v>
      </c>
      <c r="C746" s="104" t="s">
        <v>121</v>
      </c>
      <c r="D746" s="2" t="s">
        <v>137</v>
      </c>
      <c r="E746" s="2" t="s">
        <v>142</v>
      </c>
      <c r="F746" s="105" t="s">
        <v>96</v>
      </c>
      <c r="G746" s="27" t="s">
        <v>1582</v>
      </c>
      <c r="H746" s="106" t="s">
        <v>128</v>
      </c>
      <c r="I746" s="107" t="s">
        <v>1577</v>
      </c>
      <c r="J746" s="147">
        <v>4.9808850400000004</v>
      </c>
      <c r="K746" s="148">
        <v>0.70413000000000003</v>
      </c>
      <c r="L746" s="149">
        <f t="shared" ca="1" si="197"/>
        <v>3.4213514951637922</v>
      </c>
      <c r="M746" s="148">
        <f t="shared" ca="1" si="198"/>
        <v>3.1132062282896813</v>
      </c>
      <c r="N746" s="148">
        <f t="shared" ca="1" si="199"/>
        <v>2.4090762282896812</v>
      </c>
      <c r="O746" s="1062" t="s">
        <v>1586</v>
      </c>
      <c r="P746" s="104"/>
      <c r="R746" s="119"/>
      <c r="S746" s="1072"/>
      <c r="T746" s="1072"/>
      <c r="U746" s="1072"/>
      <c r="V746" s="1072"/>
      <c r="W746" s="1072"/>
      <c r="X746" s="1072"/>
      <c r="Y746" s="1072"/>
      <c r="Z746" s="1072"/>
      <c r="AA746" s="1072"/>
      <c r="AB746" s="1072"/>
      <c r="AC746" s="1072"/>
      <c r="AD746" s="1072"/>
      <c r="AE746" s="1072"/>
      <c r="AF746" s="1072"/>
      <c r="AG746" s="1072"/>
      <c r="AH746" s="1072"/>
      <c r="AI746" s="1072"/>
      <c r="AJ746" s="1073"/>
      <c r="AK746" s="1052" cm="1">
        <f t="array" aca="1" ref="AK746" ca="1">INDEX(OFFSET($AK$19,MATCH($B746,$B$19:$B$150,0)-1,0,COUNTA($B$19:$B$24),COUNTA($AK$17:$BB$17)),MATCH($F746,$F$19:$F$24,0),MATCH(AK$17,$AK$17:$BB$17,0))*INDEX($10:$13,MATCH($O746,$R$10:$R$13,0),COLUMN())</f>
        <v>0.11472843263999999</v>
      </c>
      <c r="AL746" s="1050" cm="1">
        <f t="array" aca="1" ref="AL746" ca="1">INDEX(OFFSET($AK$19,MATCH($B746,$B$19:$B$150,0)-1,0,COUNTA($B$19:$B$24),COUNTA($AK$17:$BB$17)),MATCH($F746,$F$19:$F$24,0),MATCH(AL$17,$AK$17:$BB$17,0))*INDEX($10:$13,MATCH($O746,$R$10:$R$13,0),COLUMN())</f>
        <v>1.0437755022000001E-7</v>
      </c>
      <c r="AM746" s="1050" cm="1">
        <f t="array" aca="1" ref="AM746" ca="1">INDEX(OFFSET($AK$19,MATCH($B746,$B$19:$B$150,0)-1,0,COUNTA($B$19:$B$24),COUNTA($AK$17:$BB$17)),MATCH($F746,$F$19:$F$24,0),MATCH(AM$17,$AK$17:$BB$17,0))*INDEX($10:$13,MATCH($O746,$R$10:$R$13,0),COLUMN())</f>
        <v>0</v>
      </c>
      <c r="AN746" s="1050" cm="1">
        <f t="array" aca="1" ref="AN746" ca="1">INDEX(OFFSET($AK$19,MATCH($B746,$B$19:$B$150,0)-1,0,COUNTA($B$19:$B$24),COUNTA($AK$17:$BB$17)),MATCH($F746,$F$19:$F$24,0),MATCH(AN$17,$AK$17:$BB$17,0))*INDEX($10:$13,MATCH($O746,$R$10:$R$13,0),COLUMN())</f>
        <v>4.4166717960000008E-3</v>
      </c>
      <c r="AO746" s="1050" cm="1">
        <f t="array" aca="1" ref="AO746" ca="1">INDEX(OFFSET($AK$19,MATCH($B746,$B$19:$B$150,0)-1,0,COUNTA($B$19:$B$24),COUNTA($AK$17:$BB$17)),MATCH($F746,$F$19:$F$24,0),MATCH(AO$17,$AK$17:$BB$17,0))*INDEX($10:$13,MATCH($O746,$R$10:$R$13,0),COLUMN())</f>
        <v>9.0248127410958903E-2</v>
      </c>
      <c r="AP746" s="1050" cm="1">
        <f t="array" aca="1" ref="AP746" ca="1">INDEX(OFFSET($AK$19,MATCH($B746,$B$19:$B$150,0)-1,0,COUNTA($B$19:$B$24),COUNTA($AK$17:$BB$17)),MATCH($F746,$F$19:$F$24,0),MATCH(AP$17,$AK$17:$BB$17,0))*INDEX($10:$13,MATCH($O746,$R$10:$R$13,0),COLUMN())</f>
        <v>6.3225822240000007E-2</v>
      </c>
      <c r="AQ746" s="1050" cm="1">
        <f t="array" aca="1" ref="AQ746" ca="1">INDEX(OFFSET($AK$19,MATCH($B746,$B$19:$B$150,0)-1,0,COUNTA($B$19:$B$24),COUNTA($AK$17:$BB$17)),MATCH($F746,$F$19:$F$24,0),MATCH(AQ$17,$AK$17:$BB$17,0))*INDEX($10:$13,MATCH($O746,$R$10:$R$13,0),COLUMN())</f>
        <v>0.11942951296</v>
      </c>
      <c r="AR746" s="1050" cm="1">
        <f t="array" aca="1" ref="AR746" ca="1">INDEX(OFFSET($AK$19,MATCH($B746,$B$19:$B$150,0)-1,0,COUNTA($B$19:$B$24),COUNTA($AK$17:$BB$17)),MATCH($F746,$F$19:$F$24,0),MATCH(AR$17,$AK$17:$BB$17,0))*INDEX($10:$13,MATCH($O746,$R$10:$R$13,0),COLUMN())</f>
        <v>0.73748642519999996</v>
      </c>
      <c r="AS746" s="1050" cm="1">
        <f t="array" aca="1" ref="AS746" ca="1">INDEX(OFFSET($AK$19,MATCH($B746,$B$19:$B$150,0)-1,0,COUNTA($B$19:$B$24),COUNTA($AK$17:$BB$17)),MATCH($F746,$F$19:$F$24,0),MATCH(AS$17,$AK$17:$BB$17,0))*INDEX($10:$13,MATCH($O746,$R$10:$R$13,0),COLUMN())</f>
        <v>7.7037580069999985E-3</v>
      </c>
      <c r="AT746" s="1050" cm="1">
        <f t="array" aca="1" ref="AT746" ca="1">INDEX(OFFSET($AK$19,MATCH($B746,$B$19:$B$150,0)-1,0,COUNTA($B$19:$B$24),COUNTA($AK$17:$BB$17)),MATCH($F746,$F$19:$F$24,0),MATCH(AT$17,$AK$17:$BB$17,0))*INDEX($10:$13,MATCH($O746,$R$10:$R$13,0),COLUMN())</f>
        <v>1.3211128014000001E-5</v>
      </c>
      <c r="AU746" s="1050" cm="1">
        <f t="array" aca="1" ref="AU746" ca="1">INDEX(OFFSET($AK$19,MATCH($B746,$B$19:$B$150,0)-1,0,COUNTA($B$19:$B$24),COUNTA($AK$17:$BB$17)),MATCH($F746,$F$19:$F$24,0),MATCH(AU$17,$AK$17:$BB$17,0))*INDEX($10:$13,MATCH($O746,$R$10:$R$13,0),COLUMN())</f>
        <v>2.4791700977999999E-6</v>
      </c>
      <c r="AV746" s="1050" cm="1">
        <f t="array" aca="1" ref="AV746" ca="1">INDEX(OFFSET($AK$19,MATCH($B746,$B$19:$B$150,0)-1,0,COUNTA($B$19:$B$24),COUNTA($AK$17:$BB$17)),MATCH($F746,$F$19:$F$24,0),MATCH(AV$17,$AK$17:$BB$17,0))*INDEX($10:$13,MATCH($O746,$R$10:$R$13,0),COLUMN())</f>
        <v>6.4360349757218516E-3</v>
      </c>
      <c r="AW746" s="1050" cm="1">
        <f t="array" aca="1" ref="AW746" ca="1">INDEX(OFFSET($AK$19,MATCH($B746,$B$19:$B$150,0)-1,0,COUNTA($B$19:$B$24),COUNTA($AK$17:$BB$17)),MATCH($F746,$F$19:$F$24,0),MATCH(AW$17,$AK$17:$BB$17,0))*INDEX($10:$13,MATCH($O746,$R$10:$R$13,0),COLUMN())</f>
        <v>1.2333926493</v>
      </c>
      <c r="AX746" s="1050" cm="1">
        <f t="array" aca="1" ref="AX746" ca="1">INDEX(OFFSET($AK$19,MATCH($B746,$B$19:$B$150,0)-1,0,COUNTA($B$19:$B$24),COUNTA($AK$17:$BB$17)),MATCH($F746,$F$19:$F$24,0),MATCH(AX$17,$AK$17:$BB$17,0))*INDEX($10:$13,MATCH($O746,$R$10:$R$13,0),COLUMN())</f>
        <v>3.2132445819999998E-7</v>
      </c>
      <c r="AY746" s="1050" cm="1">
        <f t="array" aca="1" ref="AY746" ca="1">INDEX(OFFSET($AK$19,MATCH($B746,$B$19:$B$150,0)-1,0,COUNTA($B$19:$B$24),COUNTA($AK$17:$BB$17)),MATCH($F746,$F$19:$F$24,0),MATCH(AY$17,$AK$17:$BB$17,0))*INDEX($10:$13,MATCH($O746,$R$10:$R$13,0),COLUMN())</f>
        <v>-2.0605227874999999E-10</v>
      </c>
      <c r="AZ746" s="1050" cm="1">
        <f t="array" aca="1" ref="AZ746" ca="1">INDEX(OFFSET($AK$19,MATCH($B746,$B$19:$B$150,0)-1,0,COUNTA($B$19:$B$24),COUNTA($AK$17:$BB$17)),MATCH($F746,$F$19:$F$24,0),MATCH(AZ$17,$AK$17:$BB$17,0))*INDEX($10:$13,MATCH($O746,$R$10:$R$13,0),COLUMN())</f>
        <v>1.0718251632318499E-5</v>
      </c>
      <c r="BA746" s="1050" cm="1">
        <f t="array" aca="1" ref="BA746" ca="1">INDEX(OFFSET($AK$19,MATCH($B746,$B$19:$B$150,0)-1,0,COUNTA($B$19:$B$24),COUNTA($AK$17:$BB$17)),MATCH($F746,$F$19:$F$24,0),MATCH(BA$17,$AK$17:$BB$17,0))*INDEX($10:$13,MATCH($O746,$R$10:$R$13,0),COLUMN())</f>
        <v>3.1554096726999999E-2</v>
      </c>
      <c r="BB746" s="1051" cm="1">
        <f t="array" aca="1" ref="BB746" ca="1">INDEX(OFFSET($AK$19,MATCH($B746,$B$19:$B$150,0)-1,0,COUNTA($B$19:$B$24),COUNTA($AK$17:$BB$17)),MATCH($F746,$F$19:$F$24,0),MATCH(BB$17,$AK$17:$BB$17,0))*INDEX($10:$13,MATCH($O746,$R$10:$R$13,0),COLUMN())</f>
        <v>4.2786298729999999E-4</v>
      </c>
      <c r="BC746" s="1053">
        <f t="shared" ca="1" si="200"/>
        <v>1.2333929704184059</v>
      </c>
      <c r="BE746" s="1"/>
      <c r="BF746" s="1"/>
      <c r="BG746" s="1"/>
      <c r="BH746" s="1"/>
      <c r="BI746" s="1"/>
      <c r="BJ746" s="1"/>
      <c r="BK746" s="1"/>
      <c r="BL746" s="1"/>
      <c r="BM746" s="1"/>
      <c r="BN746" s="1"/>
      <c r="BO746" s="1"/>
      <c r="BP746" s="1"/>
      <c r="BQ746" s="1"/>
      <c r="BR746" s="1"/>
      <c r="BS746" s="1"/>
      <c r="BT746" s="1"/>
      <c r="BU746" s="1"/>
      <c r="BV746" s="1"/>
      <c r="BW746" s="1"/>
      <c r="BX746" s="1"/>
      <c r="BY746" s="1"/>
      <c r="BZ746" s="1"/>
    </row>
    <row r="747" spans="2:78" ht="12" customHeight="1" outlineLevel="1" x14ac:dyDescent="0.25">
      <c r="B747" s="88" t="s">
        <v>107</v>
      </c>
      <c r="C747" s="88" t="s">
        <v>121</v>
      </c>
      <c r="D747" s="89" t="s">
        <v>143</v>
      </c>
      <c r="E747" s="89" t="s">
        <v>144</v>
      </c>
      <c r="F747" s="90" t="s">
        <v>92</v>
      </c>
      <c r="G747" s="18" t="s">
        <v>126</v>
      </c>
      <c r="H747" s="91" t="s">
        <v>127</v>
      </c>
      <c r="I747" s="92" t="s">
        <v>127</v>
      </c>
      <c r="J747" s="142">
        <v>5.9321289200000002</v>
      </c>
      <c r="K747" s="143">
        <v>0.33</v>
      </c>
      <c r="L747" s="144">
        <f t="shared" ca="1" si="197"/>
        <v>12.276346852015617</v>
      </c>
      <c r="M747" s="143">
        <f t="shared" ca="1" si="198"/>
        <v>4.3811944611651539</v>
      </c>
      <c r="N747" s="143">
        <f t="shared" ca="1" si="199"/>
        <v>4.0511944611651538</v>
      </c>
      <c r="O747" s="1063" t="s">
        <v>1586</v>
      </c>
      <c r="P747" s="88"/>
      <c r="Q747" s="89"/>
      <c r="R747" s="150"/>
      <c r="S747" s="1070"/>
      <c r="T747" s="1070"/>
      <c r="U747" s="1070"/>
      <c r="V747" s="1070"/>
      <c r="W747" s="1070"/>
      <c r="X747" s="1070"/>
      <c r="Y747" s="1070"/>
      <c r="Z747" s="1070"/>
      <c r="AA747" s="1070"/>
      <c r="AB747" s="1070"/>
      <c r="AC747" s="1070"/>
      <c r="AD747" s="1070"/>
      <c r="AE747" s="1070"/>
      <c r="AF747" s="1070"/>
      <c r="AG747" s="1070"/>
      <c r="AH747" s="1070"/>
      <c r="AI747" s="1070"/>
      <c r="AJ747" s="1071"/>
      <c r="AK747" s="1048" cm="1">
        <f t="array" aca="1" ref="AK747" ca="1">INDEX(OFFSET($AK$19,MATCH($B747,$B$19:$B$150,0)-1,0,COUNTA($B$19:$B$24),COUNTA($AK$17:$BB$17)),MATCH($F747,$F$19:$F$24,0),MATCH(AK$17,$AK$17:$BB$17,0))*INDEX($10:$13,MATCH($O747,$R$10:$R$13,0),COLUMN())</f>
        <v>0.17178713199999998</v>
      </c>
      <c r="AL747" s="1046" cm="1">
        <f t="array" aca="1" ref="AL747" ca="1">INDEX(OFFSET($AK$19,MATCH($B747,$B$19:$B$150,0)-1,0,COUNTA($B$19:$B$24),COUNTA($AK$17:$BB$17)),MATCH($F747,$F$19:$F$24,0),MATCH(AL$17,$AK$17:$BB$17,0))*INDEX($10:$13,MATCH($O747,$R$10:$R$13,0),COLUMN())</f>
        <v>4.122518928E-7</v>
      </c>
      <c r="AM747" s="1046" cm="1">
        <f t="array" aca="1" ref="AM747" ca="1">INDEX(OFFSET($AK$19,MATCH($B747,$B$19:$B$150,0)-1,0,COUNTA($B$19:$B$24),COUNTA($AK$17:$BB$17)),MATCH($F747,$F$19:$F$24,0),MATCH(AM$17,$AK$17:$BB$17,0))*INDEX($10:$13,MATCH($O747,$R$10:$R$13,0),COLUMN())</f>
        <v>0</v>
      </c>
      <c r="AN747" s="1046" cm="1">
        <f t="array" aca="1" ref="AN747" ca="1">INDEX(OFFSET($AK$19,MATCH($B747,$B$19:$B$150,0)-1,0,COUNTA($B$19:$B$24),COUNTA($AK$17:$BB$17)),MATCH($F747,$F$19:$F$24,0),MATCH(AN$17,$AK$17:$BB$17,0))*INDEX($10:$13,MATCH($O747,$R$10:$R$13,0),COLUMN())</f>
        <v>6.0654524760000005E-3</v>
      </c>
      <c r="AO747" s="1046" cm="1">
        <f t="array" aca="1" ref="AO747" ca="1">INDEX(OFFSET($AK$19,MATCH($B747,$B$19:$B$150,0)-1,0,COUNTA($B$19:$B$24),COUNTA($AK$17:$BB$17)),MATCH($F747,$F$19:$F$24,0),MATCH(AO$17,$AK$17:$BB$17,0))*INDEX($10:$13,MATCH($O747,$R$10:$R$13,0),COLUMN())</f>
        <v>0.10922569508219178</v>
      </c>
      <c r="AP747" s="1046" cm="1">
        <f t="array" aca="1" ref="AP747" ca="1">INDEX(OFFSET($AK$19,MATCH($B747,$B$19:$B$150,0)-1,0,COUNTA($B$19:$B$24),COUNTA($AK$17:$BB$17)),MATCH($F747,$F$19:$F$24,0),MATCH(AP$17,$AK$17:$BB$17,0))*INDEX($10:$13,MATCH($O747,$R$10:$R$13,0),COLUMN())</f>
        <v>7.397974752E-2</v>
      </c>
      <c r="AQ747" s="1046" cm="1">
        <f t="array" aca="1" ref="AQ747" ca="1">INDEX(OFFSET($AK$19,MATCH($B747,$B$19:$B$150,0)-1,0,COUNTA($B$19:$B$24),COUNTA($AK$17:$BB$17)),MATCH($F747,$F$19:$F$24,0),MATCH(AQ$17,$AK$17:$BB$17,0))*INDEX($10:$13,MATCH($O747,$R$10:$R$13,0),COLUMN())</f>
        <v>0.20184139584000002</v>
      </c>
      <c r="AR747" s="1046" cm="1">
        <f t="array" aca="1" ref="AR747" ca="1">INDEX(OFFSET($AK$19,MATCH($B747,$B$19:$B$150,0)-1,0,COUNTA($B$19:$B$24),COUNTA($AK$17:$BB$17)),MATCH($F747,$F$19:$F$24,0),MATCH(AR$17,$AK$17:$BB$17,0))*INDEX($10:$13,MATCH($O747,$R$10:$R$13,0),COLUMN())</f>
        <v>1.1718826836</v>
      </c>
      <c r="AS747" s="1046" cm="1">
        <f t="array" aca="1" ref="AS747" ca="1">INDEX(OFFSET($AK$19,MATCH($B747,$B$19:$B$150,0)-1,0,COUNTA($B$19:$B$24),COUNTA($AK$17:$BB$17)),MATCH($F747,$F$19:$F$24,0),MATCH(AS$17,$AK$17:$BB$17,0))*INDEX($10:$13,MATCH($O747,$R$10:$R$13,0),COLUMN())</f>
        <v>0.63965760205</v>
      </c>
      <c r="AT747" s="1046" cm="1">
        <f t="array" aca="1" ref="AT747" ca="1">INDEX(OFFSET($AK$19,MATCH($B747,$B$19:$B$150,0)-1,0,COUNTA($B$19:$B$24),COUNTA($AK$17:$BB$17)),MATCH($F747,$F$19:$F$24,0),MATCH(AT$17,$AK$17:$BB$17,0))*INDEX($10:$13,MATCH($O747,$R$10:$R$13,0),COLUMN())</f>
        <v>7.1639090059999997E-4</v>
      </c>
      <c r="AU747" s="1046" cm="1">
        <f t="array" aca="1" ref="AU747" ca="1">INDEX(OFFSET($AK$19,MATCH($B747,$B$19:$B$150,0)-1,0,COUNTA($B$19:$B$24),COUNTA($AK$17:$BB$17)),MATCH($F747,$F$19:$F$24,0),MATCH(AU$17,$AK$17:$BB$17,0))*INDEX($10:$13,MATCH($O747,$R$10:$R$13,0),COLUMN())</f>
        <v>4.8530292876E-5</v>
      </c>
      <c r="AV747" s="1046" cm="1">
        <f t="array" aca="1" ref="AV747" ca="1">INDEX(OFFSET($AK$19,MATCH($B747,$B$19:$B$150,0)-1,0,COUNTA($B$19:$B$24),COUNTA($AK$17:$BB$17)),MATCH($F747,$F$19:$F$24,0),MATCH(AV$17,$AK$17:$BB$17,0))*INDEX($10:$13,MATCH($O747,$R$10:$R$13,0),COLUMN())</f>
        <v>1.0054334887166314E-2</v>
      </c>
      <c r="AW747" s="1046" cm="1">
        <f t="array" aca="1" ref="AW747" ca="1">INDEX(OFFSET($AK$19,MATCH($B747,$B$19:$B$150,0)-1,0,COUNTA($B$19:$B$24),COUNTA($AK$17:$BB$17)),MATCH($F747,$F$19:$F$24,0),MATCH(AW$17,$AK$17:$BB$17,0))*INDEX($10:$13,MATCH($O747,$R$10:$R$13,0),COLUMN())</f>
        <v>1.5925116832000001</v>
      </c>
      <c r="AX747" s="1046" cm="1">
        <f t="array" aca="1" ref="AX747" ca="1">INDEX(OFFSET($AK$19,MATCH($B747,$B$19:$B$150,0)-1,0,COUNTA($B$19:$B$24),COUNTA($AK$17:$BB$17)),MATCH($F747,$F$19:$F$24,0),MATCH(AX$17,$AK$17:$BB$17,0))*INDEX($10:$13,MATCH($O747,$R$10:$R$13,0),COLUMN())</f>
        <v>2.0060924836000001E-6</v>
      </c>
      <c r="AY747" s="1046" cm="1">
        <f t="array" aca="1" ref="AY747" ca="1">INDEX(OFFSET($AK$19,MATCH($B747,$B$19:$B$150,0)-1,0,COUNTA($B$19:$B$24),COUNTA($AK$17:$BB$17)),MATCH($F747,$F$19:$F$24,0),MATCH(AY$17,$AK$17:$BB$17,0))*INDEX($10:$13,MATCH($O747,$R$10:$R$13,0),COLUMN())</f>
        <v>-1.3035086346000001E-9</v>
      </c>
      <c r="AZ747" s="1046" cm="1">
        <f t="array" aca="1" ref="AZ747" ca="1">INDEX(OFFSET($AK$19,MATCH($B747,$B$19:$B$150,0)-1,0,COUNTA($B$19:$B$24),COUNTA($AK$17:$BB$17)),MATCH($F747,$F$19:$F$24,0),MATCH(AZ$17,$AK$17:$BB$17,0))*INDEX($10:$13,MATCH($O747,$R$10:$R$13,0),COLUMN())</f>
        <v>1.4772786451990632E-5</v>
      </c>
      <c r="BA747" s="1046" cm="1">
        <f t="array" aca="1" ref="BA747" ca="1">INDEX(OFFSET($AK$19,MATCH($B747,$B$19:$B$150,0)-1,0,COUNTA($B$19:$B$24),COUNTA($AK$17:$BB$17)),MATCH($F747,$F$19:$F$24,0),MATCH(BA$17,$AK$17:$BB$17,0))*INDEX($10:$13,MATCH($O747,$R$10:$R$13,0),COLUMN())</f>
        <v>6.7018354959999998E-2</v>
      </c>
      <c r="BB747" s="1047" cm="1">
        <f t="array" aca="1" ref="BB747" ca="1">INDEX(OFFSET($AK$19,MATCH($B747,$B$19:$B$150,0)-1,0,COUNTA($B$19:$B$24),COUNTA($AK$17:$BB$17)),MATCH($F747,$F$19:$F$24,0),MATCH(BB$17,$AK$17:$BB$17,0))*INDEX($10:$13,MATCH($O747,$R$10:$R$13,0),COLUMN())</f>
        <v>6.3882685290000008E-3</v>
      </c>
      <c r="BC747" s="1049">
        <f t="shared" ca="1" si="200"/>
        <v>1.5925136879889752</v>
      </c>
      <c r="BE747" s="1"/>
      <c r="BF747" s="1"/>
      <c r="BG747" s="1"/>
      <c r="BH747" s="1"/>
      <c r="BI747" s="1"/>
      <c r="BJ747" s="1"/>
      <c r="BK747" s="1"/>
      <c r="BL747" s="1"/>
      <c r="BM747" s="1"/>
      <c r="BN747" s="1"/>
      <c r="BO747" s="1"/>
      <c r="BP747" s="1"/>
      <c r="BQ747" s="1"/>
      <c r="BR747" s="1"/>
      <c r="BS747" s="1"/>
      <c r="BT747" s="1"/>
      <c r="BU747" s="1"/>
      <c r="BV747" s="1"/>
      <c r="BW747" s="1"/>
      <c r="BX747" s="1"/>
      <c r="BY747" s="1"/>
      <c r="BZ747" s="1"/>
    </row>
    <row r="748" spans="2:78" ht="12" customHeight="1" outlineLevel="1" x14ac:dyDescent="0.25">
      <c r="B748" s="104" t="s">
        <v>107</v>
      </c>
      <c r="C748" s="104" t="s">
        <v>121</v>
      </c>
      <c r="D748" s="2" t="s">
        <v>143</v>
      </c>
      <c r="E748" s="2" t="s">
        <v>144</v>
      </c>
      <c r="F748" s="105" t="s">
        <v>122</v>
      </c>
      <c r="G748" s="27" t="s">
        <v>1579</v>
      </c>
      <c r="H748" s="106" t="s">
        <v>128</v>
      </c>
      <c r="I748" s="107" t="s">
        <v>129</v>
      </c>
      <c r="J748" s="147">
        <v>5.9321289200000002</v>
      </c>
      <c r="K748" s="148">
        <v>3</v>
      </c>
      <c r="L748" s="149">
        <f t="shared" ca="1" si="197"/>
        <v>1.0676741144858115</v>
      </c>
      <c r="M748" s="148">
        <f t="shared" ca="1" si="198"/>
        <v>6.2030223434574339</v>
      </c>
      <c r="N748" s="148">
        <f t="shared" ca="1" si="199"/>
        <v>3.2030223434574343</v>
      </c>
      <c r="O748" s="1062" t="s">
        <v>1586</v>
      </c>
      <c r="P748" s="104"/>
      <c r="R748" s="119"/>
      <c r="S748" s="1072"/>
      <c r="T748" s="1072"/>
      <c r="U748" s="1072"/>
      <c r="V748" s="1072"/>
      <c r="W748" s="1072"/>
      <c r="X748" s="1072"/>
      <c r="Y748" s="1072"/>
      <c r="Z748" s="1072"/>
      <c r="AA748" s="1072"/>
      <c r="AB748" s="1072"/>
      <c r="AC748" s="1072"/>
      <c r="AD748" s="1072"/>
      <c r="AE748" s="1072"/>
      <c r="AF748" s="1072"/>
      <c r="AG748" s="1072"/>
      <c r="AH748" s="1072"/>
      <c r="AI748" s="1072"/>
      <c r="AJ748" s="1073"/>
      <c r="AK748" s="1052" cm="1">
        <f t="array" aca="1" ref="AK748" ca="1">INDEX(OFFSET($AK$19,MATCH($B748,$B$19:$B$150,0)-1,0,COUNTA($B$19:$B$24),COUNTA($AK$17:$BB$17)),MATCH($F748,$F$19:$F$24,0),MATCH(AK$17,$AK$17:$BB$17,0))*INDEX($10:$13,MATCH($O748,$R$10:$R$13,0),COLUMN())</f>
        <v>0.11947303967999999</v>
      </c>
      <c r="AL748" s="1050" cm="1">
        <f t="array" aca="1" ref="AL748" ca="1">INDEX(OFFSET($AK$19,MATCH($B748,$B$19:$B$150,0)-1,0,COUNTA($B$19:$B$24),COUNTA($AK$17:$BB$17)),MATCH($F748,$F$19:$F$24,0),MATCH(AL$17,$AK$17:$BB$17,0))*INDEX($10:$13,MATCH($O748,$R$10:$R$13,0),COLUMN())</f>
        <v>2.1124262999999999E-7</v>
      </c>
      <c r="AM748" s="1050" cm="1">
        <f t="array" aca="1" ref="AM748" ca="1">INDEX(OFFSET($AK$19,MATCH($B748,$B$19:$B$150,0)-1,0,COUNTA($B$19:$B$24),COUNTA($AK$17:$BB$17)),MATCH($F748,$F$19:$F$24,0),MATCH(AM$17,$AK$17:$BB$17,0))*INDEX($10:$13,MATCH($O748,$R$10:$R$13,0),COLUMN())</f>
        <v>0</v>
      </c>
      <c r="AN748" s="1050" cm="1">
        <f t="array" aca="1" ref="AN748" ca="1">INDEX(OFFSET($AK$19,MATCH($B748,$B$19:$B$150,0)-1,0,COUNTA($B$19:$B$24),COUNTA($AK$17:$BB$17)),MATCH($F748,$F$19:$F$24,0),MATCH(AN$17,$AK$17:$BB$17,0))*INDEX($10:$13,MATCH($O748,$R$10:$R$13,0),COLUMN())</f>
        <v>8.0688730499999996E-3</v>
      </c>
      <c r="AO748" s="1050" cm="1">
        <f t="array" aca="1" ref="AO748" ca="1">INDEX(OFFSET($AK$19,MATCH($B748,$B$19:$B$150,0)-1,0,COUNTA($B$19:$B$24),COUNTA($AK$17:$BB$17)),MATCH($F748,$F$19:$F$24,0),MATCH(AO$17,$AK$17:$BB$17,0))*INDEX($10:$13,MATCH($O748,$R$10:$R$13,0),COLUMN())</f>
        <v>5.1652745506849312E-2</v>
      </c>
      <c r="AP748" s="1050" cm="1">
        <f t="array" aca="1" ref="AP748" ca="1">INDEX(OFFSET($AK$19,MATCH($B748,$B$19:$B$150,0)-1,0,COUNTA($B$19:$B$24),COUNTA($AK$17:$BB$17)),MATCH($F748,$F$19:$F$24,0),MATCH(AP$17,$AK$17:$BB$17,0))*INDEX($10:$13,MATCH($O748,$R$10:$R$13,0),COLUMN())</f>
        <v>2.3193951984E-2</v>
      </c>
      <c r="AQ748" s="1050" cm="1">
        <f t="array" aca="1" ref="AQ748" ca="1">INDEX(OFFSET($AK$19,MATCH($B748,$B$19:$B$150,0)-1,0,COUNTA($B$19:$B$24),COUNTA($AK$17:$BB$17)),MATCH($F748,$F$19:$F$24,0),MATCH(AQ$17,$AK$17:$BB$17,0))*INDEX($10:$13,MATCH($O748,$R$10:$R$13,0),COLUMN())</f>
        <v>3.7198397600000002E-2</v>
      </c>
      <c r="AR748" s="1050" cm="1">
        <f t="array" aca="1" ref="AR748" ca="1">INDEX(OFFSET($AK$19,MATCH($B748,$B$19:$B$150,0)-1,0,COUNTA($B$19:$B$24),COUNTA($AK$17:$BB$17)),MATCH($F748,$F$19:$F$24,0),MATCH(AR$17,$AK$17:$BB$17,0))*INDEX($10:$13,MATCH($O748,$R$10:$R$13,0),COLUMN())</f>
        <v>0.56344065643999997</v>
      </c>
      <c r="AS748" s="1050" cm="1">
        <f t="array" aca="1" ref="AS748" ca="1">INDEX(OFFSET($AK$19,MATCH($B748,$B$19:$B$150,0)-1,0,COUNTA($B$19:$B$24),COUNTA($AK$17:$BB$17)),MATCH($F748,$F$19:$F$24,0),MATCH(AS$17,$AK$17:$BB$17,0))*INDEX($10:$13,MATCH($O748,$R$10:$R$13,0),COLUMN())</f>
        <v>7.8883454879999989E-4</v>
      </c>
      <c r="AT748" s="1050" cm="1">
        <f t="array" aca="1" ref="AT748" ca="1">INDEX(OFFSET($AK$19,MATCH($B748,$B$19:$B$150,0)-1,0,COUNTA($B$19:$B$24),COUNTA($AK$17:$BB$17)),MATCH($F748,$F$19:$F$24,0),MATCH(AT$17,$AK$17:$BB$17,0))*INDEX($10:$13,MATCH($O748,$R$10:$R$13,0),COLUMN())</f>
        <v>1.6225951130000001E-5</v>
      </c>
      <c r="AU748" s="1050" cm="1">
        <f t="array" aca="1" ref="AU748" ca="1">INDEX(OFFSET($AK$19,MATCH($B748,$B$19:$B$150,0)-1,0,COUNTA($B$19:$B$24),COUNTA($AK$17:$BB$17)),MATCH($F748,$F$19:$F$24,0),MATCH(AU$17,$AK$17:$BB$17,0))*INDEX($10:$13,MATCH($O748,$R$10:$R$13,0),COLUMN())</f>
        <v>3.4094451269999998E-6</v>
      </c>
      <c r="AV748" s="1050" cm="1">
        <f t="array" aca="1" ref="AV748" ca="1">INDEX(OFFSET($AK$19,MATCH($B748,$B$19:$B$150,0)-1,0,COUNTA($B$19:$B$24),COUNTA($AK$17:$BB$17)),MATCH($F748,$F$19:$F$24,0),MATCH(AV$17,$AK$17:$BB$17,0))*INDEX($10:$13,MATCH($O748,$R$10:$R$13,0),COLUMN())</f>
        <v>1.8501559668220936E-3</v>
      </c>
      <c r="AW748" s="1050" cm="1">
        <f t="array" aca="1" ref="AW748" ca="1">INDEX(OFFSET($AK$19,MATCH($B748,$B$19:$B$150,0)-1,0,COUNTA($B$19:$B$24),COUNTA($AK$17:$BB$17)),MATCH($F748,$F$19:$F$24,0),MATCH(AW$17,$AK$17:$BB$17,0))*INDEX($10:$13,MATCH($O748,$R$10:$R$13,0),COLUMN())</f>
        <v>2.3294551577000004</v>
      </c>
      <c r="AX748" s="1050" cm="1">
        <f t="array" aca="1" ref="AX748" ca="1">INDEX(OFFSET($AK$19,MATCH($B748,$B$19:$B$150,0)-1,0,COUNTA($B$19:$B$24),COUNTA($AK$17:$BB$17)),MATCH($F748,$F$19:$F$24,0),MATCH(AX$17,$AK$17:$BB$17,0))*INDEX($10:$13,MATCH($O748,$R$10:$R$13,0),COLUMN())</f>
        <v>6.7007457270000002E-7</v>
      </c>
      <c r="AY748" s="1050" cm="1">
        <f t="array" aca="1" ref="AY748" ca="1">INDEX(OFFSET($AK$19,MATCH($B748,$B$19:$B$150,0)-1,0,COUNTA($B$19:$B$24),COUNTA($AK$17:$BB$17)),MATCH($F748,$F$19:$F$24,0),MATCH(AY$17,$AK$17:$BB$17,0))*INDEX($10:$13,MATCH($O748,$R$10:$R$13,0),COLUMN())</f>
        <v>-4.2969151939999998E-10</v>
      </c>
      <c r="AZ748" s="1050" cm="1">
        <f t="array" aca="1" ref="AZ748" ca="1">INDEX(OFFSET($AK$19,MATCH($B748,$B$19:$B$150,0)-1,0,COUNTA($B$19:$B$24),COUNTA($AK$17:$BB$17)),MATCH($F748,$F$19:$F$24,0),MATCH(AZ$17,$AK$17:$BB$17,0))*INDEX($10:$13,MATCH($O748,$R$10:$R$13,0),COLUMN())</f>
        <v>2.1430633194379389E-5</v>
      </c>
      <c r="BA748" s="1050" cm="1">
        <f t="array" aca="1" ref="BA748" ca="1">INDEX(OFFSET($AK$19,MATCH($B748,$B$19:$B$150,0)-1,0,COUNTA($B$19:$B$24),COUNTA($AK$17:$BB$17)),MATCH($F748,$F$19:$F$24,0),MATCH(BA$17,$AK$17:$BB$17,0))*INDEX($10:$13,MATCH($O748,$R$10:$R$13,0),COLUMN())</f>
        <v>5.8906804659999992E-2</v>
      </c>
      <c r="BB748" s="1051" cm="1">
        <f t="array" aca="1" ref="BB748" ca="1">INDEX(OFFSET($AK$19,MATCH($B748,$B$19:$B$150,0)-1,0,COUNTA($B$19:$B$24),COUNTA($AK$17:$BB$17)),MATCH($F748,$F$19:$F$24,0),MATCH(BB$17,$AK$17:$BB$17,0))*INDEX($10:$13,MATCH($O748,$R$10:$R$13,0),COLUMN())</f>
        <v>8.9517794040000001E-3</v>
      </c>
      <c r="BC748" s="1053">
        <f t="shared" ca="1" si="200"/>
        <v>2.3294558273448818</v>
      </c>
      <c r="BE748" s="1"/>
      <c r="BF748" s="1"/>
      <c r="BG748" s="1"/>
      <c r="BH748" s="1"/>
      <c r="BI748" s="1"/>
      <c r="BJ748" s="1"/>
      <c r="BK748" s="1"/>
      <c r="BL748" s="1"/>
      <c r="BM748" s="1"/>
      <c r="BN748" s="1"/>
      <c r="BO748" s="1"/>
      <c r="BP748" s="1"/>
      <c r="BQ748" s="1"/>
      <c r="BR748" s="1"/>
      <c r="BS748" s="1"/>
      <c r="BT748" s="1"/>
      <c r="BU748" s="1"/>
      <c r="BV748" s="1"/>
      <c r="BW748" s="1"/>
      <c r="BX748" s="1"/>
      <c r="BY748" s="1"/>
      <c r="BZ748" s="1"/>
    </row>
    <row r="749" spans="2:78" ht="12" customHeight="1" outlineLevel="1" x14ac:dyDescent="0.25">
      <c r="B749" s="104" t="s">
        <v>107</v>
      </c>
      <c r="C749" s="104" t="s">
        <v>121</v>
      </c>
      <c r="D749" s="2" t="s">
        <v>143</v>
      </c>
      <c r="E749" s="2" t="s">
        <v>144</v>
      </c>
      <c r="F749" s="105" t="s">
        <v>93</v>
      </c>
      <c r="G749" s="27" t="s">
        <v>1578</v>
      </c>
      <c r="H749" s="106" t="s">
        <v>130</v>
      </c>
      <c r="I749" s="107" t="s">
        <v>129</v>
      </c>
      <c r="J749" s="147">
        <v>5.9321289200000002</v>
      </c>
      <c r="K749" s="148">
        <v>3</v>
      </c>
      <c r="L749" s="149">
        <f t="shared" ca="1" si="197"/>
        <v>1.3385505395979775</v>
      </c>
      <c r="M749" s="148">
        <f t="shared" ca="1" si="198"/>
        <v>7.0156516187939326</v>
      </c>
      <c r="N749" s="148">
        <f t="shared" ca="1" si="199"/>
        <v>4.0156516187939326</v>
      </c>
      <c r="O749" s="1062" t="s">
        <v>1586</v>
      </c>
      <c r="P749" s="104"/>
      <c r="R749" s="119"/>
      <c r="S749" s="1072"/>
      <c r="T749" s="1072"/>
      <c r="U749" s="1072"/>
      <c r="V749" s="1072"/>
      <c r="W749" s="1072"/>
      <c r="X749" s="1072"/>
      <c r="Y749" s="1072"/>
      <c r="Z749" s="1072"/>
      <c r="AA749" s="1072"/>
      <c r="AB749" s="1072"/>
      <c r="AC749" s="1072"/>
      <c r="AD749" s="1072"/>
      <c r="AE749" s="1072"/>
      <c r="AF749" s="1072"/>
      <c r="AG749" s="1072"/>
      <c r="AH749" s="1072"/>
      <c r="AI749" s="1072"/>
      <c r="AJ749" s="1073"/>
      <c r="AK749" s="1052" cm="1">
        <f t="array" aca="1" ref="AK749" ca="1">INDEX(OFFSET($AK$19,MATCH($B749,$B$19:$B$150,0)-1,0,COUNTA($B$19:$B$24),COUNTA($AK$17:$BB$17)),MATCH($F749,$F$19:$F$24,0),MATCH(AK$17,$AK$17:$BB$17,0))*INDEX($10:$13,MATCH($O749,$R$10:$R$13,0),COLUMN())</f>
        <v>0.14975309647999999</v>
      </c>
      <c r="AL749" s="1050" cm="1">
        <f t="array" aca="1" ref="AL749" ca="1">INDEX(OFFSET($AK$19,MATCH($B749,$B$19:$B$150,0)-1,0,COUNTA($B$19:$B$24),COUNTA($AK$17:$BB$17)),MATCH($F749,$F$19:$F$24,0),MATCH(AL$17,$AK$17:$BB$17,0))*INDEX($10:$13,MATCH($O749,$R$10:$R$13,0),COLUMN())</f>
        <v>2.6481232487999996E-7</v>
      </c>
      <c r="AM749" s="1050" cm="1">
        <f t="array" aca="1" ref="AM749" ca="1">INDEX(OFFSET($AK$19,MATCH($B749,$B$19:$B$150,0)-1,0,COUNTA($B$19:$B$24),COUNTA($AK$17:$BB$17)),MATCH($F749,$F$19:$F$24,0),MATCH(AM$17,$AK$17:$BB$17,0))*INDEX($10:$13,MATCH($O749,$R$10:$R$13,0),COLUMN())</f>
        <v>0</v>
      </c>
      <c r="AN749" s="1050" cm="1">
        <f t="array" aca="1" ref="AN749" ca="1">INDEX(OFFSET($AK$19,MATCH($B749,$B$19:$B$150,0)-1,0,COUNTA($B$19:$B$24),COUNTA($AK$17:$BB$17)),MATCH($F749,$F$19:$F$24,0),MATCH(AN$17,$AK$17:$BB$17,0))*INDEX($10:$13,MATCH($O749,$R$10:$R$13,0),COLUMN())</f>
        <v>1.0111902642000001E-2</v>
      </c>
      <c r="AO749" s="1050" cm="1">
        <f t="array" aca="1" ref="AO749" ca="1">INDEX(OFFSET($AK$19,MATCH($B749,$B$19:$B$150,0)-1,0,COUNTA($B$19:$B$24),COUNTA($AK$17:$BB$17)),MATCH($F749,$F$19:$F$24,0),MATCH(AO$17,$AK$17:$BB$17,0))*INDEX($10:$13,MATCH($O749,$R$10:$R$13,0),COLUMN())</f>
        <v>6.4741873191780819E-2</v>
      </c>
      <c r="AP749" s="1050" cm="1">
        <f t="array" aca="1" ref="AP749" ca="1">INDEX(OFFSET($AK$19,MATCH($B749,$B$19:$B$150,0)-1,0,COUNTA($B$19:$B$24),COUNTA($AK$17:$BB$17)),MATCH($F749,$F$19:$F$24,0),MATCH(AP$17,$AK$17:$BB$17,0))*INDEX($10:$13,MATCH($O749,$R$10:$R$13,0),COLUMN())</f>
        <v>2.9073779279999996E-2</v>
      </c>
      <c r="AQ749" s="1050" cm="1">
        <f t="array" aca="1" ref="AQ749" ca="1">INDEX(OFFSET($AK$19,MATCH($B749,$B$19:$B$150,0)-1,0,COUNTA($B$19:$B$24),COUNTA($AK$17:$BB$17)),MATCH($F749,$F$19:$F$24,0),MATCH(AQ$17,$AK$17:$BB$17,0))*INDEX($10:$13,MATCH($O749,$R$10:$R$13,0),COLUMN())</f>
        <v>4.6633250399999999E-2</v>
      </c>
      <c r="AR749" s="1050" cm="1">
        <f t="array" aca="1" ref="AR749" ca="1">INDEX(OFFSET($AK$19,MATCH($B749,$B$19:$B$150,0)-1,0,COUNTA($B$19:$B$24),COUNTA($AK$17:$BB$17)),MATCH($F749,$F$19:$F$24,0),MATCH(AR$17,$AK$17:$BB$17,0))*INDEX($10:$13,MATCH($O749,$R$10:$R$13,0),COLUMN())</f>
        <v>0.70634802239999994</v>
      </c>
      <c r="AS749" s="1050" cm="1">
        <f t="array" aca="1" ref="AS749" ca="1">INDEX(OFFSET($AK$19,MATCH($B749,$B$19:$B$150,0)-1,0,COUNTA($B$19:$B$24),COUNTA($AK$17:$BB$17)),MATCH($F749,$F$19:$F$24,0),MATCH(AS$17,$AK$17:$BB$17,0))*INDEX($10:$13,MATCH($O749,$R$10:$R$13,0),COLUMN())</f>
        <v>1.1494758394000001E-3</v>
      </c>
      <c r="AT749" s="1050" cm="1">
        <f t="array" aca="1" ref="AT749" ca="1">INDEX(OFFSET($AK$19,MATCH($B749,$B$19:$B$150,0)-1,0,COUNTA($B$19:$B$24),COUNTA($AK$17:$BB$17)),MATCH($F749,$F$19:$F$24,0),MATCH(AT$17,$AK$17:$BB$17,0))*INDEX($10:$13,MATCH($O749,$R$10:$R$13,0),COLUMN())</f>
        <v>2.040029781E-5</v>
      </c>
      <c r="AU749" s="1050" cm="1">
        <f t="array" aca="1" ref="AU749" ca="1">INDEX(OFFSET($AK$19,MATCH($B749,$B$19:$B$150,0)-1,0,COUNTA($B$19:$B$24),COUNTA($AK$17:$BB$17)),MATCH($F749,$F$19:$F$24,0),MATCH(AU$17,$AK$17:$BB$17,0))*INDEX($10:$13,MATCH($O749,$R$10:$R$13,0),COLUMN())</f>
        <v>4.2795551369999999E-6</v>
      </c>
      <c r="AV749" s="1050" cm="1">
        <f t="array" aca="1" ref="AV749" ca="1">INDEX(OFFSET($AK$19,MATCH($B749,$B$19:$B$150,0)-1,0,COUNTA($B$19:$B$24),COUNTA($AK$17:$BB$17)),MATCH($F749,$F$19:$F$24,0),MATCH(AV$17,$AK$17:$BB$17,0))*INDEX($10:$13,MATCH($O749,$R$10:$R$13,0),COLUMN())</f>
        <v>2.4404700704154379E-3</v>
      </c>
      <c r="AW749" s="1050" cm="1">
        <f t="array" aca="1" ref="AW749" ca="1">INDEX(OFFSET($AK$19,MATCH($B749,$B$19:$B$150,0)-1,0,COUNTA($B$19:$B$24),COUNTA($AK$17:$BB$17)),MATCH($F749,$F$19:$F$24,0),MATCH(AW$17,$AK$17:$BB$17,0))*INDEX($10:$13,MATCH($O749,$R$10:$R$13,0),COLUMN())</f>
        <v>2.9202982190000002</v>
      </c>
      <c r="AX749" s="1050" cm="1">
        <f t="array" aca="1" ref="AX749" ca="1">INDEX(OFFSET($AK$19,MATCH($B749,$B$19:$B$150,0)-1,0,COUNTA($B$19:$B$24),COUNTA($AK$17:$BB$17)),MATCH($F749,$F$19:$F$24,0),MATCH(AX$17,$AK$17:$BB$17,0))*INDEX($10:$13,MATCH($O749,$R$10:$R$13,0),COLUMN())</f>
        <v>8.4003230050000002E-7</v>
      </c>
      <c r="AY749" s="1050" cm="1">
        <f t="array" aca="1" ref="AY749" ca="1">INDEX(OFFSET($AK$19,MATCH($B749,$B$19:$B$150,0)-1,0,COUNTA($B$19:$B$24),COUNTA($AK$17:$BB$17)),MATCH($F749,$F$19:$F$24,0),MATCH(AY$17,$AK$17:$BB$17,0))*INDEX($10:$13,MATCH($O749,$R$10:$R$13,0),COLUMN())</f>
        <v>-5.3867848779999998E-10</v>
      </c>
      <c r="AZ749" s="1050" cm="1">
        <f t="array" aca="1" ref="AZ749" ca="1">INDEX(OFFSET($AK$19,MATCH($B749,$B$19:$B$150,0)-1,0,COUNTA($B$19:$B$24),COUNTA($AK$17:$BB$17)),MATCH($F749,$F$19:$F$24,0),MATCH(AZ$17,$AK$17:$BB$17,0))*INDEX($10:$13,MATCH($O749,$R$10:$R$13,0),COLUMN())</f>
        <v>2.6866111442622949E-5</v>
      </c>
      <c r="BA749" s="1050" cm="1">
        <f t="array" aca="1" ref="BA749" ca="1">INDEX(OFFSET($AK$19,MATCH($B749,$B$19:$B$150,0)-1,0,COUNTA($B$19:$B$24),COUNTA($AK$17:$BB$17)),MATCH($F749,$F$19:$F$24,0),MATCH(BA$17,$AK$17:$BB$17,0))*INDEX($10:$13,MATCH($O749,$R$10:$R$13,0),COLUMN())</f>
        <v>7.3826587719999989E-2</v>
      </c>
      <c r="BB749" s="1051" cm="1">
        <f t="array" aca="1" ref="BB749" ca="1">INDEX(OFFSET($AK$19,MATCH($B749,$B$19:$B$150,0)-1,0,COUNTA($B$19:$B$24),COUNTA($AK$17:$BB$17)),MATCH($F749,$F$19:$F$24,0),MATCH(BB$17,$AK$17:$BB$17,0))*INDEX($10:$13,MATCH($O749,$R$10:$R$13,0),COLUMN())</f>
        <v>1.1222291499999999E-2</v>
      </c>
      <c r="BC749" s="1053">
        <f t="shared" ca="1" si="200"/>
        <v>2.9202990584936224</v>
      </c>
      <c r="BE749" s="1"/>
      <c r="BF749" s="1"/>
      <c r="BG749" s="1"/>
      <c r="BH749" s="1"/>
      <c r="BI749" s="1"/>
      <c r="BJ749" s="1"/>
      <c r="BK749" s="1"/>
      <c r="BL749" s="1"/>
      <c r="BM749" s="1"/>
      <c r="BN749" s="1"/>
      <c r="BO749" s="1"/>
      <c r="BP749" s="1"/>
      <c r="BQ749" s="1"/>
      <c r="BR749" s="1"/>
      <c r="BS749" s="1"/>
      <c r="BT749" s="1"/>
      <c r="BU749" s="1"/>
      <c r="BV749" s="1"/>
      <c r="BW749" s="1"/>
      <c r="BX749" s="1"/>
      <c r="BY749" s="1"/>
      <c r="BZ749" s="1"/>
    </row>
    <row r="750" spans="2:78" ht="12" customHeight="1" outlineLevel="1" x14ac:dyDescent="0.25">
      <c r="B750" s="104" t="s">
        <v>107</v>
      </c>
      <c r="C750" s="104" t="s">
        <v>121</v>
      </c>
      <c r="D750" s="2" t="s">
        <v>143</v>
      </c>
      <c r="E750" s="2" t="s">
        <v>144</v>
      </c>
      <c r="F750" s="105" t="s">
        <v>94</v>
      </c>
      <c r="G750" s="27" t="s">
        <v>1580</v>
      </c>
      <c r="H750" s="106" t="s">
        <v>131</v>
      </c>
      <c r="I750" s="107" t="s">
        <v>129</v>
      </c>
      <c r="J750" s="147">
        <v>5.9321289200000002</v>
      </c>
      <c r="K750" s="148">
        <v>3</v>
      </c>
      <c r="L750" s="149">
        <f t="shared" ca="1" si="197"/>
        <v>0.88775761810604414</v>
      </c>
      <c r="M750" s="148">
        <f t="shared" ca="1" si="198"/>
        <v>5.6632728543181319</v>
      </c>
      <c r="N750" s="148">
        <f t="shared" ca="1" si="199"/>
        <v>2.6632728543181323</v>
      </c>
      <c r="O750" s="1062" t="s">
        <v>1586</v>
      </c>
      <c r="P750" s="104"/>
      <c r="R750" s="119"/>
      <c r="S750" s="1072"/>
      <c r="T750" s="1072"/>
      <c r="U750" s="1072"/>
      <c r="V750" s="1072"/>
      <c r="W750" s="1072"/>
      <c r="X750" s="1072"/>
      <c r="Y750" s="1072"/>
      <c r="Z750" s="1072"/>
      <c r="AA750" s="1072"/>
      <c r="AB750" s="1072"/>
      <c r="AC750" s="1072"/>
      <c r="AD750" s="1072"/>
      <c r="AE750" s="1072"/>
      <c r="AF750" s="1072"/>
      <c r="AG750" s="1072"/>
      <c r="AH750" s="1072"/>
      <c r="AI750" s="1072"/>
      <c r="AJ750" s="1073"/>
      <c r="AK750" s="1052" cm="1">
        <f t="array" aca="1" ref="AK750" ca="1">INDEX(OFFSET($AK$19,MATCH($B750,$B$19:$B$150,0)-1,0,COUNTA($B$19:$B$24),COUNTA($AK$17:$BB$17)),MATCH($F750,$F$19:$F$24,0),MATCH(AK$17,$AK$17:$BB$17,0))*INDEX($10:$13,MATCH($O750,$R$10:$R$13,0),COLUMN())</f>
        <v>9.9356800319999994E-2</v>
      </c>
      <c r="AL750" s="1050" cm="1">
        <f t="array" aca="1" ref="AL750" ca="1">INDEX(OFFSET($AK$19,MATCH($B750,$B$19:$B$150,0)-1,0,COUNTA($B$19:$B$24),COUNTA($AK$17:$BB$17)),MATCH($F750,$F$19:$F$24,0),MATCH(AL$17,$AK$17:$BB$17,0))*INDEX($10:$13,MATCH($O750,$R$10:$R$13,0),COLUMN())</f>
        <v>1.7566044294000002E-7</v>
      </c>
      <c r="AM750" s="1050" cm="1">
        <f t="array" aca="1" ref="AM750" ca="1">INDEX(OFFSET($AK$19,MATCH($B750,$B$19:$B$150,0)-1,0,COUNTA($B$19:$B$24),COUNTA($AK$17:$BB$17)),MATCH($F750,$F$19:$F$24,0),MATCH(AM$17,$AK$17:$BB$17,0))*INDEX($10:$13,MATCH($O750,$R$10:$R$13,0),COLUMN())</f>
        <v>0</v>
      </c>
      <c r="AN750" s="1050" cm="1">
        <f t="array" aca="1" ref="AN750" ca="1">INDEX(OFFSET($AK$19,MATCH($B750,$B$19:$B$150,0)-1,0,COUNTA($B$19:$B$24),COUNTA($AK$17:$BB$17)),MATCH($F750,$F$19:$F$24,0),MATCH(AN$17,$AK$17:$BB$17,0))*INDEX($10:$13,MATCH($O750,$R$10:$R$13,0),COLUMN())</f>
        <v>6.7112018580000009E-3</v>
      </c>
      <c r="AO750" s="1050" cm="1">
        <f t="array" aca="1" ref="AO750" ca="1">INDEX(OFFSET($AK$19,MATCH($B750,$B$19:$B$150,0)-1,0,COUNTA($B$19:$B$24),COUNTA($AK$17:$BB$17)),MATCH($F750,$F$19:$F$24,0),MATCH(AO$17,$AK$17:$BB$17,0))*INDEX($10:$13,MATCH($O750,$R$10:$R$13,0),COLUMN())</f>
        <v>4.2956696712328768E-2</v>
      </c>
      <c r="AP750" s="1050" cm="1">
        <f t="array" aca="1" ref="AP750" ca="1">INDEX(OFFSET($AK$19,MATCH($B750,$B$19:$B$150,0)-1,0,COUNTA($B$19:$B$24),COUNTA($AK$17:$BB$17)),MATCH($F750,$F$19:$F$24,0),MATCH(AP$17,$AK$17:$BB$17,0))*INDEX($10:$13,MATCH($O750,$R$10:$R$13,0),COLUMN())</f>
        <v>1.9288033295999998E-2</v>
      </c>
      <c r="AQ750" s="1050" cm="1">
        <f t="array" aca="1" ref="AQ750" ca="1">INDEX(OFFSET($AK$19,MATCH($B750,$B$19:$B$150,0)-1,0,COUNTA($B$19:$B$24),COUNTA($AK$17:$BB$17)),MATCH($F750,$F$19:$F$24,0),MATCH(AQ$17,$AK$17:$BB$17,0))*INDEX($10:$13,MATCH($O750,$R$10:$R$13,0),COLUMN())</f>
        <v>3.0931881440000003E-2</v>
      </c>
      <c r="AR750" s="1050" cm="1">
        <f t="array" aca="1" ref="AR750" ca="1">INDEX(OFFSET($AK$19,MATCH($B750,$B$19:$B$150,0)-1,0,COUNTA($B$19:$B$24),COUNTA($AK$17:$BB$17)),MATCH($F750,$F$19:$F$24,0),MATCH(AR$17,$AK$17:$BB$17,0))*INDEX($10:$13,MATCH($O750,$R$10:$R$13,0),COLUMN())</f>
        <v>0.46852300117999995</v>
      </c>
      <c r="AS750" s="1050" cm="1">
        <f t="array" aca="1" ref="AS750" ca="1">INDEX(OFFSET($AK$19,MATCH($B750,$B$19:$B$150,0)-1,0,COUNTA($B$19:$B$24),COUNTA($AK$17:$BB$17)),MATCH($F750,$F$19:$F$24,0),MATCH(AS$17,$AK$17:$BB$17,0))*INDEX($10:$13,MATCH($O750,$R$10:$R$13,0),COLUMN())</f>
        <v>5.4942285641000003E-4</v>
      </c>
      <c r="AT750" s="1050" cm="1">
        <f t="array" aca="1" ref="AT750" ca="1">INDEX(OFFSET($AK$19,MATCH($B750,$B$19:$B$150,0)-1,0,COUNTA($B$19:$B$24),COUNTA($AK$17:$BB$17)),MATCH($F750,$F$19:$F$24,0),MATCH(AT$17,$AK$17:$BB$17,0))*INDEX($10:$13,MATCH($O750,$R$10:$R$13,0),COLUMN())</f>
        <v>1.3453373690000002E-5</v>
      </c>
      <c r="AU750" s="1050" cm="1">
        <f t="array" aca="1" ref="AU750" ca="1">INDEX(OFFSET($AK$19,MATCH($B750,$B$19:$B$150,0)-1,0,COUNTA($B$19:$B$24),COUNTA($AK$17:$BB$17)),MATCH($F750,$F$19:$F$24,0),MATCH(AU$17,$AK$17:$BB$17,0))*INDEX($10:$13,MATCH($O750,$R$10:$R$13,0),COLUMN())</f>
        <v>2.8313758991999998E-6</v>
      </c>
      <c r="AV750" s="1050" cm="1">
        <f t="array" aca="1" ref="AV750" ca="1">INDEX(OFFSET($AK$19,MATCH($B750,$B$19:$B$150,0)-1,0,COUNTA($B$19:$B$24),COUNTA($AK$17:$BB$17)),MATCH($F750,$F$19:$F$24,0),MATCH(AV$17,$AK$17:$BB$17,0))*INDEX($10:$13,MATCH($O750,$R$10:$R$13,0),COLUMN())</f>
        <v>1.4581437540466039E-3</v>
      </c>
      <c r="AW750" s="1050" cm="1">
        <f t="array" aca="1" ref="AW750" ca="1">INDEX(OFFSET($AK$19,MATCH($B750,$B$19:$B$150,0)-1,0,COUNTA($B$19:$B$24),COUNTA($AK$17:$BB$17)),MATCH($F750,$F$19:$F$24,0),MATCH(AW$17,$AK$17:$BB$17,0))*INDEX($10:$13,MATCH($O750,$R$10:$R$13,0),COLUMN())</f>
        <v>1.9370261202000003</v>
      </c>
      <c r="AX750" s="1050" cm="1">
        <f t="array" aca="1" ref="AX750" ca="1">INDEX(OFFSET($AK$19,MATCH($B750,$B$19:$B$150,0)-1,0,COUNTA($B$19:$B$24),COUNTA($AK$17:$BB$17)),MATCH($F750,$F$19:$F$24,0),MATCH(AX$17,$AK$17:$BB$17,0))*INDEX($10:$13,MATCH($O750,$R$10:$R$13,0),COLUMN())</f>
        <v>5.5719121600000005E-7</v>
      </c>
      <c r="AY750" s="1050" cm="1">
        <f t="array" aca="1" ref="AY750" ca="1">INDEX(OFFSET($AK$19,MATCH($B750,$B$19:$B$150,0)-1,0,COUNTA($B$19:$B$24),COUNTA($AK$17:$BB$17)),MATCH($F750,$F$19:$F$24,0),MATCH(AY$17,$AK$17:$BB$17,0))*INDEX($10:$13,MATCH($O750,$R$10:$R$13,0),COLUMN())</f>
        <v>-3.573040246E-10</v>
      </c>
      <c r="AZ750" s="1050" cm="1">
        <f t="array" aca="1" ref="AZ750" ca="1">INDEX(OFFSET($AK$19,MATCH($B750,$B$19:$B$150,0)-1,0,COUNTA($B$19:$B$24),COUNTA($AK$17:$BB$17)),MATCH($F750,$F$19:$F$24,0),MATCH(AZ$17,$AK$17:$BB$17,0))*INDEX($10:$13,MATCH($O750,$R$10:$R$13,0),COLUMN())</f>
        <v>1.7820432402810303E-5</v>
      </c>
      <c r="BA750" s="1050" cm="1">
        <f t="array" aca="1" ref="BA750" ca="1">INDEX(OFFSET($AK$19,MATCH($B750,$B$19:$B$150,0)-1,0,COUNTA($B$19:$B$24),COUNTA($AK$17:$BB$17)),MATCH($F750,$F$19:$F$24,0),MATCH(BA$17,$AK$17:$BB$17,0))*INDEX($10:$13,MATCH($O750,$R$10:$R$13,0),COLUMN())</f>
        <v>4.8992978960000003E-2</v>
      </c>
      <c r="BB750" s="1051" cm="1">
        <f t="array" aca="1" ref="BB750" ca="1">INDEX(OFFSET($AK$19,MATCH($B750,$B$19:$B$150,0)-1,0,COUNTA($B$19:$B$24),COUNTA($AK$17:$BB$17)),MATCH($F750,$F$19:$F$24,0),MATCH(BB$17,$AK$17:$BB$17,0))*INDEX($10:$13,MATCH($O750,$R$10:$R$13,0),COLUMN())</f>
        <v>7.4437360649999996E-3</v>
      </c>
      <c r="BC750" s="1053">
        <f t="shared" ca="1" si="200"/>
        <v>1.9370266770339124</v>
      </c>
      <c r="BE750" s="1"/>
      <c r="BF750" s="1"/>
      <c r="BG750" s="1"/>
      <c r="BH750" s="1"/>
      <c r="BI750" s="1"/>
      <c r="BJ750" s="1"/>
      <c r="BK750" s="1"/>
      <c r="BL750" s="1"/>
      <c r="BM750" s="1"/>
      <c r="BN750" s="1"/>
      <c r="BO750" s="1"/>
      <c r="BP750" s="1"/>
      <c r="BQ750" s="1"/>
      <c r="BR750" s="1"/>
      <c r="BS750" s="1"/>
      <c r="BT750" s="1"/>
      <c r="BU750" s="1"/>
      <c r="BV750" s="1"/>
      <c r="BW750" s="1"/>
      <c r="BX750" s="1"/>
      <c r="BY750" s="1"/>
      <c r="BZ750" s="1"/>
    </row>
    <row r="751" spans="2:78" ht="12" customHeight="1" outlineLevel="1" x14ac:dyDescent="0.25">
      <c r="B751" s="104" t="s">
        <v>107</v>
      </c>
      <c r="C751" s="104" t="s">
        <v>121</v>
      </c>
      <c r="D751" s="2" t="s">
        <v>143</v>
      </c>
      <c r="E751" s="2" t="s">
        <v>144</v>
      </c>
      <c r="F751" s="105" t="s">
        <v>95</v>
      </c>
      <c r="G751" s="27" t="s">
        <v>1581</v>
      </c>
      <c r="H751" s="106" t="s">
        <v>128</v>
      </c>
      <c r="I751" s="107" t="s">
        <v>127</v>
      </c>
      <c r="J751" s="147">
        <v>5.9321289200000002</v>
      </c>
      <c r="K751" s="148">
        <v>3</v>
      </c>
      <c r="L751" s="149">
        <f t="shared" ca="1" si="197"/>
        <v>1.310292329906424</v>
      </c>
      <c r="M751" s="148">
        <f t="shared" ca="1" si="198"/>
        <v>6.9308769897192715</v>
      </c>
      <c r="N751" s="148">
        <f t="shared" ca="1" si="199"/>
        <v>3.9308769897192719</v>
      </c>
      <c r="O751" s="1062" t="s">
        <v>1586</v>
      </c>
      <c r="P751" s="104"/>
      <c r="R751" s="119"/>
      <c r="S751" s="1072"/>
      <c r="T751" s="1072"/>
      <c r="U751" s="1072"/>
      <c r="V751" s="1072"/>
      <c r="W751" s="1072"/>
      <c r="X751" s="1072"/>
      <c r="Y751" s="1072"/>
      <c r="Z751" s="1072"/>
      <c r="AA751" s="1072"/>
      <c r="AB751" s="1072"/>
      <c r="AC751" s="1072"/>
      <c r="AD751" s="1072"/>
      <c r="AE751" s="1072"/>
      <c r="AF751" s="1072"/>
      <c r="AG751" s="1072"/>
      <c r="AH751" s="1072"/>
      <c r="AI751" s="1072"/>
      <c r="AJ751" s="1073"/>
      <c r="AK751" s="1052" cm="1">
        <f t="array" aca="1" ref="AK751" ca="1">INDEX(OFFSET($AK$19,MATCH($B751,$B$19:$B$150,0)-1,0,COUNTA($B$19:$B$24),COUNTA($AK$17:$BB$17)),MATCH($F751,$F$19:$F$24,0),MATCH(AK$17,$AK$17:$BB$17,0))*INDEX($10:$13,MATCH($O751,$R$10:$R$13,0),COLUMN())</f>
        <v>0.14244403512000001</v>
      </c>
      <c r="AL751" s="1050" cm="1">
        <f t="array" aca="1" ref="AL751" ca="1">INDEX(OFFSET($AK$19,MATCH($B751,$B$19:$B$150,0)-1,0,COUNTA($B$19:$B$24),COUNTA($AK$17:$BB$17)),MATCH($F751,$F$19:$F$24,0),MATCH(AL$17,$AK$17:$BB$17,0))*INDEX($10:$13,MATCH($O751,$R$10:$R$13,0),COLUMN())</f>
        <v>2.1276738276000002E-7</v>
      </c>
      <c r="AM751" s="1050" cm="1">
        <f t="array" aca="1" ref="AM751" ca="1">INDEX(OFFSET($AK$19,MATCH($B751,$B$19:$B$150,0)-1,0,COUNTA($B$19:$B$24),COUNTA($AK$17:$BB$17)),MATCH($F751,$F$19:$F$24,0),MATCH(AM$17,$AK$17:$BB$17,0))*INDEX($10:$13,MATCH($O751,$R$10:$R$13,0),COLUMN())</f>
        <v>0</v>
      </c>
      <c r="AN751" s="1050" cm="1">
        <f t="array" aca="1" ref="AN751" ca="1">INDEX(OFFSET($AK$19,MATCH($B751,$B$19:$B$150,0)-1,0,COUNTA($B$19:$B$24),COUNTA($AK$17:$BB$17)),MATCH($F751,$F$19:$F$24,0),MATCH(AN$17,$AK$17:$BB$17,0))*INDEX($10:$13,MATCH($O751,$R$10:$R$13,0),COLUMN())</f>
        <v>8.6176388460000013E-3</v>
      </c>
      <c r="AO751" s="1050" cm="1">
        <f t="array" aca="1" ref="AO751" ca="1">INDEX(OFFSET($AK$19,MATCH($B751,$B$19:$B$150,0)-1,0,COUNTA($B$19:$B$24),COUNTA($AK$17:$BB$17)),MATCH($F751,$F$19:$F$24,0),MATCH(AO$17,$AK$17:$BB$17,0))*INDEX($10:$13,MATCH($O751,$R$10:$R$13,0),COLUMN())</f>
        <v>0.12180084776712329</v>
      </c>
      <c r="AP751" s="1050" cm="1">
        <f t="array" aca="1" ref="AP751" ca="1">INDEX(OFFSET($AK$19,MATCH($B751,$B$19:$B$150,0)-1,0,COUNTA($B$19:$B$24),COUNTA($AK$17:$BB$17)),MATCH($F751,$F$19:$F$24,0),MATCH(AP$17,$AK$17:$BB$17,0))*INDEX($10:$13,MATCH($O751,$R$10:$R$13,0),COLUMN())</f>
        <v>7.9183651679999995E-2</v>
      </c>
      <c r="AQ751" s="1050" cm="1">
        <f t="array" aca="1" ref="AQ751" ca="1">INDEX(OFFSET($AK$19,MATCH($B751,$B$19:$B$150,0)-1,0,COUNTA($B$19:$B$24),COUNTA($AK$17:$BB$17)),MATCH($F751,$F$19:$F$24,0),MATCH(AQ$17,$AK$17:$BB$17,0))*INDEX($10:$13,MATCH($O751,$R$10:$R$13,0),COLUMN())</f>
        <v>0.14723001504</v>
      </c>
      <c r="AR751" s="1050" cm="1">
        <f t="array" aca="1" ref="AR751" ca="1">INDEX(OFFSET($AK$19,MATCH($B751,$B$19:$B$150,0)-1,0,COUNTA($B$19:$B$24),COUNTA($AK$17:$BB$17)),MATCH($F751,$F$19:$F$24,0),MATCH(AR$17,$AK$17:$BB$17,0))*INDEX($10:$13,MATCH($O751,$R$10:$R$13,0),COLUMN())</f>
        <v>1.0132458663999999</v>
      </c>
      <c r="AS751" s="1050" cm="1">
        <f t="array" aca="1" ref="AS751" ca="1">INDEX(OFFSET($AK$19,MATCH($B751,$B$19:$B$150,0)-1,0,COUNTA($B$19:$B$24),COUNTA($AK$17:$BB$17)),MATCH($F751,$F$19:$F$24,0),MATCH(AS$17,$AK$17:$BB$17,0))*INDEX($10:$13,MATCH($O751,$R$10:$R$13,0),COLUMN())</f>
        <v>9.4842958729999989E-3</v>
      </c>
      <c r="AT751" s="1050" cm="1">
        <f t="array" aca="1" ref="AT751" ca="1">INDEX(OFFSET($AK$19,MATCH($B751,$B$19:$B$150,0)-1,0,COUNTA($B$19:$B$24),COUNTA($AK$17:$BB$17)),MATCH($F751,$F$19:$F$24,0),MATCH(AT$17,$AK$17:$BB$17,0))*INDEX($10:$13,MATCH($O751,$R$10:$R$13,0),COLUMN())</f>
        <v>2.2608108070000002E-5</v>
      </c>
      <c r="AU751" s="1050" cm="1">
        <f t="array" aca="1" ref="AU751" ca="1">INDEX(OFFSET($AK$19,MATCH($B751,$B$19:$B$150,0)-1,0,COUNTA($B$19:$B$24),COUNTA($AK$17:$BB$17)),MATCH($F751,$F$19:$F$24,0),MATCH(AU$17,$AK$17:$BB$17,0))*INDEX($10:$13,MATCH($O751,$R$10:$R$13,0),COLUMN())</f>
        <v>4.3776935369999994E-6</v>
      </c>
      <c r="AV751" s="1050" cm="1">
        <f t="array" aca="1" ref="AV751" ca="1">INDEX(OFFSET($AK$19,MATCH($B751,$B$19:$B$150,0)-1,0,COUNTA($B$19:$B$24),COUNTA($AK$17:$BB$17)),MATCH($F751,$F$19:$F$24,0),MATCH(AV$17,$AK$17:$BB$17,0))*INDEX($10:$13,MATCH($O751,$R$10:$R$13,0),COLUMN())</f>
        <v>8.2154708754928335E-3</v>
      </c>
      <c r="AW751" s="1050" cm="1">
        <f t="array" aca="1" ref="AW751" ca="1">INDEX(OFFSET($AK$19,MATCH($B751,$B$19:$B$150,0)-1,0,COUNTA($B$19:$B$24),COUNTA($AK$17:$BB$17)),MATCH($F751,$F$19:$F$24,0),MATCH(AW$17,$AK$17:$BB$17,0))*INDEX($10:$13,MATCH($O751,$R$10:$R$13,0),COLUMN())</f>
        <v>2.3294551577000004</v>
      </c>
      <c r="AX751" s="1050" cm="1">
        <f t="array" aca="1" ref="AX751" ca="1">INDEX(OFFSET($AK$19,MATCH($B751,$B$19:$B$150,0)-1,0,COUNTA($B$19:$B$24),COUNTA($AK$17:$BB$17)),MATCH($F751,$F$19:$F$24,0),MATCH(AX$17,$AK$17:$BB$17,0))*INDEX($10:$13,MATCH($O751,$R$10:$R$13,0),COLUMN())</f>
        <v>6.7007457270000002E-7</v>
      </c>
      <c r="AY751" s="1050" cm="1">
        <f t="array" aca="1" ref="AY751" ca="1">INDEX(OFFSET($AK$19,MATCH($B751,$B$19:$B$150,0)-1,0,COUNTA($B$19:$B$24),COUNTA($AK$17:$BB$17)),MATCH($F751,$F$19:$F$24,0),MATCH(AY$17,$AK$17:$BB$17,0))*INDEX($10:$13,MATCH($O751,$R$10:$R$13,0),COLUMN())</f>
        <v>-4.2969151939999998E-10</v>
      </c>
      <c r="AZ751" s="1050" cm="1">
        <f t="array" aca="1" ref="AZ751" ca="1">INDEX(OFFSET($AK$19,MATCH($B751,$B$19:$B$150,0)-1,0,COUNTA($B$19:$B$24),COUNTA($AK$17:$BB$17)),MATCH($F751,$F$19:$F$24,0),MATCH(AZ$17,$AK$17:$BB$17,0))*INDEX($10:$13,MATCH($O751,$R$10:$R$13,0),COLUMN())</f>
        <v>2.145964878454332E-5</v>
      </c>
      <c r="BA751" s="1050" cm="1">
        <f t="array" aca="1" ref="BA751" ca="1">INDEX(OFFSET($AK$19,MATCH($B751,$B$19:$B$150,0)-1,0,COUNTA($B$19:$B$24),COUNTA($AK$17:$BB$17)),MATCH($F751,$F$19:$F$24,0),MATCH(BA$17,$AK$17:$BB$17,0))*INDEX($10:$13,MATCH($O751,$R$10:$R$13,0),COLUMN())</f>
        <v>6.219621291E-2</v>
      </c>
      <c r="BB751" s="1051" cm="1">
        <f t="array" aca="1" ref="BB751" ca="1">INDEX(OFFSET($AK$19,MATCH($B751,$B$19:$B$150,0)-1,0,COUNTA($B$19:$B$24),COUNTA($AK$17:$BB$17)),MATCH($F751,$F$19:$F$24,0),MATCH(BB$17,$AK$17:$BB$17,0))*INDEX($10:$13,MATCH($O751,$R$10:$R$13,0),COLUMN())</f>
        <v>8.9544696450000009E-3</v>
      </c>
      <c r="BC751" s="1053">
        <f t="shared" ca="1" si="200"/>
        <v>2.3294558273448818</v>
      </c>
      <c r="BE751" s="1"/>
      <c r="BF751" s="1"/>
      <c r="BG751" s="1"/>
      <c r="BH751" s="1"/>
      <c r="BI751" s="1"/>
      <c r="BJ751" s="1"/>
      <c r="BK751" s="1"/>
      <c r="BL751" s="1"/>
      <c r="BM751" s="1"/>
      <c r="BN751" s="1"/>
      <c r="BO751" s="1"/>
      <c r="BP751" s="1"/>
      <c r="BQ751" s="1"/>
      <c r="BR751" s="1"/>
      <c r="BS751" s="1"/>
      <c r="BT751" s="1"/>
      <c r="BU751" s="1"/>
      <c r="BV751" s="1"/>
      <c r="BW751" s="1"/>
      <c r="BX751" s="1"/>
      <c r="BY751" s="1"/>
      <c r="BZ751" s="1"/>
    </row>
    <row r="752" spans="2:78" ht="12" customHeight="1" outlineLevel="1" x14ac:dyDescent="0.25">
      <c r="B752" s="104" t="s">
        <v>107</v>
      </c>
      <c r="C752" s="104" t="s">
        <v>121</v>
      </c>
      <c r="D752" s="2" t="s">
        <v>143</v>
      </c>
      <c r="E752" s="2" t="s">
        <v>144</v>
      </c>
      <c r="F752" s="105" t="s">
        <v>96</v>
      </c>
      <c r="G752" s="27" t="s">
        <v>1582</v>
      </c>
      <c r="H752" s="106" t="s">
        <v>128</v>
      </c>
      <c r="I752" s="107" t="s">
        <v>1577</v>
      </c>
      <c r="J752" s="147">
        <v>5.9321289200000002</v>
      </c>
      <c r="K752" s="148">
        <v>3</v>
      </c>
      <c r="L752" s="149">
        <f t="shared" ca="1" si="197"/>
        <v>1.4863399019907051</v>
      </c>
      <c r="M752" s="148">
        <f t="shared" ca="1" si="198"/>
        <v>7.4590197059721151</v>
      </c>
      <c r="N752" s="148">
        <f t="shared" ca="1" si="199"/>
        <v>4.4590197059721151</v>
      </c>
      <c r="O752" s="1062" t="s">
        <v>1586</v>
      </c>
      <c r="P752" s="104"/>
      <c r="R752" s="119"/>
      <c r="S752" s="1072"/>
      <c r="T752" s="1072"/>
      <c r="U752" s="1072"/>
      <c r="V752" s="1072"/>
      <c r="W752" s="1072"/>
      <c r="X752" s="1072"/>
      <c r="Y752" s="1072"/>
      <c r="Z752" s="1072"/>
      <c r="AA752" s="1072"/>
      <c r="AB752" s="1072"/>
      <c r="AC752" s="1072"/>
      <c r="AD752" s="1072"/>
      <c r="AE752" s="1072"/>
      <c r="AF752" s="1072"/>
      <c r="AG752" s="1072"/>
      <c r="AH752" s="1072"/>
      <c r="AI752" s="1072"/>
      <c r="AJ752" s="1073"/>
      <c r="AK752" s="1052" cm="1">
        <f t="array" aca="1" ref="AK752" ca="1">INDEX(OFFSET($AK$19,MATCH($B752,$B$19:$B$150,0)-1,0,COUNTA($B$19:$B$24),COUNTA($AK$17:$BB$17)),MATCH($F752,$F$19:$F$24,0),MATCH(AK$17,$AK$17:$BB$17,0))*INDEX($10:$13,MATCH($O752,$R$10:$R$13,0),COLUMN())</f>
        <v>0.15892150239999997</v>
      </c>
      <c r="AL752" s="1050" cm="1">
        <f t="array" aca="1" ref="AL752" ca="1">INDEX(OFFSET($AK$19,MATCH($B752,$B$19:$B$150,0)-1,0,COUNTA($B$19:$B$24),COUNTA($AK$17:$BB$17)),MATCH($F752,$F$19:$F$24,0),MATCH(AL$17,$AK$17:$BB$17,0))*INDEX($10:$13,MATCH($O752,$R$10:$R$13,0),COLUMN())</f>
        <v>2.1376246200000001E-7</v>
      </c>
      <c r="AM752" s="1050" cm="1">
        <f t="array" aca="1" ref="AM752" ca="1">INDEX(OFFSET($AK$19,MATCH($B752,$B$19:$B$150,0)-1,0,COUNTA($B$19:$B$24),COUNTA($AK$17:$BB$17)),MATCH($F752,$F$19:$F$24,0),MATCH(AM$17,$AK$17:$BB$17,0))*INDEX($10:$13,MATCH($O752,$R$10:$R$13,0),COLUMN())</f>
        <v>0</v>
      </c>
      <c r="AN752" s="1050" cm="1">
        <f t="array" aca="1" ref="AN752" ca="1">INDEX(OFFSET($AK$19,MATCH($B752,$B$19:$B$150,0)-1,0,COUNTA($B$19:$B$24),COUNTA($AK$17:$BB$17)),MATCH($F752,$F$19:$F$24,0),MATCH(AN$17,$AK$17:$BB$17,0))*INDEX($10:$13,MATCH($O752,$R$10:$R$13,0),COLUMN())</f>
        <v>8.9757719100000011E-3</v>
      </c>
      <c r="AO752" s="1050" cm="1">
        <f t="array" aca="1" ref="AO752" ca="1">INDEX(OFFSET($AK$19,MATCH($B752,$B$19:$B$150,0)-1,0,COUNTA($B$19:$B$24),COUNTA($AK$17:$BB$17)),MATCH($F752,$F$19:$F$24,0),MATCH(AO$17,$AK$17:$BB$17,0))*INDEX($10:$13,MATCH($O752,$R$10:$R$13,0),COLUMN())</f>
        <v>0.17280884379452055</v>
      </c>
      <c r="AP752" s="1050" cm="1">
        <f t="array" aca="1" ref="AP752" ca="1">INDEX(OFFSET($AK$19,MATCH($B752,$B$19:$B$150,0)-1,0,COUNTA($B$19:$B$24),COUNTA($AK$17:$BB$17)),MATCH($F752,$F$19:$F$24,0),MATCH(AP$17,$AK$17:$BB$17,0))*INDEX($10:$13,MATCH($O752,$R$10:$R$13,0),COLUMN())</f>
        <v>0.11997373247999998</v>
      </c>
      <c r="AQ752" s="1050" cm="1">
        <f t="array" aca="1" ref="AQ752" ca="1">INDEX(OFFSET($AK$19,MATCH($B752,$B$19:$B$150,0)-1,0,COUNTA($B$19:$B$24),COUNTA($AK$17:$BB$17)),MATCH($F752,$F$19:$F$24,0),MATCH(AQ$17,$AK$17:$BB$17,0))*INDEX($10:$13,MATCH($O752,$R$10:$R$13,0),COLUMN())</f>
        <v>0.22559233519999999</v>
      </c>
      <c r="AR752" s="1050" cm="1">
        <f t="array" aca="1" ref="AR752" ca="1">INDEX(OFFSET($AK$19,MATCH($B752,$B$19:$B$150,0)-1,0,COUNTA($B$19:$B$24),COUNTA($AK$17:$BB$17)),MATCH($F752,$F$19:$F$24,0),MATCH(AR$17,$AK$17:$BB$17,0))*INDEX($10:$13,MATCH($O752,$R$10:$R$13,0),COLUMN())</f>
        <v>1.3411900377999999</v>
      </c>
      <c r="AS752" s="1050" cm="1">
        <f t="array" aca="1" ref="AS752" ca="1">INDEX(OFFSET($AK$19,MATCH($B752,$B$19:$B$150,0)-1,0,COUNTA($B$19:$B$24),COUNTA($AK$17:$BB$17)),MATCH($F752,$F$19:$F$24,0),MATCH(AS$17,$AK$17:$BB$17,0))*INDEX($10:$13,MATCH($O752,$R$10:$R$13,0),COLUMN())</f>
        <v>1.5553382748E-2</v>
      </c>
      <c r="AT752" s="1050" cm="1">
        <f t="array" aca="1" ref="AT752" ca="1">INDEX(OFFSET($AK$19,MATCH($B752,$B$19:$B$150,0)-1,0,COUNTA($B$19:$B$24),COUNTA($AK$17:$BB$17)),MATCH($F752,$F$19:$F$24,0),MATCH(AT$17,$AK$17:$BB$17,0))*INDEX($10:$13,MATCH($O752,$R$10:$R$13,0),COLUMN())</f>
        <v>2.5334419714E-5</v>
      </c>
      <c r="AU752" s="1050" cm="1">
        <f t="array" aca="1" ref="AU752" ca="1">INDEX(OFFSET($AK$19,MATCH($B752,$B$19:$B$150,0)-1,0,COUNTA($B$19:$B$24),COUNTA($AK$17:$BB$17)),MATCH($F752,$F$19:$F$24,0),MATCH(AU$17,$AK$17:$BB$17,0))*INDEX($10:$13,MATCH($O752,$R$10:$R$13,0),COLUMN())</f>
        <v>4.7624734386000002E-6</v>
      </c>
      <c r="AV752" s="1050" cm="1">
        <f t="array" aca="1" ref="AV752" ca="1">INDEX(OFFSET($AK$19,MATCH($B752,$B$19:$B$150,0)-1,0,COUNTA($B$19:$B$24),COUNTA($AK$17:$BB$17)),MATCH($F752,$F$19:$F$24,0),MATCH(AV$17,$AK$17:$BB$17,0))*INDEX($10:$13,MATCH($O752,$R$10:$R$13,0),COLUMN())</f>
        <v>1.3197321554114303E-2</v>
      </c>
      <c r="AW752" s="1050" cm="1">
        <f t="array" aca="1" ref="AW752" ca="1">INDEX(OFFSET($AK$19,MATCH($B752,$B$19:$B$150,0)-1,0,COUNTA($B$19:$B$24),COUNTA($AK$17:$BB$17)),MATCH($F752,$F$19:$F$24,0),MATCH(AW$17,$AK$17:$BB$17,0))*INDEX($10:$13,MATCH($O752,$R$10:$R$13,0),COLUMN())</f>
        <v>2.3294551577000004</v>
      </c>
      <c r="AX752" s="1050" cm="1">
        <f t="array" aca="1" ref="AX752" ca="1">INDEX(OFFSET($AK$19,MATCH($B752,$B$19:$B$150,0)-1,0,COUNTA($B$19:$B$24),COUNTA($AK$17:$BB$17)),MATCH($F752,$F$19:$F$24,0),MATCH(AX$17,$AK$17:$BB$17,0))*INDEX($10:$13,MATCH($O752,$R$10:$R$13,0),COLUMN())</f>
        <v>6.7007457270000002E-7</v>
      </c>
      <c r="AY752" s="1050" cm="1">
        <f t="array" aca="1" ref="AY752" ca="1">INDEX(OFFSET($AK$19,MATCH($B752,$B$19:$B$150,0)-1,0,COUNTA($B$19:$B$24),COUNTA($AK$17:$BB$17)),MATCH($F752,$F$19:$F$24,0),MATCH(AY$17,$AK$17:$BB$17,0))*INDEX($10:$13,MATCH($O752,$R$10:$R$13,0),COLUMN())</f>
        <v>-4.2969151939999998E-10</v>
      </c>
      <c r="AZ752" s="1050" cm="1">
        <f t="array" aca="1" ref="AZ752" ca="1">INDEX(OFFSET($AK$19,MATCH($B752,$B$19:$B$150,0)-1,0,COUNTA($B$19:$B$24),COUNTA($AK$17:$BB$17)),MATCH($F752,$F$19:$F$24,0),MATCH(AZ$17,$AK$17:$BB$17,0))*INDEX($10:$13,MATCH($O752,$R$10:$R$13,0),COLUMN())</f>
        <v>2.1478584983606552E-5</v>
      </c>
      <c r="BA752" s="1050" cm="1">
        <f t="array" aca="1" ref="BA752" ca="1">INDEX(OFFSET($AK$19,MATCH($B752,$B$19:$B$150,0)-1,0,COUNTA($B$19:$B$24),COUNTA($AK$17:$BB$17)),MATCH($F752,$F$19:$F$24,0),MATCH(BA$17,$AK$17:$BB$17,0))*INDEX($10:$13,MATCH($O752,$R$10:$R$13,0),COLUMN())</f>
        <v>6.434293608000001E-2</v>
      </c>
      <c r="BB752" s="1051" cm="1">
        <f t="array" aca="1" ref="BB752" ca="1">INDEX(OFFSET($AK$19,MATCH($B752,$B$19:$B$150,0)-1,0,COUNTA($B$19:$B$24),COUNTA($AK$17:$BB$17)),MATCH($F752,$F$19:$F$24,0),MATCH(BB$17,$AK$17:$BB$17,0))*INDEX($10:$13,MATCH($O752,$R$10:$R$13,0),COLUMN())</f>
        <v>8.95622542E-3</v>
      </c>
      <c r="BC752" s="1053">
        <f t="shared" ca="1" si="200"/>
        <v>2.3294558273448818</v>
      </c>
      <c r="BE752" s="1"/>
      <c r="BF752" s="1"/>
      <c r="BG752" s="1"/>
      <c r="BH752" s="1"/>
      <c r="BI752" s="1"/>
      <c r="BJ752" s="1"/>
      <c r="BK752" s="1"/>
      <c r="BL752" s="1"/>
      <c r="BM752" s="1"/>
      <c r="BN752" s="1"/>
      <c r="BO752" s="1"/>
      <c r="BP752" s="1"/>
      <c r="BQ752" s="1"/>
      <c r="BR752" s="1"/>
      <c r="BS752" s="1"/>
      <c r="BT752" s="1"/>
      <c r="BU752" s="1"/>
      <c r="BV752" s="1"/>
      <c r="BW752" s="1"/>
      <c r="BX752" s="1"/>
      <c r="BY752" s="1"/>
      <c r="BZ752" s="1"/>
    </row>
    <row r="753" spans="2:78" ht="12" customHeight="1" outlineLevel="1" x14ac:dyDescent="0.25">
      <c r="B753" s="88" t="s">
        <v>108</v>
      </c>
      <c r="C753" s="88" t="s">
        <v>121</v>
      </c>
      <c r="D753" s="89" t="s">
        <v>143</v>
      </c>
      <c r="E753" s="89" t="s">
        <v>145</v>
      </c>
      <c r="F753" s="90" t="s">
        <v>92</v>
      </c>
      <c r="G753" s="18" t="s">
        <v>126</v>
      </c>
      <c r="H753" s="91" t="s">
        <v>127</v>
      </c>
      <c r="I753" s="92" t="s">
        <v>127</v>
      </c>
      <c r="J753" s="142">
        <v>5.0812675600000006</v>
      </c>
      <c r="K753" s="143">
        <v>0.7434325684016676</v>
      </c>
      <c r="L753" s="144">
        <f t="shared" ca="1" si="197"/>
        <v>7.8434399681403102</v>
      </c>
      <c r="M753" s="143">
        <f t="shared" ca="1" si="198"/>
        <v>6.5745012890205121</v>
      </c>
      <c r="N753" s="143">
        <f t="shared" ca="1" si="199"/>
        <v>5.8310687206188447</v>
      </c>
      <c r="O753" s="1063" t="s">
        <v>1586</v>
      </c>
      <c r="P753" s="88"/>
      <c r="Q753" s="89"/>
      <c r="R753" s="150"/>
      <c r="S753" s="1070"/>
      <c r="T753" s="1070"/>
      <c r="U753" s="1070"/>
      <c r="V753" s="1070"/>
      <c r="W753" s="1070"/>
      <c r="X753" s="1070"/>
      <c r="Y753" s="1070"/>
      <c r="Z753" s="1070"/>
      <c r="AA753" s="1070"/>
      <c r="AB753" s="1070"/>
      <c r="AC753" s="1070"/>
      <c r="AD753" s="1070"/>
      <c r="AE753" s="1070"/>
      <c r="AF753" s="1070"/>
      <c r="AG753" s="1070"/>
      <c r="AH753" s="1070"/>
      <c r="AI753" s="1070"/>
      <c r="AJ753" s="1071"/>
      <c r="AK753" s="1048" cm="1">
        <f t="array" aca="1" ref="AK753" ca="1">INDEX(OFFSET($AK$19,MATCH($B753,$B$19:$B$150,0)-1,0,COUNTA($B$19:$B$24),COUNTA($AK$17:$BB$17)),MATCH($F753,$F$19:$F$24,0),MATCH(AK$17,$AK$17:$BB$17,0))*INDEX($10:$13,MATCH($O753,$R$10:$R$13,0),COLUMN())</f>
        <v>0.29522990399999999</v>
      </c>
      <c r="AL753" s="1046" cm="1">
        <f t="array" aca="1" ref="AL753" ca="1">INDEX(OFFSET($AK$19,MATCH($B753,$B$19:$B$150,0)-1,0,COUNTA($B$19:$B$24),COUNTA($AK$17:$BB$17)),MATCH($F753,$F$19:$F$24,0),MATCH(AL$17,$AK$17:$BB$17,0))*INDEX($10:$13,MATCH($O753,$R$10:$R$13,0),COLUMN())</f>
        <v>5.3355381959999996E-7</v>
      </c>
      <c r="AM753" s="1046" cm="1">
        <f t="array" aca="1" ref="AM753" ca="1">INDEX(OFFSET($AK$19,MATCH($B753,$B$19:$B$150,0)-1,0,COUNTA($B$19:$B$24),COUNTA($AK$17:$BB$17)),MATCH($F753,$F$19:$F$24,0),MATCH(AM$17,$AK$17:$BB$17,0))*INDEX($10:$13,MATCH($O753,$R$10:$R$13,0),COLUMN())</f>
        <v>0</v>
      </c>
      <c r="AN753" s="1046" cm="1">
        <f t="array" aca="1" ref="AN753" ca="1">INDEX(OFFSET($AK$19,MATCH($B753,$B$19:$B$150,0)-1,0,COUNTA($B$19:$B$24),COUNTA($AK$17:$BB$17)),MATCH($F753,$F$19:$F$24,0),MATCH(AN$17,$AK$17:$BB$17,0))*INDEX($10:$13,MATCH($O753,$R$10:$R$13,0),COLUMN())</f>
        <v>8.0766146340000011E-3</v>
      </c>
      <c r="AO753" s="1046" cm="1">
        <f t="array" aca="1" ref="AO753" ca="1">INDEX(OFFSET($AK$19,MATCH($B753,$B$19:$B$150,0)-1,0,COUNTA($B$19:$B$24),COUNTA($AK$17:$BB$17)),MATCH($F753,$F$19:$F$24,0),MATCH(AO$17,$AK$17:$BB$17,0))*INDEX($10:$13,MATCH($O753,$R$10:$R$13,0),COLUMN())</f>
        <v>0.15830222416438355</v>
      </c>
      <c r="AP753" s="1046" cm="1">
        <f t="array" aca="1" ref="AP753" ca="1">INDEX(OFFSET($AK$19,MATCH($B753,$B$19:$B$150,0)-1,0,COUNTA($B$19:$B$24),COUNTA($AK$17:$BB$17)),MATCH($F753,$F$19:$F$24,0),MATCH(AP$17,$AK$17:$BB$17,0))*INDEX($10:$13,MATCH($O753,$R$10:$R$13,0),COLUMN())</f>
        <v>0.10744934591999999</v>
      </c>
      <c r="AQ753" s="1046" cm="1">
        <f t="array" aca="1" ref="AQ753" ca="1">INDEX(OFFSET($AK$19,MATCH($B753,$B$19:$B$150,0)-1,0,COUNTA($B$19:$B$24),COUNTA($AK$17:$BB$17)),MATCH($F753,$F$19:$F$24,0),MATCH(AQ$17,$AK$17:$BB$17,0))*INDEX($10:$13,MATCH($O753,$R$10:$R$13,0),COLUMN())</f>
        <v>0.61438621920000003</v>
      </c>
      <c r="AR753" s="1046" cm="1">
        <f t="array" aca="1" ref="AR753" ca="1">INDEX(OFFSET($AK$19,MATCH($B753,$B$19:$B$150,0)-1,0,COUNTA($B$19:$B$24),COUNTA($AK$17:$BB$17)),MATCH($F753,$F$19:$F$24,0),MATCH(AR$17,$AK$17:$BB$17,0))*INDEX($10:$13,MATCH($O753,$R$10:$R$13,0),COLUMN())</f>
        <v>1.9299476075999999</v>
      </c>
      <c r="AS753" s="1046" cm="1">
        <f t="array" aca="1" ref="AS753" ca="1">INDEX(OFFSET($AK$19,MATCH($B753,$B$19:$B$150,0)-1,0,COUNTA($B$19:$B$24),COUNTA($AK$17:$BB$17)),MATCH($F753,$F$19:$F$24,0),MATCH(AS$17,$AK$17:$BB$17,0))*INDEX($10:$13,MATCH($O753,$R$10:$R$13,0),COLUMN())</f>
        <v>0.73816584759999992</v>
      </c>
      <c r="AT753" s="1046" cm="1">
        <f t="array" aca="1" ref="AT753" ca="1">INDEX(OFFSET($AK$19,MATCH($B753,$B$19:$B$150,0)-1,0,COUNTA($B$19:$B$24),COUNTA($AK$17:$BB$17)),MATCH($F753,$F$19:$F$24,0),MATCH(AT$17,$AK$17:$BB$17,0))*INDEX($10:$13,MATCH($O753,$R$10:$R$13,0),COLUMN())</f>
        <v>8.262689196E-4</v>
      </c>
      <c r="AU753" s="1046" cm="1">
        <f t="array" aca="1" ref="AU753" ca="1">INDEX(OFFSET($AK$19,MATCH($B753,$B$19:$B$150,0)-1,0,COUNTA($B$19:$B$24),COUNTA($AK$17:$BB$17)),MATCH($F753,$F$19:$F$24,0),MATCH(AU$17,$AK$17:$BB$17,0))*INDEX($10:$13,MATCH($O753,$R$10:$R$13,0),COLUMN())</f>
        <v>5.6303292317999999E-5</v>
      </c>
      <c r="AV753" s="1046" cm="1">
        <f t="array" aca="1" ref="AV753" ca="1">INDEX(OFFSET($AK$19,MATCH($B753,$B$19:$B$150,0)-1,0,COUNTA($B$19:$B$24),COUNTA($AK$17:$BB$17)),MATCH($F753,$F$19:$F$24,0),MATCH(AV$17,$AK$17:$BB$17,0))*INDEX($10:$13,MATCH($O753,$R$10:$R$13,0),COLUMN())</f>
        <v>2.1653708984406085E-2</v>
      </c>
      <c r="AW753" s="1046" cm="1">
        <f t="array" aca="1" ref="AW753" ca="1">INDEX(OFFSET($AK$19,MATCH($B753,$B$19:$B$150,0)-1,0,COUNTA($B$19:$B$24),COUNTA($AK$17:$BB$17)),MATCH($F753,$F$19:$F$24,0),MATCH(AW$17,$AK$17:$BB$17,0))*INDEX($10:$13,MATCH($O753,$R$10:$R$13,0),COLUMN())</f>
        <v>1.8342713684000003</v>
      </c>
      <c r="AX753" s="1046" cm="1">
        <f t="array" aca="1" ref="AX753" ca="1">INDEX(OFFSET($AK$19,MATCH($B753,$B$19:$B$150,0)-1,0,COUNTA($B$19:$B$24),COUNTA($AK$17:$BB$17)),MATCH($F753,$F$19:$F$24,0),MATCH(AX$17,$AK$17:$BB$17,0))*INDEX($10:$13,MATCH($O753,$R$10:$R$13,0),COLUMN())</f>
        <v>5.1591443420000004E-6</v>
      </c>
      <c r="AY753" s="1046" cm="1">
        <f t="array" aca="1" ref="AY753" ca="1">INDEX(OFFSET($AK$19,MATCH($B753,$B$19:$B$150,0)-1,0,COUNTA($B$19:$B$24),COUNTA($AK$17:$BB$17)),MATCH($F753,$F$19:$F$24,0),MATCH(AY$17,$AK$17:$BB$17,0))*INDEX($10:$13,MATCH($O753,$R$10:$R$13,0),COLUMN())</f>
        <v>-3.5959095650000003E-9</v>
      </c>
      <c r="AZ753" s="1046" cm="1">
        <f t="array" aca="1" ref="AZ753" ca="1">INDEX(OFFSET($AK$19,MATCH($B753,$B$19:$B$150,0)-1,0,COUNTA($B$19:$B$24),COUNTA($AK$17:$BB$17)),MATCH($F753,$F$19:$F$24,0),MATCH(AZ$17,$AK$17:$BB$17,0))*INDEX($10:$13,MATCH($O753,$R$10:$R$13,0),COLUMN())</f>
        <v>1.93469608852459E-5</v>
      </c>
      <c r="BA753" s="1046" cm="1">
        <f t="array" aca="1" ref="BA753" ca="1">INDEX(OFFSET($AK$19,MATCH($B753,$B$19:$B$150,0)-1,0,COUNTA($B$19:$B$24),COUNTA($AK$17:$BB$17)),MATCH($F753,$F$19:$F$24,0),MATCH(BA$17,$AK$17:$BB$17,0))*INDEX($10:$13,MATCH($O753,$R$10:$R$13,0),COLUMN())</f>
        <v>0.12135698885999999</v>
      </c>
      <c r="BB753" s="1047" cm="1">
        <f t="array" aca="1" ref="BB753" ca="1">INDEX(OFFSET($AK$19,MATCH($B753,$B$19:$B$150,0)-1,0,COUNTA($B$19:$B$24),COUNTA($AK$17:$BB$17)),MATCH($F753,$F$19:$F$24,0),MATCH(BB$17,$AK$17:$BB$17,0))*INDEX($10:$13,MATCH($O753,$R$10:$R$13,0),COLUMN())</f>
        <v>1.321282981E-3</v>
      </c>
      <c r="BC753" s="1049">
        <f t="shared" ca="1" si="200"/>
        <v>1.8342765239484327</v>
      </c>
      <c r="BE753" s="1"/>
      <c r="BF753" s="1"/>
      <c r="BG753" s="1"/>
      <c r="BH753" s="1"/>
      <c r="BI753" s="1"/>
      <c r="BJ753" s="1"/>
      <c r="BK753" s="1"/>
      <c r="BL753" s="1"/>
      <c r="BM753" s="1"/>
      <c r="BN753" s="1"/>
      <c r="BO753" s="1"/>
      <c r="BP753" s="1"/>
      <c r="BQ753" s="1"/>
      <c r="BR753" s="1"/>
      <c r="BS753" s="1"/>
      <c r="BT753" s="1"/>
      <c r="BU753" s="1"/>
      <c r="BV753" s="1"/>
      <c r="BW753" s="1"/>
      <c r="BX753" s="1"/>
      <c r="BY753" s="1"/>
      <c r="BZ753" s="1"/>
    </row>
    <row r="754" spans="2:78" ht="12" customHeight="1" outlineLevel="1" x14ac:dyDescent="0.25">
      <c r="B754" s="104" t="s">
        <v>108</v>
      </c>
      <c r="C754" s="104" t="s">
        <v>121</v>
      </c>
      <c r="D754" s="2" t="s">
        <v>143</v>
      </c>
      <c r="E754" s="2" t="s">
        <v>145</v>
      </c>
      <c r="F754" s="105" t="s">
        <v>122</v>
      </c>
      <c r="G754" s="27" t="s">
        <v>1579</v>
      </c>
      <c r="H754" s="106" t="s">
        <v>128</v>
      </c>
      <c r="I754" s="107" t="s">
        <v>129</v>
      </c>
      <c r="J754" s="147">
        <v>5.0812675600000006</v>
      </c>
      <c r="K754" s="148">
        <v>3.5</v>
      </c>
      <c r="L754" s="149">
        <f t="shared" ca="1" si="197"/>
        <v>1.0290624722314805</v>
      </c>
      <c r="M754" s="148">
        <f t="shared" ca="1" si="198"/>
        <v>7.101718652810181</v>
      </c>
      <c r="N754" s="148">
        <f t="shared" ca="1" si="199"/>
        <v>3.6017186528101814</v>
      </c>
      <c r="O754" s="1062" t="s">
        <v>1586</v>
      </c>
      <c r="P754" s="104"/>
      <c r="R754" s="119"/>
      <c r="S754" s="1072"/>
      <c r="T754" s="1072"/>
      <c r="U754" s="1072"/>
      <c r="V754" s="1072"/>
      <c r="W754" s="1072"/>
      <c r="X754" s="1072"/>
      <c r="Y754" s="1072"/>
      <c r="Z754" s="1072"/>
      <c r="AA754" s="1072"/>
      <c r="AB754" s="1072"/>
      <c r="AC754" s="1072"/>
      <c r="AD754" s="1072"/>
      <c r="AE754" s="1072"/>
      <c r="AF754" s="1072"/>
      <c r="AG754" s="1072"/>
      <c r="AH754" s="1072"/>
      <c r="AI754" s="1072"/>
      <c r="AJ754" s="1073"/>
      <c r="AK754" s="1052" cm="1">
        <f t="array" aca="1" ref="AK754" ca="1">INDEX(OFFSET($AK$19,MATCH($B754,$B$19:$B$150,0)-1,0,COUNTA($B$19:$B$24),COUNTA($AK$17:$BB$17)),MATCH($F754,$F$19:$F$24,0),MATCH(AK$17,$AK$17:$BB$17,0))*INDEX($10:$13,MATCH($O754,$R$10:$R$13,0),COLUMN())</f>
        <v>0.13440950207999999</v>
      </c>
      <c r="AL754" s="1050" cm="1">
        <f t="array" aca="1" ref="AL754" ca="1">INDEX(OFFSET($AK$19,MATCH($B754,$B$19:$B$150,0)-1,0,COUNTA($B$19:$B$24),COUNTA($AK$17:$BB$17)),MATCH($F754,$F$19:$F$24,0),MATCH(AL$17,$AK$17:$BB$17,0))*INDEX($10:$13,MATCH($O754,$R$10:$R$13,0),COLUMN())</f>
        <v>2.3765364618000001E-7</v>
      </c>
      <c r="AM754" s="1050" cm="1">
        <f t="array" aca="1" ref="AM754" ca="1">INDEX(OFFSET($AK$19,MATCH($B754,$B$19:$B$150,0)-1,0,COUNTA($B$19:$B$24),COUNTA($AK$17:$BB$17)),MATCH($F754,$F$19:$F$24,0),MATCH(AM$17,$AK$17:$BB$17,0))*INDEX($10:$13,MATCH($O754,$R$10:$R$13,0),COLUMN())</f>
        <v>0</v>
      </c>
      <c r="AN754" s="1050" cm="1">
        <f t="array" aca="1" ref="AN754" ca="1">INDEX(OFFSET($AK$19,MATCH($B754,$B$19:$B$150,0)-1,0,COUNTA($B$19:$B$24),COUNTA($AK$17:$BB$17)),MATCH($F754,$F$19:$F$24,0),MATCH(AN$17,$AK$17:$BB$17,0))*INDEX($10:$13,MATCH($O754,$R$10:$R$13,0),COLUMN())</f>
        <v>9.2280349500000018E-3</v>
      </c>
      <c r="AO754" s="1050" cm="1">
        <f t="array" aca="1" ref="AO754" ca="1">INDEX(OFFSET($AK$19,MATCH($B754,$B$19:$B$150,0)-1,0,COUNTA($B$19:$B$24),COUNTA($AK$17:$BB$17)),MATCH($F754,$F$19:$F$24,0),MATCH(AO$17,$AK$17:$BB$17,0))*INDEX($10:$13,MATCH($O754,$R$10:$R$13,0),COLUMN())</f>
        <v>5.9020462027397254E-2</v>
      </c>
      <c r="AP754" s="1050" cm="1">
        <f t="array" aca="1" ref="AP754" ca="1">INDEX(OFFSET($AK$19,MATCH($B754,$B$19:$B$150,0)-1,0,COUNTA($B$19:$B$24),COUNTA($AK$17:$BB$17)),MATCH($F754,$F$19:$F$24,0),MATCH(AP$17,$AK$17:$BB$17,0))*INDEX($10:$13,MATCH($O754,$R$10:$R$13,0),COLUMN())</f>
        <v>2.6490651599999998E-2</v>
      </c>
      <c r="AQ754" s="1050" cm="1">
        <f t="array" aca="1" ref="AQ754" ca="1">INDEX(OFFSET($AK$19,MATCH($B754,$B$19:$B$150,0)-1,0,COUNTA($B$19:$B$24),COUNTA($AK$17:$BB$17)),MATCH($F754,$F$19:$F$24,0),MATCH(AQ$17,$AK$17:$BB$17,0))*INDEX($10:$13,MATCH($O754,$R$10:$R$13,0),COLUMN())</f>
        <v>4.2466516960000006E-2</v>
      </c>
      <c r="AR754" s="1050" cm="1">
        <f t="array" aca="1" ref="AR754" ca="1">INDEX(OFFSET($AK$19,MATCH($B754,$B$19:$B$150,0)-1,0,COUNTA($B$19:$B$24),COUNTA($AK$17:$BB$17)),MATCH($F754,$F$19:$F$24,0),MATCH(AR$17,$AK$17:$BB$17,0))*INDEX($10:$13,MATCH($O754,$R$10:$R$13,0),COLUMN())</f>
        <v>0.59862302824000002</v>
      </c>
      <c r="AS754" s="1050" cm="1">
        <f t="array" aca="1" ref="AS754" ca="1">INDEX(OFFSET($AK$19,MATCH($B754,$B$19:$B$150,0)-1,0,COUNTA($B$19:$B$24),COUNTA($AK$17:$BB$17)),MATCH($F754,$F$19:$F$24,0),MATCH(AS$17,$AK$17:$BB$17,0))*INDEX($10:$13,MATCH($O754,$R$10:$R$13,0),COLUMN())</f>
        <v>1.3921669052E-3</v>
      </c>
      <c r="AT754" s="1050" cm="1">
        <f t="array" aca="1" ref="AT754" ca="1">INDEX(OFFSET($AK$19,MATCH($B754,$B$19:$B$150,0)-1,0,COUNTA($B$19:$B$24),COUNTA($AK$17:$BB$17)),MATCH($F754,$F$19:$F$24,0),MATCH(AT$17,$AK$17:$BB$17,0))*INDEX($10:$13,MATCH($O754,$R$10:$R$13,0),COLUMN())</f>
        <v>1.8675130360000003E-5</v>
      </c>
      <c r="AU754" s="1050" cm="1">
        <f t="array" aca="1" ref="AU754" ca="1">INDEX(OFFSET($AK$19,MATCH($B754,$B$19:$B$150,0)-1,0,COUNTA($B$19:$B$24),COUNTA($AK$17:$BB$17)),MATCH($F754,$F$19:$F$24,0),MATCH(AU$17,$AK$17:$BB$17,0))*INDEX($10:$13,MATCH($O754,$R$10:$R$13,0),COLUMN())</f>
        <v>3.9087176862000001E-6</v>
      </c>
      <c r="AV754" s="1050" cm="1">
        <f t="array" aca="1" ref="AV754" ca="1">INDEX(OFFSET($AK$19,MATCH($B754,$B$19:$B$150,0)-1,0,COUNTA($B$19:$B$24),COUNTA($AK$17:$BB$17)),MATCH($F754,$F$19:$F$24,0),MATCH(AV$17,$AK$17:$BB$17,0))*INDEX($10:$13,MATCH($O754,$R$10:$R$13,0),COLUMN())</f>
        <v>2.4758242911971412E-3</v>
      </c>
      <c r="AW754" s="1050" cm="1">
        <f t="array" aca="1" ref="AW754" ca="1">INDEX(OFFSET($AK$19,MATCH($B754,$B$19:$B$150,0)-1,0,COUNTA($B$19:$B$24),COUNTA($AK$17:$BB$17)),MATCH($F754,$F$19:$F$24,0),MATCH(AW$17,$AK$17:$BB$17,0))*INDEX($10:$13,MATCH($O754,$R$10:$R$13,0),COLUMN())</f>
        <v>2.6593130870000001</v>
      </c>
      <c r="AX754" s="1050" cm="1">
        <f t="array" aca="1" ref="AX754" ca="1">INDEX(OFFSET($AK$19,MATCH($B754,$B$19:$B$150,0)-1,0,COUNTA($B$19:$B$24),COUNTA($AK$17:$BB$17)),MATCH($F754,$F$19:$F$24,0),MATCH(AX$17,$AK$17:$BB$17,0))*INDEX($10:$13,MATCH($O754,$R$10:$R$13,0),COLUMN())</f>
        <v>7.6584488409999998E-7</v>
      </c>
      <c r="AY754" s="1050" cm="1">
        <f t="array" aca="1" ref="AY754" ca="1">INDEX(OFFSET($AK$19,MATCH($B754,$B$19:$B$150,0)-1,0,COUNTA($B$19:$B$24),COUNTA($AK$17:$BB$17)),MATCH($F754,$F$19:$F$24,0),MATCH(AY$17,$AK$17:$BB$17,0))*INDEX($10:$13,MATCH($O754,$R$10:$R$13,0),COLUMN())</f>
        <v>-4.9110511730000002E-10</v>
      </c>
      <c r="AZ754" s="1050" cm="1">
        <f t="array" aca="1" ref="AZ754" ca="1">INDEX(OFFSET($AK$19,MATCH($B754,$B$19:$B$150,0)-1,0,COUNTA($B$19:$B$24),COUNTA($AK$17:$BB$17)),MATCH($F754,$F$19:$F$24,0),MATCH(AZ$17,$AK$17:$BB$17,0))*INDEX($10:$13,MATCH($O754,$R$10:$R$13,0),COLUMN())</f>
        <v>2.448213751522248E-5</v>
      </c>
      <c r="BA754" s="1050" cm="1">
        <f t="array" aca="1" ref="BA754" ca="1">INDEX(OFFSET($AK$19,MATCH($B754,$B$19:$B$150,0)-1,0,COUNTA($B$19:$B$24),COUNTA($AK$17:$BB$17)),MATCH($F754,$F$19:$F$24,0),MATCH(BA$17,$AK$17:$BB$17,0))*INDEX($10:$13,MATCH($O754,$R$10:$R$13,0),COLUMN())</f>
        <v>6.7307753839999998E-2</v>
      </c>
      <c r="BB754" s="1051" cm="1">
        <f t="array" aca="1" ref="BB754" ca="1">INDEX(OFFSET($AK$19,MATCH($B754,$B$19:$B$150,0)-1,0,COUNTA($B$19:$B$24),COUNTA($AK$17:$BB$17)),MATCH($F754,$F$19:$F$24,0),MATCH(BB$17,$AK$17:$BB$17,0))*INDEX($10:$13,MATCH($O754,$R$10:$R$13,0),COLUMN())</f>
        <v>9.4355592340000002E-4</v>
      </c>
      <c r="BC754" s="1053">
        <f t="shared" ca="1" si="200"/>
        <v>2.6593138523537792</v>
      </c>
      <c r="BE754" s="1"/>
      <c r="BF754" s="1"/>
      <c r="BG754" s="1"/>
      <c r="BH754" s="1"/>
      <c r="BI754" s="1"/>
      <c r="BJ754" s="1"/>
      <c r="BK754" s="1"/>
      <c r="BL754" s="1"/>
      <c r="BM754" s="1"/>
      <c r="BN754" s="1"/>
      <c r="BO754" s="1"/>
      <c r="BP754" s="1"/>
      <c r="BQ754" s="1"/>
      <c r="BR754" s="1"/>
      <c r="BS754" s="1"/>
      <c r="BT754" s="1"/>
      <c r="BU754" s="1"/>
      <c r="BV754" s="1"/>
      <c r="BW754" s="1"/>
      <c r="BX754" s="1"/>
      <c r="BY754" s="1"/>
      <c r="BZ754" s="1"/>
    </row>
    <row r="755" spans="2:78" ht="12" customHeight="1" outlineLevel="1" x14ac:dyDescent="0.25">
      <c r="B755" s="104" t="s">
        <v>108</v>
      </c>
      <c r="C755" s="104" t="s">
        <v>121</v>
      </c>
      <c r="D755" s="2" t="s">
        <v>143</v>
      </c>
      <c r="E755" s="2" t="s">
        <v>145</v>
      </c>
      <c r="F755" s="105" t="s">
        <v>93</v>
      </c>
      <c r="G755" s="27" t="s">
        <v>1578</v>
      </c>
      <c r="H755" s="106" t="s">
        <v>130</v>
      </c>
      <c r="I755" s="107" t="s">
        <v>129</v>
      </c>
      <c r="J755" s="147">
        <v>5.0812675600000006</v>
      </c>
      <c r="K755" s="148">
        <v>3.5</v>
      </c>
      <c r="L755" s="149">
        <f t="shared" ca="1" si="197"/>
        <v>1.281496757565481</v>
      </c>
      <c r="M755" s="148">
        <f t="shared" ca="1" si="198"/>
        <v>7.9852386514791833</v>
      </c>
      <c r="N755" s="148">
        <f t="shared" ca="1" si="199"/>
        <v>4.4852386514791833</v>
      </c>
      <c r="O755" s="1062" t="s">
        <v>1586</v>
      </c>
      <c r="P755" s="104"/>
      <c r="R755" s="119"/>
      <c r="S755" s="1072"/>
      <c r="T755" s="1072"/>
      <c r="U755" s="1072"/>
      <c r="V755" s="1072"/>
      <c r="W755" s="1072"/>
      <c r="X755" s="1072"/>
      <c r="Y755" s="1072"/>
      <c r="Z755" s="1072"/>
      <c r="AA755" s="1072"/>
      <c r="AB755" s="1072"/>
      <c r="AC755" s="1072"/>
      <c r="AD755" s="1072"/>
      <c r="AE755" s="1072"/>
      <c r="AF755" s="1072"/>
      <c r="AG755" s="1072"/>
      <c r="AH755" s="1072"/>
      <c r="AI755" s="1072"/>
      <c r="AJ755" s="1073"/>
      <c r="AK755" s="1052" cm="1">
        <f t="array" aca="1" ref="AK755" ca="1">INDEX(OFFSET($AK$19,MATCH($B755,$B$19:$B$150,0)-1,0,COUNTA($B$19:$B$24),COUNTA($AK$17:$BB$17)),MATCH($F755,$F$19:$F$24,0),MATCH(AK$17,$AK$17:$BB$17,0))*INDEX($10:$13,MATCH($O755,$R$10:$R$13,0),COLUMN())</f>
        <v>0.16736963199999999</v>
      </c>
      <c r="AL755" s="1050" cm="1">
        <f t="array" aca="1" ref="AL755" ca="1">INDEX(OFFSET($AK$19,MATCH($B755,$B$19:$B$150,0)-1,0,COUNTA($B$19:$B$24),COUNTA($AK$17:$BB$17)),MATCH($F755,$F$19:$F$24,0),MATCH(AL$17,$AK$17:$BB$17,0))*INDEX($10:$13,MATCH($O755,$R$10:$R$13,0),COLUMN())</f>
        <v>2.9593148051999998E-7</v>
      </c>
      <c r="AM755" s="1050" cm="1">
        <f t="array" aca="1" ref="AM755" ca="1">INDEX(OFFSET($AK$19,MATCH($B755,$B$19:$B$150,0)-1,0,COUNTA($B$19:$B$24),COUNTA($AK$17:$BB$17)),MATCH($F755,$F$19:$F$24,0),MATCH(AM$17,$AK$17:$BB$17,0))*INDEX($10:$13,MATCH($O755,$R$10:$R$13,0),COLUMN())</f>
        <v>0</v>
      </c>
      <c r="AN755" s="1050" cm="1">
        <f t="array" aca="1" ref="AN755" ca="1">INDEX(OFFSET($AK$19,MATCH($B755,$B$19:$B$150,0)-1,0,COUNTA($B$19:$B$24),COUNTA($AK$17:$BB$17)),MATCH($F755,$F$19:$F$24,0),MATCH(AN$17,$AK$17:$BB$17,0))*INDEX($10:$13,MATCH($O755,$R$10:$R$13,0),COLUMN())</f>
        <v>1.1490949326000002E-2</v>
      </c>
      <c r="AO755" s="1050" cm="1">
        <f t="array" aca="1" ref="AO755" ca="1">INDEX(OFFSET($AK$19,MATCH($B755,$B$19:$B$150,0)-1,0,COUNTA($B$19:$B$24),COUNTA($AK$17:$BB$17)),MATCH($F755,$F$19:$F$24,0),MATCH(AO$17,$AK$17:$BB$17,0))*INDEX($10:$13,MATCH($O755,$R$10:$R$13,0),COLUMN())</f>
        <v>7.3493558178082202E-2</v>
      </c>
      <c r="AP755" s="1050" cm="1">
        <f t="array" aca="1" ref="AP755" ca="1">INDEX(OFFSET($AK$19,MATCH($B755,$B$19:$B$150,0)-1,0,COUNTA($B$19:$B$24),COUNTA($AK$17:$BB$17)),MATCH($F755,$F$19:$F$24,0),MATCH(AP$17,$AK$17:$BB$17,0))*INDEX($10:$13,MATCH($O755,$R$10:$R$13,0),COLUMN())</f>
        <v>3.2986734143999996E-2</v>
      </c>
      <c r="AQ755" s="1050" cm="1">
        <f t="array" aca="1" ref="AQ755" ca="1">INDEX(OFFSET($AK$19,MATCH($B755,$B$19:$B$150,0)-1,0,COUNTA($B$19:$B$24),COUNTA($AK$17:$BB$17)),MATCH($F755,$F$19:$F$24,0),MATCH(AQ$17,$AK$17:$BB$17,0))*INDEX($10:$13,MATCH($O755,$R$10:$R$13,0),COLUMN())</f>
        <v>5.2880228479999999E-2</v>
      </c>
      <c r="AR755" s="1050" cm="1">
        <f t="array" aca="1" ref="AR755" ca="1">INDEX(OFFSET($AK$19,MATCH($B755,$B$19:$B$150,0)-1,0,COUNTA($B$19:$B$24),COUNTA($AK$17:$BB$17)),MATCH($F755,$F$19:$F$24,0),MATCH(AR$17,$AK$17:$BB$17,0))*INDEX($10:$13,MATCH($O755,$R$10:$R$13,0),COLUMN())</f>
        <v>0.74541839919999997</v>
      </c>
      <c r="AS755" s="1050" cm="1">
        <f t="array" aca="1" ref="AS755" ca="1">INDEX(OFFSET($AK$19,MATCH($B755,$B$19:$B$150,0)-1,0,COUNTA($B$19:$B$24),COUNTA($AK$17:$BB$17)),MATCH($F755,$F$19:$F$24,0),MATCH(AS$17,$AK$17:$BB$17,0))*INDEX($10:$13,MATCH($O755,$R$10:$R$13,0),COLUMN())</f>
        <v>1.9049024845E-3</v>
      </c>
      <c r="AT755" s="1050" cm="1">
        <f t="array" aca="1" ref="AT755" ca="1">INDEX(OFFSET($AK$19,MATCH($B755,$B$19:$B$150,0)-1,0,COUNTA($B$19:$B$24),COUNTA($AK$17:$BB$17)),MATCH($F755,$F$19:$F$24,0),MATCH(AT$17,$AK$17:$BB$17,0))*INDEX($10:$13,MATCH($O755,$R$10:$R$13,0),COLUMN())</f>
        <v>2.3317899878000001E-5</v>
      </c>
      <c r="AU755" s="1050" cm="1">
        <f t="array" aca="1" ref="AU755" ca="1">INDEX(OFFSET($AK$19,MATCH($B755,$B$19:$B$150,0)-1,0,COUNTA($B$19:$B$24),COUNTA($AK$17:$BB$17)),MATCH($F755,$F$19:$F$24,0),MATCH(AU$17,$AK$17:$BB$17,0))*INDEX($10:$13,MATCH($O755,$R$10:$R$13,0),COLUMN())</f>
        <v>4.8737620133999994E-6</v>
      </c>
      <c r="AV755" s="1050" cm="1">
        <f t="array" aca="1" ref="AV755" ca="1">INDEX(OFFSET($AK$19,MATCH($B755,$B$19:$B$150,0)-1,0,COUNTA($B$19:$B$24),COUNTA($AK$17:$BB$17)),MATCH($F755,$F$19:$F$24,0),MATCH(AV$17,$AK$17:$BB$17,0))*INDEX($10:$13,MATCH($O755,$R$10:$R$13,0),COLUMN())</f>
        <v>3.2119256171996057E-3</v>
      </c>
      <c r="AW755" s="1050" cm="1">
        <f t="array" aca="1" ref="AW755" ca="1">INDEX(OFFSET($AK$19,MATCH($B755,$B$19:$B$150,0)-1,0,COUNTA($B$19:$B$24),COUNTA($AK$17:$BB$17)),MATCH($F755,$F$19:$F$24,0),MATCH(AW$17,$AK$17:$BB$17,0))*INDEX($10:$13,MATCH($O755,$R$10:$R$13,0),COLUMN())</f>
        <v>3.3114343860000002</v>
      </c>
      <c r="AX755" s="1050" cm="1">
        <f t="array" aca="1" ref="AX755" ca="1">INDEX(OFFSET($AK$19,MATCH($B755,$B$19:$B$150,0)-1,0,COUNTA($B$19:$B$24),COUNTA($AK$17:$BB$17)),MATCH($F755,$F$19:$F$24,0),MATCH(AX$17,$AK$17:$BB$17,0))*INDEX($10:$13,MATCH($O755,$R$10:$R$13,0),COLUMN())</f>
        <v>9.5364666260000006E-7</v>
      </c>
      <c r="AY755" s="1050" cm="1">
        <f t="array" aca="1" ref="AY755" ca="1">INDEX(OFFSET($AK$19,MATCH($B755,$B$19:$B$150,0)-1,0,COUNTA($B$19:$B$24),COUNTA($AK$17:$BB$17)),MATCH($F755,$F$19:$F$24,0),MATCH(AY$17,$AK$17:$BB$17,0))*INDEX($10:$13,MATCH($O755,$R$10:$R$13,0),COLUMN())</f>
        <v>-6.1153475090000003E-10</v>
      </c>
      <c r="AZ755" s="1050" cm="1">
        <f t="array" aca="1" ref="AZ755" ca="1">INDEX(OFFSET($AK$19,MATCH($B755,$B$19:$B$150,0)-1,0,COUNTA($B$19:$B$24),COUNTA($AK$17:$BB$17)),MATCH($F755,$F$19:$F$24,0),MATCH(AZ$17,$AK$17:$BB$17,0))*INDEX($10:$13,MATCH($O755,$R$10:$R$13,0),COLUMN())</f>
        <v>3.0485689201405148E-5</v>
      </c>
      <c r="BA755" s="1050" cm="1">
        <f t="array" aca="1" ref="BA755" ca="1">INDEX(OFFSET($AK$19,MATCH($B755,$B$19:$B$150,0)-1,0,COUNTA($B$19:$B$24),COUNTA($AK$17:$BB$17)),MATCH($F755,$F$19:$F$24,0),MATCH(BA$17,$AK$17:$BB$17,0))*INDEX($10:$13,MATCH($O755,$R$10:$R$13,0),COLUMN())</f>
        <v>8.3813073409999994E-2</v>
      </c>
      <c r="BB755" s="1051" cm="1">
        <f t="array" aca="1" ref="BB755" ca="1">INDEX(OFFSET($AK$19,MATCH($B755,$B$19:$B$150,0)-1,0,COUNTA($B$19:$B$24),COUNTA($AK$17:$BB$17)),MATCH($F755,$F$19:$F$24,0),MATCH(BB$17,$AK$17:$BB$17,0))*INDEX($10:$13,MATCH($O755,$R$10:$R$13,0),COLUMN())</f>
        <v>1.1749363217000001E-3</v>
      </c>
      <c r="BC755" s="1053">
        <f t="shared" ca="1" si="200"/>
        <v>3.3114353390351279</v>
      </c>
      <c r="BE755" s="1"/>
      <c r="BF755" s="1"/>
      <c r="BG755" s="1"/>
      <c r="BH755" s="1"/>
      <c r="BI755" s="1"/>
      <c r="BJ755" s="1"/>
      <c r="BK755" s="1"/>
      <c r="BL755" s="1"/>
      <c r="BM755" s="1"/>
      <c r="BN755" s="1"/>
      <c r="BO755" s="1"/>
      <c r="BP755" s="1"/>
      <c r="BQ755" s="1"/>
      <c r="BR755" s="1"/>
      <c r="BS755" s="1"/>
      <c r="BT755" s="1"/>
      <c r="BU755" s="1"/>
      <c r="BV755" s="1"/>
      <c r="BW755" s="1"/>
      <c r="BX755" s="1"/>
      <c r="BY755" s="1"/>
      <c r="BZ755" s="1"/>
    </row>
    <row r="756" spans="2:78" ht="12" customHeight="1" outlineLevel="1" x14ac:dyDescent="0.25">
      <c r="B756" s="104" t="s">
        <v>108</v>
      </c>
      <c r="C756" s="104" t="s">
        <v>121</v>
      </c>
      <c r="D756" s="2" t="s">
        <v>143</v>
      </c>
      <c r="E756" s="2" t="s">
        <v>145</v>
      </c>
      <c r="F756" s="105" t="s">
        <v>94</v>
      </c>
      <c r="G756" s="27" t="s">
        <v>1580</v>
      </c>
      <c r="H756" s="106" t="s">
        <v>131</v>
      </c>
      <c r="I756" s="107" t="s">
        <v>129</v>
      </c>
      <c r="J756" s="147">
        <v>5.0812675600000006</v>
      </c>
      <c r="K756" s="148">
        <v>3.5</v>
      </c>
      <c r="L756" s="149">
        <f t="shared" ca="1" si="197"/>
        <v>0.85964149746988217</v>
      </c>
      <c r="M756" s="148">
        <f t="shared" ca="1" si="198"/>
        <v>6.5087452411445881</v>
      </c>
      <c r="N756" s="148">
        <f t="shared" ca="1" si="199"/>
        <v>3.0087452411445876</v>
      </c>
      <c r="O756" s="1062" t="s">
        <v>1586</v>
      </c>
      <c r="P756" s="104"/>
      <c r="R756" s="119"/>
      <c r="S756" s="1072"/>
      <c r="T756" s="1072"/>
      <c r="U756" s="1072"/>
      <c r="V756" s="1072"/>
      <c r="W756" s="1072"/>
      <c r="X756" s="1072"/>
      <c r="Y756" s="1072"/>
      <c r="Z756" s="1072"/>
      <c r="AA756" s="1072"/>
      <c r="AB756" s="1072"/>
      <c r="AC756" s="1072"/>
      <c r="AD756" s="1072"/>
      <c r="AE756" s="1072"/>
      <c r="AF756" s="1072"/>
      <c r="AG756" s="1072"/>
      <c r="AH756" s="1072"/>
      <c r="AI756" s="1072"/>
      <c r="AJ756" s="1073"/>
      <c r="AK756" s="1052" cm="1">
        <f t="array" aca="1" ref="AK756" ca="1">INDEX(OFFSET($AK$19,MATCH($B756,$B$19:$B$150,0)-1,0,COUNTA($B$19:$B$24),COUNTA($AK$17:$BB$17)),MATCH($F756,$F$19:$F$24,0),MATCH(AK$17,$AK$17:$BB$17,0))*INDEX($10:$13,MATCH($O756,$R$10:$R$13,0),COLUMN())</f>
        <v>0.11228834776</v>
      </c>
      <c r="AL756" s="1050" cm="1">
        <f t="array" aca="1" ref="AL756" ca="1">INDEX(OFFSET($AK$19,MATCH($B756,$B$19:$B$150,0)-1,0,COUNTA($B$19:$B$24),COUNTA($AK$17:$BB$17)),MATCH($F756,$F$19:$F$24,0),MATCH(AL$17,$AK$17:$BB$17,0))*INDEX($10:$13,MATCH($O756,$R$10:$R$13,0),COLUMN())</f>
        <v>1.9854053976000002E-7</v>
      </c>
      <c r="AM756" s="1050" cm="1">
        <f t="array" aca="1" ref="AM756" ca="1">INDEX(OFFSET($AK$19,MATCH($B756,$B$19:$B$150,0)-1,0,COUNTA($B$19:$B$24),COUNTA($AK$17:$BB$17)),MATCH($F756,$F$19:$F$24,0),MATCH(AM$17,$AK$17:$BB$17,0))*INDEX($10:$13,MATCH($O756,$R$10:$R$13,0),COLUMN())</f>
        <v>0</v>
      </c>
      <c r="AN756" s="1050" cm="1">
        <f t="array" aca="1" ref="AN756" ca="1">INDEX(OFFSET($AK$19,MATCH($B756,$B$19:$B$150,0)-1,0,COUNTA($B$19:$B$24),COUNTA($AK$17:$BB$17)),MATCH($F756,$F$19:$F$24,0),MATCH(AN$17,$AK$17:$BB$17,0))*INDEX($10:$13,MATCH($O756,$R$10:$R$13,0),COLUMN())</f>
        <v>7.7092823340000009E-3</v>
      </c>
      <c r="AO756" s="1050" cm="1">
        <f t="array" aca="1" ref="AO756" ca="1">INDEX(OFFSET($AK$19,MATCH($B756,$B$19:$B$150,0)-1,0,COUNTA($B$19:$B$24),COUNTA($AK$17:$BB$17)),MATCH($F756,$F$19:$F$24,0),MATCH(AO$17,$AK$17:$BB$17,0))*INDEX($10:$13,MATCH($O756,$R$10:$R$13,0),COLUMN())</f>
        <v>4.9306855068493152E-2</v>
      </c>
      <c r="AP756" s="1050" cm="1">
        <f t="array" aca="1" ref="AP756" ca="1">INDEX(OFFSET($AK$19,MATCH($B756,$B$19:$B$150,0)-1,0,COUNTA($B$19:$B$24),COUNTA($AK$17:$BB$17)),MATCH($F756,$F$19:$F$24,0),MATCH(AP$17,$AK$17:$BB$17,0))*INDEX($10:$13,MATCH($O756,$R$10:$R$13,0),COLUMN())</f>
        <v>2.2130812367999998E-2</v>
      </c>
      <c r="AQ756" s="1050" cm="1">
        <f t="array" aca="1" ref="AQ756" ca="1">INDEX(OFFSET($AK$19,MATCH($B756,$B$19:$B$150,0)-1,0,COUNTA($B$19:$B$24),COUNTA($AK$17:$BB$17)),MATCH($F756,$F$19:$F$24,0),MATCH(AQ$17,$AK$17:$BB$17,0))*INDEX($10:$13,MATCH($O756,$R$10:$R$13,0),COLUMN())</f>
        <v>3.5477365439999999E-2</v>
      </c>
      <c r="AR756" s="1050" cm="1">
        <f t="array" aca="1" ref="AR756" ca="1">INDEX(OFFSET($AK$19,MATCH($B756,$B$19:$B$150,0)-1,0,COUNTA($B$19:$B$24),COUNTA($AK$17:$BB$17)),MATCH($F756,$F$19:$F$24,0),MATCH(AR$17,$AK$17:$BB$17,0))*INDEX($10:$13,MATCH($O756,$R$10:$R$13,0),COLUMN())</f>
        <v>0.50010147605999999</v>
      </c>
      <c r="AS756" s="1050" cm="1">
        <f t="array" aca="1" ref="AS756" ca="1">INDEX(OFFSET($AK$19,MATCH($B756,$B$19:$B$150,0)-1,0,COUNTA($B$19:$B$24),COUNTA($AK$17:$BB$17)),MATCH($F756,$F$19:$F$24,0),MATCH(AS$17,$AK$17:$BB$17,0))*INDEX($10:$13,MATCH($O756,$R$10:$R$13,0),COLUMN())</f>
        <v>1.0480874742999999E-3</v>
      </c>
      <c r="AT756" s="1050" cm="1">
        <f t="array" aca="1" ref="AT756" ca="1">INDEX(OFFSET($AK$19,MATCH($B756,$B$19:$B$150,0)-1,0,COUNTA($B$19:$B$24),COUNTA($AK$17:$BB$17)),MATCH($F756,$F$19:$F$24,0),MATCH(AT$17,$AK$17:$BB$17,0))*INDEX($10:$13,MATCH($O756,$R$10:$R$13,0),COLUMN())</f>
        <v>1.555915627E-5</v>
      </c>
      <c r="AU756" s="1050" cm="1">
        <f t="array" aca="1" ref="AU756" ca="1">INDEX(OFFSET($AK$19,MATCH($B756,$B$19:$B$150,0)-1,0,COUNTA($B$19:$B$24),COUNTA($AK$17:$BB$17)),MATCH($F756,$F$19:$F$24,0),MATCH(AU$17,$AK$17:$BB$17,0))*INDEX($10:$13,MATCH($O756,$R$10:$R$13,0),COLUMN())</f>
        <v>3.2610308201999999E-6</v>
      </c>
      <c r="AV756" s="1050" cm="1">
        <f t="array" aca="1" ref="AV756" ca="1">INDEX(OFFSET($AK$19,MATCH($B756,$B$19:$B$150,0)-1,0,COUNTA($B$19:$B$24),COUNTA($AK$17:$BB$17)),MATCH($F756,$F$19:$F$24,0),MATCH(AV$17,$AK$17:$BB$17,0))*INDEX($10:$13,MATCH($O756,$R$10:$R$13,0),COLUMN())</f>
        <v>1.9818227874550958E-3</v>
      </c>
      <c r="AW756" s="1050" cm="1">
        <f t="array" aca="1" ref="AW756" ca="1">INDEX(OFFSET($AK$19,MATCH($B756,$B$19:$B$150,0)-1,0,COUNTA($B$19:$B$24),COUNTA($AK$17:$BB$17)),MATCH($F756,$F$19:$F$24,0),MATCH(AW$17,$AK$17:$BB$17,0))*INDEX($10:$13,MATCH($O756,$R$10:$R$13,0),COLUMN())</f>
        <v>2.2216425923000003</v>
      </c>
      <c r="AX756" s="1050" cm="1">
        <f t="array" aca="1" ref="AX756" ca="1">INDEX(OFFSET($AK$19,MATCH($B756,$B$19:$B$150,0)-1,0,COUNTA($B$19:$B$24),COUNTA($AK$17:$BB$17)),MATCH($F756,$F$19:$F$24,0),MATCH(AX$17,$AK$17:$BB$17,0))*INDEX($10:$13,MATCH($O756,$R$10:$R$13,0),COLUMN())</f>
        <v>6.3980190060000014E-7</v>
      </c>
      <c r="AY756" s="1050" cm="1">
        <f t="array" aca="1" ref="AY756" ca="1">INDEX(OFFSET($AK$19,MATCH($B756,$B$19:$B$150,0)-1,0,COUNTA($B$19:$B$24),COUNTA($AK$17:$BB$17)),MATCH($F756,$F$19:$F$24,0),MATCH(AY$17,$AK$17:$BB$17,0))*INDEX($10:$13,MATCH($O756,$R$10:$R$13,0),COLUMN())</f>
        <v>-4.1027890110000004E-10</v>
      </c>
      <c r="AZ756" s="1050" cm="1">
        <f t="array" aca="1" ref="AZ756" ca="1">INDEX(OFFSET($AK$19,MATCH($B756,$B$19:$B$150,0)-1,0,COUNTA($B$19:$B$24),COUNTA($AK$17:$BB$17)),MATCH($F756,$F$19:$F$24,0),MATCH(AZ$17,$AK$17:$BB$17,0))*INDEX($10:$13,MATCH($O756,$R$10:$R$13,0),COLUMN())</f>
        <v>2.0452860187353628E-5</v>
      </c>
      <c r="BA756" s="1050" cm="1">
        <f t="array" aca="1" ref="BA756" ca="1">INDEX(OFFSET($AK$19,MATCH($B756,$B$19:$B$150,0)-1,0,COUNTA($B$19:$B$24),COUNTA($AK$17:$BB$17)),MATCH($F756,$F$19:$F$24,0),MATCH(BA$17,$AK$17:$BB$17,0))*INDEX($10:$13,MATCH($O756,$R$10:$R$13,0),COLUMN())</f>
        <v>5.6230223359999998E-2</v>
      </c>
      <c r="BB756" s="1051" cm="1">
        <f t="array" aca="1" ref="BB756" ca="1">INDEX(OFFSET($AK$19,MATCH($B756,$B$19:$B$150,0)-1,0,COUNTA($B$19:$B$24),COUNTA($AK$17:$BB$17)),MATCH($F756,$F$19:$F$24,0),MATCH(BB$17,$AK$17:$BB$17,0))*INDEX($10:$13,MATCH($O756,$R$10:$R$13,0),COLUMN())</f>
        <v>7.8826521290000005E-4</v>
      </c>
      <c r="BC756" s="1053">
        <f t="shared" ca="1" si="200"/>
        <v>2.2216432316916221</v>
      </c>
      <c r="BE756" s="1"/>
      <c r="BF756" s="1"/>
      <c r="BG756" s="1"/>
      <c r="BH756" s="1"/>
      <c r="BI756" s="1"/>
      <c r="BJ756" s="1"/>
      <c r="BK756" s="1"/>
      <c r="BL756" s="1"/>
      <c r="BM756" s="1"/>
      <c r="BN756" s="1"/>
      <c r="BO756" s="1"/>
      <c r="BP756" s="1"/>
      <c r="BQ756" s="1"/>
      <c r="BR756" s="1"/>
      <c r="BS756" s="1"/>
      <c r="BT756" s="1"/>
      <c r="BU756" s="1"/>
      <c r="BV756" s="1"/>
      <c r="BW756" s="1"/>
      <c r="BX756" s="1"/>
      <c r="BY756" s="1"/>
      <c r="BZ756" s="1"/>
    </row>
    <row r="757" spans="2:78" ht="12" customHeight="1" outlineLevel="1" x14ac:dyDescent="0.25">
      <c r="B757" s="104" t="s">
        <v>108</v>
      </c>
      <c r="C757" s="104" t="s">
        <v>121</v>
      </c>
      <c r="D757" s="2" t="s">
        <v>143</v>
      </c>
      <c r="E757" s="2" t="s">
        <v>145</v>
      </c>
      <c r="F757" s="105" t="s">
        <v>95</v>
      </c>
      <c r="G757" s="27" t="s">
        <v>1581</v>
      </c>
      <c r="H757" s="106" t="s">
        <v>128</v>
      </c>
      <c r="I757" s="107" t="s">
        <v>127</v>
      </c>
      <c r="J757" s="147">
        <v>5.0812675600000006</v>
      </c>
      <c r="K757" s="148">
        <v>3.5</v>
      </c>
      <c r="L757" s="149">
        <f t="shared" ca="1" si="197"/>
        <v>1.2667812973315435</v>
      </c>
      <c r="M757" s="148">
        <f t="shared" ca="1" si="198"/>
        <v>7.9337345406604021</v>
      </c>
      <c r="N757" s="148">
        <f t="shared" ca="1" si="199"/>
        <v>4.4337345406604021</v>
      </c>
      <c r="O757" s="1062" t="s">
        <v>1586</v>
      </c>
      <c r="P757" s="104"/>
      <c r="R757" s="119"/>
      <c r="S757" s="1072"/>
      <c r="T757" s="1072"/>
      <c r="U757" s="1072"/>
      <c r="V757" s="1072"/>
      <c r="W757" s="1072"/>
      <c r="X757" s="1072"/>
      <c r="Y757" s="1072"/>
      <c r="Z757" s="1072"/>
      <c r="AA757" s="1072"/>
      <c r="AB757" s="1072"/>
      <c r="AC757" s="1072"/>
      <c r="AD757" s="1072"/>
      <c r="AE757" s="1072"/>
      <c r="AF757" s="1072"/>
      <c r="AG757" s="1072"/>
      <c r="AH757" s="1072"/>
      <c r="AI757" s="1072"/>
      <c r="AJ757" s="1073"/>
      <c r="AK757" s="1052" cm="1">
        <f t="array" aca="1" ref="AK757" ca="1">INDEX(OFFSET($AK$19,MATCH($B757,$B$19:$B$150,0)-1,0,COUNTA($B$19:$B$24),COUNTA($AK$17:$BB$17)),MATCH($F757,$F$19:$F$24,0),MATCH(AK$17,$AK$17:$BB$17,0))*INDEX($10:$13,MATCH($O757,$R$10:$R$13,0),COLUMN())</f>
        <v>0.16089221279999999</v>
      </c>
      <c r="AL757" s="1050" cm="1">
        <f t="array" aca="1" ref="AL757" ca="1">INDEX(OFFSET($AK$19,MATCH($B757,$B$19:$B$150,0)-1,0,COUNTA($B$19:$B$24),COUNTA($AK$17:$BB$17)),MATCH($F757,$F$19:$F$24,0),MATCH(AL$17,$AK$17:$BB$17,0))*INDEX($10:$13,MATCH($O757,$R$10:$R$13,0),COLUMN())</f>
        <v>2.3950524251999999E-7</v>
      </c>
      <c r="AM757" s="1050" cm="1">
        <f t="array" aca="1" ref="AM757" ca="1">INDEX(OFFSET($AK$19,MATCH($B757,$B$19:$B$150,0)-1,0,COUNTA($B$19:$B$24),COUNTA($AK$17:$BB$17)),MATCH($F757,$F$19:$F$24,0),MATCH(AM$17,$AK$17:$BB$17,0))*INDEX($10:$13,MATCH($O757,$R$10:$R$13,0),COLUMN())</f>
        <v>0</v>
      </c>
      <c r="AN757" s="1050" cm="1">
        <f t="array" aca="1" ref="AN757" ca="1">INDEX(OFFSET($AK$19,MATCH($B757,$B$19:$B$150,0)-1,0,COUNTA($B$19:$B$24),COUNTA($AK$17:$BB$17)),MATCH($F757,$F$19:$F$24,0),MATCH(AN$17,$AK$17:$BB$17,0))*INDEX($10:$13,MATCH($O757,$R$10:$R$13,0),COLUMN())</f>
        <v>9.8944325520000011E-3</v>
      </c>
      <c r="AO757" s="1050" cm="1">
        <f t="array" aca="1" ref="AO757" ca="1">INDEX(OFFSET($AK$19,MATCH($B757,$B$19:$B$150,0)-1,0,COUNTA($B$19:$B$24),COUNTA($AK$17:$BB$17)),MATCH($F757,$F$19:$F$24,0),MATCH(AO$17,$AK$17:$BB$17,0))*INDEX($10:$13,MATCH($O757,$R$10:$R$13,0),COLUMN())</f>
        <v>0.13923719293150685</v>
      </c>
      <c r="AP757" s="1050" cm="1">
        <f t="array" aca="1" ref="AP757" ca="1">INDEX(OFFSET($AK$19,MATCH($B757,$B$19:$B$150,0)-1,0,COUNTA($B$19:$B$24),COUNTA($AK$17:$BB$17)),MATCH($F757,$F$19:$F$24,0),MATCH(AP$17,$AK$17:$BB$17,0))*INDEX($10:$13,MATCH($O757,$R$10:$R$13,0),COLUMN())</f>
        <v>9.04432872E-2</v>
      </c>
      <c r="AQ757" s="1050" cm="1">
        <f t="array" aca="1" ref="AQ757" ca="1">INDEX(OFFSET($AK$19,MATCH($B757,$B$19:$B$150,0)-1,0,COUNTA($B$19:$B$24),COUNTA($AK$17:$BB$17)),MATCH($F757,$F$19:$F$24,0),MATCH(AQ$17,$AK$17:$BB$17,0))*INDEX($10:$13,MATCH($O757,$R$10:$R$13,0),COLUMN())</f>
        <v>0.16808061503999999</v>
      </c>
      <c r="AR757" s="1050" cm="1">
        <f t="array" aca="1" ref="AR757" ca="1">INDEX(OFFSET($AK$19,MATCH($B757,$B$19:$B$150,0)-1,0,COUNTA($B$19:$B$24),COUNTA($AK$17:$BB$17)),MATCH($F757,$F$19:$F$24,0),MATCH(AR$17,$AK$17:$BB$17,0))*INDEX($10:$13,MATCH($O757,$R$10:$R$13,0),COLUMN())</f>
        <v>1.1121641948000001</v>
      </c>
      <c r="AS757" s="1050" cm="1">
        <f t="array" aca="1" ref="AS757" ca="1">INDEX(OFFSET($AK$19,MATCH($B757,$B$19:$B$150,0)-1,0,COUNTA($B$19:$B$24),COUNTA($AK$17:$BB$17)),MATCH($F757,$F$19:$F$24,0),MATCH(AS$17,$AK$17:$BB$17,0))*INDEX($10:$13,MATCH($O757,$R$10:$R$13,0),COLUMN())</f>
        <v>1.1435385030999999E-2</v>
      </c>
      <c r="AT757" s="1050" cm="1">
        <f t="array" aca="1" ref="AT757" ca="1">INDEX(OFFSET($AK$19,MATCH($B757,$B$19:$B$150,0)-1,0,COUNTA($B$19:$B$24),COUNTA($AK$17:$BB$17)),MATCH($F757,$F$19:$F$24,0),MATCH(AT$17,$AK$17:$BB$17,0))*INDEX($10:$13,MATCH($O757,$R$10:$R$13,0),COLUMN())</f>
        <v>2.6019917132E-5</v>
      </c>
      <c r="AU757" s="1050" cm="1">
        <f t="array" aca="1" ref="AU757" ca="1">INDEX(OFFSET($AK$19,MATCH($B757,$B$19:$B$150,0)-1,0,COUNTA($B$19:$B$24),COUNTA($AK$17:$BB$17)),MATCH($F757,$F$19:$F$24,0),MATCH(AU$17,$AK$17:$BB$17,0))*INDEX($10:$13,MATCH($O757,$R$10:$R$13,0),COLUMN())</f>
        <v>5.0301607566000001E-6</v>
      </c>
      <c r="AV757" s="1050" cm="1">
        <f t="array" aca="1" ref="AV757" ca="1">INDEX(OFFSET($AK$19,MATCH($B757,$B$19:$B$150,0)-1,0,COUNTA($B$19:$B$24),COUNTA($AK$17:$BB$17)),MATCH($F757,$F$19:$F$24,0),MATCH(AV$17,$AK$17:$BB$17,0))*INDEX($10:$13,MATCH($O757,$R$10:$R$13,0),COLUMN())</f>
        <v>9.9684678072020361E-3</v>
      </c>
      <c r="AW757" s="1050" cm="1">
        <f t="array" aca="1" ref="AW757" ca="1">INDEX(OFFSET($AK$19,MATCH($B757,$B$19:$B$150,0)-1,0,COUNTA($B$19:$B$24),COUNTA($AK$17:$BB$17)),MATCH($F757,$F$19:$F$24,0),MATCH(AW$17,$AK$17:$BB$17,0))*INDEX($10:$13,MATCH($O757,$R$10:$R$13,0),COLUMN())</f>
        <v>2.6593130870000001</v>
      </c>
      <c r="AX757" s="1050" cm="1">
        <f t="array" aca="1" ref="AX757" ca="1">INDEX(OFFSET($AK$19,MATCH($B757,$B$19:$B$150,0)-1,0,COUNTA($B$19:$B$24),COUNTA($AK$17:$BB$17)),MATCH($F757,$F$19:$F$24,0),MATCH(AX$17,$AK$17:$BB$17,0))*INDEX($10:$13,MATCH($O757,$R$10:$R$13,0),COLUMN())</f>
        <v>7.6584488409999998E-7</v>
      </c>
      <c r="AY757" s="1050" cm="1">
        <f t="array" aca="1" ref="AY757" ca="1">INDEX(OFFSET($AK$19,MATCH($B757,$B$19:$B$150,0)-1,0,COUNTA($B$19:$B$24),COUNTA($AK$17:$BB$17)),MATCH($F757,$F$19:$F$24,0),MATCH(AY$17,$AK$17:$BB$17,0))*INDEX($10:$13,MATCH($O757,$R$10:$R$13,0),COLUMN())</f>
        <v>-4.9110511730000002E-10</v>
      </c>
      <c r="AZ757" s="1050" cm="1">
        <f t="array" aca="1" ref="AZ757" ca="1">INDEX(OFFSET($AK$19,MATCH($B757,$B$19:$B$150,0)-1,0,COUNTA($B$19:$B$24),COUNTA($AK$17:$BB$17)),MATCH($F757,$F$19:$F$24,0),MATCH(AZ$17,$AK$17:$BB$17,0))*INDEX($10:$13,MATCH($O757,$R$10:$R$13,0),COLUMN())</f>
        <v>2.4517373081967212E-5</v>
      </c>
      <c r="BA757" s="1050" cm="1">
        <f t="array" aca="1" ref="BA757" ca="1">INDEX(OFFSET($AK$19,MATCH($B757,$B$19:$B$150,0)-1,0,COUNTA($B$19:$B$24),COUNTA($AK$17:$BB$17)),MATCH($F757,$F$19:$F$24,0),MATCH(BA$17,$AK$17:$BB$17,0))*INDEX($10:$13,MATCH($O757,$R$10:$R$13,0),COLUMN())</f>
        <v>7.130227033E-2</v>
      </c>
      <c r="BB757" s="1051" cm="1">
        <f t="array" aca="1" ref="BB757" ca="1">INDEX(OFFSET($AK$19,MATCH($B757,$B$19:$B$150,0)-1,0,COUNTA($B$19:$B$24),COUNTA($AK$17:$BB$17)),MATCH($F757,$F$19:$F$24,0),MATCH(BB$17,$AK$17:$BB$17,0))*INDEX($10:$13,MATCH($O757,$R$10:$R$13,0),COLUMN())</f>
        <v>9.4682285870000004E-4</v>
      </c>
      <c r="BC757" s="1053">
        <f t="shared" ca="1" si="200"/>
        <v>2.6593138523537792</v>
      </c>
      <c r="BE757" s="1"/>
      <c r="BF757" s="1"/>
      <c r="BG757" s="1"/>
      <c r="BH757" s="1"/>
      <c r="BI757" s="1"/>
      <c r="BJ757" s="1"/>
      <c r="BK757" s="1"/>
      <c r="BL757" s="1"/>
      <c r="BM757" s="1"/>
      <c r="BN757" s="1"/>
      <c r="BO757" s="1"/>
      <c r="BP757" s="1"/>
      <c r="BQ757" s="1"/>
      <c r="BR757" s="1"/>
      <c r="BS757" s="1"/>
      <c r="BT757" s="1"/>
      <c r="BU757" s="1"/>
      <c r="BV757" s="1"/>
      <c r="BW757" s="1"/>
      <c r="BX757" s="1"/>
      <c r="BY757" s="1"/>
      <c r="BZ757" s="1"/>
    </row>
    <row r="758" spans="2:78" ht="12" customHeight="1" outlineLevel="1" x14ac:dyDescent="0.25">
      <c r="B758" s="104" t="s">
        <v>108</v>
      </c>
      <c r="C758" s="104" t="s">
        <v>121</v>
      </c>
      <c r="D758" s="2" t="s">
        <v>143</v>
      </c>
      <c r="E758" s="2" t="s">
        <v>145</v>
      </c>
      <c r="F758" s="105" t="s">
        <v>96</v>
      </c>
      <c r="G758" s="27" t="s">
        <v>1582</v>
      </c>
      <c r="H758" s="106" t="s">
        <v>128</v>
      </c>
      <c r="I758" s="107" t="s">
        <v>1577</v>
      </c>
      <c r="J758" s="147">
        <v>5.0812675600000006</v>
      </c>
      <c r="K758" s="148">
        <v>3.5</v>
      </c>
      <c r="L758" s="149">
        <f t="shared" ca="1" si="197"/>
        <v>1.4392090962798971</v>
      </c>
      <c r="M758" s="148">
        <f t="shared" ca="1" si="198"/>
        <v>8.5372318369796396</v>
      </c>
      <c r="N758" s="148">
        <f t="shared" ca="1" si="199"/>
        <v>5.0372318369796396</v>
      </c>
      <c r="O758" s="1062" t="s">
        <v>1586</v>
      </c>
      <c r="P758" s="104"/>
      <c r="R758" s="119"/>
      <c r="S758" s="1072"/>
      <c r="T758" s="1072"/>
      <c r="U758" s="1072"/>
      <c r="V758" s="1072"/>
      <c r="W758" s="1072"/>
      <c r="X758" s="1072"/>
      <c r="Y758" s="1072"/>
      <c r="Z758" s="1072"/>
      <c r="AA758" s="1072"/>
      <c r="AB758" s="1072"/>
      <c r="AC758" s="1072"/>
      <c r="AD758" s="1072"/>
      <c r="AE758" s="1072"/>
      <c r="AF758" s="1072"/>
      <c r="AG758" s="1072"/>
      <c r="AH758" s="1072"/>
      <c r="AI758" s="1072"/>
      <c r="AJ758" s="1073"/>
      <c r="AK758" s="1052" cm="1">
        <f t="array" aca="1" ref="AK758" ca="1">INDEX(OFFSET($AK$19,MATCH($B758,$B$19:$B$150,0)-1,0,COUNTA($B$19:$B$24),COUNTA($AK$17:$BB$17)),MATCH($F758,$F$19:$F$24,0),MATCH(AK$17,$AK$17:$BB$17,0))*INDEX($10:$13,MATCH($O758,$R$10:$R$13,0),COLUMN())</f>
        <v>0.17987193599999998</v>
      </c>
      <c r="AL758" s="1050" cm="1">
        <f t="array" aca="1" ref="AL758" ca="1">INDEX(OFFSET($AK$19,MATCH($B758,$B$19:$B$150,0)-1,0,COUNTA($B$19:$B$24),COUNTA($AK$17:$BB$17)),MATCH($F758,$F$19:$F$24,0),MATCH(AL$17,$AK$17:$BB$17,0))*INDEX($10:$13,MATCH($O758,$R$10:$R$13,0),COLUMN())</f>
        <v>2.4071362344E-7</v>
      </c>
      <c r="AM758" s="1050" cm="1">
        <f t="array" aca="1" ref="AM758" ca="1">INDEX(OFFSET($AK$19,MATCH($B758,$B$19:$B$150,0)-1,0,COUNTA($B$19:$B$24),COUNTA($AK$17:$BB$17)),MATCH($F758,$F$19:$F$24,0),MATCH(AM$17,$AK$17:$BB$17,0))*INDEX($10:$13,MATCH($O758,$R$10:$R$13,0),COLUMN())</f>
        <v>0</v>
      </c>
      <c r="AN758" s="1050" cm="1">
        <f t="array" aca="1" ref="AN758" ca="1">INDEX(OFFSET($AK$19,MATCH($B758,$B$19:$B$150,0)-1,0,COUNTA($B$19:$B$24),COUNTA($AK$17:$BB$17)),MATCH($F758,$F$19:$F$24,0),MATCH(AN$17,$AK$17:$BB$17,0))*INDEX($10:$13,MATCH($O758,$R$10:$R$13,0),COLUMN())</f>
        <v>1.0329334104000002E-2</v>
      </c>
      <c r="AO758" s="1050" cm="1">
        <f t="array" aca="1" ref="AO758" ca="1">INDEX(OFFSET($AK$19,MATCH($B758,$B$19:$B$150,0)-1,0,COUNTA($B$19:$B$24),COUNTA($AK$17:$BB$17)),MATCH($F758,$F$19:$F$24,0),MATCH(AO$17,$AK$17:$BB$17,0))*INDEX($10:$13,MATCH($O758,$R$10:$R$13,0),COLUMN())</f>
        <v>0.19755646869863011</v>
      </c>
      <c r="AP758" s="1050" cm="1">
        <f t="array" aca="1" ref="AP758" ca="1">INDEX(OFFSET($AK$19,MATCH($B758,$B$19:$B$150,0)-1,0,COUNTA($B$19:$B$24),COUNTA($AK$17:$BB$17)),MATCH($F758,$F$19:$F$24,0),MATCH(AP$17,$AK$17:$BB$17,0))*INDEX($10:$13,MATCH($O758,$R$10:$R$13,0),COLUMN())</f>
        <v>0.13703196864</v>
      </c>
      <c r="AQ758" s="1050" cm="1">
        <f t="array" aca="1" ref="AQ758" ca="1">INDEX(OFFSET($AK$19,MATCH($B758,$B$19:$B$150,0)-1,0,COUNTA($B$19:$B$24),COUNTA($AK$17:$BB$17)),MATCH($F758,$F$19:$F$24,0),MATCH(AQ$17,$AK$17:$BB$17,0))*INDEX($10:$13,MATCH($O758,$R$10:$R$13,0),COLUMN())</f>
        <v>0.25754037007999997</v>
      </c>
      <c r="AR758" s="1050" cm="1">
        <f t="array" aca="1" ref="AR758" ca="1">INDEX(OFFSET($AK$19,MATCH($B758,$B$19:$B$150,0)-1,0,COUNTA($B$19:$B$24),COUNTA($AK$17:$BB$17)),MATCH($F758,$F$19:$F$24,0),MATCH(AR$17,$AK$17:$BB$17,0))*INDEX($10:$13,MATCH($O758,$R$10:$R$13,0),COLUMN())</f>
        <v>1.4865738458</v>
      </c>
      <c r="AS758" s="1050" cm="1">
        <f t="array" aca="1" ref="AS758" ca="1">INDEX(OFFSET($AK$19,MATCH($B758,$B$19:$B$150,0)-1,0,COUNTA($B$19:$B$24),COUNTA($AK$17:$BB$17)),MATCH($F758,$F$19:$F$24,0),MATCH(AS$17,$AK$17:$BB$17,0))*INDEX($10:$13,MATCH($O758,$R$10:$R$13,0),COLUMN())</f>
        <v>1.8383352384000001E-2</v>
      </c>
      <c r="AT758" s="1050" cm="1">
        <f t="array" aca="1" ref="AT758" ca="1">INDEX(OFFSET($AK$19,MATCH($B758,$B$19:$B$150,0)-1,0,COUNTA($B$19:$B$24),COUNTA($AK$17:$BB$17)),MATCH($F758,$F$19:$F$24,0),MATCH(AT$17,$AK$17:$BB$17,0))*INDEX($10:$13,MATCH($O758,$R$10:$R$13,0),COLUMN())</f>
        <v>2.9141628014E-5</v>
      </c>
      <c r="AU758" s="1050" cm="1">
        <f t="array" aca="1" ref="AU758" ca="1">INDEX(OFFSET($AK$19,MATCH($B758,$B$19:$B$150,0)-1,0,COUNTA($B$19:$B$24),COUNTA($AK$17:$BB$17)),MATCH($F758,$F$19:$F$24,0),MATCH(AU$17,$AK$17:$BB$17,0))*INDEX($10:$13,MATCH($O758,$R$10:$R$13,0),COLUMN())</f>
        <v>5.4760122833999998E-6</v>
      </c>
      <c r="AV758" s="1050" cm="1">
        <f t="array" aca="1" ref="AV758" ca="1">INDEX(OFFSET($AK$19,MATCH($B758,$B$19:$B$150,0)-1,0,COUNTA($B$19:$B$24),COUNTA($AK$17:$BB$17)),MATCH($F758,$F$19:$F$24,0),MATCH(AV$17,$AK$17:$BB$17,0))*INDEX($10:$13,MATCH($O758,$R$10:$R$13,0),COLUMN())</f>
        <v>1.57131964178145E-2</v>
      </c>
      <c r="AW758" s="1050" cm="1">
        <f t="array" aca="1" ref="AW758" ca="1">INDEX(OFFSET($AK$19,MATCH($B758,$B$19:$B$150,0)-1,0,COUNTA($B$19:$B$24),COUNTA($AK$17:$BB$17)),MATCH($F758,$F$19:$F$24,0),MATCH(AW$17,$AK$17:$BB$17,0))*INDEX($10:$13,MATCH($O758,$R$10:$R$13,0),COLUMN())</f>
        <v>2.6593130870000001</v>
      </c>
      <c r="AX758" s="1050" cm="1">
        <f t="array" aca="1" ref="AX758" ca="1">INDEX(OFFSET($AK$19,MATCH($B758,$B$19:$B$150,0)-1,0,COUNTA($B$19:$B$24),COUNTA($AK$17:$BB$17)),MATCH($F758,$F$19:$F$24,0),MATCH(AX$17,$AK$17:$BB$17,0))*INDEX($10:$13,MATCH($O758,$R$10:$R$13,0),COLUMN())</f>
        <v>7.6584488409999998E-7</v>
      </c>
      <c r="AY758" s="1050" cm="1">
        <f t="array" aca="1" ref="AY758" ca="1">INDEX(OFFSET($AK$19,MATCH($B758,$B$19:$B$150,0)-1,0,COUNTA($B$19:$B$24),COUNTA($AK$17:$BB$17)),MATCH($F758,$F$19:$F$24,0),MATCH(AY$17,$AK$17:$BB$17,0))*INDEX($10:$13,MATCH($O758,$R$10:$R$13,0),COLUMN())</f>
        <v>-4.9110511730000002E-10</v>
      </c>
      <c r="AZ758" s="1050" cm="1">
        <f t="array" aca="1" ref="AZ758" ca="1">INDEX(OFFSET($AK$19,MATCH($B758,$B$19:$B$150,0)-1,0,COUNTA($B$19:$B$24),COUNTA($AK$17:$BB$17)),MATCH($F758,$F$19:$F$24,0),MATCH(AZ$17,$AK$17:$BB$17,0))*INDEX($10:$13,MATCH($O758,$R$10:$R$13,0),COLUMN())</f>
        <v>2.4540368194379386E-5</v>
      </c>
      <c r="BA758" s="1050" cm="1">
        <f t="array" aca="1" ref="BA758" ca="1">INDEX(OFFSET($AK$19,MATCH($B758,$B$19:$B$150,0)-1,0,COUNTA($B$19:$B$24),COUNTA($AK$17:$BB$17)),MATCH($F758,$F$19:$F$24,0),MATCH(BA$17,$AK$17:$BB$17,0))*INDEX($10:$13,MATCH($O758,$R$10:$R$13,0),COLUMN())</f>
        <v>7.3909158870000005E-2</v>
      </c>
      <c r="BB758" s="1051" cm="1">
        <f t="array" aca="1" ref="BB758" ca="1">INDEX(OFFSET($AK$19,MATCH($B758,$B$19:$B$150,0)-1,0,COUNTA($B$19:$B$24),COUNTA($AK$17:$BB$17)),MATCH($F758,$F$19:$F$24,0),MATCH(BB$17,$AK$17:$BB$17,0))*INDEX($10:$13,MATCH($O758,$R$10:$R$13,0),COLUMN())</f>
        <v>9.489549093E-4</v>
      </c>
      <c r="BC758" s="1053">
        <f t="shared" ca="1" si="200"/>
        <v>2.6593138523537792</v>
      </c>
      <c r="BE758" s="1"/>
      <c r="BF758" s="1"/>
      <c r="BG758" s="1"/>
      <c r="BH758" s="1"/>
      <c r="BI758" s="1"/>
      <c r="BJ758" s="1"/>
      <c r="BK758" s="1"/>
      <c r="BL758" s="1"/>
      <c r="BM758" s="1"/>
      <c r="BN758" s="1"/>
      <c r="BO758" s="1"/>
      <c r="BP758" s="1"/>
      <c r="BQ758" s="1"/>
      <c r="BR758" s="1"/>
      <c r="BS758" s="1"/>
      <c r="BT758" s="1"/>
      <c r="BU758" s="1"/>
      <c r="BV758" s="1"/>
      <c r="BW758" s="1"/>
      <c r="BX758" s="1"/>
      <c r="BY758" s="1"/>
      <c r="BZ758" s="1"/>
    </row>
    <row r="759" spans="2:78" ht="12" customHeight="1" outlineLevel="1" x14ac:dyDescent="0.25">
      <c r="B759" s="88" t="s">
        <v>109</v>
      </c>
      <c r="C759" s="88" t="s">
        <v>121</v>
      </c>
      <c r="D759" s="89" t="s">
        <v>143</v>
      </c>
      <c r="E759" s="89" t="s">
        <v>146</v>
      </c>
      <c r="F759" s="90" t="s">
        <v>92</v>
      </c>
      <c r="G759" s="18" t="s">
        <v>126</v>
      </c>
      <c r="H759" s="91" t="s">
        <v>127</v>
      </c>
      <c r="I759" s="92" t="s">
        <v>127</v>
      </c>
      <c r="J759" s="142">
        <v>6.4197011599999998</v>
      </c>
      <c r="K759" s="143">
        <v>0.35311999999999999</v>
      </c>
      <c r="L759" s="144">
        <f t="shared" ca="1" si="197"/>
        <v>6.4009303493098884</v>
      </c>
      <c r="M759" s="143">
        <f t="shared" ca="1" si="198"/>
        <v>2.6134165249483079</v>
      </c>
      <c r="N759" s="162">
        <f t="shared" ca="1" si="199"/>
        <v>2.2602965249483078</v>
      </c>
      <c r="O759" s="1060" t="s">
        <v>1586</v>
      </c>
      <c r="P759" s="88"/>
      <c r="Q759" s="89"/>
      <c r="R759" s="150"/>
      <c r="S759" s="1070"/>
      <c r="T759" s="1070"/>
      <c r="U759" s="1070"/>
      <c r="V759" s="1070"/>
      <c r="W759" s="1070"/>
      <c r="X759" s="1070"/>
      <c r="Y759" s="1070"/>
      <c r="Z759" s="1070"/>
      <c r="AA759" s="1070"/>
      <c r="AB759" s="1070"/>
      <c r="AC759" s="1070"/>
      <c r="AD759" s="1070"/>
      <c r="AE759" s="1070"/>
      <c r="AF759" s="1070"/>
      <c r="AG759" s="1070"/>
      <c r="AH759" s="1070"/>
      <c r="AI759" s="1070"/>
      <c r="AJ759" s="1071"/>
      <c r="AK759" s="1048" cm="1">
        <f t="array" aca="1" ref="AK759" ca="1">INDEX(OFFSET($AK$19,MATCH($B759,$B$19:$B$150,0)-1,0,COUNTA($B$19:$B$24),COUNTA($AK$17:$BB$17)),MATCH($F759,$F$19:$F$24,0),MATCH(AK$17,$AK$17:$BB$17,0))*INDEX($10:$13,MATCH($O759,$R$10:$R$13,0),COLUMN())</f>
        <v>0.14016455952000001</v>
      </c>
      <c r="AL759" s="1046" cm="1">
        <f t="array" aca="1" ref="AL759" ca="1">INDEX(OFFSET($AK$19,MATCH($B759,$B$19:$B$150,0)-1,0,COUNTA($B$19:$B$24),COUNTA($AK$17:$BB$17)),MATCH($F759,$F$19:$F$24,0),MATCH(AL$17,$AK$17:$BB$17,0))*INDEX($10:$13,MATCH($O759,$R$10:$R$13,0),COLUMN())</f>
        <v>1.5708235824000001E-7</v>
      </c>
      <c r="AM759" s="1046" cm="1">
        <f t="array" aca="1" ref="AM759" ca="1">INDEX(OFFSET($AK$19,MATCH($B759,$B$19:$B$150,0)-1,0,COUNTA($B$19:$B$24),COUNTA($AK$17:$BB$17)),MATCH($F759,$F$19:$F$24,0),MATCH(AM$17,$AK$17:$BB$17,0))*INDEX($10:$13,MATCH($O759,$R$10:$R$13,0),COLUMN())</f>
        <v>0</v>
      </c>
      <c r="AN759" s="1046" cm="1">
        <f t="array" aca="1" ref="AN759" ca="1">INDEX(OFFSET($AK$19,MATCH($B759,$B$19:$B$150,0)-1,0,COUNTA($B$19:$B$24),COUNTA($AK$17:$BB$17)),MATCH($F759,$F$19:$F$24,0),MATCH(AN$17,$AK$17:$BB$17,0))*INDEX($10:$13,MATCH($O759,$R$10:$R$13,0),COLUMN())</f>
        <v>2.4445327980000004E-3</v>
      </c>
      <c r="AO759" s="1046" cm="1">
        <f t="array" aca="1" ref="AO759" ca="1">INDEX(OFFSET($AK$19,MATCH($B759,$B$19:$B$150,0)-1,0,COUNTA($B$19:$B$24),COUNTA($AK$17:$BB$17)),MATCH($F759,$F$19:$F$24,0),MATCH(AO$17,$AK$17:$BB$17,0))*INDEX($10:$13,MATCH($O759,$R$10:$R$13,0),COLUMN())</f>
        <v>6.4417296041095889E-2</v>
      </c>
      <c r="AP759" s="1046" cm="1">
        <f t="array" aca="1" ref="AP759" ca="1">INDEX(OFFSET($AK$19,MATCH($B759,$B$19:$B$150,0)-1,0,COUNTA($B$19:$B$24),COUNTA($AK$17:$BB$17)),MATCH($F759,$F$19:$F$24,0),MATCH(AP$17,$AK$17:$BB$17,0))*INDEX($10:$13,MATCH($O759,$R$10:$R$13,0),COLUMN())</f>
        <v>4.6421686079999996E-2</v>
      </c>
      <c r="AQ759" s="1046" cm="1">
        <f t="array" aca="1" ref="AQ759" ca="1">INDEX(OFFSET($AK$19,MATCH($B759,$B$19:$B$150,0)-1,0,COUNTA($B$19:$B$24),COUNTA($AK$17:$BB$17)),MATCH($F759,$F$19:$F$24,0),MATCH(AQ$17,$AK$17:$BB$17,0))*INDEX($10:$13,MATCH($O759,$R$10:$R$13,0),COLUMN())</f>
        <v>9.2312956160000001E-2</v>
      </c>
      <c r="AR759" s="1046" cm="1">
        <f t="array" aca="1" ref="AR759" ca="1">INDEX(OFFSET($AK$19,MATCH($B759,$B$19:$B$150,0)-1,0,COUNTA($B$19:$B$24),COUNTA($AK$17:$BB$17)),MATCH($F759,$F$19:$F$24,0),MATCH(AR$17,$AK$17:$BB$17,0))*INDEX($10:$13,MATCH($O759,$R$10:$R$13,0),COLUMN())</f>
        <v>1.0645941604</v>
      </c>
      <c r="AS759" s="1046" cm="1">
        <f t="array" aca="1" ref="AS759" ca="1">INDEX(OFFSET($AK$19,MATCH($B759,$B$19:$B$150,0)-1,0,COUNTA($B$19:$B$24),COUNTA($AK$17:$BB$17)),MATCH($F759,$F$19:$F$24,0),MATCH(AS$17,$AK$17:$BB$17,0))*INDEX($10:$13,MATCH($O759,$R$10:$R$13,0),COLUMN())</f>
        <v>0.22729501602999999</v>
      </c>
      <c r="AT759" s="1046" cm="1">
        <f t="array" aca="1" ref="AT759" ca="1">INDEX(OFFSET($AK$19,MATCH($B759,$B$19:$B$150,0)-1,0,COUNTA($B$19:$B$24),COUNTA($AK$17:$BB$17)),MATCH($F759,$F$19:$F$24,0),MATCH(AT$17,$AK$17:$BB$17,0))*INDEX($10:$13,MATCH($O759,$R$10:$R$13,0),COLUMN())</f>
        <v>2.5430334310000001E-4</v>
      </c>
      <c r="AU759" s="1046" cm="1">
        <f t="array" aca="1" ref="AU759" ca="1">INDEX(OFFSET($AK$19,MATCH($B759,$B$19:$B$150,0)-1,0,COUNTA($B$19:$B$24),COUNTA($AK$17:$BB$17)),MATCH($F759,$F$19:$F$24,0),MATCH(AU$17,$AK$17:$BB$17,0))*INDEX($10:$13,MATCH($O759,$R$10:$R$13,0),COLUMN())</f>
        <v>1.6425631656E-5</v>
      </c>
      <c r="AV759" s="1046" cm="1">
        <f t="array" aca="1" ref="AV759" ca="1">INDEX(OFFSET($AK$19,MATCH($B759,$B$19:$B$150,0)-1,0,COUNTA($B$19:$B$24),COUNTA($AK$17:$BB$17)),MATCH($F759,$F$19:$F$24,0),MATCH(AV$17,$AK$17:$BB$17,0))*INDEX($10:$13,MATCH($O759,$R$10:$R$13,0),COLUMN())</f>
        <v>4.4120839914758066E-3</v>
      </c>
      <c r="AW759" s="1046" cm="1">
        <f t="array" aca="1" ref="AW759" ca="1">INDEX(OFFSET($AK$19,MATCH($B759,$B$19:$B$150,0)-1,0,COUNTA($B$19:$B$24),COUNTA($AK$17:$BB$17)),MATCH($F759,$F$19:$F$24,0),MATCH(AW$17,$AK$17:$BB$17,0))*INDEX($10:$13,MATCH($O759,$R$10:$R$13,0),COLUMN())</f>
        <v>0.57679079339999995</v>
      </c>
      <c r="AX759" s="1046" cm="1">
        <f t="array" aca="1" ref="AX759" ca="1">INDEX(OFFSET($AK$19,MATCH($B759,$B$19:$B$150,0)-1,0,COUNTA($B$19:$B$24),COUNTA($AK$17:$BB$17)),MATCH($F759,$F$19:$F$24,0),MATCH(AX$17,$AK$17:$BB$17,0))*INDEX($10:$13,MATCH($O759,$R$10:$R$13,0),COLUMN())</f>
        <v>1.5504912768000001E-6</v>
      </c>
      <c r="AY759" s="1046" cm="1">
        <f t="array" aca="1" ref="AY759" ca="1">INDEX(OFFSET($AK$19,MATCH($B759,$B$19:$B$150,0)-1,0,COUNTA($B$19:$B$24),COUNTA($AK$17:$BB$17)),MATCH($F759,$F$19:$F$24,0),MATCH(AY$17,$AK$17:$BB$17,0))*INDEX($10:$13,MATCH($O759,$R$10:$R$13,0),COLUMN())</f>
        <v>-1.0168393694000001E-9</v>
      </c>
      <c r="AZ759" s="1046" cm="1">
        <f t="array" aca="1" ref="AZ759" ca="1">INDEX(OFFSET($AK$19,MATCH($B759,$B$19:$B$150,0)-1,0,COUNTA($B$19:$B$24),COUNTA($AK$17:$BB$17)),MATCH($F759,$F$19:$F$24,0),MATCH(AZ$17,$AK$17:$BB$17,0))*INDEX($10:$13,MATCH($O759,$R$10:$R$13,0),COLUMN())</f>
        <v>5.8393907845433242E-6</v>
      </c>
      <c r="BA759" s="1046" cm="1">
        <f t="array" aca="1" ref="BA759" ca="1">INDEX(OFFSET($AK$19,MATCH($B759,$B$19:$B$150,0)-1,0,COUNTA($B$19:$B$24),COUNTA($AK$17:$BB$17)),MATCH($F759,$F$19:$F$24,0),MATCH(BA$17,$AK$17:$BB$17,0))*INDEX($10:$13,MATCH($O759,$R$10:$R$13,0),COLUMN())</f>
        <v>4.0764148347999997E-2</v>
      </c>
      <c r="BB759" s="1047" cm="1">
        <f t="array" aca="1" ref="BB759" ca="1">INDEX(OFFSET($AK$19,MATCH($B759,$B$19:$B$150,0)-1,0,COUNTA($B$19:$B$24),COUNTA($AK$17:$BB$17)),MATCH($F759,$F$19:$F$24,0),MATCH(BB$17,$AK$17:$BB$17,0))*INDEX($10:$13,MATCH($O759,$R$10:$R$13,0),COLUMN())</f>
        <v>4.0101725739999995E-4</v>
      </c>
      <c r="BC759" s="1049">
        <f t="shared" ca="1" si="200"/>
        <v>0.57679234287443737</v>
      </c>
      <c r="BE759" s="1"/>
      <c r="BF759" s="1"/>
      <c r="BG759" s="1"/>
      <c r="BH759" s="1"/>
      <c r="BI759" s="1"/>
      <c r="BJ759" s="1"/>
      <c r="BK759" s="1"/>
      <c r="BL759" s="1"/>
      <c r="BM759" s="1"/>
      <c r="BN759" s="1"/>
      <c r="BO759" s="1"/>
      <c r="BP759" s="1"/>
      <c r="BQ759" s="1"/>
      <c r="BR759" s="1"/>
      <c r="BS759" s="1"/>
      <c r="BT759" s="1"/>
      <c r="BU759" s="1"/>
      <c r="BV759" s="1"/>
      <c r="BW759" s="1"/>
      <c r="BX759" s="1"/>
      <c r="BY759" s="1"/>
      <c r="BZ759" s="1"/>
    </row>
    <row r="760" spans="2:78" ht="12" customHeight="1" outlineLevel="1" x14ac:dyDescent="0.25">
      <c r="B760" s="104" t="s">
        <v>109</v>
      </c>
      <c r="C760" s="104" t="s">
        <v>121</v>
      </c>
      <c r="D760" s="2" t="s">
        <v>143</v>
      </c>
      <c r="E760" s="2" t="s">
        <v>146</v>
      </c>
      <c r="F760" s="105" t="s">
        <v>122</v>
      </c>
      <c r="G760" s="27" t="s">
        <v>1579</v>
      </c>
      <c r="H760" s="106" t="s">
        <v>128</v>
      </c>
      <c r="I760" s="107" t="s">
        <v>129</v>
      </c>
      <c r="J760" s="147">
        <v>6.4197011599999998</v>
      </c>
      <c r="K760" s="148">
        <v>0.91249000000000002</v>
      </c>
      <c r="L760" s="149">
        <f t="shared" ca="1" si="197"/>
        <v>1.5504019662094493</v>
      </c>
      <c r="M760" s="148">
        <f t="shared" ca="1" si="198"/>
        <v>2.3272162901464606</v>
      </c>
      <c r="N760" s="163">
        <f t="shared" ca="1" si="199"/>
        <v>1.4147262901464603</v>
      </c>
      <c r="O760" s="1061" t="s">
        <v>1586</v>
      </c>
      <c r="P760" s="104"/>
      <c r="R760" s="119"/>
      <c r="S760" s="1072"/>
      <c r="T760" s="1072"/>
      <c r="U760" s="1072"/>
      <c r="V760" s="1072"/>
      <c r="W760" s="1072"/>
      <c r="X760" s="1072"/>
      <c r="Y760" s="1072"/>
      <c r="Z760" s="1072"/>
      <c r="AA760" s="1072"/>
      <c r="AB760" s="1072"/>
      <c r="AC760" s="1072"/>
      <c r="AD760" s="1072"/>
      <c r="AE760" s="1072"/>
      <c r="AF760" s="1072"/>
      <c r="AG760" s="1072"/>
      <c r="AH760" s="1072"/>
      <c r="AI760" s="1072"/>
      <c r="AJ760" s="1073"/>
      <c r="AK760" s="1052" cm="1">
        <f t="array" aca="1" ref="AK760" ca="1">INDEX(OFFSET($AK$19,MATCH($B760,$B$19:$B$150,0)-1,0,COUNTA($B$19:$B$24),COUNTA($AK$17:$BB$17)),MATCH($F760,$F$19:$F$24,0),MATCH(AK$17,$AK$17:$BB$17,0))*INDEX($10:$13,MATCH($O760,$R$10:$R$13,0),COLUMN())</f>
        <v>6.1026597039999998E-2</v>
      </c>
      <c r="AL760" s="1050" cm="1">
        <f t="array" aca="1" ref="AL760" ca="1">INDEX(OFFSET($AK$19,MATCH($B760,$B$19:$B$150,0)-1,0,COUNTA($B$19:$B$24),COUNTA($AK$17:$BB$17)),MATCH($F760,$F$19:$F$24,0),MATCH(AL$17,$AK$17:$BB$17,0))*INDEX($10:$13,MATCH($O760,$R$10:$R$13,0),COLUMN())</f>
        <v>7.5659946479999999E-8</v>
      </c>
      <c r="AM760" s="1050" cm="1">
        <f t="array" aca="1" ref="AM760" ca="1">INDEX(OFFSET($AK$19,MATCH($B760,$B$19:$B$150,0)-1,0,COUNTA($B$19:$B$24),COUNTA($AK$17:$BB$17)),MATCH($F760,$F$19:$F$24,0),MATCH(AM$17,$AK$17:$BB$17,0))*INDEX($10:$13,MATCH($O760,$R$10:$R$13,0),COLUMN())</f>
        <v>0</v>
      </c>
      <c r="AN760" s="1050" cm="1">
        <f t="array" aca="1" ref="AN760" ca="1">INDEX(OFFSET($AK$19,MATCH($B760,$B$19:$B$150,0)-1,0,COUNTA($B$19:$B$24),COUNTA($AK$17:$BB$17)),MATCH($F760,$F$19:$F$24,0),MATCH(AN$17,$AK$17:$BB$17,0))*INDEX($10:$13,MATCH($O760,$R$10:$R$13,0),COLUMN())</f>
        <v>2.9563415880000002E-3</v>
      </c>
      <c r="AO760" s="1050" cm="1">
        <f t="array" aca="1" ref="AO760" ca="1">INDEX(OFFSET($AK$19,MATCH($B760,$B$19:$B$150,0)-1,0,COUNTA($B$19:$B$24),COUNTA($AK$17:$BB$17)),MATCH($F760,$F$19:$F$24,0),MATCH(AO$17,$AK$17:$BB$17,0))*INDEX($10:$13,MATCH($O760,$R$10:$R$13,0),COLUMN())</f>
        <v>1.8715605127397259E-2</v>
      </c>
      <c r="AP760" s="1050" cm="1">
        <f t="array" aca="1" ref="AP760" ca="1">INDEX(OFFSET($AK$19,MATCH($B760,$B$19:$B$150,0)-1,0,COUNTA($B$19:$B$24),COUNTA($AK$17:$BB$17)),MATCH($F760,$F$19:$F$24,0),MATCH(AP$17,$AK$17:$BB$17,0))*INDEX($10:$13,MATCH($O760,$R$10:$R$13,0),COLUMN())</f>
        <v>8.3457208799999991E-3</v>
      </c>
      <c r="AQ760" s="1050" cm="1">
        <f t="array" aca="1" ref="AQ760" ca="1">INDEX(OFFSET($AK$19,MATCH($B760,$B$19:$B$150,0)-1,0,COUNTA($B$19:$B$24),COUNTA($AK$17:$BB$17)),MATCH($F760,$F$19:$F$24,0),MATCH(AQ$17,$AK$17:$BB$17,0))*INDEX($10:$13,MATCH($O760,$R$10:$R$13,0),COLUMN())</f>
        <v>1.3282133312E-2</v>
      </c>
      <c r="AR760" s="1050" cm="1">
        <f t="array" aca="1" ref="AR760" ca="1">INDEX(OFFSET($AK$19,MATCH($B760,$B$19:$B$150,0)-1,0,COUNTA($B$19:$B$24),COUNTA($AK$17:$BB$17)),MATCH($F760,$F$19:$F$24,0),MATCH(AR$17,$AK$17:$BB$17,0))*INDEX($10:$13,MATCH($O760,$R$10:$R$13,0),COLUMN())</f>
        <v>0.45654825009999994</v>
      </c>
      <c r="AS760" s="1050" cm="1">
        <f t="array" aca="1" ref="AS760" ca="1">INDEX(OFFSET($AK$19,MATCH($B760,$B$19:$B$150,0)-1,0,COUNTA($B$19:$B$24),COUNTA($AK$17:$BB$17)),MATCH($F760,$F$19:$F$24,0),MATCH(AS$17,$AK$17:$BB$17,0))*INDEX($10:$13,MATCH($O760,$R$10:$R$13,0),COLUMN())</f>
        <v>1.0975867959999999E-4</v>
      </c>
      <c r="AT760" s="1050" cm="1">
        <f t="array" aca="1" ref="AT760" ca="1">INDEX(OFFSET($AK$19,MATCH($B760,$B$19:$B$150,0)-1,0,COUNTA($B$19:$B$24),COUNTA($AK$17:$BB$17)),MATCH($F760,$F$19:$F$24,0),MATCH(AT$17,$AK$17:$BB$17,0))*INDEX($10:$13,MATCH($O760,$R$10:$R$13,0),COLUMN())</f>
        <v>5.7503838120000002E-6</v>
      </c>
      <c r="AU760" s="1050" cm="1">
        <f t="array" aca="1" ref="AU760" ca="1">INDEX(OFFSET($AK$19,MATCH($B760,$B$19:$B$150,0)-1,0,COUNTA($B$19:$B$24),COUNTA($AK$17:$BB$17)),MATCH($F760,$F$19:$F$24,0),MATCH(AU$17,$AK$17:$BB$17,0))*INDEX($10:$13,MATCH($O760,$R$10:$R$13,0),COLUMN())</f>
        <v>1.2178934651999999E-6</v>
      </c>
      <c r="AV760" s="1050" cm="1">
        <f t="array" aca="1" ref="AV760" ca="1">INDEX(OFFSET($AK$19,MATCH($B760,$B$19:$B$150,0)-1,0,COUNTA($B$19:$B$24),COUNTA($AK$17:$BB$17)),MATCH($F760,$F$19:$F$24,0),MATCH(AV$17,$AK$17:$BB$17,0))*INDEX($10:$13,MATCH($O760,$R$10:$R$13,0),COLUMN())</f>
        <v>3.3657303591229566E-4</v>
      </c>
      <c r="AW760" s="1050" cm="1">
        <f t="array" aca="1" ref="AW760" ca="1">INDEX(OFFSET($AK$19,MATCH($B760,$B$19:$B$150,0)-1,0,COUNTA($B$19:$B$24),COUNTA($AK$17:$BB$17)),MATCH($F760,$F$19:$F$24,0),MATCH(AW$17,$AK$17:$BB$17,0))*INDEX($10:$13,MATCH($O760,$R$10:$R$13,0),COLUMN())</f>
        <v>0.83153264790000003</v>
      </c>
      <c r="AX760" s="1050" cm="1">
        <f t="array" aca="1" ref="AX760" ca="1">INDEX(OFFSET($AK$19,MATCH($B760,$B$19:$B$150,0)-1,0,COUNTA($B$19:$B$24),COUNTA($AK$17:$BB$17)),MATCH($F760,$F$19:$F$24,0),MATCH(AX$17,$AK$17:$BB$17,0))*INDEX($10:$13,MATCH($O760,$R$10:$R$13,0),COLUMN())</f>
        <v>2.4573669300000005E-7</v>
      </c>
      <c r="AY760" s="1050" cm="1">
        <f t="array" aca="1" ref="AY760" ca="1">INDEX(OFFSET($AK$19,MATCH($B760,$B$19:$B$150,0)-1,0,COUNTA($B$19:$B$24),COUNTA($AK$17:$BB$17)),MATCH($F760,$F$19:$F$24,0),MATCH(AY$17,$AK$17:$BB$17,0))*INDEX($10:$13,MATCH($O760,$R$10:$R$13,0),COLUMN())</f>
        <v>-1.5758092069999999E-10</v>
      </c>
      <c r="AZ760" s="1050" cm="1">
        <f t="array" aca="1" ref="AZ760" ca="1">INDEX(OFFSET($AK$19,MATCH($B760,$B$19:$B$150,0)-1,0,COUNTA($B$19:$B$24),COUNTA($AK$17:$BB$17)),MATCH($F760,$F$19:$F$24,0),MATCH(AZ$17,$AK$17:$BB$17,0))*INDEX($10:$13,MATCH($O760,$R$10:$R$13,0),COLUMN())</f>
        <v>7.7780995152224827E-6</v>
      </c>
      <c r="BA760" s="1050" cm="1">
        <f t="array" aca="1" ref="BA760" ca="1">INDEX(OFFSET($AK$19,MATCH($B760,$B$19:$B$150,0)-1,0,COUNTA($B$19:$B$24),COUNTA($AK$17:$BB$17)),MATCH($F760,$F$19:$F$24,0),MATCH(BA$17,$AK$17:$BB$17,0))*INDEX($10:$13,MATCH($O760,$R$10:$R$13,0),COLUMN())</f>
        <v>2.1560280362000001E-2</v>
      </c>
      <c r="BB760" s="1051" cm="1">
        <f t="array" aca="1" ref="BB760" ca="1">INDEX(OFFSET($AK$19,MATCH($B760,$B$19:$B$150,0)-1,0,COUNTA($B$19:$B$24),COUNTA($AK$17:$BB$17)),MATCH($F760,$F$19:$F$24,0),MATCH(BB$17,$AK$17:$BB$17,0))*INDEX($10:$13,MATCH($O760,$R$10:$R$13,0),COLUMN())</f>
        <v>2.9731450570000002E-4</v>
      </c>
      <c r="BC760" s="1053">
        <f t="shared" ca="1" si="200"/>
        <v>0.83153289347911208</v>
      </c>
      <c r="BE760" s="1"/>
      <c r="BF760" s="1"/>
      <c r="BG760" s="1"/>
      <c r="BH760" s="1"/>
      <c r="BI760" s="1"/>
      <c r="BJ760" s="1"/>
      <c r="BK760" s="1"/>
      <c r="BL760" s="1"/>
      <c r="BM760" s="1"/>
      <c r="BN760" s="1"/>
      <c r="BO760" s="1"/>
      <c r="BP760" s="1"/>
      <c r="BQ760" s="1"/>
      <c r="BR760" s="1"/>
      <c r="BS760" s="1"/>
      <c r="BT760" s="1"/>
      <c r="BU760" s="1"/>
      <c r="BV760" s="1"/>
      <c r="BW760" s="1"/>
      <c r="BX760" s="1"/>
      <c r="BY760" s="1"/>
      <c r="BZ760" s="1"/>
    </row>
    <row r="761" spans="2:78" ht="12" customHeight="1" outlineLevel="1" x14ac:dyDescent="0.25">
      <c r="B761" s="104" t="s">
        <v>109</v>
      </c>
      <c r="C761" s="104" t="s">
        <v>121</v>
      </c>
      <c r="D761" s="2" t="s">
        <v>143</v>
      </c>
      <c r="E761" s="2" t="s">
        <v>146</v>
      </c>
      <c r="F761" s="105" t="s">
        <v>93</v>
      </c>
      <c r="G761" s="27" t="s">
        <v>1578</v>
      </c>
      <c r="H761" s="106" t="s">
        <v>130</v>
      </c>
      <c r="I761" s="107" t="s">
        <v>129</v>
      </c>
      <c r="J761" s="147">
        <v>6.4197011599999998</v>
      </c>
      <c r="K761" s="148">
        <v>0.91249000000000002</v>
      </c>
      <c r="L761" s="149">
        <f t="shared" ca="1" si="197"/>
        <v>1.9223646091469344</v>
      </c>
      <c r="M761" s="148">
        <f t="shared" ca="1" si="198"/>
        <v>2.666628482200486</v>
      </c>
      <c r="N761" s="163">
        <f t="shared" ca="1" si="199"/>
        <v>1.7541384822004862</v>
      </c>
      <c r="O761" s="1061" t="s">
        <v>1586</v>
      </c>
      <c r="P761" s="104"/>
      <c r="R761" s="119"/>
      <c r="S761" s="1072"/>
      <c r="T761" s="1072"/>
      <c r="U761" s="1072"/>
      <c r="V761" s="1072"/>
      <c r="W761" s="1072"/>
      <c r="X761" s="1072"/>
      <c r="Y761" s="1072"/>
      <c r="Z761" s="1072"/>
      <c r="AA761" s="1072"/>
      <c r="AB761" s="1072"/>
      <c r="AC761" s="1072"/>
      <c r="AD761" s="1072"/>
      <c r="AE761" s="1072"/>
      <c r="AF761" s="1072"/>
      <c r="AG761" s="1072"/>
      <c r="AH761" s="1072"/>
      <c r="AI761" s="1072"/>
      <c r="AJ761" s="1073"/>
      <c r="AK761" s="1052" cm="1">
        <f t="array" aca="1" ref="AK761" ca="1">INDEX(OFFSET($AK$19,MATCH($B761,$B$19:$B$150,0)-1,0,COUNTA($B$19:$B$24),COUNTA($AK$17:$BB$17)),MATCH($F761,$F$19:$F$24,0),MATCH(AK$17,$AK$17:$BB$17,0))*INDEX($10:$13,MATCH($O761,$R$10:$R$13,0),COLUMN())</f>
        <v>7.5660372720000008E-2</v>
      </c>
      <c r="AL761" s="1050" cm="1">
        <f t="array" aca="1" ref="AL761" ca="1">INDEX(OFFSET($AK$19,MATCH($B761,$B$19:$B$150,0)-1,0,COUNTA($B$19:$B$24),COUNTA($AK$17:$BB$17)),MATCH($F761,$F$19:$F$24,0),MATCH(AL$17,$AK$17:$BB$17,0))*INDEX($10:$13,MATCH($O761,$R$10:$R$13,0),COLUMN())</f>
        <v>9.3802705079999997E-8</v>
      </c>
      <c r="AM761" s="1050" cm="1">
        <f t="array" aca="1" ref="AM761" ca="1">INDEX(OFFSET($AK$19,MATCH($B761,$B$19:$B$150,0)-1,0,COUNTA($B$19:$B$24),COUNTA($AK$17:$BB$17)),MATCH($F761,$F$19:$F$24,0),MATCH(AM$17,$AK$17:$BB$17,0))*INDEX($10:$13,MATCH($O761,$R$10:$R$13,0),COLUMN())</f>
        <v>0</v>
      </c>
      <c r="AN761" s="1050" cm="1">
        <f t="array" aca="1" ref="AN761" ca="1">INDEX(OFFSET($AK$19,MATCH($B761,$B$19:$B$150,0)-1,0,COUNTA($B$19:$B$24),COUNTA($AK$17:$BB$17)),MATCH($F761,$F$19:$F$24,0),MATCH(AN$17,$AK$17:$BB$17,0))*INDEX($10:$13,MATCH($O761,$R$10:$R$13,0),COLUMN())</f>
        <v>3.665252634E-3</v>
      </c>
      <c r="AO761" s="1050" cm="1">
        <f t="array" aca="1" ref="AO761" ca="1">INDEX(OFFSET($AK$19,MATCH($B761,$B$19:$B$150,0)-1,0,COUNTA($B$19:$B$24),COUNTA($AK$17:$BB$17)),MATCH($F761,$F$19:$F$24,0),MATCH(AO$17,$AK$17:$BB$17,0))*INDEX($10:$13,MATCH($O761,$R$10:$R$13,0),COLUMN())</f>
        <v>2.3203484202739728E-2</v>
      </c>
      <c r="AP761" s="1050" cm="1">
        <f t="array" aca="1" ref="AP761" ca="1">INDEX(OFFSET($AK$19,MATCH($B761,$B$19:$B$150,0)-1,0,COUNTA($B$19:$B$24),COUNTA($AK$17:$BB$17)),MATCH($F761,$F$19:$F$24,0),MATCH(AP$17,$AK$17:$BB$17,0))*INDEX($10:$13,MATCH($O761,$R$10:$R$13,0),COLUMN())</f>
        <v>1.0346970144E-2</v>
      </c>
      <c r="AQ761" s="1050" cm="1">
        <f t="array" aca="1" ref="AQ761" ca="1">INDEX(OFFSET($AK$19,MATCH($B761,$B$19:$B$150,0)-1,0,COUNTA($B$19:$B$24),COUNTA($AK$17:$BB$17)),MATCH($F761,$F$19:$F$24,0),MATCH(AQ$17,$AK$17:$BB$17,0))*INDEX($10:$13,MATCH($O761,$R$10:$R$13,0),COLUMN())</f>
        <v>1.6467101487999999E-2</v>
      </c>
      <c r="AR761" s="1050" cm="1">
        <f t="array" aca="1" ref="AR761" ca="1">INDEX(OFFSET($AK$19,MATCH($B761,$B$19:$B$150,0)-1,0,COUNTA($B$19:$B$24),COUNTA($AK$17:$BB$17)),MATCH($F761,$F$19:$F$24,0),MATCH(AR$17,$AK$17:$BB$17,0))*INDEX($10:$13,MATCH($O761,$R$10:$R$13,0),COLUMN())</f>
        <v>0.56602551881999996</v>
      </c>
      <c r="AS761" s="1050" cm="1">
        <f t="array" aca="1" ref="AS761" ca="1">INDEX(OFFSET($AK$19,MATCH($B761,$B$19:$B$150,0)-1,0,COUNTA($B$19:$B$24),COUNTA($AK$17:$BB$17)),MATCH($F761,$F$19:$F$24,0),MATCH(AS$17,$AK$17:$BB$17,0))*INDEX($10:$13,MATCH($O761,$R$10:$R$13,0),COLUMN())</f>
        <v>2.1689746203E-4</v>
      </c>
      <c r="AT761" s="1050" cm="1">
        <f t="array" aca="1" ref="AT761" ca="1">INDEX(OFFSET($AK$19,MATCH($B761,$B$19:$B$150,0)-1,0,COUNTA($B$19:$B$24),COUNTA($AK$17:$BB$17)),MATCH($F761,$F$19:$F$24,0),MATCH(AT$17,$AK$17:$BB$17,0))*INDEX($10:$13,MATCH($O761,$R$10:$R$13,0),COLUMN())</f>
        <v>7.1549951739999998E-6</v>
      </c>
      <c r="AU761" s="1050" cm="1">
        <f t="array" aca="1" ref="AU761" ca="1">INDEX(OFFSET($AK$19,MATCH($B761,$B$19:$B$150,0)-1,0,COUNTA($B$19:$B$24),COUNTA($AK$17:$BB$17)),MATCH($F761,$F$19:$F$24,0),MATCH(AU$17,$AK$17:$BB$17,0))*INDEX($10:$13,MATCH($O761,$R$10:$R$13,0),COLUMN())</f>
        <v>1.5127025165999998E-6</v>
      </c>
      <c r="AV761" s="1050" cm="1">
        <f t="array" aca="1" ref="AV761" ca="1">INDEX(OFFSET($AK$19,MATCH($B761,$B$19:$B$150,0)-1,0,COUNTA($B$19:$B$24),COUNTA($AK$17:$BB$17)),MATCH($F761,$F$19:$F$24,0),MATCH(AV$17,$AK$17:$BB$17,0))*INDEX($10:$13,MATCH($O761,$R$10:$R$13,0),COLUMN())</f>
        <v>5.0657452624704982E-4</v>
      </c>
      <c r="AW761" s="1050" cm="1">
        <f t="array" aca="1" ref="AW761" ca="1">INDEX(OFFSET($AK$19,MATCH($B761,$B$19:$B$150,0)-1,0,COUNTA($B$19:$B$24),COUNTA($AK$17:$BB$17)),MATCH($F761,$F$19:$F$24,0),MATCH(AW$17,$AK$17:$BB$17,0))*INDEX($10:$13,MATCH($O761,$R$10:$R$13,0),COLUMN())</f>
        <v>1.0309286988000002</v>
      </c>
      <c r="AX761" s="1050" cm="1">
        <f t="array" aca="1" ref="AX761" ca="1">INDEX(OFFSET($AK$19,MATCH($B761,$B$19:$B$150,0)-1,0,COUNTA($B$19:$B$24),COUNTA($AK$17:$BB$17)),MATCH($F761,$F$19:$F$24,0),MATCH(AX$17,$AK$17:$BB$17,0))*INDEX($10:$13,MATCH($O761,$R$10:$R$13,0),COLUMN())</f>
        <v>3.0466271660000006E-7</v>
      </c>
      <c r="AY761" s="1050" cm="1">
        <f t="array" aca="1" ref="AY761" ca="1">INDEX(OFFSET($AK$19,MATCH($B761,$B$19:$B$150,0)-1,0,COUNTA($B$19:$B$24),COUNTA($AK$17:$BB$17)),MATCH($F761,$F$19:$F$24,0),MATCH(AY$17,$AK$17:$BB$17,0))*INDEX($10:$13,MATCH($O761,$R$10:$R$13,0),COLUMN())</f>
        <v>-1.9536778902000002E-10</v>
      </c>
      <c r="AZ761" s="1050" cm="1">
        <f t="array" aca="1" ref="AZ761" ca="1">INDEX(OFFSET($AK$19,MATCH($B761,$B$19:$B$150,0)-1,0,COUNTA($B$19:$B$24),COUNTA($AK$17:$BB$17)),MATCH($F761,$F$19:$F$24,0),MATCH(AZ$17,$AK$17:$BB$17,0))*INDEX($10:$13,MATCH($O761,$R$10:$R$13,0),COLUMN())</f>
        <v>9.6432365245901619E-6</v>
      </c>
      <c r="BA761" s="1050" cm="1">
        <f t="array" aca="1" ref="BA761" ca="1">INDEX(OFFSET($AK$19,MATCH($B761,$B$19:$B$150,0)-1,0,COUNTA($B$19:$B$24),COUNTA($AK$17:$BB$17)),MATCH($F761,$F$19:$F$24,0),MATCH(BA$17,$AK$17:$BB$17,0))*INDEX($10:$13,MATCH($O761,$R$10:$R$13,0),COLUMN())</f>
        <v>2.673029364E-2</v>
      </c>
      <c r="BB761" s="1051" cm="1">
        <f t="array" aca="1" ref="BB761" ca="1">INDEX(OFFSET($AK$19,MATCH($B761,$B$19:$B$150,0)-1,0,COUNTA($B$19:$B$24),COUNTA($AK$17:$BB$17)),MATCH($F761,$F$19:$F$24,0),MATCH(BB$17,$AK$17:$BB$17,0))*INDEX($10:$13,MATCH($O761,$R$10:$R$13,0),COLUMN())</f>
        <v>3.6860855919999998E-4</v>
      </c>
      <c r="BC761" s="1053">
        <f t="shared" ca="1" si="200"/>
        <v>1.030929003267349</v>
      </c>
      <c r="BE761" s="1"/>
      <c r="BF761" s="1"/>
      <c r="BG761" s="1"/>
      <c r="BH761" s="1"/>
      <c r="BI761" s="1"/>
      <c r="BJ761" s="1"/>
      <c r="BK761" s="1"/>
      <c r="BL761" s="1"/>
      <c r="BM761" s="1"/>
      <c r="BN761" s="1"/>
      <c r="BO761" s="1"/>
      <c r="BP761" s="1"/>
      <c r="BQ761" s="1"/>
      <c r="BR761" s="1"/>
      <c r="BS761" s="1"/>
      <c r="BT761" s="1"/>
      <c r="BU761" s="1"/>
      <c r="BV761" s="1"/>
      <c r="BW761" s="1"/>
      <c r="BX761" s="1"/>
      <c r="BY761" s="1"/>
      <c r="BZ761" s="1"/>
    </row>
    <row r="762" spans="2:78" ht="12" customHeight="1" outlineLevel="1" x14ac:dyDescent="0.25">
      <c r="B762" s="104" t="s">
        <v>109</v>
      </c>
      <c r="C762" s="104" t="s">
        <v>121</v>
      </c>
      <c r="D762" s="2" t="s">
        <v>143</v>
      </c>
      <c r="E762" s="2" t="s">
        <v>146</v>
      </c>
      <c r="F762" s="105" t="s">
        <v>94</v>
      </c>
      <c r="G762" s="27" t="s">
        <v>1580</v>
      </c>
      <c r="H762" s="106" t="s">
        <v>131</v>
      </c>
      <c r="I762" s="107" t="s">
        <v>129</v>
      </c>
      <c r="J762" s="147">
        <v>6.4197011599999998</v>
      </c>
      <c r="K762" s="148">
        <v>0.91249000000000002</v>
      </c>
      <c r="L762" s="149">
        <f t="shared" ca="1" si="197"/>
        <v>1.29899286937764</v>
      </c>
      <c r="M762" s="148">
        <f t="shared" ca="1" si="198"/>
        <v>2.097808003378403</v>
      </c>
      <c r="N762" s="148">
        <f t="shared" ca="1" si="199"/>
        <v>1.1853180033784028</v>
      </c>
      <c r="O762" s="1062" t="s">
        <v>1586</v>
      </c>
      <c r="P762" s="104"/>
      <c r="R762" s="119"/>
      <c r="S762" s="1072"/>
      <c r="T762" s="1072"/>
      <c r="U762" s="1072"/>
      <c r="V762" s="1072"/>
      <c r="W762" s="1072"/>
      <c r="X762" s="1072"/>
      <c r="Y762" s="1072"/>
      <c r="Z762" s="1072"/>
      <c r="AA762" s="1072"/>
      <c r="AB762" s="1072"/>
      <c r="AC762" s="1072"/>
      <c r="AD762" s="1072"/>
      <c r="AE762" s="1072"/>
      <c r="AF762" s="1072"/>
      <c r="AG762" s="1072"/>
      <c r="AH762" s="1072"/>
      <c r="AI762" s="1072"/>
      <c r="AJ762" s="1073"/>
      <c r="AK762" s="1052" cm="1">
        <f t="array" aca="1" ref="AK762" ca="1">INDEX(OFFSET($AK$19,MATCH($B762,$B$19:$B$150,0)-1,0,COUNTA($B$19:$B$24),COUNTA($AK$17:$BB$17)),MATCH($F762,$F$19:$F$24,0),MATCH(AK$17,$AK$17:$BB$17,0))*INDEX($10:$13,MATCH($O762,$R$10:$R$13,0),COLUMN())</f>
        <v>5.1135643920000001E-2</v>
      </c>
      <c r="AL762" s="1050" cm="1">
        <f t="array" aca="1" ref="AL762" ca="1">INDEX(OFFSET($AK$19,MATCH($B762,$B$19:$B$150,0)-1,0,COUNTA($B$19:$B$24),COUNTA($AK$17:$BB$17)),MATCH($F762,$F$19:$F$24,0),MATCH(AL$17,$AK$17:$BB$17,0))*INDEX($10:$13,MATCH($O762,$R$10:$R$13,0),COLUMN())</f>
        <v>6.3397278180000005E-8</v>
      </c>
      <c r="AM762" s="1050" cm="1">
        <f t="array" aca="1" ref="AM762" ca="1">INDEX(OFFSET($AK$19,MATCH($B762,$B$19:$B$150,0)-1,0,COUNTA($B$19:$B$24),COUNTA($AK$17:$BB$17)),MATCH($F762,$F$19:$F$24,0),MATCH(AM$17,$AK$17:$BB$17,0))*INDEX($10:$13,MATCH($O762,$R$10:$R$13,0),COLUMN())</f>
        <v>0</v>
      </c>
      <c r="AN762" s="1050" cm="1">
        <f t="array" aca="1" ref="AN762" ca="1">INDEX(OFFSET($AK$19,MATCH($B762,$B$19:$B$150,0)-1,0,COUNTA($B$19:$B$24),COUNTA($AK$17:$BB$17)),MATCH($F762,$F$19:$F$24,0),MATCH(AN$17,$AK$17:$BB$17,0))*INDEX($10:$13,MATCH($O762,$R$10:$R$13,0),COLUMN())</f>
        <v>2.4771892200000003E-3</v>
      </c>
      <c r="AO762" s="1050" cm="1">
        <f t="array" aca="1" ref="AO762" ca="1">INDEX(OFFSET($AK$19,MATCH($B762,$B$19:$B$150,0)-1,0,COUNTA($B$19:$B$24),COUNTA($AK$17:$BB$17)),MATCH($F762,$F$19:$F$24,0),MATCH(AO$17,$AK$17:$BB$17,0))*INDEX($10:$13,MATCH($O762,$R$10:$R$13,0),COLUMN())</f>
        <v>1.5682252993150684E-2</v>
      </c>
      <c r="AP762" s="1050" cm="1">
        <f t="array" aca="1" ref="AP762" ca="1">INDEX(OFFSET($AK$19,MATCH($B762,$B$19:$B$150,0)-1,0,COUNTA($B$19:$B$24),COUNTA($AK$17:$BB$17)),MATCH($F762,$F$19:$F$24,0),MATCH(AP$17,$AK$17:$BB$17,0))*INDEX($10:$13,MATCH($O762,$R$10:$R$13,0),COLUMN())</f>
        <v>6.9930792959999998E-3</v>
      </c>
      <c r="AQ762" s="1050" cm="1">
        <f t="array" aca="1" ref="AQ762" ca="1">INDEX(OFFSET($AK$19,MATCH($B762,$B$19:$B$150,0)-1,0,COUNTA($B$19:$B$24),COUNTA($AK$17:$BB$17)),MATCH($F762,$F$19:$F$24,0),MATCH(AQ$17,$AK$17:$BB$17,0))*INDEX($10:$13,MATCH($O762,$R$10:$R$13,0),COLUMN())</f>
        <v>1.1129416896000001E-2</v>
      </c>
      <c r="AR762" s="1050" cm="1">
        <f t="array" aca="1" ref="AR762" ca="1">INDEX(OFFSET($AK$19,MATCH($B762,$B$19:$B$150,0)-1,0,COUNTA($B$19:$B$24),COUNTA($AK$17:$BB$17)),MATCH($F762,$F$19:$F$24,0),MATCH(AR$17,$AK$17:$BB$17,0))*INDEX($10:$13,MATCH($O762,$R$10:$R$13,0),COLUMN())</f>
        <v>0.38255269627999999</v>
      </c>
      <c r="AS762" s="1050" cm="1">
        <f t="array" aca="1" ref="AS762" ca="1">INDEX(OFFSET($AK$19,MATCH($B762,$B$19:$B$150,0)-1,0,COUNTA($B$19:$B$24),COUNTA($AK$17:$BB$17)),MATCH($F762,$F$19:$F$24,0),MATCH(AS$17,$AK$17:$BB$17,0))*INDEX($10:$13,MATCH($O762,$R$10:$R$13,0),COLUMN())</f>
        <v>3.7347016523999996E-5</v>
      </c>
      <c r="AT762" s="1050" cm="1">
        <f t="array" aca="1" ref="AT762" ca="1">INDEX(OFFSET($AK$19,MATCH($B762,$B$19:$B$150,0)-1,0,COUNTA($B$19:$B$24),COUNTA($AK$17:$BB$17)),MATCH($F762,$F$19:$F$24,0),MATCH(AT$17,$AK$17:$BB$17,0))*INDEX($10:$13,MATCH($O762,$R$10:$R$13,0),COLUMN())</f>
        <v>4.8010096659999996E-6</v>
      </c>
      <c r="AU762" s="1050" cm="1">
        <f t="array" aca="1" ref="AU762" ca="1">INDEX(OFFSET($AK$19,MATCH($B762,$B$19:$B$150,0)-1,0,COUNTA($B$19:$B$24),COUNTA($AK$17:$BB$17)),MATCH($F762,$F$19:$F$24,0),MATCH(AU$17,$AK$17:$BB$17,0))*INDEX($10:$13,MATCH($O762,$R$10:$R$13,0),COLUMN())</f>
        <v>1.0186324668000001E-6</v>
      </c>
      <c r="AV762" s="1050" cm="1">
        <f t="array" aca="1" ref="AV762" ca="1">INDEX(OFFSET($AK$19,MATCH($B762,$B$19:$B$150,0)-1,0,COUNTA($B$19:$B$24),COUNTA($AK$17:$BB$17)),MATCH($F762,$F$19:$F$24,0),MATCH(AV$17,$AK$17:$BB$17,0))*INDEX($10:$13,MATCH($O762,$R$10:$R$13,0),COLUMN())</f>
        <v>2.2167285046951419E-4</v>
      </c>
      <c r="AW762" s="1050" cm="1">
        <f t="array" aca="1" ref="AW762" ca="1">INDEX(OFFSET($AK$19,MATCH($B762,$B$19:$B$150,0)-1,0,COUNTA($B$19:$B$24),COUNTA($AK$17:$BB$17)),MATCH($F762,$F$19:$F$24,0),MATCH(AW$17,$AK$17:$BB$17,0))*INDEX($10:$13,MATCH($O762,$R$10:$R$13,0),COLUMN())</f>
        <v>0.69676109760000005</v>
      </c>
      <c r="AX762" s="1050" cm="1">
        <f t="array" aca="1" ref="AX762" ca="1">INDEX(OFFSET($AK$19,MATCH($B762,$B$19:$B$150,0)-1,0,COUNTA($B$19:$B$24),COUNTA($AK$17:$BB$17)),MATCH($F762,$F$19:$F$24,0),MATCH(AX$17,$AK$17:$BB$17,0))*INDEX($10:$13,MATCH($O762,$R$10:$R$13,0),COLUMN())</f>
        <v>2.0590864077000002E-7</v>
      </c>
      <c r="AY762" s="1050" cm="1">
        <f t="array" aca="1" ref="AY762" ca="1">INDEX(OFFSET($AK$19,MATCH($B762,$B$19:$B$150,0)-1,0,COUNTA($B$19:$B$24),COUNTA($AK$17:$BB$17)),MATCH($F762,$F$19:$F$24,0),MATCH(AY$17,$AK$17:$BB$17,0))*INDEX($10:$13,MATCH($O762,$R$10:$R$13,0),COLUMN())</f>
        <v>-1.3204081990000001E-10</v>
      </c>
      <c r="AZ762" s="1050" cm="1">
        <f t="array" aca="1" ref="AZ762" ca="1">INDEX(OFFSET($AK$19,MATCH($B762,$B$19:$B$150,0)-1,0,COUNTA($B$19:$B$24),COUNTA($AK$17:$BB$17)),MATCH($F762,$F$19:$F$24,0),MATCH(AZ$17,$AK$17:$BB$17,0))*INDEX($10:$13,MATCH($O762,$R$10:$R$13,0),COLUMN())</f>
        <v>6.5174554473067908E-6</v>
      </c>
      <c r="BA762" s="1050" cm="1">
        <f t="array" aca="1" ref="BA762" ca="1">INDEX(OFFSET($AK$19,MATCH($B762,$B$19:$B$150,0)-1,0,COUNTA($B$19:$B$24),COUNTA($AK$17:$BB$17)),MATCH($F762,$F$19:$F$24,0),MATCH(BA$17,$AK$17:$BB$17,0))*INDEX($10:$13,MATCH($O762,$R$10:$R$13,0),COLUMN())</f>
        <v>1.8065874100999999E-2</v>
      </c>
      <c r="BB762" s="1051" cm="1">
        <f t="array" aca="1" ref="BB762" ca="1">INDEX(OFFSET($AK$19,MATCH($B762,$B$19:$B$150,0)-1,0,COUNTA($B$19:$B$24),COUNTA($AK$17:$BB$17)),MATCH($F762,$F$19:$F$24,0),MATCH(BB$17,$AK$17:$BB$17,0))*INDEX($10:$13,MATCH($O762,$R$10:$R$13,0),COLUMN())</f>
        <v>2.4912693380000001E-4</v>
      </c>
      <c r="BC762" s="1053">
        <f t="shared" ca="1" si="200"/>
        <v>0.69676130337660003</v>
      </c>
      <c r="BE762" s="1"/>
      <c r="BF762" s="1"/>
      <c r="BG762" s="1"/>
      <c r="BH762" s="1"/>
      <c r="BI762" s="1"/>
      <c r="BJ762" s="1"/>
      <c r="BK762" s="1"/>
      <c r="BL762" s="1"/>
      <c r="BM762" s="1"/>
      <c r="BN762" s="1"/>
      <c r="BO762" s="1"/>
      <c r="BP762" s="1"/>
      <c r="BQ762" s="1"/>
      <c r="BR762" s="1"/>
      <c r="BS762" s="1"/>
      <c r="BT762" s="1"/>
      <c r="BU762" s="1"/>
      <c r="BV762" s="1"/>
      <c r="BW762" s="1"/>
      <c r="BX762" s="1"/>
      <c r="BY762" s="1"/>
      <c r="BZ762" s="1"/>
    </row>
    <row r="763" spans="2:78" ht="12" customHeight="1" outlineLevel="1" x14ac:dyDescent="0.25">
      <c r="B763" s="104" t="s">
        <v>109</v>
      </c>
      <c r="C763" s="104" t="s">
        <v>121</v>
      </c>
      <c r="D763" s="2" t="s">
        <v>143</v>
      </c>
      <c r="E763" s="2" t="s">
        <v>146</v>
      </c>
      <c r="F763" s="105" t="s">
        <v>95</v>
      </c>
      <c r="G763" s="27" t="s">
        <v>1581</v>
      </c>
      <c r="H763" s="106" t="s">
        <v>128</v>
      </c>
      <c r="I763" s="107" t="s">
        <v>127</v>
      </c>
      <c r="J763" s="147">
        <v>6.4197011599999998</v>
      </c>
      <c r="K763" s="148">
        <v>0.91249000000000002</v>
      </c>
      <c r="L763" s="149">
        <f t="shared" ca="1" si="197"/>
        <v>1.8350665467963088</v>
      </c>
      <c r="M763" s="148">
        <f t="shared" ca="1" si="198"/>
        <v>2.5869698732861641</v>
      </c>
      <c r="N763" s="148">
        <f t="shared" ca="1" si="199"/>
        <v>1.6744798732861639</v>
      </c>
      <c r="O763" s="1062" t="s">
        <v>1586</v>
      </c>
      <c r="P763" s="104"/>
      <c r="R763" s="119"/>
      <c r="S763" s="1072"/>
      <c r="T763" s="1072"/>
      <c r="U763" s="1072"/>
      <c r="V763" s="1072"/>
      <c r="W763" s="1072"/>
      <c r="X763" s="1072"/>
      <c r="Y763" s="1072"/>
      <c r="Z763" s="1072"/>
      <c r="AA763" s="1072"/>
      <c r="AB763" s="1072"/>
      <c r="AC763" s="1072"/>
      <c r="AD763" s="1072"/>
      <c r="AE763" s="1072"/>
      <c r="AF763" s="1072"/>
      <c r="AG763" s="1072"/>
      <c r="AH763" s="1072"/>
      <c r="AI763" s="1072"/>
      <c r="AJ763" s="1073"/>
      <c r="AK763" s="1052" cm="1">
        <f t="array" aca="1" ref="AK763" ca="1">INDEX(OFFSET($AK$19,MATCH($B763,$B$19:$B$150,0)-1,0,COUNTA($B$19:$B$24),COUNTA($AK$17:$BB$17)),MATCH($F763,$F$19:$F$24,0),MATCH(AK$17,$AK$17:$BB$17,0))*INDEX($10:$13,MATCH($O763,$R$10:$R$13,0),COLUMN())</f>
        <v>6.93073944E-2</v>
      </c>
      <c r="AL763" s="1050" cm="1">
        <f t="array" aca="1" ref="AL763" ca="1">INDEX(OFFSET($AK$19,MATCH($B763,$B$19:$B$150,0)-1,0,COUNTA($B$19:$B$24),COUNTA($AK$17:$BB$17)),MATCH($F763,$F$19:$F$24,0),MATCH(AL$17,$AK$17:$BB$17,0))*INDEX($10:$13,MATCH($O763,$R$10:$R$13,0),COLUMN())</f>
        <v>7.6238916359999999E-8</v>
      </c>
      <c r="AM763" s="1050" cm="1">
        <f t="array" aca="1" ref="AM763" ca="1">INDEX(OFFSET($AK$19,MATCH($B763,$B$19:$B$150,0)-1,0,COUNTA($B$19:$B$24),COUNTA($AK$17:$BB$17)),MATCH($F763,$F$19:$F$24,0),MATCH(AM$17,$AK$17:$BB$17,0))*INDEX($10:$13,MATCH($O763,$R$10:$R$13,0),COLUMN())</f>
        <v>0</v>
      </c>
      <c r="AN763" s="1050" cm="1">
        <f t="array" aca="1" ref="AN763" ca="1">INDEX(OFFSET($AK$19,MATCH($B763,$B$19:$B$150,0)-1,0,COUNTA($B$19:$B$24),COUNTA($AK$17:$BB$17)),MATCH($F763,$F$19:$F$24,0),MATCH(AN$17,$AK$17:$BB$17,0))*INDEX($10:$13,MATCH($O763,$R$10:$R$13,0),COLUMN())</f>
        <v>3.1647154500000006E-3</v>
      </c>
      <c r="AO763" s="1050" cm="1">
        <f t="array" aca="1" ref="AO763" ca="1">INDEX(OFFSET($AK$19,MATCH($B763,$B$19:$B$150,0)-1,0,COUNTA($B$19:$B$24),COUNTA($AK$17:$BB$17)),MATCH($F763,$F$19:$F$24,0),MATCH(AO$17,$AK$17:$BB$17,0))*INDEX($10:$13,MATCH($O763,$R$10:$R$13,0),COLUMN())</f>
        <v>4.3798334136986306E-2</v>
      </c>
      <c r="AP763" s="1050" cm="1">
        <f t="array" aca="1" ref="AP763" ca="1">INDEX(OFFSET($AK$19,MATCH($B763,$B$19:$B$150,0)-1,0,COUNTA($B$19:$B$24),COUNTA($AK$17:$BB$17)),MATCH($F763,$F$19:$F$24,0),MATCH(AP$17,$AK$17:$BB$17,0))*INDEX($10:$13,MATCH($O763,$R$10:$R$13,0),COLUMN())</f>
        <v>2.834287848E-2</v>
      </c>
      <c r="AQ763" s="1050" cm="1">
        <f t="array" aca="1" ref="AQ763" ca="1">INDEX(OFFSET($AK$19,MATCH($B763,$B$19:$B$150,0)-1,0,COUNTA($B$19:$B$24),COUNTA($AK$17:$BB$17)),MATCH($F763,$F$19:$F$24,0),MATCH(AQ$17,$AK$17:$BB$17,0))*INDEX($10:$13,MATCH($O763,$R$10:$R$13,0),COLUMN())</f>
        <v>5.256002832E-2</v>
      </c>
      <c r="AR763" s="1050" cm="1">
        <f t="array" aca="1" ref="AR763" ca="1">INDEX(OFFSET($AK$19,MATCH($B763,$B$19:$B$150,0)-1,0,COUNTA($B$19:$B$24),COUNTA($AK$17:$BB$17)),MATCH($F763,$F$19:$F$24,0),MATCH(AR$17,$AK$17:$BB$17,0))*INDEX($10:$13,MATCH($O763,$R$10:$R$13,0),COLUMN())</f>
        <v>0.61712589979999999</v>
      </c>
      <c r="AS763" s="1050" cm="1">
        <f t="array" aca="1" ref="AS763" ca="1">INDEX(OFFSET($AK$19,MATCH($B763,$B$19:$B$150,0)-1,0,COUNTA($B$19:$B$24),COUNTA($AK$17:$BB$17)),MATCH($F763,$F$19:$F$24,0),MATCH(AS$17,$AK$17:$BB$17,0))*INDEX($10:$13,MATCH($O763,$R$10:$R$13,0),COLUMN())</f>
        <v>3.1061277106E-3</v>
      </c>
      <c r="AT763" s="1050" cm="1">
        <f t="array" aca="1" ref="AT763" ca="1">INDEX(OFFSET($AK$19,MATCH($B763,$B$19:$B$150,0)-1,0,COUNTA($B$19:$B$24),COUNTA($AK$17:$BB$17)),MATCH($F763,$F$19:$F$24,0),MATCH(AT$17,$AK$17:$BB$17,0))*INDEX($10:$13,MATCH($O763,$R$10:$R$13,0),COLUMN())</f>
        <v>8.0163985319999994E-6</v>
      </c>
      <c r="AU763" s="1050" cm="1">
        <f t="array" aca="1" ref="AU763" ca="1">INDEX(OFFSET($AK$19,MATCH($B763,$B$19:$B$150,0)-1,0,COUNTA($B$19:$B$24),COUNTA($AK$17:$BB$17)),MATCH($F763,$F$19:$F$24,0),MATCH(AU$17,$AK$17:$BB$17,0))*INDEX($10:$13,MATCH($O763,$R$10:$R$13,0),COLUMN())</f>
        <v>1.5651335747999998E-6</v>
      </c>
      <c r="AV763" s="1050" cm="1">
        <f t="array" aca="1" ref="AV763" ca="1">INDEX(OFFSET($AK$19,MATCH($B763,$B$19:$B$150,0)-1,0,COUNTA($B$19:$B$24),COUNTA($AK$17:$BB$17)),MATCH($F763,$F$19:$F$24,0),MATCH(AV$17,$AK$17:$BB$17,0))*INDEX($10:$13,MATCH($O763,$R$10:$R$13,0),COLUMN())</f>
        <v>2.4165039548555804E-3</v>
      </c>
      <c r="AW763" s="1050" cm="1">
        <f t="array" aca="1" ref="AW763" ca="1">INDEX(OFFSET($AK$19,MATCH($B763,$B$19:$B$150,0)-1,0,COUNTA($B$19:$B$24),COUNTA($AK$17:$BB$17)),MATCH($F763,$F$19:$F$24,0),MATCH(AW$17,$AK$17:$BB$17,0))*INDEX($10:$13,MATCH($O763,$R$10:$R$13,0),COLUMN())</f>
        <v>0.83153264790000003</v>
      </c>
      <c r="AX763" s="1050" cm="1">
        <f t="array" aca="1" ref="AX763" ca="1">INDEX(OFFSET($AK$19,MATCH($B763,$B$19:$B$150,0)-1,0,COUNTA($B$19:$B$24),COUNTA($AK$17:$BB$17)),MATCH($F763,$F$19:$F$24,0),MATCH(AX$17,$AK$17:$BB$17,0))*INDEX($10:$13,MATCH($O763,$R$10:$R$13,0),COLUMN())</f>
        <v>2.4573669300000005E-7</v>
      </c>
      <c r="AY763" s="1050" cm="1">
        <f t="array" aca="1" ref="AY763" ca="1">INDEX(OFFSET($AK$19,MATCH($B763,$B$19:$B$150,0)-1,0,COUNTA($B$19:$B$24),COUNTA($AK$17:$BB$17)),MATCH($F763,$F$19:$F$24,0),MATCH(AY$17,$AK$17:$BB$17,0))*INDEX($10:$13,MATCH($O763,$R$10:$R$13,0),COLUMN())</f>
        <v>-1.5758092069999999E-10</v>
      </c>
      <c r="AZ763" s="1050" cm="1">
        <f t="array" aca="1" ref="AZ763" ca="1">INDEX(OFFSET($AK$19,MATCH($B763,$B$19:$B$150,0)-1,0,COUNTA($B$19:$B$24),COUNTA($AK$17:$BB$17)),MATCH($F763,$F$19:$F$24,0),MATCH(AZ$17,$AK$17:$BB$17,0))*INDEX($10:$13,MATCH($O763,$R$10:$R$13,0),COLUMN())</f>
        <v>7.7891173864168603E-6</v>
      </c>
      <c r="BA763" s="1050" cm="1">
        <f t="array" aca="1" ref="BA763" ca="1">INDEX(OFFSET($AK$19,MATCH($B763,$B$19:$B$150,0)-1,0,COUNTA($B$19:$B$24),COUNTA($AK$17:$BB$17)),MATCH($F763,$F$19:$F$24,0),MATCH(BA$17,$AK$17:$BB$17,0))*INDEX($10:$13,MATCH($O763,$R$10:$R$13,0),COLUMN())</f>
        <v>2.2809314636E-2</v>
      </c>
      <c r="BB763" s="1051" cm="1">
        <f t="array" aca="1" ref="BB763" ca="1">INDEX(OFFSET($AK$19,MATCH($B763,$B$19:$B$150,0)-1,0,COUNTA($B$19:$B$24),COUNTA($AK$17:$BB$17)),MATCH($F763,$F$19:$F$24,0),MATCH(BB$17,$AK$17:$BB$17,0))*INDEX($10:$13,MATCH($O763,$R$10:$R$13,0),COLUMN())</f>
        <v>2.9833603020000001E-4</v>
      </c>
      <c r="BC763" s="1053">
        <f t="shared" ca="1" si="200"/>
        <v>0.83153289347911208</v>
      </c>
      <c r="BE763" s="1"/>
      <c r="BF763" s="1"/>
      <c r="BG763" s="1"/>
      <c r="BH763" s="1"/>
      <c r="BI763" s="1"/>
      <c r="BJ763" s="1"/>
      <c r="BK763" s="1"/>
      <c r="BL763" s="1"/>
      <c r="BM763" s="1"/>
      <c r="BN763" s="1"/>
      <c r="BO763" s="1"/>
      <c r="BP763" s="1"/>
      <c r="BQ763" s="1"/>
      <c r="BR763" s="1"/>
      <c r="BS763" s="1"/>
      <c r="BT763" s="1"/>
      <c r="BU763" s="1"/>
      <c r="BV763" s="1"/>
      <c r="BW763" s="1"/>
      <c r="BX763" s="1"/>
      <c r="BY763" s="1"/>
      <c r="BZ763" s="1"/>
    </row>
    <row r="764" spans="2:78" ht="12" customHeight="1" outlineLevel="1" x14ac:dyDescent="0.25">
      <c r="B764" s="104" t="s">
        <v>109</v>
      </c>
      <c r="C764" s="104" t="s">
        <v>121</v>
      </c>
      <c r="D764" s="2" t="s">
        <v>143</v>
      </c>
      <c r="E764" s="2" t="s">
        <v>146</v>
      </c>
      <c r="F764" s="105" t="s">
        <v>96</v>
      </c>
      <c r="G764" s="27" t="s">
        <v>1582</v>
      </c>
      <c r="H764" s="106" t="s">
        <v>128</v>
      </c>
      <c r="I764" s="107" t="s">
        <v>1577</v>
      </c>
      <c r="J764" s="147">
        <v>6.4197011599999998</v>
      </c>
      <c r="K764" s="148">
        <v>0.91249000000000002</v>
      </c>
      <c r="L764" s="149">
        <f t="shared" ca="1" si="197"/>
        <v>2.041791723063382</v>
      </c>
      <c r="M764" s="148">
        <f t="shared" ca="1" si="198"/>
        <v>2.7756045293781053</v>
      </c>
      <c r="N764" s="148">
        <f t="shared" ca="1" si="199"/>
        <v>1.8631145293781055</v>
      </c>
      <c r="O764" s="1062" t="s">
        <v>1586</v>
      </c>
      <c r="P764" s="104"/>
      <c r="R764" s="119"/>
      <c r="S764" s="1072"/>
      <c r="T764" s="1072"/>
      <c r="U764" s="1072"/>
      <c r="V764" s="1072"/>
      <c r="W764" s="1072"/>
      <c r="X764" s="1072"/>
      <c r="Y764" s="1072"/>
      <c r="Z764" s="1072"/>
      <c r="AA764" s="1072"/>
      <c r="AB764" s="1072"/>
      <c r="AC764" s="1072"/>
      <c r="AD764" s="1072"/>
      <c r="AE764" s="1072"/>
      <c r="AF764" s="1072"/>
      <c r="AG764" s="1072"/>
      <c r="AH764" s="1072"/>
      <c r="AI764" s="1072"/>
      <c r="AJ764" s="1073"/>
      <c r="AK764" s="1052" cm="1">
        <f t="array" aca="1" ref="AK764" ca="1">INDEX(OFFSET($AK$19,MATCH($B764,$B$19:$B$150,0)-1,0,COUNTA($B$19:$B$24),COUNTA($AK$17:$BB$17)),MATCH($F764,$F$19:$F$24,0),MATCH(AK$17,$AK$17:$BB$17,0))*INDEX($10:$13,MATCH($O764,$R$10:$R$13,0),COLUMN())</f>
        <v>7.5242105199999992E-2</v>
      </c>
      <c r="AL764" s="1050" cm="1">
        <f t="array" aca="1" ref="AL764" ca="1">INDEX(OFFSET($AK$19,MATCH($B764,$B$19:$B$150,0)-1,0,COUNTA($B$19:$B$24),COUNTA($AK$17:$BB$17)),MATCH($F764,$F$19:$F$24,0),MATCH(AL$17,$AK$17:$BB$17,0))*INDEX($10:$13,MATCH($O764,$R$10:$R$13,0),COLUMN())</f>
        <v>7.6616763960000002E-8</v>
      </c>
      <c r="AM764" s="1050" cm="1">
        <f t="array" aca="1" ref="AM764" ca="1">INDEX(OFFSET($AK$19,MATCH($B764,$B$19:$B$150,0)-1,0,COUNTA($B$19:$B$24),COUNTA($AK$17:$BB$17)),MATCH($F764,$F$19:$F$24,0),MATCH(AM$17,$AK$17:$BB$17,0))*INDEX($10:$13,MATCH($O764,$R$10:$R$13,0),COLUMN())</f>
        <v>0</v>
      </c>
      <c r="AN764" s="1050" cm="1">
        <f t="array" aca="1" ref="AN764" ca="1">INDEX(OFFSET($AK$19,MATCH($B764,$B$19:$B$150,0)-1,0,COUNTA($B$19:$B$24),COUNTA($AK$17:$BB$17)),MATCH($F764,$F$19:$F$24,0),MATCH(AN$17,$AK$17:$BB$17,0))*INDEX($10:$13,MATCH($O764,$R$10:$R$13,0),COLUMN())</f>
        <v>3.3007035480000003E-3</v>
      </c>
      <c r="AO764" s="1050" cm="1">
        <f t="array" aca="1" ref="AO764" ca="1">INDEX(OFFSET($AK$19,MATCH($B764,$B$19:$B$150,0)-1,0,COUNTA($B$19:$B$24),COUNTA($AK$17:$BB$17)),MATCH($F764,$F$19:$F$24,0),MATCH(AO$17,$AK$17:$BB$17,0))*INDEX($10:$13,MATCH($O764,$R$10:$R$13,0),COLUMN())</f>
        <v>6.2034012082191788E-2</v>
      </c>
      <c r="AP764" s="1050" cm="1">
        <f t="array" aca="1" ref="AP764" ca="1">INDEX(OFFSET($AK$19,MATCH($B764,$B$19:$B$150,0)-1,0,COUNTA($B$19:$B$24),COUNTA($AK$17:$BB$17)),MATCH($F764,$F$19:$F$24,0),MATCH(AP$17,$AK$17:$BB$17,0))*INDEX($10:$13,MATCH($O764,$R$10:$R$13,0),COLUMN())</f>
        <v>4.2910553279999999E-2</v>
      </c>
      <c r="AQ764" s="1050" cm="1">
        <f t="array" aca="1" ref="AQ764" ca="1">INDEX(OFFSET($AK$19,MATCH($B764,$B$19:$B$150,0)-1,0,COUNTA($B$19:$B$24),COUNTA($AK$17:$BB$17)),MATCH($F764,$F$19:$F$24,0),MATCH(AQ$17,$AK$17:$BB$17,0))*INDEX($10:$13,MATCH($O764,$R$10:$R$13,0),COLUMN())</f>
        <v>8.05329288E-2</v>
      </c>
      <c r="AR764" s="1050" cm="1">
        <f t="array" aca="1" ref="AR764" ca="1">INDEX(OFFSET($AK$19,MATCH($B764,$B$19:$B$150,0)-1,0,COUNTA($B$19:$B$24),COUNTA($AK$17:$BB$17)),MATCH($F764,$F$19:$F$24,0),MATCH(AR$17,$AK$17:$BB$17,0))*INDEX($10:$13,MATCH($O764,$R$10:$R$13,0),COLUMN())</f>
        <v>0.73419894499999994</v>
      </c>
      <c r="AS764" s="1050" cm="1">
        <f t="array" aca="1" ref="AS764" ca="1">INDEX(OFFSET($AK$19,MATCH($B764,$B$19:$B$150,0)-1,0,COUNTA($B$19:$B$24),COUNTA($AK$17:$BB$17)),MATCH($F764,$F$19:$F$24,0),MATCH(AS$17,$AK$17:$BB$17,0))*INDEX($10:$13,MATCH($O764,$R$10:$R$13,0),COLUMN())</f>
        <v>5.2524919766000003E-3</v>
      </c>
      <c r="AT764" s="1050" cm="1">
        <f t="array" aca="1" ref="AT764" ca="1">INDEX(OFFSET($AK$19,MATCH($B764,$B$19:$B$150,0)-1,0,COUNTA($B$19:$B$24),COUNTA($AK$17:$BB$17)),MATCH($F764,$F$19:$F$24,0),MATCH(AT$17,$AK$17:$BB$17,0))*INDEX($10:$13,MATCH($O764,$R$10:$R$13,0),COLUMN())</f>
        <v>8.9862497880000002E-6</v>
      </c>
      <c r="AU764" s="1050" cm="1">
        <f t="array" aca="1" ref="AU764" ca="1">INDEX(OFFSET($AK$19,MATCH($B764,$B$19:$B$150,0)-1,0,COUNTA($B$19:$B$24),COUNTA($AK$17:$BB$17)),MATCH($F764,$F$19:$F$24,0),MATCH(AU$17,$AK$17:$BB$17,0))*INDEX($10:$13,MATCH($O764,$R$10:$R$13,0),COLUMN())</f>
        <v>1.7036803992E-6</v>
      </c>
      <c r="AV764" s="1050" cm="1">
        <f t="array" aca="1" ref="AV764" ca="1">INDEX(OFFSET($AK$19,MATCH($B764,$B$19:$B$150,0)-1,0,COUNTA($B$19:$B$24),COUNTA($AK$17:$BB$17)),MATCH($F764,$F$19:$F$24,0),MATCH(AV$17,$AK$17:$BB$17,0))*INDEX($10:$13,MATCH($O764,$R$10:$R$13,0),COLUMN())</f>
        <v>4.1678762342499788E-3</v>
      </c>
      <c r="AW764" s="1050" cm="1">
        <f t="array" aca="1" ref="AW764" ca="1">INDEX(OFFSET($AK$19,MATCH($B764,$B$19:$B$150,0)-1,0,COUNTA($B$19:$B$24),COUNTA($AK$17:$BB$17)),MATCH($F764,$F$19:$F$24,0),MATCH(AW$17,$AK$17:$BB$17,0))*INDEX($10:$13,MATCH($O764,$R$10:$R$13,0),COLUMN())</f>
        <v>0.83153264790000003</v>
      </c>
      <c r="AX764" s="1050" cm="1">
        <f t="array" aca="1" ref="AX764" ca="1">INDEX(OFFSET($AK$19,MATCH($B764,$B$19:$B$150,0)-1,0,COUNTA($B$19:$B$24),COUNTA($AK$17:$BB$17)),MATCH($F764,$F$19:$F$24,0),MATCH(AX$17,$AK$17:$BB$17,0))*INDEX($10:$13,MATCH($O764,$R$10:$R$13,0),COLUMN())</f>
        <v>2.4573669300000005E-7</v>
      </c>
      <c r="AY764" s="1050" cm="1">
        <f t="array" aca="1" ref="AY764" ca="1">INDEX(OFFSET($AK$19,MATCH($B764,$B$19:$B$150,0)-1,0,COUNTA($B$19:$B$24),COUNTA($AK$17:$BB$17)),MATCH($F764,$F$19:$F$24,0),MATCH(AY$17,$AK$17:$BB$17,0))*INDEX($10:$13,MATCH($O764,$R$10:$R$13,0),COLUMN())</f>
        <v>-1.5758092069999999E-10</v>
      </c>
      <c r="AZ764" s="1050" cm="1">
        <f t="array" aca="1" ref="AZ764" ca="1">INDEX(OFFSET($AK$19,MATCH($B764,$B$19:$B$150,0)-1,0,COUNTA($B$19:$B$24),COUNTA($AK$17:$BB$17)),MATCH($F764,$F$19:$F$24,0),MATCH(AZ$17,$AK$17:$BB$17,0))*INDEX($10:$13,MATCH($O764,$R$10:$R$13,0),COLUMN())</f>
        <v>7.7963077002341917E-6</v>
      </c>
      <c r="BA764" s="1050" cm="1">
        <f t="array" aca="1" ref="BA764" ca="1">INDEX(OFFSET($AK$19,MATCH($B764,$B$19:$B$150,0)-1,0,COUNTA($B$19:$B$24),COUNTA($AK$17:$BB$17)),MATCH($F764,$F$19:$F$24,0),MATCH(BA$17,$AK$17:$BB$17,0))*INDEX($10:$13,MATCH($O764,$R$10:$R$13,0),COLUMN())</f>
        <v>2.3624454231999999E-2</v>
      </c>
      <c r="BB764" s="1051" cm="1">
        <f t="array" aca="1" ref="BB764" ca="1">INDEX(OFFSET($AK$19,MATCH($B764,$B$19:$B$150,0)-1,0,COUNTA($B$19:$B$24),COUNTA($AK$17:$BB$17)),MATCH($F764,$F$19:$F$24,0),MATCH(BB$17,$AK$17:$BB$17,0))*INDEX($10:$13,MATCH($O764,$R$10:$R$13,0),COLUMN())</f>
        <v>2.9900269130000003E-4</v>
      </c>
      <c r="BC764" s="1053">
        <f t="shared" ca="1" si="200"/>
        <v>0.83153289347911208</v>
      </c>
      <c r="BE764" s="1"/>
      <c r="BF764" s="1"/>
      <c r="BG764" s="1"/>
      <c r="BH764" s="1"/>
      <c r="BI764" s="1"/>
      <c r="BJ764" s="1"/>
      <c r="BK764" s="1"/>
      <c r="BL764" s="1"/>
      <c r="BM764" s="1"/>
      <c r="BN764" s="1"/>
      <c r="BO764" s="1"/>
      <c r="BP764" s="1"/>
      <c r="BQ764" s="1"/>
      <c r="BR764" s="1"/>
      <c r="BS764" s="1"/>
      <c r="BT764" s="1"/>
      <c r="BU764" s="1"/>
      <c r="BV764" s="1"/>
      <c r="BW764" s="1"/>
      <c r="BX764" s="1"/>
      <c r="BY764" s="1"/>
      <c r="BZ764" s="1"/>
    </row>
    <row r="765" spans="2:78" ht="12" customHeight="1" outlineLevel="1" x14ac:dyDescent="0.25">
      <c r="B765" s="88" t="s">
        <v>110</v>
      </c>
      <c r="C765" s="88" t="s">
        <v>121</v>
      </c>
      <c r="D765" s="89" t="s">
        <v>143</v>
      </c>
      <c r="E765" s="89" t="s">
        <v>147</v>
      </c>
      <c r="F765" s="90" t="s">
        <v>92</v>
      </c>
      <c r="G765" s="18" t="s">
        <v>126</v>
      </c>
      <c r="H765" s="91" t="s">
        <v>127</v>
      </c>
      <c r="I765" s="92" t="s">
        <v>127</v>
      </c>
      <c r="J765" s="142">
        <v>6.3623397199999996</v>
      </c>
      <c r="K765" s="143">
        <v>0.29699999999999999</v>
      </c>
      <c r="L765" s="144">
        <f t="shared" ca="1" si="197"/>
        <v>10.259691846990776</v>
      </c>
      <c r="M765" s="143">
        <f t="shared" ca="1" si="198"/>
        <v>3.3441284785562608</v>
      </c>
      <c r="N765" s="143">
        <f t="shared" ca="1" si="199"/>
        <v>3.0471284785562607</v>
      </c>
      <c r="O765" s="1063" t="s">
        <v>1586</v>
      </c>
      <c r="P765" s="88"/>
      <c r="Q765" s="89"/>
      <c r="R765" s="150"/>
      <c r="S765" s="1070"/>
      <c r="T765" s="1070"/>
      <c r="U765" s="1070"/>
      <c r="V765" s="1070"/>
      <c r="W765" s="1070"/>
      <c r="X765" s="1070"/>
      <c r="Y765" s="1070"/>
      <c r="Z765" s="1070"/>
      <c r="AA765" s="1070"/>
      <c r="AB765" s="1070"/>
      <c r="AC765" s="1070"/>
      <c r="AD765" s="1070"/>
      <c r="AE765" s="1070"/>
      <c r="AF765" s="1070"/>
      <c r="AG765" s="1070"/>
      <c r="AH765" s="1070"/>
      <c r="AI765" s="1070"/>
      <c r="AJ765" s="1071"/>
      <c r="AK765" s="1048" cm="1">
        <f t="array" aca="1" ref="AK765" ca="1">INDEX(OFFSET($AK$19,MATCH($B765,$B$19:$B$150,0)-1,0,COUNTA($B$19:$B$24),COUNTA($AK$17:$BB$17)),MATCH($F765,$F$19:$F$24,0),MATCH(AK$17,$AK$17:$BB$17,0))*INDEX($10:$13,MATCH($O765,$R$10:$R$13,0),COLUMN())</f>
        <v>0.12734959456</v>
      </c>
      <c r="AL765" s="1046" cm="1">
        <f t="array" aca="1" ref="AL765" ca="1">INDEX(OFFSET($AK$19,MATCH($B765,$B$19:$B$150,0)-1,0,COUNTA($B$19:$B$24),COUNTA($AK$17:$BB$17)),MATCH($F765,$F$19:$F$24,0),MATCH(AL$17,$AK$17:$BB$17,0))*INDEX($10:$13,MATCH($O765,$R$10:$R$13,0),COLUMN())</f>
        <v>2.9903935494E-7</v>
      </c>
      <c r="AM765" s="1046" cm="1">
        <f t="array" aca="1" ref="AM765" ca="1">INDEX(OFFSET($AK$19,MATCH($B765,$B$19:$B$150,0)-1,0,COUNTA($B$19:$B$24),COUNTA($AK$17:$BB$17)),MATCH($F765,$F$19:$F$24,0),MATCH(AM$17,$AK$17:$BB$17,0))*INDEX($10:$13,MATCH($O765,$R$10:$R$13,0),COLUMN())</f>
        <v>0</v>
      </c>
      <c r="AN765" s="1046" cm="1">
        <f t="array" aca="1" ref="AN765" ca="1">INDEX(OFFSET($AK$19,MATCH($B765,$B$19:$B$150,0)-1,0,COUNTA($B$19:$B$24),COUNTA($AK$17:$BB$17)),MATCH($F765,$F$19:$F$24,0),MATCH(AN$17,$AK$17:$BB$17,0))*INDEX($10:$13,MATCH($O765,$R$10:$R$13,0),COLUMN())</f>
        <v>3.9945423480000006E-3</v>
      </c>
      <c r="AO765" s="1046" cm="1">
        <f t="array" aca="1" ref="AO765" ca="1">INDEX(OFFSET($AK$19,MATCH($B765,$B$19:$B$150,0)-1,0,COUNTA($B$19:$B$24),COUNTA($AK$17:$BB$17)),MATCH($F765,$F$19:$F$24,0),MATCH(AO$17,$AK$17:$BB$17,0))*INDEX($10:$13,MATCH($O765,$R$10:$R$13,0),COLUMN())</f>
        <v>7.6294721136986293E-2</v>
      </c>
      <c r="AP765" s="1046" cm="1">
        <f t="array" aca="1" ref="AP765" ca="1">INDEX(OFFSET($AK$19,MATCH($B765,$B$19:$B$150,0)-1,0,COUNTA($B$19:$B$24),COUNTA($AK$17:$BB$17)),MATCH($F765,$F$19:$F$24,0),MATCH(AP$17,$AK$17:$BB$17,0))*INDEX($10:$13,MATCH($O765,$R$10:$R$13,0),COLUMN())</f>
        <v>5.2143715680000001E-2</v>
      </c>
      <c r="AQ765" s="1046" cm="1">
        <f t="array" aca="1" ref="AQ765" ca="1">INDEX(OFFSET($AK$19,MATCH($B765,$B$19:$B$150,0)-1,0,COUNTA($B$19:$B$24),COUNTA($AK$17:$BB$17)),MATCH($F765,$F$19:$F$24,0),MATCH(AQ$17,$AK$17:$BB$17,0))*INDEX($10:$13,MATCH($O765,$R$10:$R$13,0),COLUMN())</f>
        <v>0.14289143647999999</v>
      </c>
      <c r="AR765" s="1046" cm="1">
        <f t="array" aca="1" ref="AR765" ca="1">INDEX(OFFSET($AK$19,MATCH($B765,$B$19:$B$150,0)-1,0,COUNTA($B$19:$B$24),COUNTA($AK$17:$BB$17)),MATCH($F765,$F$19:$F$24,0),MATCH(AR$17,$AK$17:$BB$17,0))*INDEX($10:$13,MATCH($O765,$R$10:$R$13,0),COLUMN())</f>
        <v>1.0019325168</v>
      </c>
      <c r="AS765" s="1046" cm="1">
        <f t="array" aca="1" ref="AS765" ca="1">INDEX(OFFSET($AK$19,MATCH($B765,$B$19:$B$150,0)-1,0,COUNTA($B$19:$B$24),COUNTA($AK$17:$BB$17)),MATCH($F765,$F$19:$F$24,0),MATCH(AS$17,$AK$17:$BB$17,0))*INDEX($10:$13,MATCH($O765,$R$10:$R$13,0),COLUMN())</f>
        <v>0.46130483669999994</v>
      </c>
      <c r="AT765" s="1046" cm="1">
        <f t="array" aca="1" ref="AT765" ca="1">INDEX(OFFSET($AK$19,MATCH($B765,$B$19:$B$150,0)-1,0,COUNTA($B$19:$B$24),COUNTA($AK$17:$BB$17)),MATCH($F765,$F$19:$F$24,0),MATCH(AT$17,$AK$17:$BB$17,0))*INDEX($10:$13,MATCH($O765,$R$10:$R$13,0),COLUMN())</f>
        <v>5.1770938899999995E-4</v>
      </c>
      <c r="AU765" s="1046" cm="1">
        <f t="array" aca="1" ref="AU765" ca="1">INDEX(OFFSET($AK$19,MATCH($B765,$B$19:$B$150,0)-1,0,COUNTA($B$19:$B$24),COUNTA($AK$17:$BB$17)),MATCH($F765,$F$19:$F$24,0),MATCH(AU$17,$AK$17:$BB$17,0))*INDEX($10:$13,MATCH($O765,$R$10:$R$13,0),COLUMN())</f>
        <v>3.6715410899999996E-5</v>
      </c>
      <c r="AV765" s="1046" cm="1">
        <f t="array" aca="1" ref="AV765" ca="1">INDEX(OFFSET($AK$19,MATCH($B765,$B$19:$B$150,0)-1,0,COUNTA($B$19:$B$24),COUNTA($AK$17:$BB$17)),MATCH($F765,$F$19:$F$24,0),MATCH(AV$17,$AK$17:$BB$17,0))*INDEX($10:$13,MATCH($O765,$R$10:$R$13,0),COLUMN())</f>
        <v>7.09518132830837E-3</v>
      </c>
      <c r="AW765" s="1046" cm="1">
        <f t="array" aca="1" ref="AW765" ca="1">INDEX(OFFSET($AK$19,MATCH($B765,$B$19:$B$150,0)-1,0,COUNTA($B$19:$B$24),COUNTA($AK$17:$BB$17)),MATCH($F765,$F$19:$F$24,0),MATCH(AW$17,$AK$17:$BB$17,0))*INDEX($10:$13,MATCH($O765,$R$10:$R$13,0),COLUMN())</f>
        <v>1.1274211726000001</v>
      </c>
      <c r="AX765" s="1046" cm="1">
        <f t="array" aca="1" ref="AX765" ca="1">INDEX(OFFSET($AK$19,MATCH($B765,$B$19:$B$150,0)-1,0,COUNTA($B$19:$B$24),COUNTA($AK$17:$BB$17)),MATCH($F765,$F$19:$F$24,0),MATCH(AX$17,$AK$17:$BB$17,0))*INDEX($10:$13,MATCH($O765,$R$10:$R$13,0),COLUMN())</f>
        <v>1.4215842368E-6</v>
      </c>
      <c r="AY765" s="1046" cm="1">
        <f t="array" aca="1" ref="AY765" ca="1">INDEX(OFFSET($AK$19,MATCH($B765,$B$19:$B$150,0)-1,0,COUNTA($B$19:$B$24),COUNTA($AK$17:$BB$17)),MATCH($F765,$F$19:$F$24,0),MATCH(AY$17,$AK$17:$BB$17,0))*INDEX($10:$13,MATCH($O765,$R$10:$R$13,0),COLUMN())</f>
        <v>-9.2072864400000011E-10</v>
      </c>
      <c r="AZ765" s="1046" cm="1">
        <f t="array" aca="1" ref="AZ765" ca="1">INDEX(OFFSET($AK$19,MATCH($B765,$B$19:$B$150,0)-1,0,COUNTA($B$19:$B$24),COUNTA($AK$17:$BB$17)),MATCH($F765,$F$19:$F$24,0),MATCH(AZ$17,$AK$17:$BB$17,0))*INDEX($10:$13,MATCH($O765,$R$10:$R$13,0),COLUMN())</f>
        <v>9.9235564028103032E-6</v>
      </c>
      <c r="BA765" s="1046" cm="1">
        <f t="array" aca="1" ref="BA765" ca="1">INDEX(OFFSET($AK$19,MATCH($B765,$B$19:$B$150,0)-1,0,COUNTA($B$19:$B$24),COUNTA($AK$17:$BB$17)),MATCH($F765,$F$19:$F$24,0),MATCH(BA$17,$AK$17:$BB$17,0))*INDEX($10:$13,MATCH($O765,$R$10:$R$13,0),COLUMN())</f>
        <v>4.5543746699999998E-2</v>
      </c>
      <c r="BB765" s="1047" cm="1">
        <f t="array" aca="1" ref="BB765" ca="1">INDEX(OFFSET($AK$19,MATCH($B765,$B$19:$B$150,0)-1,0,COUNTA($B$19:$B$24),COUNTA($AK$17:$BB$17)),MATCH($F765,$F$19:$F$24,0),MATCH(BB$17,$AK$17:$BB$17,0))*INDEX($10:$13,MATCH($O765,$R$10:$R$13,0),COLUMN())</f>
        <v>5.909461638E-4</v>
      </c>
      <c r="BC765" s="1049">
        <f t="shared" ca="1" si="200"/>
        <v>1.1274225932635082</v>
      </c>
      <c r="BE765" s="1"/>
      <c r="BF765" s="1"/>
      <c r="BG765" s="1"/>
      <c r="BH765" s="1"/>
      <c r="BI765" s="1"/>
      <c r="BJ765" s="1"/>
      <c r="BK765" s="1"/>
      <c r="BL765" s="1"/>
      <c r="BM765" s="1"/>
      <c r="BN765" s="1"/>
      <c r="BO765" s="1"/>
      <c r="BP765" s="1"/>
      <c r="BQ765" s="1"/>
      <c r="BR765" s="1"/>
      <c r="BS765" s="1"/>
      <c r="BT765" s="1"/>
      <c r="BU765" s="1"/>
      <c r="BV765" s="1"/>
      <c r="BW765" s="1"/>
      <c r="BX765" s="1"/>
      <c r="BY765" s="1"/>
      <c r="BZ765" s="1"/>
    </row>
    <row r="766" spans="2:78" ht="12" customHeight="1" outlineLevel="1" x14ac:dyDescent="0.25">
      <c r="B766" s="104" t="s">
        <v>110</v>
      </c>
      <c r="C766" s="104" t="s">
        <v>121</v>
      </c>
      <c r="D766" s="2" t="s">
        <v>143</v>
      </c>
      <c r="E766" s="2" t="s">
        <v>147</v>
      </c>
      <c r="F766" s="105" t="s">
        <v>122</v>
      </c>
      <c r="G766" s="27" t="s">
        <v>1579</v>
      </c>
      <c r="H766" s="106" t="s">
        <v>128</v>
      </c>
      <c r="I766" s="107" t="s">
        <v>129</v>
      </c>
      <c r="J766" s="147">
        <v>6.3623397199999996</v>
      </c>
      <c r="K766" s="148">
        <v>0.72726000000000002</v>
      </c>
      <c r="L766" s="149">
        <f t="shared" ca="1" si="197"/>
        <v>3.4266385567359028</v>
      </c>
      <c r="M766" s="148">
        <f t="shared" ca="1" si="198"/>
        <v>3.2193171567717531</v>
      </c>
      <c r="N766" s="148">
        <f t="shared" ca="1" si="199"/>
        <v>2.4920571567717529</v>
      </c>
      <c r="O766" s="1062" t="s">
        <v>1586</v>
      </c>
      <c r="P766" s="104"/>
      <c r="R766" s="119"/>
      <c r="S766" s="1072"/>
      <c r="T766" s="1072"/>
      <c r="U766" s="1072"/>
      <c r="V766" s="1072"/>
      <c r="W766" s="1072"/>
      <c r="X766" s="1072"/>
      <c r="Y766" s="1072"/>
      <c r="Z766" s="1072"/>
      <c r="AA766" s="1072"/>
      <c r="AB766" s="1072"/>
      <c r="AC766" s="1072"/>
      <c r="AD766" s="1072"/>
      <c r="AE766" s="1072"/>
      <c r="AF766" s="1072"/>
      <c r="AG766" s="1072"/>
      <c r="AH766" s="1072"/>
      <c r="AI766" s="1072"/>
      <c r="AJ766" s="1073"/>
      <c r="AK766" s="1052" cm="1">
        <f t="array" aca="1" ref="AK766" ca="1">INDEX(OFFSET($AK$19,MATCH($B766,$B$19:$B$150,0)-1,0,COUNTA($B$19:$B$24),COUNTA($AK$17:$BB$17)),MATCH($F766,$F$19:$F$24,0),MATCH(AK$17,$AK$17:$BB$17,0))*INDEX($10:$13,MATCH($O766,$R$10:$R$13,0),COLUMN())</f>
        <v>9.1085676239999996E-2</v>
      </c>
      <c r="AL766" s="1050" cm="1">
        <f t="array" aca="1" ref="AL766" ca="1">INDEX(OFFSET($AK$19,MATCH($B766,$B$19:$B$150,0)-1,0,COUNTA($B$19:$B$24),COUNTA($AK$17:$BB$17)),MATCH($F766,$F$19:$F$24,0),MATCH(AL$17,$AK$17:$BB$17,0))*INDEX($10:$13,MATCH($O766,$R$10:$R$13,0),COLUMN())</f>
        <v>1.3636534830000002E-7</v>
      </c>
      <c r="AM766" s="1050" cm="1">
        <f t="array" aca="1" ref="AM766" ca="1">INDEX(OFFSET($AK$19,MATCH($B766,$B$19:$B$150,0)-1,0,COUNTA($B$19:$B$24),COUNTA($AK$17:$BB$17)),MATCH($F766,$F$19:$F$24,0),MATCH(AM$17,$AK$17:$BB$17,0))*INDEX($10:$13,MATCH($O766,$R$10:$R$13,0),COLUMN())</f>
        <v>0</v>
      </c>
      <c r="AN766" s="1050" cm="1">
        <f t="array" aca="1" ref="AN766" ca="1">INDEX(OFFSET($AK$19,MATCH($B766,$B$19:$B$150,0)-1,0,COUNTA($B$19:$B$24),COUNTA($AK$17:$BB$17)),MATCH($F766,$F$19:$F$24,0),MATCH(AN$17,$AK$17:$BB$17,0))*INDEX($10:$13,MATCH($O766,$R$10:$R$13,0),COLUMN())</f>
        <v>5.1658458720000005E-3</v>
      </c>
      <c r="AO766" s="1050" cm="1">
        <f t="array" aca="1" ref="AO766" ca="1">INDEX(OFFSET($AK$19,MATCH($B766,$B$19:$B$150,0)-1,0,COUNTA($B$19:$B$24),COUNTA($AK$17:$BB$17)),MATCH($F766,$F$19:$F$24,0),MATCH(AO$17,$AK$17:$BB$17,0))*INDEX($10:$13,MATCH($O766,$R$10:$R$13,0),COLUMN())</f>
        <v>3.4409962520547947E-2</v>
      </c>
      <c r="AP766" s="1050" cm="1">
        <f t="array" aca="1" ref="AP766" ca="1">INDEX(OFFSET($AK$19,MATCH($B766,$B$19:$B$150,0)-1,0,COUNTA($B$19:$B$24),COUNTA($AK$17:$BB$17)),MATCH($F766,$F$19:$F$24,0),MATCH(AP$17,$AK$17:$BB$17,0))*INDEX($10:$13,MATCH($O766,$R$10:$R$13,0),COLUMN())</f>
        <v>1.583370768E-2</v>
      </c>
      <c r="AQ766" s="1050" cm="1">
        <f t="array" aca="1" ref="AQ766" ca="1">INDEX(OFFSET($AK$19,MATCH($B766,$B$19:$B$150,0)-1,0,COUNTA($B$19:$B$24),COUNTA($AK$17:$BB$17)),MATCH($F766,$F$19:$F$24,0),MATCH(AQ$17,$AK$17:$BB$17,0))*INDEX($10:$13,MATCH($O766,$R$10:$R$13,0),COLUMN())</f>
        <v>2.6071573823999997E-2</v>
      </c>
      <c r="AR766" s="1050" cm="1">
        <f t="array" aca="1" ref="AR766" ca="1">INDEX(OFFSET($AK$19,MATCH($B766,$B$19:$B$150,0)-1,0,COUNTA($B$19:$B$24),COUNTA($AK$17:$BB$17)),MATCH($F766,$F$19:$F$24,0),MATCH(AR$17,$AK$17:$BB$17,0))*INDEX($10:$13,MATCH($O766,$R$10:$R$13,0),COLUMN())</f>
        <v>0.64512492479999994</v>
      </c>
      <c r="AS766" s="1050" cm="1">
        <f t="array" aca="1" ref="AS766" ca="1">INDEX(OFFSET($AK$19,MATCH($B766,$B$19:$B$150,0)-1,0,COUNTA($B$19:$B$24),COUNTA($AK$17:$BB$17)),MATCH($F766,$F$19:$F$24,0),MATCH(AS$17,$AK$17:$BB$17,0))*INDEX($10:$13,MATCH($O766,$R$10:$R$13,0),COLUMN())</f>
        <v>5.9777444139999991E-4</v>
      </c>
      <c r="AT766" s="1050" cm="1">
        <f t="array" aca="1" ref="AT766" ca="1">INDEX(OFFSET($AK$19,MATCH($B766,$B$19:$B$150,0)-1,0,COUNTA($B$19:$B$24),COUNTA($AK$17:$BB$17)),MATCH($F766,$F$19:$F$24,0),MATCH(AT$17,$AK$17:$BB$17,0))*INDEX($10:$13,MATCH($O766,$R$10:$R$13,0),COLUMN())</f>
        <v>1.1357978702E-5</v>
      </c>
      <c r="AU766" s="1050" cm="1">
        <f t="array" aca="1" ref="AU766" ca="1">INDEX(OFFSET($AK$19,MATCH($B766,$B$19:$B$150,0)-1,0,COUNTA($B$19:$B$24),COUNTA($AK$17:$BB$17)),MATCH($F766,$F$19:$F$24,0),MATCH(AU$17,$AK$17:$BB$17,0))*INDEX($10:$13,MATCH($O766,$R$10:$R$13,0),COLUMN())</f>
        <v>2.3500941234E-6</v>
      </c>
      <c r="AV766" s="1050" cm="1">
        <f t="array" aca="1" ref="AV766" ca="1">INDEX(OFFSET($AK$19,MATCH($B766,$B$19:$B$150,0)-1,0,COUNTA($B$19:$B$24),COUNTA($AK$17:$BB$17)),MATCH($F766,$F$19:$F$24,0),MATCH(AV$17,$AK$17:$BB$17,0))*INDEX($10:$13,MATCH($O766,$R$10:$R$13,0),COLUMN())</f>
        <v>1.3225315191356978E-3</v>
      </c>
      <c r="AW766" s="1050" cm="1">
        <f t="array" aca="1" ref="AW766" ca="1">INDEX(OFFSET($AK$19,MATCH($B766,$B$19:$B$150,0)-1,0,COUNTA($B$19:$B$24),COUNTA($AK$17:$BB$17)),MATCH($F766,$F$19:$F$24,0),MATCH(AW$17,$AK$17:$BB$17,0))*INDEX($10:$13,MATCH($O766,$R$10:$R$13,0),COLUMN())</f>
        <v>1.6341595842000001</v>
      </c>
      <c r="AX766" s="1050" cm="1">
        <f t="array" aca="1" ref="AX766" ca="1">INDEX(OFFSET($AK$19,MATCH($B766,$B$19:$B$150,0)-1,0,COUNTA($B$19:$B$24),COUNTA($AK$17:$BB$17)),MATCH($F766,$F$19:$F$24,0),MATCH(AX$17,$AK$17:$BB$17,0))*INDEX($10:$13,MATCH($O766,$R$10:$R$13,0),COLUMN())</f>
        <v>4.2561413969999998E-7</v>
      </c>
      <c r="AY766" s="1050" cm="1">
        <f t="array" aca="1" ref="AY766" ca="1">INDEX(OFFSET($AK$19,MATCH($B766,$B$19:$B$150,0)-1,0,COUNTA($B$19:$B$24),COUNTA($AK$17:$BB$17)),MATCH($F766,$F$19:$F$24,0),MATCH(AY$17,$AK$17:$BB$17,0))*INDEX($10:$13,MATCH($O766,$R$10:$R$13,0),COLUMN())</f>
        <v>-2.7292900869999999E-10</v>
      </c>
      <c r="AZ766" s="1050" cm="1">
        <f t="array" aca="1" ref="AZ766" ca="1">INDEX(OFFSET($AK$19,MATCH($B766,$B$19:$B$150,0)-1,0,COUNTA($B$19:$B$24),COUNTA($AK$17:$BB$17)),MATCH($F766,$F$19:$F$24,0),MATCH(AZ$17,$AK$17:$BB$17,0))*INDEX($10:$13,MATCH($O766,$R$10:$R$13,0),COLUMN())</f>
        <v>1.4162419784543322E-5</v>
      </c>
      <c r="BA766" s="1050" cm="1">
        <f t="array" aca="1" ref="BA766" ca="1">INDEX(OFFSET($AK$19,MATCH($B766,$B$19:$B$150,0)-1,0,COUNTA($B$19:$B$24),COUNTA($AK$17:$BB$17)),MATCH($F766,$F$19:$F$24,0),MATCH(BA$17,$AK$17:$BB$17,0))*INDEX($10:$13,MATCH($O766,$R$10:$R$13,0),COLUMN())</f>
        <v>3.7693653936999999E-2</v>
      </c>
      <c r="BB766" s="1051" cm="1">
        <f t="array" aca="1" ref="BB766" ca="1">INDEX(OFFSET($AK$19,MATCH($B766,$B$19:$B$150,0)-1,0,COUNTA($B$19:$B$24),COUNTA($AK$17:$BB$17)),MATCH($F766,$F$19:$F$24,0),MATCH(BB$17,$AK$17:$BB$17,0))*INDEX($10:$13,MATCH($O766,$R$10:$R$13,0),COLUMN())</f>
        <v>5.6348953850000004E-4</v>
      </c>
      <c r="BC766" s="1053">
        <f t="shared" ca="1" si="200"/>
        <v>1.6341600095412108</v>
      </c>
      <c r="BE766" s="1"/>
      <c r="BF766" s="1"/>
      <c r="BG766" s="1"/>
      <c r="BH766" s="1"/>
      <c r="BI766" s="1"/>
      <c r="BJ766" s="1"/>
      <c r="BK766" s="1"/>
      <c r="BL766" s="1"/>
      <c r="BM766" s="1"/>
      <c r="BN766" s="1"/>
      <c r="BO766" s="1"/>
      <c r="BP766" s="1"/>
      <c r="BQ766" s="1"/>
      <c r="BR766" s="1"/>
      <c r="BS766" s="1"/>
      <c r="BT766" s="1"/>
      <c r="BU766" s="1"/>
      <c r="BV766" s="1"/>
      <c r="BW766" s="1"/>
      <c r="BX766" s="1"/>
      <c r="BY766" s="1"/>
      <c r="BZ766" s="1"/>
    </row>
    <row r="767" spans="2:78" ht="12" customHeight="1" outlineLevel="1" x14ac:dyDescent="0.25">
      <c r="B767" s="104" t="s">
        <v>110</v>
      </c>
      <c r="C767" s="104" t="s">
        <v>121</v>
      </c>
      <c r="D767" s="2" t="s">
        <v>143</v>
      </c>
      <c r="E767" s="2" t="s">
        <v>147</v>
      </c>
      <c r="F767" s="105" t="s">
        <v>93</v>
      </c>
      <c r="G767" s="27" t="s">
        <v>1578</v>
      </c>
      <c r="H767" s="106" t="s">
        <v>130</v>
      </c>
      <c r="I767" s="107" t="s">
        <v>129</v>
      </c>
      <c r="J767" s="147">
        <v>6.3623397199999996</v>
      </c>
      <c r="K767" s="148">
        <v>0.72726000000000002</v>
      </c>
      <c r="L767" s="149">
        <f t="shared" ca="1" si="197"/>
        <v>4.2667805600222488</v>
      </c>
      <c r="M767" s="148">
        <f t="shared" ca="1" si="198"/>
        <v>3.8303188300817812</v>
      </c>
      <c r="N767" s="148">
        <f t="shared" ca="1" si="199"/>
        <v>3.103058830081781</v>
      </c>
      <c r="O767" s="1062" t="s">
        <v>1586</v>
      </c>
      <c r="P767" s="104"/>
      <c r="R767" s="119"/>
      <c r="S767" s="1072"/>
      <c r="T767" s="1072"/>
      <c r="U767" s="1072"/>
      <c r="V767" s="1072"/>
      <c r="W767" s="1072"/>
      <c r="X767" s="1072"/>
      <c r="Y767" s="1072"/>
      <c r="Z767" s="1072"/>
      <c r="AA767" s="1072"/>
      <c r="AB767" s="1072"/>
      <c r="AC767" s="1072"/>
      <c r="AD767" s="1072"/>
      <c r="AE767" s="1072"/>
      <c r="AF767" s="1072"/>
      <c r="AG767" s="1072"/>
      <c r="AH767" s="1072"/>
      <c r="AI767" s="1072"/>
      <c r="AJ767" s="1073"/>
      <c r="AK767" s="1052" cm="1">
        <f t="array" aca="1" ref="AK767" ca="1">INDEX(OFFSET($AK$19,MATCH($B767,$B$19:$B$150,0)-1,0,COUNTA($B$19:$B$24),COUNTA($AK$17:$BB$17)),MATCH($F767,$F$19:$F$24,0),MATCH(AK$17,$AK$17:$BB$17,0))*INDEX($10:$13,MATCH($O767,$R$10:$R$13,0),COLUMN())</f>
        <v>0.11340727295999999</v>
      </c>
      <c r="AL767" s="1050" cm="1">
        <f t="array" aca="1" ref="AL767" ca="1">INDEX(OFFSET($AK$19,MATCH($B767,$B$19:$B$150,0)-1,0,COUNTA($B$19:$B$24),COUNTA($AK$17:$BB$17)),MATCH($F767,$F$19:$F$24,0),MATCH(AL$17,$AK$17:$BB$17,0))*INDEX($10:$13,MATCH($O767,$R$10:$R$13,0),COLUMN())</f>
        <v>1.6978324961999999E-7</v>
      </c>
      <c r="AM767" s="1050" cm="1">
        <f t="array" aca="1" ref="AM767" ca="1">INDEX(OFFSET($AK$19,MATCH($B767,$B$19:$B$150,0)-1,0,COUNTA($B$19:$B$24),COUNTA($AK$17:$BB$17)),MATCH($F767,$F$19:$F$24,0),MATCH(AM$17,$AK$17:$BB$17,0))*INDEX($10:$13,MATCH($O767,$R$10:$R$13,0),COLUMN())</f>
        <v>0</v>
      </c>
      <c r="AN767" s="1050" cm="1">
        <f t="array" aca="1" ref="AN767" ca="1">INDEX(OFFSET($AK$19,MATCH($B767,$B$19:$B$150,0)-1,0,COUNTA($B$19:$B$24),COUNTA($AK$17:$BB$17)),MATCH($F767,$F$19:$F$24,0),MATCH(AN$17,$AK$17:$BB$17,0))*INDEX($10:$13,MATCH($O767,$R$10:$R$13,0),COLUMN())</f>
        <v>6.431795988000001E-3</v>
      </c>
      <c r="AO767" s="1050" cm="1">
        <f t="array" aca="1" ref="AO767" ca="1">INDEX(OFFSET($AK$19,MATCH($B767,$B$19:$B$150,0)-1,0,COUNTA($B$19:$B$24),COUNTA($AK$17:$BB$17)),MATCH($F767,$F$19:$F$24,0),MATCH(AO$17,$AK$17:$BB$17,0))*INDEX($10:$13,MATCH($O767,$R$10:$R$13,0),COLUMN())</f>
        <v>4.2842522589041095E-2</v>
      </c>
      <c r="AP767" s="1050" cm="1">
        <f t="array" aca="1" ref="AP767" ca="1">INDEX(OFFSET($AK$19,MATCH($B767,$B$19:$B$150,0)-1,0,COUNTA($B$19:$B$24),COUNTA($AK$17:$BB$17)),MATCH($F767,$F$19:$F$24,0),MATCH(AP$17,$AK$17:$BB$17,0))*INDEX($10:$13,MATCH($O767,$R$10:$R$13,0),COLUMN())</f>
        <v>1.9713940847999999E-2</v>
      </c>
      <c r="AQ767" s="1050" cm="1">
        <f t="array" aca="1" ref="AQ767" ca="1">INDEX(OFFSET($AK$19,MATCH($B767,$B$19:$B$150,0)-1,0,COUNTA($B$19:$B$24),COUNTA($AK$17:$BB$17)),MATCH($F767,$F$19:$F$24,0),MATCH(AQ$17,$AK$17:$BB$17,0))*INDEX($10:$13,MATCH($O767,$R$10:$R$13,0),COLUMN())</f>
        <v>3.2460715680000002E-2</v>
      </c>
      <c r="AR767" s="1050" cm="1">
        <f t="array" aca="1" ref="AR767" ca="1">INDEX(OFFSET($AK$19,MATCH($B767,$B$19:$B$150,0)-1,0,COUNTA($B$19:$B$24),COUNTA($AK$17:$BB$17)),MATCH($F767,$F$19:$F$24,0),MATCH(AR$17,$AK$17:$BB$17,0))*INDEX($10:$13,MATCH($O767,$R$10:$R$13,0),COLUMN())</f>
        <v>0.80322024259999991</v>
      </c>
      <c r="AS767" s="1050" cm="1">
        <f t="array" aca="1" ref="AS767" ca="1">INDEX(OFFSET($AK$19,MATCH($B767,$B$19:$B$150,0)-1,0,COUNTA($B$19:$B$24),COUNTA($AK$17:$BB$17)),MATCH($F767,$F$19:$F$24,0),MATCH(AS$17,$AK$17:$BB$17,0))*INDEX($10:$13,MATCH($O767,$R$10:$R$13,0),COLUMN())</f>
        <v>9.120380028999999E-4</v>
      </c>
      <c r="AT767" s="1050" cm="1">
        <f t="array" aca="1" ref="AT767" ca="1">INDEX(OFFSET($AK$19,MATCH($B767,$B$19:$B$150,0)-1,0,COUNTA($B$19:$B$24),COUNTA($AK$17:$BB$17)),MATCH($F767,$F$19:$F$24,0),MATCH(AT$17,$AK$17:$BB$17,0))*INDEX($10:$13,MATCH($O767,$R$10:$R$13,0),COLUMN())</f>
        <v>1.4203268682E-5</v>
      </c>
      <c r="AU767" s="1050" cm="1">
        <f t="array" aca="1" ref="AU767" ca="1">INDEX(OFFSET($AK$19,MATCH($B767,$B$19:$B$150,0)-1,0,COUNTA($B$19:$B$24),COUNTA($AK$17:$BB$17)),MATCH($F767,$F$19:$F$24,0),MATCH(AU$17,$AK$17:$BB$17,0))*INDEX($10:$13,MATCH($O767,$R$10:$R$13,0),COLUMN())</f>
        <v>2.932415562E-6</v>
      </c>
      <c r="AV767" s="1050" cm="1">
        <f t="array" aca="1" ref="AV767" ca="1">INDEX(OFFSET($AK$19,MATCH($B767,$B$19:$B$150,0)-1,0,COUNTA($B$19:$B$24),COUNTA($AK$17:$BB$17)),MATCH($F767,$F$19:$F$24,0),MATCH(AV$17,$AK$17:$BB$17,0))*INDEX($10:$13,MATCH($O767,$R$10:$R$13,0),COLUMN())</f>
        <v>1.7730830503394635E-3</v>
      </c>
      <c r="AW767" s="1050" cm="1">
        <f t="array" aca="1" ref="AW767" ca="1">INDEX(OFFSET($AK$19,MATCH($B767,$B$19:$B$150,0)-1,0,COUNTA($B$19:$B$24),COUNTA($AK$17:$BB$17)),MATCH($F767,$F$19:$F$24,0),MATCH(AW$17,$AK$17:$BB$17,0))*INDEX($10:$13,MATCH($O767,$R$10:$R$13,0),COLUMN())</f>
        <v>2.0346292509000001</v>
      </c>
      <c r="AX767" s="1050" cm="1">
        <f t="array" aca="1" ref="AX767" ca="1">INDEX(OFFSET($AK$19,MATCH($B767,$B$19:$B$150,0)-1,0,COUNTA($B$19:$B$24),COUNTA($AK$17:$BB$17)),MATCH($F767,$F$19:$F$24,0),MATCH(AX$17,$AK$17:$BB$17,0))*INDEX($10:$13,MATCH($O767,$R$10:$R$13,0),COLUMN())</f>
        <v>5.299158190000001E-7</v>
      </c>
      <c r="AY767" s="1050" cm="1">
        <f t="array" aca="1" ref="AY767" ca="1">INDEX(OFFSET($AK$19,MATCH($B767,$B$19:$B$150,0)-1,0,COUNTA($B$19:$B$24),COUNTA($AK$17:$BB$17)),MATCH($F767,$F$19:$F$24,0),MATCH(AY$17,$AK$17:$BB$17,0))*INDEX($10:$13,MATCH($O767,$R$10:$R$13,0),COLUMN())</f>
        <v>-3.3981342100000002E-10</v>
      </c>
      <c r="AZ767" s="1050" cm="1">
        <f t="array" aca="1" ref="AZ767" ca="1">INDEX(OFFSET($AK$19,MATCH($B767,$B$19:$B$150,0)-1,0,COUNTA($B$19:$B$24),COUNTA($AK$17:$BB$17)),MATCH($F767,$F$19:$F$24,0),MATCH(AZ$17,$AK$17:$BB$17,0))*INDEX($10:$13,MATCH($O767,$R$10:$R$13,0),COLUMN())</f>
        <v>1.7633084201405148E-5</v>
      </c>
      <c r="BA767" s="1050" cm="1">
        <f t="array" aca="1" ref="BA767" ca="1">INDEX(OFFSET($AK$19,MATCH($B767,$B$19:$B$150,0)-1,0,COUNTA($B$19:$B$24),COUNTA($AK$17:$BB$17)),MATCH($F767,$F$19:$F$24,0),MATCH(BA$17,$AK$17:$BB$17,0))*INDEX($10:$13,MATCH($O767,$R$10:$R$13,0),COLUMN())</f>
        <v>4.6930920169999994E-2</v>
      </c>
      <c r="BB767" s="1051" cm="1">
        <f t="array" aca="1" ref="BB767" ca="1">INDEX(OFFSET($AK$19,MATCH($B767,$B$19:$B$150,0)-1,0,COUNTA($B$19:$B$24),COUNTA($AK$17:$BB$17)),MATCH($F767,$F$19:$F$24,0),MATCH(BB$17,$AK$17:$BB$17,0))*INDEX($10:$13,MATCH($O767,$R$10:$R$13,0),COLUMN())</f>
        <v>7.0157916580000006E-4</v>
      </c>
      <c r="BC767" s="1053">
        <f t="shared" ca="1" si="200"/>
        <v>2.0346297804760054</v>
      </c>
      <c r="BE767" s="1"/>
      <c r="BF767" s="1"/>
      <c r="BG767" s="1"/>
      <c r="BH767" s="1"/>
      <c r="BI767" s="1"/>
      <c r="BJ767" s="1"/>
      <c r="BK767" s="1"/>
      <c r="BL767" s="1"/>
      <c r="BM767" s="1"/>
      <c r="BN767" s="1"/>
      <c r="BO767" s="1"/>
      <c r="BP767" s="1"/>
      <c r="BQ767" s="1"/>
      <c r="BR767" s="1"/>
      <c r="BS767" s="1"/>
      <c r="BT767" s="1"/>
      <c r="BU767" s="1"/>
      <c r="BV767" s="1"/>
      <c r="BW767" s="1"/>
      <c r="BX767" s="1"/>
      <c r="BY767" s="1"/>
      <c r="BZ767" s="1"/>
    </row>
    <row r="768" spans="2:78" ht="12" customHeight="1" outlineLevel="1" x14ac:dyDescent="0.25">
      <c r="B768" s="104" t="s">
        <v>110</v>
      </c>
      <c r="C768" s="104" t="s">
        <v>121</v>
      </c>
      <c r="D768" s="2" t="s">
        <v>143</v>
      </c>
      <c r="E768" s="2" t="s">
        <v>147</v>
      </c>
      <c r="F768" s="105" t="s">
        <v>94</v>
      </c>
      <c r="G768" s="27" t="s">
        <v>1580</v>
      </c>
      <c r="H768" s="106" t="s">
        <v>131</v>
      </c>
      <c r="I768" s="107" t="s">
        <v>129</v>
      </c>
      <c r="J768" s="147">
        <v>6.3623397199999996</v>
      </c>
      <c r="K768" s="148">
        <v>0.72726000000000002</v>
      </c>
      <c r="L768" s="149">
        <f t="shared" ca="1" si="197"/>
        <v>2.8626629682880744</v>
      </c>
      <c r="M768" s="148">
        <f t="shared" ca="1" si="198"/>
        <v>2.809160270317185</v>
      </c>
      <c r="N768" s="148">
        <f t="shared" ca="1" si="199"/>
        <v>2.0819002703171852</v>
      </c>
      <c r="O768" s="1062" t="s">
        <v>1586</v>
      </c>
      <c r="P768" s="104"/>
      <c r="R768" s="119"/>
      <c r="S768" s="1072"/>
      <c r="T768" s="1072"/>
      <c r="U768" s="1072"/>
      <c r="V768" s="1072"/>
      <c r="W768" s="1072"/>
      <c r="X768" s="1072"/>
      <c r="Y768" s="1072"/>
      <c r="Z768" s="1072"/>
      <c r="AA768" s="1072"/>
      <c r="AB768" s="1072"/>
      <c r="AC768" s="1072"/>
      <c r="AD768" s="1072"/>
      <c r="AE768" s="1072"/>
      <c r="AF768" s="1072"/>
      <c r="AG768" s="1072"/>
      <c r="AH768" s="1072"/>
      <c r="AI768" s="1072"/>
      <c r="AJ768" s="1073"/>
      <c r="AK768" s="1052" cm="1">
        <f t="array" aca="1" ref="AK768" ca="1">INDEX(OFFSET($AK$19,MATCH($B768,$B$19:$B$150,0)-1,0,COUNTA($B$19:$B$24),COUNTA($AK$17:$BB$17)),MATCH($F768,$F$19:$F$24,0),MATCH(AK$17,$AK$17:$BB$17,0))*INDEX($10:$13,MATCH($O768,$R$10:$R$13,0),COLUMN())</f>
        <v>7.610149799999999E-2</v>
      </c>
      <c r="AL768" s="1050" cm="1">
        <f t="array" aca="1" ref="AL768" ca="1">INDEX(OFFSET($AK$19,MATCH($B768,$B$19:$B$150,0)-1,0,COUNTA($B$19:$B$24),COUNTA($AK$17:$BB$17)),MATCH($F768,$F$19:$F$24,0),MATCH(AL$17,$AK$17:$BB$17,0))*INDEX($10:$13,MATCH($O768,$R$10:$R$13,0),COLUMN())</f>
        <v>1.1393237220000001E-7</v>
      </c>
      <c r="AM768" s="1050" cm="1">
        <f t="array" aca="1" ref="AM768" ca="1">INDEX(OFFSET($AK$19,MATCH($B768,$B$19:$B$150,0)-1,0,COUNTA($B$19:$B$24),COUNTA($AK$17:$BB$17)),MATCH($F768,$F$19:$F$24,0),MATCH(AM$17,$AK$17:$BB$17,0))*INDEX($10:$13,MATCH($O768,$R$10:$R$13,0),COLUMN())</f>
        <v>0</v>
      </c>
      <c r="AN768" s="1050" cm="1">
        <f t="array" aca="1" ref="AN768" ca="1">INDEX(OFFSET($AK$19,MATCH($B768,$B$19:$B$150,0)-1,0,COUNTA($B$19:$B$24),COUNTA($AK$17:$BB$17)),MATCH($F768,$F$19:$F$24,0),MATCH(AN$17,$AK$17:$BB$17,0))*INDEX($10:$13,MATCH($O768,$R$10:$R$13,0),COLUMN())</f>
        <v>4.3160312040000006E-3</v>
      </c>
      <c r="AO768" s="1050" cm="1">
        <f t="array" aca="1" ref="AO768" ca="1">INDEX(OFFSET($AK$19,MATCH($B768,$B$19:$B$150,0)-1,0,COUNTA($B$19:$B$24),COUNTA($AK$17:$BB$17)),MATCH($F768,$F$19:$F$24,0),MATCH(AO$17,$AK$17:$BB$17,0))*INDEX($10:$13,MATCH($O768,$R$10:$R$13,0),COLUMN())</f>
        <v>2.8749303406849315E-2</v>
      </c>
      <c r="AP768" s="1050" cm="1">
        <f t="array" aca="1" ref="AP768" ca="1">INDEX(OFFSET($AK$19,MATCH($B768,$B$19:$B$150,0)-1,0,COUNTA($B$19:$B$24),COUNTA($AK$17:$BB$17)),MATCH($F768,$F$19:$F$24,0),MATCH(AP$17,$AK$17:$BB$17,0))*INDEX($10:$13,MATCH($O768,$R$10:$R$13,0),COLUMN())</f>
        <v>1.3228961423999999E-2</v>
      </c>
      <c r="AQ768" s="1050" cm="1">
        <f t="array" aca="1" ref="AQ768" ca="1">INDEX(OFFSET($AK$19,MATCH($B768,$B$19:$B$150,0)-1,0,COUNTA($B$19:$B$24),COUNTA($AK$17:$BB$17)),MATCH($F768,$F$19:$F$24,0),MATCH(AQ$17,$AK$17:$BB$17,0))*INDEX($10:$13,MATCH($O768,$R$10:$R$13,0),COLUMN())</f>
        <v>2.1782632991999999E-2</v>
      </c>
      <c r="AR768" s="1050" cm="1">
        <f t="array" aca="1" ref="AR768" ca="1">INDEX(OFFSET($AK$19,MATCH($B768,$B$19:$B$150,0)-1,0,COUNTA($B$19:$B$24),COUNTA($AK$17:$BB$17)),MATCH($F768,$F$19:$F$24,0),MATCH(AR$17,$AK$17:$BB$17,0))*INDEX($10:$13,MATCH($O768,$R$10:$R$13,0),COLUMN())</f>
        <v>0.53899771841999999</v>
      </c>
      <c r="AS768" s="1050" cm="1">
        <f t="array" aca="1" ref="AS768" ca="1">INDEX(OFFSET($AK$19,MATCH($B768,$B$19:$B$150,0)-1,0,COUNTA($B$19:$B$24),COUNTA($AK$17:$BB$17)),MATCH($F768,$F$19:$F$24,0),MATCH(AS$17,$AK$17:$BB$17,0))*INDEX($10:$13,MATCH($O768,$R$10:$R$13,0),COLUMN())</f>
        <v>3.8685395170999997E-4</v>
      </c>
      <c r="AT768" s="1050" cm="1">
        <f t="array" aca="1" ref="AT768" ca="1">INDEX(OFFSET($AK$19,MATCH($B768,$B$19:$B$150,0)-1,0,COUNTA($B$19:$B$24),COUNTA($AK$17:$BB$17)),MATCH($F768,$F$19:$F$24,0),MATCH(AT$17,$AK$17:$BB$17,0))*INDEX($10:$13,MATCH($O768,$R$10:$R$13,0),COLUMN())</f>
        <v>9.4479899699999998E-6</v>
      </c>
      <c r="AU768" s="1050" cm="1">
        <f t="array" aca="1" ref="AU768" ca="1">INDEX(OFFSET($AK$19,MATCH($B768,$B$19:$B$150,0)-1,0,COUNTA($B$19:$B$24),COUNTA($AK$17:$BB$17)),MATCH($F768,$F$19:$F$24,0),MATCH(AU$17,$AK$17:$BB$17,0))*INDEX($10:$13,MATCH($O768,$R$10:$R$13,0),COLUMN())</f>
        <v>1.9591914486000002E-6</v>
      </c>
      <c r="AV768" s="1050" cm="1">
        <f t="array" aca="1" ref="AV768" ca="1">INDEX(OFFSET($AK$19,MATCH($B768,$B$19:$B$150,0)-1,0,COUNTA($B$19:$B$24),COUNTA($AK$17:$BB$17)),MATCH($F768,$F$19:$F$24,0),MATCH(AV$17,$AK$17:$BB$17,0))*INDEX($10:$13,MATCH($O768,$R$10:$R$13,0),COLUMN())</f>
        <v>1.0201129498371424E-3</v>
      </c>
      <c r="AW768" s="1050" cm="1">
        <f t="array" aca="1" ref="AW768" ca="1">INDEX(OFFSET($AK$19,MATCH($B768,$B$19:$B$150,0)-1,0,COUNTA($B$19:$B$24),COUNTA($AK$17:$BB$17)),MATCH($F768,$F$19:$F$24,0),MATCH(AW$17,$AK$17:$BB$17,0))*INDEX($10:$13,MATCH($O768,$R$10:$R$13,0),COLUMN())</f>
        <v>1.3653298508</v>
      </c>
      <c r="AX768" s="1050" cm="1">
        <f t="array" aca="1" ref="AX768" ca="1">INDEX(OFFSET($AK$19,MATCH($B768,$B$19:$B$150,0)-1,0,COUNTA($B$19:$B$24),COUNTA($AK$17:$BB$17)),MATCH($F768,$F$19:$F$24,0),MATCH(AX$17,$AK$17:$BB$17,0))*INDEX($10:$13,MATCH($O768,$R$10:$R$13,0),COLUMN())</f>
        <v>3.5559789470000006E-7</v>
      </c>
      <c r="AY768" s="1050" cm="1">
        <f t="array" aca="1" ref="AY768" ca="1">INDEX(OFFSET($AK$19,MATCH($B768,$B$19:$B$150,0)-1,0,COUNTA($B$19:$B$24),COUNTA($AK$17:$BB$17)),MATCH($F768,$F$19:$F$24,0),MATCH(AY$17,$AK$17:$BB$17,0))*INDEX($10:$13,MATCH($O768,$R$10:$R$13,0),COLUMN())</f>
        <v>-2.2803043400000002E-10</v>
      </c>
      <c r="AZ768" s="1050" cm="1">
        <f t="array" aca="1" ref="AZ768" ca="1">INDEX(OFFSET($AK$19,MATCH($B768,$B$19:$B$150,0)-1,0,COUNTA($B$19:$B$24),COUNTA($AK$17:$BB$17)),MATCH($F768,$F$19:$F$24,0),MATCH(AZ$17,$AK$17:$BB$17,0))*INDEX($10:$13,MATCH($O768,$R$10:$R$13,0),COLUMN())</f>
        <v>1.1832610833723652E-5</v>
      </c>
      <c r="BA768" s="1050" cm="1">
        <f t="array" aca="1" ref="BA768" ca="1">INDEX(OFFSET($AK$19,MATCH($B768,$B$19:$B$150,0)-1,0,COUNTA($B$19:$B$24),COUNTA($AK$17:$BB$17)),MATCH($F768,$F$19:$F$24,0),MATCH(BA$17,$AK$17:$BB$17,0))*INDEX($10:$13,MATCH($O768,$R$10:$R$13,0),COLUMN())</f>
        <v>3.1492806166000004E-2</v>
      </c>
      <c r="BB768" s="1051" cm="1">
        <f t="array" aca="1" ref="BB768" ca="1">INDEX(OFFSET($AK$19,MATCH($B768,$B$19:$B$150,0)-1,0,COUNTA($B$19:$B$24),COUNTA($AK$17:$BB$17)),MATCH($F768,$F$19:$F$24,0),MATCH(BB$17,$AK$17:$BB$17,0))*INDEX($10:$13,MATCH($O768,$R$10:$R$13,0),COLUMN())</f>
        <v>4.7079190830000002E-4</v>
      </c>
      <c r="BC768" s="1053">
        <f t="shared" ca="1" si="200"/>
        <v>1.3653302061698642</v>
      </c>
      <c r="BE768" s="1"/>
      <c r="BF768" s="1"/>
      <c r="BG768" s="1"/>
      <c r="BH768" s="1"/>
      <c r="BI768" s="1"/>
      <c r="BJ768" s="1"/>
      <c r="BK768" s="1"/>
      <c r="BL768" s="1"/>
      <c r="BM768" s="1"/>
      <c r="BN768" s="1"/>
      <c r="BO768" s="1"/>
      <c r="BP768" s="1"/>
      <c r="BQ768" s="1"/>
      <c r="BR768" s="1"/>
      <c r="BS768" s="1"/>
      <c r="BT768" s="1"/>
      <c r="BU768" s="1"/>
      <c r="BV768" s="1"/>
      <c r="BW768" s="1"/>
      <c r="BX768" s="1"/>
      <c r="BY768" s="1"/>
      <c r="BZ768" s="1"/>
    </row>
    <row r="769" spans="2:78" ht="12" customHeight="1" outlineLevel="1" x14ac:dyDescent="0.25">
      <c r="B769" s="104" t="s">
        <v>110</v>
      </c>
      <c r="C769" s="104" t="s">
        <v>121</v>
      </c>
      <c r="D769" s="2" t="s">
        <v>143</v>
      </c>
      <c r="E769" s="2" t="s">
        <v>147</v>
      </c>
      <c r="F769" s="105" t="s">
        <v>95</v>
      </c>
      <c r="G769" s="27" t="s">
        <v>1581</v>
      </c>
      <c r="H769" s="106" t="s">
        <v>128</v>
      </c>
      <c r="I769" s="107" t="s">
        <v>127</v>
      </c>
      <c r="J769" s="147">
        <v>6.3623397199999996</v>
      </c>
      <c r="K769" s="148">
        <v>0.72726000000000002</v>
      </c>
      <c r="L769" s="149">
        <f t="shared" ca="1" si="197"/>
        <v>4.1294149089153951</v>
      </c>
      <c r="M769" s="148">
        <f t="shared" ca="1" si="198"/>
        <v>3.7304182866578106</v>
      </c>
      <c r="N769" s="148">
        <f t="shared" ca="1" si="199"/>
        <v>3.0031582866578104</v>
      </c>
      <c r="O769" s="1062" t="s">
        <v>1586</v>
      </c>
      <c r="P769" s="104"/>
      <c r="R769" s="119"/>
      <c r="S769" s="1072"/>
      <c r="T769" s="1072"/>
      <c r="U769" s="1072"/>
      <c r="V769" s="1072"/>
      <c r="W769" s="1072"/>
      <c r="X769" s="1072"/>
      <c r="Y769" s="1072"/>
      <c r="Z769" s="1072"/>
      <c r="AA769" s="1072"/>
      <c r="AB769" s="1072"/>
      <c r="AC769" s="1072"/>
      <c r="AD769" s="1072"/>
      <c r="AE769" s="1072"/>
      <c r="AF769" s="1072"/>
      <c r="AG769" s="1072"/>
      <c r="AH769" s="1072"/>
      <c r="AI769" s="1072"/>
      <c r="AJ769" s="1073"/>
      <c r="AK769" s="1052" cm="1">
        <f t="array" aca="1" ref="AK769" ca="1">INDEX(OFFSET($AK$19,MATCH($B769,$B$19:$B$150,0)-1,0,COUNTA($B$19:$B$24),COUNTA($AK$17:$BB$17)),MATCH($F769,$F$19:$F$24,0),MATCH(AK$17,$AK$17:$BB$17,0))*INDEX($10:$13,MATCH($O769,$R$10:$R$13,0),COLUMN())</f>
        <v>0.1073594164</v>
      </c>
      <c r="AL769" s="1050" cm="1">
        <f t="array" aca="1" ref="AL769" ca="1">INDEX(OFFSET($AK$19,MATCH($B769,$B$19:$B$150,0)-1,0,COUNTA($B$19:$B$24),COUNTA($AK$17:$BB$17)),MATCH($F769,$F$19:$F$24,0),MATCH(AL$17,$AK$17:$BB$17,0))*INDEX($10:$13,MATCH($O769,$R$10:$R$13,0),COLUMN())</f>
        <v>1.3750316183999999E-7</v>
      </c>
      <c r="AM769" s="1050" cm="1">
        <f t="array" aca="1" ref="AM769" ca="1">INDEX(OFFSET($AK$19,MATCH($B769,$B$19:$B$150,0)-1,0,COUNTA($B$19:$B$24),COUNTA($AK$17:$BB$17)),MATCH($F769,$F$19:$F$24,0),MATCH(AM$17,$AK$17:$BB$17,0))*INDEX($10:$13,MATCH($O769,$R$10:$R$13,0),COLUMN())</f>
        <v>0</v>
      </c>
      <c r="AN769" s="1050" cm="1">
        <f t="array" aca="1" ref="AN769" ca="1">INDEX(OFFSET($AK$19,MATCH($B769,$B$19:$B$150,0)-1,0,COUNTA($B$19:$B$24),COUNTA($AK$17:$BB$17)),MATCH($F769,$F$19:$F$24,0),MATCH(AN$17,$AK$17:$BB$17,0))*INDEX($10:$13,MATCH($O769,$R$10:$R$13,0),COLUMN())</f>
        <v>5.5753501800000008E-3</v>
      </c>
      <c r="AO769" s="1050" cm="1">
        <f t="array" aca="1" ref="AO769" ca="1">INDEX(OFFSET($AK$19,MATCH($B769,$B$19:$B$150,0)-1,0,COUNTA($B$19:$B$24),COUNTA($AK$17:$BB$17)),MATCH($F769,$F$19:$F$24,0),MATCH(AO$17,$AK$17:$BB$17,0))*INDEX($10:$13,MATCH($O769,$R$10:$R$13,0),COLUMN())</f>
        <v>8.3703501863013688E-2</v>
      </c>
      <c r="AP769" s="1050" cm="1">
        <f t="array" aca="1" ref="AP769" ca="1">INDEX(OFFSET($AK$19,MATCH($B769,$B$19:$B$150,0)-1,0,COUNTA($B$19:$B$24),COUNTA($AK$17:$BB$17)),MATCH($F769,$F$19:$F$24,0),MATCH(AP$17,$AK$17:$BB$17,0))*INDEX($10:$13,MATCH($O769,$R$10:$R$13,0),COLUMN())</f>
        <v>5.513288928E-2</v>
      </c>
      <c r="AQ769" s="1050" cm="1">
        <f t="array" aca="1" ref="AQ769" ca="1">INDEX(OFFSET($AK$19,MATCH($B769,$B$19:$B$150,0)-1,0,COUNTA($B$19:$B$24),COUNTA($AK$17:$BB$17)),MATCH($F769,$F$19:$F$24,0),MATCH(AQ$17,$AK$17:$BB$17,0))*INDEX($10:$13,MATCH($O769,$R$10:$R$13,0),COLUMN())</f>
        <v>0.10326199647999999</v>
      </c>
      <c r="AR769" s="1050" cm="1">
        <f t="array" aca="1" ref="AR769" ca="1">INDEX(OFFSET($AK$19,MATCH($B769,$B$19:$B$150,0)-1,0,COUNTA($B$19:$B$24),COUNTA($AK$17:$BB$17)),MATCH($F769,$F$19:$F$24,0),MATCH(AR$17,$AK$17:$BB$17,0))*INDEX($10:$13,MATCH($O769,$R$10:$R$13,0),COLUMN())</f>
        <v>0.96069823460000003</v>
      </c>
      <c r="AS769" s="1050" cm="1">
        <f t="array" aca="1" ref="AS769" ca="1">INDEX(OFFSET($AK$19,MATCH($B769,$B$19:$B$150,0)-1,0,COUNTA($B$19:$B$24),COUNTA($AK$17:$BB$17)),MATCH($F769,$F$19:$F$24,0),MATCH(AS$17,$AK$17:$BB$17,0))*INDEX($10:$13,MATCH($O769,$R$10:$R$13,0),COLUMN())</f>
        <v>6.7093731503000001E-3</v>
      </c>
      <c r="AT769" s="1050" cm="1">
        <f t="array" aca="1" ref="AT769" ca="1">INDEX(OFFSET($AK$19,MATCH($B769,$B$19:$B$150,0)-1,0,COUNTA($B$19:$B$24),COUNTA($AK$17:$BB$17)),MATCH($F769,$F$19:$F$24,0),MATCH(AT$17,$AK$17:$BB$17,0))*INDEX($10:$13,MATCH($O769,$R$10:$R$13,0),COLUMN())</f>
        <v>1.5848480726000001E-5</v>
      </c>
      <c r="AU769" s="1050" cm="1">
        <f t="array" aca="1" ref="AU769" ca="1">INDEX(OFFSET($AK$19,MATCH($B769,$B$19:$B$150,0)-1,0,COUNTA($B$19:$B$24),COUNTA($AK$17:$BB$17)),MATCH($F769,$F$19:$F$24,0),MATCH(AU$17,$AK$17:$BB$17,0))*INDEX($10:$13,MATCH($O769,$R$10:$R$13,0),COLUMN())</f>
        <v>3.0363345486E-6</v>
      </c>
      <c r="AV769" s="1050" cm="1">
        <f t="array" aca="1" ref="AV769" ca="1">INDEX(OFFSET($AK$19,MATCH($B769,$B$19:$B$150,0)-1,0,COUNTA($B$19:$B$24),COUNTA($AK$17:$BB$17)),MATCH($F769,$F$19:$F$24,0),MATCH(AV$17,$AK$17:$BB$17,0))*INDEX($10:$13,MATCH($O769,$R$10:$R$13,0),COLUMN())</f>
        <v>5.810507768653007E-3</v>
      </c>
      <c r="AW769" s="1050" cm="1">
        <f t="array" aca="1" ref="AW769" ca="1">INDEX(OFFSET($AK$19,MATCH($B769,$B$19:$B$150,0)-1,0,COUNTA($B$19:$B$24),COUNTA($AK$17:$BB$17)),MATCH($F769,$F$19:$F$24,0),MATCH(AW$17,$AK$17:$BB$17,0))*INDEX($10:$13,MATCH($O769,$R$10:$R$13,0),COLUMN())</f>
        <v>1.6341595842000001</v>
      </c>
      <c r="AX769" s="1050" cm="1">
        <f t="array" aca="1" ref="AX769" ca="1">INDEX(OFFSET($AK$19,MATCH($B769,$B$19:$B$150,0)-1,0,COUNTA($B$19:$B$24),COUNTA($AK$17:$BB$17)),MATCH($F769,$F$19:$F$24,0),MATCH(AX$17,$AK$17:$BB$17,0))*INDEX($10:$13,MATCH($O769,$R$10:$R$13,0),COLUMN())</f>
        <v>4.2561413969999998E-7</v>
      </c>
      <c r="AY769" s="1050" cm="1">
        <f t="array" aca="1" ref="AY769" ca="1">INDEX(OFFSET($AK$19,MATCH($B769,$B$19:$B$150,0)-1,0,COUNTA($B$19:$B$24),COUNTA($AK$17:$BB$17)),MATCH($F769,$F$19:$F$24,0),MATCH(AY$17,$AK$17:$BB$17,0))*INDEX($10:$13,MATCH($O769,$R$10:$R$13,0),COLUMN())</f>
        <v>-2.7292900869999999E-10</v>
      </c>
      <c r="AZ769" s="1050" cm="1">
        <f t="array" aca="1" ref="AZ769" ca="1">INDEX(OFFSET($AK$19,MATCH($B769,$B$19:$B$150,0)-1,0,COUNTA($B$19:$B$24),COUNTA($AK$17:$BB$17)),MATCH($F769,$F$19:$F$24,0),MATCH(AZ$17,$AK$17:$BB$17,0))*INDEX($10:$13,MATCH($O769,$R$10:$R$13,0),COLUMN())</f>
        <v>1.4184072196721308E-5</v>
      </c>
      <c r="BA769" s="1050" cm="1">
        <f t="array" aca="1" ref="BA769" ca="1">INDEX(OFFSET($AK$19,MATCH($B769,$B$19:$B$150,0)-1,0,COUNTA($B$19:$B$24),COUNTA($AK$17:$BB$17)),MATCH($F769,$F$19:$F$24,0),MATCH(BA$17,$AK$17:$BB$17,0))*INDEX($10:$13,MATCH($O769,$R$10:$R$13,0),COLUMN())</f>
        <v>4.0148303912999998E-2</v>
      </c>
      <c r="BB769" s="1051" cm="1">
        <f t="array" aca="1" ref="BB769" ca="1">INDEX(OFFSET($AK$19,MATCH($B769,$B$19:$B$150,0)-1,0,COUNTA($B$19:$B$24),COUNTA($AK$17:$BB$17)),MATCH($F769,$F$19:$F$24,0),MATCH(BB$17,$AK$17:$BB$17,0))*INDEX($10:$13,MATCH($O769,$R$10:$R$13,0),COLUMN())</f>
        <v>5.6549709099999994E-4</v>
      </c>
      <c r="BC769" s="1053">
        <f t="shared" ca="1" si="200"/>
        <v>1.6341600095412108</v>
      </c>
      <c r="BE769" s="1"/>
      <c r="BF769" s="1"/>
      <c r="BG769" s="1"/>
      <c r="BH769" s="1"/>
      <c r="BI769" s="1"/>
      <c r="BJ769" s="1"/>
      <c r="BK769" s="1"/>
      <c r="BL769" s="1"/>
      <c r="BM769" s="1"/>
      <c r="BN769" s="1"/>
      <c r="BO769" s="1"/>
      <c r="BP769" s="1"/>
      <c r="BQ769" s="1"/>
      <c r="BR769" s="1"/>
      <c r="BS769" s="1"/>
      <c r="BT769" s="1"/>
      <c r="BU769" s="1"/>
      <c r="BV769" s="1"/>
      <c r="BW769" s="1"/>
      <c r="BX769" s="1"/>
      <c r="BY769" s="1"/>
      <c r="BZ769" s="1"/>
    </row>
    <row r="770" spans="2:78" ht="12" customHeight="1" outlineLevel="1" x14ac:dyDescent="0.25">
      <c r="B770" s="104" t="s">
        <v>110</v>
      </c>
      <c r="C770" s="104" t="s">
        <v>121</v>
      </c>
      <c r="D770" s="2" t="s">
        <v>143</v>
      </c>
      <c r="E770" s="2" t="s">
        <v>147</v>
      </c>
      <c r="F770" s="105" t="s">
        <v>96</v>
      </c>
      <c r="G770" s="27" t="s">
        <v>1582</v>
      </c>
      <c r="H770" s="106" t="s">
        <v>128</v>
      </c>
      <c r="I770" s="107" t="s">
        <v>1577</v>
      </c>
      <c r="J770" s="147">
        <v>6.3623397199999996</v>
      </c>
      <c r="K770" s="148">
        <v>0.72726000000000002</v>
      </c>
      <c r="L770" s="149">
        <f t="shared" ca="1" si="197"/>
        <v>4.6392918901853726</v>
      </c>
      <c r="M770" s="148">
        <f t="shared" ca="1" si="198"/>
        <v>4.1012314200562141</v>
      </c>
      <c r="N770" s="148">
        <f t="shared" ca="1" si="199"/>
        <v>3.3739714200562139</v>
      </c>
      <c r="O770" s="1062" t="s">
        <v>1586</v>
      </c>
      <c r="P770" s="104"/>
      <c r="R770" s="119"/>
      <c r="S770" s="1072"/>
      <c r="T770" s="1072"/>
      <c r="U770" s="1072"/>
      <c r="V770" s="1072"/>
      <c r="W770" s="1072"/>
      <c r="X770" s="1072"/>
      <c r="Y770" s="1072"/>
      <c r="Z770" s="1072"/>
      <c r="AA770" s="1072"/>
      <c r="AB770" s="1072"/>
      <c r="AC770" s="1072"/>
      <c r="AD770" s="1072"/>
      <c r="AE770" s="1072"/>
      <c r="AF770" s="1072"/>
      <c r="AG770" s="1072"/>
      <c r="AH770" s="1072"/>
      <c r="AI770" s="1072"/>
      <c r="AJ770" s="1073"/>
      <c r="AK770" s="1052" cm="1">
        <f t="array" aca="1" ref="AK770" ca="1">INDEX(OFFSET($AK$19,MATCH($B770,$B$19:$B$150,0)-1,0,COUNTA($B$19:$B$24),COUNTA($AK$17:$BB$17)),MATCH($F770,$F$19:$F$24,0),MATCH(AK$17,$AK$17:$BB$17,0))*INDEX($10:$13,MATCH($O770,$R$10:$R$13,0),COLUMN())</f>
        <v>0.11902253904</v>
      </c>
      <c r="AL770" s="1050" cm="1">
        <f t="array" aca="1" ref="AL770" ca="1">INDEX(OFFSET($AK$19,MATCH($B770,$B$19:$B$150,0)-1,0,COUNTA($B$19:$B$24),COUNTA($AK$17:$BB$17)),MATCH($F770,$F$19:$F$24,0),MATCH(AL$17,$AK$17:$BB$17,0))*INDEX($10:$13,MATCH($O770,$R$10:$R$13,0),COLUMN())</f>
        <v>1.3824571727999999E-7</v>
      </c>
      <c r="AM770" s="1050" cm="1">
        <f t="array" aca="1" ref="AM770" ca="1">INDEX(OFFSET($AK$19,MATCH($B770,$B$19:$B$150,0)-1,0,COUNTA($B$19:$B$24),COUNTA($AK$17:$BB$17)),MATCH($F770,$F$19:$F$24,0),MATCH(AM$17,$AK$17:$BB$17,0))*INDEX($10:$13,MATCH($O770,$R$10:$R$13,0),COLUMN())</f>
        <v>0</v>
      </c>
      <c r="AN770" s="1050" cm="1">
        <f t="array" aca="1" ref="AN770" ca="1">INDEX(OFFSET($AK$19,MATCH($B770,$B$19:$B$150,0)-1,0,COUNTA($B$19:$B$24),COUNTA($AK$17:$BB$17)),MATCH($F770,$F$19:$F$24,0),MATCH(AN$17,$AK$17:$BB$17,0))*INDEX($10:$13,MATCH($O770,$R$10:$R$13,0),COLUMN())</f>
        <v>5.8425991080000008E-3</v>
      </c>
      <c r="AO770" s="1050" cm="1">
        <f t="array" aca="1" ref="AO770" ca="1">INDEX(OFFSET($AK$19,MATCH($B770,$B$19:$B$150,0)-1,0,COUNTA($B$19:$B$24),COUNTA($AK$17:$BB$17)),MATCH($F770,$F$19:$F$24,0),MATCH(AO$17,$AK$17:$BB$17,0))*INDEX($10:$13,MATCH($O770,$R$10:$R$13,0),COLUMN())</f>
        <v>0.11954095578082193</v>
      </c>
      <c r="AP770" s="1050" cm="1">
        <f t="array" aca="1" ref="AP770" ca="1">INDEX(OFFSET($AK$19,MATCH($B770,$B$19:$B$150,0)-1,0,COUNTA($B$19:$B$24),COUNTA($AK$17:$BB$17)),MATCH($F770,$F$19:$F$24,0),MATCH(AP$17,$AK$17:$BB$17,0))*INDEX($10:$13,MATCH($O770,$R$10:$R$13,0),COLUMN())</f>
        <v>8.3761839839999991E-2</v>
      </c>
      <c r="AQ770" s="1050" cm="1">
        <f t="array" aca="1" ref="AQ770" ca="1">INDEX(OFFSET($AK$19,MATCH($B770,$B$19:$B$150,0)-1,0,COUNTA($B$19:$B$24),COUNTA($AK$17:$BB$17)),MATCH($F770,$F$19:$F$24,0),MATCH(AQ$17,$AK$17:$BB$17,0))*INDEX($10:$13,MATCH($O770,$R$10:$R$13,0),COLUMN())</f>
        <v>0.15823541392000001</v>
      </c>
      <c r="AR770" s="1050" cm="1">
        <f t="array" aca="1" ref="AR770" ca="1">INDEX(OFFSET($AK$19,MATCH($B770,$B$19:$B$150,0)-1,0,COUNTA($B$19:$B$24),COUNTA($AK$17:$BB$17)),MATCH($F770,$F$19:$F$24,0),MATCH(AR$17,$AK$17:$BB$17,0))*INDEX($10:$13,MATCH($O770,$R$10:$R$13,0),COLUMN())</f>
        <v>1.1907746156000001</v>
      </c>
      <c r="AS770" s="1050" cm="1">
        <f t="array" aca="1" ref="AS770" ca="1">INDEX(OFFSET($AK$19,MATCH($B770,$B$19:$B$150,0)-1,0,COUNTA($B$19:$B$24),COUNTA($AK$17:$BB$17)),MATCH($F770,$F$19:$F$24,0),MATCH(AS$17,$AK$17:$BB$17,0))*INDEX($10:$13,MATCH($O770,$R$10:$R$13,0),COLUMN())</f>
        <v>1.0969252987E-2</v>
      </c>
      <c r="AT770" s="1050" cm="1">
        <f t="array" aca="1" ref="AT770" ca="1">INDEX(OFFSET($AK$19,MATCH($B770,$B$19:$B$150,0)-1,0,COUNTA($B$19:$B$24),COUNTA($AK$17:$BB$17)),MATCH($F770,$F$19:$F$24,0),MATCH(AT$17,$AK$17:$BB$17,0))*INDEX($10:$13,MATCH($O770,$R$10:$R$13,0),COLUMN())</f>
        <v>1.7763956798E-5</v>
      </c>
      <c r="AU770" s="1050" cm="1">
        <f t="array" aca="1" ref="AU770" ca="1">INDEX(OFFSET($AK$19,MATCH($B770,$B$19:$B$150,0)-1,0,COUNTA($B$19:$B$24),COUNTA($AK$17:$BB$17)),MATCH($F770,$F$19:$F$24,0),MATCH(AU$17,$AK$17:$BB$17,0))*INDEX($10:$13,MATCH($O770,$R$10:$R$13,0),COLUMN())</f>
        <v>3.3099543576E-6</v>
      </c>
      <c r="AV770" s="1050" cm="1">
        <f t="array" aca="1" ref="AV770" ca="1">INDEX(OFFSET($AK$19,MATCH($B770,$B$19:$B$150,0)-1,0,COUNTA($B$19:$B$24),COUNTA($AK$17:$BB$17)),MATCH($F770,$F$19:$F$24,0),MATCH(AV$17,$AK$17:$BB$17,0))*INDEX($10:$13,MATCH($O770,$R$10:$R$13,0),COLUMN())</f>
        <v>9.3117290432409173E-3</v>
      </c>
      <c r="AW770" s="1050" cm="1">
        <f t="array" aca="1" ref="AW770" ca="1">INDEX(OFFSET($AK$19,MATCH($B770,$B$19:$B$150,0)-1,0,COUNTA($B$19:$B$24),COUNTA($AK$17:$BB$17)),MATCH($F770,$F$19:$F$24,0),MATCH(AW$17,$AK$17:$BB$17,0))*INDEX($10:$13,MATCH($O770,$R$10:$R$13,0),COLUMN())</f>
        <v>1.6341595842000001</v>
      </c>
      <c r="AX770" s="1050" cm="1">
        <f t="array" aca="1" ref="AX770" ca="1">INDEX(OFFSET($AK$19,MATCH($B770,$B$19:$B$150,0)-1,0,COUNTA($B$19:$B$24),COUNTA($AK$17:$BB$17)),MATCH($F770,$F$19:$F$24,0),MATCH(AX$17,$AK$17:$BB$17,0))*INDEX($10:$13,MATCH($O770,$R$10:$R$13,0),COLUMN())</f>
        <v>4.2561413969999998E-7</v>
      </c>
      <c r="AY770" s="1050" cm="1">
        <f t="array" aca="1" ref="AY770" ca="1">INDEX(OFFSET($AK$19,MATCH($B770,$B$19:$B$150,0)-1,0,COUNTA($B$19:$B$24),COUNTA($AK$17:$BB$17)),MATCH($F770,$F$19:$F$24,0),MATCH(AY$17,$AK$17:$BB$17,0))*INDEX($10:$13,MATCH($O770,$R$10:$R$13,0),COLUMN())</f>
        <v>-2.7292900869999999E-10</v>
      </c>
      <c r="AZ770" s="1050" cm="1">
        <f t="array" aca="1" ref="AZ770" ca="1">INDEX(OFFSET($AK$19,MATCH($B770,$B$19:$B$150,0)-1,0,COUNTA($B$19:$B$24),COUNTA($AK$17:$BB$17)),MATCH($F770,$F$19:$F$24,0),MATCH(AZ$17,$AK$17:$BB$17,0))*INDEX($10:$13,MATCH($O770,$R$10:$R$13,0),COLUMN())</f>
        <v>1.4198202667447305E-5</v>
      </c>
      <c r="BA770" s="1050" cm="1">
        <f t="array" aca="1" ref="BA770" ca="1">INDEX(OFFSET($AK$19,MATCH($B770,$B$19:$B$150,0)-1,0,COUNTA($B$19:$B$24),COUNTA($AK$17:$BB$17)),MATCH($F770,$F$19:$F$24,0),MATCH(BA$17,$AK$17:$BB$17,0))*INDEX($10:$13,MATCH($O770,$R$10:$R$13,0),COLUMN())</f>
        <v>4.1750247588E-2</v>
      </c>
      <c r="BB770" s="1051" cm="1">
        <f t="array" aca="1" ref="BB770" ca="1">INDEX(OFFSET($AK$19,MATCH($B770,$B$19:$B$150,0)-1,0,COUNTA($B$19:$B$24),COUNTA($AK$17:$BB$17)),MATCH($F770,$F$19:$F$24,0),MATCH(BB$17,$AK$17:$BB$17,0))*INDEX($10:$13,MATCH($O770,$R$10:$R$13,0),COLUMN())</f>
        <v>5.6680724840000001E-4</v>
      </c>
      <c r="BC770" s="1053">
        <f t="shared" ca="1" si="200"/>
        <v>1.6341600095412108</v>
      </c>
      <c r="BE770" s="1"/>
      <c r="BF770" s="1"/>
      <c r="BG770" s="1"/>
      <c r="BH770" s="1"/>
      <c r="BI770" s="1"/>
      <c r="BJ770" s="1"/>
      <c r="BK770" s="1"/>
      <c r="BL770" s="1"/>
      <c r="BM770" s="1"/>
      <c r="BN770" s="1"/>
      <c r="BO770" s="1"/>
      <c r="BP770" s="1"/>
      <c r="BQ770" s="1"/>
      <c r="BR770" s="1"/>
      <c r="BS770" s="1"/>
      <c r="BT770" s="1"/>
      <c r="BU770" s="1"/>
      <c r="BV770" s="1"/>
      <c r="BW770" s="1"/>
      <c r="BX770" s="1"/>
      <c r="BY770" s="1"/>
      <c r="BZ770" s="1"/>
    </row>
    <row r="771" spans="2:78" ht="12" customHeight="1" outlineLevel="1" x14ac:dyDescent="0.25">
      <c r="B771" s="88" t="s">
        <v>111</v>
      </c>
      <c r="C771" s="88" t="s">
        <v>121</v>
      </c>
      <c r="D771" s="89" t="s">
        <v>148</v>
      </c>
      <c r="E771" s="89" t="s">
        <v>149</v>
      </c>
      <c r="F771" s="90" t="s">
        <v>92</v>
      </c>
      <c r="G771" s="18" t="s">
        <v>126</v>
      </c>
      <c r="H771" s="91" t="s">
        <v>127</v>
      </c>
      <c r="I771" s="92" t="s">
        <v>127</v>
      </c>
      <c r="J771" s="142">
        <v>0.76959932000000009</v>
      </c>
      <c r="K771" s="143">
        <v>0.23780000000000001</v>
      </c>
      <c r="L771" s="144">
        <f t="shared" ca="1" si="197"/>
        <v>1.5774895795290793</v>
      </c>
      <c r="M771" s="143">
        <f t="shared" ca="1" si="198"/>
        <v>0.6129270220120151</v>
      </c>
      <c r="N771" s="162">
        <f t="shared" ca="1" si="199"/>
        <v>0.37512702201201509</v>
      </c>
      <c r="O771" s="1060" t="s">
        <v>1586</v>
      </c>
      <c r="P771" s="88"/>
      <c r="Q771" s="89"/>
      <c r="R771" s="150"/>
      <c r="S771" s="1070"/>
      <c r="T771" s="1070"/>
      <c r="U771" s="1070"/>
      <c r="V771" s="1070"/>
      <c r="W771" s="1070"/>
      <c r="X771" s="1070"/>
      <c r="Y771" s="1070"/>
      <c r="Z771" s="1070"/>
      <c r="AA771" s="1070"/>
      <c r="AB771" s="1070"/>
      <c r="AC771" s="1070"/>
      <c r="AD771" s="1070"/>
      <c r="AE771" s="1070"/>
      <c r="AF771" s="1070"/>
      <c r="AG771" s="1070"/>
      <c r="AH771" s="1070"/>
      <c r="AI771" s="1070"/>
      <c r="AJ771" s="1071"/>
      <c r="AK771" s="1048" cm="1">
        <f t="array" aca="1" ref="AK771" ca="1">INDEX(OFFSET($AK$19,MATCH($B771,$B$19:$B$150,0)-1,0,COUNTA($B$19:$B$24),COUNTA($AK$17:$BB$17)),MATCH($F771,$F$19:$F$24,0),MATCH(AK$17,$AK$17:$BB$17,0))*INDEX($10:$13,MATCH($O771,$R$10:$R$13,0),COLUMN())</f>
        <v>1.4302898432000001E-2</v>
      </c>
      <c r="AL771" s="1046" cm="1">
        <f t="array" aca="1" ref="AL771" ca="1">INDEX(OFFSET($AK$19,MATCH($B771,$B$19:$B$150,0)-1,0,COUNTA($B$19:$B$24),COUNTA($AK$17:$BB$17)),MATCH($F771,$F$19:$F$24,0),MATCH(AL$17,$AK$17:$BB$17,0))*INDEX($10:$13,MATCH($O771,$R$10:$R$13,0),COLUMN())</f>
        <v>3.8689962900000001E-8</v>
      </c>
      <c r="AM771" s="1046" cm="1">
        <f t="array" aca="1" ref="AM771" ca="1">INDEX(OFFSET($AK$19,MATCH($B771,$B$19:$B$150,0)-1,0,COUNTA($B$19:$B$24),COUNTA($AK$17:$BB$17)),MATCH($F771,$F$19:$F$24,0),MATCH(AM$17,$AK$17:$BB$17,0))*INDEX($10:$13,MATCH($O771,$R$10:$R$13,0),COLUMN())</f>
        <v>0</v>
      </c>
      <c r="AN771" s="1046" cm="1">
        <f t="array" aca="1" ref="AN771" ca="1">INDEX(OFFSET($AK$19,MATCH($B771,$B$19:$B$150,0)-1,0,COUNTA($B$19:$B$24),COUNTA($AK$17:$BB$17)),MATCH($F771,$F$19:$F$24,0),MATCH(AN$17,$AK$17:$BB$17,0))*INDEX($10:$13,MATCH($O771,$R$10:$R$13,0),COLUMN())</f>
        <v>4.8113904600000004E-4</v>
      </c>
      <c r="AO771" s="1046" cm="1">
        <f t="array" aca="1" ref="AO771" ca="1">INDEX(OFFSET($AK$19,MATCH($B771,$B$19:$B$150,0)-1,0,COUNTA($B$19:$B$24),COUNTA($AK$17:$BB$17)),MATCH($F771,$F$19:$F$24,0),MATCH(AO$17,$AK$17:$BB$17,0))*INDEX($10:$13,MATCH($O771,$R$10:$R$13,0),COLUMN())</f>
        <v>6.6158653150684933E-3</v>
      </c>
      <c r="AP771" s="1046" cm="1">
        <f t="array" aca="1" ref="AP771" ca="1">INDEX(OFFSET($AK$19,MATCH($B771,$B$19:$B$150,0)-1,0,COUNTA($B$19:$B$24),COUNTA($AK$17:$BB$17)),MATCH($F771,$F$19:$F$24,0),MATCH(AP$17,$AK$17:$BB$17,0))*INDEX($10:$13,MATCH($O771,$R$10:$R$13,0),COLUMN())</f>
        <v>4.2316777439999993E-3</v>
      </c>
      <c r="AQ771" s="1046" cm="1">
        <f t="array" aca="1" ref="AQ771" ca="1">INDEX(OFFSET($AK$19,MATCH($B771,$B$19:$B$150,0)-1,0,COUNTA($B$19:$B$24),COUNTA($AK$17:$BB$17)),MATCH($F771,$F$19:$F$24,0),MATCH(AQ$17,$AK$17:$BB$17,0))*INDEX($10:$13,MATCH($O771,$R$10:$R$13,0),COLUMN())</f>
        <v>1.4948878064E-2</v>
      </c>
      <c r="AR771" s="1046" cm="1">
        <f t="array" aca="1" ref="AR771" ca="1">INDEX(OFFSET($AK$19,MATCH($B771,$B$19:$B$150,0)-1,0,COUNTA($B$19:$B$24),COUNTA($AK$17:$BB$17)),MATCH($F771,$F$19:$F$24,0),MATCH(AR$17,$AK$17:$BB$17,0))*INDEX($10:$13,MATCH($O771,$R$10:$R$13,0),COLUMN())</f>
        <v>9.6685285299999993E-2</v>
      </c>
      <c r="AS771" s="1046" cm="1">
        <f t="array" aca="1" ref="AS771" ca="1">INDEX(OFFSET($AK$19,MATCH($B771,$B$19:$B$150,0)-1,0,COUNTA($B$19:$B$24),COUNTA($AK$17:$BB$17)),MATCH($F771,$F$19:$F$24,0),MATCH(AS$17,$AK$17:$BB$17,0))*INDEX($10:$13,MATCH($O771,$R$10:$R$13,0),COLUMN())</f>
        <v>0.16233448354999999</v>
      </c>
      <c r="AT771" s="1046" cm="1">
        <f t="array" aca="1" ref="AT771" ca="1">INDEX(OFFSET($AK$19,MATCH($B771,$B$19:$B$150,0)-1,0,COUNTA($B$19:$B$24),COUNTA($AK$17:$BB$17)),MATCH($F771,$F$19:$F$24,0),MATCH(AT$17,$AK$17:$BB$17,0))*INDEX($10:$13,MATCH($O771,$R$10:$R$13,0),COLUMN())</f>
        <v>1.7809752984000003E-4</v>
      </c>
      <c r="AU771" s="1046" cm="1">
        <f t="array" aca="1" ref="AU771" ca="1">INDEX(OFFSET($AK$19,MATCH($B771,$B$19:$B$150,0)-1,0,COUNTA($B$19:$B$24),COUNTA($AK$17:$BB$17)),MATCH($F771,$F$19:$F$24,0),MATCH(AU$17,$AK$17:$BB$17,0))*INDEX($10:$13,MATCH($O771,$R$10:$R$13,0),COLUMN())</f>
        <v>9.1307985900000001E-6</v>
      </c>
      <c r="AV771" s="1046" cm="1">
        <f t="array" aca="1" ref="AV771" ca="1">INDEX(OFFSET($AK$19,MATCH($B771,$B$19:$B$150,0)-1,0,COUNTA($B$19:$B$24),COUNTA($AK$17:$BB$17)),MATCH($F771,$F$19:$F$24,0),MATCH(AV$17,$AK$17:$BB$17,0))*INDEX($10:$13,MATCH($O771,$R$10:$R$13,0),COLUMN())</f>
        <v>9.440135048860446E-4</v>
      </c>
      <c r="AW771" s="1046" cm="1">
        <f t="array" aca="1" ref="AW771" ca="1">INDEX(OFFSET($AK$19,MATCH($B771,$B$19:$B$150,0)-1,0,COUNTA($B$19:$B$24),COUNTA($AK$17:$BB$17)),MATCH($F771,$F$19:$F$24,0),MATCH(AW$17,$AK$17:$BB$17,0))*INDEX($10:$13,MATCH($O771,$R$10:$R$13,0),COLUMN())</f>
        <v>5.7557409220000001E-2</v>
      </c>
      <c r="AX771" s="1046" cm="1">
        <f t="array" aca="1" ref="AX771" ca="1">INDEX(OFFSET($AK$19,MATCH($B771,$B$19:$B$150,0)-1,0,COUNTA($B$19:$B$24),COUNTA($AK$17:$BB$17)),MATCH($F771,$F$19:$F$24,0),MATCH(AX$17,$AK$17:$BB$17,0))*INDEX($10:$13,MATCH($O771,$R$10:$R$13,0),COLUMN())</f>
        <v>2.0805861307000002E-7</v>
      </c>
      <c r="AY771" s="1046" cm="1">
        <f t="array" aca="1" ref="AY771" ca="1">INDEX(OFFSET($AK$19,MATCH($B771,$B$19:$B$150,0)-1,0,COUNTA($B$19:$B$24),COUNTA($AK$17:$BB$17)),MATCH($F771,$F$19:$F$24,0),MATCH(AY$17,$AK$17:$BB$17,0))*INDEX($10:$13,MATCH($O771,$R$10:$R$13,0),COLUMN())</f>
        <v>-1.3687683581000001E-10</v>
      </c>
      <c r="AZ771" s="1046" cm="1">
        <f t="array" aca="1" ref="AZ771" ca="1">INDEX(OFFSET($AK$19,MATCH($B771,$B$19:$B$150,0)-1,0,COUNTA($B$19:$B$24),COUNTA($AK$17:$BB$17)),MATCH($F771,$F$19:$F$24,0),MATCH(AZ$17,$AK$17:$BB$17,0))*INDEX($10:$13,MATCH($O771,$R$10:$R$13,0),COLUMN())</f>
        <v>9.6146993138173288E-7</v>
      </c>
      <c r="BA771" s="1046" cm="1">
        <f t="array" aca="1" ref="BA771" ca="1">INDEX(OFFSET($AK$19,MATCH($B771,$B$19:$B$150,0)-1,0,COUNTA($B$19:$B$24),COUNTA($AK$17:$BB$17)),MATCH($F771,$F$19:$F$24,0),MATCH(BA$17,$AK$17:$BB$17,0))*INDEX($10:$13,MATCH($O771,$R$10:$R$13,0),COLUMN())</f>
        <v>5.9842041469999998E-3</v>
      </c>
      <c r="BB771" s="1047" cm="1">
        <f t="array" aca="1" ref="BB771" ca="1">INDEX(OFFSET($AK$19,MATCH($B771,$B$19:$B$150,0)-1,0,COUNTA($B$19:$B$24),COUNTA($AK$17:$BB$17)),MATCH($F771,$F$19:$F$24,0),MATCH(BB$17,$AK$17:$BB$17,0))*INDEX($10:$13,MATCH($O771,$R$10:$R$13,0),COLUMN())</f>
        <v>1.0852731278999999E-2</v>
      </c>
      <c r="BC771" s="1049">
        <f t="shared" ca="1" si="200"/>
        <v>5.7557617141736232E-2</v>
      </c>
      <c r="BE771" s="1"/>
      <c r="BF771" s="1"/>
      <c r="BG771" s="1"/>
      <c r="BH771" s="1"/>
      <c r="BI771" s="1"/>
      <c r="BJ771" s="1"/>
      <c r="BK771" s="1"/>
      <c r="BL771" s="1"/>
      <c r="BM771" s="1"/>
      <c r="BN771" s="1"/>
      <c r="BO771" s="1"/>
      <c r="BP771" s="1"/>
      <c r="BQ771" s="1"/>
      <c r="BR771" s="1"/>
      <c r="BS771" s="1"/>
      <c r="BT771" s="1"/>
      <c r="BU771" s="1"/>
      <c r="BV771" s="1"/>
      <c r="BW771" s="1"/>
      <c r="BX771" s="1"/>
      <c r="BY771" s="1"/>
      <c r="BZ771" s="1"/>
    </row>
    <row r="772" spans="2:78" ht="12" customHeight="1" outlineLevel="1" x14ac:dyDescent="0.25">
      <c r="B772" s="104" t="s">
        <v>111</v>
      </c>
      <c r="C772" s="104" t="s">
        <v>121</v>
      </c>
      <c r="D772" s="2" t="s">
        <v>148</v>
      </c>
      <c r="E772" s="2" t="s">
        <v>149</v>
      </c>
      <c r="F772" s="105" t="s">
        <v>122</v>
      </c>
      <c r="G772" s="27" t="s">
        <v>1579</v>
      </c>
      <c r="H772" s="106" t="s">
        <v>128</v>
      </c>
      <c r="I772" s="107" t="s">
        <v>129</v>
      </c>
      <c r="J772" s="147">
        <v>0.76959932000000009</v>
      </c>
      <c r="K772" s="148">
        <v>1.79</v>
      </c>
      <c r="L772" s="149">
        <f t="shared" ca="1" si="197"/>
        <v>8.5049192974323048E-2</v>
      </c>
      <c r="M772" s="148">
        <f t="shared" ca="1" si="198"/>
        <v>1.9422380554240384</v>
      </c>
      <c r="N772" s="163">
        <f t="shared" ca="1" si="199"/>
        <v>0.15223805542403826</v>
      </c>
      <c r="O772" s="1061" t="s">
        <v>1586</v>
      </c>
      <c r="P772" s="104"/>
      <c r="R772" s="119"/>
      <c r="S772" s="1072"/>
      <c r="T772" s="1072"/>
      <c r="U772" s="1072"/>
      <c r="V772" s="1072"/>
      <c r="W772" s="1072"/>
      <c r="X772" s="1072"/>
      <c r="Y772" s="1072"/>
      <c r="Z772" s="1072"/>
      <c r="AA772" s="1072"/>
      <c r="AB772" s="1072"/>
      <c r="AC772" s="1072"/>
      <c r="AD772" s="1072"/>
      <c r="AE772" s="1072"/>
      <c r="AF772" s="1072"/>
      <c r="AG772" s="1072"/>
      <c r="AH772" s="1072"/>
      <c r="AI772" s="1072"/>
      <c r="AJ772" s="1073"/>
      <c r="AK772" s="1052" cm="1">
        <f t="array" aca="1" ref="AK772" ca="1">INDEX(OFFSET($AK$19,MATCH($B772,$B$19:$B$150,0)-1,0,COUNTA($B$19:$B$24),COUNTA($AK$17:$BB$17)),MATCH($F772,$F$19:$F$24,0),MATCH(AK$17,$AK$17:$BB$17,0))*INDEX($10:$13,MATCH($O772,$R$10:$R$13,0),COLUMN())</f>
        <v>7.6582176719999992E-3</v>
      </c>
      <c r="AL772" s="1050" cm="1">
        <f t="array" aca="1" ref="AL772" ca="1">INDEX(OFFSET($AK$19,MATCH($B772,$B$19:$B$150,0)-1,0,COUNTA($B$19:$B$24),COUNTA($AK$17:$BB$17)),MATCH($F772,$F$19:$F$24,0),MATCH(AL$17,$AK$17:$BB$17,0))*INDEX($10:$13,MATCH($O772,$R$10:$R$13,0),COLUMN())</f>
        <v>1.7914523957999999E-8</v>
      </c>
      <c r="AM772" s="1050" cm="1">
        <f t="array" aca="1" ref="AM772" ca="1">INDEX(OFFSET($AK$19,MATCH($B772,$B$19:$B$150,0)-1,0,COUNTA($B$19:$B$24),COUNTA($AK$17:$BB$17)),MATCH($F772,$F$19:$F$24,0),MATCH(AM$17,$AK$17:$BB$17,0))*INDEX($10:$13,MATCH($O772,$R$10:$R$13,0),COLUMN())</f>
        <v>0</v>
      </c>
      <c r="AN772" s="1050" cm="1">
        <f t="array" aca="1" ref="AN772" ca="1">INDEX(OFFSET($AK$19,MATCH($B772,$B$19:$B$150,0)-1,0,COUNTA($B$19:$B$24),COUNTA($AK$17:$BB$17)),MATCH($F772,$F$19:$F$24,0),MATCH(AN$17,$AK$17:$BB$17,0))*INDEX($10:$13,MATCH($O772,$R$10:$R$13,0),COLUMN())</f>
        <v>5.7023865719999997E-4</v>
      </c>
      <c r="AO772" s="1050" cm="1">
        <f t="array" aca="1" ref="AO772" ca="1">INDEX(OFFSET($AK$19,MATCH($B772,$B$19:$B$150,0)-1,0,COUNTA($B$19:$B$24),COUNTA($AK$17:$BB$17)),MATCH($F772,$F$19:$F$24,0),MATCH(AO$17,$AK$17:$BB$17,0))*INDEX($10:$13,MATCH($O772,$R$10:$R$13,0),COLUMN())</f>
        <v>2.8036804158904109E-3</v>
      </c>
      <c r="AP772" s="1050" cm="1">
        <f t="array" aca="1" ref="AP772" ca="1">INDEX(OFFSET($AK$19,MATCH($B772,$B$19:$B$150,0)-1,0,COUNTA($B$19:$B$24),COUNTA($AK$17:$BB$17)),MATCH($F772,$F$19:$F$24,0),MATCH(AP$17,$AK$17:$BB$17,0))*INDEX($10:$13,MATCH($O772,$R$10:$R$13,0),COLUMN())</f>
        <v>1.0197366816E-3</v>
      </c>
      <c r="AQ772" s="1050" cm="1">
        <f t="array" aca="1" ref="AQ772" ca="1">INDEX(OFFSET($AK$19,MATCH($B772,$B$19:$B$150,0)-1,0,COUNTA($B$19:$B$24),COUNTA($AK$17:$BB$17)),MATCH($F772,$F$19:$F$24,0),MATCH(AQ$17,$AK$17:$BB$17,0))*INDEX($10:$13,MATCH($O772,$R$10:$R$13,0),COLUMN())</f>
        <v>1.2043958031999998E-3</v>
      </c>
      <c r="AR772" s="1050" cm="1">
        <f t="array" aca="1" ref="AR772" ca="1">INDEX(OFFSET($AK$19,MATCH($B772,$B$19:$B$150,0)-1,0,COUNTA($B$19:$B$24),COUNTA($AK$17:$BB$17)),MATCH($F772,$F$19:$F$24,0),MATCH(AR$17,$AK$17:$BB$17,0))*INDEX($10:$13,MATCH($O772,$R$10:$R$13,0),COLUMN())</f>
        <v>4.6130437861999996E-2</v>
      </c>
      <c r="AS772" s="1050" cm="1">
        <f t="array" aca="1" ref="AS772" ca="1">INDEX(OFFSET($AK$19,MATCH($B772,$B$19:$B$150,0)-1,0,COUNTA($B$19:$B$24),COUNTA($AK$17:$BB$17)),MATCH($F772,$F$19:$F$24,0),MATCH(AS$17,$AK$17:$BB$17,0))*INDEX($10:$13,MATCH($O772,$R$10:$R$13,0),COLUMN())</f>
        <v>4.6904179606999998E-5</v>
      </c>
      <c r="AT772" s="1050" cm="1">
        <f t="array" aca="1" ref="AT772" ca="1">INDEX(OFFSET($AK$19,MATCH($B772,$B$19:$B$150,0)-1,0,COUNTA($B$19:$B$24),COUNTA($AK$17:$BB$17)),MATCH($F772,$F$19:$F$24,0),MATCH(AT$17,$AK$17:$BB$17,0))*INDEX($10:$13,MATCH($O772,$R$10:$R$13,0),COLUMN())</f>
        <v>5.5272018860000001E-7</v>
      </c>
      <c r="AU772" s="1050" cm="1">
        <f t="array" aca="1" ref="AU772" ca="1">INDEX(OFFSET($AK$19,MATCH($B772,$B$19:$B$150,0)-1,0,COUNTA($B$19:$B$24),COUNTA($AK$17:$BB$17)),MATCH($F772,$F$19:$F$24,0),MATCH(AU$17,$AK$17:$BB$17,0))*INDEX($10:$13,MATCH($O772,$R$10:$R$13,0),COLUMN())</f>
        <v>1.3929983885999999E-7</v>
      </c>
      <c r="AV772" s="1050" cm="1">
        <f t="array" aca="1" ref="AV772" ca="1">INDEX(OFFSET($AK$19,MATCH($B772,$B$19:$B$150,0)-1,0,COUNTA($B$19:$B$24),COUNTA($AK$17:$BB$17)),MATCH($F772,$F$19:$F$24,0),MATCH(AV$17,$AK$17:$BB$17,0))*INDEX($10:$13,MATCH($O772,$R$10:$R$13,0),COLUMN())</f>
        <v>7.8353377625469848E-5</v>
      </c>
      <c r="AW772" s="1050" cm="1">
        <f t="array" aca="1" ref="AW772" ca="1">INDEX(OFFSET($AK$19,MATCH($B772,$B$19:$B$150,0)-1,0,COUNTA($B$19:$B$24),COUNTA($AK$17:$BB$17)),MATCH($F772,$F$19:$F$24,0),MATCH(AW$17,$AK$17:$BB$17,0))*INDEX($10:$13,MATCH($O772,$R$10:$R$13,0),COLUMN())</f>
        <v>7.4485076560000002E-2</v>
      </c>
      <c r="AX772" s="1050" cm="1">
        <f t="array" aca="1" ref="AX772" ca="1">INDEX(OFFSET($AK$19,MATCH($B772,$B$19:$B$150,0)-1,0,COUNTA($B$19:$B$24),COUNTA($AK$17:$BB$17)),MATCH($F772,$F$19:$F$24,0),MATCH(AX$17,$AK$17:$BB$17,0))*INDEX($10:$13,MATCH($O772,$R$10:$R$13,0),COLUMN())</f>
        <v>4.7517944150000004E-8</v>
      </c>
      <c r="AY772" s="1050" cm="1">
        <f t="array" aca="1" ref="AY772" ca="1">INDEX(OFFSET($AK$19,MATCH($B772,$B$19:$B$150,0)-1,0,COUNTA($B$19:$B$24),COUNTA($AK$17:$BB$17)),MATCH($F772,$F$19:$F$24,0),MATCH(AY$17,$AK$17:$BB$17,0))*INDEX($10:$13,MATCH($O772,$R$10:$R$13,0),COLUMN())</f>
        <v>-3.0471319870000003E-11</v>
      </c>
      <c r="AZ772" s="1050" cm="1">
        <f t="array" aca="1" ref="AZ772" ca="1">INDEX(OFFSET($AK$19,MATCH($B772,$B$19:$B$150,0)-1,0,COUNTA($B$19:$B$24),COUNTA($AK$17:$BB$17)),MATCH($F772,$F$19:$F$24,0),MATCH(AZ$17,$AK$17:$BB$17,0))*INDEX($10:$13,MATCH($O772,$R$10:$R$13,0),COLUMN())</f>
        <v>1.1989146911007024E-6</v>
      </c>
      <c r="BA772" s="1050" cm="1">
        <f t="array" aca="1" ref="BA772" ca="1">INDEX(OFFSET($AK$19,MATCH($B772,$B$19:$B$150,0)-1,0,COUNTA($B$19:$B$24),COUNTA($AK$17:$BB$17)),MATCH($F772,$F$19:$F$24,0),MATCH(BA$17,$AK$17:$BB$17,0))*INDEX($10:$13,MATCH($O772,$R$10:$R$13,0),COLUMN())</f>
        <v>4.2046866582000006E-3</v>
      </c>
      <c r="BB772" s="1051" cm="1">
        <f t="array" aca="1" ref="BB772" ca="1">INDEX(OFFSET($AK$19,MATCH($B772,$B$19:$B$150,0)-1,0,COUNTA($B$19:$B$24),COUNTA($AK$17:$BB$17)),MATCH($F772,$F$19:$F$24,0),MATCH(BB$17,$AK$17:$BB$17,0))*INDEX($10:$13,MATCH($O772,$R$10:$R$13,0),COLUMN())</f>
        <v>1.4034371220000001E-2</v>
      </c>
      <c r="BC772" s="1053">
        <f t="shared" ca="1" si="200"/>
        <v>7.4485124047472831E-2</v>
      </c>
      <c r="BE772" s="1"/>
      <c r="BF772" s="1"/>
      <c r="BG772" s="1"/>
      <c r="BH772" s="1"/>
      <c r="BI772" s="1"/>
      <c r="BJ772" s="1"/>
      <c r="BK772" s="1"/>
      <c r="BL772" s="1"/>
      <c r="BM772" s="1"/>
      <c r="BN772" s="1"/>
      <c r="BO772" s="1"/>
      <c r="BP772" s="1"/>
      <c r="BQ772" s="1"/>
      <c r="BR772" s="1"/>
      <c r="BS772" s="1"/>
      <c r="BT772" s="1"/>
      <c r="BU772" s="1"/>
      <c r="BV772" s="1"/>
      <c r="BW772" s="1"/>
      <c r="BX772" s="1"/>
      <c r="BY772" s="1"/>
      <c r="BZ772" s="1"/>
    </row>
    <row r="773" spans="2:78" ht="12" customHeight="1" outlineLevel="1" x14ac:dyDescent="0.25">
      <c r="B773" s="104" t="s">
        <v>111</v>
      </c>
      <c r="C773" s="104" t="s">
        <v>121</v>
      </c>
      <c r="D773" s="2" t="s">
        <v>148</v>
      </c>
      <c r="E773" s="2" t="s">
        <v>149</v>
      </c>
      <c r="F773" s="105" t="s">
        <v>93</v>
      </c>
      <c r="G773" s="27" t="s">
        <v>1578</v>
      </c>
      <c r="H773" s="106" t="s">
        <v>130</v>
      </c>
      <c r="I773" s="107" t="s">
        <v>129</v>
      </c>
      <c r="J773" s="147">
        <v>0.76959932000000009</v>
      </c>
      <c r="K773" s="148">
        <v>1.79</v>
      </c>
      <c r="L773" s="149">
        <f t="shared" ca="1" si="197"/>
        <v>0.12920780954074312</v>
      </c>
      <c r="M773" s="148">
        <f t="shared" ca="1" si="198"/>
        <v>2.0212819790779304</v>
      </c>
      <c r="N773" s="163">
        <f t="shared" ca="1" si="199"/>
        <v>0.23128197907793019</v>
      </c>
      <c r="O773" s="1061" t="s">
        <v>1586</v>
      </c>
      <c r="P773" s="104"/>
      <c r="R773" s="119"/>
      <c r="S773" s="1072"/>
      <c r="T773" s="1072"/>
      <c r="U773" s="1072"/>
      <c r="V773" s="1072"/>
      <c r="W773" s="1072"/>
      <c r="X773" s="1072"/>
      <c r="Y773" s="1072"/>
      <c r="Z773" s="1072"/>
      <c r="AA773" s="1072"/>
      <c r="AB773" s="1072"/>
      <c r="AC773" s="1072"/>
      <c r="AD773" s="1072"/>
      <c r="AE773" s="1072"/>
      <c r="AF773" s="1072"/>
      <c r="AG773" s="1072"/>
      <c r="AH773" s="1072"/>
      <c r="AI773" s="1072"/>
      <c r="AJ773" s="1073"/>
      <c r="AK773" s="1052" cm="1">
        <f t="array" aca="1" ref="AK773" ca="1">INDEX(OFFSET($AK$19,MATCH($B773,$B$19:$B$150,0)-1,0,COUNTA($B$19:$B$24),COUNTA($AK$17:$BB$17)),MATCH($F773,$F$19:$F$24,0),MATCH(AK$17,$AK$17:$BB$17,0))*INDEX($10:$13,MATCH($O773,$R$10:$R$13,0),COLUMN())</f>
        <v>1.1633793936E-2</v>
      </c>
      <c r="AL773" s="1050" cm="1">
        <f t="array" aca="1" ref="AL773" ca="1">INDEX(OFFSET($AK$19,MATCH($B773,$B$19:$B$150,0)-1,0,COUNTA($B$19:$B$24),COUNTA($AK$17:$BB$17)),MATCH($F773,$F$19:$F$24,0),MATCH(AL$17,$AK$17:$BB$17,0))*INDEX($10:$13,MATCH($O773,$R$10:$R$13,0),COLUMN())</f>
        <v>2.7214410744000002E-8</v>
      </c>
      <c r="AM773" s="1050" cm="1">
        <f t="array" aca="1" ref="AM773" ca="1">INDEX(OFFSET($AK$19,MATCH($B773,$B$19:$B$150,0)-1,0,COUNTA($B$19:$B$24),COUNTA($AK$17:$BB$17)),MATCH($F773,$F$19:$F$24,0),MATCH(AM$17,$AK$17:$BB$17,0))*INDEX($10:$13,MATCH($O773,$R$10:$R$13,0),COLUMN())</f>
        <v>0</v>
      </c>
      <c r="AN773" s="1050" cm="1">
        <f t="array" aca="1" ref="AN773" ca="1">INDEX(OFFSET($AK$19,MATCH($B773,$B$19:$B$150,0)-1,0,COUNTA($B$19:$B$24),COUNTA($AK$17:$BB$17)),MATCH($F773,$F$19:$F$24,0),MATCH(AN$17,$AK$17:$BB$17,0))*INDEX($10:$13,MATCH($O773,$R$10:$R$13,0),COLUMN())</f>
        <v>8.6626409100000001E-4</v>
      </c>
      <c r="AO773" s="1050" cm="1">
        <f t="array" aca="1" ref="AO773" ca="1">INDEX(OFFSET($AK$19,MATCH($B773,$B$19:$B$150,0)-1,0,COUNTA($B$19:$B$24),COUNTA($AK$17:$BB$17)),MATCH($F773,$F$19:$F$24,0),MATCH(AO$17,$AK$17:$BB$17,0))*INDEX($10:$13,MATCH($O773,$R$10:$R$13,0),COLUMN())</f>
        <v>4.2591425589041092E-3</v>
      </c>
      <c r="AP773" s="1050" cm="1">
        <f t="array" aca="1" ref="AP773" ca="1">INDEX(OFFSET($AK$19,MATCH($B773,$B$19:$B$150,0)-1,0,COUNTA($B$19:$B$24),COUNTA($AK$17:$BB$17)),MATCH($F773,$F$19:$F$24,0),MATCH(AP$17,$AK$17:$BB$17,0))*INDEX($10:$13,MATCH($O773,$R$10:$R$13,0),COLUMN())</f>
        <v>1.549108008E-3</v>
      </c>
      <c r="AQ773" s="1050" cm="1">
        <f t="array" aca="1" ref="AQ773" ca="1">INDEX(OFFSET($AK$19,MATCH($B773,$B$19:$B$150,0)-1,0,COUNTA($B$19:$B$24),COUNTA($AK$17:$BB$17)),MATCH($F773,$F$19:$F$24,0),MATCH(AQ$17,$AK$17:$BB$17,0))*INDEX($10:$13,MATCH($O773,$R$10:$R$13,0),COLUMN())</f>
        <v>1.8296284383999999E-3</v>
      </c>
      <c r="AR773" s="1050" cm="1">
        <f t="array" aca="1" ref="AR773" ca="1">INDEX(OFFSET($AK$19,MATCH($B773,$B$19:$B$150,0)-1,0,COUNTA($B$19:$B$24),COUNTA($AK$17:$BB$17)),MATCH($F773,$F$19:$F$24,0),MATCH(AR$17,$AK$17:$BB$17,0))*INDEX($10:$13,MATCH($O773,$R$10:$R$13,0),COLUMN())</f>
        <v>7.0077928340000012E-2</v>
      </c>
      <c r="AS773" s="1050" cm="1">
        <f t="array" aca="1" ref="AS773" ca="1">INDEX(OFFSET($AK$19,MATCH($B773,$B$19:$B$150,0)-1,0,COUNTA($B$19:$B$24),COUNTA($AK$17:$BB$17)),MATCH($F773,$F$19:$F$24,0),MATCH(AS$17,$AK$17:$BB$17,0))*INDEX($10:$13,MATCH($O773,$R$10:$R$13,0),COLUMN())</f>
        <v>7.7965791859999992E-5</v>
      </c>
      <c r="AT773" s="1050" cm="1">
        <f t="array" aca="1" ref="AT773" ca="1">INDEX(OFFSET($AK$19,MATCH($B773,$B$19:$B$150,0)-1,0,COUNTA($B$19:$B$24),COUNTA($AK$17:$BB$17)),MATCH($F773,$F$19:$F$24,0),MATCH(AT$17,$AK$17:$BB$17,0))*INDEX($10:$13,MATCH($O773,$R$10:$R$13,0),COLUMN())</f>
        <v>8.423524128E-7</v>
      </c>
      <c r="AU773" s="1050" cm="1">
        <f t="array" aca="1" ref="AU773" ca="1">INDEX(OFFSET($AK$19,MATCH($B773,$B$19:$B$150,0)-1,0,COUNTA($B$19:$B$24),COUNTA($AK$17:$BB$17)),MATCH($F773,$F$19:$F$24,0),MATCH(AU$17,$AK$17:$BB$17,0))*INDEX($10:$13,MATCH($O773,$R$10:$R$13,0),COLUMN())</f>
        <v>2.1191387478E-7</v>
      </c>
      <c r="AV773" s="1050" cm="1">
        <f t="array" aca="1" ref="AV773" ca="1">INDEX(OFFSET($AK$19,MATCH($B773,$B$19:$B$150,0)-1,0,COUNTA($B$19:$B$24),COUNTA($AK$17:$BB$17)),MATCH($F773,$F$19:$F$24,0),MATCH(AV$17,$AK$17:$BB$17,0))*INDEX($10:$13,MATCH($O773,$R$10:$R$13,0),COLUMN())</f>
        <v>1.2557211074366124E-4</v>
      </c>
      <c r="AW773" s="1050" cm="1">
        <f t="array" aca="1" ref="AW773" ca="1">INDEX(OFFSET($AK$19,MATCH($B773,$B$19:$B$150,0)-1,0,COUNTA($B$19:$B$24),COUNTA($AK$17:$BB$17)),MATCH($F773,$F$19:$F$24,0),MATCH(AW$17,$AK$17:$BB$17,0))*INDEX($10:$13,MATCH($O773,$R$10:$R$13,0),COLUMN())</f>
        <v>0.11315218151000001</v>
      </c>
      <c r="AX773" s="1050" cm="1">
        <f t="array" aca="1" ref="AX773" ca="1">INDEX(OFFSET($AK$19,MATCH($B773,$B$19:$B$150,0)-1,0,COUNTA($B$19:$B$24),COUNTA($AK$17:$BB$17)),MATCH($F773,$F$19:$F$24,0),MATCH(AX$17,$AK$17:$BB$17,0))*INDEX($10:$13,MATCH($O773,$R$10:$R$13,0),COLUMN())</f>
        <v>7.21857197E-8</v>
      </c>
      <c r="AY773" s="1050" cm="1">
        <f t="array" aca="1" ref="AY773" ca="1">INDEX(OFFSET($AK$19,MATCH($B773,$B$19:$B$150,0)-1,0,COUNTA($B$19:$B$24),COUNTA($AK$17:$BB$17)),MATCH($F773,$F$19:$F$24,0),MATCH(AY$17,$AK$17:$BB$17,0))*INDEX($10:$13,MATCH($O773,$R$10:$R$13,0),COLUMN())</f>
        <v>-4.6289760200000006E-11</v>
      </c>
      <c r="AZ773" s="1050" cm="1">
        <f t="array" aca="1" ref="AZ773" ca="1">INDEX(OFFSET($AK$19,MATCH($B773,$B$19:$B$150,0)-1,0,COUNTA($B$19:$B$24),COUNTA($AK$17:$BB$17)),MATCH($F773,$F$19:$F$24,0),MATCH(AZ$17,$AK$17:$BB$17,0))*INDEX($10:$13,MATCH($O773,$R$10:$R$13,0),COLUMN())</f>
        <v>1.8213018941451989E-6</v>
      </c>
      <c r="BA773" s="1050" cm="1">
        <f t="array" aca="1" ref="BA773" ca="1">INDEX(OFFSET($AK$19,MATCH($B773,$B$19:$B$150,0)-1,0,COUNTA($B$19:$B$24),COUNTA($AK$17:$BB$17)),MATCH($F773,$F$19:$F$24,0),MATCH(BA$17,$AK$17:$BB$17,0))*INDEX($10:$13,MATCH($O773,$R$10:$R$13,0),COLUMN())</f>
        <v>6.3874467710000006E-3</v>
      </c>
      <c r="BB773" s="1051" cm="1">
        <f t="array" aca="1" ref="BB773" ca="1">INDEX(OFFSET($AK$19,MATCH($B773,$B$19:$B$150,0)-1,0,COUNTA($B$19:$B$24),COUNTA($AK$17:$BB$17)),MATCH($F773,$F$19:$F$24,0),MATCH(BB$17,$AK$17:$BB$17,0))*INDEX($10:$13,MATCH($O773,$R$10:$R$13,0),COLUMN())</f>
        <v>2.1319972600000001E-2</v>
      </c>
      <c r="BC773" s="1053">
        <f t="shared" ca="1" si="200"/>
        <v>0.11315225364942993</v>
      </c>
      <c r="BE773" s="1"/>
      <c r="BF773" s="1"/>
      <c r="BG773" s="1"/>
      <c r="BH773" s="1"/>
      <c r="BI773" s="1"/>
      <c r="BJ773" s="1"/>
      <c r="BK773" s="1"/>
      <c r="BL773" s="1"/>
      <c r="BM773" s="1"/>
      <c r="BN773" s="1"/>
      <c r="BO773" s="1"/>
      <c r="BP773" s="1"/>
      <c r="BQ773" s="1"/>
      <c r="BR773" s="1"/>
      <c r="BS773" s="1"/>
      <c r="BT773" s="1"/>
      <c r="BU773" s="1"/>
      <c r="BV773" s="1"/>
      <c r="BW773" s="1"/>
      <c r="BX773" s="1"/>
      <c r="BY773" s="1"/>
      <c r="BZ773" s="1"/>
    </row>
    <row r="774" spans="2:78" ht="12" customHeight="1" outlineLevel="1" x14ac:dyDescent="0.25">
      <c r="B774" s="104" t="s">
        <v>111</v>
      </c>
      <c r="C774" s="104" t="s">
        <v>121</v>
      </c>
      <c r="D774" s="2" t="s">
        <v>148</v>
      </c>
      <c r="E774" s="2" t="s">
        <v>149</v>
      </c>
      <c r="F774" s="105" t="s">
        <v>94</v>
      </c>
      <c r="G774" s="27" t="s">
        <v>1580</v>
      </c>
      <c r="H774" s="106" t="s">
        <v>131</v>
      </c>
      <c r="I774" s="107" t="s">
        <v>129</v>
      </c>
      <c r="J774" s="147">
        <v>0.76959932000000009</v>
      </c>
      <c r="K774" s="148">
        <v>1.79</v>
      </c>
      <c r="L774" s="149">
        <f t="shared" ca="1" si="197"/>
        <v>6.3332391042458844E-2</v>
      </c>
      <c r="M774" s="148">
        <f t="shared" ca="1" si="198"/>
        <v>1.9033649799660013</v>
      </c>
      <c r="N774" s="148">
        <f t="shared" ca="1" si="199"/>
        <v>0.11336497996600134</v>
      </c>
      <c r="O774" s="1062" t="s">
        <v>1586</v>
      </c>
      <c r="P774" s="104"/>
      <c r="R774" s="119"/>
      <c r="S774" s="1072"/>
      <c r="T774" s="1072"/>
      <c r="U774" s="1072"/>
      <c r="V774" s="1072"/>
      <c r="W774" s="1072"/>
      <c r="X774" s="1072"/>
      <c r="Y774" s="1072"/>
      <c r="Z774" s="1072"/>
      <c r="AA774" s="1072"/>
      <c r="AB774" s="1072"/>
      <c r="AC774" s="1072"/>
      <c r="AD774" s="1072"/>
      <c r="AE774" s="1072"/>
      <c r="AF774" s="1072"/>
      <c r="AG774" s="1072"/>
      <c r="AH774" s="1072"/>
      <c r="AI774" s="1072"/>
      <c r="AJ774" s="1073"/>
      <c r="AK774" s="1052" cm="1">
        <f t="array" aca="1" ref="AK774" ca="1">INDEX(OFFSET($AK$19,MATCH($B774,$B$19:$B$150,0)-1,0,COUNTA($B$19:$B$24),COUNTA($AK$17:$BB$17)),MATCH($F774,$F$19:$F$24,0),MATCH(AK$17,$AK$17:$BB$17,0))*INDEX($10:$13,MATCH($O774,$R$10:$R$13,0),COLUMN())</f>
        <v>5.703064624E-3</v>
      </c>
      <c r="AL774" s="1050" cm="1">
        <f t="array" aca="1" ref="AL774" ca="1">INDEX(OFFSET($AK$19,MATCH($B774,$B$19:$B$150,0)-1,0,COUNTA($B$19:$B$24),COUNTA($AK$17:$BB$17)),MATCH($F774,$F$19:$F$24,0),MATCH(AL$17,$AK$17:$BB$17,0))*INDEX($10:$13,MATCH($O774,$R$10:$R$13,0),COLUMN())</f>
        <v>1.3340922348000001E-8</v>
      </c>
      <c r="AM774" s="1050" cm="1">
        <f t="array" aca="1" ref="AM774" ca="1">INDEX(OFFSET($AK$19,MATCH($B774,$B$19:$B$150,0)-1,0,COUNTA($B$19:$B$24),COUNTA($AK$17:$BB$17)),MATCH($F774,$F$19:$F$24,0),MATCH(AM$17,$AK$17:$BB$17,0))*INDEX($10:$13,MATCH($O774,$R$10:$R$13,0),COLUMN())</f>
        <v>0</v>
      </c>
      <c r="AN774" s="1050" cm="1">
        <f t="array" aca="1" ref="AN774" ca="1">INDEX(OFFSET($AK$19,MATCH($B774,$B$19:$B$150,0)-1,0,COUNTA($B$19:$B$24),COUNTA($AK$17:$BB$17)),MATCH($F774,$F$19:$F$24,0),MATCH(AN$17,$AK$17:$BB$17,0))*INDEX($10:$13,MATCH($O774,$R$10:$R$13,0),COLUMN())</f>
        <v>4.2465598560000002E-4</v>
      </c>
      <c r="AO774" s="1050" cm="1">
        <f t="array" aca="1" ref="AO774" ca="1">INDEX(OFFSET($AK$19,MATCH($B774,$B$19:$B$150,0)-1,0,COUNTA($B$19:$B$24),COUNTA($AK$17:$BB$17)),MATCH($F774,$F$19:$F$24,0),MATCH(AO$17,$AK$17:$BB$17,0))*INDEX($10:$13,MATCH($O774,$R$10:$R$13,0),COLUMN())</f>
        <v>2.0878971073972604E-3</v>
      </c>
      <c r="AP774" s="1050" cm="1">
        <f t="array" aca="1" ref="AP774" ca="1">INDEX(OFFSET($AK$19,MATCH($B774,$B$19:$B$150,0)-1,0,COUNTA($B$19:$B$24),COUNTA($AK$17:$BB$17)),MATCH($F774,$F$19:$F$24,0),MATCH(AP$17,$AK$17:$BB$17,0))*INDEX($10:$13,MATCH($O774,$R$10:$R$13,0),COLUMN())</f>
        <v>7.5939655679999995E-4</v>
      </c>
      <c r="AQ774" s="1050" cm="1">
        <f t="array" aca="1" ref="AQ774" ca="1">INDEX(OFFSET($AK$19,MATCH($B774,$B$19:$B$150,0)-1,0,COUNTA($B$19:$B$24),COUNTA($AK$17:$BB$17)),MATCH($F774,$F$19:$F$24,0),MATCH(AQ$17,$AK$17:$BB$17,0))*INDEX($10:$13,MATCH($O774,$R$10:$R$13,0),COLUMN())</f>
        <v>8.9691196320000003E-4</v>
      </c>
      <c r="AR774" s="1050" cm="1">
        <f t="array" aca="1" ref="AR774" ca="1">INDEX(OFFSET($AK$19,MATCH($B774,$B$19:$B$150,0)-1,0,COUNTA($B$19:$B$24),COUNTA($AK$17:$BB$17)),MATCH($F774,$F$19:$F$24,0),MATCH(AR$17,$AK$17:$BB$17,0))*INDEX($10:$13,MATCH($O774,$R$10:$R$13,0),COLUMN())</f>
        <v>3.4353276051999997E-2</v>
      </c>
      <c r="AS774" s="1050" cm="1">
        <f t="array" aca="1" ref="AS774" ca="1">INDEX(OFFSET($AK$19,MATCH($B774,$B$19:$B$150,0)-1,0,COUNTA($B$19:$B$24),COUNTA($AK$17:$BB$17)),MATCH($F774,$F$19:$F$24,0),MATCH(AS$17,$AK$17:$BB$17,0))*INDEX($10:$13,MATCH($O774,$R$10:$R$13,0),COLUMN())</f>
        <v>3.1638936038999997E-5</v>
      </c>
      <c r="AT774" s="1050" cm="1">
        <f t="array" aca="1" ref="AT774" ca="1">INDEX(OFFSET($AK$19,MATCH($B774,$B$19:$B$150,0)-1,0,COUNTA($B$19:$B$24),COUNTA($AK$17:$BB$17)),MATCH($F774,$F$19:$F$24,0),MATCH(AT$17,$AK$17:$BB$17,0))*INDEX($10:$13,MATCH($O774,$R$10:$R$13,0),COLUMN())</f>
        <v>4.1028587499999997E-7</v>
      </c>
      <c r="AU774" s="1050" cm="1">
        <f t="array" aca="1" ref="AU774" ca="1">INDEX(OFFSET($AK$19,MATCH($B774,$B$19:$B$150,0)-1,0,COUNTA($B$19:$B$24),COUNTA($AK$17:$BB$17)),MATCH($F774,$F$19:$F$24,0),MATCH(AU$17,$AK$17:$BB$17,0))*INDEX($10:$13,MATCH($O774,$R$10:$R$13,0),COLUMN())</f>
        <v>1.0358937011999999E-7</v>
      </c>
      <c r="AV774" s="1050" cm="1">
        <f t="array" aca="1" ref="AV774" ca="1">INDEX(OFFSET($AK$19,MATCH($B774,$B$19:$B$150,0)-1,0,COUNTA($B$19:$B$24),COUNTA($AK$17:$BB$17)),MATCH($F774,$F$19:$F$24,0),MATCH(AV$17,$AK$17:$BB$17,0))*INDEX($10:$13,MATCH($O774,$R$10:$R$13,0),COLUMN())</f>
        <v>5.5141928873432082E-5</v>
      </c>
      <c r="AW774" s="1050" cm="1">
        <f t="array" aca="1" ref="AW774" ca="1">INDEX(OFFSET($AK$19,MATCH($B774,$B$19:$B$150,0)-1,0,COUNTA($B$19:$B$24),COUNTA($AK$17:$BB$17)),MATCH($F774,$F$19:$F$24,0),MATCH(AW$17,$AK$17:$BB$17,0))*INDEX($10:$13,MATCH($O774,$R$10:$R$13,0),COLUMN())</f>
        <v>5.5468938790000005E-2</v>
      </c>
      <c r="AX774" s="1050" cm="1">
        <f t="array" aca="1" ref="AX774" ca="1">INDEX(OFFSET($AK$19,MATCH($B774,$B$19:$B$150,0)-1,0,COUNTA($B$19:$B$24),COUNTA($AK$17:$BB$17)),MATCH($F774,$F$19:$F$24,0),MATCH(AX$17,$AK$17:$BB$17,0))*INDEX($10:$13,MATCH($O774,$R$10:$R$13,0),COLUMN())</f>
        <v>3.5386550320000001E-8</v>
      </c>
      <c r="AY774" s="1050" cm="1">
        <f t="array" aca="1" ref="AY774" ca="1">INDEX(OFFSET($AK$19,MATCH($B774,$B$19:$B$150,0)-1,0,COUNTA($B$19:$B$24),COUNTA($AK$17:$BB$17)),MATCH($F774,$F$19:$F$24,0),MATCH(AY$17,$AK$17:$BB$17,0))*INDEX($10:$13,MATCH($O774,$R$10:$R$13,0),COLUMN())</f>
        <v>-2.269195149E-11</v>
      </c>
      <c r="AZ774" s="1050" cm="1">
        <f t="array" aca="1" ref="AZ774" ca="1">INDEX(OFFSET($AK$19,MATCH($B774,$B$19:$B$150,0)-1,0,COUNTA($B$19:$B$24),COUNTA($AK$17:$BB$17)),MATCH($F774,$F$19:$F$24,0),MATCH(AZ$17,$AK$17:$BB$17,0))*INDEX($10:$13,MATCH($O774,$R$10:$R$13,0),COLUMN())</f>
        <v>8.9283016580796249E-7</v>
      </c>
      <c r="BA774" s="1050" cm="1">
        <f t="array" aca="1" ref="BA774" ca="1">INDEX(OFFSET($AK$19,MATCH($B774,$B$19:$B$150,0)-1,0,COUNTA($B$19:$B$24),COUNTA($AK$17:$BB$17)),MATCH($F774,$F$19:$F$24,0),MATCH(BA$17,$AK$17:$BB$17,0))*INDEX($10:$13,MATCH($O774,$R$10:$R$13,0),COLUMN())</f>
        <v>3.1312246068999996E-3</v>
      </c>
      <c r="BB774" s="1051" cm="1">
        <f t="array" aca="1" ref="BB774" ca="1">INDEX(OFFSET($AK$19,MATCH($B774,$B$19:$B$150,0)-1,0,COUNTA($B$19:$B$24),COUNTA($AK$17:$BB$17)),MATCH($F774,$F$19:$F$24,0),MATCH(BB$17,$AK$17:$BB$17,0))*INDEX($10:$13,MATCH($O774,$R$10:$R$13,0),COLUMN())</f>
        <v>1.0451378005000001E-2</v>
      </c>
      <c r="BC774" s="1053">
        <f t="shared" ca="1" si="200"/>
        <v>5.5468974153858375E-2</v>
      </c>
      <c r="BE774" s="1"/>
      <c r="BF774" s="1"/>
      <c r="BG774" s="1"/>
      <c r="BH774" s="1"/>
      <c r="BI774" s="1"/>
      <c r="BJ774" s="1"/>
      <c r="BK774" s="1"/>
      <c r="BL774" s="1"/>
      <c r="BM774" s="1"/>
      <c r="BN774" s="1"/>
      <c r="BO774" s="1"/>
      <c r="BP774" s="1"/>
      <c r="BQ774" s="1"/>
      <c r="BR774" s="1"/>
      <c r="BS774" s="1"/>
      <c r="BT774" s="1"/>
      <c r="BU774" s="1"/>
      <c r="BV774" s="1"/>
      <c r="BW774" s="1"/>
      <c r="BX774" s="1"/>
      <c r="BY774" s="1"/>
      <c r="BZ774" s="1"/>
    </row>
    <row r="775" spans="2:78" ht="12" customHeight="1" outlineLevel="1" x14ac:dyDescent="0.25">
      <c r="B775" s="104" t="s">
        <v>111</v>
      </c>
      <c r="C775" s="104" t="s">
        <v>121</v>
      </c>
      <c r="D775" s="2" t="s">
        <v>148</v>
      </c>
      <c r="E775" s="2" t="s">
        <v>149</v>
      </c>
      <c r="F775" s="105" t="s">
        <v>95</v>
      </c>
      <c r="G775" s="27" t="s">
        <v>1581</v>
      </c>
      <c r="H775" s="106" t="s">
        <v>128</v>
      </c>
      <c r="I775" s="107" t="s">
        <v>127</v>
      </c>
      <c r="J775" s="147">
        <v>0.76959932000000009</v>
      </c>
      <c r="K775" s="148">
        <v>1.79</v>
      </c>
      <c r="L775" s="149">
        <f t="shared" ca="1" si="197"/>
        <v>9.8069966614337742E-2</v>
      </c>
      <c r="M775" s="148">
        <f t="shared" ca="1" si="198"/>
        <v>1.9655452402396647</v>
      </c>
      <c r="N775" s="148">
        <f t="shared" ca="1" si="199"/>
        <v>0.17554524023966456</v>
      </c>
      <c r="O775" s="1062" t="s">
        <v>1586</v>
      </c>
      <c r="P775" s="104"/>
      <c r="R775" s="119"/>
      <c r="S775" s="1072"/>
      <c r="T775" s="1072"/>
      <c r="U775" s="1072"/>
      <c r="V775" s="1072"/>
      <c r="W775" s="1072"/>
      <c r="X775" s="1072"/>
      <c r="Y775" s="1072"/>
      <c r="Z775" s="1072"/>
      <c r="AA775" s="1072"/>
      <c r="AB775" s="1072"/>
      <c r="AC775" s="1072"/>
      <c r="AD775" s="1072"/>
      <c r="AE775" s="1072"/>
      <c r="AF775" s="1072"/>
      <c r="AG775" s="1072"/>
      <c r="AH775" s="1072"/>
      <c r="AI775" s="1072"/>
      <c r="AJ775" s="1073"/>
      <c r="AK775" s="1052" cm="1">
        <f t="array" aca="1" ref="AK775" ca="1">INDEX(OFFSET($AK$19,MATCH($B775,$B$19:$B$150,0)-1,0,COUNTA($B$19:$B$24),COUNTA($AK$17:$BB$17)),MATCH($F775,$F$19:$F$24,0),MATCH(AK$17,$AK$17:$BB$17,0))*INDEX($10:$13,MATCH($O775,$R$10:$R$13,0),COLUMN())</f>
        <v>8.3999744799999991E-3</v>
      </c>
      <c r="AL775" s="1050" cm="1">
        <f t="array" aca="1" ref="AL775" ca="1">INDEX(OFFSET($AK$19,MATCH($B775,$B$19:$B$150,0)-1,0,COUNTA($B$19:$B$24),COUNTA($AK$17:$BB$17)),MATCH($F775,$F$19:$F$24,0),MATCH(AL$17,$AK$17:$BB$17,0))*INDEX($10:$13,MATCH($O775,$R$10:$R$13,0),COLUMN())</f>
        <v>1.7966385624000001E-8</v>
      </c>
      <c r="AM775" s="1050" cm="1">
        <f t="array" aca="1" ref="AM775" ca="1">INDEX(OFFSET($AK$19,MATCH($B775,$B$19:$B$150,0)-1,0,COUNTA($B$19:$B$24),COUNTA($AK$17:$BB$17)),MATCH($F775,$F$19:$F$24,0),MATCH(AM$17,$AK$17:$BB$17,0))*INDEX($10:$13,MATCH($O775,$R$10:$R$13,0),COLUMN())</f>
        <v>0</v>
      </c>
      <c r="AN775" s="1050" cm="1">
        <f t="array" aca="1" ref="AN775" ca="1">INDEX(OFFSET($AK$19,MATCH($B775,$B$19:$B$150,0)-1,0,COUNTA($B$19:$B$24),COUNTA($AK$17:$BB$17)),MATCH($F775,$F$19:$F$24,0),MATCH(AN$17,$AK$17:$BB$17,0))*INDEX($10:$13,MATCH($O775,$R$10:$R$13,0),COLUMN())</f>
        <v>5.8890386220000009E-4</v>
      </c>
      <c r="AO775" s="1050" cm="1">
        <f t="array" aca="1" ref="AO775" ca="1">INDEX(OFFSET($AK$19,MATCH($B775,$B$19:$B$150,0)-1,0,COUNTA($B$19:$B$24),COUNTA($AK$17:$BB$17)),MATCH($F775,$F$19:$F$24,0),MATCH(AO$17,$AK$17:$BB$17,0))*INDEX($10:$13,MATCH($O775,$R$10:$R$13,0),COLUMN())</f>
        <v>5.0504789424657536E-3</v>
      </c>
      <c r="AP775" s="1050" cm="1">
        <f t="array" aca="1" ref="AP775" ca="1">INDEX(OFFSET($AK$19,MATCH($B775,$B$19:$B$150,0)-1,0,COUNTA($B$19:$B$24),COUNTA($AK$17:$BB$17)),MATCH($F775,$F$19:$F$24,0),MATCH(AP$17,$AK$17:$BB$17,0))*INDEX($10:$13,MATCH($O775,$R$10:$R$13,0),COLUMN())</f>
        <v>2.8109925647999997E-3</v>
      </c>
      <c r="AQ775" s="1050" cm="1">
        <f t="array" aca="1" ref="AQ775" ca="1">INDEX(OFFSET($AK$19,MATCH($B775,$B$19:$B$150,0)-1,0,COUNTA($B$19:$B$24),COUNTA($AK$17:$BB$17)),MATCH($F775,$F$19:$F$24,0),MATCH(AQ$17,$AK$17:$BB$17,0))*INDEX($10:$13,MATCH($O775,$R$10:$R$13,0),COLUMN())</f>
        <v>4.7227339360000004E-3</v>
      </c>
      <c r="AR775" s="1050" cm="1">
        <f t="array" aca="1" ref="AR775" ca="1">INDEX(OFFSET($AK$19,MATCH($B775,$B$19:$B$150,0)-1,0,COUNTA($B$19:$B$24),COUNTA($AK$17:$BB$17)),MATCH($F775,$F$19:$F$24,0),MATCH(AR$17,$AK$17:$BB$17,0))*INDEX($10:$13,MATCH($O775,$R$10:$R$13,0),COLUMN())</f>
        <v>6.0514264678000002E-2</v>
      </c>
      <c r="AS775" s="1050" cm="1">
        <f t="array" aca="1" ref="AS775" ca="1">INDEX(OFFSET($AK$19,MATCH($B775,$B$19:$B$150,0)-1,0,COUNTA($B$19:$B$24),COUNTA($AK$17:$BB$17)),MATCH($F775,$F$19:$F$24,0),MATCH(AS$17,$AK$17:$BB$17,0))*INDEX($10:$13,MATCH($O775,$R$10:$R$13,0),COLUMN())</f>
        <v>3.3004908697999998E-4</v>
      </c>
      <c r="AT775" s="1050" cm="1">
        <f t="array" aca="1" ref="AT775" ca="1">INDEX(OFFSET($AK$19,MATCH($B775,$B$19:$B$150,0)-1,0,COUNTA($B$19:$B$24),COUNTA($AK$17:$BB$17)),MATCH($F775,$F$19:$F$24,0),MATCH(AT$17,$AK$17:$BB$17,0))*INDEX($10:$13,MATCH($O775,$R$10:$R$13,0),COLUMN())</f>
        <v>7.5840948940000001E-7</v>
      </c>
      <c r="AU775" s="1050" cm="1">
        <f t="array" aca="1" ref="AU775" ca="1">INDEX(OFFSET($AK$19,MATCH($B775,$B$19:$B$150,0)-1,0,COUNTA($B$19:$B$24),COUNTA($AK$17:$BB$17)),MATCH($F775,$F$19:$F$24,0),MATCH(AU$17,$AK$17:$BB$17,0))*INDEX($10:$13,MATCH($O775,$R$10:$R$13,0),COLUMN())</f>
        <v>1.7066609513999999E-7</v>
      </c>
      <c r="AV775" s="1050" cm="1">
        <f t="array" aca="1" ref="AV775" ca="1">INDEX(OFFSET($AK$19,MATCH($B775,$B$19:$B$150,0)-1,0,COUNTA($B$19:$B$24),COUNTA($AK$17:$BB$17)),MATCH($F775,$F$19:$F$24,0),MATCH(AV$17,$AK$17:$BB$17,0))*INDEX($10:$13,MATCH($O775,$R$10:$R$13,0),COLUMN())</f>
        <v>2.8953945499218543E-4</v>
      </c>
      <c r="AW775" s="1050" cm="1">
        <f t="array" aca="1" ref="AW775" ca="1">INDEX(OFFSET($AK$19,MATCH($B775,$B$19:$B$150,0)-1,0,COUNTA($B$19:$B$24),COUNTA($AK$17:$BB$17)),MATCH($F775,$F$19:$F$24,0),MATCH(AW$17,$AK$17:$BB$17,0))*INDEX($10:$13,MATCH($O775,$R$10:$R$13,0),COLUMN())</f>
        <v>7.4485076560000002E-2</v>
      </c>
      <c r="AX775" s="1050" cm="1">
        <f t="array" aca="1" ref="AX775" ca="1">INDEX(OFFSET($AK$19,MATCH($B775,$B$19:$B$150,0)-1,0,COUNTA($B$19:$B$24),COUNTA($AK$17:$BB$17)),MATCH($F775,$F$19:$F$24,0),MATCH(AX$17,$AK$17:$BB$17,0))*INDEX($10:$13,MATCH($O775,$R$10:$R$13,0),COLUMN())</f>
        <v>4.7517944150000004E-8</v>
      </c>
      <c r="AY775" s="1050" cm="1">
        <f t="array" aca="1" ref="AY775" ca="1">INDEX(OFFSET($AK$19,MATCH($B775,$B$19:$B$150,0)-1,0,COUNTA($B$19:$B$24),COUNTA($AK$17:$BB$17)),MATCH($F775,$F$19:$F$24,0),MATCH(AY$17,$AK$17:$BB$17,0))*INDEX($10:$13,MATCH($O775,$R$10:$R$13,0),COLUMN())</f>
        <v>-3.0471319870000003E-11</v>
      </c>
      <c r="AZ775" s="1050" cm="1">
        <f t="array" aca="1" ref="AZ775" ca="1">INDEX(OFFSET($AK$19,MATCH($B775,$B$19:$B$150,0)-1,0,COUNTA($B$19:$B$24),COUNTA($AK$17:$BB$17)),MATCH($F775,$F$19:$F$24,0),MATCH(AZ$17,$AK$17:$BB$17,0))*INDEX($10:$13,MATCH($O775,$R$10:$R$13,0),COLUMN())</f>
        <v>1.1999015836065572E-6</v>
      </c>
      <c r="BA775" s="1050" cm="1">
        <f t="array" aca="1" ref="BA775" ca="1">INDEX(OFFSET($AK$19,MATCH($B775,$B$19:$B$150,0)-1,0,COUNTA($B$19:$B$24),COUNTA($AK$17:$BB$17)),MATCH($F775,$F$19:$F$24,0),MATCH(BA$17,$AK$17:$BB$17,0))*INDEX($10:$13,MATCH($O775,$R$10:$R$13,0),COLUMN())</f>
        <v>4.3165695832000006E-3</v>
      </c>
      <c r="BB775" s="1051" cm="1">
        <f t="array" aca="1" ref="BB775" ca="1">INDEX(OFFSET($AK$19,MATCH($B775,$B$19:$B$150,0)-1,0,COUNTA($B$19:$B$24),COUNTA($AK$17:$BB$17)),MATCH($F775,$F$19:$F$24,0),MATCH(BB$17,$AK$17:$BB$17,0))*INDEX($10:$13,MATCH($O775,$R$10:$R$13,0),COLUMN())</f>
        <v>1.4034462660000002E-2</v>
      </c>
      <c r="BC775" s="1053">
        <f t="shared" ca="1" si="200"/>
        <v>7.4485124047472831E-2</v>
      </c>
      <c r="BE775" s="1"/>
      <c r="BF775" s="1"/>
      <c r="BG775" s="1"/>
      <c r="BH775" s="1"/>
      <c r="BI775" s="1"/>
      <c r="BJ775" s="1"/>
      <c r="BK775" s="1"/>
      <c r="BL775" s="1"/>
      <c r="BM775" s="1"/>
      <c r="BN775" s="1"/>
      <c r="BO775" s="1"/>
      <c r="BP775" s="1"/>
      <c r="BQ775" s="1"/>
      <c r="BR775" s="1"/>
      <c r="BS775" s="1"/>
      <c r="BT775" s="1"/>
      <c r="BU775" s="1"/>
      <c r="BV775" s="1"/>
      <c r="BW775" s="1"/>
      <c r="BX775" s="1"/>
      <c r="BY775" s="1"/>
      <c r="BZ775" s="1"/>
    </row>
    <row r="776" spans="2:78" ht="12" customHeight="1" outlineLevel="1" x14ac:dyDescent="0.25">
      <c r="B776" s="104" t="s">
        <v>111</v>
      </c>
      <c r="C776" s="104" t="s">
        <v>121</v>
      </c>
      <c r="D776" s="2" t="s">
        <v>148</v>
      </c>
      <c r="E776" s="2" t="s">
        <v>149</v>
      </c>
      <c r="F776" s="105" t="s">
        <v>96</v>
      </c>
      <c r="G776" s="27" t="s">
        <v>1582</v>
      </c>
      <c r="H776" s="106" t="s">
        <v>128</v>
      </c>
      <c r="I776" s="107" t="s">
        <v>1577</v>
      </c>
      <c r="J776" s="147">
        <v>0.76959932000000009</v>
      </c>
      <c r="K776" s="148">
        <v>1.79</v>
      </c>
      <c r="L776" s="149">
        <f t="shared" ca="1" si="197"/>
        <v>0.10751294536981552</v>
      </c>
      <c r="M776" s="148">
        <f t="shared" ca="1" si="198"/>
        <v>1.9824481722119698</v>
      </c>
      <c r="N776" s="148">
        <f t="shared" ca="1" si="199"/>
        <v>0.1924481722119698</v>
      </c>
      <c r="O776" s="1062" t="s">
        <v>1586</v>
      </c>
      <c r="P776" s="104"/>
      <c r="R776" s="119"/>
      <c r="S776" s="1072"/>
      <c r="T776" s="1072"/>
      <c r="U776" s="1072"/>
      <c r="V776" s="1072"/>
      <c r="W776" s="1072"/>
      <c r="X776" s="1072"/>
      <c r="Y776" s="1072"/>
      <c r="Z776" s="1072"/>
      <c r="AA776" s="1072"/>
      <c r="AB776" s="1072"/>
      <c r="AC776" s="1072"/>
      <c r="AD776" s="1072"/>
      <c r="AE776" s="1072"/>
      <c r="AF776" s="1072"/>
      <c r="AG776" s="1072"/>
      <c r="AH776" s="1072"/>
      <c r="AI776" s="1072"/>
      <c r="AJ776" s="1073"/>
      <c r="AK776" s="1052" cm="1">
        <f t="array" aca="1" ref="AK776" ca="1">INDEX(OFFSET($AK$19,MATCH($B776,$B$19:$B$150,0)-1,0,COUNTA($B$19:$B$24),COUNTA($AK$17:$BB$17)),MATCH($F776,$F$19:$F$24,0),MATCH(AK$17,$AK$17:$BB$17,0))*INDEX($10:$13,MATCH($O776,$R$10:$R$13,0),COLUMN())</f>
        <v>8.9315794320000003E-3</v>
      </c>
      <c r="AL776" s="1050" cm="1">
        <f t="array" aca="1" ref="AL776" ca="1">INDEX(OFFSET($AK$19,MATCH($B776,$B$19:$B$150,0)-1,0,COUNTA($B$19:$B$24),COUNTA($AK$17:$BB$17)),MATCH($F776,$F$19:$F$24,0),MATCH(AL$17,$AK$17:$BB$17,0))*INDEX($10:$13,MATCH($O776,$R$10:$R$13,0),COLUMN())</f>
        <v>1.8000231318000001E-8</v>
      </c>
      <c r="AM776" s="1050" cm="1">
        <f t="array" aca="1" ref="AM776" ca="1">INDEX(OFFSET($AK$19,MATCH($B776,$B$19:$B$150,0)-1,0,COUNTA($B$19:$B$24),COUNTA($AK$17:$BB$17)),MATCH($F776,$F$19:$F$24,0),MATCH(AM$17,$AK$17:$BB$17,0))*INDEX($10:$13,MATCH($O776,$R$10:$R$13,0),COLUMN())</f>
        <v>0</v>
      </c>
      <c r="AN776" s="1050" cm="1">
        <f t="array" aca="1" ref="AN776" ca="1">INDEX(OFFSET($AK$19,MATCH($B776,$B$19:$B$150,0)-1,0,COUNTA($B$19:$B$24),COUNTA($AK$17:$BB$17)),MATCH($F776,$F$19:$F$24,0),MATCH(AN$17,$AK$17:$BB$17,0))*INDEX($10:$13,MATCH($O776,$R$10:$R$13,0),COLUMN())</f>
        <v>6.0108506879999999E-4</v>
      </c>
      <c r="AO776" s="1050" cm="1">
        <f t="array" aca="1" ref="AO776" ca="1">INDEX(OFFSET($AK$19,MATCH($B776,$B$19:$B$150,0)-1,0,COUNTA($B$19:$B$24),COUNTA($AK$17:$BB$17)),MATCH($F776,$F$19:$F$24,0),MATCH(AO$17,$AK$17:$BB$17,0))*INDEX($10:$13,MATCH($O776,$R$10:$R$13,0),COLUMN())</f>
        <v>6.6839495589041094E-3</v>
      </c>
      <c r="AP776" s="1050" cm="1">
        <f t="array" aca="1" ref="AP776" ca="1">INDEX(OFFSET($AK$19,MATCH($B776,$B$19:$B$150,0)-1,0,COUNTA($B$19:$B$24),COUNTA($AK$17:$BB$17)),MATCH($F776,$F$19:$F$24,0),MATCH(AP$17,$AK$17:$BB$17,0))*INDEX($10:$13,MATCH($O776,$R$10:$R$13,0),COLUMN())</f>
        <v>4.1158995359999997E-3</v>
      </c>
      <c r="AQ776" s="1050" cm="1">
        <f t="array" aca="1" ref="AQ776" ca="1">INDEX(OFFSET($AK$19,MATCH($B776,$B$19:$B$150,0)-1,0,COUNTA($B$19:$B$24),COUNTA($AK$17:$BB$17)),MATCH($F776,$F$19:$F$24,0),MATCH(AQ$17,$AK$17:$BB$17,0))*INDEX($10:$13,MATCH($O776,$R$10:$R$13,0),COLUMN())</f>
        <v>7.2284214079999997E-3</v>
      </c>
      <c r="AR776" s="1050" cm="1">
        <f t="array" aca="1" ref="AR776" ca="1">INDEX(OFFSET($AK$19,MATCH($B776,$B$19:$B$150,0)-1,0,COUNTA($B$19:$B$24),COUNTA($AK$17:$BB$17)),MATCH($F776,$F$19:$F$24,0),MATCH(AR$17,$AK$17:$BB$17,0))*INDEX($10:$13,MATCH($O776,$R$10:$R$13,0),COLUMN())</f>
        <v>7.100114012E-2</v>
      </c>
      <c r="AS776" s="1050" cm="1">
        <f t="array" aca="1" ref="AS776" ca="1">INDEX(OFFSET($AK$19,MATCH($B776,$B$19:$B$150,0)-1,0,COUNTA($B$19:$B$24),COUNTA($AK$17:$BB$17)),MATCH($F776,$F$19:$F$24,0),MATCH(AS$17,$AK$17:$BB$17,0))*INDEX($10:$13,MATCH($O776,$R$10:$R$13,0),COLUMN())</f>
        <v>5.2486726094000001E-4</v>
      </c>
      <c r="AT776" s="1050" cm="1">
        <f t="array" aca="1" ref="AT776" ca="1">INDEX(OFFSET($AK$19,MATCH($B776,$B$19:$B$150,0)-1,0,COUNTA($B$19:$B$24),COUNTA($AK$17:$BB$17)),MATCH($F776,$F$19:$F$24,0),MATCH(AT$17,$AK$17:$BB$17,0))*INDEX($10:$13,MATCH($O776,$R$10:$R$13,0),COLUMN())</f>
        <v>8.4583528819999995E-7</v>
      </c>
      <c r="AU776" s="1050" cm="1">
        <f t="array" aca="1" ref="AU776" ca="1">INDEX(OFFSET($AK$19,MATCH($B776,$B$19:$B$150,0)-1,0,COUNTA($B$19:$B$24),COUNTA($AK$17:$BB$17)),MATCH($F776,$F$19:$F$24,0),MATCH(AU$17,$AK$17:$BB$17,0))*INDEX($10:$13,MATCH($O776,$R$10:$R$13,0),COLUMN())</f>
        <v>1.8314426909999998E-7</v>
      </c>
      <c r="AV776" s="1050" cm="1">
        <f t="array" aca="1" ref="AV776" ca="1">INDEX(OFFSET($AK$19,MATCH($B776,$B$19:$B$150,0)-1,0,COUNTA($B$19:$B$24),COUNTA($AK$17:$BB$17)),MATCH($F776,$F$19:$F$24,0),MATCH(AV$17,$AK$17:$BB$17,0))*INDEX($10:$13,MATCH($O776,$R$10:$R$13,0),COLUMN())</f>
        <v>4.4974956439184353E-4</v>
      </c>
      <c r="AW776" s="1050" cm="1">
        <f t="array" aca="1" ref="AW776" ca="1">INDEX(OFFSET($AK$19,MATCH($B776,$B$19:$B$150,0)-1,0,COUNTA($B$19:$B$24),COUNTA($AK$17:$BB$17)),MATCH($F776,$F$19:$F$24,0),MATCH(AW$17,$AK$17:$BB$17,0))*INDEX($10:$13,MATCH($O776,$R$10:$R$13,0),COLUMN())</f>
        <v>7.4485076560000002E-2</v>
      </c>
      <c r="AX776" s="1050" cm="1">
        <f t="array" aca="1" ref="AX776" ca="1">INDEX(OFFSET($AK$19,MATCH($B776,$B$19:$B$150,0)-1,0,COUNTA($B$19:$B$24),COUNTA($AK$17:$BB$17)),MATCH($F776,$F$19:$F$24,0),MATCH(AX$17,$AK$17:$BB$17,0))*INDEX($10:$13,MATCH($O776,$R$10:$R$13,0),COLUMN())</f>
        <v>4.7517944150000004E-8</v>
      </c>
      <c r="AY776" s="1050" cm="1">
        <f t="array" aca="1" ref="AY776" ca="1">INDEX(OFFSET($AK$19,MATCH($B776,$B$19:$B$150,0)-1,0,COUNTA($B$19:$B$24),COUNTA($AK$17:$BB$17)),MATCH($F776,$F$19:$F$24,0),MATCH(AY$17,$AK$17:$BB$17,0))*INDEX($10:$13,MATCH($O776,$R$10:$R$13,0),COLUMN())</f>
        <v>-3.0471319870000003E-11</v>
      </c>
      <c r="AZ776" s="1050" cm="1">
        <f t="array" aca="1" ref="AZ776" ca="1">INDEX(OFFSET($AK$19,MATCH($B776,$B$19:$B$150,0)-1,0,COUNTA($B$19:$B$24),COUNTA($AK$17:$BB$17)),MATCH($F776,$F$19:$F$24,0),MATCH(AZ$17,$AK$17:$BB$17,0))*INDEX($10:$13,MATCH($O776,$R$10:$R$13,0),COLUMN())</f>
        <v>1.2005456723653393E-6</v>
      </c>
      <c r="BA776" s="1050" cm="1">
        <f t="array" aca="1" ref="BA776" ca="1">INDEX(OFFSET($AK$19,MATCH($B776,$B$19:$B$150,0)-1,0,COUNTA($B$19:$B$24),COUNTA($AK$17:$BB$17)),MATCH($F776,$F$19:$F$24,0),MATCH(BA$17,$AK$17:$BB$17,0))*INDEX($10:$13,MATCH($O776,$R$10:$R$13,0),COLUMN())</f>
        <v>4.3895863399999995E-3</v>
      </c>
      <c r="BB776" s="1051" cm="1">
        <f t="array" aca="1" ref="BB776" ca="1">INDEX(OFFSET($AK$19,MATCH($B776,$B$19:$B$150,0)-1,0,COUNTA($B$19:$B$24),COUNTA($AK$17:$BB$17)),MATCH($F776,$F$19:$F$24,0),MATCH(BB$17,$AK$17:$BB$17,0))*INDEX($10:$13,MATCH($O776,$R$10:$R$13,0),COLUMN())</f>
        <v>1.403452235E-2</v>
      </c>
      <c r="BC776" s="1053">
        <f t="shared" ca="1" si="200"/>
        <v>7.4485124047472831E-2</v>
      </c>
      <c r="BE776" s="1"/>
      <c r="BF776" s="1"/>
      <c r="BG776" s="1"/>
      <c r="BH776" s="1"/>
      <c r="BI776" s="1"/>
      <c r="BJ776" s="1"/>
      <c r="BK776" s="1"/>
      <c r="BL776" s="1"/>
      <c r="BM776" s="1"/>
      <c r="BN776" s="1"/>
      <c r="BO776" s="1"/>
      <c r="BP776" s="1"/>
      <c r="BQ776" s="1"/>
      <c r="BR776" s="1"/>
      <c r="BS776" s="1"/>
      <c r="BT776" s="1"/>
      <c r="BU776" s="1"/>
      <c r="BV776" s="1"/>
      <c r="BW776" s="1"/>
      <c r="BX776" s="1"/>
      <c r="BY776" s="1"/>
      <c r="BZ776" s="1"/>
    </row>
    <row r="777" spans="2:78" ht="12" customHeight="1" outlineLevel="1" x14ac:dyDescent="0.25">
      <c r="B777" s="88" t="s">
        <v>112</v>
      </c>
      <c r="C777" s="88" t="s">
        <v>121</v>
      </c>
      <c r="D777" s="89" t="s">
        <v>148</v>
      </c>
      <c r="E777" s="89" t="s">
        <v>150</v>
      </c>
      <c r="F777" s="90" t="s">
        <v>92</v>
      </c>
      <c r="G777" s="18" t="s">
        <v>126</v>
      </c>
      <c r="H777" s="91" t="s">
        <v>127</v>
      </c>
      <c r="I777" s="92" t="s">
        <v>127</v>
      </c>
      <c r="J777" s="142">
        <v>0.44</v>
      </c>
      <c r="K777" s="143">
        <v>0.28999999999999998</v>
      </c>
      <c r="L777" s="144">
        <f t="shared" ca="1" si="197"/>
        <v>0.50506604117213383</v>
      </c>
      <c r="M777" s="143">
        <f t="shared" ca="1" si="198"/>
        <v>0.43646915193991875</v>
      </c>
      <c r="N777" s="143">
        <f t="shared" ca="1" si="199"/>
        <v>0.1464691519399188</v>
      </c>
      <c r="O777" s="1063" t="s">
        <v>1586</v>
      </c>
      <c r="P777" s="88"/>
      <c r="Q777" s="89"/>
      <c r="R777" s="150"/>
      <c r="S777" s="1070"/>
      <c r="T777" s="1070"/>
      <c r="U777" s="1070"/>
      <c r="V777" s="1070"/>
      <c r="W777" s="1070"/>
      <c r="X777" s="1070"/>
      <c r="Y777" s="1070"/>
      <c r="Z777" s="1070"/>
      <c r="AA777" s="1070"/>
      <c r="AB777" s="1070"/>
      <c r="AC777" s="1070"/>
      <c r="AD777" s="1070"/>
      <c r="AE777" s="1070"/>
      <c r="AF777" s="1070"/>
      <c r="AG777" s="1070"/>
      <c r="AH777" s="1070"/>
      <c r="AI777" s="1070"/>
      <c r="AJ777" s="1071"/>
      <c r="AK777" s="1048" cm="1">
        <f t="array" aca="1" ref="AK777" ca="1">INDEX(OFFSET($AK$19,MATCH($B777,$B$19:$B$150,0)-1,0,COUNTA($B$19:$B$24),COUNTA($AK$17:$BB$17)),MATCH($F777,$F$19:$F$24,0),MATCH(AK$17,$AK$17:$BB$17,0))*INDEX($10:$13,MATCH($O777,$R$10:$R$13,0),COLUMN())</f>
        <v>8.3532686799999995E-3</v>
      </c>
      <c r="AL777" s="1046" cm="1">
        <f t="array" aca="1" ref="AL777" ca="1">INDEX(OFFSET($AK$19,MATCH($B777,$B$19:$B$150,0)-1,0,COUNTA($B$19:$B$24),COUNTA($AK$17:$BB$17)),MATCH($F777,$F$19:$F$24,0),MATCH(AL$17,$AK$17:$BB$17,0))*INDEX($10:$13,MATCH($O777,$R$10:$R$13,0),COLUMN())</f>
        <v>1.4617903818000001E-8</v>
      </c>
      <c r="AM777" s="1046" cm="1">
        <f t="array" aca="1" ref="AM777" ca="1">INDEX(OFFSET($AK$19,MATCH($B777,$B$19:$B$150,0)-1,0,COUNTA($B$19:$B$24),COUNTA($AK$17:$BB$17)),MATCH($F777,$F$19:$F$24,0),MATCH(AM$17,$AK$17:$BB$17,0))*INDEX($10:$13,MATCH($O777,$R$10:$R$13,0),COLUMN())</f>
        <v>0</v>
      </c>
      <c r="AN777" s="1046" cm="1">
        <f t="array" aca="1" ref="AN777" ca="1">INDEX(OFFSET($AK$19,MATCH($B777,$B$19:$B$150,0)-1,0,COUNTA($B$19:$B$24),COUNTA($AK$17:$BB$17)),MATCH($F777,$F$19:$F$24,0),MATCH(AN$17,$AK$17:$BB$17,0))*INDEX($10:$13,MATCH($O777,$R$10:$R$13,0),COLUMN())</f>
        <v>2.2613443920000003E-4</v>
      </c>
      <c r="AO777" s="1046" cm="1">
        <f t="array" aca="1" ref="AO777" ca="1">INDEX(OFFSET($AK$19,MATCH($B777,$B$19:$B$150,0)-1,0,COUNTA($B$19:$B$24),COUNTA($AK$17:$BB$17)),MATCH($F777,$F$19:$F$24,0),MATCH(AO$17,$AK$17:$BB$17,0))*INDEX($10:$13,MATCH($O777,$R$10:$R$13,0),COLUMN())</f>
        <v>3.5436558164383559E-3</v>
      </c>
      <c r="AP777" s="1046" cm="1">
        <f t="array" aca="1" ref="AP777" ca="1">INDEX(OFFSET($AK$19,MATCH($B777,$B$19:$B$150,0)-1,0,COUNTA($B$19:$B$24),COUNTA($AK$17:$BB$17)),MATCH($F777,$F$19:$F$24,0),MATCH(AP$17,$AK$17:$BB$17,0))*INDEX($10:$13,MATCH($O777,$R$10:$R$13,0),COLUMN())</f>
        <v>2.3388187872E-3</v>
      </c>
      <c r="AQ777" s="1046" cm="1">
        <f t="array" aca="1" ref="AQ777" ca="1">INDEX(OFFSET($AK$19,MATCH($B777,$B$19:$B$150,0)-1,0,COUNTA($B$19:$B$24),COUNTA($AK$17:$BB$17)),MATCH($F777,$F$19:$F$24,0),MATCH(AQ$17,$AK$17:$BB$17,0))*INDEX($10:$13,MATCH($O777,$R$10:$R$13,0),COLUMN())</f>
        <v>8.1114286239999996E-3</v>
      </c>
      <c r="AR777" s="1046" cm="1">
        <f t="array" aca="1" ref="AR777" ca="1">INDEX(OFFSET($AK$19,MATCH($B777,$B$19:$B$150,0)-1,0,COUNTA($B$19:$B$24),COUNTA($AK$17:$BB$17)),MATCH($F777,$F$19:$F$24,0),MATCH(AR$17,$AK$17:$BB$17,0))*INDEX($10:$13,MATCH($O777,$R$10:$R$13,0),COLUMN())</f>
        <v>7.3255682160000002E-2</v>
      </c>
      <c r="AS777" s="1046" cm="1">
        <f t="array" aca="1" ref="AS777" ca="1">INDEX(OFFSET($AK$19,MATCH($B777,$B$19:$B$150,0)-1,0,COUNTA($B$19:$B$24),COUNTA($AK$17:$BB$17)),MATCH($F777,$F$19:$F$24,0),MATCH(AS$17,$AK$17:$BB$17,0))*INDEX($10:$13,MATCH($O777,$R$10:$R$13,0),COLUMN())</f>
        <v>1.0822975497999999E-2</v>
      </c>
      <c r="AT777" s="1046" cm="1">
        <f t="array" aca="1" ref="AT777" ca="1">INDEX(OFFSET($AK$19,MATCH($B777,$B$19:$B$150,0)-1,0,COUNTA($B$19:$B$24),COUNTA($AK$17:$BB$17)),MATCH($F777,$F$19:$F$24,0),MATCH(AT$17,$AK$17:$BB$17,0))*INDEX($10:$13,MATCH($O777,$R$10:$R$13,0),COLUMN())</f>
        <v>1.2330576647999999E-5</v>
      </c>
      <c r="AU777" s="1046" cm="1">
        <f t="array" aca="1" ref="AU777" ca="1">INDEX(OFFSET($AK$19,MATCH($B777,$B$19:$B$150,0)-1,0,COUNTA($B$19:$B$24),COUNTA($AK$17:$BB$17)),MATCH($F777,$F$19:$F$24,0),MATCH(AU$17,$AK$17:$BB$17,0))*INDEX($10:$13,MATCH($O777,$R$10:$R$13,0),COLUMN())</f>
        <v>1.0788709043999999E-6</v>
      </c>
      <c r="AV777" s="1046" cm="1">
        <f t="array" aca="1" ref="AV777" ca="1">INDEX(OFFSET($AK$19,MATCH($B777,$B$19:$B$150,0)-1,0,COUNTA($B$19:$B$24),COUNTA($AK$17:$BB$17)),MATCH($F777,$F$19:$F$24,0),MATCH(AV$17,$AK$17:$BB$17,0))*INDEX($10:$13,MATCH($O777,$R$10:$R$13,0),COLUMN())</f>
        <v>2.831395587850096E-4</v>
      </c>
      <c r="AW777" s="1046" cm="1">
        <f t="array" aca="1" ref="AW777" ca="1">INDEX(OFFSET($AK$19,MATCH($B777,$B$19:$B$150,0)-1,0,COUNTA($B$19:$B$24),COUNTA($AK$17:$BB$17)),MATCH($F777,$F$19:$F$24,0),MATCH(AW$17,$AK$17:$BB$17,0))*INDEX($10:$13,MATCH($O777,$R$10:$R$13,0),COLUMN())</f>
        <v>3.315847282E-2</v>
      </c>
      <c r="AX777" s="1046" cm="1">
        <f t="array" aca="1" ref="AX777" ca="1">INDEX(OFFSET($AK$19,MATCH($B777,$B$19:$B$150,0)-1,0,COUNTA($B$19:$B$24),COUNTA($AK$17:$BB$17)),MATCH($F777,$F$19:$F$24,0),MATCH(AX$17,$AK$17:$BB$17,0))*INDEX($10:$13,MATCH($O777,$R$10:$R$13,0),COLUMN())</f>
        <v>1.0138558772E-7</v>
      </c>
      <c r="AY777" s="1046" cm="1">
        <f t="array" aca="1" ref="AY777" ca="1">INDEX(OFFSET($AK$19,MATCH($B777,$B$19:$B$150,0)-1,0,COUNTA($B$19:$B$24),COUNTA($AK$17:$BB$17)),MATCH($F777,$F$19:$F$24,0),MATCH(AY$17,$AK$17:$BB$17,0))*INDEX($10:$13,MATCH($O777,$R$10:$R$13,0),COLUMN())</f>
        <v>-6.7664448459999996E-11</v>
      </c>
      <c r="AZ777" s="1046" cm="1">
        <f t="array" aca="1" ref="AZ777" ca="1">INDEX(OFFSET($AK$19,MATCH($B777,$B$19:$B$150,0)-1,0,COUNTA($B$19:$B$24),COUNTA($AK$17:$BB$17)),MATCH($F777,$F$19:$F$24,0),MATCH(AZ$17,$AK$17:$BB$17,0))*INDEX($10:$13,MATCH($O777,$R$10:$R$13,0),COLUMN())</f>
        <v>4.8347411594847766E-7</v>
      </c>
      <c r="BA777" s="1046" cm="1">
        <f t="array" aca="1" ref="BA777" ca="1">INDEX(OFFSET($AK$19,MATCH($B777,$B$19:$B$150,0)-1,0,COUNTA($B$19:$B$24),COUNTA($AK$17:$BB$17)),MATCH($F777,$F$19:$F$24,0),MATCH(BA$17,$AK$17:$BB$17,0))*INDEX($10:$13,MATCH($O777,$R$10:$R$13,0),COLUMN())</f>
        <v>2.9012252578E-3</v>
      </c>
      <c r="BB777" s="1047" cm="1">
        <f t="array" aca="1" ref="BB777" ca="1">INDEX(OFFSET($AK$19,MATCH($B777,$B$19:$B$150,0)-1,0,COUNTA($B$19:$B$24),COUNTA($AK$17:$BB$17)),MATCH($F777,$F$19:$F$24,0),MATCH(BB$17,$AK$17:$BB$17,0))*INDEX($10:$13,MATCH($O777,$R$10:$R$13,0),COLUMN())</f>
        <v>3.460341441E-3</v>
      </c>
      <c r="BC777" s="1049">
        <f t="shared" ca="1" si="200"/>
        <v>3.3158574137923266E-2</v>
      </c>
      <c r="BE777" s="1"/>
      <c r="BF777" s="1"/>
      <c r="BG777" s="1"/>
      <c r="BH777" s="1"/>
      <c r="BI777" s="1"/>
      <c r="BJ777" s="1"/>
      <c r="BK777" s="1"/>
      <c r="BL777" s="1"/>
      <c r="BM777" s="1"/>
      <c r="BN777" s="1"/>
      <c r="BO777" s="1"/>
      <c r="BP777" s="1"/>
      <c r="BQ777" s="1"/>
      <c r="BR777" s="1"/>
      <c r="BS777" s="1"/>
      <c r="BT777" s="1"/>
      <c r="BU777" s="1"/>
      <c r="BV777" s="1"/>
      <c r="BW777" s="1"/>
      <c r="BX777" s="1"/>
      <c r="BY777" s="1"/>
      <c r="BZ777" s="1"/>
    </row>
    <row r="778" spans="2:78" ht="12" customHeight="1" outlineLevel="1" x14ac:dyDescent="0.25">
      <c r="B778" s="104" t="s">
        <v>112</v>
      </c>
      <c r="C778" s="104" t="s">
        <v>121</v>
      </c>
      <c r="D778" s="2" t="s">
        <v>148</v>
      </c>
      <c r="E778" s="2" t="s">
        <v>150</v>
      </c>
      <c r="F778" s="105" t="s">
        <v>122</v>
      </c>
      <c r="G778" s="27" t="s">
        <v>1579</v>
      </c>
      <c r="H778" s="106" t="s">
        <v>128</v>
      </c>
      <c r="I778" s="107" t="s">
        <v>129</v>
      </c>
      <c r="J778" s="147">
        <v>0.44</v>
      </c>
      <c r="K778" s="148">
        <v>1.33</v>
      </c>
      <c r="L778" s="149">
        <f t="shared" ca="1" si="197"/>
        <v>7.8825523417613674E-2</v>
      </c>
      <c r="M778" s="148">
        <f t="shared" ca="1" si="198"/>
        <v>1.4348379461454264</v>
      </c>
      <c r="N778" s="148">
        <f t="shared" ca="1" si="199"/>
        <v>0.1048379461454262</v>
      </c>
      <c r="O778" s="1062" t="s">
        <v>1586</v>
      </c>
      <c r="P778" s="104"/>
      <c r="R778" s="119"/>
      <c r="S778" s="1072"/>
      <c r="T778" s="1072"/>
      <c r="U778" s="1072"/>
      <c r="V778" s="1072"/>
      <c r="W778" s="1072"/>
      <c r="X778" s="1072"/>
      <c r="Y778" s="1072"/>
      <c r="Z778" s="1072"/>
      <c r="AA778" s="1072"/>
      <c r="AB778" s="1072"/>
      <c r="AC778" s="1072"/>
      <c r="AD778" s="1072"/>
      <c r="AE778" s="1072"/>
      <c r="AF778" s="1072"/>
      <c r="AG778" s="1072"/>
      <c r="AH778" s="1072"/>
      <c r="AI778" s="1072"/>
      <c r="AJ778" s="1073"/>
      <c r="AK778" s="1052" cm="1">
        <f t="array" aca="1" ref="AK778" ca="1">INDEX(OFFSET($AK$19,MATCH($B778,$B$19:$B$150,0)-1,0,COUNTA($B$19:$B$24),COUNTA($AK$17:$BB$17)),MATCH($F778,$F$19:$F$24,0),MATCH(AK$17,$AK$17:$BB$17,0))*INDEX($10:$13,MATCH($O778,$R$10:$R$13,0),COLUMN())</f>
        <v>4.8447055759999998E-3</v>
      </c>
      <c r="AL778" s="1050" cm="1">
        <f t="array" aca="1" ref="AL778" ca="1">INDEX(OFFSET($AK$19,MATCH($B778,$B$19:$B$150,0)-1,0,COUNTA($B$19:$B$24),COUNTA($AK$17:$BB$17)),MATCH($F778,$F$19:$F$24,0),MATCH(AL$17,$AK$17:$BB$17,0))*INDEX($10:$13,MATCH($O778,$R$10:$R$13,0),COLUMN())</f>
        <v>7.6256231460000008E-9</v>
      </c>
      <c r="AM778" s="1050" cm="1">
        <f t="array" aca="1" ref="AM778" ca="1">INDEX(OFFSET($AK$19,MATCH($B778,$B$19:$B$150,0)-1,0,COUNTA($B$19:$B$24),COUNTA($AK$17:$BB$17)),MATCH($F778,$F$19:$F$24,0),MATCH(AM$17,$AK$17:$BB$17,0))*INDEX($10:$13,MATCH($O778,$R$10:$R$13,0),COLUMN())</f>
        <v>0</v>
      </c>
      <c r="AN778" s="1050" cm="1">
        <f t="array" aca="1" ref="AN778" ca="1">INDEX(OFFSET($AK$19,MATCH($B778,$B$19:$B$150,0)-1,0,COUNTA($B$19:$B$24),COUNTA($AK$17:$BB$17)),MATCH($F778,$F$19:$F$24,0),MATCH(AN$17,$AK$17:$BB$17,0))*INDEX($10:$13,MATCH($O778,$R$10:$R$13,0),COLUMN())</f>
        <v>2.5899108300000002E-4</v>
      </c>
      <c r="AO778" s="1050" cm="1">
        <f t="array" aca="1" ref="AO778" ca="1">INDEX(OFFSET($AK$19,MATCH($B778,$B$19:$B$150,0)-1,0,COUNTA($B$19:$B$24),COUNTA($AK$17:$BB$17)),MATCH($F778,$F$19:$F$24,0),MATCH(AO$17,$AK$17:$BB$17,0))*INDEX($10:$13,MATCH($O778,$R$10:$R$13,0),COLUMN())</f>
        <v>1.3482533026027397E-3</v>
      </c>
      <c r="AP778" s="1050" cm="1">
        <f t="array" aca="1" ref="AP778" ca="1">INDEX(OFFSET($AK$19,MATCH($B778,$B$19:$B$150,0)-1,0,COUNTA($B$19:$B$24),COUNTA($AK$17:$BB$17)),MATCH($F778,$F$19:$F$24,0),MATCH(AP$17,$AK$17:$BB$17,0))*INDEX($10:$13,MATCH($O778,$R$10:$R$13,0),COLUMN())</f>
        <v>5.1692662559999999E-4</v>
      </c>
      <c r="AQ778" s="1050" cm="1">
        <f t="array" aca="1" ref="AQ778" ca="1">INDEX(OFFSET($AK$19,MATCH($B778,$B$19:$B$150,0)-1,0,COUNTA($B$19:$B$24),COUNTA($AK$17:$BB$17)),MATCH($F778,$F$19:$F$24,0),MATCH(AQ$17,$AK$17:$BB$17,0))*INDEX($10:$13,MATCH($O778,$R$10:$R$13,0),COLUMN())</f>
        <v>6.7100320959999999E-4</v>
      </c>
      <c r="AR778" s="1050" cm="1">
        <f t="array" aca="1" ref="AR778" ca="1">INDEX(OFFSET($AK$19,MATCH($B778,$B$19:$B$150,0)-1,0,COUNTA($B$19:$B$24),COUNTA($AK$17:$BB$17)),MATCH($F778,$F$19:$F$24,0),MATCH(AR$17,$AK$17:$BB$17,0))*INDEX($10:$13,MATCH($O778,$R$10:$R$13,0),COLUMN())</f>
        <v>4.92499125E-2</v>
      </c>
      <c r="AS778" s="1050" cm="1">
        <f t="array" aca="1" ref="AS778" ca="1">INDEX(OFFSET($AK$19,MATCH($B778,$B$19:$B$150,0)-1,0,COUNTA($B$19:$B$24),COUNTA($AK$17:$BB$17)),MATCH($F778,$F$19:$F$24,0),MATCH(AS$17,$AK$17:$BB$17,0))*INDEX($10:$13,MATCH($O778,$R$10:$R$13,0),COLUMN())</f>
        <v>9.7749802799999992E-6</v>
      </c>
      <c r="AT778" s="1050" cm="1">
        <f t="array" aca="1" ref="AT778" ca="1">INDEX(OFFSET($AK$19,MATCH($B778,$B$19:$B$150,0)-1,0,COUNTA($B$19:$B$24),COUNTA($AK$17:$BB$17)),MATCH($F778,$F$19:$F$24,0),MATCH(AT$17,$AK$17:$BB$17,0))*INDEX($10:$13,MATCH($O778,$R$10:$R$13,0),COLUMN())</f>
        <v>2.9745723748000002E-7</v>
      </c>
      <c r="AU778" s="1050" cm="1">
        <f t="array" aca="1" ref="AU778" ca="1">INDEX(OFFSET($AK$19,MATCH($B778,$B$19:$B$150,0)-1,0,COUNTA($B$19:$B$24),COUNTA($AK$17:$BB$17)),MATCH($F778,$F$19:$F$24,0),MATCH(AU$17,$AK$17:$BB$17,0))*INDEX($10:$13,MATCH($O778,$R$10:$R$13,0),COLUMN())</f>
        <v>7.0794100079999996E-8</v>
      </c>
      <c r="AV778" s="1050" cm="1">
        <f t="array" aca="1" ref="AV778" ca="1">INDEX(OFFSET($AK$19,MATCH($B778,$B$19:$B$150,0)-1,0,COUNTA($B$19:$B$24),COUNTA($AK$17:$BB$17)),MATCH($F778,$F$19:$F$24,0),MATCH(AV$17,$AK$17:$BB$17,0))*INDEX($10:$13,MATCH($O778,$R$10:$R$13,0),COLUMN())</f>
        <v>1.7420781432055381E-5</v>
      </c>
      <c r="AW778" s="1050" cm="1">
        <f t="array" aca="1" ref="AW778" ca="1">INDEX(OFFSET($AK$19,MATCH($B778,$B$19:$B$150,0)-1,0,COUNTA($B$19:$B$24),COUNTA($AK$17:$BB$17)),MATCH($F778,$F$19:$F$24,0),MATCH(AW$17,$AK$17:$BB$17,0))*INDEX($10:$13,MATCH($O778,$R$10:$R$13,0),COLUMN())</f>
        <v>4.1673705830000005E-2</v>
      </c>
      <c r="AX778" s="1050" cm="1">
        <f t="array" aca="1" ref="AX778" ca="1">INDEX(OFFSET($AK$19,MATCH($B778,$B$19:$B$150,0)-1,0,COUNTA($B$19:$B$24),COUNTA($AK$17:$BB$17)),MATCH($F778,$F$19:$F$24,0),MATCH(AX$17,$AK$17:$BB$17,0))*INDEX($10:$13,MATCH($O778,$R$10:$R$13,0),COLUMN())</f>
        <v>2.2099968153999999E-8</v>
      </c>
      <c r="AY778" s="1050" cm="1">
        <f t="array" aca="1" ref="AY778" ca="1">INDEX(OFFSET($AK$19,MATCH($B778,$B$19:$B$150,0)-1,0,COUNTA($B$19:$B$24),COUNTA($AK$17:$BB$17)),MATCH($F778,$F$19:$F$24,0),MATCH(AY$17,$AK$17:$BB$17,0))*INDEX($10:$13,MATCH($O778,$R$10:$R$13,0),COLUMN())</f>
        <v>-1.4171808999000002E-11</v>
      </c>
      <c r="AZ778" s="1050" cm="1">
        <f t="array" aca="1" ref="AZ778" ca="1">INDEX(OFFSET($AK$19,MATCH($B778,$B$19:$B$150,0)-1,0,COUNTA($B$19:$B$24),COUNTA($AK$17:$BB$17)),MATCH($F778,$F$19:$F$24,0),MATCH(AZ$17,$AK$17:$BB$17,0))*INDEX($10:$13,MATCH($O778,$R$10:$R$13,0),COLUMN())</f>
        <v>5.8202775433255264E-7</v>
      </c>
      <c r="BA778" s="1050" cm="1">
        <f t="array" aca="1" ref="BA778" ca="1">INDEX(OFFSET($AK$19,MATCH($B778,$B$19:$B$150,0)-1,0,COUNTA($B$19:$B$24),COUNTA($AK$17:$BB$17)),MATCH($F778,$F$19:$F$24,0),MATCH(BA$17,$AK$17:$BB$17,0))*INDEX($10:$13,MATCH($O778,$R$10:$R$13,0),COLUMN())</f>
        <v>1.9087142663999999E-3</v>
      </c>
      <c r="BB778" s="1051" cm="1">
        <f t="array" aca="1" ref="BB778" ca="1">INDEX(OFFSET($AK$19,MATCH($B778,$B$19:$B$150,0)-1,0,COUNTA($B$19:$B$24),COUNTA($AK$17:$BB$17)),MATCH($F778,$F$19:$F$24,0),MATCH(BB$17,$AK$17:$BB$17,0))*INDEX($10:$13,MATCH($O778,$R$10:$R$13,0),COLUMN())</f>
        <v>4.337558E-3</v>
      </c>
      <c r="BC778" s="1053">
        <f t="shared" ca="1" si="200"/>
        <v>4.1673727915796349E-2</v>
      </c>
      <c r="BE778" s="1"/>
      <c r="BF778" s="1"/>
      <c r="BG778" s="1"/>
      <c r="BH778" s="1"/>
      <c r="BI778" s="1"/>
      <c r="BJ778" s="1"/>
      <c r="BK778" s="1"/>
      <c r="BL778" s="1"/>
      <c r="BM778" s="1"/>
      <c r="BN778" s="1"/>
      <c r="BO778" s="1"/>
      <c r="BP778" s="1"/>
      <c r="BQ778" s="1"/>
      <c r="BR778" s="1"/>
      <c r="BS778" s="1"/>
      <c r="BT778" s="1"/>
      <c r="BU778" s="1"/>
      <c r="BV778" s="1"/>
      <c r="BW778" s="1"/>
      <c r="BX778" s="1"/>
      <c r="BY778" s="1"/>
      <c r="BZ778" s="1"/>
    </row>
    <row r="779" spans="2:78" ht="12" customHeight="1" outlineLevel="1" x14ac:dyDescent="0.25">
      <c r="B779" s="104" t="s">
        <v>112</v>
      </c>
      <c r="C779" s="104" t="s">
        <v>121</v>
      </c>
      <c r="D779" s="2" t="s">
        <v>148</v>
      </c>
      <c r="E779" s="2" t="s">
        <v>150</v>
      </c>
      <c r="F779" s="105" t="s">
        <v>93</v>
      </c>
      <c r="G779" s="27" t="s">
        <v>1578</v>
      </c>
      <c r="H779" s="106" t="s">
        <v>130</v>
      </c>
      <c r="I779" s="107" t="s">
        <v>129</v>
      </c>
      <c r="J779" s="147">
        <v>0.44</v>
      </c>
      <c r="K779" s="148">
        <v>1.33</v>
      </c>
      <c r="L779" s="149">
        <f t="shared" ref="L779:L812" ca="1" si="201">IFERROR(N779/K779,"?")</f>
        <v>0.11173731304918846</v>
      </c>
      <c r="M779" s="148">
        <f t="shared" ref="M779:M812" ca="1" si="202">IFERROR(K779+N779,"?")</f>
        <v>1.4786106263554206</v>
      </c>
      <c r="N779" s="148">
        <f t="shared" ca="1" si="199"/>
        <v>0.14861062635542066</v>
      </c>
      <c r="O779" s="1062" t="s">
        <v>1586</v>
      </c>
      <c r="P779" s="104"/>
      <c r="R779" s="119"/>
      <c r="S779" s="1072"/>
      <c r="T779" s="1072"/>
      <c r="U779" s="1072"/>
      <c r="V779" s="1072"/>
      <c r="W779" s="1072"/>
      <c r="X779" s="1072"/>
      <c r="Y779" s="1072"/>
      <c r="Z779" s="1072"/>
      <c r="AA779" s="1072"/>
      <c r="AB779" s="1072"/>
      <c r="AC779" s="1072"/>
      <c r="AD779" s="1072"/>
      <c r="AE779" s="1072"/>
      <c r="AF779" s="1072"/>
      <c r="AG779" s="1072"/>
      <c r="AH779" s="1072"/>
      <c r="AI779" s="1072"/>
      <c r="AJ779" s="1073"/>
      <c r="AK779" s="1052" cm="1">
        <f t="array" aca="1" ref="AK779" ca="1">INDEX(OFFSET($AK$19,MATCH($B779,$B$19:$B$150,0)-1,0,COUNTA($B$19:$B$24),COUNTA($AK$17:$BB$17)),MATCH($F779,$F$19:$F$24,0),MATCH(AK$17,$AK$17:$BB$17,0))*INDEX($10:$13,MATCH($O779,$R$10:$R$13,0),COLUMN())</f>
        <v>6.8664448080000004E-3</v>
      </c>
      <c r="AL779" s="1050" cm="1">
        <f t="array" aca="1" ref="AL779" ca="1">INDEX(OFFSET($AK$19,MATCH($B779,$B$19:$B$150,0)-1,0,COUNTA($B$19:$B$24),COUNTA($AK$17:$BB$17)),MATCH($F779,$F$19:$F$24,0),MATCH(AL$17,$AK$17:$BB$17,0))*INDEX($10:$13,MATCH($O779,$R$10:$R$13,0),COLUMN())</f>
        <v>1.0807864410000001E-8</v>
      </c>
      <c r="AM779" s="1050" cm="1">
        <f t="array" aca="1" ref="AM779" ca="1">INDEX(OFFSET($AK$19,MATCH($B779,$B$19:$B$150,0)-1,0,COUNTA($B$19:$B$24),COUNTA($AK$17:$BB$17)),MATCH($F779,$F$19:$F$24,0),MATCH(AM$17,$AK$17:$BB$17,0))*INDEX($10:$13,MATCH($O779,$R$10:$R$13,0),COLUMN())</f>
        <v>0</v>
      </c>
      <c r="AN779" s="1050" cm="1">
        <f t="array" aca="1" ref="AN779" ca="1">INDEX(OFFSET($AK$19,MATCH($B779,$B$19:$B$150,0)-1,0,COUNTA($B$19:$B$24),COUNTA($AK$17:$BB$17)),MATCH($F779,$F$19:$F$24,0),MATCH(AN$17,$AK$17:$BB$17,0))*INDEX($10:$13,MATCH($O779,$R$10:$R$13,0),COLUMN())</f>
        <v>3.6707040660000003E-4</v>
      </c>
      <c r="AO779" s="1050" cm="1">
        <f t="array" aca="1" ref="AO779" ca="1">INDEX(OFFSET($AK$19,MATCH($B779,$B$19:$B$150,0)-1,0,COUNTA($B$19:$B$24),COUNTA($AK$17:$BB$17)),MATCH($F779,$F$19:$F$24,0),MATCH(AO$17,$AK$17:$BB$17,0))*INDEX($10:$13,MATCH($O779,$R$10:$R$13,0),COLUMN())</f>
        <v>1.9108915220547944E-3</v>
      </c>
      <c r="AP779" s="1050" cm="1">
        <f t="array" aca="1" ref="AP779" ca="1">INDEX(OFFSET($AK$19,MATCH($B779,$B$19:$B$150,0)-1,0,COUNTA($B$19:$B$24),COUNTA($AK$17:$BB$17)),MATCH($F779,$F$19:$F$24,0),MATCH(AP$17,$AK$17:$BB$17,0))*INDEX($10:$13,MATCH($O779,$R$10:$R$13,0),COLUMN())</f>
        <v>7.3264474079999997E-4</v>
      </c>
      <c r="AQ779" s="1050" cm="1">
        <f t="array" aca="1" ref="AQ779" ca="1">INDEX(OFFSET($AK$19,MATCH($B779,$B$19:$B$150,0)-1,0,COUNTA($B$19:$B$24),COUNTA($AK$17:$BB$17)),MATCH($F779,$F$19:$F$24,0),MATCH(AQ$17,$AK$17:$BB$17,0))*INDEX($10:$13,MATCH($O779,$R$10:$R$13,0),COLUMN())</f>
        <v>9.5101891680000005E-4</v>
      </c>
      <c r="AR779" s="1050" cm="1">
        <f t="array" aca="1" ref="AR779" ca="1">INDEX(OFFSET($AK$19,MATCH($B779,$B$19:$B$150,0)-1,0,COUNTA($B$19:$B$24),COUNTA($AK$17:$BB$17)),MATCH($F779,$F$19:$F$24,0),MATCH(AR$17,$AK$17:$BB$17,0))*INDEX($10:$13,MATCH($O779,$R$10:$R$13,0),COLUMN())</f>
        <v>6.9802347559999992E-2</v>
      </c>
      <c r="AS779" s="1050" cm="1">
        <f t="array" aca="1" ref="AS779" ca="1">INDEX(OFFSET($AK$19,MATCH($B779,$B$19:$B$150,0)-1,0,COUNTA($B$19:$B$24),COUNTA($AK$17:$BB$17)),MATCH($F779,$F$19:$F$24,0),MATCH(AS$17,$AK$17:$BB$17,0))*INDEX($10:$13,MATCH($O779,$R$10:$R$13,0),COLUMN())</f>
        <v>2.3570326538999998E-5</v>
      </c>
      <c r="AT779" s="1050" cm="1">
        <f t="array" aca="1" ref="AT779" ca="1">INDEX(OFFSET($AK$19,MATCH($B779,$B$19:$B$150,0)-1,0,COUNTA($B$19:$B$24),COUNTA($AK$17:$BB$17)),MATCH($F779,$F$19:$F$24,0),MATCH(AT$17,$AK$17:$BB$17,0))*INDEX($10:$13,MATCH($O779,$R$10:$R$13,0),COLUMN())</f>
        <v>4.249697794E-7</v>
      </c>
      <c r="AU779" s="1050" cm="1">
        <f t="array" aca="1" ref="AU779" ca="1">INDEX(OFFSET($AK$19,MATCH($B779,$B$19:$B$150,0)-1,0,COUNTA($B$19:$B$24),COUNTA($AK$17:$BB$17)),MATCH($F779,$F$19:$F$24,0),MATCH(AU$17,$AK$17:$BB$17,0))*INDEX($10:$13,MATCH($O779,$R$10:$R$13,0),COLUMN())</f>
        <v>1.0068823092E-7</v>
      </c>
      <c r="AV779" s="1050" cm="1">
        <f t="array" aca="1" ref="AV779" ca="1">INDEX(OFFSET($AK$19,MATCH($B779,$B$19:$B$150,0)-1,0,COUNTA($B$19:$B$24),COUNTA($AK$17:$BB$17)),MATCH($F779,$F$19:$F$24,0),MATCH(AV$17,$AK$17:$BB$17,0))*INDEX($10:$13,MATCH($O779,$R$10:$R$13,0),COLUMN())</f>
        <v>3.7828104614020006E-5</v>
      </c>
      <c r="AW779" s="1050" cm="1">
        <f t="array" aca="1" ref="AW779" ca="1">INDEX(OFFSET($AK$19,MATCH($B779,$B$19:$B$150,0)-1,0,COUNTA($B$19:$B$24),COUNTA($AK$17:$BB$17)),MATCH($F779,$F$19:$F$24,0),MATCH(AW$17,$AK$17:$BB$17,0))*INDEX($10:$13,MATCH($O779,$R$10:$R$13,0),COLUMN())</f>
        <v>5.9064519320000002E-2</v>
      </c>
      <c r="AX779" s="1050" cm="1">
        <f t="array" aca="1" ref="AX779" ca="1">INDEX(OFFSET($AK$19,MATCH($B779,$B$19:$B$150,0)-1,0,COUNTA($B$19:$B$24),COUNTA($AK$17:$BB$17)),MATCH($F779,$F$19:$F$24,0),MATCH(AX$17,$AK$17:$BB$17,0))*INDEX($10:$13,MATCH($O779,$R$10:$R$13,0),COLUMN())</f>
        <v>3.132248438E-8</v>
      </c>
      <c r="AY779" s="1050" cm="1">
        <f t="array" aca="1" ref="AY779" ca="1">INDEX(OFFSET($AK$19,MATCH($B779,$B$19:$B$150,0)-1,0,COUNTA($B$19:$B$24),COUNTA($AK$17:$BB$17)),MATCH($F779,$F$19:$F$24,0),MATCH(AY$17,$AK$17:$BB$17,0))*INDEX($10:$13,MATCH($O779,$R$10:$R$13,0),COLUMN())</f>
        <v>-2.0085832554000002E-11</v>
      </c>
      <c r="AZ779" s="1050" cm="1">
        <f t="array" aca="1" ref="AZ779" ca="1">INDEX(OFFSET($AK$19,MATCH($B779,$B$19:$B$150,0)-1,0,COUNTA($B$19:$B$24),COUNTA($AK$17:$BB$17)),MATCH($F779,$F$19:$F$24,0),MATCH(AZ$17,$AK$17:$BB$17,0))*INDEX($10:$13,MATCH($O779,$R$10:$R$13,0),COLUMN())</f>
        <v>8.249131395784542E-7</v>
      </c>
      <c r="BA779" s="1050" cm="1">
        <f t="array" aca="1" ref="BA779" ca="1">INDEX(OFFSET($AK$19,MATCH($B779,$B$19:$B$150,0)-1,0,COUNTA($B$19:$B$24),COUNTA($AK$17:$BB$17)),MATCH($F779,$F$19:$F$24,0),MATCH(BA$17,$AK$17:$BB$17,0))*INDEX($10:$13,MATCH($O779,$R$10:$R$13,0),COLUMN())</f>
        <v>2.7052379246E-3</v>
      </c>
      <c r="BB779" s="1051" cm="1">
        <f t="array" aca="1" ref="BB779" ca="1">INDEX(OFFSET($AK$19,MATCH($B779,$B$19:$B$150,0)-1,0,COUNTA($B$19:$B$24),COUNTA($AK$17:$BB$17)),MATCH($F779,$F$19:$F$24,0),MATCH(BB$17,$AK$17:$BB$17,0))*INDEX($10:$13,MATCH($O779,$R$10:$R$13,0),COLUMN())</f>
        <v>6.1476600439999999E-3</v>
      </c>
      <c r="BC779" s="1053">
        <f t="shared" ca="1" si="200"/>
        <v>5.9064550622398543E-2</v>
      </c>
      <c r="BE779" s="1"/>
      <c r="BF779" s="1"/>
      <c r="BG779" s="1"/>
      <c r="BH779" s="1"/>
      <c r="BI779" s="1"/>
      <c r="BJ779" s="1"/>
      <c r="BK779" s="1"/>
      <c r="BL779" s="1"/>
      <c r="BM779" s="1"/>
      <c r="BN779" s="1"/>
      <c r="BO779" s="1"/>
      <c r="BP779" s="1"/>
      <c r="BQ779" s="1"/>
      <c r="BR779" s="1"/>
      <c r="BS779" s="1"/>
      <c r="BT779" s="1"/>
      <c r="BU779" s="1"/>
      <c r="BV779" s="1"/>
      <c r="BW779" s="1"/>
      <c r="BX779" s="1"/>
      <c r="BY779" s="1"/>
      <c r="BZ779" s="1"/>
    </row>
    <row r="780" spans="2:78" ht="12" customHeight="1" outlineLevel="1" x14ac:dyDescent="0.25">
      <c r="B780" s="104" t="s">
        <v>112</v>
      </c>
      <c r="C780" s="104" t="s">
        <v>121</v>
      </c>
      <c r="D780" s="2" t="s">
        <v>148</v>
      </c>
      <c r="E780" s="2" t="s">
        <v>150</v>
      </c>
      <c r="F780" s="105" t="s">
        <v>94</v>
      </c>
      <c r="G780" s="27" t="s">
        <v>1580</v>
      </c>
      <c r="H780" s="106" t="s">
        <v>131</v>
      </c>
      <c r="I780" s="107" t="s">
        <v>129</v>
      </c>
      <c r="J780" s="147">
        <v>0.44</v>
      </c>
      <c r="K780" s="148">
        <v>1.33</v>
      </c>
      <c r="L780" s="149">
        <f t="shared" ca="1" si="201"/>
        <v>6.088620413102859E-2</v>
      </c>
      <c r="M780" s="148">
        <f t="shared" ca="1" si="202"/>
        <v>1.4109786514942682</v>
      </c>
      <c r="N780" s="148">
        <f t="shared" ca="1" si="199"/>
        <v>8.0978651494268028E-2</v>
      </c>
      <c r="O780" s="1062" t="s">
        <v>1586</v>
      </c>
      <c r="P780" s="104"/>
      <c r="R780" s="119"/>
      <c r="S780" s="1072"/>
      <c r="T780" s="1072"/>
      <c r="U780" s="1072"/>
      <c r="V780" s="1072"/>
      <c r="W780" s="1072"/>
      <c r="X780" s="1072"/>
      <c r="Y780" s="1072"/>
      <c r="Z780" s="1072"/>
      <c r="AA780" s="1072"/>
      <c r="AB780" s="1072"/>
      <c r="AC780" s="1072"/>
      <c r="AD780" s="1072"/>
      <c r="AE780" s="1072"/>
      <c r="AF780" s="1072"/>
      <c r="AG780" s="1072"/>
      <c r="AH780" s="1072"/>
      <c r="AI780" s="1072"/>
      <c r="AJ780" s="1073"/>
      <c r="AK780" s="1052" cm="1">
        <f t="array" aca="1" ref="AK780" ca="1">INDEX(OFFSET($AK$19,MATCH($B780,$B$19:$B$150,0)-1,0,COUNTA($B$19:$B$24),COUNTA($AK$17:$BB$17)),MATCH($F780,$F$19:$F$24,0),MATCH(AK$17,$AK$17:$BB$17,0))*INDEX($10:$13,MATCH($O780,$R$10:$R$13,0),COLUMN())</f>
        <v>3.7427104400000002E-3</v>
      </c>
      <c r="AL780" s="1050" cm="1">
        <f t="array" aca="1" ref="AL780" ca="1">INDEX(OFFSET($AK$19,MATCH($B780,$B$19:$B$150,0)-1,0,COUNTA($B$19:$B$24),COUNTA($AK$17:$BB$17)),MATCH($F780,$F$19:$F$24,0),MATCH(AL$17,$AK$17:$BB$17,0))*INDEX($10:$13,MATCH($O780,$R$10:$R$13,0),COLUMN())</f>
        <v>5.8910702040000003E-9</v>
      </c>
      <c r="AM780" s="1050" cm="1">
        <f t="array" aca="1" ref="AM780" ca="1">INDEX(OFFSET($AK$19,MATCH($B780,$B$19:$B$150,0)-1,0,COUNTA($B$19:$B$24),COUNTA($AK$17:$BB$17)),MATCH($F780,$F$19:$F$24,0),MATCH(AM$17,$AK$17:$BB$17,0))*INDEX($10:$13,MATCH($O780,$R$10:$R$13,0),COLUMN())</f>
        <v>0</v>
      </c>
      <c r="AN780" s="1050" cm="1">
        <f t="array" aca="1" ref="AN780" ca="1">INDEX(OFFSET($AK$19,MATCH($B780,$B$19:$B$150,0)-1,0,COUNTA($B$19:$B$24),COUNTA($AK$17:$BB$17)),MATCH($F780,$F$19:$F$24,0),MATCH(AN$17,$AK$17:$BB$17,0))*INDEX($10:$13,MATCH($O780,$R$10:$R$13,0),COLUMN())</f>
        <v>2.0007999306000002E-4</v>
      </c>
      <c r="AO780" s="1050" cm="1">
        <f t="array" aca="1" ref="AO780" ca="1">INDEX(OFFSET($AK$19,MATCH($B780,$B$19:$B$150,0)-1,0,COUNTA($B$19:$B$24),COUNTA($AK$17:$BB$17)),MATCH($F780,$F$19:$F$24,0),MATCH(AO$17,$AK$17:$BB$17,0))*INDEX($10:$13,MATCH($O780,$R$10:$R$13,0),COLUMN())</f>
        <v>1.0415745065753424E-3</v>
      </c>
      <c r="AP780" s="1050" cm="1">
        <f t="array" aca="1" ref="AP780" ca="1">INDEX(OFFSET($AK$19,MATCH($B780,$B$19:$B$150,0)-1,0,COUNTA($B$19:$B$24),COUNTA($AK$17:$BB$17)),MATCH($F780,$F$19:$F$24,0),MATCH(AP$17,$AK$17:$BB$17,0))*INDEX($10:$13,MATCH($O780,$R$10:$R$13,0),COLUMN())</f>
        <v>3.9934453439999999E-4</v>
      </c>
      <c r="AQ780" s="1050" cm="1">
        <f t="array" aca="1" ref="AQ780" ca="1">INDEX(OFFSET($AK$19,MATCH($B780,$B$19:$B$150,0)-1,0,COUNTA($B$19:$B$24),COUNTA($AK$17:$BB$17)),MATCH($F780,$F$19:$F$24,0),MATCH(AQ$17,$AK$17:$BB$17,0))*INDEX($10:$13,MATCH($O780,$R$10:$R$13,0),COLUMN())</f>
        <v>5.1837429439999998E-4</v>
      </c>
      <c r="AR780" s="1050" cm="1">
        <f t="array" aca="1" ref="AR780" ca="1">INDEX(OFFSET($AK$19,MATCH($B780,$B$19:$B$150,0)-1,0,COUNTA($B$19:$B$24),COUNTA($AK$17:$BB$17)),MATCH($F780,$F$19:$F$24,0),MATCH(AR$17,$AK$17:$BB$17,0))*INDEX($10:$13,MATCH($O780,$R$10:$R$13,0),COLUMN())</f>
        <v>3.8047341085999997E-2</v>
      </c>
      <c r="AS780" s="1050" cm="1">
        <f t="array" aca="1" ref="AS780" ca="1">INDEX(OFFSET($AK$19,MATCH($B780,$B$19:$B$150,0)-1,0,COUNTA($B$19:$B$24),COUNTA($AK$17:$BB$17)),MATCH($F780,$F$19:$F$24,0),MATCH(AS$17,$AK$17:$BB$17,0))*INDEX($10:$13,MATCH($O780,$R$10:$R$13,0),COLUMN())</f>
        <v>2.2555143012000001E-6</v>
      </c>
      <c r="AT780" s="1050" cm="1">
        <f t="array" aca="1" ref="AT780" ca="1">INDEX(OFFSET($AK$19,MATCH($B780,$B$19:$B$150,0)-1,0,COUNTA($B$19:$B$24),COUNTA($AK$17:$BB$17)),MATCH($F780,$F$19:$F$24,0),MATCH(AT$17,$AK$17:$BB$17,0))*INDEX($10:$13,MATCH($O780,$R$10:$R$13,0),COLUMN())</f>
        <v>2.2795361962000001E-7</v>
      </c>
      <c r="AU780" s="1050" cm="1">
        <f t="array" aca="1" ref="AU780" ca="1">INDEX(OFFSET($AK$19,MATCH($B780,$B$19:$B$150,0)-1,0,COUNTA($B$19:$B$24),COUNTA($AK$17:$BB$17)),MATCH($F780,$F$19:$F$24,0),MATCH(AU$17,$AK$17:$BB$17,0))*INDEX($10:$13,MATCH($O780,$R$10:$R$13,0),COLUMN())</f>
        <v>5.449962162E-8</v>
      </c>
      <c r="AV780" s="1050" cm="1">
        <f t="array" aca="1" ref="AV780" ca="1">INDEX(OFFSET($AK$19,MATCH($B780,$B$19:$B$150,0)-1,0,COUNTA($B$19:$B$24),COUNTA($AK$17:$BB$17)),MATCH($F780,$F$19:$F$24,0),MATCH(AV$17,$AK$17:$BB$17,0))*INDEX($10:$13,MATCH($O780,$R$10:$R$13,0),COLUMN())</f>
        <v>6.2973068415303514E-6</v>
      </c>
      <c r="AW780" s="1050" cm="1">
        <f t="array" aca="1" ref="AW780" ca="1">INDEX(OFFSET($AK$19,MATCH($B780,$B$19:$B$150,0)-1,0,COUNTA($B$19:$B$24),COUNTA($AK$17:$BB$17)),MATCH($F780,$F$19:$F$24,0),MATCH(AW$17,$AK$17:$BB$17,0))*INDEX($10:$13,MATCH($O780,$R$10:$R$13,0),COLUMN())</f>
        <v>3.2194447200000004E-2</v>
      </c>
      <c r="AX780" s="1050" cm="1">
        <f t="array" aca="1" ref="AX780" ca="1">INDEX(OFFSET($AK$19,MATCH($B780,$B$19:$B$150,0)-1,0,COUNTA($B$19:$B$24),COUNTA($AK$17:$BB$17)),MATCH($F780,$F$19:$F$24,0),MATCH(AX$17,$AK$17:$BB$17,0))*INDEX($10:$13,MATCH($O780,$R$10:$R$13,0),COLUMN())</f>
        <v>1.7073025945000002E-8</v>
      </c>
      <c r="AY780" s="1050" cm="1">
        <f t="array" aca="1" ref="AY780" ca="1">INDEX(OFFSET($AK$19,MATCH($B780,$B$19:$B$150,0)-1,0,COUNTA($B$19:$B$24),COUNTA($AK$17:$BB$17)),MATCH($F780,$F$19:$F$24,0),MATCH(AY$17,$AK$17:$BB$17,0))*INDEX($10:$13,MATCH($O780,$R$10:$R$13,0),COLUMN())</f>
        <v>-1.0948235844E-11</v>
      </c>
      <c r="AZ780" s="1050" cm="1">
        <f t="array" aca="1" ref="AZ780" ca="1">INDEX(OFFSET($AK$19,MATCH($B780,$B$19:$B$150,0)-1,0,COUNTA($B$19:$B$24),COUNTA($AK$17:$BB$17)),MATCH($F780,$F$19:$F$24,0),MATCH(AZ$17,$AK$17:$BB$17,0))*INDEX($10:$13,MATCH($O780,$R$10:$R$13,0),COLUMN())</f>
        <v>4.4963750079625288E-7</v>
      </c>
      <c r="BA780" s="1050" cm="1">
        <f t="array" aca="1" ref="BA780" ca="1">INDEX(OFFSET($AK$19,MATCH($B780,$B$19:$B$150,0)-1,0,COUNTA($B$19:$B$24),COUNTA($AK$17:$BB$17)),MATCH($F780,$F$19:$F$24,0),MATCH(BA$17,$AK$17:$BB$17,0))*INDEX($10:$13,MATCH($O780,$R$10:$R$13,0),COLUMN())</f>
        <v>1.4745509207999999E-3</v>
      </c>
      <c r="BB780" s="1051" cm="1">
        <f t="array" aca="1" ref="BB780" ca="1">INDEX(OFFSET($AK$19,MATCH($B780,$B$19:$B$150,0)-1,0,COUNTA($B$19:$B$24),COUNTA($AK$17:$BB$17)),MATCH($F780,$F$19:$F$24,0),MATCH(BB$17,$AK$17:$BB$17,0))*INDEX($10:$13,MATCH($O780,$R$10:$R$13,0),COLUMN())</f>
        <v>3.3509206540000003E-3</v>
      </c>
      <c r="BC780" s="1053">
        <f t="shared" ca="1" si="200"/>
        <v>3.2194464262077713E-2</v>
      </c>
      <c r="BE780" s="1"/>
      <c r="BF780" s="1"/>
      <c r="BG780" s="1"/>
      <c r="BH780" s="1"/>
      <c r="BI780" s="1"/>
      <c r="BJ780" s="1"/>
      <c r="BK780" s="1"/>
      <c r="BL780" s="1"/>
      <c r="BM780" s="1"/>
      <c r="BN780" s="1"/>
      <c r="BO780" s="1"/>
      <c r="BP780" s="1"/>
      <c r="BQ780" s="1"/>
      <c r="BR780" s="1"/>
      <c r="BS780" s="1"/>
      <c r="BT780" s="1"/>
      <c r="BU780" s="1"/>
      <c r="BV780" s="1"/>
      <c r="BW780" s="1"/>
      <c r="BX780" s="1"/>
      <c r="BY780" s="1"/>
      <c r="BZ780" s="1"/>
    </row>
    <row r="781" spans="2:78" ht="12" customHeight="1" outlineLevel="1" x14ac:dyDescent="0.25">
      <c r="B781" s="104" t="s">
        <v>112</v>
      </c>
      <c r="C781" s="104" t="s">
        <v>121</v>
      </c>
      <c r="D781" s="2" t="s">
        <v>148</v>
      </c>
      <c r="E781" s="2" t="s">
        <v>150</v>
      </c>
      <c r="F781" s="105" t="s">
        <v>95</v>
      </c>
      <c r="G781" s="27" t="s">
        <v>1581</v>
      </c>
      <c r="H781" s="106" t="s">
        <v>128</v>
      </c>
      <c r="I781" s="107" t="s">
        <v>127</v>
      </c>
      <c r="J781" s="147">
        <v>0.44</v>
      </c>
      <c r="K781" s="148">
        <v>1.33</v>
      </c>
      <c r="L781" s="149">
        <f t="shared" ca="1" si="201"/>
        <v>8.8615510780704829E-2</v>
      </c>
      <c r="M781" s="148">
        <f t="shared" ca="1" si="202"/>
        <v>1.4478586293383375</v>
      </c>
      <c r="N781" s="148">
        <f t="shared" ca="1" si="199"/>
        <v>0.11785862933833743</v>
      </c>
      <c r="O781" s="1062" t="s">
        <v>1586</v>
      </c>
      <c r="P781" s="104"/>
      <c r="R781" s="119"/>
      <c r="S781" s="1072"/>
      <c r="T781" s="1072"/>
      <c r="U781" s="1072"/>
      <c r="V781" s="1072"/>
      <c r="W781" s="1072"/>
      <c r="X781" s="1072"/>
      <c r="Y781" s="1072"/>
      <c r="Z781" s="1072"/>
      <c r="AA781" s="1072"/>
      <c r="AB781" s="1072"/>
      <c r="AC781" s="1072"/>
      <c r="AD781" s="1072"/>
      <c r="AE781" s="1072"/>
      <c r="AF781" s="1072"/>
      <c r="AG781" s="1072"/>
      <c r="AH781" s="1072"/>
      <c r="AI781" s="1072"/>
      <c r="AJ781" s="1073"/>
      <c r="AK781" s="1052" cm="1">
        <f t="array" aca="1" ref="AK781" ca="1">INDEX(OFFSET($AK$19,MATCH($B781,$B$19:$B$150,0)-1,0,COUNTA($B$19:$B$24),COUNTA($AK$17:$BB$17)),MATCH($F781,$F$19:$F$24,0),MATCH(AK$17,$AK$17:$BB$17,0))*INDEX($10:$13,MATCH($O781,$R$10:$R$13,0),COLUMN())</f>
        <v>5.2597116320000003E-3</v>
      </c>
      <c r="AL781" s="1050" cm="1">
        <f t="array" aca="1" ref="AL781" ca="1">INDEX(OFFSET($AK$19,MATCH($B781,$B$19:$B$150,0)-1,0,COUNTA($B$19:$B$24),COUNTA($AK$17:$BB$17)),MATCH($F781,$F$19:$F$24,0),MATCH(AL$17,$AK$17:$BB$17,0))*INDEX($10:$13,MATCH($O781,$R$10:$R$13,0),COLUMN())</f>
        <v>7.6546390560000005E-9</v>
      </c>
      <c r="AM781" s="1050" cm="1">
        <f t="array" aca="1" ref="AM781" ca="1">INDEX(OFFSET($AK$19,MATCH($B781,$B$19:$B$150,0)-1,0,COUNTA($B$19:$B$24),COUNTA($AK$17:$BB$17)),MATCH($F781,$F$19:$F$24,0),MATCH(AM$17,$AK$17:$BB$17,0))*INDEX($10:$13,MATCH($O781,$R$10:$R$13,0),COLUMN())</f>
        <v>0</v>
      </c>
      <c r="AN781" s="1050" cm="1">
        <f t="array" aca="1" ref="AN781" ca="1">INDEX(OFFSET($AK$19,MATCH($B781,$B$19:$B$150,0)-1,0,COUNTA($B$19:$B$24),COUNTA($AK$17:$BB$17)),MATCH($F781,$F$19:$F$24,0),MATCH(AN$17,$AK$17:$BB$17,0))*INDEX($10:$13,MATCH($O781,$R$10:$R$13,0),COLUMN())</f>
        <v>2.6943409620000004E-4</v>
      </c>
      <c r="AO781" s="1050" cm="1">
        <f t="array" aca="1" ref="AO781" ca="1">INDEX(OFFSET($AK$19,MATCH($B781,$B$19:$B$150,0)-1,0,COUNTA($B$19:$B$24),COUNTA($AK$17:$BB$17)),MATCH($F781,$F$19:$F$24,0),MATCH(AO$17,$AK$17:$BB$17,0))*INDEX($10:$13,MATCH($O781,$R$10:$R$13,0),COLUMN())</f>
        <v>2.6053166971232874E-3</v>
      </c>
      <c r="AP781" s="1050" cm="1">
        <f t="array" aca="1" ref="AP781" ca="1">INDEX(OFFSET($AK$19,MATCH($B781,$B$19:$B$150,0)-1,0,COUNTA($B$19:$B$24),COUNTA($AK$17:$BB$17)),MATCH($F781,$F$19:$F$24,0),MATCH(AP$17,$AK$17:$BB$17,0))*INDEX($10:$13,MATCH($O781,$R$10:$R$13,0),COLUMN())</f>
        <v>1.5191180256000001E-3</v>
      </c>
      <c r="AQ781" s="1050" cm="1">
        <f t="array" aca="1" ref="AQ781" ca="1">INDEX(OFFSET($AK$19,MATCH($B781,$B$19:$B$150,0)-1,0,COUNTA($B$19:$B$24),COUNTA($AK$17:$BB$17)),MATCH($F781,$F$19:$F$24,0),MATCH(AQ$17,$AK$17:$BB$17,0))*INDEX($10:$13,MATCH($O781,$R$10:$R$13,0),COLUMN())</f>
        <v>2.6394814592E-3</v>
      </c>
      <c r="AR781" s="1050" cm="1">
        <f t="array" aca="1" ref="AR781" ca="1">INDEX(OFFSET($AK$19,MATCH($B781,$B$19:$B$150,0)-1,0,COUNTA($B$19:$B$24),COUNTA($AK$17:$BB$17)),MATCH($F781,$F$19:$F$24,0),MATCH(AR$17,$AK$17:$BB$17,0))*INDEX($10:$13,MATCH($O781,$R$10:$R$13,0),COLUMN())</f>
        <v>5.7297533172000002E-2</v>
      </c>
      <c r="AS781" s="1050" cm="1">
        <f t="array" aca="1" ref="AS781" ca="1">INDEX(OFFSET($AK$19,MATCH($B781,$B$19:$B$150,0)-1,0,COUNTA($B$19:$B$24),COUNTA($AK$17:$BB$17)),MATCH($F781,$F$19:$F$24,0),MATCH(AS$17,$AK$17:$BB$17,0))*INDEX($10:$13,MATCH($O781,$R$10:$R$13,0),COLUMN())</f>
        <v>1.6328687535999999E-4</v>
      </c>
      <c r="AT781" s="1050" cm="1">
        <f t="array" aca="1" ref="AT781" ca="1">INDEX(OFFSET($AK$19,MATCH($B781,$B$19:$B$150,0)-1,0,COUNTA($B$19:$B$24),COUNTA($AK$17:$BB$17)),MATCH($F781,$F$19:$F$24,0),MATCH(AT$17,$AK$17:$BB$17,0))*INDEX($10:$13,MATCH($O781,$R$10:$R$13,0),COLUMN())</f>
        <v>4.1203234099999999E-7</v>
      </c>
      <c r="AU781" s="1050" cm="1">
        <f t="array" aca="1" ref="AU781" ca="1">INDEX(OFFSET($AK$19,MATCH($B781,$B$19:$B$150,0)-1,0,COUNTA($B$19:$B$24),COUNTA($AK$17:$BB$17)),MATCH($F781,$F$19:$F$24,0),MATCH(AU$17,$AK$17:$BB$17,0))*INDEX($10:$13,MATCH($O781,$R$10:$R$13,0),COLUMN())</f>
        <v>8.833409574E-8</v>
      </c>
      <c r="AV781" s="1050" cm="1">
        <f t="array" aca="1" ref="AV781" ca="1">INDEX(OFFSET($AK$19,MATCH($B781,$B$19:$B$150,0)-1,0,COUNTA($B$19:$B$24),COUNTA($AK$17:$BB$17)),MATCH($F781,$F$19:$F$24,0),MATCH(AV$17,$AK$17:$BB$17,0))*INDEX($10:$13,MATCH($O781,$R$10:$R$13,0),COLUMN())</f>
        <v>1.2100796345460519E-4</v>
      </c>
      <c r="AW781" s="1050" cm="1">
        <f t="array" aca="1" ref="AW781" ca="1">INDEX(OFFSET($AK$19,MATCH($B781,$B$19:$B$150,0)-1,0,COUNTA($B$19:$B$24),COUNTA($AK$17:$BB$17)),MATCH($F781,$F$19:$F$24,0),MATCH(AW$17,$AK$17:$BB$17,0))*INDEX($10:$13,MATCH($O781,$R$10:$R$13,0),COLUMN())</f>
        <v>4.1673705830000005E-2</v>
      </c>
      <c r="AX781" s="1050" cm="1">
        <f t="array" aca="1" ref="AX781" ca="1">INDEX(OFFSET($AK$19,MATCH($B781,$B$19:$B$150,0)-1,0,COUNTA($B$19:$B$24),COUNTA($AK$17:$BB$17)),MATCH($F781,$F$19:$F$24,0),MATCH(AX$17,$AK$17:$BB$17,0))*INDEX($10:$13,MATCH($O781,$R$10:$R$13,0),COLUMN())</f>
        <v>2.2099968153999999E-8</v>
      </c>
      <c r="AY781" s="1050" cm="1">
        <f t="array" aca="1" ref="AY781" ca="1">INDEX(OFFSET($AK$19,MATCH($B781,$B$19:$B$150,0)-1,0,COUNTA($B$19:$B$24),COUNTA($AK$17:$BB$17)),MATCH($F781,$F$19:$F$24,0),MATCH(AY$17,$AK$17:$BB$17,0))*INDEX($10:$13,MATCH($O781,$R$10:$R$13,0),COLUMN())</f>
        <v>-1.4171808999000002E-11</v>
      </c>
      <c r="AZ781" s="1050" cm="1">
        <f t="array" aca="1" ref="AZ781" ca="1">INDEX(OFFSET($AK$19,MATCH($B781,$B$19:$B$150,0)-1,0,COUNTA($B$19:$B$24),COUNTA($AK$17:$BB$17)),MATCH($F781,$F$19:$F$24,0),MATCH(AZ$17,$AK$17:$BB$17,0))*INDEX($10:$13,MATCH($O781,$R$10:$R$13,0),COLUMN())</f>
        <v>5.8257992740046836E-7</v>
      </c>
      <c r="BA781" s="1050" cm="1">
        <f t="array" aca="1" ref="BA781" ca="1">INDEX(OFFSET($AK$19,MATCH($B781,$B$19:$B$150,0)-1,0,COUNTA($B$19:$B$24),COUNTA($AK$17:$BB$17)),MATCH($F781,$F$19:$F$24,0),MATCH(BA$17,$AK$17:$BB$17,0))*INDEX($10:$13,MATCH($O781,$R$10:$R$13,0),COLUMN())</f>
        <v>1.9713117195999997E-3</v>
      </c>
      <c r="BB781" s="1051" cm="1">
        <f t="array" aca="1" ref="BB781" ca="1">INDEX(OFFSET($AK$19,MATCH($B781,$B$19:$B$150,0)-1,0,COUNTA($B$19:$B$24),COUNTA($AK$17:$BB$17)),MATCH($F781,$F$19:$F$24,0),MATCH(BB$17,$AK$17:$BB$17,0))*INDEX($10:$13,MATCH($O781,$R$10:$R$13,0),COLUMN())</f>
        <v>4.3376091810000007E-3</v>
      </c>
      <c r="BC781" s="1053">
        <f t="shared" ca="1" si="200"/>
        <v>4.1673727915796349E-2</v>
      </c>
      <c r="BE781" s="1"/>
      <c r="BF781" s="1"/>
      <c r="BG781" s="1"/>
      <c r="BH781" s="1"/>
      <c r="BI781" s="1"/>
      <c r="BJ781" s="1"/>
      <c r="BK781" s="1"/>
      <c r="BL781" s="1"/>
      <c r="BM781" s="1"/>
      <c r="BN781" s="1"/>
      <c r="BO781" s="1"/>
      <c r="BP781" s="1"/>
      <c r="BQ781" s="1"/>
      <c r="BR781" s="1"/>
      <c r="BS781" s="1"/>
      <c r="BT781" s="1"/>
      <c r="BU781" s="1"/>
      <c r="BV781" s="1"/>
      <c r="BW781" s="1"/>
      <c r="BX781" s="1"/>
      <c r="BY781" s="1"/>
      <c r="BZ781" s="1"/>
    </row>
    <row r="782" spans="2:78" ht="12" customHeight="1" outlineLevel="1" x14ac:dyDescent="0.25">
      <c r="B782" s="104" t="s">
        <v>112</v>
      </c>
      <c r="C782" s="104" t="s">
        <v>121</v>
      </c>
      <c r="D782" s="2" t="s">
        <v>148</v>
      </c>
      <c r="E782" s="2" t="s">
        <v>150</v>
      </c>
      <c r="F782" s="105" t="s">
        <v>96</v>
      </c>
      <c r="G782" s="27" t="s">
        <v>1582</v>
      </c>
      <c r="H782" s="106" t="s">
        <v>128</v>
      </c>
      <c r="I782" s="107" t="s">
        <v>1577</v>
      </c>
      <c r="J782" s="147">
        <v>0.44</v>
      </c>
      <c r="K782" s="148">
        <v>1.33</v>
      </c>
      <c r="L782" s="149">
        <f t="shared" ca="1" si="201"/>
        <v>9.5721934296038327E-2</v>
      </c>
      <c r="M782" s="148">
        <f t="shared" ca="1" si="202"/>
        <v>1.457310172613731</v>
      </c>
      <c r="N782" s="148">
        <f t="shared" ca="1" si="199"/>
        <v>0.12731017261373098</v>
      </c>
      <c r="O782" s="1062" t="s">
        <v>1586</v>
      </c>
      <c r="P782" s="104"/>
      <c r="R782" s="119"/>
      <c r="S782" s="1072"/>
      <c r="T782" s="1072"/>
      <c r="U782" s="1072"/>
      <c r="V782" s="1072"/>
      <c r="W782" s="1072"/>
      <c r="X782" s="1072"/>
      <c r="Y782" s="1072"/>
      <c r="Z782" s="1072"/>
      <c r="AA782" s="1072"/>
      <c r="AB782" s="1072"/>
      <c r="AC782" s="1072"/>
      <c r="AD782" s="1072"/>
      <c r="AE782" s="1072"/>
      <c r="AF782" s="1072"/>
      <c r="AG782" s="1072"/>
      <c r="AH782" s="1072"/>
      <c r="AI782" s="1072"/>
      <c r="AJ782" s="1073"/>
      <c r="AK782" s="1052" cm="1">
        <f t="array" aca="1" ref="AK782" ca="1">INDEX(OFFSET($AK$19,MATCH($B782,$B$19:$B$150,0)-1,0,COUNTA($B$19:$B$24),COUNTA($AK$17:$BB$17)),MATCH($F782,$F$19:$F$24,0),MATCH(AK$17,$AK$17:$BB$17,0))*INDEX($10:$13,MATCH($O782,$R$10:$R$13,0),COLUMN())</f>
        <v>5.5571399120000007E-3</v>
      </c>
      <c r="AL782" s="1050" cm="1">
        <f t="array" aca="1" ref="AL782" ca="1">INDEX(OFFSET($AK$19,MATCH($B782,$B$19:$B$150,0)-1,0,COUNTA($B$19:$B$24),COUNTA($AK$17:$BB$17)),MATCH($F782,$F$19:$F$24,0),MATCH(AL$17,$AK$17:$BB$17,0))*INDEX($10:$13,MATCH($O782,$R$10:$R$13,0),COLUMN())</f>
        <v>7.6735756380000008E-9</v>
      </c>
      <c r="AM782" s="1050" cm="1">
        <f t="array" aca="1" ref="AM782" ca="1">INDEX(OFFSET($AK$19,MATCH($B782,$B$19:$B$150,0)-1,0,COUNTA($B$19:$B$24),COUNTA($AK$17:$BB$17)),MATCH($F782,$F$19:$F$24,0),MATCH(AM$17,$AK$17:$BB$17,0))*INDEX($10:$13,MATCH($O782,$R$10:$R$13,0),COLUMN())</f>
        <v>0</v>
      </c>
      <c r="AN782" s="1050" cm="1">
        <f t="array" aca="1" ref="AN782" ca="1">INDEX(OFFSET($AK$19,MATCH($B782,$B$19:$B$150,0)-1,0,COUNTA($B$19:$B$24),COUNTA($AK$17:$BB$17)),MATCH($F782,$F$19:$F$24,0),MATCH(AN$17,$AK$17:$BB$17,0))*INDEX($10:$13,MATCH($O782,$R$10:$R$13,0),COLUMN())</f>
        <v>2.7624936300000002E-4</v>
      </c>
      <c r="AO782" s="1050" cm="1">
        <f t="array" aca="1" ref="AO782" ca="1">INDEX(OFFSET($AK$19,MATCH($B782,$B$19:$B$150,0)-1,0,COUNTA($B$19:$B$24),COUNTA($AK$17:$BB$17)),MATCH($F782,$F$19:$F$24,0),MATCH(AO$17,$AK$17:$BB$17,0))*INDEX($10:$13,MATCH($O782,$R$10:$R$13,0),COLUMN())</f>
        <v>3.5192286739726027E-3</v>
      </c>
      <c r="AP782" s="1050" cm="1">
        <f t="array" aca="1" ref="AP782" ca="1">INDEX(OFFSET($AK$19,MATCH($B782,$B$19:$B$150,0)-1,0,COUNTA($B$19:$B$24),COUNTA($AK$17:$BB$17)),MATCH($F782,$F$19:$F$24,0),MATCH(AP$17,$AK$17:$BB$17,0))*INDEX($10:$13,MATCH($O782,$R$10:$R$13,0),COLUMN())</f>
        <v>2.2492017071999997E-3</v>
      </c>
      <c r="AQ782" s="1050" cm="1">
        <f t="array" aca="1" ref="AQ782" ca="1">INDEX(OFFSET($AK$19,MATCH($B782,$B$19:$B$150,0)-1,0,COUNTA($B$19:$B$24),COUNTA($AK$17:$BB$17)),MATCH($F782,$F$19:$F$24,0),MATCH(AQ$17,$AK$17:$BB$17,0))*INDEX($10:$13,MATCH($O782,$R$10:$R$13,0),COLUMN())</f>
        <v>4.0413908960000005E-3</v>
      </c>
      <c r="AR782" s="1050" cm="1">
        <f t="array" aca="1" ref="AR782" ca="1">INDEX(OFFSET($AK$19,MATCH($B782,$B$19:$B$150,0)-1,0,COUNTA($B$19:$B$24),COUNTA($AK$17:$BB$17)),MATCH($F782,$F$19:$F$24,0),MATCH(AR$17,$AK$17:$BB$17,0))*INDEX($10:$13,MATCH($O782,$R$10:$R$13,0),COLUMN())</f>
        <v>6.316484559600001E-2</v>
      </c>
      <c r="AS782" s="1050" cm="1">
        <f t="array" aca="1" ref="AS782" ca="1">INDEX(OFFSET($AK$19,MATCH($B782,$B$19:$B$150,0)-1,0,COUNTA($B$19:$B$24),COUNTA($AK$17:$BB$17)),MATCH($F782,$F$19:$F$24,0),MATCH(AS$17,$AK$17:$BB$17,0))*INDEX($10:$13,MATCH($O782,$R$10:$R$13,0),COLUMN())</f>
        <v>2.7149196323E-4</v>
      </c>
      <c r="AT782" s="1050" cm="1">
        <f t="array" aca="1" ref="AT782" ca="1">INDEX(OFFSET($AK$19,MATCH($B782,$B$19:$B$150,0)-1,0,COUNTA($B$19:$B$24),COUNTA($AK$17:$BB$17)),MATCH($F782,$F$19:$F$24,0),MATCH(AT$17,$AK$17:$BB$17,0))*INDEX($10:$13,MATCH($O782,$R$10:$R$13,0),COLUMN())</f>
        <v>4.6082273619999998E-7</v>
      </c>
      <c r="AU782" s="1050" cm="1">
        <f t="array" aca="1" ref="AU782" ca="1">INDEX(OFFSET($AK$19,MATCH($B782,$B$19:$B$150,0)-1,0,COUNTA($B$19:$B$24),COUNTA($AK$17:$BB$17)),MATCH($F782,$F$19:$F$24,0),MATCH(AU$17,$AK$17:$BB$17,0))*INDEX($10:$13,MATCH($O782,$R$10:$R$13,0),COLUMN())</f>
        <v>9.5306161619999988E-8</v>
      </c>
      <c r="AV782" s="1050" cm="1">
        <f t="array" aca="1" ref="AV782" ca="1">INDEX(OFFSET($AK$19,MATCH($B782,$B$19:$B$150,0)-1,0,COUNTA($B$19:$B$24),COUNTA($AK$17:$BB$17)),MATCH($F782,$F$19:$F$24,0),MATCH(AV$17,$AK$17:$BB$17,0))*INDEX($10:$13,MATCH($O782,$R$10:$R$13,0),COLUMN())</f>
        <v>2.059434274798837E-4</v>
      </c>
      <c r="AW782" s="1050" cm="1">
        <f t="array" aca="1" ref="AW782" ca="1">INDEX(OFFSET($AK$19,MATCH($B782,$B$19:$B$150,0)-1,0,COUNTA($B$19:$B$24),COUNTA($AK$17:$BB$17)),MATCH($F782,$F$19:$F$24,0),MATCH(AW$17,$AK$17:$BB$17,0))*INDEX($10:$13,MATCH($O782,$R$10:$R$13,0),COLUMN())</f>
        <v>4.1673705830000005E-2</v>
      </c>
      <c r="AX782" s="1050" cm="1">
        <f t="array" aca="1" ref="AX782" ca="1">INDEX(OFFSET($AK$19,MATCH($B782,$B$19:$B$150,0)-1,0,COUNTA($B$19:$B$24),COUNTA($AK$17:$BB$17)),MATCH($F782,$F$19:$F$24,0),MATCH(AX$17,$AK$17:$BB$17,0))*INDEX($10:$13,MATCH($O782,$R$10:$R$13,0),COLUMN())</f>
        <v>2.2099968153999999E-8</v>
      </c>
      <c r="AY782" s="1050" cm="1">
        <f t="array" aca="1" ref="AY782" ca="1">INDEX(OFFSET($AK$19,MATCH($B782,$B$19:$B$150,0)-1,0,COUNTA($B$19:$B$24),COUNTA($AK$17:$BB$17)),MATCH($F782,$F$19:$F$24,0),MATCH(AY$17,$AK$17:$BB$17,0))*INDEX($10:$13,MATCH($O782,$R$10:$R$13,0),COLUMN())</f>
        <v>-1.4171808999000002E-11</v>
      </c>
      <c r="AZ782" s="1050" cm="1">
        <f t="array" aca="1" ref="AZ782" ca="1">INDEX(OFFSET($AK$19,MATCH($B782,$B$19:$B$150,0)-1,0,COUNTA($B$19:$B$24),COUNTA($AK$17:$BB$17)),MATCH($F782,$F$19:$F$24,0),MATCH(AZ$17,$AK$17:$BB$17,0))*INDEX($10:$13,MATCH($O782,$R$10:$R$13,0),COLUMN())</f>
        <v>5.8294027868852456E-7</v>
      </c>
      <c r="BA782" s="1050" cm="1">
        <f t="array" aca="1" ref="BA782" ca="1">INDEX(OFFSET($AK$19,MATCH($B782,$B$19:$B$150,0)-1,0,COUNTA($B$19:$B$24),COUNTA($AK$17:$BB$17)),MATCH($F782,$F$19:$F$24,0),MATCH(BA$17,$AK$17:$BB$17,0))*INDEX($10:$13,MATCH($O782,$R$10:$R$13,0),COLUMN())</f>
        <v>2.0121638343000002E-3</v>
      </c>
      <c r="BB782" s="1051" cm="1">
        <f t="array" aca="1" ref="BB782" ca="1">INDEX(OFFSET($AK$19,MATCH($B782,$B$19:$B$150,0)-1,0,COUNTA($B$19:$B$24),COUNTA($AK$17:$BB$17)),MATCH($F782,$F$19:$F$24,0),MATCH(BB$17,$AK$17:$BB$17,0))*INDEX($10:$13,MATCH($O782,$R$10:$R$13,0),COLUMN())</f>
        <v>4.3376425820000003E-3</v>
      </c>
      <c r="BC782" s="1053">
        <f t="shared" ca="1" si="200"/>
        <v>4.1673727915796349E-2</v>
      </c>
      <c r="BE782" s="1"/>
      <c r="BF782" s="1"/>
      <c r="BG782" s="1"/>
      <c r="BH782" s="1"/>
      <c r="BI782" s="1"/>
      <c r="BJ782" s="1"/>
      <c r="BK782" s="1"/>
      <c r="BL782" s="1"/>
      <c r="BM782" s="1"/>
      <c r="BN782" s="1"/>
      <c r="BO782" s="1"/>
      <c r="BP782" s="1"/>
      <c r="BQ782" s="1"/>
      <c r="BR782" s="1"/>
      <c r="BS782" s="1"/>
      <c r="BT782" s="1"/>
      <c r="BU782" s="1"/>
      <c r="BV782" s="1"/>
      <c r="BW782" s="1"/>
      <c r="BX782" s="1"/>
      <c r="BY782" s="1"/>
      <c r="BZ782" s="1"/>
    </row>
    <row r="783" spans="2:78" ht="12" customHeight="1" outlineLevel="1" x14ac:dyDescent="0.25">
      <c r="B783" s="88" t="s">
        <v>113</v>
      </c>
      <c r="C783" s="88" t="s">
        <v>123</v>
      </c>
      <c r="D783" s="89" t="s">
        <v>151</v>
      </c>
      <c r="E783" s="89" t="s">
        <v>113</v>
      </c>
      <c r="F783" s="90" t="s">
        <v>92</v>
      </c>
      <c r="G783" s="18" t="s">
        <v>126</v>
      </c>
      <c r="H783" s="91" t="s">
        <v>127</v>
      </c>
      <c r="I783" s="92" t="s">
        <v>127</v>
      </c>
      <c r="J783" s="142">
        <v>2.11</v>
      </c>
      <c r="K783" s="143">
        <v>1.55</v>
      </c>
      <c r="L783" s="151">
        <f t="shared" ca="1" si="201"/>
        <v>2.2688191869614927</v>
      </c>
      <c r="M783" s="143">
        <f t="shared" ca="1" si="202"/>
        <v>5.0666697397903135</v>
      </c>
      <c r="N783" s="162">
        <f t="shared" ca="1" si="199"/>
        <v>3.5166697397903137</v>
      </c>
      <c r="O783" s="1060" t="s">
        <v>1586</v>
      </c>
      <c r="P783" s="88"/>
      <c r="Q783" s="89"/>
      <c r="R783" s="150"/>
      <c r="S783" s="1070"/>
      <c r="T783" s="1070"/>
      <c r="U783" s="1070"/>
      <c r="V783" s="1070"/>
      <c r="W783" s="1070"/>
      <c r="X783" s="1070"/>
      <c r="Y783" s="1070"/>
      <c r="Z783" s="1070"/>
      <c r="AA783" s="1070"/>
      <c r="AB783" s="1070"/>
      <c r="AC783" s="1070"/>
      <c r="AD783" s="1070"/>
      <c r="AE783" s="1070"/>
      <c r="AF783" s="1070"/>
      <c r="AG783" s="1070"/>
      <c r="AH783" s="1070"/>
      <c r="AI783" s="1070"/>
      <c r="AJ783" s="1071"/>
      <c r="AK783" s="1048" cm="1">
        <f t="array" aca="1" ref="AK783" ca="1">INDEX(OFFSET($AK$19,MATCH($B783,$B$19:$B$150,0)-1,0,COUNTA($B$19:$B$24),COUNTA($AK$17:$BB$17)),MATCH($F783,$F$19:$F$24,0),MATCH(AK$17,$AK$17:$BB$17,0))*INDEX($10:$13,MATCH($O783,$R$10:$R$13,0),COLUMN())</f>
        <v>0.51028567520000001</v>
      </c>
      <c r="AL783" s="1046" cm="1">
        <f t="array" aca="1" ref="AL783" ca="1">INDEX(OFFSET($AK$19,MATCH($B783,$B$19:$B$150,0)-1,0,COUNTA($B$19:$B$24),COUNTA($AK$17:$BB$17)),MATCH($F783,$F$19:$F$24,0),MATCH(AL$17,$AK$17:$BB$17,0))*INDEX($10:$13,MATCH($O783,$R$10:$R$13,0),COLUMN())</f>
        <v>7.217850156E-7</v>
      </c>
      <c r="AM783" s="1046" cm="1">
        <f t="array" aca="1" ref="AM783" ca="1">INDEX(OFFSET($AK$19,MATCH($B783,$B$19:$B$150,0)-1,0,COUNTA($B$19:$B$24),COUNTA($AK$17:$BB$17)),MATCH($F783,$F$19:$F$24,0),MATCH(AM$17,$AK$17:$BB$17,0))*INDEX($10:$13,MATCH($O783,$R$10:$R$13,0),COLUMN())</f>
        <v>0</v>
      </c>
      <c r="AN783" s="1046" cm="1">
        <f t="array" aca="1" ref="AN783" ca="1">INDEX(OFFSET($AK$19,MATCH($B783,$B$19:$B$150,0)-1,0,COUNTA($B$19:$B$24),COUNTA($AK$17:$BB$17)),MATCH($F783,$F$19:$F$24,0),MATCH(AN$17,$AK$17:$BB$17,0))*INDEX($10:$13,MATCH($O783,$R$10:$R$13,0),COLUMN())</f>
        <v>9.1047117300000011E-3</v>
      </c>
      <c r="AO783" s="1046" cm="1">
        <f t="array" aca="1" ref="AO783" ca="1">INDEX(OFFSET($AK$19,MATCH($B783,$B$19:$B$150,0)-1,0,COUNTA($B$19:$B$24),COUNTA($AK$17:$BB$17)),MATCH($F783,$F$19:$F$24,0),MATCH(AO$17,$AK$17:$BB$17,0))*INDEX($10:$13,MATCH($O783,$R$10:$R$13,0),COLUMN())</f>
        <v>0.26280773169863014</v>
      </c>
      <c r="AP783" s="1046" cm="1">
        <f t="array" aca="1" ref="AP783" ca="1">INDEX(OFFSET($AK$19,MATCH($B783,$B$19:$B$150,0)-1,0,COUNTA($B$19:$B$24),COUNTA($AK$17:$BB$17)),MATCH($F783,$F$19:$F$24,0),MATCH(AP$17,$AK$17:$BB$17,0))*INDEX($10:$13,MATCH($O783,$R$10:$R$13,0),COLUMN())</f>
        <v>0.18869839631999999</v>
      </c>
      <c r="AQ783" s="1046" cm="1">
        <f t="array" aca="1" ref="AQ783" ca="1">INDEX(OFFSET($AK$19,MATCH($B783,$B$19:$B$150,0)-1,0,COUNTA($B$19:$B$24),COUNTA($AK$17:$BB$17)),MATCH($F783,$F$19:$F$24,0),MATCH(AQ$17,$AK$17:$BB$17,0))*INDEX($10:$13,MATCH($O783,$R$10:$R$13,0),COLUMN())</f>
        <v>0.12719626000000001</v>
      </c>
      <c r="AR783" s="1046" cm="1">
        <f t="array" aca="1" ref="AR783" ca="1">INDEX(OFFSET($AK$19,MATCH($B783,$B$19:$B$150,0)-1,0,COUNTA($B$19:$B$24),COUNTA($AK$17:$BB$17)),MATCH($F783,$F$19:$F$24,0),MATCH(AR$17,$AK$17:$BB$17,0))*INDEX($10:$13,MATCH($O783,$R$10:$R$13,0),COLUMN())</f>
        <v>1.2693554285999999</v>
      </c>
      <c r="AS783" s="1046" cm="1">
        <f t="array" aca="1" ref="AS783" ca="1">INDEX(OFFSET($AK$19,MATCH($B783,$B$19:$B$150,0)-1,0,COUNTA($B$19:$B$24),COUNTA($AK$17:$BB$17)),MATCH($F783,$F$19:$F$24,0),MATCH(AS$17,$AK$17:$BB$17,0))*INDEX($10:$13,MATCH($O783,$R$10:$R$13,0),COLUMN())</f>
        <v>0.18247274704999999</v>
      </c>
      <c r="AT783" s="1046" cm="1">
        <f t="array" aca="1" ref="AT783" ca="1">INDEX(OFFSET($AK$19,MATCH($B783,$B$19:$B$150,0)-1,0,COUNTA($B$19:$B$24),COUNTA($AK$17:$BB$17)),MATCH($F783,$F$19:$F$24,0),MATCH(AT$17,$AK$17:$BB$17,0))*INDEX($10:$13,MATCH($O783,$R$10:$R$13,0),COLUMN())</f>
        <v>2.1491102784E-4</v>
      </c>
      <c r="AU783" s="1046" cm="1">
        <f t="array" aca="1" ref="AU783" ca="1">INDEX(OFFSET($AK$19,MATCH($B783,$B$19:$B$150,0)-1,0,COUNTA($B$19:$B$24),COUNTA($AK$17:$BB$17)),MATCH($F783,$F$19:$F$24,0),MATCH(AU$17,$AK$17:$BB$17,0))*INDEX($10:$13,MATCH($O783,$R$10:$R$13,0),COLUMN())</f>
        <v>1.2546040866E-5</v>
      </c>
      <c r="AV783" s="1046" cm="1">
        <f t="array" aca="1" ref="AV783" ca="1">INDEX(OFFSET($AK$19,MATCH($B783,$B$19:$B$150,0)-1,0,COUNTA($B$19:$B$24),COUNTA($AK$17:$BB$17)),MATCH($F783,$F$19:$F$24,0),MATCH(AV$17,$AK$17:$BB$17,0))*INDEX($10:$13,MATCH($O783,$R$10:$R$13,0),COLUMN())</f>
        <v>5.1884950654580517E-3</v>
      </c>
      <c r="AW783" s="1046" cm="1">
        <f t="array" aca="1" ref="AW783" ca="1">INDEX(OFFSET($AK$19,MATCH($B783,$B$19:$B$150,0)-1,0,COUNTA($B$19:$B$24),COUNTA($AK$17:$BB$17)),MATCH($F783,$F$19:$F$24,0),MATCH(AW$17,$AK$17:$BB$17,0))*INDEX($10:$13,MATCH($O783,$R$10:$R$13,0),COLUMN())</f>
        <v>0.81381940190000013</v>
      </c>
      <c r="AX783" s="1046" cm="1">
        <f t="array" aca="1" ref="AX783" ca="1">INDEX(OFFSET($AK$19,MATCH($B783,$B$19:$B$150,0)-1,0,COUNTA($B$19:$B$24),COUNTA($AK$17:$BB$17)),MATCH($F783,$F$19:$F$24,0),MATCH(AX$17,$AK$17:$BB$17,0))*INDEX($10:$13,MATCH($O783,$R$10:$R$13,0),COLUMN())</f>
        <v>5.1553215370000001E-6</v>
      </c>
      <c r="AY783" s="1046" cm="1">
        <f t="array" aca="1" ref="AY783" ca="1">INDEX(OFFSET($AK$19,MATCH($B783,$B$19:$B$150,0)-1,0,COUNTA($B$19:$B$24),COUNTA($AK$17:$BB$17)),MATCH($F783,$F$19:$F$24,0),MATCH(AY$17,$AK$17:$BB$17,0))*INDEX($10:$13,MATCH($O783,$R$10:$R$13,0),COLUMN())</f>
        <v>3.6364184069999996E-4</v>
      </c>
      <c r="AZ783" s="1046" cm="1">
        <f t="array" aca="1" ref="AZ783" ca="1">INDEX(OFFSET($AK$19,MATCH($B783,$B$19:$B$150,0)-1,0,COUNTA($B$19:$B$24),COUNTA($AK$17:$BB$17)),MATCH($F783,$F$19:$F$24,0),MATCH(AZ$17,$AK$17:$BB$17,0))*INDEX($10:$13,MATCH($O783,$R$10:$R$13,0),COLUMN())</f>
        <v>1.5424470266978923E-5</v>
      </c>
      <c r="BA783" s="1046" cm="1">
        <f t="array" aca="1" ref="BA783" ca="1">INDEX(OFFSET($AK$19,MATCH($B783,$B$19:$B$150,0)-1,0,COUNTA($B$19:$B$24),COUNTA($AK$17:$BB$17)),MATCH($F783,$F$19:$F$24,0),MATCH(BA$17,$AK$17:$BB$17,0))*INDEX($10:$13,MATCH($O783,$R$10:$R$13,0),COLUMN())</f>
        <v>0.11995486561999999</v>
      </c>
      <c r="BB783" s="1047" cm="1">
        <f t="array" aca="1" ref="BB783" ca="1">INDEX(OFFSET($AK$19,MATCH($B783,$B$19:$B$150,0)-1,0,COUNTA($B$19:$B$24),COUNTA($AK$17:$BB$17)),MATCH($F783,$F$19:$F$24,0),MATCH(BB$17,$AK$17:$BB$17,0))*INDEX($10:$13,MATCH($O783,$R$10:$R$13,0),COLUMN())</f>
        <v>2.7173626120000002E-2</v>
      </c>
      <c r="BC783" s="1049">
        <f t="shared" ca="1" si="200"/>
        <v>0.81418819906223716</v>
      </c>
      <c r="BE783" s="1"/>
      <c r="BF783" s="1"/>
      <c r="BG783" s="1"/>
      <c r="BH783" s="1"/>
      <c r="BI783" s="1"/>
      <c r="BJ783" s="1"/>
      <c r="BK783" s="1"/>
      <c r="BL783" s="1"/>
      <c r="BM783" s="1"/>
      <c r="BN783" s="1"/>
      <c r="BO783" s="1"/>
      <c r="BP783" s="1"/>
      <c r="BQ783" s="1"/>
      <c r="BR783" s="1"/>
      <c r="BS783" s="1"/>
      <c r="BT783" s="1"/>
      <c r="BU783" s="1"/>
      <c r="BV783" s="1"/>
      <c r="BW783" s="1"/>
      <c r="BX783" s="1"/>
      <c r="BY783" s="1"/>
      <c r="BZ783" s="1"/>
    </row>
    <row r="784" spans="2:78" ht="12" customHeight="1" outlineLevel="1" x14ac:dyDescent="0.25">
      <c r="B784" s="104" t="s">
        <v>113</v>
      </c>
      <c r="C784" s="104" t="s">
        <v>123</v>
      </c>
      <c r="D784" s="2" t="s">
        <v>151</v>
      </c>
      <c r="E784" s="2" t="s">
        <v>113</v>
      </c>
      <c r="F784" s="105" t="s">
        <v>122</v>
      </c>
      <c r="G784" s="27" t="s">
        <v>1579</v>
      </c>
      <c r="H784" s="106" t="s">
        <v>128</v>
      </c>
      <c r="I784" s="107" t="s">
        <v>129</v>
      </c>
      <c r="J784" s="147">
        <v>2.11</v>
      </c>
      <c r="K784" s="148">
        <v>3.53</v>
      </c>
      <c r="L784" s="149">
        <f t="shared" ca="1" si="201"/>
        <v>0.829682219159532</v>
      </c>
      <c r="M784" s="148">
        <f t="shared" ca="1" si="202"/>
        <v>6.4587782336331472</v>
      </c>
      <c r="N784" s="163">
        <f t="shared" ca="1" si="199"/>
        <v>2.9287782336331478</v>
      </c>
      <c r="O784" s="1061" t="s">
        <v>1586</v>
      </c>
      <c r="P784" s="104"/>
      <c r="R784" s="119"/>
      <c r="S784" s="1072"/>
      <c r="T784" s="1072"/>
      <c r="U784" s="1072"/>
      <c r="V784" s="1072"/>
      <c r="W784" s="1072"/>
      <c r="X784" s="1072"/>
      <c r="Y784" s="1072"/>
      <c r="Z784" s="1072"/>
      <c r="AA784" s="1072"/>
      <c r="AB784" s="1072"/>
      <c r="AC784" s="1072"/>
      <c r="AD784" s="1072"/>
      <c r="AE784" s="1072"/>
      <c r="AF784" s="1072"/>
      <c r="AG784" s="1072"/>
      <c r="AH784" s="1072"/>
      <c r="AI784" s="1072"/>
      <c r="AJ784" s="1073"/>
      <c r="AK784" s="1052" cm="1">
        <f t="array" aca="1" ref="AK784" ca="1">INDEX(OFFSET($AK$19,MATCH($B784,$B$19:$B$150,0)-1,0,COUNTA($B$19:$B$24),COUNTA($AK$17:$BB$17)),MATCH($F784,$F$19:$F$24,0),MATCH(AK$17,$AK$17:$BB$17,0))*INDEX($10:$13,MATCH($O784,$R$10:$R$13,0),COLUMN())</f>
        <v>0.29648195839999997</v>
      </c>
      <c r="AL784" s="1050" cm="1">
        <f t="array" aca="1" ref="AL784" ca="1">INDEX(OFFSET($AK$19,MATCH($B784,$B$19:$B$150,0)-1,0,COUNTA($B$19:$B$24),COUNTA($AK$17:$BB$17)),MATCH($F784,$F$19:$F$24,0),MATCH(AL$17,$AK$17:$BB$17,0))*INDEX($10:$13,MATCH($O784,$R$10:$R$13,0),COLUMN())</f>
        <v>7.264432386E-7</v>
      </c>
      <c r="AM784" s="1050" cm="1">
        <f t="array" aca="1" ref="AM784" ca="1">INDEX(OFFSET($AK$19,MATCH($B784,$B$19:$B$150,0)-1,0,COUNTA($B$19:$B$24),COUNTA($AK$17:$BB$17)),MATCH($F784,$F$19:$F$24,0),MATCH(AM$17,$AK$17:$BB$17,0))*INDEX($10:$13,MATCH($O784,$R$10:$R$13,0),COLUMN())</f>
        <v>0</v>
      </c>
      <c r="AN784" s="1050" cm="1">
        <f t="array" aca="1" ref="AN784" ca="1">INDEX(OFFSET($AK$19,MATCH($B784,$B$19:$B$150,0)-1,0,COUNTA($B$19:$B$24),COUNTA($AK$17:$BB$17)),MATCH($F784,$F$19:$F$24,0),MATCH(AN$17,$AK$17:$BB$17,0))*INDEX($10:$13,MATCH($O784,$R$10:$R$13,0),COLUMN())</f>
        <v>7.4315201520000007E-3</v>
      </c>
      <c r="AO784" s="1050" cm="1">
        <f t="array" aca="1" ref="AO784" ca="1">INDEX(OFFSET($AK$19,MATCH($B784,$B$19:$B$150,0)-1,0,COUNTA($B$19:$B$24),COUNTA($AK$17:$BB$17)),MATCH($F784,$F$19:$F$24,0),MATCH(AO$17,$AK$17:$BB$17,0))*INDEX($10:$13,MATCH($O784,$R$10:$R$13,0),COLUMN())</f>
        <v>0.22546653106849313</v>
      </c>
      <c r="AP784" s="1050" cm="1">
        <f t="array" aca="1" ref="AP784" ca="1">INDEX(OFFSET($AK$19,MATCH($B784,$B$19:$B$150,0)-1,0,COUNTA($B$19:$B$24),COUNTA($AK$17:$BB$17)),MATCH($F784,$F$19:$F$24,0),MATCH(AP$17,$AK$17:$BB$17,0))*INDEX($10:$13,MATCH($O784,$R$10:$R$13,0),COLUMN())</f>
        <v>0.16313017728000001</v>
      </c>
      <c r="AQ784" s="1050" cm="1">
        <f t="array" aca="1" ref="AQ784" ca="1">INDEX(OFFSET($AK$19,MATCH($B784,$B$19:$B$150,0)-1,0,COUNTA($B$19:$B$24),COUNTA($AK$17:$BB$17)),MATCH($F784,$F$19:$F$24,0),MATCH(AQ$17,$AK$17:$BB$17,0))*INDEX($10:$13,MATCH($O784,$R$10:$R$13,0),COLUMN())</f>
        <v>2.3284570527999999E-2</v>
      </c>
      <c r="AR784" s="1050" cm="1">
        <f t="array" aca="1" ref="AR784" ca="1">INDEX(OFFSET($AK$19,MATCH($B784,$B$19:$B$150,0)-1,0,COUNTA($B$19:$B$24),COUNTA($AK$17:$BB$17)),MATCH($F784,$F$19:$F$24,0),MATCH(AR$17,$AK$17:$BB$17,0))*INDEX($10:$13,MATCH($O784,$R$10:$R$13,0),COLUMN())</f>
        <v>0.80782688660000002</v>
      </c>
      <c r="AS784" s="1050" cm="1">
        <f t="array" aca="1" ref="AS784" ca="1">INDEX(OFFSET($AK$19,MATCH($B784,$B$19:$B$150,0)-1,0,COUNTA($B$19:$B$24),COUNTA($AK$17:$BB$17)),MATCH($F784,$F$19:$F$24,0),MATCH(AS$17,$AK$17:$BB$17,0))*INDEX($10:$13,MATCH($O784,$R$10:$R$13,0),COLUMN())</f>
        <v>2.5390533887E-3</v>
      </c>
      <c r="AT784" s="1050" cm="1">
        <f t="array" aca="1" ref="AT784" ca="1">INDEX(OFFSET($AK$19,MATCH($B784,$B$19:$B$150,0)-1,0,COUNTA($B$19:$B$24),COUNTA($AK$17:$BB$17)),MATCH($F784,$F$19:$F$24,0),MATCH(AT$17,$AK$17:$BB$17,0))*INDEX($10:$13,MATCH($O784,$R$10:$R$13,0),COLUMN())</f>
        <v>1.307989633E-5</v>
      </c>
      <c r="AU784" s="1050" cm="1">
        <f t="array" aca="1" ref="AU784" ca="1">INDEX(OFFSET($AK$19,MATCH($B784,$B$19:$B$150,0)-1,0,COUNTA($B$19:$B$24),COUNTA($AK$17:$BB$17)),MATCH($F784,$F$19:$F$24,0),MATCH(AU$17,$AK$17:$BB$17,0))*INDEX($10:$13,MATCH($O784,$R$10:$R$13,0),COLUMN())</f>
        <v>2.3467736093999999E-6</v>
      </c>
      <c r="AV784" s="1050" cm="1">
        <f t="array" aca="1" ref="AV784" ca="1">INDEX(OFFSET($AK$19,MATCH($B784,$B$19:$B$150,0)-1,0,COUNTA($B$19:$B$24),COUNTA($AK$17:$BB$17)),MATCH($F784,$F$19:$F$24,0),MATCH(AV$17,$AK$17:$BB$17,0))*INDEX($10:$13,MATCH($O784,$R$10:$R$13,0),COLUMN())</f>
        <v>8.3627036486437945E-4</v>
      </c>
      <c r="AW784" s="1050" cm="1">
        <f t="array" aca="1" ref="AW784" ca="1">INDEX(OFFSET($AK$19,MATCH($B784,$B$19:$B$150,0)-1,0,COUNTA($B$19:$B$24),COUNTA($AK$17:$BB$17)),MATCH($F784,$F$19:$F$24,0),MATCH(AW$17,$AK$17:$BB$17,0))*INDEX($10:$13,MATCH($O784,$R$10:$R$13,0),COLUMN())</f>
        <v>1.2848284368</v>
      </c>
      <c r="AX784" s="1050" cm="1">
        <f t="array" aca="1" ref="AX784" ca="1">INDEX(OFFSET($AK$19,MATCH($B784,$B$19:$B$150,0)-1,0,COUNTA($B$19:$B$24),COUNTA($AK$17:$BB$17)),MATCH($F784,$F$19:$F$24,0),MATCH(AX$17,$AK$17:$BB$17,0))*INDEX($10:$13,MATCH($O784,$R$10:$R$13,0),COLUMN())</f>
        <v>4.8886080530000004E-6</v>
      </c>
      <c r="AY784" s="1050" cm="1">
        <f t="array" aca="1" ref="AY784" ca="1">INDEX(OFFSET($AK$19,MATCH($B784,$B$19:$B$150,0)-1,0,COUNTA($B$19:$B$24),COUNTA($AK$17:$BB$17)),MATCH($F784,$F$19:$F$24,0),MATCH(AY$17,$AK$17:$BB$17,0))*INDEX($10:$13,MATCH($O784,$R$10:$R$13,0),COLUMN())</f>
        <v>3.0941035920000001E-5</v>
      </c>
      <c r="AZ784" s="1050" cm="1">
        <f t="array" aca="1" ref="AZ784" ca="1">INDEX(OFFSET($AK$19,MATCH($B784,$B$19:$B$150,0)-1,0,COUNTA($B$19:$B$24),COUNTA($AK$17:$BB$17)),MATCH($F784,$F$19:$F$24,0),MATCH(AZ$17,$AK$17:$BB$17,0))*INDEX($10:$13,MATCH($O784,$R$10:$R$13,0),COLUMN())</f>
        <v>1.9208443939110069E-5</v>
      </c>
      <c r="BA784" s="1050" cm="1">
        <f t="array" aca="1" ref="BA784" ca="1">INDEX(OFFSET($AK$19,MATCH($B784,$B$19:$B$150,0)-1,0,COUNTA($B$19:$B$24),COUNTA($AK$17:$BB$17)),MATCH($F784,$F$19:$F$24,0),MATCH(BA$17,$AK$17:$BB$17,0))*INDEX($10:$13,MATCH($O784,$R$10:$R$13,0),COLUMN())</f>
        <v>0.10015954784999999</v>
      </c>
      <c r="BB784" s="1051" cm="1">
        <f t="array" aca="1" ref="BB784" ca="1">INDEX(OFFSET($AK$19,MATCH($B784,$B$19:$B$150,0)-1,0,COUNTA($B$19:$B$24),COUNTA($AK$17:$BB$17)),MATCH($F784,$F$19:$F$24,0),MATCH(BB$17,$AK$17:$BB$17,0))*INDEX($10:$13,MATCH($O784,$R$10:$R$13,0),COLUMN())</f>
        <v>1.6722089999999998E-2</v>
      </c>
      <c r="BC784" s="1053">
        <f t="shared" ca="1" si="200"/>
        <v>1.2848642664439731</v>
      </c>
      <c r="BE784" s="1"/>
      <c r="BF784" s="1"/>
      <c r="BG784" s="1"/>
      <c r="BH784" s="1"/>
      <c r="BI784" s="1"/>
      <c r="BJ784" s="1"/>
      <c r="BK784" s="1"/>
      <c r="BL784" s="1"/>
      <c r="BM784" s="1"/>
      <c r="BN784" s="1"/>
      <c r="BO784" s="1"/>
      <c r="BP784" s="1"/>
      <c r="BQ784" s="1"/>
      <c r="BR784" s="1"/>
      <c r="BS784" s="1"/>
      <c r="BT784" s="1"/>
      <c r="BU784" s="1"/>
      <c r="BV784" s="1"/>
      <c r="BW784" s="1"/>
      <c r="BX784" s="1"/>
      <c r="BY784" s="1"/>
      <c r="BZ784" s="1"/>
    </row>
    <row r="785" spans="2:78" ht="12" customHeight="1" outlineLevel="1" x14ac:dyDescent="0.25">
      <c r="B785" s="104" t="s">
        <v>113</v>
      </c>
      <c r="C785" s="104" t="s">
        <v>123</v>
      </c>
      <c r="D785" s="2" t="s">
        <v>151</v>
      </c>
      <c r="E785" s="2" t="s">
        <v>113</v>
      </c>
      <c r="F785" s="105" t="s">
        <v>93</v>
      </c>
      <c r="G785" s="27" t="s">
        <v>1578</v>
      </c>
      <c r="H785" s="106" t="s">
        <v>130</v>
      </c>
      <c r="I785" s="107" t="s">
        <v>129</v>
      </c>
      <c r="J785" s="147">
        <v>2.11</v>
      </c>
      <c r="K785" s="148">
        <v>3.53</v>
      </c>
      <c r="L785" s="149">
        <f t="shared" ca="1" si="201"/>
        <v>0.98208016004617515</v>
      </c>
      <c r="M785" s="148">
        <f t="shared" ca="1" si="202"/>
        <v>6.9967429649629977</v>
      </c>
      <c r="N785" s="163">
        <f t="shared" ca="1" si="199"/>
        <v>3.4667429649629979</v>
      </c>
      <c r="O785" s="1061" t="s">
        <v>1586</v>
      </c>
      <c r="P785" s="104"/>
      <c r="R785" s="119"/>
      <c r="S785" s="1072"/>
      <c r="T785" s="1072"/>
      <c r="U785" s="1072"/>
      <c r="V785" s="1072"/>
      <c r="W785" s="1072"/>
      <c r="X785" s="1072"/>
      <c r="Y785" s="1072"/>
      <c r="Z785" s="1072"/>
      <c r="AA785" s="1072"/>
      <c r="AB785" s="1072"/>
      <c r="AC785" s="1072"/>
      <c r="AD785" s="1072"/>
      <c r="AE785" s="1072"/>
      <c r="AF785" s="1072"/>
      <c r="AG785" s="1072"/>
      <c r="AH785" s="1072"/>
      <c r="AI785" s="1072"/>
      <c r="AJ785" s="1073"/>
      <c r="AK785" s="1052" cm="1">
        <f t="array" aca="1" ref="AK785" ca="1">INDEX(OFFSET($AK$19,MATCH($B785,$B$19:$B$150,0)-1,0,COUNTA($B$19:$B$24),COUNTA($AK$17:$BB$17)),MATCH($F785,$F$19:$F$24,0),MATCH(AK$17,$AK$17:$BB$17,0))*INDEX($10:$13,MATCH($O785,$R$10:$R$13,0),COLUMN())</f>
        <v>0.32148793440000001</v>
      </c>
      <c r="AL785" s="1050" cm="1">
        <f t="array" aca="1" ref="AL785" ca="1">INDEX(OFFSET($AK$19,MATCH($B785,$B$19:$B$150,0)-1,0,COUNTA($B$19:$B$24),COUNTA($AK$17:$BB$17)),MATCH($F785,$F$19:$F$24,0),MATCH(AL$17,$AK$17:$BB$17,0))*INDEX($10:$13,MATCH($O785,$R$10:$R$13,0),COLUMN())</f>
        <v>7.6001580240000005E-7</v>
      </c>
      <c r="AM785" s="1050" cm="1">
        <f t="array" aca="1" ref="AM785" ca="1">INDEX(OFFSET($AK$19,MATCH($B785,$B$19:$B$150,0)-1,0,COUNTA($B$19:$B$24),COUNTA($AK$17:$BB$17)),MATCH($F785,$F$19:$F$24,0),MATCH(AM$17,$AK$17:$BB$17,0))*INDEX($10:$13,MATCH($O785,$R$10:$R$13,0),COLUMN())</f>
        <v>0</v>
      </c>
      <c r="AN785" s="1050" cm="1">
        <f t="array" aca="1" ref="AN785" ca="1">INDEX(OFFSET($AK$19,MATCH($B785,$B$19:$B$150,0)-1,0,COUNTA($B$19:$B$24),COUNTA($AK$17:$BB$17)),MATCH($F785,$F$19:$F$24,0),MATCH(AN$17,$AK$17:$BB$17,0))*INDEX($10:$13,MATCH($O785,$R$10:$R$13,0),COLUMN())</f>
        <v>8.5565486640000014E-3</v>
      </c>
      <c r="AO785" s="1050" cm="1">
        <f t="array" aca="1" ref="AO785" ca="1">INDEX(OFFSET($AK$19,MATCH($B785,$B$19:$B$150,0)-1,0,COUNTA($B$19:$B$24),COUNTA($AK$17:$BB$17)),MATCH($F785,$F$19:$F$24,0),MATCH(AO$17,$AK$17:$BB$17,0))*INDEX($10:$13,MATCH($O785,$R$10:$R$13,0),COLUMN())</f>
        <v>0.23403057127397262</v>
      </c>
      <c r="AP785" s="1050" cm="1">
        <f t="array" aca="1" ref="AP785" ca="1">INDEX(OFFSET($AK$19,MATCH($B785,$B$19:$B$150,0)-1,0,COUNTA($B$19:$B$24),COUNTA($AK$17:$BB$17)),MATCH($F785,$F$19:$F$24,0),MATCH(AP$17,$AK$17:$BB$17,0))*INDEX($10:$13,MATCH($O785,$R$10:$R$13,0),COLUMN())</f>
        <v>0.16746662352</v>
      </c>
      <c r="AQ785" s="1050" cm="1">
        <f t="array" aca="1" ref="AQ785" ca="1">INDEX(OFFSET($AK$19,MATCH($B785,$B$19:$B$150,0)-1,0,COUNTA($B$19:$B$24),COUNTA($AK$17:$BB$17)),MATCH($F785,$F$19:$F$24,0),MATCH(AQ$17,$AK$17:$BB$17,0))*INDEX($10:$13,MATCH($O785,$R$10:$R$13,0),COLUMN())</f>
        <v>2.840609744E-2</v>
      </c>
      <c r="AR785" s="1050" cm="1">
        <f t="array" aca="1" ref="AR785" ca="1">INDEX(OFFSET($AK$19,MATCH($B785,$B$19:$B$150,0)-1,0,COUNTA($B$19:$B$24),COUNTA($AK$17:$BB$17)),MATCH($F785,$F$19:$F$24,0),MATCH(AR$17,$AK$17:$BB$17,0))*INDEX($10:$13,MATCH($O785,$R$10:$R$13,0),COLUMN())</f>
        <v>0.97410467179999993</v>
      </c>
      <c r="AS785" s="1050" cm="1">
        <f t="array" aca="1" ref="AS785" ca="1">INDEX(OFFSET($AK$19,MATCH($B785,$B$19:$B$150,0)-1,0,COUNTA($B$19:$B$24),COUNTA($AK$17:$BB$17)),MATCH($F785,$F$19:$F$24,0),MATCH(AS$17,$AK$17:$BB$17,0))*INDEX($10:$13,MATCH($O785,$R$10:$R$13,0),COLUMN())</f>
        <v>2.7357359687E-3</v>
      </c>
      <c r="AT785" s="1050" cm="1">
        <f t="array" aca="1" ref="AT785" ca="1">INDEX(OFFSET($AK$19,MATCH($B785,$B$19:$B$150,0)-1,0,COUNTA($B$19:$B$24),COUNTA($AK$17:$BB$17)),MATCH($F785,$F$19:$F$24,0),MATCH(AT$17,$AK$17:$BB$17,0))*INDEX($10:$13,MATCH($O785,$R$10:$R$13,0),COLUMN())</f>
        <v>1.5367674982000001E-5</v>
      </c>
      <c r="AU785" s="1050" cm="1">
        <f t="array" aca="1" ref="AU785" ca="1">INDEX(OFFSET($AK$19,MATCH($B785,$B$19:$B$150,0)-1,0,COUNTA($B$19:$B$24),COUNTA($AK$17:$BB$17)),MATCH($F785,$F$19:$F$24,0),MATCH(AU$17,$AK$17:$BB$17,0))*INDEX($10:$13,MATCH($O785,$R$10:$R$13,0),COLUMN())</f>
        <v>2.8201954757999997E-6</v>
      </c>
      <c r="AV785" s="1050" cm="1">
        <f t="array" aca="1" ref="AV785" ca="1">INDEX(OFFSET($AK$19,MATCH($B785,$B$19:$B$150,0)-1,0,COUNTA($B$19:$B$24),COUNTA($AK$17:$BB$17)),MATCH($F785,$F$19:$F$24,0),MATCH(AV$17,$AK$17:$BB$17,0))*INDEX($10:$13,MATCH($O785,$R$10:$R$13,0),COLUMN())</f>
        <v>1.1245496169893301E-3</v>
      </c>
      <c r="AW785" s="1050" cm="1">
        <f t="array" aca="1" ref="AW785" ca="1">INDEX(OFFSET($AK$19,MATCH($B785,$B$19:$B$150,0)-1,0,COUNTA($B$19:$B$24),COUNTA($AK$17:$BB$17)),MATCH($F785,$F$19:$F$24,0),MATCH(AW$17,$AK$17:$BB$17,0))*INDEX($10:$13,MATCH($O785,$R$10:$R$13,0),COLUMN())</f>
        <v>1.6028261823000001</v>
      </c>
      <c r="AX785" s="1050" cm="1">
        <f t="array" aca="1" ref="AX785" ca="1">INDEX(OFFSET($AK$19,MATCH($B785,$B$19:$B$150,0)-1,0,COUNTA($B$19:$B$24),COUNTA($AK$17:$BB$17)),MATCH($F785,$F$19:$F$24,0),MATCH(AX$17,$AK$17:$BB$17,0))*INDEX($10:$13,MATCH($O785,$R$10:$R$13,0),COLUMN())</f>
        <v>5.0157861670000007E-6</v>
      </c>
      <c r="AY785" s="1050" cm="1">
        <f t="array" aca="1" ref="AY785" ca="1">INDEX(OFFSET($AK$19,MATCH($B785,$B$19:$B$150,0)-1,0,COUNTA($B$19:$B$24),COUNTA($AK$17:$BB$17)),MATCH($F785,$F$19:$F$24,0),MATCH(AY$17,$AK$17:$BB$17,0))*INDEX($10:$13,MATCH($O785,$R$10:$R$13,0),COLUMN())</f>
        <v>3.1283303010000004E-5</v>
      </c>
      <c r="AZ785" s="1050" cm="1">
        <f t="array" aca="1" ref="AZ785" ca="1">INDEX(OFFSET($AK$19,MATCH($B785,$B$19:$B$150,0)-1,0,COUNTA($B$19:$B$24),COUNTA($AK$17:$BB$17)),MATCH($F785,$F$19:$F$24,0),MATCH(AZ$17,$AK$17:$BB$17,0))*INDEX($10:$13,MATCH($O785,$R$10:$R$13,0),COLUMN())</f>
        <v>2.218982389929742E-5</v>
      </c>
      <c r="BA785" s="1050" cm="1">
        <f t="array" aca="1" ref="BA785" ca="1">INDEX(OFFSET($AK$19,MATCH($B785,$B$19:$B$150,0)-1,0,COUNTA($B$19:$B$24),COUNTA($AK$17:$BB$17)),MATCH($F785,$F$19:$F$24,0),MATCH(BA$17,$AK$17:$BB$17,0))*INDEX($10:$13,MATCH($O785,$R$10:$R$13,0),COLUMN())</f>
        <v>0.10875809532</v>
      </c>
      <c r="BB785" s="1051" cm="1">
        <f t="array" aca="1" ref="BB785" ca="1">INDEX(OFFSET($AK$19,MATCH($B785,$B$19:$B$150,0)-1,0,COUNTA($B$19:$B$24),COUNTA($AK$17:$BB$17)),MATCH($F785,$F$19:$F$24,0),MATCH(BB$17,$AK$17:$BB$17,0))*INDEX($10:$13,MATCH($O785,$R$10:$R$13,0),COLUMN())</f>
        <v>1.7168517859999999E-2</v>
      </c>
      <c r="BC785" s="1053">
        <f t="shared" ca="1" si="200"/>
        <v>1.6028624813891772</v>
      </c>
      <c r="BE785" s="1"/>
      <c r="BF785" s="1"/>
      <c r="BG785" s="1"/>
      <c r="BH785" s="1"/>
      <c r="BI785" s="1"/>
      <c r="BJ785" s="1"/>
      <c r="BK785" s="1"/>
      <c r="BL785" s="1"/>
      <c r="BM785" s="1"/>
      <c r="BN785" s="1"/>
      <c r="BO785" s="1"/>
      <c r="BP785" s="1"/>
      <c r="BQ785" s="1"/>
      <c r="BR785" s="1"/>
      <c r="BS785" s="1"/>
      <c r="BT785" s="1"/>
      <c r="BU785" s="1"/>
      <c r="BV785" s="1"/>
      <c r="BW785" s="1"/>
      <c r="BX785" s="1"/>
      <c r="BY785" s="1"/>
      <c r="BZ785" s="1"/>
    </row>
    <row r="786" spans="2:78" ht="12" customHeight="1" outlineLevel="1" x14ac:dyDescent="0.25">
      <c r="B786" s="104" t="s">
        <v>113</v>
      </c>
      <c r="C786" s="104" t="s">
        <v>123</v>
      </c>
      <c r="D786" s="2" t="s">
        <v>151</v>
      </c>
      <c r="E786" s="2" t="s">
        <v>113</v>
      </c>
      <c r="F786" s="105" t="s">
        <v>94</v>
      </c>
      <c r="G786" s="27" t="s">
        <v>1580</v>
      </c>
      <c r="H786" s="106" t="s">
        <v>131</v>
      </c>
      <c r="I786" s="107" t="s">
        <v>129</v>
      </c>
      <c r="J786" s="147">
        <v>2.11</v>
      </c>
      <c r="K786" s="148">
        <v>3.53</v>
      </c>
      <c r="L786" s="149">
        <f t="shared" ca="1" si="201"/>
        <v>0.72774824284593254</v>
      </c>
      <c r="M786" s="148">
        <f t="shared" ca="1" si="202"/>
        <v>6.0989512972461419</v>
      </c>
      <c r="N786" s="163">
        <f t="shared" ca="1" si="199"/>
        <v>2.5689512972461417</v>
      </c>
      <c r="O786" s="1061" t="s">
        <v>1586</v>
      </c>
      <c r="P786" s="104"/>
      <c r="R786" s="119"/>
      <c r="S786" s="1072"/>
      <c r="T786" s="1072"/>
      <c r="U786" s="1072"/>
      <c r="V786" s="1072"/>
      <c r="W786" s="1072"/>
      <c r="X786" s="1072"/>
      <c r="Y786" s="1072"/>
      <c r="Z786" s="1072"/>
      <c r="AA786" s="1072"/>
      <c r="AB786" s="1072"/>
      <c r="AC786" s="1072"/>
      <c r="AD786" s="1072"/>
      <c r="AE786" s="1072"/>
      <c r="AF786" s="1072"/>
      <c r="AG786" s="1072"/>
      <c r="AH786" s="1072"/>
      <c r="AI786" s="1072"/>
      <c r="AJ786" s="1073"/>
      <c r="AK786" s="1052" cm="1">
        <f t="array" aca="1" ref="AK786" ca="1">INDEX(OFFSET($AK$19,MATCH($B786,$B$19:$B$150,0)-1,0,COUNTA($B$19:$B$24),COUNTA($AK$17:$BB$17)),MATCH($F786,$F$19:$F$24,0),MATCH(AK$17,$AK$17:$BB$17,0))*INDEX($10:$13,MATCH($O786,$R$10:$R$13,0),COLUMN())</f>
        <v>0.27951802879999998</v>
      </c>
      <c r="AL786" s="1050" cm="1">
        <f t="array" aca="1" ref="AL786" ca="1">INDEX(OFFSET($AK$19,MATCH($B786,$B$19:$B$150,0)-1,0,COUNTA($B$19:$B$24),COUNTA($AK$17:$BB$17)),MATCH($F786,$F$19:$F$24,0),MATCH(AL$17,$AK$17:$BB$17,0))*INDEX($10:$13,MATCH($O786,$R$10:$R$13,0),COLUMN())</f>
        <v>7.0276254179999999E-7</v>
      </c>
      <c r="AM786" s="1050" cm="1">
        <f t="array" aca="1" ref="AM786" ca="1">INDEX(OFFSET($AK$19,MATCH($B786,$B$19:$B$150,0)-1,0,COUNTA($B$19:$B$24),COUNTA($AK$17:$BB$17)),MATCH($F786,$F$19:$F$24,0),MATCH(AM$17,$AK$17:$BB$17,0))*INDEX($10:$13,MATCH($O786,$R$10:$R$13,0),COLUMN())</f>
        <v>0</v>
      </c>
      <c r="AN786" s="1050" cm="1">
        <f t="array" aca="1" ref="AN786" ca="1">INDEX(OFFSET($AK$19,MATCH($B786,$B$19:$B$150,0)-1,0,COUNTA($B$19:$B$24),COUNTA($AK$17:$BB$17)),MATCH($F786,$F$19:$F$24,0),MATCH(AN$17,$AK$17:$BB$17,0))*INDEX($10:$13,MATCH($O786,$R$10:$R$13,0),COLUMN())</f>
        <v>6.6777766500000007E-3</v>
      </c>
      <c r="AO786" s="1050" cm="1">
        <f t="array" aca="1" ref="AO786" ca="1">INDEX(OFFSET($AK$19,MATCH($B786,$B$19:$B$150,0)-1,0,COUNTA($B$19:$B$24),COUNTA($AK$17:$BB$17)),MATCH($F786,$F$19:$F$24,0),MATCH(AO$17,$AK$17:$BB$17,0))*INDEX($10:$13,MATCH($O786,$R$10:$R$13,0),COLUMN())</f>
        <v>0.2193744218630137</v>
      </c>
      <c r="AP786" s="1050" cm="1">
        <f t="array" aca="1" ref="AP786" ca="1">INDEX(OFFSET($AK$19,MATCH($B786,$B$19:$B$150,0)-1,0,COUNTA($B$19:$B$24),COUNTA($AK$17:$BB$17)),MATCH($F786,$F$19:$F$24,0),MATCH(AP$17,$AK$17:$BB$17,0))*INDEX($10:$13,MATCH($O786,$R$10:$R$13,0),COLUMN())</f>
        <v>0.15993954816</v>
      </c>
      <c r="AQ786" s="1050" cm="1">
        <f t="array" aca="1" ref="AQ786" ca="1">INDEX(OFFSET($AK$19,MATCH($B786,$B$19:$B$150,0)-1,0,COUNTA($B$19:$B$24),COUNTA($AK$17:$BB$17)),MATCH($F786,$F$19:$F$24,0),MATCH(AQ$17,$AK$17:$BB$17,0))*INDEX($10:$13,MATCH($O786,$R$10:$R$13,0),COLUMN())</f>
        <v>1.9885193887999999E-2</v>
      </c>
      <c r="AR786" s="1050" cm="1">
        <f t="array" aca="1" ref="AR786" ca="1">INDEX(OFFSET($AK$19,MATCH($B786,$B$19:$B$150,0)-1,0,COUNTA($B$19:$B$24),COUNTA($AK$17:$BB$17)),MATCH($F786,$F$19:$F$24,0),MATCH(AR$17,$AK$17:$BB$17,0))*INDEX($10:$13,MATCH($O786,$R$10:$R$13,0),COLUMN())</f>
        <v>0.69547206940000006</v>
      </c>
      <c r="AS786" s="1050" cm="1">
        <f t="array" aca="1" ref="AS786" ca="1">INDEX(OFFSET($AK$19,MATCH($B786,$B$19:$B$150,0)-1,0,COUNTA($B$19:$B$24),COUNTA($AK$17:$BB$17)),MATCH($F786,$F$19:$F$24,0),MATCH(AS$17,$AK$17:$BB$17,0))*INDEX($10:$13,MATCH($O786,$R$10:$R$13,0),COLUMN())</f>
        <v>2.4021531819E-3</v>
      </c>
      <c r="AT786" s="1050" cm="1">
        <f t="array" aca="1" ref="AT786" ca="1">INDEX(OFFSET($AK$19,MATCH($B786,$B$19:$B$150,0)-1,0,COUNTA($B$19:$B$24),COUNTA($AK$17:$BB$17)),MATCH($F786,$F$19:$F$24,0),MATCH(AT$17,$AK$17:$BB$17,0))*INDEX($10:$13,MATCH($O786,$R$10:$R$13,0),COLUMN())</f>
        <v>1.1553305658000002E-5</v>
      </c>
      <c r="AU786" s="1050" cm="1">
        <f t="array" aca="1" ref="AU786" ca="1">INDEX(OFFSET($AK$19,MATCH($B786,$B$19:$B$150,0)-1,0,COUNTA($B$19:$B$24),COUNTA($AK$17:$BB$17)),MATCH($F786,$F$19:$F$24,0),MATCH(AU$17,$AK$17:$BB$17,0))*INDEX($10:$13,MATCH($O786,$R$10:$R$13,0),COLUMN())</f>
        <v>2.0319610721999997E-6</v>
      </c>
      <c r="AV786" s="1050" cm="1">
        <f t="array" aca="1" ref="AV786" ca="1">INDEX(OFFSET($AK$19,MATCH($B786,$B$19:$B$150,0)-1,0,COUNTA($B$19:$B$24),COUNTA($AK$17:$BB$17)),MATCH($F786,$F$19:$F$24,0),MATCH(AV$17,$AK$17:$BB$17,0))*INDEX($10:$13,MATCH($O786,$R$10:$R$13,0),COLUMN())</f>
        <v>6.4537878244385445E-4</v>
      </c>
      <c r="AW786" s="1050" cm="1">
        <f t="array" aca="1" ref="AW786" ca="1">INDEX(OFFSET($AK$19,MATCH($B786,$B$19:$B$150,0)-1,0,COUNTA($B$19:$B$24),COUNTA($AK$17:$BB$17)),MATCH($F786,$F$19:$F$24,0),MATCH(AW$17,$AK$17:$BB$17,0))*INDEX($10:$13,MATCH($O786,$R$10:$R$13,0),COLUMN())</f>
        <v>1.0742726155000002</v>
      </c>
      <c r="AX786" s="1050" cm="1">
        <f t="array" aca="1" ref="AX786" ca="1">INDEX(OFFSET($AK$19,MATCH($B786,$B$19:$B$150,0)-1,0,COUNTA($B$19:$B$24),COUNTA($AK$17:$BB$17)),MATCH($F786,$F$19:$F$24,0),MATCH(AX$17,$AK$17:$BB$17,0))*INDEX($10:$13,MATCH($O786,$R$10:$R$13,0),COLUMN())</f>
        <v>4.7943356979999997E-6</v>
      </c>
      <c r="AY786" s="1050" cm="1">
        <f t="array" aca="1" ref="AY786" ca="1">INDEX(OFFSET($AK$19,MATCH($B786,$B$19:$B$150,0)-1,0,COUNTA($B$19:$B$24),COUNTA($AK$17:$BB$17)),MATCH($F786,$F$19:$F$24,0),MATCH(AY$17,$AK$17:$BB$17,0))*INDEX($10:$13,MATCH($O786,$R$10:$R$13,0),COLUMN())</f>
        <v>3.0623423710000003E-5</v>
      </c>
      <c r="AZ786" s="1050" cm="1">
        <f t="array" aca="1" ref="AZ786" ca="1">INDEX(OFFSET($AK$19,MATCH($B786,$B$19:$B$150,0)-1,0,COUNTA($B$19:$B$24),COUNTA($AK$17:$BB$17)),MATCH($F786,$F$19:$F$24,0),MATCH(AZ$17,$AK$17:$BB$17,0))*INDEX($10:$13,MATCH($O786,$R$10:$R$13,0),COLUMN())</f>
        <v>1.7212762103044494E-5</v>
      </c>
      <c r="BA786" s="1050" cm="1">
        <f t="array" aca="1" ref="BA786" ca="1">INDEX(OFFSET($AK$19,MATCH($B786,$B$19:$B$150,0)-1,0,COUNTA($B$19:$B$24),COUNTA($AK$17:$BB$17)),MATCH($F786,$F$19:$F$24,0),MATCH(BA$17,$AK$17:$BB$17,0))*INDEX($10:$13,MATCH($O786,$R$10:$R$13,0),COLUMN())</f>
        <v>9.4293897870000004E-2</v>
      </c>
      <c r="BB786" s="1051" cm="1">
        <f t="array" aca="1" ref="BB786" ca="1">INDEX(OFFSET($AK$19,MATCH($B786,$B$19:$B$150,0)-1,0,COUNTA($B$19:$B$24),COUNTA($AK$17:$BB$17)),MATCH($F786,$F$19:$F$24,0),MATCH(BB$17,$AK$17:$BB$17,0))*INDEX($10:$13,MATCH($O786,$R$10:$R$13,0),COLUMN())</f>
        <v>1.64032946E-2</v>
      </c>
      <c r="BC786" s="1053">
        <f t="shared" ref="BC786:BC812" ca="1" si="203">SUM(AW786:AY786)</f>
        <v>1.0743080332594082</v>
      </c>
      <c r="BE786" s="1"/>
      <c r="BF786" s="1"/>
      <c r="BG786" s="1"/>
      <c r="BH786" s="1"/>
      <c r="BI786" s="1"/>
      <c r="BJ786" s="1"/>
      <c r="BK786" s="1"/>
      <c r="BL786" s="1"/>
      <c r="BM786" s="1"/>
      <c r="BN786" s="1"/>
      <c r="BO786" s="1"/>
      <c r="BP786" s="1"/>
      <c r="BQ786" s="1"/>
      <c r="BR786" s="1"/>
      <c r="BS786" s="1"/>
      <c r="BT786" s="1"/>
      <c r="BU786" s="1"/>
      <c r="BV786" s="1"/>
      <c r="BW786" s="1"/>
      <c r="BX786" s="1"/>
      <c r="BY786" s="1"/>
      <c r="BZ786" s="1"/>
    </row>
    <row r="787" spans="2:78" ht="12" customHeight="1" outlineLevel="1" x14ac:dyDescent="0.25">
      <c r="B787" s="104" t="s">
        <v>113</v>
      </c>
      <c r="C787" s="104" t="s">
        <v>123</v>
      </c>
      <c r="D787" s="2" t="s">
        <v>151</v>
      </c>
      <c r="E787" s="2" t="s">
        <v>113</v>
      </c>
      <c r="F787" s="105" t="s">
        <v>95</v>
      </c>
      <c r="G787" s="27" t="s">
        <v>1581</v>
      </c>
      <c r="H787" s="106" t="s">
        <v>128</v>
      </c>
      <c r="I787" s="107" t="s">
        <v>127</v>
      </c>
      <c r="J787" s="147">
        <v>2.11</v>
      </c>
      <c r="K787" s="148">
        <v>3.53</v>
      </c>
      <c r="L787" s="149">
        <f t="shared" ca="1" si="201"/>
        <v>0.94239606336860271</v>
      </c>
      <c r="M787" s="148">
        <f t="shared" ca="1" si="202"/>
        <v>6.8566581036911671</v>
      </c>
      <c r="N787" s="163">
        <f t="shared" ca="1" si="199"/>
        <v>3.3266581036911673</v>
      </c>
      <c r="O787" s="1061" t="s">
        <v>1586</v>
      </c>
      <c r="P787" s="104"/>
      <c r="R787" s="119"/>
      <c r="S787" s="1072"/>
      <c r="T787" s="1072"/>
      <c r="U787" s="1072"/>
      <c r="V787" s="1072"/>
      <c r="W787" s="1072"/>
      <c r="X787" s="1072"/>
      <c r="Y787" s="1072"/>
      <c r="Z787" s="1072"/>
      <c r="AA787" s="1072"/>
      <c r="AB787" s="1072"/>
      <c r="AC787" s="1072"/>
      <c r="AD787" s="1072"/>
      <c r="AE787" s="1072"/>
      <c r="AF787" s="1072"/>
      <c r="AG787" s="1072"/>
      <c r="AH787" s="1072"/>
      <c r="AI787" s="1072"/>
      <c r="AJ787" s="1073"/>
      <c r="AK787" s="1052" cm="1">
        <f t="array" aca="1" ref="AK787" ca="1">INDEX(OFFSET($AK$19,MATCH($B787,$B$19:$B$150,0)-1,0,COUNTA($B$19:$B$24),COUNTA($AK$17:$BB$17)),MATCH($F787,$F$19:$F$24,0),MATCH(AK$17,$AK$17:$BB$17,0))*INDEX($10:$13,MATCH($O787,$R$10:$R$13,0),COLUMN())</f>
        <v>0.30916514239999998</v>
      </c>
      <c r="AL787" s="1050" cm="1">
        <f t="array" aca="1" ref="AL787" ca="1">INDEX(OFFSET($AK$19,MATCH($B787,$B$19:$B$150,0)-1,0,COUNTA($B$19:$B$24),COUNTA($AK$17:$BB$17)),MATCH($F787,$F$19:$F$24,0),MATCH(AL$17,$AK$17:$BB$17,0))*INDEX($10:$13,MATCH($O787,$R$10:$R$13,0),COLUMN())</f>
        <v>7.2733004519999998E-7</v>
      </c>
      <c r="AM787" s="1050" cm="1">
        <f t="array" aca="1" ref="AM787" ca="1">INDEX(OFFSET($AK$19,MATCH($B787,$B$19:$B$150,0)-1,0,COUNTA($B$19:$B$24),COUNTA($AK$17:$BB$17)),MATCH($F787,$F$19:$F$24,0),MATCH(AM$17,$AK$17:$BB$17,0))*INDEX($10:$13,MATCH($O787,$R$10:$R$13,0),COLUMN())</f>
        <v>0</v>
      </c>
      <c r="AN787" s="1050" cm="1">
        <f t="array" aca="1" ref="AN787" ca="1">INDEX(OFFSET($AK$19,MATCH($B787,$B$19:$B$150,0)-1,0,COUNTA($B$19:$B$24),COUNTA($AK$17:$BB$17)),MATCH($F787,$F$19:$F$24,0),MATCH(AN$17,$AK$17:$BB$17,0))*INDEX($10:$13,MATCH($O787,$R$10:$R$13,0),COLUMN())</f>
        <v>7.7506855560000006E-3</v>
      </c>
      <c r="AO787" s="1050" cm="1">
        <f t="array" aca="1" ref="AO787" ca="1">INDEX(OFFSET($AK$19,MATCH($B787,$B$19:$B$150,0)-1,0,COUNTA($B$19:$B$24),COUNTA($AK$17:$BB$17)),MATCH($F787,$F$19:$F$24,0),MATCH(AO$17,$AK$17:$BB$17,0))*INDEX($10:$13,MATCH($O787,$R$10:$R$13,0),COLUMN())</f>
        <v>0.26388577072602737</v>
      </c>
      <c r="AP787" s="1050" cm="1">
        <f t="array" aca="1" ref="AP787" ca="1">INDEX(OFFSET($AK$19,MATCH($B787,$B$19:$B$150,0)-1,0,COUNTA($B$19:$B$24),COUNTA($AK$17:$BB$17)),MATCH($F787,$F$19:$F$24,0),MATCH(AP$17,$AK$17:$BB$17,0))*INDEX($10:$13,MATCH($O787,$R$10:$R$13,0),COLUMN())</f>
        <v>0.19375984656</v>
      </c>
      <c r="AQ787" s="1050" cm="1">
        <f t="array" aca="1" ref="AQ787" ca="1">INDEX(OFFSET($AK$19,MATCH($B787,$B$19:$B$150,0)-1,0,COUNTA($B$19:$B$24),COUNTA($AK$17:$BB$17)),MATCH($F787,$F$19:$F$24,0),MATCH(AQ$17,$AK$17:$BB$17,0))*INDEX($10:$13,MATCH($O787,$R$10:$R$13,0),COLUMN())</f>
        <v>8.3444792800000001E-2</v>
      </c>
      <c r="AR787" s="1050" cm="1">
        <f t="array" aca="1" ref="AR787" ca="1">INDEX(OFFSET($AK$19,MATCH($B787,$B$19:$B$150,0)-1,0,COUNTA($B$19:$B$24),COUNTA($AK$17:$BB$17)),MATCH($F787,$F$19:$F$24,0),MATCH(AR$17,$AK$17:$BB$17,0))*INDEX($10:$13,MATCH($O787,$R$10:$R$13,0),COLUMN())</f>
        <v>1.0537729849999999</v>
      </c>
      <c r="AS787" s="1050" cm="1">
        <f t="array" aca="1" ref="AS787" ca="1">INDEX(OFFSET($AK$19,MATCH($B787,$B$19:$B$150,0)-1,0,COUNTA($B$19:$B$24),COUNTA($AK$17:$BB$17)),MATCH($F787,$F$19:$F$24,0),MATCH(AS$17,$AK$17:$BB$17,0))*INDEX($10:$13,MATCH($O787,$R$10:$R$13,0),COLUMN())</f>
        <v>7.1162246691999992E-3</v>
      </c>
      <c r="AT787" s="1050" cm="1">
        <f t="array" aca="1" ref="AT787" ca="1">INDEX(OFFSET($AK$19,MATCH($B787,$B$19:$B$150,0)-1,0,COUNTA($B$19:$B$24),COUNTA($AK$17:$BB$17)),MATCH($F787,$F$19:$F$24,0),MATCH(AT$17,$AK$17:$BB$17,0))*INDEX($10:$13,MATCH($O787,$R$10:$R$13,0),COLUMN())</f>
        <v>1.6509007576000002E-5</v>
      </c>
      <c r="AU787" s="1050" cm="1">
        <f t="array" aca="1" ref="AU787" ca="1">INDEX(OFFSET($AK$19,MATCH($B787,$B$19:$B$150,0)-1,0,COUNTA($B$19:$B$24),COUNTA($AK$17:$BB$17)),MATCH($F787,$F$19:$F$24,0),MATCH(AU$17,$AK$17:$BB$17,0))*INDEX($10:$13,MATCH($O787,$R$10:$R$13,0),COLUMN())</f>
        <v>2.8726274609999998E-6</v>
      </c>
      <c r="AV787" s="1050" cm="1">
        <f t="array" aca="1" ref="AV787" ca="1">INDEX(OFFSET($AK$19,MATCH($B787,$B$19:$B$150,0)-1,0,COUNTA($B$19:$B$24),COUNTA($AK$17:$BB$17)),MATCH($F787,$F$19:$F$24,0),MATCH(AV$17,$AK$17:$BB$17,0))*INDEX($10:$13,MATCH($O787,$R$10:$R$13,0),COLUMN())</f>
        <v>4.0627104610157436E-3</v>
      </c>
      <c r="AW787" s="1050" cm="1">
        <f t="array" aca="1" ref="AW787" ca="1">INDEX(OFFSET($AK$19,MATCH($B787,$B$19:$B$150,0)-1,0,COUNTA($B$19:$B$24),COUNTA($AK$17:$BB$17)),MATCH($F787,$F$19:$F$24,0),MATCH(AW$17,$AK$17:$BB$17,0))*INDEX($10:$13,MATCH($O787,$R$10:$R$13,0),COLUMN())</f>
        <v>1.2848284368</v>
      </c>
      <c r="AX787" s="1050" cm="1">
        <f t="array" aca="1" ref="AX787" ca="1">INDEX(OFFSET($AK$19,MATCH($B787,$B$19:$B$150,0)-1,0,COUNTA($B$19:$B$24),COUNTA($AK$17:$BB$17)),MATCH($F787,$F$19:$F$24,0),MATCH(AX$17,$AK$17:$BB$17,0))*INDEX($10:$13,MATCH($O787,$R$10:$R$13,0),COLUMN())</f>
        <v>4.8886080530000004E-6</v>
      </c>
      <c r="AY787" s="1050" cm="1">
        <f t="array" aca="1" ref="AY787" ca="1">INDEX(OFFSET($AK$19,MATCH($B787,$B$19:$B$150,0)-1,0,COUNTA($B$19:$B$24),COUNTA($AK$17:$BB$17)),MATCH($F787,$F$19:$F$24,0),MATCH(AY$17,$AK$17:$BB$17,0))*INDEX($10:$13,MATCH($O787,$R$10:$R$13,0),COLUMN())</f>
        <v>3.0941035920000001E-5</v>
      </c>
      <c r="AZ787" s="1050" cm="1">
        <f t="array" aca="1" ref="AZ787" ca="1">INDEX(OFFSET($AK$19,MATCH($B787,$B$19:$B$150,0)-1,0,COUNTA($B$19:$B$24),COUNTA($AK$17:$BB$17)),MATCH($F787,$F$19:$F$24,0),MATCH(AZ$17,$AK$17:$BB$17,0))*INDEX($10:$13,MATCH($O787,$R$10:$R$13,0),COLUMN())</f>
        <v>1.9225319868852457E-5</v>
      </c>
      <c r="BA787" s="1050" cm="1">
        <f t="array" aca="1" ref="BA787" ca="1">INDEX(OFFSET($AK$19,MATCH($B787,$B$19:$B$150,0)-1,0,COUNTA($B$19:$B$24),COUNTA($AK$17:$BB$17)),MATCH($F787,$F$19:$F$24,0),MATCH(BA$17,$AK$17:$BB$17,0))*INDEX($10:$13,MATCH($O787,$R$10:$R$13,0),COLUMN())</f>
        <v>0.10207269015000001</v>
      </c>
      <c r="BB787" s="1051" cm="1">
        <f t="array" aca="1" ref="BB787" ca="1">INDEX(OFFSET($AK$19,MATCH($B787,$B$19:$B$150,0)-1,0,COUNTA($B$19:$B$24),COUNTA($AK$17:$BB$17)),MATCH($F787,$F$19:$F$24,0),MATCH(BB$17,$AK$17:$BB$17,0))*INDEX($10:$13,MATCH($O787,$R$10:$R$13,0),COLUMN())</f>
        <v>1.6723654640000002E-2</v>
      </c>
      <c r="BC787" s="1053">
        <f t="shared" ca="1" si="203"/>
        <v>1.2848642664439731</v>
      </c>
      <c r="BE787" s="1"/>
      <c r="BF787" s="1"/>
      <c r="BG787" s="1"/>
      <c r="BH787" s="1"/>
      <c r="BI787" s="1"/>
      <c r="BJ787" s="1"/>
      <c r="BK787" s="1"/>
      <c r="BL787" s="1"/>
      <c r="BM787" s="1"/>
      <c r="BN787" s="1"/>
      <c r="BO787" s="1"/>
      <c r="BP787" s="1"/>
      <c r="BQ787" s="1"/>
      <c r="BR787" s="1"/>
      <c r="BS787" s="1"/>
      <c r="BT787" s="1"/>
      <c r="BU787" s="1"/>
      <c r="BV787" s="1"/>
      <c r="BW787" s="1"/>
      <c r="BX787" s="1"/>
      <c r="BY787" s="1"/>
      <c r="BZ787" s="1"/>
    </row>
    <row r="788" spans="2:78" ht="12" customHeight="1" outlineLevel="1" x14ac:dyDescent="0.25">
      <c r="B788" s="104" t="s">
        <v>113</v>
      </c>
      <c r="C788" s="104" t="s">
        <v>123</v>
      </c>
      <c r="D788" s="2" t="s">
        <v>151</v>
      </c>
      <c r="E788" s="2" t="s">
        <v>113</v>
      </c>
      <c r="F788" s="105" t="s">
        <v>96</v>
      </c>
      <c r="G788" s="27" t="s">
        <v>1582</v>
      </c>
      <c r="H788" s="106" t="s">
        <v>128</v>
      </c>
      <c r="I788" s="107" t="s">
        <v>1577</v>
      </c>
      <c r="J788" s="147">
        <v>2.11</v>
      </c>
      <c r="K788" s="148">
        <v>3.53</v>
      </c>
      <c r="L788" s="149">
        <f t="shared" ca="1" si="201"/>
        <v>1.0244301963105906</v>
      </c>
      <c r="M788" s="148">
        <f t="shared" ca="1" si="202"/>
        <v>7.1462385929763848</v>
      </c>
      <c r="N788" s="163">
        <f t="shared" ca="1" si="199"/>
        <v>3.6162385929763845</v>
      </c>
      <c r="O788" s="1061" t="s">
        <v>1586</v>
      </c>
      <c r="P788" s="104"/>
      <c r="R788" s="119"/>
      <c r="S788" s="1072"/>
      <c r="T788" s="1072"/>
      <c r="U788" s="1072"/>
      <c r="V788" s="1072"/>
      <c r="W788" s="1072"/>
      <c r="X788" s="1072"/>
      <c r="Y788" s="1072"/>
      <c r="Z788" s="1072"/>
      <c r="AA788" s="1072"/>
      <c r="AB788" s="1072"/>
      <c r="AC788" s="1072"/>
      <c r="AD788" s="1072"/>
      <c r="AE788" s="1072"/>
      <c r="AF788" s="1072"/>
      <c r="AG788" s="1072"/>
      <c r="AH788" s="1072"/>
      <c r="AI788" s="1072"/>
      <c r="AJ788" s="1073"/>
      <c r="AK788" s="1052" cm="1">
        <f t="array" aca="1" ref="AK788" ca="1">INDEX(OFFSET($AK$19,MATCH($B788,$B$19:$B$150,0)-1,0,COUNTA($B$19:$B$24),COUNTA($AK$17:$BB$17)),MATCH($F788,$F$19:$F$24,0),MATCH(AK$17,$AK$17:$BB$17,0))*INDEX($10:$13,MATCH($O788,$R$10:$R$13,0),COLUMN())</f>
        <v>0.31827576400000002</v>
      </c>
      <c r="AL788" s="1050" cm="1">
        <f t="array" aca="1" ref="AL788" ca="1">INDEX(OFFSET($AK$19,MATCH($B788,$B$19:$B$150,0)-1,0,COUNTA($B$19:$B$24),COUNTA($AK$17:$BB$17)),MATCH($F788,$F$19:$F$24,0),MATCH(AL$17,$AK$17:$BB$17,0))*INDEX($10:$13,MATCH($O788,$R$10:$R$13,0),COLUMN())</f>
        <v>7.2790877339999999E-7</v>
      </c>
      <c r="AM788" s="1050" cm="1">
        <f t="array" aca="1" ref="AM788" ca="1">INDEX(OFFSET($AK$19,MATCH($B788,$B$19:$B$150,0)-1,0,COUNTA($B$19:$B$24),COUNTA($AK$17:$BB$17)),MATCH($F788,$F$19:$F$24,0),MATCH(AM$17,$AK$17:$BB$17,0))*INDEX($10:$13,MATCH($O788,$R$10:$R$13,0),COLUMN())</f>
        <v>0</v>
      </c>
      <c r="AN788" s="1050" cm="1">
        <f t="array" aca="1" ref="AN788" ca="1">INDEX(OFFSET($AK$19,MATCH($B788,$B$19:$B$150,0)-1,0,COUNTA($B$19:$B$24),COUNTA($AK$17:$BB$17)),MATCH($F788,$F$19:$F$24,0),MATCH(AN$17,$AK$17:$BB$17,0))*INDEX($10:$13,MATCH($O788,$R$10:$R$13,0),COLUMN())</f>
        <v>7.9589779440000005E-3</v>
      </c>
      <c r="AO788" s="1050" cm="1">
        <f t="array" aca="1" ref="AO788" ca="1">INDEX(OFFSET($AK$19,MATCH($B788,$B$19:$B$150,0)-1,0,COUNTA($B$19:$B$24),COUNTA($AK$17:$BB$17)),MATCH($F788,$F$19:$F$24,0),MATCH(AO$17,$AK$17:$BB$17,0))*INDEX($10:$13,MATCH($O788,$R$10:$R$13,0),COLUMN())</f>
        <v>0.29189053043835617</v>
      </c>
      <c r="AP788" s="1050" cm="1">
        <f t="array" aca="1" ref="AP788" ca="1">INDEX(OFFSET($AK$19,MATCH($B788,$B$19:$B$150,0)-1,0,COUNTA($B$19:$B$24),COUNTA($AK$17:$BB$17)),MATCH($F788,$F$19:$F$24,0),MATCH(AP$17,$AK$17:$BB$17,0))*INDEX($10:$13,MATCH($O788,$R$10:$R$13,0),COLUMN())</f>
        <v>0.21613263839999999</v>
      </c>
      <c r="AQ788" s="1050" cm="1">
        <f t="array" aca="1" ref="AQ788" ca="1">INDEX(OFFSET($AK$19,MATCH($B788,$B$19:$B$150,0)-1,0,COUNTA($B$19:$B$24),COUNTA($AK$17:$BB$17)),MATCH($F788,$F$19:$F$24,0),MATCH(AQ$17,$AK$17:$BB$17,0))*INDEX($10:$13,MATCH($O788,$R$10:$R$13,0),COLUMN())</f>
        <v>0.12635777328</v>
      </c>
      <c r="AR788" s="1050" cm="1">
        <f t="array" aca="1" ref="AR788" ca="1">INDEX(OFFSET($AK$19,MATCH($B788,$B$19:$B$150,0)-1,0,COUNTA($B$19:$B$24),COUNTA($AK$17:$BB$17)),MATCH($F788,$F$19:$F$24,0),MATCH(AR$17,$AK$17:$BB$17,0))*INDEX($10:$13,MATCH($O788,$R$10:$R$13,0),COLUMN())</f>
        <v>1.2335671429999999</v>
      </c>
      <c r="AS788" s="1050" cm="1">
        <f t="array" aca="1" ref="AS788" ca="1">INDEX(OFFSET($AK$19,MATCH($B788,$B$19:$B$150,0)-1,0,COUNTA($B$19:$B$24),COUNTA($AK$17:$BB$17)),MATCH($F788,$F$19:$F$24,0),MATCH(AS$17,$AK$17:$BB$17,0))*INDEX($10:$13,MATCH($O788,$R$10:$R$13,0),COLUMN())</f>
        <v>1.0375610231999999E-2</v>
      </c>
      <c r="AT788" s="1050" cm="1">
        <f t="array" aca="1" ref="AT788" ca="1">INDEX(OFFSET($AK$19,MATCH($B788,$B$19:$B$150,0)-1,0,COUNTA($B$19:$B$24),COUNTA($AK$17:$BB$17)),MATCH($F788,$F$19:$F$24,0),MATCH(AT$17,$AK$17:$BB$17,0))*INDEX($10:$13,MATCH($O788,$R$10:$R$13,0),COLUMN())</f>
        <v>1.7981279017999998E-5</v>
      </c>
      <c r="AU788" s="1050" cm="1">
        <f t="array" aca="1" ref="AU788" ca="1">INDEX(OFFSET($AK$19,MATCH($B788,$B$19:$B$150,0)-1,0,COUNTA($B$19:$B$24),COUNTA($AK$17:$BB$17)),MATCH($F788,$F$19:$F$24,0),MATCH(AU$17,$AK$17:$BB$17,0))*INDEX($10:$13,MATCH($O788,$R$10:$R$13,0),COLUMN())</f>
        <v>3.0834302273999999E-6</v>
      </c>
      <c r="AV788" s="1050" cm="1">
        <f t="array" aca="1" ref="AV788" ca="1">INDEX(OFFSET($AK$19,MATCH($B788,$B$19:$B$150,0)-1,0,COUNTA($B$19:$B$24),COUNTA($AK$17:$BB$17)),MATCH($F788,$F$19:$F$24,0),MATCH(AV$17,$AK$17:$BB$17,0))*INDEX($10:$13,MATCH($O788,$R$10:$R$13,0),COLUMN())</f>
        <v>6.7289504569964251E-3</v>
      </c>
      <c r="AW788" s="1050" cm="1">
        <f t="array" aca="1" ref="AW788" ca="1">INDEX(OFFSET($AK$19,MATCH($B788,$B$19:$B$150,0)-1,0,COUNTA($B$19:$B$24),COUNTA($AK$17:$BB$17)),MATCH($F788,$F$19:$F$24,0),MATCH(AW$17,$AK$17:$BB$17,0))*INDEX($10:$13,MATCH($O788,$R$10:$R$13,0),COLUMN())</f>
        <v>1.2848284368</v>
      </c>
      <c r="AX788" s="1050" cm="1">
        <f t="array" aca="1" ref="AX788" ca="1">INDEX(OFFSET($AK$19,MATCH($B788,$B$19:$B$150,0)-1,0,COUNTA($B$19:$B$24),COUNTA($AK$17:$BB$17)),MATCH($F788,$F$19:$F$24,0),MATCH(AX$17,$AK$17:$BB$17,0))*INDEX($10:$13,MATCH($O788,$R$10:$R$13,0),COLUMN())</f>
        <v>4.8886080530000004E-6</v>
      </c>
      <c r="AY788" s="1050" cm="1">
        <f t="array" aca="1" ref="AY788" ca="1">INDEX(OFFSET($AK$19,MATCH($B788,$B$19:$B$150,0)-1,0,COUNTA($B$19:$B$24),COUNTA($AK$17:$BB$17)),MATCH($F788,$F$19:$F$24,0),MATCH(AY$17,$AK$17:$BB$17,0))*INDEX($10:$13,MATCH($O788,$R$10:$R$13,0),COLUMN())</f>
        <v>3.0941035920000001E-5</v>
      </c>
      <c r="AZ788" s="1050" cm="1">
        <f t="array" aca="1" ref="AZ788" ca="1">INDEX(OFFSET($AK$19,MATCH($B788,$B$19:$B$150,0)-1,0,COUNTA($B$19:$B$24),COUNTA($AK$17:$BB$17)),MATCH($F788,$F$19:$F$24,0),MATCH(AZ$17,$AK$17:$BB$17,0))*INDEX($10:$13,MATCH($O788,$R$10:$R$13,0),COLUMN())</f>
        <v>1.9236333039812643E-5</v>
      </c>
      <c r="BA788" s="1050" cm="1">
        <f t="array" aca="1" ref="BA788" ca="1">INDEX(OFFSET($AK$19,MATCH($B788,$B$19:$B$150,0)-1,0,COUNTA($B$19:$B$24),COUNTA($AK$17:$BB$17)),MATCH($F788,$F$19:$F$24,0),MATCH(BA$17,$AK$17:$BB$17,0))*INDEX($10:$13,MATCH($O788,$R$10:$R$13,0),COLUMN())</f>
        <v>0.10332123410999999</v>
      </c>
      <c r="BB788" s="1051" cm="1">
        <f t="array" aca="1" ref="BB788" ca="1">INDEX(OFFSET($AK$19,MATCH($B788,$B$19:$B$150,0)-1,0,COUNTA($B$19:$B$24),COUNTA($AK$17:$BB$17)),MATCH($F788,$F$19:$F$24,0),MATCH(BB$17,$AK$17:$BB$17,0))*INDEX($10:$13,MATCH($O788,$R$10:$R$13,0),COLUMN())</f>
        <v>1.6724675720000002E-2</v>
      </c>
      <c r="BC788" s="1053">
        <f t="shared" ca="1" si="203"/>
        <v>1.2848642664439731</v>
      </c>
      <c r="BE788" s="1"/>
      <c r="BF788" s="1"/>
      <c r="BG788" s="1"/>
      <c r="BH788" s="1"/>
      <c r="BI788" s="1"/>
      <c r="BJ788" s="1"/>
      <c r="BK788" s="1"/>
      <c r="BL788" s="1"/>
      <c r="BM788" s="1"/>
      <c r="BN788" s="1"/>
      <c r="BO788" s="1"/>
      <c r="BP788" s="1"/>
      <c r="BQ788" s="1"/>
      <c r="BR788" s="1"/>
      <c r="BS788" s="1"/>
      <c r="BT788" s="1"/>
      <c r="BU788" s="1"/>
      <c r="BV788" s="1"/>
      <c r="BW788" s="1"/>
      <c r="BX788" s="1"/>
      <c r="BY788" s="1"/>
      <c r="BZ788" s="1"/>
    </row>
    <row r="789" spans="2:78" ht="12" customHeight="1" outlineLevel="1" x14ac:dyDescent="0.25">
      <c r="B789" s="88" t="s">
        <v>114</v>
      </c>
      <c r="C789" s="88" t="s">
        <v>123</v>
      </c>
      <c r="D789" s="89" t="s">
        <v>152</v>
      </c>
      <c r="E789" s="89" t="s">
        <v>153</v>
      </c>
      <c r="F789" s="90" t="s">
        <v>92</v>
      </c>
      <c r="G789" s="18" t="s">
        <v>126</v>
      </c>
      <c r="H789" s="91" t="s">
        <v>127</v>
      </c>
      <c r="I789" s="92" t="s">
        <v>127</v>
      </c>
      <c r="J789" s="142">
        <v>1.91</v>
      </c>
      <c r="K789" s="143">
        <v>0.84</v>
      </c>
      <c r="L789" s="151">
        <f t="shared" ca="1" si="201"/>
        <v>3.5644554610680346</v>
      </c>
      <c r="M789" s="143">
        <f t="shared" ca="1" si="202"/>
        <v>3.8341425872971486</v>
      </c>
      <c r="N789" s="162">
        <f t="shared" ca="1" si="199"/>
        <v>2.9941425872971488</v>
      </c>
      <c r="O789" s="1060" t="s">
        <v>1586</v>
      </c>
      <c r="P789" s="88"/>
      <c r="Q789" s="89"/>
      <c r="R789" s="150"/>
      <c r="S789" s="1070"/>
      <c r="T789" s="1070"/>
      <c r="U789" s="1070"/>
      <c r="V789" s="1070"/>
      <c r="W789" s="1070"/>
      <c r="X789" s="1070"/>
      <c r="Y789" s="1070"/>
      <c r="Z789" s="1070"/>
      <c r="AA789" s="1070"/>
      <c r="AB789" s="1070"/>
      <c r="AC789" s="1070"/>
      <c r="AD789" s="1070"/>
      <c r="AE789" s="1070"/>
      <c r="AF789" s="1070"/>
      <c r="AG789" s="1070"/>
      <c r="AH789" s="1070"/>
      <c r="AI789" s="1070"/>
      <c r="AJ789" s="1071"/>
      <c r="AK789" s="1048" cm="1">
        <f t="array" aca="1" ref="AK789" ca="1">INDEX(OFFSET($AK$19,MATCH($B789,$B$19:$B$150,0)-1,0,COUNTA($B$19:$B$24),COUNTA($AK$17:$BB$17)),MATCH($F789,$F$19:$F$24,0),MATCH(AK$17,$AK$17:$BB$17,0))*INDEX($10:$13,MATCH($O789,$R$10:$R$13,0),COLUMN())</f>
        <v>0.54828868480000004</v>
      </c>
      <c r="AL789" s="1046" cm="1">
        <f t="array" aca="1" ref="AL789" ca="1">INDEX(OFFSET($AK$19,MATCH($B789,$B$19:$B$150,0)-1,0,COUNTA($B$19:$B$24),COUNTA($AK$17:$BB$17)),MATCH($F789,$F$19:$F$24,0),MATCH(AL$17,$AK$17:$BB$17,0))*INDEX($10:$13,MATCH($O789,$R$10:$R$13,0),COLUMN())</f>
        <v>6.1329737579999999E-7</v>
      </c>
      <c r="AM789" s="1046" cm="1">
        <f t="array" aca="1" ref="AM789" ca="1">INDEX(OFFSET($AK$19,MATCH($B789,$B$19:$B$150,0)-1,0,COUNTA($B$19:$B$24),COUNTA($AK$17:$BB$17)),MATCH($F789,$F$19:$F$24,0),MATCH(AM$17,$AK$17:$BB$17,0))*INDEX($10:$13,MATCH($O789,$R$10:$R$13,0),COLUMN())</f>
        <v>0</v>
      </c>
      <c r="AN789" s="1046" cm="1">
        <f t="array" aca="1" ref="AN789" ca="1">INDEX(OFFSET($AK$19,MATCH($B789,$B$19:$B$150,0)-1,0,COUNTA($B$19:$B$24),COUNTA($AK$17:$BB$17)),MATCH($F789,$F$19:$F$24,0),MATCH(AN$17,$AK$17:$BB$17,0))*INDEX($10:$13,MATCH($O789,$R$10:$R$13,0),COLUMN())</f>
        <v>9.1446231120000006E-3</v>
      </c>
      <c r="AO789" s="1046" cm="1">
        <f t="array" aca="1" ref="AO789" ca="1">INDEX(OFFSET($AK$19,MATCH($B789,$B$19:$B$150,0)-1,0,COUNTA($B$19:$B$24),COUNTA($AK$17:$BB$17)),MATCH($F789,$F$19:$F$24,0),MATCH(AO$17,$AK$17:$BB$17,0))*INDEX($10:$13,MATCH($O789,$R$10:$R$13,0),COLUMN())</f>
        <v>0.26890322363013697</v>
      </c>
      <c r="AP789" s="1046" cm="1">
        <f t="array" aca="1" ref="AP789" ca="1">INDEX(OFFSET($AK$19,MATCH($B789,$B$19:$B$150,0)-1,0,COUNTA($B$19:$B$24),COUNTA($AK$17:$BB$17)),MATCH($F789,$F$19:$F$24,0),MATCH(AP$17,$AK$17:$BB$17,0))*INDEX($10:$13,MATCH($O789,$R$10:$R$13,0),COLUMN())</f>
        <v>0.1661204664</v>
      </c>
      <c r="AQ789" s="1046" cm="1">
        <f t="array" aca="1" ref="AQ789" ca="1">INDEX(OFFSET($AK$19,MATCH($B789,$B$19:$B$150,0)-1,0,COUNTA($B$19:$B$24),COUNTA($AK$17:$BB$17)),MATCH($F789,$F$19:$F$24,0),MATCH(AQ$17,$AK$17:$BB$17,0))*INDEX($10:$13,MATCH($O789,$R$10:$R$13,0),COLUMN())</f>
        <v>0.13279830815999999</v>
      </c>
      <c r="AR789" s="1046" cm="1">
        <f t="array" aca="1" ref="AR789" ca="1">INDEX(OFFSET($AK$19,MATCH($B789,$B$19:$B$150,0)-1,0,COUNTA($B$19:$B$24),COUNTA($AK$17:$BB$17)),MATCH($F789,$F$19:$F$24,0),MATCH(AR$17,$AK$17:$BB$17,0))*INDEX($10:$13,MATCH($O789,$R$10:$R$13,0),COLUMN())</f>
        <v>0.85506052059999993</v>
      </c>
      <c r="AS789" s="1046" cm="1">
        <f t="array" aca="1" ref="AS789" ca="1">INDEX(OFFSET($AK$19,MATCH($B789,$B$19:$B$150,0)-1,0,COUNTA($B$19:$B$24),COUNTA($AK$17:$BB$17)),MATCH($F789,$F$19:$F$24,0),MATCH(AS$17,$AK$17:$BB$17,0))*INDEX($10:$13,MATCH($O789,$R$10:$R$13,0),COLUMN())</f>
        <v>0.19681456684999998</v>
      </c>
      <c r="AT789" s="1046" cm="1">
        <f t="array" aca="1" ref="AT789" ca="1">INDEX(OFFSET($AK$19,MATCH($B789,$B$19:$B$150,0)-1,0,COUNTA($B$19:$B$24),COUNTA($AK$17:$BB$17)),MATCH($F789,$F$19:$F$24,0),MATCH(AT$17,$AK$17:$BB$17,0))*INDEX($10:$13,MATCH($O789,$R$10:$R$13,0),COLUMN())</f>
        <v>2.3358297512000002E-4</v>
      </c>
      <c r="AU789" s="1046" cm="1">
        <f t="array" aca="1" ref="AU789" ca="1">INDEX(OFFSET($AK$19,MATCH($B789,$B$19:$B$150,0)-1,0,COUNTA($B$19:$B$24),COUNTA($AK$17:$BB$17)),MATCH($F789,$F$19:$F$24,0),MATCH(AU$17,$AK$17:$BB$17,0))*INDEX($10:$13,MATCH($O789,$R$10:$R$13,0),COLUMN())</f>
        <v>1.2669142757999998E-5</v>
      </c>
      <c r="AV789" s="1046" cm="1">
        <f t="array" aca="1" ref="AV789" ca="1">INDEX(OFFSET($AK$19,MATCH($B789,$B$19:$B$150,0)-1,0,COUNTA($B$19:$B$24),COUNTA($AK$17:$BB$17)),MATCH($F789,$F$19:$F$24,0),MATCH(AV$17,$AK$17:$BB$17,0))*INDEX($10:$13,MATCH($O789,$R$10:$R$13,0),COLUMN())</f>
        <v>3.7162567312631375E-3</v>
      </c>
      <c r="AW789" s="1046" cm="1">
        <f t="array" aca="1" ref="AW789" ca="1">INDEX(OFFSET($AK$19,MATCH($B789,$B$19:$B$150,0)-1,0,COUNTA($B$19:$B$24),COUNTA($AK$17:$BB$17)),MATCH($F789,$F$19:$F$24,0),MATCH(AW$17,$AK$17:$BB$17,0))*INDEX($10:$13,MATCH($O789,$R$10:$R$13,0),COLUMN())</f>
        <v>0.66483119950000003</v>
      </c>
      <c r="AX789" s="1046" cm="1">
        <f t="array" aca="1" ref="AX789" ca="1">INDEX(OFFSET($AK$19,MATCH($B789,$B$19:$B$150,0)-1,0,COUNTA($B$19:$B$24),COUNTA($AK$17:$BB$17)),MATCH($F789,$F$19:$F$24,0),MATCH(AX$17,$AK$17:$BB$17,0))*INDEX($10:$13,MATCH($O789,$R$10:$R$13,0),COLUMN())</f>
        <v>4.4117686370000003E-6</v>
      </c>
      <c r="AY789" s="1046" cm="1">
        <f t="array" aca="1" ref="AY789" ca="1">INDEX(OFFSET($AK$19,MATCH($B789,$B$19:$B$150,0)-1,0,COUNTA($B$19:$B$24),COUNTA($AK$17:$BB$17)),MATCH($F789,$F$19:$F$24,0),MATCH(AY$17,$AK$17:$BB$17,0))*INDEX($10:$13,MATCH($O789,$R$10:$R$13,0),COLUMN())</f>
        <v>7.7118406349999992E-4</v>
      </c>
      <c r="AZ789" s="1046" cm="1">
        <f t="array" aca="1" ref="AZ789" ca="1">INDEX(OFFSET($AK$19,MATCH($B789,$B$19:$B$150,0)-1,0,COUNTA($B$19:$B$24),COUNTA($AK$17:$BB$17)),MATCH($F789,$F$19:$F$24,0),MATCH(AZ$17,$AK$17:$BB$17,0))*INDEX($10:$13,MATCH($O789,$R$10:$R$13,0),COLUMN())</f>
        <v>1.5410916358313818E-5</v>
      </c>
      <c r="BA789" s="1046" cm="1">
        <f t="array" aca="1" ref="BA789" ca="1">INDEX(OFFSET($AK$19,MATCH($B789,$B$19:$B$150,0)-1,0,COUNTA($B$19:$B$24),COUNTA($AK$17:$BB$17)),MATCH($F789,$F$19:$F$24,0),MATCH(BA$17,$AK$17:$BB$17,0))*INDEX($10:$13,MATCH($O789,$R$10:$R$13,0),COLUMN())</f>
        <v>0.12066197095</v>
      </c>
      <c r="BB789" s="1047" cm="1">
        <f t="array" aca="1" ref="BB789" ca="1">INDEX(OFFSET($AK$19,MATCH($B789,$B$19:$B$150,0)-1,0,COUNTA($B$19:$B$24),COUNTA($AK$17:$BB$17)),MATCH($F789,$F$19:$F$24,0),MATCH(BB$17,$AK$17:$BB$17,0))*INDEX($10:$13,MATCH($O789,$R$10:$R$13,0),COLUMN())</f>
        <v>2.6764894400000003E-2</v>
      </c>
      <c r="BC789" s="1049">
        <f t="shared" ca="1" si="203"/>
        <v>0.66560679533213696</v>
      </c>
      <c r="BE789" s="1"/>
      <c r="BF789" s="1"/>
      <c r="BG789" s="1"/>
      <c r="BH789" s="1"/>
      <c r="BI789" s="1"/>
      <c r="BJ789" s="1"/>
      <c r="BK789" s="1"/>
      <c r="BL789" s="1"/>
      <c r="BM789" s="1"/>
      <c r="BN789" s="1"/>
      <c r="BO789" s="1"/>
      <c r="BP789" s="1"/>
      <c r="BQ789" s="1"/>
      <c r="BR789" s="1"/>
      <c r="BS789" s="1"/>
      <c r="BT789" s="1"/>
      <c r="BU789" s="1"/>
      <c r="BV789" s="1"/>
      <c r="BW789" s="1"/>
      <c r="BX789" s="1"/>
      <c r="BY789" s="1"/>
      <c r="BZ789" s="1"/>
    </row>
    <row r="790" spans="2:78" ht="12" customHeight="1" outlineLevel="1" x14ac:dyDescent="0.25">
      <c r="B790" s="104" t="s">
        <v>114</v>
      </c>
      <c r="C790" s="104" t="s">
        <v>123</v>
      </c>
      <c r="D790" s="2" t="s">
        <v>152</v>
      </c>
      <c r="E790" s="2" t="s">
        <v>153</v>
      </c>
      <c r="F790" s="105" t="s">
        <v>122</v>
      </c>
      <c r="G790" s="27" t="s">
        <v>1579</v>
      </c>
      <c r="H790" s="106" t="s">
        <v>128</v>
      </c>
      <c r="I790" s="107" t="s">
        <v>129</v>
      </c>
      <c r="J790" s="147">
        <v>1.91</v>
      </c>
      <c r="K790" s="148">
        <v>1.2788316801138424</v>
      </c>
      <c r="L790" s="149">
        <f t="shared" ca="1" si="201"/>
        <v>2.416781011580146</v>
      </c>
      <c r="M790" s="148">
        <f t="shared" ca="1" si="202"/>
        <v>4.369487801620112</v>
      </c>
      <c r="N790" s="163">
        <f t="shared" ca="1" si="199"/>
        <v>3.09065612150627</v>
      </c>
      <c r="O790" s="1061" t="s">
        <v>1586</v>
      </c>
      <c r="P790" s="104"/>
      <c r="R790" s="119"/>
      <c r="S790" s="1072"/>
      <c r="T790" s="1072"/>
      <c r="U790" s="1072"/>
      <c r="V790" s="1072"/>
      <c r="W790" s="1072"/>
      <c r="X790" s="1072"/>
      <c r="Y790" s="1072"/>
      <c r="Z790" s="1072"/>
      <c r="AA790" s="1072"/>
      <c r="AB790" s="1072"/>
      <c r="AC790" s="1072"/>
      <c r="AD790" s="1072"/>
      <c r="AE790" s="1072"/>
      <c r="AF790" s="1072"/>
      <c r="AG790" s="1072"/>
      <c r="AH790" s="1072"/>
      <c r="AI790" s="1072"/>
      <c r="AJ790" s="1073"/>
      <c r="AK790" s="1052" cm="1">
        <f t="array" aca="1" ref="AK790" ca="1">INDEX(OFFSET($AK$19,MATCH($B790,$B$19:$B$150,0)-1,0,COUNTA($B$19:$B$24),COUNTA($AK$17:$BB$17)),MATCH($F790,$F$19:$F$24,0),MATCH(AK$17,$AK$17:$BB$17,0))*INDEX($10:$13,MATCH($O790,$R$10:$R$13,0),COLUMN())</f>
        <v>0.23153746559999999</v>
      </c>
      <c r="AL790" s="1050" cm="1">
        <f t="array" aca="1" ref="AL790" ca="1">INDEX(OFFSET($AK$19,MATCH($B790,$B$19:$B$150,0)-1,0,COUNTA($B$19:$B$24),COUNTA($AK$17:$BB$17)),MATCH($F790,$F$19:$F$24,0),MATCH(AL$17,$AK$17:$BB$17,0))*INDEX($10:$13,MATCH($O790,$R$10:$R$13,0),COLUMN())</f>
        <v>7.7951556240000001E-7</v>
      </c>
      <c r="AM790" s="1050" cm="1">
        <f t="array" aca="1" ref="AM790" ca="1">INDEX(OFFSET($AK$19,MATCH($B790,$B$19:$B$150,0)-1,0,COUNTA($B$19:$B$24),COUNTA($AK$17:$BB$17)),MATCH($F790,$F$19:$F$24,0),MATCH(AM$17,$AK$17:$BB$17,0))*INDEX($10:$13,MATCH($O790,$R$10:$R$13,0),COLUMN())</f>
        <v>0</v>
      </c>
      <c r="AN790" s="1050" cm="1">
        <f t="array" aca="1" ref="AN790" ca="1">INDEX(OFFSET($AK$19,MATCH($B790,$B$19:$B$150,0)-1,0,COUNTA($B$19:$B$24),COUNTA($AK$17:$BB$17)),MATCH($F790,$F$19:$F$24,0),MATCH(AN$17,$AK$17:$BB$17,0))*INDEX($10:$13,MATCH($O790,$R$10:$R$13,0),COLUMN())</f>
        <v>7.7604804180000011E-3</v>
      </c>
      <c r="AO790" s="1050" cm="1">
        <f t="array" aca="1" ref="AO790" ca="1">INDEX(OFFSET($AK$19,MATCH($B790,$B$19:$B$150,0)-1,0,COUNTA($B$19:$B$24),COUNTA($AK$17:$BB$17)),MATCH($F790,$F$19:$F$24,0),MATCH(AO$17,$AK$17:$BB$17,0))*INDEX($10:$13,MATCH($O790,$R$10:$R$13,0),COLUMN())</f>
        <v>0.32211351986301368</v>
      </c>
      <c r="AP790" s="1050" cm="1">
        <f t="array" aca="1" ref="AP790" ca="1">INDEX(OFFSET($AK$19,MATCH($B790,$B$19:$B$150,0)-1,0,COUNTA($B$19:$B$24),COUNTA($AK$17:$BB$17)),MATCH($F790,$F$19:$F$24,0),MATCH(AP$17,$AK$17:$BB$17,0))*INDEX($10:$13,MATCH($O790,$R$10:$R$13,0),COLUMN())</f>
        <v>0.20126725247999999</v>
      </c>
      <c r="AQ790" s="1050" cm="1">
        <f t="array" aca="1" ref="AQ790" ca="1">INDEX(OFFSET($AK$19,MATCH($B790,$B$19:$B$150,0)-1,0,COUNTA($B$19:$B$24),COUNTA($AK$17:$BB$17)),MATCH($F790,$F$19:$F$24,0),MATCH(AQ$17,$AK$17:$BB$17,0))*INDEX($10:$13,MATCH($O790,$R$10:$R$13,0),COLUMN())</f>
        <v>2.5937981024000002E-2</v>
      </c>
      <c r="AR790" s="1050" cm="1">
        <f t="array" aca="1" ref="AR790" ca="1">INDEX(OFFSET($AK$19,MATCH($B790,$B$19:$B$150,0)-1,0,COUNTA($B$19:$B$24),COUNTA($AK$17:$BB$17)),MATCH($F790,$F$19:$F$24,0),MATCH(AR$17,$AK$17:$BB$17,0))*INDEX($10:$13,MATCH($O790,$R$10:$R$13,0),COLUMN())</f>
        <v>0.76007806420000001</v>
      </c>
      <c r="AS790" s="1050" cm="1">
        <f t="array" aca="1" ref="AS790" ca="1">INDEX(OFFSET($AK$19,MATCH($B790,$B$19:$B$150,0)-1,0,COUNTA($B$19:$B$24),COUNTA($AK$17:$BB$17)),MATCH($F790,$F$19:$F$24,0),MATCH(AS$17,$AK$17:$BB$17,0))*INDEX($10:$13,MATCH($O790,$R$10:$R$13,0),COLUMN())</f>
        <v>1.2262182501999999E-4</v>
      </c>
      <c r="AT790" s="1050" cm="1">
        <f t="array" aca="1" ref="AT790" ca="1">INDEX(OFFSET($AK$19,MATCH($B790,$B$19:$B$150,0)-1,0,COUNTA($B$19:$B$24),COUNTA($AK$17:$BB$17)),MATCH($F790,$F$19:$F$24,0),MATCH(AT$17,$AK$17:$BB$17,0))*INDEX($10:$13,MATCH($O790,$R$10:$R$13,0),COLUMN())</f>
        <v>1.0911264228E-5</v>
      </c>
      <c r="AU790" s="1050" cm="1">
        <f t="array" aca="1" ref="AU790" ca="1">INDEX(OFFSET($AK$19,MATCH($B790,$B$19:$B$150,0)-1,0,COUNTA($B$19:$B$24),COUNTA($AK$17:$BB$17)),MATCH($F790,$F$19:$F$24,0),MATCH(AU$17,$AK$17:$BB$17,0))*INDEX($10:$13,MATCH($O790,$R$10:$R$13,0),COLUMN())</f>
        <v>2.4227309388000001E-6</v>
      </c>
      <c r="AV790" s="1050" cm="1">
        <f t="array" aca="1" ref="AV790" ca="1">INDEX(OFFSET($AK$19,MATCH($B790,$B$19:$B$150,0)-1,0,COUNTA($B$19:$B$24),COUNTA($AK$17:$BB$17)),MATCH($F790,$F$19:$F$24,0),MATCH(AV$17,$AK$17:$BB$17,0))*INDEX($10:$13,MATCH($O790,$R$10:$R$13,0),COLUMN())</f>
        <v>5.0521445928938976E-4</v>
      </c>
      <c r="AW790" s="1050" cm="1">
        <f t="array" aca="1" ref="AW790" ca="1">INDEX(OFFSET($AK$19,MATCH($B790,$B$19:$B$150,0)-1,0,COUNTA($B$19:$B$24),COUNTA($AK$17:$BB$17)),MATCH($F790,$F$19:$F$24,0),MATCH(AW$17,$AK$17:$BB$17,0))*INDEX($10:$13,MATCH($O790,$R$10:$R$13,0),COLUMN())</f>
        <v>1.4097692718000001</v>
      </c>
      <c r="AX790" s="1050" cm="1">
        <f t="array" aca="1" ref="AX790" ca="1">INDEX(OFFSET($AK$19,MATCH($B790,$B$19:$B$150,0)-1,0,COUNTA($B$19:$B$24),COUNTA($AK$17:$BB$17)),MATCH($F790,$F$19:$F$24,0),MATCH(AX$17,$AK$17:$BB$17,0))*INDEX($10:$13,MATCH($O790,$R$10:$R$13,0),COLUMN())</f>
        <v>4.8327341550000007E-6</v>
      </c>
      <c r="AY790" s="1050" cm="1">
        <f t="array" aca="1" ref="AY790" ca="1">INDEX(OFFSET($AK$19,MATCH($B790,$B$19:$B$150,0)-1,0,COUNTA($B$19:$B$24),COUNTA($AK$17:$BB$17)),MATCH($F790,$F$19:$F$24,0),MATCH(AY$17,$AK$17:$BB$17,0))*INDEX($10:$13,MATCH($O790,$R$10:$R$13,0),COLUMN())</f>
        <v>2.3346654960000001E-7</v>
      </c>
      <c r="AZ790" s="1050" cm="1">
        <f t="array" aca="1" ref="AZ790" ca="1">INDEX(OFFSET($AK$19,MATCH($B790,$B$19:$B$150,0)-1,0,COUNTA($B$19:$B$24),COUNTA($AK$17:$BB$17)),MATCH($F790,$F$19:$F$24,0),MATCH(AZ$17,$AK$17:$BB$17,0))*INDEX($10:$13,MATCH($O790,$R$10:$R$13,0),COLUMN())</f>
        <v>2.2704111512880559E-5</v>
      </c>
      <c r="BA790" s="1050" cm="1">
        <f t="array" aca="1" ref="BA790" ca="1">INDEX(OFFSET($AK$19,MATCH($B790,$B$19:$B$150,0)-1,0,COUNTA($B$19:$B$24),COUNTA($AK$17:$BB$17)),MATCH($F790,$F$19:$F$24,0),MATCH(BA$17,$AK$17:$BB$17,0))*INDEX($10:$13,MATCH($O790,$R$10:$R$13,0),COLUMN())</f>
        <v>0.12108920400000001</v>
      </c>
      <c r="BB790" s="1051" cm="1">
        <f t="array" aca="1" ref="BB790" ca="1">INDEX(OFFSET($AK$19,MATCH($B790,$B$19:$B$150,0)-1,0,COUNTA($B$19:$B$24),COUNTA($AK$17:$BB$17)),MATCH($F790,$F$19:$F$24,0),MATCH(BB$17,$AK$17:$BB$17,0))*INDEX($10:$13,MATCH($O790,$R$10:$R$13,0),COLUMN())</f>
        <v>1.0433162014E-2</v>
      </c>
      <c r="BC790" s="1053">
        <f t="shared" ca="1" si="203"/>
        <v>1.4097743380007048</v>
      </c>
      <c r="BE790" s="1"/>
      <c r="BF790" s="1"/>
      <c r="BG790" s="1"/>
      <c r="BH790" s="1"/>
      <c r="BI790" s="1"/>
      <c r="BJ790" s="1"/>
      <c r="BK790" s="1"/>
      <c r="BL790" s="1"/>
      <c r="BM790" s="1"/>
      <c r="BN790" s="1"/>
      <c r="BO790" s="1"/>
      <c r="BP790" s="1"/>
      <c r="BQ790" s="1"/>
      <c r="BR790" s="1"/>
      <c r="BS790" s="1"/>
      <c r="BT790" s="1"/>
      <c r="BU790" s="1"/>
      <c r="BV790" s="1"/>
      <c r="BW790" s="1"/>
      <c r="BX790" s="1"/>
      <c r="BY790" s="1"/>
      <c r="BZ790" s="1"/>
    </row>
    <row r="791" spans="2:78" ht="12" customHeight="1" outlineLevel="1" x14ac:dyDescent="0.25">
      <c r="B791" s="104" t="s">
        <v>114</v>
      </c>
      <c r="C791" s="104" t="s">
        <v>123</v>
      </c>
      <c r="D791" s="2" t="s">
        <v>152</v>
      </c>
      <c r="E791" s="2" t="s">
        <v>153</v>
      </c>
      <c r="F791" s="105" t="s">
        <v>93</v>
      </c>
      <c r="G791" s="27" t="s">
        <v>1578</v>
      </c>
      <c r="H791" s="106" t="s">
        <v>130</v>
      </c>
      <c r="I791" s="107" t="s">
        <v>129</v>
      </c>
      <c r="J791" s="147">
        <v>1.91</v>
      </c>
      <c r="K791" s="148">
        <v>1.2788316801138424</v>
      </c>
      <c r="L791" s="149">
        <f t="shared" ca="1" si="201"/>
        <v>2.4680725593464472</v>
      </c>
      <c r="M791" s="148">
        <f t="shared" ca="1" si="202"/>
        <v>4.4350810578257303</v>
      </c>
      <c r="N791" s="163">
        <f t="shared" ca="1" si="199"/>
        <v>3.1562493777118883</v>
      </c>
      <c r="O791" s="1061" t="s">
        <v>1586</v>
      </c>
      <c r="P791" s="104"/>
      <c r="R791" s="119"/>
      <c r="S791" s="1072"/>
      <c r="T791" s="1072"/>
      <c r="U791" s="1072"/>
      <c r="V791" s="1072"/>
      <c r="W791" s="1072"/>
      <c r="X791" s="1072"/>
      <c r="Y791" s="1072"/>
      <c r="Z791" s="1072"/>
      <c r="AA791" s="1072"/>
      <c r="AB791" s="1072"/>
      <c r="AC791" s="1072"/>
      <c r="AD791" s="1072"/>
      <c r="AE791" s="1072"/>
      <c r="AF791" s="1072"/>
      <c r="AG791" s="1072"/>
      <c r="AH791" s="1072"/>
      <c r="AI791" s="1072"/>
      <c r="AJ791" s="1073"/>
      <c r="AK791" s="1052" cm="1">
        <f t="array" aca="1" ref="AK791" ca="1">INDEX(OFFSET($AK$19,MATCH($B791,$B$19:$B$150,0)-1,0,COUNTA($B$19:$B$24),COUNTA($AK$17:$BB$17)),MATCH($F791,$F$19:$F$24,0),MATCH(AK$17,$AK$17:$BB$17,0))*INDEX($10:$13,MATCH($O791,$R$10:$R$13,0),COLUMN())</f>
        <v>0.22185252719999998</v>
      </c>
      <c r="AL791" s="1050" cm="1">
        <f t="array" aca="1" ref="AL791" ca="1">INDEX(OFFSET($AK$19,MATCH($B791,$B$19:$B$150,0)-1,0,COUNTA($B$19:$B$24),COUNTA($AK$17:$BB$17)),MATCH($F791,$F$19:$F$24,0),MATCH(AL$17,$AK$17:$BB$17,0))*INDEX($10:$13,MATCH($O791,$R$10:$R$13,0),COLUMN())</f>
        <v>6.8856225179999999E-7</v>
      </c>
      <c r="AM791" s="1050" cm="1">
        <f t="array" aca="1" ref="AM791" ca="1">INDEX(OFFSET($AK$19,MATCH($B791,$B$19:$B$150,0)-1,0,COUNTA($B$19:$B$24),COUNTA($AK$17:$BB$17)),MATCH($F791,$F$19:$F$24,0),MATCH(AM$17,$AK$17:$BB$17,0))*INDEX($10:$13,MATCH($O791,$R$10:$R$13,0),COLUMN())</f>
        <v>0</v>
      </c>
      <c r="AN791" s="1050" cm="1">
        <f t="array" aca="1" ref="AN791" ca="1">INDEX(OFFSET($AK$19,MATCH($B791,$B$19:$B$150,0)-1,0,COUNTA($B$19:$B$24),COUNTA($AK$17:$BB$17)),MATCH($F791,$F$19:$F$24,0),MATCH(AN$17,$AK$17:$BB$17,0))*INDEX($10:$13,MATCH($O791,$R$10:$R$13,0),COLUMN())</f>
        <v>7.7071162800000006E-3</v>
      </c>
      <c r="AO791" s="1050" cm="1">
        <f t="array" aca="1" ref="AO791" ca="1">INDEX(OFFSET($AK$19,MATCH($B791,$B$19:$B$150,0)-1,0,COUNTA($B$19:$B$24),COUNTA($AK$17:$BB$17)),MATCH($F791,$F$19:$F$24,0),MATCH(AO$17,$AK$17:$BB$17,0))*INDEX($10:$13,MATCH($O791,$R$10:$R$13,0),COLUMN())</f>
        <v>0.27898563000000004</v>
      </c>
      <c r="AP791" s="1050" cm="1">
        <f t="array" aca="1" ref="AP791" ca="1">INDEX(OFFSET($AK$19,MATCH($B791,$B$19:$B$150,0)-1,0,COUNTA($B$19:$B$24),COUNTA($AK$17:$BB$17)),MATCH($F791,$F$19:$F$24,0),MATCH(AP$17,$AK$17:$BB$17,0))*INDEX($10:$13,MATCH($O791,$R$10:$R$13,0),COLUMN())</f>
        <v>0.17316153792</v>
      </c>
      <c r="AQ791" s="1050" cm="1">
        <f t="array" aca="1" ref="AQ791" ca="1">INDEX(OFFSET($AK$19,MATCH($B791,$B$19:$B$150,0)-1,0,COUNTA($B$19:$B$24),COUNTA($AK$17:$BB$17)),MATCH($F791,$F$19:$F$24,0),MATCH(AQ$17,$AK$17:$BB$17,0))*INDEX($10:$13,MATCH($O791,$R$10:$R$13,0),COLUMN())</f>
        <v>2.7553935280000001E-2</v>
      </c>
      <c r="AR791" s="1050" cm="1">
        <f t="array" aca="1" ref="AR791" ca="1">INDEX(OFFSET($AK$19,MATCH($B791,$B$19:$B$150,0)-1,0,COUNTA($B$19:$B$24),COUNTA($AK$17:$BB$17)),MATCH($F791,$F$19:$F$24,0),MATCH(AR$17,$AK$17:$BB$17,0))*INDEX($10:$13,MATCH($O791,$R$10:$R$13,0),COLUMN())</f>
        <v>0.78650578360000001</v>
      </c>
      <c r="AS791" s="1050" cm="1">
        <f t="array" aca="1" ref="AS791" ca="1">INDEX(OFFSET($AK$19,MATCH($B791,$B$19:$B$150,0)-1,0,COUNTA($B$19:$B$24),COUNTA($AK$17:$BB$17)),MATCH($F791,$F$19:$F$24,0),MATCH(AS$17,$AK$17:$BB$17,0))*INDEX($10:$13,MATCH($O791,$R$10:$R$13,0),COLUMN())</f>
        <v>2.8925573567999997E-4</v>
      </c>
      <c r="AT791" s="1050" cm="1">
        <f t="array" aca="1" ref="AT791" ca="1">INDEX(OFFSET($AK$19,MATCH($B791,$B$19:$B$150,0)-1,0,COUNTA($B$19:$B$24),COUNTA($AK$17:$BB$17)),MATCH($F791,$F$19:$F$24,0),MATCH(AT$17,$AK$17:$BB$17,0))*INDEX($10:$13,MATCH($O791,$R$10:$R$13,0),COLUMN())</f>
        <v>1.1671436884000001E-5</v>
      </c>
      <c r="AU791" s="1050" cm="1">
        <f t="array" aca="1" ref="AU791" ca="1">INDEX(OFFSET($AK$19,MATCH($B791,$B$19:$B$150,0)-1,0,COUNTA($B$19:$B$24),COUNTA($AK$17:$BB$17)),MATCH($F791,$F$19:$F$24,0),MATCH(AU$17,$AK$17:$BB$17,0))*INDEX($10:$13,MATCH($O791,$R$10:$R$13,0),COLUMN())</f>
        <v>2.5556445696E-6</v>
      </c>
      <c r="AV791" s="1050" cm="1">
        <f t="array" aca="1" ref="AV791" ca="1">INDEX(OFFSET($AK$19,MATCH($B791,$B$19:$B$150,0)-1,0,COUNTA($B$19:$B$24),COUNTA($AK$17:$BB$17)),MATCH($F791,$F$19:$F$24,0),MATCH(AV$17,$AK$17:$BB$17,0))*INDEX($10:$13,MATCH($O791,$R$10:$R$13,0),COLUMN())</f>
        <v>7.3806342440428598E-4</v>
      </c>
      <c r="AW791" s="1050" cm="1">
        <f t="array" aca="1" ref="AW791" ca="1">INDEX(OFFSET($AK$19,MATCH($B791,$B$19:$B$150,0)-1,0,COUNTA($B$19:$B$24),COUNTA($AK$17:$BB$17)),MATCH($F791,$F$19:$F$24,0),MATCH(AW$17,$AK$17:$BB$17,0))*INDEX($10:$13,MATCH($O791,$R$10:$R$13,0),COLUMN())</f>
        <v>1.5395177830000002</v>
      </c>
      <c r="AX791" s="1050" cm="1">
        <f t="array" aca="1" ref="AX791" ca="1">INDEX(OFFSET($AK$19,MATCH($B791,$B$19:$B$150,0)-1,0,COUNTA($B$19:$B$24),COUNTA($AK$17:$BB$17)),MATCH($F791,$F$19:$F$24,0),MATCH(AX$17,$AK$17:$BB$17,0))*INDEX($10:$13,MATCH($O791,$R$10:$R$13,0),COLUMN())</f>
        <v>4.1634672350000007E-6</v>
      </c>
      <c r="AY791" s="1050" cm="1">
        <f t="array" aca="1" ref="AY791" ca="1">INDEX(OFFSET($AK$19,MATCH($B791,$B$19:$B$150,0)-1,0,COUNTA($B$19:$B$24),COUNTA($AK$17:$BB$17)),MATCH($F791,$F$19:$F$24,0),MATCH(AY$17,$AK$17:$BB$17,0))*INDEX($10:$13,MATCH($O791,$R$10:$R$13,0),COLUMN())</f>
        <v>1.9652610231E-7</v>
      </c>
      <c r="AZ791" s="1050" cm="1">
        <f t="array" aca="1" ref="AZ791" ca="1">INDEX(OFFSET($AK$19,MATCH($B791,$B$19:$B$150,0)-1,0,COUNTA($B$19:$B$24),COUNTA($AK$17:$BB$17)),MATCH($F791,$F$19:$F$24,0),MATCH(AZ$17,$AK$17:$BB$17,0))*INDEX($10:$13,MATCH($O791,$R$10:$R$13,0),COLUMN())</f>
        <v>2.227714276112412E-5</v>
      </c>
      <c r="BA791" s="1050" cm="1">
        <f t="array" aca="1" ref="BA791" ca="1">INDEX(OFFSET($AK$19,MATCH($B791,$B$19:$B$150,0)-1,0,COUNTA($B$19:$B$24),COUNTA($AK$17:$BB$17)),MATCH($F791,$F$19:$F$24,0),MATCH(BA$17,$AK$17:$BB$17,0))*INDEX($10:$13,MATCH($O791,$R$10:$R$13,0),COLUMN())</f>
        <v>0.11048621182</v>
      </c>
      <c r="BB791" s="1051" cm="1">
        <f t="array" aca="1" ref="BB791" ca="1">INDEX(OFFSET($AK$19,MATCH($B791,$B$19:$B$150,0)-1,0,COUNTA($B$19:$B$24),COUNTA($AK$17:$BB$17)),MATCH($F791,$F$19:$F$24,0),MATCH(BB$17,$AK$17:$BB$17,0))*INDEX($10:$13,MATCH($O791,$R$10:$R$13,0),COLUMN())</f>
        <v>9.4099806720000009E-3</v>
      </c>
      <c r="BC791" s="1053">
        <f t="shared" ca="1" si="203"/>
        <v>1.5395221429933375</v>
      </c>
      <c r="BE791" s="1"/>
      <c r="BF791" s="1"/>
      <c r="BG791" s="1"/>
      <c r="BH791" s="1"/>
      <c r="BI791" s="1"/>
      <c r="BJ791" s="1"/>
      <c r="BK791" s="1"/>
      <c r="BL791" s="1"/>
      <c r="BM791" s="1"/>
      <c r="BN791" s="1"/>
      <c r="BO791" s="1"/>
      <c r="BP791" s="1"/>
      <c r="BQ791" s="1"/>
      <c r="BR791" s="1"/>
      <c r="BS791" s="1"/>
      <c r="BT791" s="1"/>
      <c r="BU791" s="1"/>
      <c r="BV791" s="1"/>
      <c r="BW791" s="1"/>
      <c r="BX791" s="1"/>
      <c r="BY791" s="1"/>
      <c r="BZ791" s="1"/>
    </row>
    <row r="792" spans="2:78" ht="12" customHeight="1" outlineLevel="1" x14ac:dyDescent="0.25">
      <c r="B792" s="104" t="s">
        <v>114</v>
      </c>
      <c r="C792" s="104" t="s">
        <v>123</v>
      </c>
      <c r="D792" s="2" t="s">
        <v>152</v>
      </c>
      <c r="E792" s="2" t="s">
        <v>153</v>
      </c>
      <c r="F792" s="105" t="s">
        <v>94</v>
      </c>
      <c r="G792" s="27" t="s">
        <v>1580</v>
      </c>
      <c r="H792" s="106" t="s">
        <v>131</v>
      </c>
      <c r="I792" s="107" t="s">
        <v>129</v>
      </c>
      <c r="J792" s="147">
        <v>1.91</v>
      </c>
      <c r="K792" s="148">
        <v>1.2788316801138424</v>
      </c>
      <c r="L792" s="149">
        <f t="shared" ca="1" si="201"/>
        <v>2.3712985684000736</v>
      </c>
      <c r="M792" s="148">
        <f t="shared" ca="1" si="202"/>
        <v>4.3113234123924578</v>
      </c>
      <c r="N792" s="163">
        <f t="shared" ca="1" si="199"/>
        <v>3.0324917322786153</v>
      </c>
      <c r="O792" s="1061" t="s">
        <v>1586</v>
      </c>
      <c r="P792" s="104"/>
      <c r="R792" s="119"/>
      <c r="S792" s="1072"/>
      <c r="T792" s="1072"/>
      <c r="U792" s="1072"/>
      <c r="V792" s="1072"/>
      <c r="W792" s="1072"/>
      <c r="X792" s="1072"/>
      <c r="Y792" s="1072"/>
      <c r="Z792" s="1072"/>
      <c r="AA792" s="1072"/>
      <c r="AB792" s="1072"/>
      <c r="AC792" s="1072"/>
      <c r="AD792" s="1072"/>
      <c r="AE792" s="1072"/>
      <c r="AF792" s="1072"/>
      <c r="AG792" s="1072"/>
      <c r="AH792" s="1072"/>
      <c r="AI792" s="1072"/>
      <c r="AJ792" s="1073"/>
      <c r="AK792" s="1052" cm="1">
        <f t="array" aca="1" ref="AK792" ca="1">INDEX(OFFSET($AK$19,MATCH($B792,$B$19:$B$150,0)-1,0,COUNTA($B$19:$B$24),COUNTA($AK$17:$BB$17)),MATCH($F792,$F$19:$F$24,0),MATCH(AK$17,$AK$17:$BB$17,0))*INDEX($10:$13,MATCH($O792,$R$10:$R$13,0),COLUMN())</f>
        <v>0.23957039200000002</v>
      </c>
      <c r="AL792" s="1050" cm="1">
        <f t="array" aca="1" ref="AL792" ca="1">INDEX(OFFSET($AK$19,MATCH($B792,$B$19:$B$150,0)-1,0,COUNTA($B$19:$B$24),COUNTA($AK$17:$BB$17)),MATCH($F792,$F$19:$F$24,0),MATCH(AL$17,$AK$17:$BB$17,0))*INDEX($10:$13,MATCH($O792,$R$10:$R$13,0),COLUMN())</f>
        <v>8.5466436839999995E-7</v>
      </c>
      <c r="AM792" s="1050" cm="1">
        <f t="array" aca="1" ref="AM792" ca="1">INDEX(OFFSET($AK$19,MATCH($B792,$B$19:$B$150,0)-1,0,COUNTA($B$19:$B$24),COUNTA($AK$17:$BB$17)),MATCH($F792,$F$19:$F$24,0),MATCH(AM$17,$AK$17:$BB$17,0))*INDEX($10:$13,MATCH($O792,$R$10:$R$13,0),COLUMN())</f>
        <v>0</v>
      </c>
      <c r="AN792" s="1050" cm="1">
        <f t="array" aca="1" ref="AN792" ca="1">INDEX(OFFSET($AK$19,MATCH($B792,$B$19:$B$150,0)-1,0,COUNTA($B$19:$B$24),COUNTA($AK$17:$BB$17)),MATCH($F792,$F$19:$F$24,0),MATCH(AN$17,$AK$17:$BB$17,0))*INDEX($10:$13,MATCH($O792,$R$10:$R$13,0),COLUMN())</f>
        <v>7.8035948160000007E-3</v>
      </c>
      <c r="AO792" s="1050" cm="1">
        <f t="array" aca="1" ref="AO792" ca="1">INDEX(OFFSET($AK$19,MATCH($B792,$B$19:$B$150,0)-1,0,COUNTA($B$19:$B$24),COUNTA($AK$17:$BB$17)),MATCH($F792,$F$19:$F$24,0),MATCH(AO$17,$AK$17:$BB$17,0))*INDEX($10:$13,MATCH($O792,$R$10:$R$13,0),COLUMN())</f>
        <v>0.35807091657534246</v>
      </c>
      <c r="AP792" s="1050" cm="1">
        <f t="array" aca="1" ref="AP792" ca="1">INDEX(OFFSET($AK$19,MATCH($B792,$B$19:$B$150,0)-1,0,COUNTA($B$19:$B$24),COUNTA($AK$17:$BB$17)),MATCH($F792,$F$19:$F$24,0),MATCH(AP$17,$AK$17:$BB$17,0))*INDEX($10:$13,MATCH($O792,$R$10:$R$13,0),COLUMN())</f>
        <v>0.22466922575999998</v>
      </c>
      <c r="AQ792" s="1050" cm="1">
        <f t="array" aca="1" ref="AQ792" ca="1">INDEX(OFFSET($AK$19,MATCH($B792,$B$19:$B$150,0)-1,0,COUNTA($B$19:$B$24),COUNTA($AK$17:$BB$17)),MATCH($F792,$F$19:$F$24,0),MATCH(AQ$17,$AK$17:$BB$17,0))*INDEX($10:$13,MATCH($O792,$R$10:$R$13,0),COLUMN())</f>
        <v>2.4581925487999999E-2</v>
      </c>
      <c r="AR792" s="1050" cm="1">
        <f t="array" aca="1" ref="AR792" ca="1">INDEX(OFFSET($AK$19,MATCH($B792,$B$19:$B$150,0)-1,0,COUNTA($B$19:$B$24),COUNTA($AK$17:$BB$17)),MATCH($F792,$F$19:$F$24,0),MATCH(AR$17,$AK$17:$BB$17,0))*INDEX($10:$13,MATCH($O792,$R$10:$R$13,0),COLUMN())</f>
        <v>0.7347656776</v>
      </c>
      <c r="AS792" s="1050" cm="1">
        <f t="array" aca="1" ref="AS792" ca="1">INDEX(OFFSET($AK$19,MATCH($B792,$B$19:$B$150,0)-1,0,COUNTA($B$19:$B$24),COUNTA($AK$17:$BB$17)),MATCH($F792,$F$19:$F$24,0),MATCH(AS$17,$AK$17:$BB$17,0))*INDEX($10:$13,MATCH($O792,$R$10:$R$13,0),COLUMN())</f>
        <v>-1.8296211982999997E-5</v>
      </c>
      <c r="AT792" s="1050" cm="1">
        <f t="array" aca="1" ref="AT792" ca="1">INDEX(OFFSET($AK$19,MATCH($B792,$B$19:$B$150,0)-1,0,COUNTA($B$19:$B$24),COUNTA($AK$17:$BB$17)),MATCH($F792,$F$19:$F$24,0),MATCH(AT$17,$AK$17:$BB$17,0))*INDEX($10:$13,MATCH($O792,$R$10:$R$13,0),COLUMN())</f>
        <v>1.0274961401999999E-5</v>
      </c>
      <c r="AU792" s="1050" cm="1">
        <f t="array" aca="1" ref="AU792" ca="1">INDEX(OFFSET($AK$19,MATCH($B792,$B$19:$B$150,0)-1,0,COUNTA($B$19:$B$24),COUNTA($AK$17:$BB$17)),MATCH($F792,$F$19:$F$24,0),MATCH(AU$17,$AK$17:$BB$17,0))*INDEX($10:$13,MATCH($O792,$R$10:$R$13,0),COLUMN())</f>
        <v>2.3114877870000001E-6</v>
      </c>
      <c r="AV792" s="1050" cm="1">
        <f t="array" aca="1" ref="AV792" ca="1">INDEX(OFFSET($AK$19,MATCH($B792,$B$19:$B$150,0)-1,0,COUNTA($B$19:$B$24),COUNTA($AK$17:$BB$17)),MATCH($F792,$F$19:$F$24,0),MATCH(AV$17,$AK$17:$BB$17,0))*INDEX($10:$13,MATCH($O792,$R$10:$R$13,0),COLUMN())</f>
        <v>3.1013282856585223E-4</v>
      </c>
      <c r="AW792" s="1050" cm="1">
        <f t="array" aca="1" ref="AW792" ca="1">INDEX(OFFSET($AK$19,MATCH($B792,$B$19:$B$150,0)-1,0,COUNTA($B$19:$B$24),COUNTA($AK$17:$BB$17)),MATCH($F792,$F$19:$F$24,0),MATCH(AW$17,$AK$17:$BB$17,0))*INDEX($10:$13,MATCH($O792,$R$10:$R$13,0),COLUMN())</f>
        <v>1.3015215591</v>
      </c>
      <c r="AX792" s="1050" cm="1">
        <f t="array" aca="1" ref="AX792" ca="1">INDEX(OFFSET($AK$19,MATCH($B792,$B$19:$B$150,0)-1,0,COUNTA($B$19:$B$24),COUNTA($AK$17:$BB$17)),MATCH($F792,$F$19:$F$24,0),MATCH(AX$17,$AK$17:$BB$17,0))*INDEX($10:$13,MATCH($O792,$R$10:$R$13,0),COLUMN())</f>
        <v>5.3918670070000003E-6</v>
      </c>
      <c r="AY792" s="1050" cm="1">
        <f t="array" aca="1" ref="AY792" ca="1">INDEX(OFFSET($AK$19,MATCH($B792,$B$19:$B$150,0)-1,0,COUNTA($B$19:$B$24),COUNTA($AK$17:$BB$17)),MATCH($F792,$F$19:$F$24,0),MATCH(AY$17,$AK$17:$BB$17,0))*INDEX($10:$13,MATCH($O792,$R$10:$R$13,0),COLUMN())</f>
        <v>2.6416840909999998E-7</v>
      </c>
      <c r="AZ792" s="1050" cm="1">
        <f t="array" aca="1" ref="AZ792" ca="1">INDEX(OFFSET($AK$19,MATCH($B792,$B$19:$B$150,0)-1,0,COUNTA($B$19:$B$24),COUNTA($AK$17:$BB$17)),MATCH($F792,$F$19:$F$24,0),MATCH(AZ$17,$AK$17:$BB$17,0))*INDEX($10:$13,MATCH($O792,$R$10:$R$13,0),COLUMN())</f>
        <v>2.3048721716627633E-5</v>
      </c>
      <c r="BA792" s="1050" cm="1">
        <f t="array" aca="1" ref="BA792" ca="1">INDEX(OFFSET($AK$19,MATCH($B792,$B$19:$B$150,0)-1,0,COUNTA($B$19:$B$24),COUNTA($AK$17:$BB$17)),MATCH($F792,$F$19:$F$24,0),MATCH(BA$17,$AK$17:$BB$17,0))*INDEX($10:$13,MATCH($O792,$R$10:$R$13,0),COLUMN())</f>
        <v>0.12991847436000001</v>
      </c>
      <c r="BB792" s="1051" cm="1">
        <f t="array" aca="1" ref="BB792" ca="1">INDEX(OFFSET($AK$19,MATCH($B792,$B$19:$B$150,0)-1,0,COUNTA($B$19:$B$24),COUNTA($AK$17:$BB$17)),MATCH($F792,$F$19:$F$24,0),MATCH(BB$17,$AK$17:$BB$17,0))*INDEX($10:$13,MATCH($O792,$R$10:$R$13,0),COLUMN())</f>
        <v>1.1255984092E-2</v>
      </c>
      <c r="BC792" s="1053">
        <f t="shared" ca="1" si="203"/>
        <v>1.3015272151354162</v>
      </c>
      <c r="BE792" s="1"/>
      <c r="BF792" s="1"/>
      <c r="BG792" s="1"/>
      <c r="BH792" s="1"/>
      <c r="BI792" s="1"/>
      <c r="BJ792" s="1"/>
      <c r="BK792" s="1"/>
      <c r="BL792" s="1"/>
      <c r="BM792" s="1"/>
      <c r="BN792" s="1"/>
      <c r="BO792" s="1"/>
      <c r="BP792" s="1"/>
      <c r="BQ792" s="1"/>
      <c r="BR792" s="1"/>
      <c r="BS792" s="1"/>
      <c r="BT792" s="1"/>
      <c r="BU792" s="1"/>
      <c r="BV792" s="1"/>
      <c r="BW792" s="1"/>
      <c r="BX792" s="1"/>
      <c r="BY792" s="1"/>
      <c r="BZ792" s="1"/>
    </row>
    <row r="793" spans="2:78" ht="12" customHeight="1" outlineLevel="1" x14ac:dyDescent="0.25">
      <c r="B793" s="104" t="s">
        <v>114</v>
      </c>
      <c r="C793" s="104" t="s">
        <v>123</v>
      </c>
      <c r="D793" s="2" t="s">
        <v>152</v>
      </c>
      <c r="E793" s="2" t="s">
        <v>153</v>
      </c>
      <c r="F793" s="105" t="s">
        <v>95</v>
      </c>
      <c r="G793" s="27" t="s">
        <v>1581</v>
      </c>
      <c r="H793" s="106" t="s">
        <v>128</v>
      </c>
      <c r="I793" s="107" t="s">
        <v>127</v>
      </c>
      <c r="J793" s="147">
        <v>1.91</v>
      </c>
      <c r="K793" s="148">
        <v>1.2788316801138424</v>
      </c>
      <c r="L793" s="149">
        <f t="shared" ca="1" si="201"/>
        <v>2.7606839733680082</v>
      </c>
      <c r="M793" s="148">
        <f t="shared" ca="1" si="202"/>
        <v>4.8092818040394105</v>
      </c>
      <c r="N793" s="163">
        <f t="shared" ca="1" si="199"/>
        <v>3.5304501239255681</v>
      </c>
      <c r="O793" s="1061" t="s">
        <v>1586</v>
      </c>
      <c r="P793" s="104"/>
      <c r="R793" s="119"/>
      <c r="S793" s="1072"/>
      <c r="T793" s="1072"/>
      <c r="U793" s="1072"/>
      <c r="V793" s="1072"/>
      <c r="W793" s="1072"/>
      <c r="X793" s="1072"/>
      <c r="Y793" s="1072"/>
      <c r="Z793" s="1072"/>
      <c r="AA793" s="1072"/>
      <c r="AB793" s="1072"/>
      <c r="AC793" s="1072"/>
      <c r="AD793" s="1072"/>
      <c r="AE793" s="1072"/>
      <c r="AF793" s="1072"/>
      <c r="AG793" s="1072"/>
      <c r="AH793" s="1072"/>
      <c r="AI793" s="1072"/>
      <c r="AJ793" s="1073"/>
      <c r="AK793" s="1052" cm="1">
        <f t="array" aca="1" ref="AK793" ca="1">INDEX(OFFSET($AK$19,MATCH($B793,$B$19:$B$150,0)-1,0,COUNTA($B$19:$B$24),COUNTA($AK$17:$BB$17)),MATCH($F793,$F$19:$F$24,0),MATCH(AK$17,$AK$17:$BB$17,0))*INDEX($10:$13,MATCH($O793,$R$10:$R$13,0),COLUMN())</f>
        <v>0.2455615632</v>
      </c>
      <c r="AL793" s="1050" cm="1">
        <f t="array" aca="1" ref="AL793" ca="1">INDEX(OFFSET($AK$19,MATCH($B793,$B$19:$B$150,0)-1,0,COUNTA($B$19:$B$24),COUNTA($AK$17:$BB$17)),MATCH($F793,$F$19:$F$24,0),MATCH(AL$17,$AK$17:$BB$17,0))*INDEX($10:$13,MATCH($O793,$R$10:$R$13,0),COLUMN())</f>
        <v>7.8049636980000001E-7</v>
      </c>
      <c r="AM793" s="1050" cm="1">
        <f t="array" aca="1" ref="AM793" ca="1">INDEX(OFFSET($AK$19,MATCH($B793,$B$19:$B$150,0)-1,0,COUNTA($B$19:$B$24),COUNTA($AK$17:$BB$17)),MATCH($F793,$F$19:$F$24,0),MATCH(AM$17,$AK$17:$BB$17,0))*INDEX($10:$13,MATCH($O793,$R$10:$R$13,0),COLUMN())</f>
        <v>0</v>
      </c>
      <c r="AN793" s="1050" cm="1">
        <f t="array" aca="1" ref="AN793" ca="1">INDEX(OFFSET($AK$19,MATCH($B793,$B$19:$B$150,0)-1,0,COUNTA($B$19:$B$24),COUNTA($AK$17:$BB$17)),MATCH($F793,$F$19:$F$24,0),MATCH(AN$17,$AK$17:$BB$17,0))*INDEX($10:$13,MATCH($O793,$R$10:$R$13,0),COLUMN())</f>
        <v>8.1134737380000009E-3</v>
      </c>
      <c r="AO793" s="1050" cm="1">
        <f t="array" aca="1" ref="AO793" ca="1">INDEX(OFFSET($AK$19,MATCH($B793,$B$19:$B$150,0)-1,0,COUNTA($B$19:$B$24),COUNTA($AK$17:$BB$17)),MATCH($F793,$F$19:$F$24,0),MATCH(AO$17,$AK$17:$BB$17,0))*INDEX($10:$13,MATCH($O793,$R$10:$R$13,0),COLUMN())</f>
        <v>0.364592995890411</v>
      </c>
      <c r="AP793" s="1050" cm="1">
        <f t="array" aca="1" ref="AP793" ca="1">INDEX(OFFSET($AK$19,MATCH($B793,$B$19:$B$150,0)-1,0,COUNTA($B$19:$B$24),COUNTA($AK$17:$BB$17)),MATCH($F793,$F$19:$F$24,0),MATCH(AP$17,$AK$17:$BB$17,0))*INDEX($10:$13,MATCH($O793,$R$10:$R$13,0),COLUMN())</f>
        <v>0.23513374080000002</v>
      </c>
      <c r="AQ793" s="1050" cm="1">
        <f t="array" aca="1" ref="AQ793" ca="1">INDEX(OFFSET($AK$19,MATCH($B793,$B$19:$B$150,0)-1,0,COUNTA($B$19:$B$24),COUNTA($AK$17:$BB$17)),MATCH($F793,$F$19:$F$24,0),MATCH(AQ$17,$AK$17:$BB$17,0))*INDEX($10:$13,MATCH($O793,$R$10:$R$13,0),COLUMN())</f>
        <v>9.2463524320000004E-2</v>
      </c>
      <c r="AR793" s="1050" cm="1">
        <f t="array" aca="1" ref="AR793" ca="1">INDEX(OFFSET($AK$19,MATCH($B793,$B$19:$B$150,0)-1,0,COUNTA($B$19:$B$24),COUNTA($AK$17:$BB$17)),MATCH($F793,$F$19:$F$24,0),MATCH(AR$17,$AK$17:$BB$17,0))*INDEX($10:$13,MATCH($O793,$R$10:$R$13,0),COLUMN())</f>
        <v>1.032014105</v>
      </c>
      <c r="AS793" s="1050" cm="1">
        <f t="array" aca="1" ref="AS793" ca="1">INDEX(OFFSET($AK$19,MATCH($B793,$B$19:$B$150,0)-1,0,COUNTA($B$19:$B$24),COUNTA($AK$17:$BB$17)),MATCH($F793,$F$19:$F$24,0),MATCH(AS$17,$AK$17:$BB$17,0))*INDEX($10:$13,MATCH($O793,$R$10:$R$13,0),COLUMN())</f>
        <v>5.2370483155999995E-3</v>
      </c>
      <c r="AT793" s="1050" cm="1">
        <f t="array" aca="1" ref="AT793" ca="1">INDEX(OFFSET($AK$19,MATCH($B793,$B$19:$B$150,0)-1,0,COUNTA($B$19:$B$24),COUNTA($AK$17:$BB$17)),MATCH($F793,$F$19:$F$24,0),MATCH(AT$17,$AK$17:$BB$17,0))*INDEX($10:$13,MATCH($O793,$R$10:$R$13,0),COLUMN())</f>
        <v>1.4728384772E-5</v>
      </c>
      <c r="AU793" s="1050" cm="1">
        <f t="array" aca="1" ref="AU793" ca="1">INDEX(OFFSET($AK$19,MATCH($B793,$B$19:$B$150,0)-1,0,COUNTA($B$19:$B$24),COUNTA($AK$17:$BB$17)),MATCH($F793,$F$19:$F$24,0),MATCH(AU$17,$AK$17:$BB$17,0))*INDEX($10:$13,MATCH($O793,$R$10:$R$13,0),COLUMN())</f>
        <v>3.0072964589999995E-6</v>
      </c>
      <c r="AV793" s="1050" cm="1">
        <f t="array" aca="1" ref="AV793" ca="1">INDEX(OFFSET($AK$19,MATCH($B793,$B$19:$B$150,0)-1,0,COUNTA($B$19:$B$24),COUNTA($AK$17:$BB$17)),MATCH($F793,$F$19:$F$24,0),MATCH(AV$17,$AK$17:$BB$17,0))*INDEX($10:$13,MATCH($O793,$R$10:$R$13,0),COLUMN())</f>
        <v>3.8780888916308451E-3</v>
      </c>
      <c r="AW793" s="1050" cm="1">
        <f t="array" aca="1" ref="AW793" ca="1">INDEX(OFFSET($AK$19,MATCH($B793,$B$19:$B$150,0)-1,0,COUNTA($B$19:$B$24),COUNTA($AK$17:$BB$17)),MATCH($F793,$F$19:$F$24,0),MATCH(AW$17,$AK$17:$BB$17,0))*INDEX($10:$13,MATCH($O793,$R$10:$R$13,0),COLUMN())</f>
        <v>1.4097692718000001</v>
      </c>
      <c r="AX793" s="1050" cm="1">
        <f t="array" aca="1" ref="AX793" ca="1">INDEX(OFFSET($AK$19,MATCH($B793,$B$19:$B$150,0)-1,0,COUNTA($B$19:$B$24),COUNTA($AK$17:$BB$17)),MATCH($F793,$F$19:$F$24,0),MATCH(AX$17,$AK$17:$BB$17,0))*INDEX($10:$13,MATCH($O793,$R$10:$R$13,0),COLUMN())</f>
        <v>4.8327341550000007E-6</v>
      </c>
      <c r="AY793" s="1050" cm="1">
        <f t="array" aca="1" ref="AY793" ca="1">INDEX(OFFSET($AK$19,MATCH($B793,$B$19:$B$150,0)-1,0,COUNTA($B$19:$B$24),COUNTA($AK$17:$BB$17)),MATCH($F793,$F$19:$F$24,0),MATCH(AY$17,$AK$17:$BB$17,0))*INDEX($10:$13,MATCH($O793,$R$10:$R$13,0),COLUMN())</f>
        <v>2.3346654960000001E-7</v>
      </c>
      <c r="AZ793" s="1050" cm="1">
        <f t="array" aca="1" ref="AZ793" ca="1">INDEX(OFFSET($AK$19,MATCH($B793,$B$19:$B$150,0)-1,0,COUNTA($B$19:$B$24),COUNTA($AK$17:$BB$17)),MATCH($F793,$F$19:$F$24,0),MATCH(AZ$17,$AK$17:$BB$17,0))*INDEX($10:$13,MATCH($O793,$R$10:$R$13,0),COLUMN())</f>
        <v>2.2722775620608898E-5</v>
      </c>
      <c r="BA793" s="1050" cm="1">
        <f t="array" aca="1" ref="BA793" ca="1">INDEX(OFFSET($AK$19,MATCH($B793,$B$19:$B$150,0)-1,0,COUNTA($B$19:$B$24),COUNTA($AK$17:$BB$17)),MATCH($F793,$F$19:$F$24,0),MATCH(BA$17,$AK$17:$BB$17,0))*INDEX($10:$13,MATCH($O793,$R$10:$R$13,0),COLUMN())</f>
        <v>0.1232051143</v>
      </c>
      <c r="BB793" s="1051" cm="1">
        <f t="array" aca="1" ref="BB793" ca="1">INDEX(OFFSET($AK$19,MATCH($B793,$B$19:$B$150,0)-1,0,COUNTA($B$19:$B$24),COUNTA($AK$17:$BB$17)),MATCH($F793,$F$19:$F$24,0),MATCH(BB$17,$AK$17:$BB$17,0))*INDEX($10:$13,MATCH($O793,$R$10:$R$13,0),COLUMN())</f>
        <v>1.0434892516000001E-2</v>
      </c>
      <c r="BC793" s="1053">
        <f t="shared" ca="1" si="203"/>
        <v>1.4097743380007048</v>
      </c>
      <c r="BE793" s="1"/>
      <c r="BF793" s="1"/>
      <c r="BG793" s="1"/>
      <c r="BH793" s="1"/>
      <c r="BI793" s="1"/>
      <c r="BJ793" s="1"/>
      <c r="BK793" s="1"/>
      <c r="BL793" s="1"/>
      <c r="BM793" s="1"/>
      <c r="BN793" s="1"/>
      <c r="BO793" s="1"/>
      <c r="BP793" s="1"/>
      <c r="BQ793" s="1"/>
      <c r="BR793" s="1"/>
      <c r="BS793" s="1"/>
      <c r="BT793" s="1"/>
      <c r="BU793" s="1"/>
      <c r="BV793" s="1"/>
      <c r="BW793" s="1"/>
      <c r="BX793" s="1"/>
      <c r="BY793" s="1"/>
      <c r="BZ793" s="1"/>
    </row>
    <row r="794" spans="2:78" ht="12" customHeight="1" outlineLevel="1" x14ac:dyDescent="0.25">
      <c r="B794" s="104" t="s">
        <v>114</v>
      </c>
      <c r="C794" s="104" t="s">
        <v>123</v>
      </c>
      <c r="D794" s="2" t="s">
        <v>152</v>
      </c>
      <c r="E794" s="2" t="s">
        <v>153</v>
      </c>
      <c r="F794" s="105" t="s">
        <v>96</v>
      </c>
      <c r="G794" s="27" t="s">
        <v>1582</v>
      </c>
      <c r="H794" s="106" t="s">
        <v>128</v>
      </c>
      <c r="I794" s="107" t="s">
        <v>1577</v>
      </c>
      <c r="J794" s="147">
        <v>1.91</v>
      </c>
      <c r="K794" s="148">
        <v>1.2788316801138424</v>
      </c>
      <c r="L794" s="149">
        <f t="shared" ca="1" si="201"/>
        <v>3.0148560785648293</v>
      </c>
      <c r="M794" s="148">
        <f t="shared" ca="1" si="202"/>
        <v>5.1343251443663336</v>
      </c>
      <c r="N794" s="163">
        <f t="shared" ca="1" si="199"/>
        <v>3.8554934642524912</v>
      </c>
      <c r="O794" s="1061" t="s">
        <v>1586</v>
      </c>
      <c r="P794" s="104"/>
      <c r="R794" s="119"/>
      <c r="S794" s="1072"/>
      <c r="T794" s="1072"/>
      <c r="U794" s="1072"/>
      <c r="V794" s="1072"/>
      <c r="W794" s="1072"/>
      <c r="X794" s="1072"/>
      <c r="Y794" s="1072"/>
      <c r="Z794" s="1072"/>
      <c r="AA794" s="1072"/>
      <c r="AB794" s="1072"/>
      <c r="AC794" s="1072"/>
      <c r="AD794" s="1072"/>
      <c r="AE794" s="1072"/>
      <c r="AF794" s="1072"/>
      <c r="AG794" s="1072"/>
      <c r="AH794" s="1072"/>
      <c r="AI794" s="1072"/>
      <c r="AJ794" s="1073"/>
      <c r="AK794" s="1052" cm="1">
        <f t="array" aca="1" ref="AK794" ca="1">INDEX(OFFSET($AK$19,MATCH($B794,$B$19:$B$150,0)-1,0,COUNTA($B$19:$B$24),COUNTA($AK$17:$BB$17)),MATCH($F794,$F$19:$F$24,0),MATCH(AK$17,$AK$17:$BB$17,0))*INDEX($10:$13,MATCH($O794,$R$10:$R$13,0),COLUMN())</f>
        <v>0.25577965679999998</v>
      </c>
      <c r="AL794" s="1050" cm="1">
        <f t="array" aca="1" ref="AL794" ca="1">INDEX(OFFSET($AK$19,MATCH($B794,$B$19:$B$150,0)-1,0,COUNTA($B$19:$B$24),COUNTA($AK$17:$BB$17)),MATCH($F794,$F$19:$F$24,0),MATCH(AL$17,$AK$17:$BB$17,0))*INDEX($10:$13,MATCH($O794,$R$10:$R$13,0),COLUMN())</f>
        <v>7.8113644020000001E-7</v>
      </c>
      <c r="AM794" s="1050" cm="1">
        <f t="array" aca="1" ref="AM794" ca="1">INDEX(OFFSET($AK$19,MATCH($B794,$B$19:$B$150,0)-1,0,COUNTA($B$19:$B$24),COUNTA($AK$17:$BB$17)),MATCH($F794,$F$19:$F$24,0),MATCH(AM$17,$AK$17:$BB$17,0))*INDEX($10:$13,MATCH($O794,$R$10:$R$13,0),COLUMN())</f>
        <v>0</v>
      </c>
      <c r="AN794" s="1050" cm="1">
        <f t="array" aca="1" ref="AN794" ca="1">INDEX(OFFSET($AK$19,MATCH($B794,$B$19:$B$150,0)-1,0,COUNTA($B$19:$B$24),COUNTA($AK$17:$BB$17)),MATCH($F794,$F$19:$F$24,0),MATCH(AN$17,$AK$17:$BB$17,0))*INDEX($10:$13,MATCH($O794,$R$10:$R$13,0),COLUMN())</f>
        <v>8.3438426940000004E-3</v>
      </c>
      <c r="AO794" s="1050" cm="1">
        <f t="array" aca="1" ref="AO794" ca="1">INDEX(OFFSET($AK$19,MATCH($B794,$B$19:$B$150,0)-1,0,COUNTA($B$19:$B$24),COUNTA($AK$17:$BB$17)),MATCH($F794,$F$19:$F$24,0),MATCH(AO$17,$AK$17:$BB$17,0))*INDEX($10:$13,MATCH($O794,$R$10:$R$13,0),COLUMN())</f>
        <v>0.39606510041095888</v>
      </c>
      <c r="AP794" s="1050" cm="1">
        <f t="array" aca="1" ref="AP794" ca="1">INDEX(OFFSET($AK$19,MATCH($B794,$B$19:$B$150,0)-1,0,COUNTA($B$19:$B$24),COUNTA($AK$17:$BB$17)),MATCH($F794,$F$19:$F$24,0),MATCH(AP$17,$AK$17:$BB$17,0))*INDEX($10:$13,MATCH($O794,$R$10:$R$13,0),COLUMN())</f>
        <v>0.26028358608000002</v>
      </c>
      <c r="AQ794" s="1050" cm="1">
        <f t="array" aca="1" ref="AQ794" ca="1">INDEX(OFFSET($AK$19,MATCH($B794,$B$19:$B$150,0)-1,0,COUNTA($B$19:$B$24),COUNTA($AK$17:$BB$17)),MATCH($F794,$F$19:$F$24,0),MATCH(AQ$17,$AK$17:$BB$17,0))*INDEX($10:$13,MATCH($O794,$R$10:$R$13,0),COLUMN())</f>
        <v>0.14038982047999998</v>
      </c>
      <c r="AR794" s="1050" cm="1">
        <f t="array" aca="1" ref="AR794" ca="1">INDEX(OFFSET($AK$19,MATCH($B794,$B$19:$B$150,0)-1,0,COUNTA($B$19:$B$24),COUNTA($AK$17:$BB$17)),MATCH($F794,$F$19:$F$24,0),MATCH(AR$17,$AK$17:$BB$17,0))*INDEX($10:$13,MATCH($O794,$R$10:$R$13,0),COLUMN())</f>
        <v>1.2341483307999999</v>
      </c>
      <c r="AS794" s="1050" cm="1">
        <f t="array" aca="1" ref="AS794" ca="1">INDEX(OFFSET($AK$19,MATCH($B794,$B$19:$B$150,0)-1,0,COUNTA($B$19:$B$24),COUNTA($AK$17:$BB$17)),MATCH($F794,$F$19:$F$24,0),MATCH(AS$17,$AK$17:$BB$17,0))*INDEX($10:$13,MATCH($O794,$R$10:$R$13,0),COLUMN())</f>
        <v>8.9012767690000005E-3</v>
      </c>
      <c r="AT794" s="1050" cm="1">
        <f t="array" aca="1" ref="AT794" ca="1">INDEX(OFFSET($AK$19,MATCH($B794,$B$19:$B$150,0)-1,0,COUNTA($B$19:$B$24),COUNTA($AK$17:$BB$17)),MATCH($F794,$F$19:$F$24,0),MATCH(AT$17,$AK$17:$BB$17,0))*INDEX($10:$13,MATCH($O794,$R$10:$R$13,0),COLUMN())</f>
        <v>1.6379236666E-5</v>
      </c>
      <c r="AU794" s="1050" cm="1">
        <f t="array" aca="1" ref="AU794" ca="1">INDEX(OFFSET($AK$19,MATCH($B794,$B$19:$B$150,0)-1,0,COUNTA($B$19:$B$24),COUNTA($AK$17:$BB$17)),MATCH($F794,$F$19:$F$24,0),MATCH(AU$17,$AK$17:$BB$17,0))*INDEX($10:$13,MATCH($O794,$R$10:$R$13,0),COLUMN())</f>
        <v>3.2430064175999996E-6</v>
      </c>
      <c r="AV794" s="1050" cm="1">
        <f t="array" aca="1" ref="AV794" ca="1">INDEX(OFFSET($AK$19,MATCH($B794,$B$19:$B$150,0)-1,0,COUNTA($B$19:$B$24),COUNTA($AK$17:$BB$17)),MATCH($F794,$F$19:$F$24,0),MATCH(AV$17,$AK$17:$BB$17,0))*INDEX($10:$13,MATCH($O794,$R$10:$R$13,0),COLUMN())</f>
        <v>6.742356984765145E-3</v>
      </c>
      <c r="AW794" s="1050" cm="1">
        <f t="array" aca="1" ref="AW794" ca="1">INDEX(OFFSET($AK$19,MATCH($B794,$B$19:$B$150,0)-1,0,COUNTA($B$19:$B$24),COUNTA($AK$17:$BB$17)),MATCH($F794,$F$19:$F$24,0),MATCH(AW$17,$AK$17:$BB$17,0))*INDEX($10:$13,MATCH($O794,$R$10:$R$13,0),COLUMN())</f>
        <v>1.4097692718000001</v>
      </c>
      <c r="AX794" s="1050" cm="1">
        <f t="array" aca="1" ref="AX794" ca="1">INDEX(OFFSET($AK$19,MATCH($B794,$B$19:$B$150,0)-1,0,COUNTA($B$19:$B$24),COUNTA($AK$17:$BB$17)),MATCH($F794,$F$19:$F$24,0),MATCH(AX$17,$AK$17:$BB$17,0))*INDEX($10:$13,MATCH($O794,$R$10:$R$13,0),COLUMN())</f>
        <v>4.8327341550000007E-6</v>
      </c>
      <c r="AY794" s="1050" cm="1">
        <f t="array" aca="1" ref="AY794" ca="1">INDEX(OFFSET($AK$19,MATCH($B794,$B$19:$B$150,0)-1,0,COUNTA($B$19:$B$24),COUNTA($AK$17:$BB$17)),MATCH($F794,$F$19:$F$24,0),MATCH(AY$17,$AK$17:$BB$17,0))*INDEX($10:$13,MATCH($O794,$R$10:$R$13,0),COLUMN())</f>
        <v>2.3346654960000001E-7</v>
      </c>
      <c r="AZ794" s="1050" cm="1">
        <f t="array" aca="1" ref="AZ794" ca="1">INDEX(OFFSET($AK$19,MATCH($B794,$B$19:$B$150,0)-1,0,COUNTA($B$19:$B$24),COUNTA($AK$17:$BB$17)),MATCH($F794,$F$19:$F$24,0),MATCH(AZ$17,$AK$17:$BB$17,0))*INDEX($10:$13,MATCH($O794,$R$10:$R$13,0),COLUMN())</f>
        <v>2.2734956538641686E-5</v>
      </c>
      <c r="BA794" s="1050" cm="1">
        <f t="array" aca="1" ref="BA794" ca="1">INDEX(OFFSET($AK$19,MATCH($B794,$B$19:$B$150,0)-1,0,COUNTA($B$19:$B$24),COUNTA($AK$17:$BB$17)),MATCH($F794,$F$19:$F$24,0),MATCH(BA$17,$AK$17:$BB$17,0))*INDEX($10:$13,MATCH($O794,$R$10:$R$13,0),COLUMN())</f>
        <v>0.12458599497</v>
      </c>
      <c r="BB794" s="1051" cm="1">
        <f t="array" aca="1" ref="BB794" ca="1">INDEX(OFFSET($AK$19,MATCH($B794,$B$19:$B$150,0)-1,0,COUNTA($B$19:$B$24),COUNTA($AK$17:$BB$17)),MATCH($F794,$F$19:$F$24,0),MATCH(BB$17,$AK$17:$BB$17,0))*INDEX($10:$13,MATCH($O794,$R$10:$R$13,0),COLUMN())</f>
        <v>1.0436021927E-2</v>
      </c>
      <c r="BC794" s="1053">
        <f t="shared" ca="1" si="203"/>
        <v>1.4097743380007048</v>
      </c>
      <c r="BE794" s="1"/>
      <c r="BF794" s="1"/>
      <c r="BG794" s="1"/>
      <c r="BH794" s="1"/>
      <c r="BI794" s="1"/>
      <c r="BJ794" s="1"/>
      <c r="BK794" s="1"/>
      <c r="BL794" s="1"/>
      <c r="BM794" s="1"/>
      <c r="BN794" s="1"/>
      <c r="BO794" s="1"/>
      <c r="BP794" s="1"/>
      <c r="BQ794" s="1"/>
      <c r="BR794" s="1"/>
      <c r="BS794" s="1"/>
      <c r="BT794" s="1"/>
      <c r="BU794" s="1"/>
      <c r="BV794" s="1"/>
      <c r="BW794" s="1"/>
      <c r="BX794" s="1"/>
      <c r="BY794" s="1"/>
      <c r="BZ794" s="1"/>
    </row>
    <row r="795" spans="2:78" ht="12" customHeight="1" outlineLevel="1" x14ac:dyDescent="0.25">
      <c r="B795" s="88" t="s">
        <v>2366</v>
      </c>
      <c r="C795" s="88" t="s">
        <v>123</v>
      </c>
      <c r="D795" s="89" t="s">
        <v>154</v>
      </c>
      <c r="E795" s="89" t="s">
        <v>155</v>
      </c>
      <c r="F795" s="90" t="s">
        <v>92</v>
      </c>
      <c r="G795" s="18" t="s">
        <v>126</v>
      </c>
      <c r="H795" s="91" t="s">
        <v>127</v>
      </c>
      <c r="I795" s="92" t="s">
        <v>127</v>
      </c>
      <c r="J795" s="142">
        <v>2.15</v>
      </c>
      <c r="K795" s="143">
        <v>3.63</v>
      </c>
      <c r="L795" s="151">
        <f t="shared" ca="1" si="201"/>
        <v>6.3480832858409135</v>
      </c>
      <c r="M795" s="143">
        <f t="shared" ca="1" si="202"/>
        <v>26.673542327602515</v>
      </c>
      <c r="N795" s="162">
        <f t="shared" ca="1" si="199"/>
        <v>23.043542327602516</v>
      </c>
      <c r="O795" s="1060" t="s">
        <v>1586</v>
      </c>
      <c r="P795" s="88"/>
      <c r="Q795" s="89"/>
      <c r="R795" s="150"/>
      <c r="S795" s="1070"/>
      <c r="T795" s="1070"/>
      <c r="U795" s="1070"/>
      <c r="V795" s="1070"/>
      <c r="W795" s="1070"/>
      <c r="X795" s="1070"/>
      <c r="Y795" s="1070"/>
      <c r="Z795" s="1070"/>
      <c r="AA795" s="1070"/>
      <c r="AB795" s="1070"/>
      <c r="AC795" s="1070"/>
      <c r="AD795" s="1070"/>
      <c r="AE795" s="1070"/>
      <c r="AF795" s="1070"/>
      <c r="AG795" s="1070"/>
      <c r="AH795" s="1070"/>
      <c r="AI795" s="1070"/>
      <c r="AJ795" s="1071"/>
      <c r="AK795" s="1048" cm="1">
        <f t="array" aca="1" ref="AK795" ca="1">INDEX(OFFSET($AK$19,MATCH($B795,$B$19:$B$150,0)-1,0,COUNTA($B$19:$B$24),COUNTA($AK$17:$BB$17)),MATCH($F795,$F$19:$F$24,0),MATCH(AK$17,$AK$17:$BB$17,0))*INDEX($10:$13,MATCH($O795,$R$10:$R$13,0),COLUMN())</f>
        <v>2.4917054479999998</v>
      </c>
      <c r="AL795" s="1046" cm="1">
        <f t="array" aca="1" ref="AL795" ca="1">INDEX(OFFSET($AK$19,MATCH($B795,$B$19:$B$150,0)-1,0,COUNTA($B$19:$B$24),COUNTA($AK$17:$BB$17)),MATCH($F795,$F$19:$F$24,0),MATCH(AL$17,$AK$17:$BB$17,0))*INDEX($10:$13,MATCH($O795,$R$10:$R$13,0),COLUMN())</f>
        <v>8.724984126000001E-7</v>
      </c>
      <c r="AM795" s="1046" cm="1">
        <f t="array" aca="1" ref="AM795" ca="1">INDEX(OFFSET($AK$19,MATCH($B795,$B$19:$B$150,0)-1,0,COUNTA($B$19:$B$24),COUNTA($AK$17:$BB$17)),MATCH($F795,$F$19:$F$24,0),MATCH(AM$17,$AK$17:$BB$17,0))*INDEX($10:$13,MATCH($O795,$R$10:$R$13,0),COLUMN())</f>
        <v>0</v>
      </c>
      <c r="AN795" s="1046" cm="1">
        <f t="array" aca="1" ref="AN795" ca="1">INDEX(OFFSET($AK$19,MATCH($B795,$B$19:$B$150,0)-1,0,COUNTA($B$19:$B$24),COUNTA($AK$17:$BB$17)),MATCH($F795,$F$19:$F$24,0),MATCH(AN$17,$AK$17:$BB$17,0))*INDEX($10:$13,MATCH($O795,$R$10:$R$13,0),COLUMN())</f>
        <v>3.9735120659999998E-2</v>
      </c>
      <c r="AO795" s="1046" cm="1">
        <f t="array" aca="1" ref="AO795" ca="1">INDEX(OFFSET($AK$19,MATCH($B795,$B$19:$B$150,0)-1,0,COUNTA($B$19:$B$24),COUNTA($AK$17:$BB$17)),MATCH($F795,$F$19:$F$24,0),MATCH(AO$17,$AK$17:$BB$17,0))*INDEX($10:$13,MATCH($O795,$R$10:$R$13,0),COLUMN())</f>
        <v>2.1056462930136983</v>
      </c>
      <c r="AP795" s="1046" cm="1">
        <f t="array" aca="1" ref="AP795" ca="1">INDEX(OFFSET($AK$19,MATCH($B795,$B$19:$B$150,0)-1,0,COUNTA($B$19:$B$24),COUNTA($AK$17:$BB$17)),MATCH($F795,$F$19:$F$24,0),MATCH(AP$17,$AK$17:$BB$17,0))*INDEX($10:$13,MATCH($O795,$R$10:$R$13,0),COLUMN())</f>
        <v>1.6110189983999998</v>
      </c>
      <c r="AQ795" s="1046" cm="1">
        <f t="array" aca="1" ref="AQ795" ca="1">INDEX(OFFSET($AK$19,MATCH($B795,$B$19:$B$150,0)-1,0,COUNTA($B$19:$B$24),COUNTA($AK$17:$BB$17)),MATCH($F795,$F$19:$F$24,0),MATCH(AQ$17,$AK$17:$BB$17,0))*INDEX($10:$13,MATCH($O795,$R$10:$R$13,0),COLUMN())</f>
        <v>0.87682197120000005</v>
      </c>
      <c r="AR795" s="1046" cm="1">
        <f t="array" aca="1" ref="AR795" ca="1">INDEX(OFFSET($AK$19,MATCH($B795,$B$19:$B$150,0)-1,0,COUNTA($B$19:$B$24),COUNTA($AK$17:$BB$17)),MATCH($F795,$F$19:$F$24,0),MATCH(AR$17,$AK$17:$BB$17,0))*INDEX($10:$13,MATCH($O795,$R$10:$R$13,0),COLUMN())</f>
        <v>14.144681382</v>
      </c>
      <c r="AS795" s="1046" cm="1">
        <f t="array" aca="1" ref="AS795" ca="1">INDEX(OFFSET($AK$19,MATCH($B795,$B$19:$B$150,0)-1,0,COUNTA($B$19:$B$24),COUNTA($AK$17:$BB$17)),MATCH($F795,$F$19:$F$24,0),MATCH(AS$17,$AK$17:$BB$17,0))*INDEX($10:$13,MATCH($O795,$R$10:$R$13,0),COLUMN())</f>
        <v>0.24713341384000001</v>
      </c>
      <c r="AT795" s="1046" cm="1">
        <f t="array" aca="1" ref="AT795" ca="1">INDEX(OFFSET($AK$19,MATCH($B795,$B$19:$B$150,0)-1,0,COUNTA($B$19:$B$24),COUNTA($AK$17:$BB$17)),MATCH($F795,$F$19:$F$24,0),MATCH(AT$17,$AK$17:$BB$17,0))*INDEX($10:$13,MATCH($O795,$R$10:$R$13,0),COLUMN())</f>
        <v>3.0300780419999999E-4</v>
      </c>
      <c r="AU795" s="1046" cm="1">
        <f t="array" aca="1" ref="AU795" ca="1">INDEX(OFFSET($AK$19,MATCH($B795,$B$19:$B$150,0)-1,0,COUNTA($B$19:$B$24),COUNTA($AK$17:$BB$17)),MATCH($F795,$F$19:$F$24,0),MATCH(AU$17,$AK$17:$BB$17,0))*INDEX($10:$13,MATCH($O795,$R$10:$R$13,0),COLUMN())</f>
        <v>2.3755572066000001E-5</v>
      </c>
      <c r="AV795" s="1046" cm="1">
        <f t="array" aca="1" ref="AV795" ca="1">INDEX(OFFSET($AK$19,MATCH($B795,$B$19:$B$150,0)-1,0,COUNTA($B$19:$B$24),COUNTA($AK$17:$BB$17)),MATCH($F795,$F$19:$F$24,0),MATCH(AV$17,$AK$17:$BB$17,0))*INDEX($10:$13,MATCH($O795,$R$10:$R$13,0),COLUMN())</f>
        <v>2.5954461090010397E-2</v>
      </c>
      <c r="AW795" s="1046" cm="1">
        <f t="array" aca="1" ref="AW795" ca="1">INDEX(OFFSET($AK$19,MATCH($B795,$B$19:$B$150,0)-1,0,COUNTA($B$19:$B$24),COUNTA($AK$17:$BB$17)),MATCH($F795,$F$19:$F$24,0),MATCH(AW$17,$AK$17:$BB$17,0))*INDEX($10:$13,MATCH($O795,$R$10:$R$13,0),COLUMN())</f>
        <v>0.93835161860000005</v>
      </c>
      <c r="AX795" s="1046" cm="1">
        <f t="array" aca="1" ref="AX795" ca="1">INDEX(OFFSET($AK$19,MATCH($B795,$B$19:$B$150,0)-1,0,COUNTA($B$19:$B$24),COUNTA($AK$17:$BB$17)),MATCH($F795,$F$19:$F$24,0),MATCH(AX$17,$AK$17:$BB$17,0))*INDEX($10:$13,MATCH($O795,$R$10:$R$13,0),COLUMN())</f>
        <v>1.1850604919000001E-5</v>
      </c>
      <c r="AY795" s="1046" cm="1">
        <f t="array" aca="1" ref="AY795" ca="1">INDEX(OFFSET($AK$19,MATCH($B795,$B$19:$B$150,0)-1,0,COUNTA($B$19:$B$24),COUNTA($AK$17:$BB$17)),MATCH($F795,$F$19:$F$24,0),MATCH(AY$17,$AK$17:$BB$17,0))*INDEX($10:$13,MATCH($O795,$R$10:$R$13,0),COLUMN())</f>
        <v>3.7318893899999998E-4</v>
      </c>
      <c r="AZ795" s="1046" cm="1">
        <f t="array" aca="1" ref="AZ795" ca="1">INDEX(OFFSET($AK$19,MATCH($B795,$B$19:$B$150,0)-1,0,COUNTA($B$19:$B$24),COUNTA($AK$17:$BB$17)),MATCH($F795,$F$19:$F$24,0),MATCH(AZ$17,$AK$17:$BB$17,0))*INDEX($10:$13,MATCH($O795,$R$10:$R$13,0),COLUMN())</f>
        <v>5.2141360208430908E-5</v>
      </c>
      <c r="BA795" s="1046" cm="1">
        <f t="array" aca="1" ref="BA795" ca="1">INDEX(OFFSET($AK$19,MATCH($B795,$B$19:$B$150,0)-1,0,COUNTA($B$19:$B$24),COUNTA($AK$17:$BB$17)),MATCH($F795,$F$19:$F$24,0),MATCH(BA$17,$AK$17:$BB$17,0))*INDEX($10:$13,MATCH($O795,$R$10:$R$13,0),COLUMN())</f>
        <v>0.45147741670000002</v>
      </c>
      <c r="BB795" s="1047" cm="1">
        <f t="array" aca="1" ref="BB795" ca="1">INDEX(OFFSET($AK$19,MATCH($B795,$B$19:$B$150,0)-1,0,COUNTA($B$19:$B$24),COUNTA($AK$17:$BB$17)),MATCH($F795,$F$19:$F$24,0),MATCH(BB$17,$AK$17:$BB$17,0))*INDEX($10:$13,MATCH($O795,$R$10:$R$13,0),COLUMN())</f>
        <v>0.11025138731999999</v>
      </c>
      <c r="BC795" s="1049">
        <f t="shared" ca="1" si="203"/>
        <v>0.93873665814391904</v>
      </c>
      <c r="BE795" s="1"/>
      <c r="BF795" s="1"/>
      <c r="BG795" s="1"/>
      <c r="BH795" s="1"/>
      <c r="BI795" s="1"/>
      <c r="BJ795" s="1"/>
      <c r="BK795" s="1"/>
      <c r="BL795" s="1"/>
      <c r="BM795" s="1"/>
      <c r="BN795" s="1"/>
      <c r="BO795" s="1"/>
      <c r="BP795" s="1"/>
      <c r="BQ795" s="1"/>
      <c r="BR795" s="1"/>
      <c r="BS795" s="1"/>
      <c r="BT795" s="1"/>
      <c r="BU795" s="1"/>
      <c r="BV795" s="1"/>
      <c r="BW795" s="1"/>
      <c r="BX795" s="1"/>
      <c r="BY795" s="1"/>
      <c r="BZ795" s="1"/>
    </row>
    <row r="796" spans="2:78" ht="12" customHeight="1" outlineLevel="1" x14ac:dyDescent="0.25">
      <c r="B796" s="104" t="s">
        <v>2366</v>
      </c>
      <c r="C796" s="104" t="s">
        <v>123</v>
      </c>
      <c r="D796" s="2" t="s">
        <v>154</v>
      </c>
      <c r="E796" s="2" t="s">
        <v>155</v>
      </c>
      <c r="F796" s="105" t="s">
        <v>122</v>
      </c>
      <c r="G796" s="27" t="s">
        <v>1579</v>
      </c>
      <c r="H796" s="106" t="s">
        <v>128</v>
      </c>
      <c r="I796" s="107" t="s">
        <v>129</v>
      </c>
      <c r="J796" s="147">
        <v>2.15</v>
      </c>
      <c r="K796" s="148">
        <v>4.5</v>
      </c>
      <c r="L796" s="149">
        <f t="shared" ca="1" si="201"/>
        <v>5.0062362333713981</v>
      </c>
      <c r="M796" s="148">
        <f t="shared" ca="1" si="202"/>
        <v>27.028063050171291</v>
      </c>
      <c r="N796" s="163">
        <f t="shared" ca="1" si="199"/>
        <v>22.528063050171291</v>
      </c>
      <c r="O796" s="1061" t="s">
        <v>1586</v>
      </c>
      <c r="P796" s="104"/>
      <c r="R796" s="119"/>
      <c r="S796" s="1072"/>
      <c r="T796" s="1072"/>
      <c r="U796" s="1072"/>
      <c r="V796" s="1072"/>
      <c r="W796" s="1072"/>
      <c r="X796" s="1072"/>
      <c r="Y796" s="1072"/>
      <c r="Z796" s="1072"/>
      <c r="AA796" s="1072"/>
      <c r="AB796" s="1072"/>
      <c r="AC796" s="1072"/>
      <c r="AD796" s="1072"/>
      <c r="AE796" s="1072"/>
      <c r="AF796" s="1072"/>
      <c r="AG796" s="1072"/>
      <c r="AH796" s="1072"/>
      <c r="AI796" s="1072"/>
      <c r="AJ796" s="1073"/>
      <c r="AK796" s="1052" cm="1">
        <f t="array" aca="1" ref="AK796" ca="1">INDEX(OFFSET($AK$19,MATCH($B796,$B$19:$B$150,0)-1,0,COUNTA($B$19:$B$24),COUNTA($AK$17:$BB$17)),MATCH($F796,$F$19:$F$24,0),MATCH(AK$17,$AK$17:$BB$17,0))*INDEX($10:$13,MATCH($O796,$R$10:$R$13,0),COLUMN())</f>
        <v>2.205224968</v>
      </c>
      <c r="AL796" s="1050" cm="1">
        <f t="array" aca="1" ref="AL796" ca="1">INDEX(OFFSET($AK$19,MATCH($B796,$B$19:$B$150,0)-1,0,COUNTA($B$19:$B$24),COUNTA($AK$17:$BB$17)),MATCH($F796,$F$19:$F$24,0),MATCH(AL$17,$AK$17:$BB$17,0))*INDEX($10:$13,MATCH($O796,$R$10:$R$13,0),COLUMN())</f>
        <v>7.8929822820000008E-7</v>
      </c>
      <c r="AM796" s="1050" cm="1">
        <f t="array" aca="1" ref="AM796" ca="1">INDEX(OFFSET($AK$19,MATCH($B796,$B$19:$B$150,0)-1,0,COUNTA($B$19:$B$24),COUNTA($AK$17:$BB$17)),MATCH($F796,$F$19:$F$24,0),MATCH(AM$17,$AK$17:$BB$17,0))*INDEX($10:$13,MATCH($O796,$R$10:$R$13,0),COLUMN())</f>
        <v>0</v>
      </c>
      <c r="AN796" s="1050" cm="1">
        <f t="array" aca="1" ref="AN796" ca="1">INDEX(OFFSET($AK$19,MATCH($B796,$B$19:$B$150,0)-1,0,COUNTA($B$19:$B$24),COUNTA($AK$17:$BB$17)),MATCH($F796,$F$19:$F$24,0),MATCH(AN$17,$AK$17:$BB$17,0))*INDEX($10:$13,MATCH($O796,$R$10:$R$13,0),COLUMN())</f>
        <v>4.5428830140000008E-2</v>
      </c>
      <c r="AO796" s="1050" cm="1">
        <f t="array" aca="1" ref="AO796" ca="1">INDEX(OFFSET($AK$19,MATCH($B796,$B$19:$B$150,0)-1,0,COUNTA($B$19:$B$24),COUNTA($AK$17:$BB$17)),MATCH($F796,$F$19:$F$24,0),MATCH(AO$17,$AK$17:$BB$17,0))*INDEX($10:$13,MATCH($O796,$R$10:$R$13,0),COLUMN())</f>
        <v>2.3620676215068492</v>
      </c>
      <c r="AP796" s="1050" cm="1">
        <f t="array" aca="1" ref="AP796" ca="1">INDEX(OFFSET($AK$19,MATCH($B796,$B$19:$B$150,0)-1,0,COUNTA($B$19:$B$24),COUNTA($AK$17:$BB$17)),MATCH($F796,$F$19:$F$24,0),MATCH(AP$17,$AK$17:$BB$17,0))*INDEX($10:$13,MATCH($O796,$R$10:$R$13,0),COLUMN())</f>
        <v>1.8054681792</v>
      </c>
      <c r="AQ796" s="1050" cm="1">
        <f t="array" aca="1" ref="AQ796" ca="1">INDEX(OFFSET($AK$19,MATCH($B796,$B$19:$B$150,0)-1,0,COUNTA($B$19:$B$24),COUNTA($AK$17:$BB$17)),MATCH($F796,$F$19:$F$24,0),MATCH(AQ$17,$AK$17:$BB$17,0))*INDEX($10:$13,MATCH($O796,$R$10:$R$13,0),COLUMN())</f>
        <v>0.8071946928</v>
      </c>
      <c r="AR796" s="1050" cm="1">
        <f t="array" aca="1" ref="AR796" ca="1">INDEX(OFFSET($AK$19,MATCH($B796,$B$19:$B$150,0)-1,0,COUNTA($B$19:$B$24),COUNTA($AK$17:$BB$17)),MATCH($F796,$F$19:$F$24,0),MATCH(AR$17,$AK$17:$BB$17,0))*INDEX($10:$13,MATCH($O796,$R$10:$R$13,0),COLUMN())</f>
        <v>13.282079368</v>
      </c>
      <c r="AS796" s="1050" cm="1">
        <f t="array" aca="1" ref="AS796" ca="1">INDEX(OFFSET($AK$19,MATCH($B796,$B$19:$B$150,0)-1,0,COUNTA($B$19:$B$24),COUNTA($AK$17:$BB$17)),MATCH($F796,$F$19:$F$24,0),MATCH(AS$17,$AK$17:$BB$17,0))*INDEX($10:$13,MATCH($O796,$R$10:$R$13,0),COLUMN())</f>
        <v>1.6539694197E-2</v>
      </c>
      <c r="AT796" s="1050" cm="1">
        <f t="array" aca="1" ref="AT796" ca="1">INDEX(OFFSET($AK$19,MATCH($B796,$B$19:$B$150,0)-1,0,COUNTA($B$19:$B$24),COUNTA($AK$17:$BB$17)),MATCH($F796,$F$19:$F$24,0),MATCH(AT$17,$AK$17:$BB$17,0))*INDEX($10:$13,MATCH($O796,$R$10:$R$13,0),COLUMN())</f>
        <v>5.29172252E-5</v>
      </c>
      <c r="AU796" s="1050" cm="1">
        <f t="array" aca="1" ref="AU796" ca="1">INDEX(OFFSET($AK$19,MATCH($B796,$B$19:$B$150,0)-1,0,COUNTA($B$19:$B$24),COUNTA($AK$17:$BB$17)),MATCH($F796,$F$19:$F$24,0),MATCH(AU$17,$AK$17:$BB$17,0))*INDEX($10:$13,MATCH($O796,$R$10:$R$13,0),COLUMN())</f>
        <v>1.2067883759999999E-5</v>
      </c>
      <c r="AV796" s="1050" cm="1">
        <f t="array" aca="1" ref="AV796" ca="1">INDEX(OFFSET($AK$19,MATCH($B796,$B$19:$B$150,0)-1,0,COUNTA($B$19:$B$24),COUNTA($AK$17:$BB$17)),MATCH($F796,$F$19:$F$24,0),MATCH(AV$17,$AK$17:$BB$17,0))*INDEX($10:$13,MATCH($O796,$R$10:$R$13,0),COLUMN())</f>
        <v>1.5341019665876606E-2</v>
      </c>
      <c r="AW796" s="1050" cm="1">
        <f t="array" aca="1" ref="AW796" ca="1">INDEX(OFFSET($AK$19,MATCH($B796,$B$19:$B$150,0)-1,0,COUNTA($B$19:$B$24),COUNTA($AK$17:$BB$17)),MATCH($F796,$F$19:$F$24,0),MATCH(AW$17,$AK$17:$BB$17,0))*INDEX($10:$13,MATCH($O796,$R$10:$R$13,0),COLUMN())</f>
        <v>1.5339005899</v>
      </c>
      <c r="AX796" s="1050" cm="1">
        <f t="array" aca="1" ref="AX796" ca="1">INDEX(OFFSET($AK$19,MATCH($B796,$B$19:$B$150,0)-1,0,COUNTA($B$19:$B$24),COUNTA($AK$17:$BB$17)),MATCH($F796,$F$19:$F$24,0),MATCH(AX$17,$AK$17:$BB$17,0))*INDEX($10:$13,MATCH($O796,$R$10:$R$13,0),COLUMN())</f>
        <v>5.915700037E-6</v>
      </c>
      <c r="AY796" s="1050" cm="1">
        <f t="array" aca="1" ref="AY796" ca="1">INDEX(OFFSET($AK$19,MATCH($B796,$B$19:$B$150,0)-1,0,COUNTA($B$19:$B$24),COUNTA($AK$17:$BB$17)),MATCH($F796,$F$19:$F$24,0),MATCH(AY$17,$AK$17:$BB$17,0))*INDEX($10:$13,MATCH($O796,$R$10:$R$13,0),COLUMN())</f>
        <v>-3.0461782160000001E-9</v>
      </c>
      <c r="AZ796" s="1050" cm="1">
        <f t="array" aca="1" ref="AZ796" ca="1">INDEX(OFFSET($AK$19,MATCH($B796,$B$19:$B$150,0)-1,0,COUNTA($B$19:$B$24),COUNTA($AK$17:$BB$17)),MATCH($F796,$F$19:$F$24,0),MATCH(AZ$17,$AK$17:$BB$17,0))*INDEX($10:$13,MATCH($O796,$R$10:$R$13,0),COLUMN())</f>
        <v>6.7233690515222473E-5</v>
      </c>
      <c r="BA796" s="1050" cm="1">
        <f t="array" aca="1" ref="BA796" ca="1">INDEX(OFFSET($AK$19,MATCH($B796,$B$19:$B$150,0)-1,0,COUNTA($B$19:$B$24),COUNTA($AK$17:$BB$17)),MATCH($F796,$F$19:$F$24,0),MATCH(BA$17,$AK$17:$BB$17,0))*INDEX($10:$13,MATCH($O796,$R$10:$R$13,0),COLUMN())</f>
        <v>0.36063595430000001</v>
      </c>
      <c r="BB796" s="1051" cm="1">
        <f t="array" aca="1" ref="BB796" ca="1">INDEX(OFFSET($AK$19,MATCH($B796,$B$19:$B$150,0)-1,0,COUNTA($B$19:$B$24),COUNTA($AK$17:$BB$17)),MATCH($F796,$F$19:$F$24,0),MATCH(BB$17,$AK$17:$BB$17,0))*INDEX($10:$13,MATCH($O796,$R$10:$R$13,0),COLUMN())</f>
        <v>9.4043211710000005E-2</v>
      </c>
      <c r="BC796" s="1053">
        <f t="shared" ca="1" si="203"/>
        <v>1.5339065025538587</v>
      </c>
      <c r="BE796" s="1"/>
      <c r="BF796" s="1"/>
      <c r="BG796" s="1"/>
      <c r="BH796" s="1"/>
      <c r="BI796" s="1"/>
      <c r="BJ796" s="1"/>
      <c r="BK796" s="1"/>
      <c r="BL796" s="1"/>
      <c r="BM796" s="1"/>
      <c r="BN796" s="1"/>
      <c r="BO796" s="1"/>
      <c r="BP796" s="1"/>
      <c r="BQ796" s="1"/>
      <c r="BR796" s="1"/>
      <c r="BS796" s="1"/>
      <c r="BT796" s="1"/>
      <c r="BU796" s="1"/>
      <c r="BV796" s="1"/>
      <c r="BW796" s="1"/>
      <c r="BX796" s="1"/>
      <c r="BY796" s="1"/>
      <c r="BZ796" s="1"/>
    </row>
    <row r="797" spans="2:78" ht="12" customHeight="1" outlineLevel="1" x14ac:dyDescent="0.25">
      <c r="B797" s="104" t="s">
        <v>2366</v>
      </c>
      <c r="C797" s="104" t="s">
        <v>123</v>
      </c>
      <c r="D797" s="2" t="s">
        <v>154</v>
      </c>
      <c r="E797" s="2" t="s">
        <v>155</v>
      </c>
      <c r="F797" s="105" t="s">
        <v>93</v>
      </c>
      <c r="G797" s="27" t="s">
        <v>1578</v>
      </c>
      <c r="H797" s="106" t="s">
        <v>130</v>
      </c>
      <c r="I797" s="107" t="s">
        <v>129</v>
      </c>
      <c r="J797" s="147">
        <v>2.15</v>
      </c>
      <c r="K797" s="148">
        <v>4.5</v>
      </c>
      <c r="L797" s="149">
        <f t="shared" ca="1" si="201"/>
        <v>4.9903033095650358</v>
      </c>
      <c r="M797" s="148">
        <f t="shared" ca="1" si="202"/>
        <v>26.956364893042661</v>
      </c>
      <c r="N797" s="163">
        <f t="shared" ref="N797:N812" ca="1" si="204">SUMIFS($S797:$BB797,$S$14:$BB$14,$D$13)</f>
        <v>22.456364893042661</v>
      </c>
      <c r="O797" s="1061" t="s">
        <v>1586</v>
      </c>
      <c r="P797" s="104"/>
      <c r="R797" s="119"/>
      <c r="S797" s="1072"/>
      <c r="T797" s="1072"/>
      <c r="U797" s="1072"/>
      <c r="V797" s="1072"/>
      <c r="W797" s="1072"/>
      <c r="X797" s="1072"/>
      <c r="Y797" s="1072"/>
      <c r="Z797" s="1072"/>
      <c r="AA797" s="1072"/>
      <c r="AB797" s="1072"/>
      <c r="AC797" s="1072"/>
      <c r="AD797" s="1072"/>
      <c r="AE797" s="1072"/>
      <c r="AF797" s="1072"/>
      <c r="AG797" s="1072"/>
      <c r="AH797" s="1072"/>
      <c r="AI797" s="1072"/>
      <c r="AJ797" s="1073"/>
      <c r="AK797" s="1052" cm="1">
        <f t="array" aca="1" ref="AK797" ca="1">INDEX(OFFSET($AK$19,MATCH($B797,$B$19:$B$150,0)-1,0,COUNTA($B$19:$B$24),COUNTA($AK$17:$BB$17)),MATCH($F797,$F$19:$F$24,0),MATCH(AK$17,$AK$17:$BB$17,0))*INDEX($10:$13,MATCH($O797,$R$10:$R$13,0),COLUMN())</f>
        <v>2.1686549839999998</v>
      </c>
      <c r="AL797" s="1050" cm="1">
        <f t="array" aca="1" ref="AL797" ca="1">INDEX(OFFSET($AK$19,MATCH($B797,$B$19:$B$150,0)-1,0,COUNTA($B$19:$B$24),COUNTA($AK$17:$BB$17)),MATCH($F797,$F$19:$F$24,0),MATCH(AL$17,$AK$17:$BB$17,0))*INDEX($10:$13,MATCH($O797,$R$10:$R$13,0),COLUMN())</f>
        <v>7.9847135160000003E-7</v>
      </c>
      <c r="AM797" s="1050" cm="1">
        <f t="array" aca="1" ref="AM797" ca="1">INDEX(OFFSET($AK$19,MATCH($B797,$B$19:$B$150,0)-1,0,COUNTA($B$19:$B$24),COUNTA($AK$17:$BB$17)),MATCH($F797,$F$19:$F$24,0),MATCH(AM$17,$AK$17:$BB$17,0))*INDEX($10:$13,MATCH($O797,$R$10:$R$13,0),COLUMN())</f>
        <v>0</v>
      </c>
      <c r="AN797" s="1050" cm="1">
        <f t="array" aca="1" ref="AN797" ca="1">INDEX(OFFSET($AK$19,MATCH($B797,$B$19:$B$150,0)-1,0,COUNTA($B$19:$B$24),COUNTA($AK$17:$BB$17)),MATCH($F797,$F$19:$F$24,0),MATCH(AN$17,$AK$17:$BB$17,0))*INDEX($10:$13,MATCH($O797,$R$10:$R$13,0),COLUMN())</f>
        <v>4.5346323840000001E-2</v>
      </c>
      <c r="AO797" s="1050" cm="1">
        <f t="array" aca="1" ref="AO797" ca="1">INDEX(OFFSET($AK$19,MATCH($B797,$B$19:$B$150,0)-1,0,COUNTA($B$19:$B$24),COUNTA($AK$17:$BB$17)),MATCH($F797,$F$19:$F$24,0),MATCH(AO$17,$AK$17:$BB$17,0))*INDEX($10:$13,MATCH($O797,$R$10:$R$13,0),COLUMN())</f>
        <v>2.3023095036986301</v>
      </c>
      <c r="AP797" s="1050" cm="1">
        <f t="array" aca="1" ref="AP797" ca="1">INDEX(OFFSET($AK$19,MATCH($B797,$B$19:$B$150,0)-1,0,COUNTA($B$19:$B$24),COUNTA($AK$17:$BB$17)),MATCH($F797,$F$19:$F$24,0),MATCH(AP$17,$AK$17:$BB$17,0))*INDEX($10:$13,MATCH($O797,$R$10:$R$13,0),COLUMN())</f>
        <v>1.7573354399999999</v>
      </c>
      <c r="AQ797" s="1050" cm="1">
        <f t="array" aca="1" ref="AQ797" ca="1">INDEX(OFFSET($AK$19,MATCH($B797,$B$19:$B$150,0)-1,0,COUNTA($B$19:$B$24),COUNTA($AK$17:$BB$17)),MATCH($F797,$F$19:$F$24,0),MATCH(AQ$17,$AK$17:$BB$17,0))*INDEX($10:$13,MATCH($O797,$R$10:$R$13,0),COLUMN())</f>
        <v>0.78974439360000004</v>
      </c>
      <c r="AR797" s="1050" cm="1">
        <f t="array" aca="1" ref="AR797" ca="1">INDEX(OFFSET($AK$19,MATCH($B797,$B$19:$B$150,0)-1,0,COUNTA($B$19:$B$24),COUNTA($AK$17:$BB$17)),MATCH($F797,$F$19:$F$24,0),MATCH(AR$17,$AK$17:$BB$17,0))*INDEX($10:$13,MATCH($O797,$R$10:$R$13,0),COLUMN())</f>
        <v>13.066507955999999</v>
      </c>
      <c r="AS797" s="1050" cm="1">
        <f t="array" aca="1" ref="AS797" ca="1">INDEX(OFFSET($AK$19,MATCH($B797,$B$19:$B$150,0)-1,0,COUNTA($B$19:$B$24),COUNTA($AK$17:$BB$17)),MATCH($F797,$F$19:$F$24,0),MATCH(AS$17,$AK$17:$BB$17,0))*INDEX($10:$13,MATCH($O797,$R$10:$R$13,0),COLUMN())</f>
        <v>1.6268086269999999E-2</v>
      </c>
      <c r="AT797" s="1050" cm="1">
        <f t="array" aca="1" ref="AT797" ca="1">INDEX(OFFSET($AK$19,MATCH($B797,$B$19:$B$150,0)-1,0,COUNTA($B$19:$B$24),COUNTA($AK$17:$BB$17)),MATCH($F797,$F$19:$F$24,0),MATCH(AT$17,$AK$17:$BB$17,0))*INDEX($10:$13,MATCH($O797,$R$10:$R$13,0),COLUMN())</f>
        <v>5.3898181600000003E-5</v>
      </c>
      <c r="AU797" s="1050" cm="1">
        <f t="array" aca="1" ref="AU797" ca="1">INDEX(OFFSET($AK$19,MATCH($B797,$B$19:$B$150,0)-1,0,COUNTA($B$19:$B$24),COUNTA($AK$17:$BB$17)),MATCH($F797,$F$19:$F$24,0),MATCH(AU$17,$AK$17:$BB$17,0))*INDEX($10:$13,MATCH($O797,$R$10:$R$13,0),COLUMN())</f>
        <v>1.2243309239999999E-5</v>
      </c>
      <c r="AV797" s="1050" cm="1">
        <f t="array" aca="1" ref="AV797" ca="1">INDEX(OFFSET($AK$19,MATCH($B797,$B$19:$B$150,0)-1,0,COUNTA($B$19:$B$24),COUNTA($AK$17:$BB$17)),MATCH($F797,$F$19:$F$24,0),MATCH(AV$17,$AK$17:$BB$17,0))*INDEX($10:$13,MATCH($O797,$R$10:$R$13,0),COLUMN())</f>
        <v>1.5217599958548024E-2</v>
      </c>
      <c r="AW797" s="1050" cm="1">
        <f t="array" aca="1" ref="AW797" ca="1">INDEX(OFFSET($AK$19,MATCH($B797,$B$19:$B$150,0)-1,0,COUNTA($B$19:$B$24),COUNTA($AK$17:$BB$17)),MATCH($F797,$F$19:$F$24,0),MATCH(AW$17,$AK$17:$BB$17,0))*INDEX($10:$13,MATCH($O797,$R$10:$R$13,0),COLUMN())</f>
        <v>1.8431434786000001</v>
      </c>
      <c r="AX797" s="1050" cm="1">
        <f t="array" aca="1" ref="AX797" ca="1">INDEX(OFFSET($AK$19,MATCH($B797,$B$19:$B$150,0)-1,0,COUNTA($B$19:$B$24),COUNTA($AK$17:$BB$17)),MATCH($F797,$F$19:$F$24,0),MATCH(AX$17,$AK$17:$BB$17,0))*INDEX($10:$13,MATCH($O797,$R$10:$R$13,0),COLUMN())</f>
        <v>5.8471412140000009E-6</v>
      </c>
      <c r="AY797" s="1050" cm="1">
        <f t="array" aca="1" ref="AY797" ca="1">INDEX(OFFSET($AK$19,MATCH($B797,$B$19:$B$150,0)-1,0,COUNTA($B$19:$B$24),COUNTA($AK$17:$BB$17)),MATCH($F797,$F$19:$F$24,0),MATCH(AY$17,$AK$17:$BB$17,0))*INDEX($10:$13,MATCH($O797,$R$10:$R$13,0),COLUMN())</f>
        <v>-3.0235903229999997E-9</v>
      </c>
      <c r="AZ797" s="1050" cm="1">
        <f t="array" aca="1" ref="AZ797" ca="1">INDEX(OFFSET($AK$19,MATCH($B797,$B$19:$B$150,0)-1,0,COUNTA($B$19:$B$24),COUNTA($AK$17:$BB$17)),MATCH($F797,$F$19:$F$24,0),MATCH(AZ$17,$AK$17:$BB$17,0))*INDEX($10:$13,MATCH($O797,$R$10:$R$13,0),COLUMN())</f>
        <v>6.8541295667447292E-5</v>
      </c>
      <c r="BA797" s="1050" cm="1">
        <f t="array" aca="1" ref="BA797" ca="1">INDEX(OFFSET($AK$19,MATCH($B797,$B$19:$B$150,0)-1,0,COUNTA($B$19:$B$24),COUNTA($AK$17:$BB$17)),MATCH($F797,$F$19:$F$24,0),MATCH(BA$17,$AK$17:$BB$17,0))*INDEX($10:$13,MATCH($O797,$R$10:$R$13,0),COLUMN())</f>
        <v>0.35919836414</v>
      </c>
      <c r="BB797" s="1051" cm="1">
        <f t="array" aca="1" ref="BB797" ca="1">INDEX(OFFSET($AK$19,MATCH($B797,$B$19:$B$150,0)-1,0,COUNTA($B$19:$B$24),COUNTA($AK$17:$BB$17)),MATCH($F797,$F$19:$F$24,0),MATCH(BB$17,$AK$17:$BB$17,0))*INDEX($10:$13,MATCH($O797,$R$10:$R$13,0),COLUMN())</f>
        <v>9.2497437559999993E-2</v>
      </c>
      <c r="BC797" s="1053">
        <f t="shared" ca="1" si="203"/>
        <v>1.8431493227176239</v>
      </c>
      <c r="BE797" s="1"/>
      <c r="BF797" s="1"/>
      <c r="BG797" s="1"/>
      <c r="BH797" s="1"/>
      <c r="BI797" s="1"/>
      <c r="BJ797" s="1"/>
      <c r="BK797" s="1"/>
      <c r="BL797" s="1"/>
      <c r="BM797" s="1"/>
      <c r="BN797" s="1"/>
      <c r="BO797" s="1"/>
      <c r="BP797" s="1"/>
      <c r="BQ797" s="1"/>
      <c r="BR797" s="1"/>
      <c r="BS797" s="1"/>
      <c r="BT797" s="1"/>
      <c r="BU797" s="1"/>
      <c r="BV797" s="1"/>
      <c r="BW797" s="1"/>
      <c r="BX797" s="1"/>
      <c r="BY797" s="1"/>
      <c r="BZ797" s="1"/>
    </row>
    <row r="798" spans="2:78" ht="12" customHeight="1" outlineLevel="1" x14ac:dyDescent="0.25">
      <c r="B798" s="104" t="s">
        <v>2366</v>
      </c>
      <c r="C798" s="104" t="s">
        <v>123</v>
      </c>
      <c r="D798" s="2" t="s">
        <v>154</v>
      </c>
      <c r="E798" s="2" t="s">
        <v>155</v>
      </c>
      <c r="F798" s="105" t="s">
        <v>94</v>
      </c>
      <c r="G798" s="27" t="s">
        <v>1580</v>
      </c>
      <c r="H798" s="106" t="s">
        <v>131</v>
      </c>
      <c r="I798" s="107" t="s">
        <v>129</v>
      </c>
      <c r="J798" s="147">
        <v>2.15</v>
      </c>
      <c r="K798" s="148">
        <v>4.5</v>
      </c>
      <c r="L798" s="149">
        <f t="shared" ca="1" si="201"/>
        <v>5.0413177011828862</v>
      </c>
      <c r="M798" s="148">
        <f t="shared" ca="1" si="202"/>
        <v>27.185929655322987</v>
      </c>
      <c r="N798" s="163">
        <f t="shared" ca="1" si="204"/>
        <v>22.685929655322987</v>
      </c>
      <c r="O798" s="1061" t="s">
        <v>1586</v>
      </c>
      <c r="P798" s="104"/>
      <c r="R798" s="119"/>
      <c r="S798" s="1072"/>
      <c r="T798" s="1072"/>
      <c r="U798" s="1072"/>
      <c r="V798" s="1072"/>
      <c r="W798" s="1072"/>
      <c r="X798" s="1072"/>
      <c r="Y798" s="1072"/>
      <c r="Z798" s="1072"/>
      <c r="AA798" s="1072"/>
      <c r="AB798" s="1072"/>
      <c r="AC798" s="1072"/>
      <c r="AD798" s="1072"/>
      <c r="AE798" s="1072"/>
      <c r="AF798" s="1072"/>
      <c r="AG798" s="1072"/>
      <c r="AH798" s="1072"/>
      <c r="AI798" s="1072"/>
      <c r="AJ798" s="1073"/>
      <c r="AK798" s="1052" cm="1">
        <f t="array" aca="1" ref="AK798" ca="1">INDEX(OFFSET($AK$19,MATCH($B798,$B$19:$B$150,0)-1,0,COUNTA($B$19:$B$24),COUNTA($AK$17:$BB$17)),MATCH($F798,$F$19:$F$24,0),MATCH(AK$17,$AK$17:$BB$17,0))*INDEX($10:$13,MATCH($O798,$R$10:$R$13,0),COLUMN())</f>
        <v>2.241474384</v>
      </c>
      <c r="AL798" s="1050" cm="1">
        <f t="array" aca="1" ref="AL798" ca="1">INDEX(OFFSET($AK$19,MATCH($B798,$B$19:$B$150,0)-1,0,COUNTA($B$19:$B$24),COUNTA($AK$17:$BB$17)),MATCH($F798,$F$19:$F$24,0),MATCH(AL$17,$AK$17:$BB$17,0))*INDEX($10:$13,MATCH($O798,$R$10:$R$13,0),COLUMN())</f>
        <v>7.8681239040000006E-7</v>
      </c>
      <c r="AM798" s="1050" cm="1">
        <f t="array" aca="1" ref="AM798" ca="1">INDEX(OFFSET($AK$19,MATCH($B798,$B$19:$B$150,0)-1,0,COUNTA($B$19:$B$24),COUNTA($AK$17:$BB$17)),MATCH($F798,$F$19:$F$24,0),MATCH(AM$17,$AK$17:$BB$17,0))*INDEX($10:$13,MATCH($O798,$R$10:$R$13,0),COLUMN())</f>
        <v>0</v>
      </c>
      <c r="AN798" s="1050" cm="1">
        <f t="array" aca="1" ref="AN798" ca="1">INDEX(OFFSET($AK$19,MATCH($B798,$B$19:$B$150,0)-1,0,COUNTA($B$19:$B$24),COUNTA($AK$17:$BB$17)),MATCH($F798,$F$19:$F$24,0),MATCH(AN$17,$AK$17:$BB$17,0))*INDEX($10:$13,MATCH($O798,$R$10:$R$13,0),COLUMN())</f>
        <v>4.5706767480000007E-2</v>
      </c>
      <c r="AO798" s="1050" cm="1">
        <f t="array" aca="1" ref="AO798" ca="1">INDEX(OFFSET($AK$19,MATCH($B798,$B$19:$B$150,0)-1,0,COUNTA($B$19:$B$24),COUNTA($AK$17:$BB$17)),MATCH($F798,$F$19:$F$24,0),MATCH(AO$17,$AK$17:$BB$17,0))*INDEX($10:$13,MATCH($O798,$R$10:$R$13,0),COLUMN())</f>
        <v>2.4149782347945203</v>
      </c>
      <c r="AP798" s="1050" cm="1">
        <f t="array" aca="1" ref="AP798" ca="1">INDEX(OFFSET($AK$19,MATCH($B798,$B$19:$B$150,0)-1,0,COUNTA($B$19:$B$24),COUNTA($AK$17:$BB$17)),MATCH($F798,$F$19:$F$24,0),MATCH(AP$17,$AK$17:$BB$17,0))*INDEX($10:$13,MATCH($O798,$R$10:$R$13,0),COLUMN())</f>
        <v>1.8476130624</v>
      </c>
      <c r="AQ798" s="1050" cm="1">
        <f t="array" aca="1" ref="AQ798" ca="1">INDEX(OFFSET($AK$19,MATCH($B798,$B$19:$B$150,0)-1,0,COUNTA($B$19:$B$24),COUNTA($AK$17:$BB$17)),MATCH($F798,$F$19:$F$24,0),MATCH(AQ$17,$AK$17:$BB$17,0))*INDEX($10:$13,MATCH($O798,$R$10:$R$13,0),COLUMN())</f>
        <v>0.82322874720000005</v>
      </c>
      <c r="AR798" s="1050" cm="1">
        <f t="array" aca="1" ref="AR798" ca="1">INDEX(OFFSET($AK$19,MATCH($B798,$B$19:$B$150,0)-1,0,COUNTA($B$19:$B$24),COUNTA($AK$17:$BB$17)),MATCH($F798,$F$19:$F$24,0),MATCH(AR$17,$AK$17:$BB$17,0))*INDEX($10:$13,MATCH($O798,$R$10:$R$13,0),COLUMN())</f>
        <v>13.493525975999999</v>
      </c>
      <c r="AS798" s="1050" cm="1">
        <f t="array" aca="1" ref="AS798" ca="1">INDEX(OFFSET($AK$19,MATCH($B798,$B$19:$B$150,0)-1,0,COUNTA($B$19:$B$24),COUNTA($AK$17:$BB$17)),MATCH($F798,$F$19:$F$24,0),MATCH(AS$17,$AK$17:$BB$17,0))*INDEX($10:$13,MATCH($O798,$R$10:$R$13,0),COLUMN())</f>
        <v>1.6807755091E-2</v>
      </c>
      <c r="AT798" s="1050" cm="1">
        <f t="array" aca="1" ref="AT798" ca="1">INDEX(OFFSET($AK$19,MATCH($B798,$B$19:$B$150,0)-1,0,COUNTA($B$19:$B$24),COUNTA($AK$17:$BB$17)),MATCH($F798,$F$19:$F$24,0),MATCH(AT$17,$AK$17:$BB$17,0))*INDEX($10:$13,MATCH($O798,$R$10:$R$13,0),COLUMN())</f>
        <v>5.250048936E-5</v>
      </c>
      <c r="AU798" s="1050" cm="1">
        <f t="array" aca="1" ref="AU798" ca="1">INDEX(OFFSET($AK$19,MATCH($B798,$B$19:$B$150,0)-1,0,COUNTA($B$19:$B$24),COUNTA($AK$17:$BB$17)),MATCH($F798,$F$19:$F$24,0),MATCH(AU$17,$AK$17:$BB$17,0))*INDEX($10:$13,MATCH($O798,$R$10:$R$13,0),COLUMN())</f>
        <v>1.2005988588E-5</v>
      </c>
      <c r="AV798" s="1050" cm="1">
        <f t="array" aca="1" ref="AV798" ca="1">INDEX(OFFSET($AK$19,MATCH($B798,$B$19:$B$150,0)-1,0,COUNTA($B$19:$B$24),COUNTA($AK$17:$BB$17)),MATCH($F798,$F$19:$F$24,0),MATCH(AV$17,$AK$17:$BB$17,0))*INDEX($10:$13,MATCH($O798,$R$10:$R$13,0),COLUMN())</f>
        <v>1.550145868611701E-2</v>
      </c>
      <c r="AW798" s="1050" cm="1">
        <f t="array" aca="1" ref="AW798" ca="1">INDEX(OFFSET($AK$19,MATCH($B798,$B$19:$B$150,0)-1,0,COUNTA($B$19:$B$24),COUNTA($AK$17:$BB$17)),MATCH($F798,$F$19:$F$24,0),MATCH(AW$17,$AK$17:$BB$17,0))*INDEX($10:$13,MATCH($O798,$R$10:$R$13,0),COLUMN())</f>
        <v>1.3279661204000002</v>
      </c>
      <c r="AX798" s="1050" cm="1">
        <f t="array" aca="1" ref="AX798" ca="1">INDEX(OFFSET($AK$19,MATCH($B798,$B$19:$B$150,0)-1,0,COUNTA($B$19:$B$24),COUNTA($AK$17:$BB$17)),MATCH($F798,$F$19:$F$24,0),MATCH(AX$17,$AK$17:$BB$17,0))*INDEX($10:$13,MATCH($O798,$R$10:$R$13,0),COLUMN())</f>
        <v>5.9919620689999999E-6</v>
      </c>
      <c r="AY798" s="1050" cm="1">
        <f t="array" aca="1" ref="AY798" ca="1">INDEX(OFFSET($AK$19,MATCH($B798,$B$19:$B$150,0)-1,0,COUNTA($B$19:$B$24),COUNTA($AK$17:$BB$17)),MATCH($F798,$F$19:$F$24,0),MATCH(AY$17,$AK$17:$BB$17,0))*INDEX($10:$13,MATCH($O798,$R$10:$R$13,0),COLUMN())</f>
        <v>-3.0766328800000004E-9</v>
      </c>
      <c r="AZ798" s="1050" cm="1">
        <f t="array" aca="1" ref="AZ798" ca="1">INDEX(OFFSET($AK$19,MATCH($B798,$B$19:$B$150,0)-1,0,COUNTA($B$19:$B$24),COUNTA($AK$17:$BB$17)),MATCH($F798,$F$19:$F$24,0),MATCH(AZ$17,$AK$17:$BB$17,0))*INDEX($10:$13,MATCH($O798,$R$10:$R$13,0),COLUMN())</f>
        <v>6.6657295573770478E-5</v>
      </c>
      <c r="BA798" s="1050" cm="1">
        <f t="array" aca="1" ref="BA798" ca="1">INDEX(OFFSET($AK$19,MATCH($B798,$B$19:$B$150,0)-1,0,COUNTA($B$19:$B$24),COUNTA($AK$17:$BB$17)),MATCH($F798,$F$19:$F$24,0),MATCH(BA$17,$AK$17:$BB$17,0))*INDEX($10:$13,MATCH($O798,$R$10:$R$13,0),COLUMN())</f>
        <v>0.36338531795000001</v>
      </c>
      <c r="BB798" s="1051" cm="1">
        <f t="array" aca="1" ref="BB798" ca="1">INDEX(OFFSET($AK$19,MATCH($B798,$B$19:$B$150,0)-1,0,COUNTA($B$19:$B$24),COUNTA($AK$17:$BB$17)),MATCH($F798,$F$19:$F$24,0),MATCH(BB$17,$AK$17:$BB$17,0))*INDEX($10:$13,MATCH($O798,$R$10:$R$13,0),COLUMN())</f>
        <v>9.5603891849999997E-2</v>
      </c>
      <c r="BC798" s="1053">
        <f t="shared" ca="1" si="203"/>
        <v>1.3279721092854362</v>
      </c>
      <c r="BE798" s="1"/>
      <c r="BF798" s="1"/>
      <c r="BG798" s="1"/>
      <c r="BH798" s="1"/>
      <c r="BI798" s="1"/>
      <c r="BJ798" s="1"/>
      <c r="BK798" s="1"/>
      <c r="BL798" s="1"/>
      <c r="BM798" s="1"/>
      <c r="BN798" s="1"/>
      <c r="BO798" s="1"/>
      <c r="BP798" s="1"/>
      <c r="BQ798" s="1"/>
      <c r="BR798" s="1"/>
      <c r="BS798" s="1"/>
      <c r="BT798" s="1"/>
      <c r="BU798" s="1"/>
      <c r="BV798" s="1"/>
      <c r="BW798" s="1"/>
      <c r="BX798" s="1"/>
      <c r="BY798" s="1"/>
      <c r="BZ798" s="1"/>
    </row>
    <row r="799" spans="2:78" ht="12" customHeight="1" outlineLevel="1" x14ac:dyDescent="0.25">
      <c r="B799" s="104" t="s">
        <v>2366</v>
      </c>
      <c r="C799" s="104" t="s">
        <v>123</v>
      </c>
      <c r="D799" s="2" t="s">
        <v>154</v>
      </c>
      <c r="E799" s="2" t="s">
        <v>155</v>
      </c>
      <c r="F799" s="105" t="s">
        <v>95</v>
      </c>
      <c r="G799" s="27" t="s">
        <v>1581</v>
      </c>
      <c r="H799" s="106" t="s">
        <v>128</v>
      </c>
      <c r="I799" s="107" t="s">
        <v>127</v>
      </c>
      <c r="J799" s="147">
        <v>2.15</v>
      </c>
      <c r="K799" s="148">
        <v>4.5</v>
      </c>
      <c r="L799" s="149">
        <f t="shared" ca="1" si="201"/>
        <v>5.0889199693058238</v>
      </c>
      <c r="M799" s="148">
        <f t="shared" ca="1" si="202"/>
        <v>27.400139861876205</v>
      </c>
      <c r="N799" s="163">
        <f t="shared" ca="1" si="204"/>
        <v>22.900139861876205</v>
      </c>
      <c r="O799" s="1061" t="s">
        <v>1586</v>
      </c>
      <c r="P799" s="104"/>
      <c r="R799" s="119"/>
      <c r="S799" s="1072"/>
      <c r="T799" s="1072"/>
      <c r="U799" s="1072"/>
      <c r="V799" s="1072"/>
      <c r="W799" s="1072"/>
      <c r="X799" s="1072"/>
      <c r="Y799" s="1072"/>
      <c r="Z799" s="1072"/>
      <c r="AA799" s="1072"/>
      <c r="AB799" s="1072"/>
      <c r="AC799" s="1072"/>
      <c r="AD799" s="1072"/>
      <c r="AE799" s="1072"/>
      <c r="AF799" s="1072"/>
      <c r="AG799" s="1072"/>
      <c r="AH799" s="1072"/>
      <c r="AI799" s="1072"/>
      <c r="AJ799" s="1073"/>
      <c r="AK799" s="1052" cm="1">
        <f t="array" aca="1" ref="AK799" ca="1">INDEX(OFFSET($AK$19,MATCH($B799,$B$19:$B$150,0)-1,0,COUNTA($B$19:$B$24),COUNTA($AK$17:$BB$17)),MATCH($F799,$F$19:$F$24,0),MATCH(AK$17,$AK$17:$BB$17,0))*INDEX($10:$13,MATCH($O799,$R$10:$R$13,0),COLUMN())</f>
        <v>2.2173636879999998</v>
      </c>
      <c r="AL799" s="1050" cm="1">
        <f t="array" aca="1" ref="AL799" ca="1">INDEX(OFFSET($AK$19,MATCH($B799,$B$19:$B$150,0)-1,0,COUNTA($B$19:$B$24),COUNTA($AK$17:$BB$17)),MATCH($F799,$F$19:$F$24,0),MATCH(AL$17,$AK$17:$BB$17,0))*INDEX($10:$13,MATCH($O799,$R$10:$R$13,0),COLUMN())</f>
        <v>7.9036623120000003E-7</v>
      </c>
      <c r="AM799" s="1050" cm="1">
        <f t="array" aca="1" ref="AM799" ca="1">INDEX(OFFSET($AK$19,MATCH($B799,$B$19:$B$150,0)-1,0,COUNTA($B$19:$B$24),COUNTA($AK$17:$BB$17)),MATCH($F799,$F$19:$F$24,0),MATCH(AM$17,$AK$17:$BB$17,0))*INDEX($10:$13,MATCH($O799,$R$10:$R$13,0),COLUMN())</f>
        <v>0</v>
      </c>
      <c r="AN799" s="1050" cm="1">
        <f t="array" aca="1" ref="AN799" ca="1">INDEX(OFFSET($AK$19,MATCH($B799,$B$19:$B$150,0)-1,0,COUNTA($B$19:$B$24),COUNTA($AK$17:$BB$17)),MATCH($F799,$F$19:$F$24,0),MATCH(AN$17,$AK$17:$BB$17,0))*INDEX($10:$13,MATCH($O799,$R$10:$R$13,0),COLUMN())</f>
        <v>4.581320760000001E-2</v>
      </c>
      <c r="AO799" s="1050" cm="1">
        <f t="array" aca="1" ref="AO799" ca="1">INDEX(OFFSET($AK$19,MATCH($B799,$B$19:$B$150,0)-1,0,COUNTA($B$19:$B$24),COUNTA($AK$17:$BB$17)),MATCH($F799,$F$19:$F$24,0),MATCH(AO$17,$AK$17:$BB$17,0))*INDEX($10:$13,MATCH($O799,$R$10:$R$13,0),COLUMN())</f>
        <v>2.3972955328767123</v>
      </c>
      <c r="AP799" s="1050" cm="1">
        <f t="array" aca="1" ref="AP799" ca="1">INDEX(OFFSET($AK$19,MATCH($B799,$B$19:$B$150,0)-1,0,COUNTA($B$19:$B$24),COUNTA($AK$17:$BB$17)),MATCH($F799,$F$19:$F$24,0),MATCH(AP$17,$AK$17:$BB$17,0))*INDEX($10:$13,MATCH($O799,$R$10:$R$13,0),COLUMN())</f>
        <v>1.8333801359999997</v>
      </c>
      <c r="AQ799" s="1050" cm="1">
        <f t="array" aca="1" ref="AQ799" ca="1">INDEX(OFFSET($AK$19,MATCH($B799,$B$19:$B$150,0)-1,0,COUNTA($B$19:$B$24),COUNTA($AK$17:$BB$17)),MATCH($F799,$F$19:$F$24,0),MATCH(AQ$17,$AK$17:$BB$17,0))*INDEX($10:$13,MATCH($O799,$R$10:$R$13,0),COLUMN())</f>
        <v>0.86934539519999998</v>
      </c>
      <c r="AR799" s="1050" cm="1">
        <f t="array" aca="1" ref="AR799" ca="1">INDEX(OFFSET($AK$19,MATCH($B799,$B$19:$B$150,0)-1,0,COUNTA($B$19:$B$24),COUNTA($AK$17:$BB$17)),MATCH($F799,$F$19:$F$24,0),MATCH(AR$17,$AK$17:$BB$17,0))*INDEX($10:$13,MATCH($O799,$R$10:$R$13,0),COLUMN())</f>
        <v>13.505641081999999</v>
      </c>
      <c r="AS799" s="1050" cm="1">
        <f t="array" aca="1" ref="AS799" ca="1">INDEX(OFFSET($AK$19,MATCH($B799,$B$19:$B$150,0)-1,0,COUNTA($B$19:$B$24),COUNTA($AK$17:$BB$17)),MATCH($F799,$F$19:$F$24,0),MATCH(AS$17,$AK$17:$BB$17,0))*INDEX($10:$13,MATCH($O799,$R$10:$R$13,0),COLUMN())</f>
        <v>2.1660514986999998E-2</v>
      </c>
      <c r="AT799" s="1050" cm="1">
        <f t="array" aca="1" ref="AT799" ca="1">INDEX(OFFSET($AK$19,MATCH($B799,$B$19:$B$150,0)-1,0,COUNTA($B$19:$B$24),COUNTA($AK$17:$BB$17)),MATCH($F799,$F$19:$F$24,0),MATCH(AT$17,$AK$17:$BB$17,0))*INDEX($10:$13,MATCH($O799,$R$10:$R$13,0),COLUMN())</f>
        <v>5.6882847600000002E-5</v>
      </c>
      <c r="AU799" s="1050" cm="1">
        <f t="array" aca="1" ref="AU799" ca="1">INDEX(OFFSET($AK$19,MATCH($B799,$B$19:$B$150,0)-1,0,COUNTA($B$19:$B$24),COUNTA($AK$17:$BB$17)),MATCH($F799,$F$19:$F$24,0),MATCH(AU$17,$AK$17:$BB$17,0))*INDEX($10:$13,MATCH($O799,$R$10:$R$13,0),COLUMN())</f>
        <v>1.2679949106000001E-5</v>
      </c>
      <c r="AV799" s="1050" cm="1">
        <f t="array" aca="1" ref="AV799" ca="1">INDEX(OFFSET($AK$19,MATCH($B799,$B$19:$B$150,0)-1,0,COUNTA($B$19:$B$24),COUNTA($AK$17:$BB$17)),MATCH($F799,$F$19:$F$24,0),MATCH(AV$17,$AK$17:$BB$17,0))*INDEX($10:$13,MATCH($O799,$R$10:$R$13,0),COLUMN())</f>
        <v>1.8611114734502911E-2</v>
      </c>
      <c r="AW799" s="1050" cm="1">
        <f t="array" aca="1" ref="AW799" ca="1">INDEX(OFFSET($AK$19,MATCH($B799,$B$19:$B$150,0)-1,0,COUNTA($B$19:$B$24),COUNTA($AK$17:$BB$17)),MATCH($F799,$F$19:$F$24,0),MATCH(AW$17,$AK$17:$BB$17,0))*INDEX($10:$13,MATCH($O799,$R$10:$R$13,0),COLUMN())</f>
        <v>1.5339005899</v>
      </c>
      <c r="AX799" s="1050" cm="1">
        <f t="array" aca="1" ref="AX799" ca="1">INDEX(OFFSET($AK$19,MATCH($B799,$B$19:$B$150,0)-1,0,COUNTA($B$19:$B$24),COUNTA($AK$17:$BB$17)),MATCH($F799,$F$19:$F$24,0),MATCH(AX$17,$AK$17:$BB$17,0))*INDEX($10:$13,MATCH($O799,$R$10:$R$13,0),COLUMN())</f>
        <v>5.915700037E-6</v>
      </c>
      <c r="AY799" s="1050" cm="1">
        <f t="array" aca="1" ref="AY799" ca="1">INDEX(OFFSET($AK$19,MATCH($B799,$B$19:$B$150,0)-1,0,COUNTA($B$19:$B$24),COUNTA($AK$17:$BB$17)),MATCH($F799,$F$19:$F$24,0),MATCH(AY$17,$AK$17:$BB$17,0))*INDEX($10:$13,MATCH($O799,$R$10:$R$13,0),COLUMN())</f>
        <v>-3.0461782160000001E-9</v>
      </c>
      <c r="AZ799" s="1050" cm="1">
        <f t="array" aca="1" ref="AZ799" ca="1">INDEX(OFFSET($AK$19,MATCH($B799,$B$19:$B$150,0)-1,0,COUNTA($B$19:$B$24),COUNTA($AK$17:$BB$17)),MATCH($F799,$F$19:$F$24,0),MATCH(AZ$17,$AK$17:$BB$17,0))*INDEX($10:$13,MATCH($O799,$R$10:$R$13,0),COLUMN())</f>
        <v>6.7254011194379384E-5</v>
      </c>
      <c r="BA799" s="1050" cm="1">
        <f t="array" aca="1" ref="BA799" ca="1">INDEX(OFFSET($AK$19,MATCH($B799,$B$19:$B$150,0)-1,0,COUNTA($B$19:$B$24),COUNTA($AK$17:$BB$17)),MATCH($F799,$F$19:$F$24,0),MATCH(BA$17,$AK$17:$BB$17,0))*INDEX($10:$13,MATCH($O799,$R$10:$R$13,0),COLUMN())</f>
        <v>0.36293998435999997</v>
      </c>
      <c r="BB799" s="1051" cm="1">
        <f t="array" aca="1" ref="BB799" ca="1">INDEX(OFFSET($AK$19,MATCH($B799,$B$19:$B$150,0)-1,0,COUNTA($B$19:$B$24),COUNTA($AK$17:$BB$17)),MATCH($F799,$F$19:$F$24,0),MATCH(BB$17,$AK$17:$BB$17,0))*INDEX($10:$13,MATCH($O799,$R$10:$R$13,0),COLUMN())</f>
        <v>9.4045096389999999E-2</v>
      </c>
      <c r="BC799" s="1053">
        <f t="shared" ca="1" si="203"/>
        <v>1.5339065025538587</v>
      </c>
      <c r="BE799" s="1"/>
      <c r="BF799" s="1"/>
      <c r="BG799" s="1"/>
      <c r="BH799" s="1"/>
      <c r="BI799" s="1"/>
      <c r="BJ799" s="1"/>
      <c r="BK799" s="1"/>
      <c r="BL799" s="1"/>
      <c r="BM799" s="1"/>
      <c r="BN799" s="1"/>
      <c r="BO799" s="1"/>
      <c r="BP799" s="1"/>
      <c r="BQ799" s="1"/>
      <c r="BR799" s="1"/>
      <c r="BS799" s="1"/>
      <c r="BT799" s="1"/>
      <c r="BU799" s="1"/>
      <c r="BV799" s="1"/>
      <c r="BW799" s="1"/>
      <c r="BX799" s="1"/>
      <c r="BY799" s="1"/>
      <c r="BZ799" s="1"/>
    </row>
    <row r="800" spans="2:78" ht="12" customHeight="1" outlineLevel="1" x14ac:dyDescent="0.25">
      <c r="B800" s="104" t="s">
        <v>2366</v>
      </c>
      <c r="C800" s="104" t="s">
        <v>123</v>
      </c>
      <c r="D800" s="2" t="s">
        <v>154</v>
      </c>
      <c r="E800" s="2" t="s">
        <v>155</v>
      </c>
      <c r="F800" s="105" t="s">
        <v>96</v>
      </c>
      <c r="G800" s="27" t="s">
        <v>1582</v>
      </c>
      <c r="H800" s="106" t="s">
        <v>128</v>
      </c>
      <c r="I800" s="107" t="s">
        <v>1577</v>
      </c>
      <c r="J800" s="147">
        <v>2.15</v>
      </c>
      <c r="K800" s="148">
        <v>4.5</v>
      </c>
      <c r="L800" s="149">
        <f t="shared" ca="1" si="201"/>
        <v>6.1736828784810172</v>
      </c>
      <c r="M800" s="148">
        <f t="shared" ca="1" si="202"/>
        <v>32.281572953164577</v>
      </c>
      <c r="N800" s="163">
        <f t="shared" ca="1" si="204"/>
        <v>27.781572953164577</v>
      </c>
      <c r="O800" s="1061" t="s">
        <v>1586</v>
      </c>
      <c r="P800" s="104"/>
      <c r="R800" s="119"/>
      <c r="S800" s="1072"/>
      <c r="T800" s="1072"/>
      <c r="U800" s="1072"/>
      <c r="V800" s="1072"/>
      <c r="W800" s="1072"/>
      <c r="X800" s="1072"/>
      <c r="Y800" s="1072"/>
      <c r="Z800" s="1072"/>
      <c r="AA800" s="1072"/>
      <c r="AB800" s="1072"/>
      <c r="AC800" s="1072"/>
      <c r="AD800" s="1072"/>
      <c r="AE800" s="1072"/>
      <c r="AF800" s="1072"/>
      <c r="AG800" s="1072"/>
      <c r="AH800" s="1072"/>
      <c r="AI800" s="1072"/>
      <c r="AJ800" s="1073"/>
      <c r="AK800" s="1052" cm="1">
        <f t="array" aca="1" ref="AK800" ca="1">INDEX(OFFSET($AK$19,MATCH($B800,$B$19:$B$150,0)-1,0,COUNTA($B$19:$B$24),COUNTA($AK$17:$BB$17)),MATCH($F800,$F$19:$F$24,0),MATCH(AK$17,$AK$17:$BB$17,0))*INDEX($10:$13,MATCH($O800,$R$10:$R$13,0),COLUMN())</f>
        <v>2.3612259120000001</v>
      </c>
      <c r="AL800" s="1050" cm="1">
        <f t="array" aca="1" ref="AL800" ca="1">INDEX(OFFSET($AK$19,MATCH($B800,$B$19:$B$150,0)-1,0,COUNTA($B$19:$B$24),COUNTA($AK$17:$BB$17)),MATCH($F800,$F$19:$F$24,0),MATCH(AL$17,$AK$17:$BB$17,0))*INDEX($10:$13,MATCH($O800,$R$10:$R$13,0),COLUMN())</f>
        <v>7.9106322359999995E-7</v>
      </c>
      <c r="AM800" s="1050" cm="1">
        <f t="array" aca="1" ref="AM800" ca="1">INDEX(OFFSET($AK$19,MATCH($B800,$B$19:$B$150,0)-1,0,COUNTA($B$19:$B$24),COUNTA($AK$17:$BB$17)),MATCH($F800,$F$19:$F$24,0),MATCH(AM$17,$AK$17:$BB$17,0))*INDEX($10:$13,MATCH($O800,$R$10:$R$13,0),COLUMN())</f>
        <v>0</v>
      </c>
      <c r="AN800" s="1050" cm="1">
        <f t="array" aca="1" ref="AN800" ca="1">INDEX(OFFSET($AK$19,MATCH($B800,$B$19:$B$150,0)-1,0,COUNTA($B$19:$B$24),COUNTA($AK$17:$BB$17)),MATCH($F800,$F$19:$F$24,0),MATCH(AN$17,$AK$17:$BB$17,0))*INDEX($10:$13,MATCH($O800,$R$10:$R$13,0),COLUMN())</f>
        <v>4.6064056500000006E-2</v>
      </c>
      <c r="AO800" s="1050" cm="1">
        <f t="array" aca="1" ref="AO800" ca="1">INDEX(OFFSET($AK$19,MATCH($B800,$B$19:$B$150,0)-1,0,COUNTA($B$19:$B$24),COUNTA($AK$17:$BB$17)),MATCH($F800,$F$19:$F$24,0),MATCH(AO$17,$AK$17:$BB$17,0))*INDEX($10:$13,MATCH($O800,$R$10:$R$13,0),COLUMN())</f>
        <v>2.8989009575342464</v>
      </c>
      <c r="AP800" s="1050" cm="1">
        <f t="array" aca="1" ref="AP800" ca="1">INDEX(OFFSET($AK$19,MATCH($B800,$B$19:$B$150,0)-1,0,COUNTA($B$19:$B$24),COUNTA($AK$17:$BB$17)),MATCH($F800,$F$19:$F$24,0),MATCH(AP$17,$AK$17:$BB$17,0))*INDEX($10:$13,MATCH($O800,$R$10:$R$13,0),COLUMN())</f>
        <v>2.2406883072000001</v>
      </c>
      <c r="AQ800" s="1050" cm="1">
        <f t="array" aca="1" ref="AQ800" ca="1">INDEX(OFFSET($AK$19,MATCH($B800,$B$19:$B$150,0)-1,0,COUNTA($B$19:$B$24),COUNTA($AK$17:$BB$17)),MATCH($F800,$F$19:$F$24,0),MATCH(AQ$17,$AK$17:$BB$17,0))*INDEX($10:$13,MATCH($O800,$R$10:$R$13,0),COLUMN())</f>
        <v>1.3575547424000001</v>
      </c>
      <c r="AR800" s="1050" cm="1">
        <f t="array" aca="1" ref="AR800" ca="1">INDEX(OFFSET($AK$19,MATCH($B800,$B$19:$B$150,0)-1,0,COUNTA($B$19:$B$24),COUNTA($AK$17:$BB$17)),MATCH($F800,$F$19:$F$24,0),MATCH(AR$17,$AK$17:$BB$17,0))*INDEX($10:$13,MATCH($O800,$R$10:$R$13,0),COLUMN())</f>
        <v>16.800187846</v>
      </c>
      <c r="AS800" s="1050" cm="1">
        <f t="array" aca="1" ref="AS800" ca="1">INDEX(OFFSET($AK$19,MATCH($B800,$B$19:$B$150,0)-1,0,COUNTA($B$19:$B$24),COUNTA($AK$17:$BB$17)),MATCH($F800,$F$19:$F$24,0),MATCH(AS$17,$AK$17:$BB$17,0))*INDEX($10:$13,MATCH($O800,$R$10:$R$13,0),COLUMN())</f>
        <v>4.2956241003000002E-2</v>
      </c>
      <c r="AT800" s="1050" cm="1">
        <f t="array" aca="1" ref="AT800" ca="1">INDEX(OFFSET($AK$19,MATCH($B800,$B$19:$B$150,0)-1,0,COUNTA($B$19:$B$24),COUNTA($AK$17:$BB$17)),MATCH($F800,$F$19:$F$24,0),MATCH(AT$17,$AK$17:$BB$17,0))*INDEX($10:$13,MATCH($O800,$R$10:$R$13,0),COLUMN())</f>
        <v>6.5719059560000011E-5</v>
      </c>
      <c r="AU800" s="1050" cm="1">
        <f t="array" aca="1" ref="AU800" ca="1">INDEX(OFFSET($AK$19,MATCH($B800,$B$19:$B$150,0)-1,0,COUNTA($B$19:$B$24),COUNTA($AK$17:$BB$17)),MATCH($F800,$F$19:$F$24,0),MATCH(AU$17,$AK$17:$BB$17,0))*INDEX($10:$13,MATCH($O800,$R$10:$R$13,0),COLUMN())</f>
        <v>1.3835543598E-5</v>
      </c>
      <c r="AV800" s="1050" cm="1">
        <f t="array" aca="1" ref="AV800" ca="1">INDEX(OFFSET($AK$19,MATCH($B800,$B$19:$B$150,0)-1,0,COUNTA($B$19:$B$24),COUNTA($AK$17:$BB$17)),MATCH($F800,$F$19:$F$24,0),MATCH(AV$17,$AK$17:$BB$17,0))*INDEX($10:$13,MATCH($O800,$R$10:$R$13,0),COLUMN())</f>
        <v>4.1450822210792423E-2</v>
      </c>
      <c r="AW800" s="1050" cm="1">
        <f t="array" aca="1" ref="AW800" ca="1">INDEX(OFFSET($AK$19,MATCH($B800,$B$19:$B$150,0)-1,0,COUNTA($B$19:$B$24),COUNTA($AK$17:$BB$17)),MATCH($F800,$F$19:$F$24,0),MATCH(AW$17,$AK$17:$BB$17,0))*INDEX($10:$13,MATCH($O800,$R$10:$R$13,0),COLUMN())</f>
        <v>1.5339005899</v>
      </c>
      <c r="AX800" s="1050" cm="1">
        <f t="array" aca="1" ref="AX800" ca="1">INDEX(OFFSET($AK$19,MATCH($B800,$B$19:$B$150,0)-1,0,COUNTA($B$19:$B$24),COUNTA($AK$17:$BB$17)),MATCH($F800,$F$19:$F$24,0),MATCH(AX$17,$AK$17:$BB$17,0))*INDEX($10:$13,MATCH($O800,$R$10:$R$13,0),COLUMN())</f>
        <v>5.915700037E-6</v>
      </c>
      <c r="AY800" s="1050" cm="1">
        <f t="array" aca="1" ref="AY800" ca="1">INDEX(OFFSET($AK$19,MATCH($B800,$B$19:$B$150,0)-1,0,COUNTA($B$19:$B$24),COUNTA($AK$17:$BB$17)),MATCH($F800,$F$19:$F$24,0),MATCH(AY$17,$AK$17:$BB$17,0))*INDEX($10:$13,MATCH($O800,$R$10:$R$13,0),COLUMN())</f>
        <v>-3.0461782160000001E-9</v>
      </c>
      <c r="AZ800" s="1050" cm="1">
        <f t="array" aca="1" ref="AZ800" ca="1">INDEX(OFFSET($AK$19,MATCH($B800,$B$19:$B$150,0)-1,0,COUNTA($B$19:$B$24),COUNTA($AK$17:$BB$17)),MATCH($F800,$F$19:$F$24,0),MATCH(AZ$17,$AK$17:$BB$17,0))*INDEX($10:$13,MATCH($O800,$R$10:$R$13,0),COLUMN())</f>
        <v>6.72672762997658E-5</v>
      </c>
      <c r="BA800" s="1050" cm="1">
        <f t="array" aca="1" ref="BA800" ca="1">INDEX(OFFSET($AK$19,MATCH($B800,$B$19:$B$150,0)-1,0,COUNTA($B$19:$B$24),COUNTA($AK$17:$BB$17)),MATCH($F800,$F$19:$F$24,0),MATCH(BA$17,$AK$17:$BB$17,0))*INDEX($10:$13,MATCH($O800,$R$10:$R$13,0),COLUMN())</f>
        <v>0.36444362707</v>
      </c>
      <c r="BB800" s="1051" cm="1">
        <f t="array" aca="1" ref="BB800" ca="1">INDEX(OFFSET($AK$19,MATCH($B800,$B$19:$B$150,0)-1,0,COUNTA($B$19:$B$24),COUNTA($AK$17:$BB$17)),MATCH($F800,$F$19:$F$24,0),MATCH(BB$17,$AK$17:$BB$17,0))*INDEX($10:$13,MATCH($O800,$R$10:$R$13,0),COLUMN())</f>
        <v>9.4046325750000007E-2</v>
      </c>
      <c r="BC800" s="1053">
        <f t="shared" ca="1" si="203"/>
        <v>1.5339065025538587</v>
      </c>
      <c r="BE800" s="1"/>
      <c r="BF800" s="1"/>
      <c r="BG800" s="1"/>
      <c r="BH800" s="1"/>
      <c r="BI800" s="1"/>
      <c r="BJ800" s="1"/>
      <c r="BK800" s="1"/>
      <c r="BL800" s="1"/>
      <c r="BM800" s="1"/>
      <c r="BN800" s="1"/>
      <c r="BO800" s="1"/>
      <c r="BP800" s="1"/>
      <c r="BQ800" s="1"/>
      <c r="BR800" s="1"/>
      <c r="BS800" s="1"/>
      <c r="BT800" s="1"/>
      <c r="BU800" s="1"/>
      <c r="BV800" s="1"/>
      <c r="BW800" s="1"/>
      <c r="BX800" s="1"/>
      <c r="BY800" s="1"/>
      <c r="BZ800" s="1"/>
    </row>
    <row r="801" spans="2:78" ht="12" customHeight="1" outlineLevel="1" x14ac:dyDescent="0.25">
      <c r="B801" s="88" t="s">
        <v>115</v>
      </c>
      <c r="C801" s="88" t="s">
        <v>124</v>
      </c>
      <c r="D801" s="89" t="s">
        <v>154</v>
      </c>
      <c r="E801" s="89" t="s">
        <v>115</v>
      </c>
      <c r="F801" s="90" t="s">
        <v>92</v>
      </c>
      <c r="G801" s="18" t="s">
        <v>126</v>
      </c>
      <c r="H801" s="91" t="s">
        <v>127</v>
      </c>
      <c r="I801" s="92" t="s">
        <v>127</v>
      </c>
      <c r="J801" s="142">
        <v>0.64</v>
      </c>
      <c r="K801" s="143">
        <v>0.35299999999999998</v>
      </c>
      <c r="L801" s="151">
        <f t="shared" ca="1" si="201"/>
        <v>4.2502576473328952</v>
      </c>
      <c r="M801" s="143">
        <f t="shared" ca="1" si="202"/>
        <v>1.853340949508512</v>
      </c>
      <c r="N801" s="162">
        <f t="shared" ca="1" si="204"/>
        <v>1.500340949508512</v>
      </c>
      <c r="O801" s="1060" t="s">
        <v>1586</v>
      </c>
      <c r="P801" s="88"/>
      <c r="Q801" s="89"/>
      <c r="R801" s="150"/>
      <c r="S801" s="1070"/>
      <c r="T801" s="1070"/>
      <c r="U801" s="1070"/>
      <c r="V801" s="1070"/>
      <c r="W801" s="1070"/>
      <c r="X801" s="1070"/>
      <c r="Y801" s="1070"/>
      <c r="Z801" s="1070"/>
      <c r="AA801" s="1070"/>
      <c r="AB801" s="1070"/>
      <c r="AC801" s="1070"/>
      <c r="AD801" s="1070"/>
      <c r="AE801" s="1070"/>
      <c r="AF801" s="1070"/>
      <c r="AG801" s="1070"/>
      <c r="AH801" s="1070"/>
      <c r="AI801" s="1070"/>
      <c r="AJ801" s="1071"/>
      <c r="AK801" s="1048" cm="1">
        <f t="array" aca="1" ref="AK801" ca="1">INDEX(OFFSET($AK$19,MATCH($B801,$B$19:$B$150,0)-1,0,COUNTA($B$19:$B$24),COUNTA($AK$17:$BB$17)),MATCH($F801,$F$19:$F$24,0),MATCH(AK$17,$AK$17:$BB$17,0))*INDEX($10:$13,MATCH($O801,$R$10:$R$13,0),COLUMN())</f>
        <v>0.2126940712</v>
      </c>
      <c r="AL801" s="1046" cm="1">
        <f t="array" aca="1" ref="AL801" ca="1">INDEX(OFFSET($AK$19,MATCH($B801,$B$19:$B$150,0)-1,0,COUNTA($B$19:$B$24),COUNTA($AK$17:$BB$17)),MATCH($F801,$F$19:$F$24,0),MATCH(AL$17,$AK$17:$BB$17,0))*INDEX($10:$13,MATCH($O801,$R$10:$R$13,0),COLUMN())</f>
        <v>1.6359848352E-7</v>
      </c>
      <c r="AM801" s="1046" cm="1">
        <f t="array" aca="1" ref="AM801" ca="1">INDEX(OFFSET($AK$19,MATCH($B801,$B$19:$B$150,0)-1,0,COUNTA($B$19:$B$24),COUNTA($AK$17:$BB$17)),MATCH($F801,$F$19:$F$24,0),MATCH(AM$17,$AK$17:$BB$17,0))*INDEX($10:$13,MATCH($O801,$R$10:$R$13,0),COLUMN())</f>
        <v>0</v>
      </c>
      <c r="AN801" s="1046" cm="1">
        <f t="array" aca="1" ref="AN801" ca="1">INDEX(OFFSET($AK$19,MATCH($B801,$B$19:$B$150,0)-1,0,COUNTA($B$19:$B$24),COUNTA($AK$17:$BB$17)),MATCH($F801,$F$19:$F$24,0),MATCH(AN$17,$AK$17:$BB$17,0))*INDEX($10:$13,MATCH($O801,$R$10:$R$13,0),COLUMN())</f>
        <v>2.7566443740000002E-3</v>
      </c>
      <c r="AO801" s="1046" cm="1">
        <f t="array" aca="1" ref="AO801" ca="1">INDEX(OFFSET($AK$19,MATCH($B801,$B$19:$B$150,0)-1,0,COUNTA($B$19:$B$24),COUNTA($AK$17:$BB$17)),MATCH($F801,$F$19:$F$24,0),MATCH(AO$17,$AK$17:$BB$17,0))*INDEX($10:$13,MATCH($O801,$R$10:$R$13,0),COLUMN())</f>
        <v>0.15413732580821918</v>
      </c>
      <c r="AP801" s="1046" cm="1">
        <f t="array" aca="1" ref="AP801" ca="1">INDEX(OFFSET($AK$19,MATCH($B801,$B$19:$B$150,0)-1,0,COUNTA($B$19:$B$24),COUNTA($AK$17:$BB$17)),MATCH($F801,$F$19:$F$24,0),MATCH(AP$17,$AK$17:$BB$17,0))*INDEX($10:$13,MATCH($O801,$R$10:$R$13,0),COLUMN())</f>
        <v>0.11991203951999999</v>
      </c>
      <c r="AQ801" s="1046" cm="1">
        <f t="array" aca="1" ref="AQ801" ca="1">INDEX(OFFSET($AK$19,MATCH($B801,$B$19:$B$150,0)-1,0,COUNTA($B$19:$B$24),COUNTA($AK$17:$BB$17)),MATCH($F801,$F$19:$F$24,0),MATCH(AQ$17,$AK$17:$BB$17,0))*INDEX($10:$13,MATCH($O801,$R$10:$R$13,0),COLUMN())</f>
        <v>6.068003248E-2</v>
      </c>
      <c r="AR801" s="1046" cm="1">
        <f t="array" aca="1" ref="AR801" ca="1">INDEX(OFFSET($AK$19,MATCH($B801,$B$19:$B$150,0)-1,0,COUNTA($B$19:$B$24),COUNTA($AK$17:$BB$17)),MATCH($F801,$F$19:$F$24,0),MATCH(AR$17,$AK$17:$BB$17,0))*INDEX($10:$13,MATCH($O801,$R$10:$R$13,0),COLUMN())</f>
        <v>0.77848213319999993</v>
      </c>
      <c r="AS801" s="1046" cm="1">
        <f t="array" aca="1" ref="AS801" ca="1">INDEX(OFFSET($AK$19,MATCH($B801,$B$19:$B$150,0)-1,0,COUNTA($B$19:$B$24),COUNTA($AK$17:$BB$17)),MATCH($F801,$F$19:$F$24,0),MATCH(AS$17,$AK$17:$BB$17,0))*INDEX($10:$13,MATCH($O801,$R$10:$R$13,0),COLUMN())</f>
        <v>2.1736871069999997E-2</v>
      </c>
      <c r="AT801" s="1046" cm="1">
        <f t="array" aca="1" ref="AT801" ca="1">INDEX(OFFSET($AK$19,MATCH($B801,$B$19:$B$150,0)-1,0,COUNTA($B$19:$B$24),COUNTA($AK$17:$BB$17)),MATCH($F801,$F$19:$F$24,0),MATCH(AT$17,$AK$17:$BB$17,0))*INDEX($10:$13,MATCH($O801,$R$10:$R$13,0),COLUMN())</f>
        <v>2.6378412574000002E-5</v>
      </c>
      <c r="AU801" s="1046" cm="1">
        <f t="array" aca="1" ref="AU801" ca="1">INDEX(OFFSET($AK$19,MATCH($B801,$B$19:$B$150,0)-1,0,COUNTA($B$19:$B$24),COUNTA($AK$17:$BB$17)),MATCH($F801,$F$19:$F$24,0),MATCH(AU$17,$AK$17:$BB$17,0))*INDEX($10:$13,MATCH($O801,$R$10:$R$13,0),COLUMN())</f>
        <v>1.7831482775999998E-6</v>
      </c>
      <c r="AV801" s="1046" cm="1">
        <f t="array" aca="1" ref="AV801" ca="1">INDEX(OFFSET($AK$19,MATCH($B801,$B$19:$B$150,0)-1,0,COUNTA($B$19:$B$24),COUNTA($AK$17:$BB$17)),MATCH($F801,$F$19:$F$24,0),MATCH(AV$17,$AK$17:$BB$17,0))*INDEX($10:$13,MATCH($O801,$R$10:$R$13,0),COLUMN())</f>
        <v>1.6992740183060047E-3</v>
      </c>
      <c r="AW801" s="1046" cm="1">
        <f t="array" aca="1" ref="AW801" ca="1">INDEX(OFFSET($AK$19,MATCH($B801,$B$19:$B$150,0)-1,0,COUNTA($B$19:$B$24),COUNTA($AK$17:$BB$17)),MATCH($F801,$F$19:$F$24,0),MATCH(AW$17,$AK$17:$BB$17,0))*INDEX($10:$13,MATCH($O801,$R$10:$R$13,0),COLUMN())</f>
        <v>0.10306500009000001</v>
      </c>
      <c r="AX801" s="1046" cm="1">
        <f t="array" aca="1" ref="AX801" ca="1">INDEX(OFFSET($AK$19,MATCH($B801,$B$19:$B$150,0)-1,0,COUNTA($B$19:$B$24),COUNTA($AK$17:$BB$17)),MATCH($F801,$F$19:$F$24,0),MATCH(AX$17,$AK$17:$BB$17,0))*INDEX($10:$13,MATCH($O801,$R$10:$R$13,0),COLUMN())</f>
        <v>1.1430837508E-6</v>
      </c>
      <c r="AY801" s="1046" cm="1">
        <f t="array" aca="1" ref="AY801" ca="1">INDEX(OFFSET($AK$19,MATCH($B801,$B$19:$B$150,0)-1,0,COUNTA($B$19:$B$24),COUNTA($AK$17:$BB$17)),MATCH($F801,$F$19:$F$24,0),MATCH(AY$17,$AK$17:$BB$17,0))*INDEX($10:$13,MATCH($O801,$R$10:$R$13,0),COLUMN())</f>
        <v>6.3567291759999999E-5</v>
      </c>
      <c r="AZ801" s="1046" cm="1">
        <f t="array" aca="1" ref="AZ801" ca="1">INDEX(OFFSET($AK$19,MATCH($B801,$B$19:$B$150,0)-1,0,COUNTA($B$19:$B$24),COUNTA($AK$17:$BB$17)),MATCH($F801,$F$19:$F$24,0),MATCH(AZ$17,$AK$17:$BB$17,0))*INDEX($10:$13,MATCH($O801,$R$10:$R$13,0),COLUMN())</f>
        <v>2.916369140983606E-6</v>
      </c>
      <c r="BA801" s="1046" cm="1">
        <f t="array" aca="1" ref="BA801" ca="1">INDEX(OFFSET($AK$19,MATCH($B801,$B$19:$B$150,0)-1,0,COUNTA($B$19:$B$24),COUNTA($AK$17:$BB$17)),MATCH($F801,$F$19:$F$24,0),MATCH(BA$17,$AK$17:$BB$17,0))*INDEX($10:$13,MATCH($O801,$R$10:$R$13,0),COLUMN())</f>
        <v>3.3514829637999996E-2</v>
      </c>
      <c r="BB801" s="1047" cm="1">
        <f t="array" aca="1" ref="BB801" ca="1">INDEX(OFFSET($AK$19,MATCH($B801,$B$19:$B$150,0)-1,0,COUNTA($B$19:$B$24),COUNTA($AK$17:$BB$17)),MATCH($F801,$F$19:$F$24,0),MATCH(BB$17,$AK$17:$BB$17,0))*INDEX($10:$13,MATCH($O801,$R$10:$R$13,0),COLUMN())</f>
        <v>1.1566776206000001E-2</v>
      </c>
      <c r="BC801" s="1049">
        <f t="shared" ca="1" si="203"/>
        <v>0.10312971046551081</v>
      </c>
      <c r="BE801" s="1"/>
      <c r="BF801" s="1"/>
      <c r="BG801" s="1"/>
      <c r="BH801" s="1"/>
      <c r="BI801" s="1"/>
      <c r="BJ801" s="1"/>
      <c r="BK801" s="1"/>
      <c r="BL801" s="1"/>
      <c r="BM801" s="1"/>
      <c r="BN801" s="1"/>
      <c r="BO801" s="1"/>
      <c r="BP801" s="1"/>
      <c r="BQ801" s="1"/>
      <c r="BR801" s="1"/>
      <c r="BS801" s="1"/>
      <c r="BT801" s="1"/>
      <c r="BU801" s="1"/>
      <c r="BV801" s="1"/>
      <c r="BW801" s="1"/>
      <c r="BX801" s="1"/>
      <c r="BY801" s="1"/>
      <c r="BZ801" s="1"/>
    </row>
    <row r="802" spans="2:78" ht="12" customHeight="1" outlineLevel="1" x14ac:dyDescent="0.25">
      <c r="B802" s="104" t="s">
        <v>115</v>
      </c>
      <c r="C802" s="104" t="s">
        <v>124</v>
      </c>
      <c r="D802" s="2" t="s">
        <v>154</v>
      </c>
      <c r="E802" s="2" t="s">
        <v>115</v>
      </c>
      <c r="F802" s="105" t="s">
        <v>122</v>
      </c>
      <c r="G802" s="27" t="s">
        <v>1579</v>
      </c>
      <c r="H802" s="106" t="s">
        <v>128</v>
      </c>
      <c r="I802" s="107" t="s">
        <v>129</v>
      </c>
      <c r="J802" s="147">
        <v>0.64</v>
      </c>
      <c r="K802" s="148">
        <v>0.4819</v>
      </c>
      <c r="L802" s="149">
        <f t="shared" ca="1" si="201"/>
        <v>2.9614079896157781</v>
      </c>
      <c r="M802" s="148">
        <f t="shared" ca="1" si="202"/>
        <v>1.9090025101958434</v>
      </c>
      <c r="N802" s="163">
        <f t="shared" ca="1" si="204"/>
        <v>1.4271025101958434</v>
      </c>
      <c r="O802" s="1061" t="s">
        <v>1586</v>
      </c>
      <c r="P802" s="104"/>
      <c r="R802" s="119"/>
      <c r="S802" s="1072"/>
      <c r="T802" s="1072"/>
      <c r="U802" s="1072"/>
      <c r="V802" s="1072"/>
      <c r="W802" s="1072"/>
      <c r="X802" s="1072"/>
      <c r="Y802" s="1072"/>
      <c r="Z802" s="1072"/>
      <c r="AA802" s="1072"/>
      <c r="AB802" s="1072"/>
      <c r="AC802" s="1072"/>
      <c r="AD802" s="1072"/>
      <c r="AE802" s="1072"/>
      <c r="AF802" s="1072"/>
      <c r="AG802" s="1072"/>
      <c r="AH802" s="1072"/>
      <c r="AI802" s="1072"/>
      <c r="AJ802" s="1073"/>
      <c r="AK802" s="1052" cm="1">
        <f t="array" aca="1" ref="AK802" ca="1">INDEX(OFFSET($AK$19,MATCH($B802,$B$19:$B$150,0)-1,0,COUNTA($B$19:$B$24),COUNTA($AK$17:$BB$17)),MATCH($F802,$F$19:$F$24,0),MATCH(AK$17,$AK$17:$BB$17,0))*INDEX($10:$13,MATCH($O802,$R$10:$R$13,0),COLUMN())</f>
        <v>0.1794055088</v>
      </c>
      <c r="AL802" s="1050" cm="1">
        <f t="array" aca="1" ref="AL802" ca="1">INDEX(OFFSET($AK$19,MATCH($B802,$B$19:$B$150,0)-1,0,COUNTA($B$19:$B$24),COUNTA($AK$17:$BB$17)),MATCH($F802,$F$19:$F$24,0),MATCH(AL$17,$AK$17:$BB$17,0))*INDEX($10:$13,MATCH($O802,$R$10:$R$13,0),COLUMN())</f>
        <v>1.8842397077999999E-7</v>
      </c>
      <c r="AM802" s="1050" cm="1">
        <f t="array" aca="1" ref="AM802" ca="1">INDEX(OFFSET($AK$19,MATCH($B802,$B$19:$B$150,0)-1,0,COUNTA($B$19:$B$24),COUNTA($AK$17:$BB$17)),MATCH($F802,$F$19:$F$24,0),MATCH(AM$17,$AK$17:$BB$17,0))*INDEX($10:$13,MATCH($O802,$R$10:$R$13,0),COLUMN())</f>
        <v>0</v>
      </c>
      <c r="AN802" s="1050" cm="1">
        <f t="array" aca="1" ref="AN802" ca="1">INDEX(OFFSET($AK$19,MATCH($B802,$B$19:$B$150,0)-1,0,COUNTA($B$19:$B$24),COUNTA($AK$17:$BB$17)),MATCH($F802,$F$19:$F$24,0),MATCH(AN$17,$AK$17:$BB$17,0))*INDEX($10:$13,MATCH($O802,$R$10:$R$13,0),COLUMN())</f>
        <v>2.7154243020000002E-3</v>
      </c>
      <c r="AO802" s="1050" cm="1">
        <f t="array" aca="1" ref="AO802" ca="1">INDEX(OFFSET($AK$19,MATCH($B802,$B$19:$B$150,0)-1,0,COUNTA($B$19:$B$24),COUNTA($AK$17:$BB$17)),MATCH($F802,$F$19:$F$24,0),MATCH(AO$17,$AK$17:$BB$17,0))*INDEX($10:$13,MATCH($O802,$R$10:$R$13,0),COLUMN())</f>
        <v>0.15968605656164381</v>
      </c>
      <c r="AP802" s="1050" cm="1">
        <f t="array" aca="1" ref="AP802" ca="1">INDEX(OFFSET($AK$19,MATCH($B802,$B$19:$B$150,0)-1,0,COUNTA($B$19:$B$24),COUNTA($AK$17:$BB$17)),MATCH($F802,$F$19:$F$24,0),MATCH(AP$17,$AK$17:$BB$17,0))*INDEX($10:$13,MATCH($O802,$R$10:$R$13,0),COLUMN())</f>
        <v>0.12493680527999999</v>
      </c>
      <c r="AQ802" s="1050" cm="1">
        <f t="array" aca="1" ref="AQ802" ca="1">INDEX(OFFSET($AK$19,MATCH($B802,$B$19:$B$150,0)-1,0,COUNTA($B$19:$B$24),COUNTA($AK$17:$BB$17)),MATCH($F802,$F$19:$F$24,0),MATCH(AQ$17,$AK$17:$BB$17,0))*INDEX($10:$13,MATCH($O802,$R$10:$R$13,0),COLUMN())</f>
        <v>5.1723207519999995E-2</v>
      </c>
      <c r="AR802" s="1050" cm="1">
        <f t="array" aca="1" ref="AR802" ca="1">INDEX(OFFSET($AK$19,MATCH($B802,$B$19:$B$150,0)-1,0,COUNTA($B$19:$B$24),COUNTA($AK$17:$BB$17)),MATCH($F802,$F$19:$F$24,0),MATCH(AR$17,$AK$17:$BB$17,0))*INDEX($10:$13,MATCH($O802,$R$10:$R$13,0),COLUMN())</f>
        <v>0.68768902200000004</v>
      </c>
      <c r="AS802" s="1050" cm="1">
        <f t="array" aca="1" ref="AS802" ca="1">INDEX(OFFSET($AK$19,MATCH($B802,$B$19:$B$150,0)-1,0,COUNTA($B$19:$B$24),COUNTA($AK$17:$BB$17)),MATCH($F802,$F$19:$F$24,0),MATCH(AS$17,$AK$17:$BB$17,0))*INDEX($10:$13,MATCH($O802,$R$10:$R$13,0),COLUMN())</f>
        <v>1.4121760535E-3</v>
      </c>
      <c r="AT802" s="1050" cm="1">
        <f t="array" aca="1" ref="AT802" ca="1">INDEX(OFFSET($AK$19,MATCH($B802,$B$19:$B$150,0)-1,0,COUNTA($B$19:$B$24),COUNTA($AK$17:$BB$17)),MATCH($F802,$F$19:$F$24,0),MATCH(AT$17,$AK$17:$BB$17,0))*INDEX($10:$13,MATCH($O802,$R$10:$R$13,0),COLUMN())</f>
        <v>3.3332374199999999E-6</v>
      </c>
      <c r="AU802" s="1050" cm="1">
        <f t="array" aca="1" ref="AU802" ca="1">INDEX(OFFSET($AK$19,MATCH($B802,$B$19:$B$150,0)-1,0,COUNTA($B$19:$B$24),COUNTA($AK$17:$BB$17)),MATCH($F802,$F$19:$F$24,0),MATCH(AU$17,$AK$17:$BB$17,0))*INDEX($10:$13,MATCH($O802,$R$10:$R$13,0),COLUMN())</f>
        <v>6.8037881879999997E-7</v>
      </c>
      <c r="AV802" s="1050" cm="1">
        <f t="array" aca="1" ref="AV802" ca="1">INDEX(OFFSET($AK$19,MATCH($B802,$B$19:$B$150,0)-1,0,COUNTA($B$19:$B$24),COUNTA($AK$17:$BB$17)),MATCH($F802,$F$19:$F$24,0),MATCH(AV$17,$AK$17:$BB$17,0))*INDEX($10:$13,MATCH($O802,$R$10:$R$13,0),COLUMN())</f>
        <v>1.1835367660859035E-3</v>
      </c>
      <c r="AW802" s="1050" cm="1">
        <f t="array" aca="1" ref="AW802" ca="1">INDEX(OFFSET($AK$19,MATCH($B802,$B$19:$B$150,0)-1,0,COUNTA($B$19:$B$24),COUNTA($AK$17:$BB$17)),MATCH($F802,$F$19:$F$24,0),MATCH(AW$17,$AK$17:$BB$17,0))*INDEX($10:$13,MATCH($O802,$R$10:$R$13,0),COLUMN())</f>
        <v>0.17896952633000002</v>
      </c>
      <c r="AX802" s="1050" cm="1">
        <f t="array" aca="1" ref="AX802" ca="1">INDEX(OFFSET($AK$19,MATCH($B802,$B$19:$B$150,0)-1,0,COUNTA($B$19:$B$24),COUNTA($AK$17:$BB$17)),MATCH($F802,$F$19:$F$24,0),MATCH(AX$17,$AK$17:$BB$17,0))*INDEX($10:$13,MATCH($O802,$R$10:$R$13,0),COLUMN())</f>
        <v>7.6451618750000006E-7</v>
      </c>
      <c r="AY802" s="1050" cm="1">
        <f t="array" aca="1" ref="AY802" ca="1">INDEX(OFFSET($AK$19,MATCH($B802,$B$19:$B$150,0)-1,0,COUNTA($B$19:$B$24),COUNTA($AK$17:$BB$17)),MATCH($F802,$F$19:$F$24,0),MATCH(AY$17,$AK$17:$BB$17,0))*INDEX($10:$13,MATCH($O802,$R$10:$R$13,0),COLUMN())</f>
        <v>-3.3035369410000001E-10</v>
      </c>
      <c r="AZ802" s="1050" cm="1">
        <f t="array" aca="1" ref="AZ802" ca="1">INDEX(OFFSET($AK$19,MATCH($B802,$B$19:$B$150,0)-1,0,COUNTA($B$19:$B$24),COUNTA($AK$17:$BB$17)),MATCH($F802,$F$19:$F$24,0),MATCH(AZ$17,$AK$17:$BB$17,0))*INDEX($10:$13,MATCH($O802,$R$10:$R$13,0),COLUMN())</f>
        <v>3.7563955702576106E-6</v>
      </c>
      <c r="BA802" s="1050" cm="1">
        <f t="array" aca="1" ref="BA802" ca="1">INDEX(OFFSET($AK$19,MATCH($B802,$B$19:$B$150,0)-1,0,COUNTA($B$19:$B$24),COUNTA($AK$17:$BB$17)),MATCH($F802,$F$19:$F$24,0),MATCH(BA$17,$AK$17:$BB$17,0))*INDEX($10:$13,MATCH($O802,$R$10:$R$13,0),COLUMN())</f>
        <v>2.8150308534000003E-2</v>
      </c>
      <c r="BB802" s="1051" cm="1">
        <f t="array" aca="1" ref="BB802" ca="1">INDEX(OFFSET($AK$19,MATCH($B802,$B$19:$B$150,0)-1,0,COUNTA($B$19:$B$24),COUNTA($AK$17:$BB$17)),MATCH($F802,$F$19:$F$24,0),MATCH(BB$17,$AK$17:$BB$17,0))*INDEX($10:$13,MATCH($O802,$R$10:$R$13,0),COLUMN())</f>
        <v>1.1222215427000002E-2</v>
      </c>
      <c r="BC802" s="1053">
        <f t="shared" ca="1" si="203"/>
        <v>0.17897029051583382</v>
      </c>
      <c r="BE802" s="1"/>
      <c r="BF802" s="1"/>
      <c r="BG802" s="1"/>
      <c r="BH802" s="1"/>
      <c r="BI802" s="1"/>
      <c r="BJ802" s="1"/>
      <c r="BK802" s="1"/>
      <c r="BL802" s="1"/>
      <c r="BM802" s="1"/>
      <c r="BN802" s="1"/>
      <c r="BO802" s="1"/>
      <c r="BP802" s="1"/>
      <c r="BQ802" s="1"/>
      <c r="BR802" s="1"/>
      <c r="BS802" s="1"/>
      <c r="BT802" s="1"/>
      <c r="BU802" s="1"/>
      <c r="BV802" s="1"/>
      <c r="BW802" s="1"/>
      <c r="BX802" s="1"/>
      <c r="BY802" s="1"/>
      <c r="BZ802" s="1"/>
    </row>
    <row r="803" spans="2:78" ht="12" customHeight="1" outlineLevel="1" x14ac:dyDescent="0.25">
      <c r="B803" s="104" t="s">
        <v>115</v>
      </c>
      <c r="C803" s="104" t="s">
        <v>124</v>
      </c>
      <c r="D803" s="2" t="s">
        <v>154</v>
      </c>
      <c r="E803" s="2" t="s">
        <v>115</v>
      </c>
      <c r="F803" s="105" t="s">
        <v>93</v>
      </c>
      <c r="G803" s="27" t="s">
        <v>1578</v>
      </c>
      <c r="H803" s="106" t="s">
        <v>130</v>
      </c>
      <c r="I803" s="107" t="s">
        <v>129</v>
      </c>
      <c r="J803" s="147">
        <v>0.64</v>
      </c>
      <c r="K803" s="148">
        <v>0.4819</v>
      </c>
      <c r="L803" s="149">
        <f t="shared" ca="1" si="201"/>
        <v>3.4959064838031573</v>
      </c>
      <c r="M803" s="148">
        <f t="shared" ca="1" si="202"/>
        <v>2.1665773345447414</v>
      </c>
      <c r="N803" s="163">
        <f t="shared" ca="1" si="204"/>
        <v>1.6846773345447414</v>
      </c>
      <c r="O803" s="1061" t="s">
        <v>1586</v>
      </c>
      <c r="P803" s="104"/>
      <c r="R803" s="119"/>
      <c r="S803" s="1072"/>
      <c r="T803" s="1072"/>
      <c r="U803" s="1072"/>
      <c r="V803" s="1072"/>
      <c r="W803" s="1072"/>
      <c r="X803" s="1072"/>
      <c r="Y803" s="1072"/>
      <c r="Z803" s="1072"/>
      <c r="AA803" s="1072"/>
      <c r="AB803" s="1072"/>
      <c r="AC803" s="1072"/>
      <c r="AD803" s="1072"/>
      <c r="AE803" s="1072"/>
      <c r="AF803" s="1072"/>
      <c r="AG803" s="1072"/>
      <c r="AH803" s="1072"/>
      <c r="AI803" s="1072"/>
      <c r="AJ803" s="1073"/>
      <c r="AK803" s="1052" cm="1">
        <f t="array" aca="1" ref="AK803" ca="1">INDEX(OFFSET($AK$19,MATCH($B803,$B$19:$B$150,0)-1,0,COUNTA($B$19:$B$24),COUNTA($AK$17:$BB$17)),MATCH($F803,$F$19:$F$24,0),MATCH(AK$17,$AK$17:$BB$17,0))*INDEX($10:$13,MATCH($O803,$R$10:$R$13,0),COLUMN())</f>
        <v>0.20234188319999999</v>
      </c>
      <c r="AL803" s="1050" cm="1">
        <f t="array" aca="1" ref="AL803" ca="1">INDEX(OFFSET($AK$19,MATCH($B803,$B$19:$B$150,0)-1,0,COUNTA($B$19:$B$24),COUNTA($AK$17:$BB$17)),MATCH($F803,$F$19:$F$24,0),MATCH(AL$17,$AK$17:$BB$17,0))*INDEX($10:$13,MATCH($O803,$R$10:$R$13,0),COLUMN())</f>
        <v>2.1254854470000001E-7</v>
      </c>
      <c r="AM803" s="1050" cm="1">
        <f t="array" aca="1" ref="AM803" ca="1">INDEX(OFFSET($AK$19,MATCH($B803,$B$19:$B$150,0)-1,0,COUNTA($B$19:$B$24),COUNTA($AK$17:$BB$17)),MATCH($F803,$F$19:$F$24,0),MATCH(AM$17,$AK$17:$BB$17,0))*INDEX($10:$13,MATCH($O803,$R$10:$R$13,0),COLUMN())</f>
        <v>0</v>
      </c>
      <c r="AN803" s="1050" cm="1">
        <f t="array" aca="1" ref="AN803" ca="1">INDEX(OFFSET($AK$19,MATCH($B803,$B$19:$B$150,0)-1,0,COUNTA($B$19:$B$24),COUNTA($AK$17:$BB$17)),MATCH($F803,$F$19:$F$24,0),MATCH(AN$17,$AK$17:$BB$17,0))*INDEX($10:$13,MATCH($O803,$R$10:$R$13,0),COLUMN())</f>
        <v>3.2871337980000005E-3</v>
      </c>
      <c r="AO803" s="1050" cm="1">
        <f t="array" aca="1" ref="AO803" ca="1">INDEX(OFFSET($AK$19,MATCH($B803,$B$19:$B$150,0)-1,0,COUNTA($B$19:$B$24),COUNTA($AK$17:$BB$17)),MATCH($F803,$F$19:$F$24,0),MATCH(AO$17,$AK$17:$BB$17,0))*INDEX($10:$13,MATCH($O803,$R$10:$R$13,0),COLUMN())</f>
        <v>0.18014910612328766</v>
      </c>
      <c r="AP803" s="1050" cm="1">
        <f t="array" aca="1" ref="AP803" ca="1">INDEX(OFFSET($AK$19,MATCH($B803,$B$19:$B$150,0)-1,0,COUNTA($B$19:$B$24),COUNTA($AK$17:$BB$17)),MATCH($F803,$F$19:$F$24,0),MATCH(AP$17,$AK$17:$BB$17,0))*INDEX($10:$13,MATCH($O803,$R$10:$R$13,0),COLUMN())</f>
        <v>0.14041457471999999</v>
      </c>
      <c r="AQ803" s="1050" cm="1">
        <f t="array" aca="1" ref="AQ803" ca="1">INDEX(OFFSET($AK$19,MATCH($B803,$B$19:$B$150,0)-1,0,COUNTA($B$19:$B$24),COUNTA($AK$17:$BB$17)),MATCH($F803,$F$19:$F$24,0),MATCH(AQ$17,$AK$17:$BB$17,0))*INDEX($10:$13,MATCH($O803,$R$10:$R$13,0),COLUMN())</f>
        <v>6.0739887040000003E-2</v>
      </c>
      <c r="AR803" s="1050" cm="1">
        <f t="array" aca="1" ref="AR803" ca="1">INDEX(OFFSET($AK$19,MATCH($B803,$B$19:$B$150,0)-1,0,COUNTA($B$19:$B$24),COUNTA($AK$17:$BB$17)),MATCH($F803,$F$19:$F$24,0),MATCH(AR$17,$AK$17:$BB$17,0))*INDEX($10:$13,MATCH($O803,$R$10:$R$13,0),COLUMN())</f>
        <v>0.79745515379999998</v>
      </c>
      <c r="AS803" s="1050" cm="1">
        <f t="array" aca="1" ref="AS803" ca="1">INDEX(OFFSET($AK$19,MATCH($B803,$B$19:$B$150,0)-1,0,COUNTA($B$19:$B$24),COUNTA($AK$17:$BB$17)),MATCH($F803,$F$19:$F$24,0),MATCH(AS$17,$AK$17:$BB$17,0))*INDEX($10:$13,MATCH($O803,$R$10:$R$13,0),COLUMN())</f>
        <v>1.7072548120000001E-3</v>
      </c>
      <c r="AT803" s="1050" cm="1">
        <f t="array" aca="1" ref="AT803" ca="1">INDEX(OFFSET($AK$19,MATCH($B803,$B$19:$B$150,0)-1,0,COUNTA($B$19:$B$24),COUNTA($AK$17:$BB$17)),MATCH($F803,$F$19:$F$24,0),MATCH(AT$17,$AK$17:$BB$17,0))*INDEX($10:$13,MATCH($O803,$R$10:$R$13,0),COLUMN())</f>
        <v>4.1087987879999998E-6</v>
      </c>
      <c r="AU803" s="1050" cm="1">
        <f t="array" aca="1" ref="AU803" ca="1">INDEX(OFFSET($AK$19,MATCH($B803,$B$19:$B$150,0)-1,0,COUNTA($B$19:$B$24),COUNTA($AK$17:$BB$17)),MATCH($F803,$F$19:$F$24,0),MATCH(AU$17,$AK$17:$BB$17,0))*INDEX($10:$13,MATCH($O803,$R$10:$R$13,0),COLUMN())</f>
        <v>8.4378327179999992E-7</v>
      </c>
      <c r="AV803" s="1050" cm="1">
        <f t="array" aca="1" ref="AV803" ca="1">INDEX(OFFSET($AK$19,MATCH($B803,$B$19:$B$150,0)-1,0,COUNTA($B$19:$B$24),COUNTA($AK$17:$BB$17)),MATCH($F803,$F$19:$F$24,0),MATCH(AV$17,$AK$17:$BB$17,0))*INDEX($10:$13,MATCH($O803,$R$10:$R$13,0),COLUMN())</f>
        <v>1.5034645476426451E-3</v>
      </c>
      <c r="AW803" s="1050" cm="1">
        <f t="array" aca="1" ref="AW803" ca="1">INDEX(OFFSET($AK$19,MATCH($B803,$B$19:$B$150,0)-1,0,COUNTA($B$19:$B$24),COUNTA($AK$17:$BB$17)),MATCH($F803,$F$19:$F$24,0),MATCH(AW$17,$AK$17:$BB$17,0))*INDEX($10:$13,MATCH($O803,$R$10:$R$13,0),COLUMN())</f>
        <v>0.25005009330000005</v>
      </c>
      <c r="AX803" s="1050" cm="1">
        <f t="array" aca="1" ref="AX803" ca="1">INDEX(OFFSET($AK$19,MATCH($B803,$B$19:$B$150,0)-1,0,COUNTA($B$19:$B$24),COUNTA($AK$17:$BB$17)),MATCH($F803,$F$19:$F$24,0),MATCH(AX$17,$AK$17:$BB$17,0))*INDEX($10:$13,MATCH($O803,$R$10:$R$13,0),COLUMN())</f>
        <v>8.6100445490000009E-7</v>
      </c>
      <c r="AY803" s="1050" cm="1">
        <f t="array" aca="1" ref="AY803" ca="1">INDEX(OFFSET($AK$19,MATCH($B803,$B$19:$B$150,0)-1,0,COUNTA($B$19:$B$24),COUNTA($AK$17:$BB$17)),MATCH($F803,$F$19:$F$24,0),MATCH(AY$17,$AK$17:$BB$17,0))*INDEX($10:$13,MATCH($O803,$R$10:$R$13,0),COLUMN())</f>
        <v>-3.7752809529999998E-10</v>
      </c>
      <c r="AZ803" s="1050" cm="1">
        <f t="array" aca="1" ref="AZ803" ca="1">INDEX(OFFSET($AK$19,MATCH($B803,$B$19:$B$150,0)-1,0,COUNTA($B$19:$B$24),COUNTA($AK$17:$BB$17)),MATCH($F803,$F$19:$F$24,0),MATCH(AZ$17,$AK$17:$BB$17,0))*INDEX($10:$13,MATCH($O803,$R$10:$R$13,0),COLUMN())</f>
        <v>4.7641022798594845E-6</v>
      </c>
      <c r="BA803" s="1050" cm="1">
        <f t="array" aca="1" ref="BA803" ca="1">INDEX(OFFSET($AK$19,MATCH($B803,$B$19:$B$150,0)-1,0,COUNTA($B$19:$B$24),COUNTA($AK$17:$BB$17)),MATCH($F803,$F$19:$F$24,0),MATCH(BA$17,$AK$17:$BB$17,0))*INDEX($10:$13,MATCH($O803,$R$10:$R$13,0),COLUMN())</f>
        <v>3.3519893594000004E-2</v>
      </c>
      <c r="BB803" s="1051" cm="1">
        <f t="array" aca="1" ref="BB803" ca="1">INDEX(OFFSET($AK$19,MATCH($B803,$B$19:$B$150,0)-1,0,COUNTA($B$19:$B$24),COUNTA($AK$17:$BB$17)),MATCH($F803,$F$19:$F$24,0),MATCH(BB$17,$AK$17:$BB$17,0))*INDEX($10:$13,MATCH($O803,$R$10:$R$13,0),COLUMN())</f>
        <v>1.3498099750000001E-2</v>
      </c>
      <c r="BC803" s="1053">
        <f t="shared" ca="1" si="203"/>
        <v>0.25005095392692683</v>
      </c>
      <c r="BE803" s="1"/>
      <c r="BF803" s="1"/>
      <c r="BG803" s="1"/>
      <c r="BH803" s="1"/>
      <c r="BI803" s="1"/>
      <c r="BJ803" s="1"/>
      <c r="BK803" s="1"/>
      <c r="BL803" s="1"/>
      <c r="BM803" s="1"/>
      <c r="BN803" s="1"/>
      <c r="BO803" s="1"/>
      <c r="BP803" s="1"/>
      <c r="BQ803" s="1"/>
      <c r="BR803" s="1"/>
      <c r="BS803" s="1"/>
      <c r="BT803" s="1"/>
      <c r="BU803" s="1"/>
      <c r="BV803" s="1"/>
      <c r="BW803" s="1"/>
      <c r="BX803" s="1"/>
      <c r="BY803" s="1"/>
      <c r="BZ803" s="1"/>
    </row>
    <row r="804" spans="2:78" ht="12" customHeight="1" outlineLevel="1" x14ac:dyDescent="0.25">
      <c r="B804" s="104" t="s">
        <v>115</v>
      </c>
      <c r="C804" s="104" t="s">
        <v>124</v>
      </c>
      <c r="D804" s="2" t="s">
        <v>154</v>
      </c>
      <c r="E804" s="2" t="s">
        <v>115</v>
      </c>
      <c r="F804" s="105" t="s">
        <v>94</v>
      </c>
      <c r="G804" s="27" t="s">
        <v>1580</v>
      </c>
      <c r="H804" s="106" t="s">
        <v>131</v>
      </c>
      <c r="I804" s="107" t="s">
        <v>129</v>
      </c>
      <c r="J804" s="147">
        <v>0.64</v>
      </c>
      <c r="K804" s="148">
        <v>0.4819</v>
      </c>
      <c r="L804" s="149">
        <f t="shared" ca="1" si="201"/>
        <v>2.5875992492121633</v>
      </c>
      <c r="M804" s="148">
        <f t="shared" ca="1" si="202"/>
        <v>1.7288640781953415</v>
      </c>
      <c r="N804" s="163">
        <f t="shared" ca="1" si="204"/>
        <v>1.2469640781953415</v>
      </c>
      <c r="O804" s="1061" t="s">
        <v>1586</v>
      </c>
      <c r="P804" s="104"/>
      <c r="R804" s="119"/>
      <c r="S804" s="1072"/>
      <c r="T804" s="1072"/>
      <c r="U804" s="1072"/>
      <c r="V804" s="1072"/>
      <c r="W804" s="1072"/>
      <c r="X804" s="1072"/>
      <c r="Y804" s="1072"/>
      <c r="Z804" s="1072"/>
      <c r="AA804" s="1072"/>
      <c r="AB804" s="1072"/>
      <c r="AC804" s="1072"/>
      <c r="AD804" s="1072"/>
      <c r="AE804" s="1072"/>
      <c r="AF804" s="1072"/>
      <c r="AG804" s="1072"/>
      <c r="AH804" s="1072"/>
      <c r="AI804" s="1072"/>
      <c r="AJ804" s="1073"/>
      <c r="AK804" s="1052" cm="1">
        <f t="array" aca="1" ref="AK804" ca="1">INDEX(OFFSET($AK$19,MATCH($B804,$B$19:$B$150,0)-1,0,COUNTA($B$19:$B$24),COUNTA($AK$17:$BB$17)),MATCH($F804,$F$19:$F$24,0),MATCH(AK$17,$AK$17:$BB$17,0))*INDEX($10:$13,MATCH($O804,$R$10:$R$13,0),COLUMN())</f>
        <v>0.16194408320000001</v>
      </c>
      <c r="AL804" s="1050" cm="1">
        <f t="array" aca="1" ref="AL804" ca="1">INDEX(OFFSET($AK$19,MATCH($B804,$B$19:$B$150,0)-1,0,COUNTA($B$19:$B$24),COUNTA($AK$17:$BB$17)),MATCH($F804,$F$19:$F$24,0),MATCH(AL$17,$AK$17:$BB$17,0))*INDEX($10:$13,MATCH($O804,$R$10:$R$13,0),COLUMN())</f>
        <v>1.7007484608E-7</v>
      </c>
      <c r="AM804" s="1050" cm="1">
        <f t="array" aca="1" ref="AM804" ca="1">INDEX(OFFSET($AK$19,MATCH($B804,$B$19:$B$150,0)-1,0,COUNTA($B$19:$B$24),COUNTA($AK$17:$BB$17)),MATCH($F804,$F$19:$F$24,0),MATCH(AM$17,$AK$17:$BB$17,0))*INDEX($10:$13,MATCH($O804,$R$10:$R$13,0),COLUMN())</f>
        <v>0</v>
      </c>
      <c r="AN804" s="1050" cm="1">
        <f t="array" aca="1" ref="AN804" ca="1">INDEX(OFFSET($AK$19,MATCH($B804,$B$19:$B$150,0)-1,0,COUNTA($B$19:$B$24),COUNTA($AK$17:$BB$17)),MATCH($F804,$F$19:$F$24,0),MATCH(AN$17,$AK$17:$BB$17,0))*INDEX($10:$13,MATCH($O804,$R$10:$R$13,0),COLUMN())</f>
        <v>2.3272464239999999E-3</v>
      </c>
      <c r="AO804" s="1050" cm="1">
        <f t="array" aca="1" ref="AO804" ca="1">INDEX(OFFSET($AK$19,MATCH($B804,$B$19:$B$150,0)-1,0,COUNTA($B$19:$B$24),COUNTA($AK$17:$BB$17)),MATCH($F804,$F$19:$F$24,0),MATCH(AO$17,$AK$17:$BB$17,0))*INDEX($10:$13,MATCH($O804,$R$10:$R$13,0),COLUMN())</f>
        <v>0.14404454342465753</v>
      </c>
      <c r="AP804" s="1050" cm="1">
        <f t="array" aca="1" ref="AP804" ca="1">INDEX(OFFSET($AK$19,MATCH($B804,$B$19:$B$150,0)-1,0,COUNTA($B$19:$B$24),COUNTA($AK$17:$BB$17)),MATCH($F804,$F$19:$F$24,0),MATCH(AP$17,$AK$17:$BB$17,0))*INDEX($10:$13,MATCH($O804,$R$10:$R$13,0),COLUMN())</f>
        <v>0.11298964655999999</v>
      </c>
      <c r="AQ804" s="1050" cm="1">
        <f t="array" aca="1" ref="AQ804" ca="1">INDEX(OFFSET($AK$19,MATCH($B804,$B$19:$B$150,0)-1,0,COUNTA($B$19:$B$24),COUNTA($AK$17:$BB$17)),MATCH($F804,$F$19:$F$24,0),MATCH(AQ$17,$AK$17:$BB$17,0))*INDEX($10:$13,MATCH($O804,$R$10:$R$13,0),COLUMN())</f>
        <v>4.5318097759999995E-2</v>
      </c>
      <c r="AR804" s="1050" cm="1">
        <f t="array" aca="1" ref="AR804" ca="1">INDEX(OFFSET($AK$19,MATCH($B804,$B$19:$B$150,0)-1,0,COUNTA($B$19:$B$24),COUNTA($AK$17:$BB$17)),MATCH($F804,$F$19:$F$24,0),MATCH(AR$17,$AK$17:$BB$17,0))*INDEX($10:$13,MATCH($O804,$R$10:$R$13,0),COLUMN())</f>
        <v>0.60840330243999996</v>
      </c>
      <c r="AS804" s="1050" cm="1">
        <f t="array" aca="1" ref="AS804" ca="1">INDEX(OFFSET($AK$19,MATCH($B804,$B$19:$B$150,0)-1,0,COUNTA($B$19:$B$24),COUNTA($AK$17:$BB$17)),MATCH($F804,$F$19:$F$24,0),MATCH(AS$17,$AK$17:$BB$17,0))*INDEX($10:$13,MATCH($O804,$R$10:$R$13,0),COLUMN())</f>
        <v>1.2097171676999998E-3</v>
      </c>
      <c r="AT804" s="1050" cm="1">
        <f t="array" aca="1" ref="AT804" ca="1">INDEX(OFFSET($AK$19,MATCH($B804,$B$19:$B$150,0)-1,0,COUNTA($B$19:$B$24),COUNTA($AK$17:$BB$17)),MATCH($F804,$F$19:$F$24,0),MATCH(AT$17,$AK$17:$BB$17,0))*INDEX($10:$13,MATCH($O804,$R$10:$R$13,0),COLUMN())</f>
        <v>2.8194964015999998E-6</v>
      </c>
      <c r="AU804" s="1050" cm="1">
        <f t="array" aca="1" ref="AU804" ca="1">INDEX(OFFSET($AK$19,MATCH($B804,$B$19:$B$150,0)-1,0,COUNTA($B$19:$B$24),COUNTA($AK$17:$BB$17)),MATCH($F804,$F$19:$F$24,0),MATCH(AU$17,$AK$17:$BB$17,0))*INDEX($10:$13,MATCH($O804,$R$10:$R$13,0),COLUMN())</f>
        <v>5.7266627009999994E-7</v>
      </c>
      <c r="AV804" s="1050" cm="1">
        <f t="array" aca="1" ref="AV804" ca="1">INDEX(OFFSET($AK$19,MATCH($B804,$B$19:$B$150,0)-1,0,COUNTA($B$19:$B$24),COUNTA($AK$17:$BB$17)),MATCH($F804,$F$19:$F$24,0),MATCH(AV$17,$AK$17:$BB$17,0))*INDEX($10:$13,MATCH($O804,$R$10:$R$13,0),COLUMN())</f>
        <v>9.7348849016438684E-4</v>
      </c>
      <c r="AW804" s="1050" cm="1">
        <f t="array" aca="1" ref="AW804" ca="1">INDEX(OFFSET($AK$19,MATCH($B804,$B$19:$B$150,0)-1,0,COUNTA($B$19:$B$24),COUNTA($AK$17:$BB$17)),MATCH($F804,$F$19:$F$24,0),MATCH(AW$17,$AK$17:$BB$17,0))*INDEX($10:$13,MATCH($O804,$R$10:$R$13,0),COLUMN())</f>
        <v>0.13566629221000001</v>
      </c>
      <c r="AX804" s="1050" cm="1">
        <f t="array" aca="1" ref="AX804" ca="1">INDEX(OFFSET($AK$19,MATCH($B804,$B$19:$B$150,0)-1,0,COUNTA($B$19:$B$24),COUNTA($AK$17:$BB$17)),MATCH($F804,$F$19:$F$24,0),MATCH(AX$17,$AK$17:$BB$17,0))*INDEX($10:$13,MATCH($O804,$R$10:$R$13,0),COLUMN())</f>
        <v>6.9072737530000012E-7</v>
      </c>
      <c r="AY804" s="1050" cm="1">
        <f t="array" aca="1" ref="AY804" ca="1">INDEX(OFFSET($AK$19,MATCH($B804,$B$19:$B$150,0)-1,0,COUNTA($B$19:$B$24),COUNTA($AK$17:$BB$17)),MATCH($F804,$F$19:$F$24,0),MATCH(AY$17,$AK$17:$BB$17,0))*INDEX($10:$13,MATCH($O804,$R$10:$R$13,0),COLUMN())</f>
        <v>-2.954526331E-10</v>
      </c>
      <c r="AZ804" s="1050" cm="1">
        <f t="array" aca="1" ref="AZ804" ca="1">INDEX(OFFSET($AK$19,MATCH($B804,$B$19:$B$150,0)-1,0,COUNTA($B$19:$B$24),COUNTA($AK$17:$BB$17)),MATCH($F804,$F$19:$F$24,0),MATCH(AZ$17,$AK$17:$BB$17,0))*INDEX($10:$13,MATCH($O804,$R$10:$R$13,0),COLUMN())</f>
        <v>3.1032463789227163E-6</v>
      </c>
      <c r="BA804" s="1050" cm="1">
        <f t="array" aca="1" ref="BA804" ca="1">INDEX(OFFSET($AK$19,MATCH($B804,$B$19:$B$150,0)-1,0,COUNTA($B$19:$B$24),COUNTA($AK$17:$BB$17)),MATCH($F804,$F$19:$F$24,0),MATCH(BA$17,$AK$17:$BB$17,0))*INDEX($10:$13,MATCH($O804,$R$10:$R$13,0),COLUMN())</f>
        <v>2.4426174432E-2</v>
      </c>
      <c r="BB804" s="1051" cm="1">
        <f t="array" aca="1" ref="BB804" ca="1">INDEX(OFFSET($AK$19,MATCH($B804,$B$19:$B$150,0)-1,0,COUNTA($B$19:$B$24),COUNTA($AK$17:$BB$17)),MATCH($F804,$F$19:$F$24,0),MATCH(BB$17,$AK$17:$BB$17,0))*INDEX($10:$13,MATCH($O804,$R$10:$R$13,0),COLUMN())</f>
        <v>9.6541301709999992E-3</v>
      </c>
      <c r="BC804" s="1053">
        <f t="shared" ca="1" si="203"/>
        <v>0.13566698264192267</v>
      </c>
      <c r="BE804" s="1"/>
      <c r="BF804" s="1"/>
      <c r="BG804" s="1"/>
      <c r="BH804" s="1"/>
      <c r="BI804" s="1"/>
      <c r="BJ804" s="1"/>
      <c r="BK804" s="1"/>
      <c r="BL804" s="1"/>
      <c r="BM804" s="1"/>
      <c r="BN804" s="1"/>
      <c r="BO804" s="1"/>
      <c r="BP804" s="1"/>
      <c r="BQ804" s="1"/>
      <c r="BR804" s="1"/>
      <c r="BS804" s="1"/>
      <c r="BT804" s="1"/>
      <c r="BU804" s="1"/>
      <c r="BV804" s="1"/>
      <c r="BW804" s="1"/>
      <c r="BX804" s="1"/>
      <c r="BY804" s="1"/>
      <c r="BZ804" s="1"/>
    </row>
    <row r="805" spans="2:78" ht="12" customHeight="1" outlineLevel="1" x14ac:dyDescent="0.25">
      <c r="B805" s="104" t="s">
        <v>115</v>
      </c>
      <c r="C805" s="104" t="s">
        <v>124</v>
      </c>
      <c r="D805" s="2" t="s">
        <v>154</v>
      </c>
      <c r="E805" s="2" t="s">
        <v>115</v>
      </c>
      <c r="F805" s="105" t="s">
        <v>95</v>
      </c>
      <c r="G805" s="27" t="s">
        <v>1581</v>
      </c>
      <c r="H805" s="106" t="s">
        <v>128</v>
      </c>
      <c r="I805" s="107" t="s">
        <v>127</v>
      </c>
      <c r="J805" s="147">
        <v>0.64</v>
      </c>
      <c r="K805" s="148">
        <v>0.4819</v>
      </c>
      <c r="L805" s="149">
        <f t="shared" ca="1" si="201"/>
        <v>3.0291974906791066</v>
      </c>
      <c r="M805" s="148">
        <f t="shared" ca="1" si="202"/>
        <v>1.9416702707582614</v>
      </c>
      <c r="N805" s="163">
        <f t="shared" ca="1" si="204"/>
        <v>1.4597702707582614</v>
      </c>
      <c r="O805" s="1061" t="s">
        <v>1586</v>
      </c>
      <c r="P805" s="104"/>
      <c r="R805" s="119"/>
      <c r="S805" s="1072"/>
      <c r="T805" s="1072"/>
      <c r="U805" s="1072"/>
      <c r="V805" s="1072"/>
      <c r="W805" s="1072"/>
      <c r="X805" s="1072"/>
      <c r="Y805" s="1072"/>
      <c r="Z805" s="1072"/>
      <c r="AA805" s="1072"/>
      <c r="AB805" s="1072"/>
      <c r="AC805" s="1072"/>
      <c r="AD805" s="1072"/>
      <c r="AE805" s="1072"/>
      <c r="AF805" s="1072"/>
      <c r="AG805" s="1072"/>
      <c r="AH805" s="1072"/>
      <c r="AI805" s="1072"/>
      <c r="AJ805" s="1073"/>
      <c r="AK805" s="1052" cm="1">
        <f t="array" aca="1" ref="AK805" ca="1">INDEX(OFFSET($AK$19,MATCH($B805,$B$19:$B$150,0)-1,0,COUNTA($B$19:$B$24),COUNTA($AK$17:$BB$17)),MATCH($F805,$F$19:$F$24,0),MATCH(AK$17,$AK$17:$BB$17,0))*INDEX($10:$13,MATCH($O805,$R$10:$R$13,0),COLUMN())</f>
        <v>0.18046472079999998</v>
      </c>
      <c r="AL805" s="1050" cm="1">
        <f t="array" aca="1" ref="AL805" ca="1">INDEX(OFFSET($AK$19,MATCH($B805,$B$19:$B$150,0)-1,0,COUNTA($B$19:$B$24),COUNTA($AK$17:$BB$17)),MATCH($F805,$F$19:$F$24,0),MATCH(AL$17,$AK$17:$BB$17,0))*INDEX($10:$13,MATCH($O805,$R$10:$R$13,0),COLUMN())</f>
        <v>1.8851193593999999E-7</v>
      </c>
      <c r="AM805" s="1050" cm="1">
        <f t="array" aca="1" ref="AM805" ca="1">INDEX(OFFSET($AK$19,MATCH($B805,$B$19:$B$150,0)-1,0,COUNTA($B$19:$B$24),COUNTA($AK$17:$BB$17)),MATCH($F805,$F$19:$F$24,0),MATCH(AM$17,$AK$17:$BB$17,0))*INDEX($10:$13,MATCH($O805,$R$10:$R$13,0),COLUMN())</f>
        <v>0</v>
      </c>
      <c r="AN805" s="1050" cm="1">
        <f t="array" aca="1" ref="AN805" ca="1">INDEX(OFFSET($AK$19,MATCH($B805,$B$19:$B$150,0)-1,0,COUNTA($B$19:$B$24),COUNTA($AK$17:$BB$17)),MATCH($F805,$F$19:$F$24,0),MATCH(AN$17,$AK$17:$BB$17,0))*INDEX($10:$13,MATCH($O805,$R$10:$R$13,0),COLUMN())</f>
        <v>2.7470839440000001E-3</v>
      </c>
      <c r="AO805" s="1050" cm="1">
        <f t="array" aca="1" ref="AO805" ca="1">INDEX(OFFSET($AK$19,MATCH($B805,$B$19:$B$150,0)-1,0,COUNTA($B$19:$B$24),COUNTA($AK$17:$BB$17)),MATCH($F805,$F$19:$F$24,0),MATCH(AO$17,$AK$17:$BB$17,0))*INDEX($10:$13,MATCH($O805,$R$10:$R$13,0),COLUMN())</f>
        <v>0.16279718987671232</v>
      </c>
      <c r="AP805" s="1050" cm="1">
        <f t="array" aca="1" ref="AP805" ca="1">INDEX(OFFSET($AK$19,MATCH($B805,$B$19:$B$150,0)-1,0,COUNTA($B$19:$B$24),COUNTA($AK$17:$BB$17)),MATCH($F805,$F$19:$F$24,0),MATCH(AP$17,$AK$17:$BB$17,0))*INDEX($10:$13,MATCH($O805,$R$10:$R$13,0),COLUMN())</f>
        <v>0.12740615999999999</v>
      </c>
      <c r="AQ805" s="1050" cm="1">
        <f t="array" aca="1" ref="AQ805" ca="1">INDEX(OFFSET($AK$19,MATCH($B805,$B$19:$B$150,0)-1,0,COUNTA($B$19:$B$24),COUNTA($AK$17:$BB$17)),MATCH($F805,$F$19:$F$24,0),MATCH(AQ$17,$AK$17:$BB$17,0))*INDEX($10:$13,MATCH($O805,$R$10:$R$13,0),COLUMN())</f>
        <v>5.7038811680000003E-2</v>
      </c>
      <c r="AR805" s="1050" cm="1">
        <f t="array" aca="1" ref="AR805" ca="1">INDEX(OFFSET($AK$19,MATCH($B805,$B$19:$B$150,0)-1,0,COUNTA($B$19:$B$24),COUNTA($AK$17:$BB$17)),MATCH($F805,$F$19:$F$24,0),MATCH(AR$17,$AK$17:$BB$17,0))*INDEX($10:$13,MATCH($O805,$R$10:$R$13,0),COLUMN())</f>
        <v>0.70748129739999999</v>
      </c>
      <c r="AS805" s="1050" cm="1">
        <f t="array" aca="1" ref="AS805" ca="1">INDEX(OFFSET($AK$19,MATCH($B805,$B$19:$B$150,0)-1,0,COUNTA($B$19:$B$24),COUNTA($AK$17:$BB$17)),MATCH($F805,$F$19:$F$24,0),MATCH(AS$17,$AK$17:$BB$17,0))*INDEX($10:$13,MATCH($O805,$R$10:$R$13,0),COLUMN())</f>
        <v>1.8436451736999998E-3</v>
      </c>
      <c r="AT805" s="1050" cm="1">
        <f t="array" aca="1" ref="AT805" ca="1">INDEX(OFFSET($AK$19,MATCH($B805,$B$19:$B$150,0)-1,0,COUNTA($B$19:$B$24),COUNTA($AK$17:$BB$17)),MATCH($F805,$F$19:$F$24,0),MATCH(AT$17,$AK$17:$BB$17,0))*INDEX($10:$13,MATCH($O805,$R$10:$R$13,0),COLUMN())</f>
        <v>3.66528491E-6</v>
      </c>
      <c r="AU805" s="1050" cm="1">
        <f t="array" aca="1" ref="AU805" ca="1">INDEX(OFFSET($AK$19,MATCH($B805,$B$19:$B$150,0)-1,0,COUNTA($B$19:$B$24),COUNTA($AK$17:$BB$17)),MATCH($F805,$F$19:$F$24,0),MATCH(AU$17,$AK$17:$BB$17,0))*INDEX($10:$13,MATCH($O805,$R$10:$R$13,0),COLUMN())</f>
        <v>7.3150966679999998E-7</v>
      </c>
      <c r="AV805" s="1050" cm="1">
        <f t="array" aca="1" ref="AV805" ca="1">INDEX(OFFSET($AK$19,MATCH($B805,$B$19:$B$150,0)-1,0,COUNTA($B$19:$B$24),COUNTA($AK$17:$BB$17)),MATCH($F805,$F$19:$F$24,0),MATCH(AV$17,$AK$17:$BB$17,0))*INDEX($10:$13,MATCH($O805,$R$10:$R$13,0),COLUMN())</f>
        <v>1.4502737209176476E-3</v>
      </c>
      <c r="AW805" s="1050" cm="1">
        <f t="array" aca="1" ref="AW805" ca="1">INDEX(OFFSET($AK$19,MATCH($B805,$B$19:$B$150,0)-1,0,COUNTA($B$19:$B$24),COUNTA($AK$17:$BB$17)),MATCH($F805,$F$19:$F$24,0),MATCH(AW$17,$AK$17:$BB$17,0))*INDEX($10:$13,MATCH($O805,$R$10:$R$13,0),COLUMN())</f>
        <v>0.17896952633000002</v>
      </c>
      <c r="AX805" s="1050" cm="1">
        <f t="array" aca="1" ref="AX805" ca="1">INDEX(OFFSET($AK$19,MATCH($B805,$B$19:$B$150,0)-1,0,COUNTA($B$19:$B$24),COUNTA($AK$17:$BB$17)),MATCH($F805,$F$19:$F$24,0),MATCH(AX$17,$AK$17:$BB$17,0))*INDEX($10:$13,MATCH($O805,$R$10:$R$13,0),COLUMN())</f>
        <v>7.6451618750000006E-7</v>
      </c>
      <c r="AY805" s="1050" cm="1">
        <f t="array" aca="1" ref="AY805" ca="1">INDEX(OFFSET($AK$19,MATCH($B805,$B$19:$B$150,0)-1,0,COUNTA($B$19:$B$24),COUNTA($AK$17:$BB$17)),MATCH($F805,$F$19:$F$24,0),MATCH(AY$17,$AK$17:$BB$17,0))*INDEX($10:$13,MATCH($O805,$R$10:$R$13,0),COLUMN())</f>
        <v>-3.3035369410000001E-10</v>
      </c>
      <c r="AZ805" s="1050" cm="1">
        <f t="array" aca="1" ref="AZ805" ca="1">INDEX(OFFSET($AK$19,MATCH($B805,$B$19:$B$150,0)-1,0,COUNTA($B$19:$B$24),COUNTA($AK$17:$BB$17)),MATCH($F805,$F$19:$F$24,0),MATCH(AZ$17,$AK$17:$BB$17,0))*INDEX($10:$13,MATCH($O805,$R$10:$R$13,0),COLUMN())</f>
        <v>3.7580695847775172E-6</v>
      </c>
      <c r="BA805" s="1050" cm="1">
        <f t="array" aca="1" ref="BA805" ca="1">INDEX(OFFSET($AK$19,MATCH($B805,$B$19:$B$150,0)-1,0,COUNTA($B$19:$B$24),COUNTA($AK$17:$BB$17)),MATCH($F805,$F$19:$F$24,0),MATCH(BA$17,$AK$17:$BB$17,0))*INDEX($10:$13,MATCH($O805,$R$10:$R$13,0),COLUMN())</f>
        <v>2.8340083650000004E-2</v>
      </c>
      <c r="BB805" s="1051" cm="1">
        <f t="array" aca="1" ref="BB805" ca="1">INDEX(OFFSET($AK$19,MATCH($B805,$B$19:$B$150,0)-1,0,COUNTA($B$19:$B$24),COUNTA($AK$17:$BB$17)),MATCH($F805,$F$19:$F$24,0),MATCH(BB$17,$AK$17:$BB$17,0))*INDEX($10:$13,MATCH($O805,$R$10:$R$13,0),COLUMN())</f>
        <v>1.1222370621E-2</v>
      </c>
      <c r="BC805" s="1053">
        <f t="shared" ca="1" si="203"/>
        <v>0.17897029051583382</v>
      </c>
      <c r="BE805" s="1"/>
      <c r="BF805" s="1"/>
      <c r="BG805" s="1"/>
      <c r="BH805" s="1"/>
      <c r="BI805" s="1"/>
      <c r="BJ805" s="1"/>
      <c r="BK805" s="1"/>
      <c r="BL805" s="1"/>
      <c r="BM805" s="1"/>
      <c r="BN805" s="1"/>
      <c r="BO805" s="1"/>
      <c r="BP805" s="1"/>
      <c r="BQ805" s="1"/>
      <c r="BR805" s="1"/>
      <c r="BS805" s="1"/>
      <c r="BT805" s="1"/>
      <c r="BU805" s="1"/>
      <c r="BV805" s="1"/>
      <c r="BW805" s="1"/>
      <c r="BX805" s="1"/>
      <c r="BY805" s="1"/>
      <c r="BZ805" s="1"/>
    </row>
    <row r="806" spans="2:78" ht="12" customHeight="1" outlineLevel="1" x14ac:dyDescent="0.25">
      <c r="B806" s="104" t="s">
        <v>115</v>
      </c>
      <c r="C806" s="104" t="s">
        <v>124</v>
      </c>
      <c r="D806" s="2" t="s">
        <v>154</v>
      </c>
      <c r="E806" s="2" t="s">
        <v>115</v>
      </c>
      <c r="F806" s="105" t="s">
        <v>96</v>
      </c>
      <c r="G806" s="27" t="s">
        <v>1582</v>
      </c>
      <c r="H806" s="106" t="s">
        <v>128</v>
      </c>
      <c r="I806" s="107" t="s">
        <v>1577</v>
      </c>
      <c r="J806" s="147">
        <v>0.64</v>
      </c>
      <c r="K806" s="148">
        <v>0.4819</v>
      </c>
      <c r="L806" s="149">
        <f t="shared" ca="1" si="201"/>
        <v>3.6848841290207059</v>
      </c>
      <c r="M806" s="148">
        <f t="shared" ca="1" si="202"/>
        <v>2.2576456617750784</v>
      </c>
      <c r="N806" s="163">
        <f t="shared" ca="1" si="204"/>
        <v>1.7757456617750782</v>
      </c>
      <c r="O806" s="1061" t="s">
        <v>1586</v>
      </c>
      <c r="P806" s="104"/>
      <c r="R806" s="119"/>
      <c r="S806" s="1072"/>
      <c r="T806" s="1072"/>
      <c r="U806" s="1072"/>
      <c r="V806" s="1072"/>
      <c r="W806" s="1072"/>
      <c r="X806" s="1072"/>
      <c r="Y806" s="1072"/>
      <c r="Z806" s="1072"/>
      <c r="AA806" s="1072"/>
      <c r="AB806" s="1072"/>
      <c r="AC806" s="1072"/>
      <c r="AD806" s="1072"/>
      <c r="AE806" s="1072"/>
      <c r="AF806" s="1072"/>
      <c r="AG806" s="1072"/>
      <c r="AH806" s="1072"/>
      <c r="AI806" s="1072"/>
      <c r="AJ806" s="1073"/>
      <c r="AK806" s="1052" cm="1">
        <f t="array" aca="1" ref="AK806" ca="1">INDEX(OFFSET($AK$19,MATCH($B806,$B$19:$B$150,0)-1,0,COUNTA($B$19:$B$24),COUNTA($AK$17:$BB$17)),MATCH($F806,$F$19:$F$24,0),MATCH(AK$17,$AK$17:$BB$17,0))*INDEX($10:$13,MATCH($O806,$R$10:$R$13,0),COLUMN())</f>
        <v>0.18979727760000001</v>
      </c>
      <c r="AL806" s="1050" cm="1">
        <f t="array" aca="1" ref="AL806" ca="1">INDEX(OFFSET($AK$19,MATCH($B806,$B$19:$B$150,0)-1,0,COUNTA($B$19:$B$24),COUNTA($AK$17:$BB$17)),MATCH($F806,$F$19:$F$24,0),MATCH(AL$17,$AK$17:$BB$17,0))*INDEX($10:$13,MATCH($O806,$R$10:$R$13,0),COLUMN())</f>
        <v>1.8856934448E-7</v>
      </c>
      <c r="AM806" s="1050" cm="1">
        <f t="array" aca="1" ref="AM806" ca="1">INDEX(OFFSET($AK$19,MATCH($B806,$B$19:$B$150,0)-1,0,COUNTA($B$19:$B$24),COUNTA($AK$17:$BB$17)),MATCH($F806,$F$19:$F$24,0),MATCH(AM$17,$AK$17:$BB$17,0))*INDEX($10:$13,MATCH($O806,$R$10:$R$13,0),COLUMN())</f>
        <v>0</v>
      </c>
      <c r="AN806" s="1050" cm="1">
        <f t="array" aca="1" ref="AN806" ca="1">INDEX(OFFSET($AK$19,MATCH($B806,$B$19:$B$150,0)-1,0,COUNTA($B$19:$B$24),COUNTA($AK$17:$BB$17)),MATCH($F806,$F$19:$F$24,0),MATCH(AN$17,$AK$17:$BB$17,0))*INDEX($10:$13,MATCH($O806,$R$10:$R$13,0),COLUMN())</f>
        <v>2.7677457060000005E-3</v>
      </c>
      <c r="AO806" s="1050" cm="1">
        <f t="array" aca="1" ref="AO806" ca="1">INDEX(OFFSET($AK$19,MATCH($B806,$B$19:$B$150,0)-1,0,COUNTA($B$19:$B$24),COUNTA($AK$17:$BB$17)),MATCH($F806,$F$19:$F$24,0),MATCH(AO$17,$AK$17:$BB$17,0))*INDEX($10:$13,MATCH($O806,$R$10:$R$13,0),COLUMN())</f>
        <v>0.19523375104109589</v>
      </c>
      <c r="AP806" s="1050" cm="1">
        <f t="array" aca="1" ref="AP806" ca="1">INDEX(OFFSET($AK$19,MATCH($B806,$B$19:$B$150,0)-1,0,COUNTA($B$19:$B$24),COUNTA($AK$17:$BB$17)),MATCH($F806,$F$19:$F$24,0),MATCH(AP$17,$AK$17:$BB$17,0))*INDEX($10:$13,MATCH($O806,$R$10:$R$13,0),COLUMN())</f>
        <v>0.15373654464</v>
      </c>
      <c r="AQ806" s="1050" cm="1">
        <f t="array" aca="1" ref="AQ806" ca="1">INDEX(OFFSET($AK$19,MATCH($B806,$B$19:$B$150,0)-1,0,COUNTA($B$19:$B$24),COUNTA($AK$17:$BB$17)),MATCH($F806,$F$19:$F$24,0),MATCH(AQ$17,$AK$17:$BB$17,0))*INDEX($10:$13,MATCH($O806,$R$10:$R$13,0),COLUMN())</f>
        <v>8.8926140799999998E-2</v>
      </c>
      <c r="AR806" s="1050" cm="1">
        <f t="array" aca="1" ref="AR806" ca="1">INDEX(OFFSET($AK$19,MATCH($B806,$B$19:$B$150,0)-1,0,COUNTA($B$19:$B$24),COUNTA($AK$17:$BB$17)),MATCH($F806,$F$19:$F$24,0),MATCH(AR$17,$AK$17:$BB$17,0))*INDEX($10:$13,MATCH($O806,$R$10:$R$13,0),COLUMN())</f>
        <v>0.92043777640000002</v>
      </c>
      <c r="AS806" s="1050" cm="1">
        <f t="array" aca="1" ref="AS806" ca="1">INDEX(OFFSET($AK$19,MATCH($B806,$B$19:$B$150,0)-1,0,COUNTA($B$19:$B$24),COUNTA($AK$17:$BB$17)),MATCH($F806,$F$19:$F$24,0),MATCH(AS$17,$AK$17:$BB$17,0))*INDEX($10:$13,MATCH($O806,$R$10:$R$13,0),COLUMN())</f>
        <v>3.2157501503999996E-3</v>
      </c>
      <c r="AT806" s="1050" cm="1">
        <f t="array" aca="1" ref="AT806" ca="1">INDEX(OFFSET($AK$19,MATCH($B806,$B$19:$B$150,0)-1,0,COUNTA($B$19:$B$24),COUNTA($AK$17:$BB$17)),MATCH($F806,$F$19:$F$24,0),MATCH(AT$17,$AK$17:$BB$17,0))*INDEX($10:$13,MATCH($O806,$R$10:$R$13,0),COLUMN())</f>
        <v>4.2436556800000007E-6</v>
      </c>
      <c r="AU806" s="1050" cm="1">
        <f t="array" aca="1" ref="AU806" ca="1">INDEX(OFFSET($AK$19,MATCH($B806,$B$19:$B$150,0)-1,0,COUNTA($B$19:$B$24),COUNTA($AK$17:$BB$17)),MATCH($F806,$F$19:$F$24,0),MATCH(AU$17,$AK$17:$BB$17,0))*INDEX($10:$13,MATCH($O806,$R$10:$R$13,0),COLUMN())</f>
        <v>8.0126345040000002E-7</v>
      </c>
      <c r="AV806" s="1050" cm="1">
        <f t="array" aca="1" ref="AV806" ca="1">INDEX(OFFSET($AK$19,MATCH($B806,$B$19:$B$150,0)-1,0,COUNTA($B$19:$B$24),COUNTA($AK$17:$BB$17)),MATCH($F806,$F$19:$F$24,0),MATCH(AV$17,$AK$17:$BB$17,0))*INDEX($10:$13,MATCH($O806,$R$10:$R$13,0),COLUMN())</f>
        <v>2.9649864842502148E-3</v>
      </c>
      <c r="AW806" s="1050" cm="1">
        <f t="array" aca="1" ref="AW806" ca="1">INDEX(OFFSET($AK$19,MATCH($B806,$B$19:$B$150,0)-1,0,COUNTA($B$19:$B$24),COUNTA($AK$17:$BB$17)),MATCH($F806,$F$19:$F$24,0),MATCH(AW$17,$AK$17:$BB$17,0))*INDEX($10:$13,MATCH($O806,$R$10:$R$13,0),COLUMN())</f>
        <v>0.17896952633000002</v>
      </c>
      <c r="AX806" s="1050" cm="1">
        <f t="array" aca="1" ref="AX806" ca="1">INDEX(OFFSET($AK$19,MATCH($B806,$B$19:$B$150,0)-1,0,COUNTA($B$19:$B$24),COUNTA($AK$17:$BB$17)),MATCH($F806,$F$19:$F$24,0),MATCH(AX$17,$AK$17:$BB$17,0))*INDEX($10:$13,MATCH($O806,$R$10:$R$13,0),COLUMN())</f>
        <v>7.6451618750000006E-7</v>
      </c>
      <c r="AY806" s="1050" cm="1">
        <f t="array" aca="1" ref="AY806" ca="1">INDEX(OFFSET($AK$19,MATCH($B806,$B$19:$B$150,0)-1,0,COUNTA($B$19:$B$24),COUNTA($AK$17:$BB$17)),MATCH($F806,$F$19:$F$24,0),MATCH(AY$17,$AK$17:$BB$17,0))*INDEX($10:$13,MATCH($O806,$R$10:$R$13,0),COLUMN())</f>
        <v>-3.3035369410000001E-10</v>
      </c>
      <c r="AZ806" s="1050" cm="1">
        <f t="array" aca="1" ref="AZ806" ca="1">INDEX(OFFSET($AK$19,MATCH($B806,$B$19:$B$150,0)-1,0,COUNTA($B$19:$B$24),COUNTA($AK$17:$BB$17)),MATCH($F806,$F$19:$F$24,0),MATCH(AZ$17,$AK$17:$BB$17,0))*INDEX($10:$13,MATCH($O806,$R$10:$R$13,0),COLUMN())</f>
        <v>3.7591620236533952E-6</v>
      </c>
      <c r="BA806" s="1050" cm="1">
        <f t="array" aca="1" ref="BA806" ca="1">INDEX(OFFSET($AK$19,MATCH($B806,$B$19:$B$150,0)-1,0,COUNTA($B$19:$B$24),COUNTA($AK$17:$BB$17)),MATCH($F806,$F$19:$F$24,0),MATCH(BA$17,$AK$17:$BB$17,0))*INDEX($10:$13,MATCH($O806,$R$10:$R$13,0),COLUMN())</f>
        <v>2.8463933820000002E-2</v>
      </c>
      <c r="BB806" s="1051" cm="1">
        <f t="array" aca="1" ref="BB806" ca="1">INDEX(OFFSET($AK$19,MATCH($B806,$B$19:$B$150,0)-1,0,COUNTA($B$19:$B$24),COUNTA($AK$17:$BB$17)),MATCH($F806,$F$19:$F$24,0),MATCH(BB$17,$AK$17:$BB$17,0))*INDEX($10:$13,MATCH($O806,$R$10:$R$13,0),COLUMN())</f>
        <v>1.1222471967E-2</v>
      </c>
      <c r="BC806" s="1053">
        <f t="shared" ca="1" si="203"/>
        <v>0.17897029051583382</v>
      </c>
      <c r="BE806" s="1"/>
      <c r="BF806" s="1"/>
      <c r="BG806" s="1"/>
      <c r="BH806" s="1"/>
      <c r="BI806" s="1"/>
      <c r="BJ806" s="1"/>
      <c r="BK806" s="1"/>
      <c r="BL806" s="1"/>
      <c r="BM806" s="1"/>
      <c r="BN806" s="1"/>
      <c r="BO806" s="1"/>
      <c r="BP806" s="1"/>
      <c r="BQ806" s="1"/>
      <c r="BR806" s="1"/>
      <c r="BS806" s="1"/>
      <c r="BT806" s="1"/>
      <c r="BU806" s="1"/>
      <c r="BV806" s="1"/>
      <c r="BW806" s="1"/>
      <c r="BX806" s="1"/>
      <c r="BY806" s="1"/>
      <c r="BZ806" s="1"/>
    </row>
    <row r="807" spans="2:78" ht="12" customHeight="1" outlineLevel="1" x14ac:dyDescent="0.25">
      <c r="B807" s="88" t="s">
        <v>116</v>
      </c>
      <c r="C807" s="88" t="s">
        <v>124</v>
      </c>
      <c r="D807" s="89" t="s">
        <v>152</v>
      </c>
      <c r="E807" s="89" t="s">
        <v>156</v>
      </c>
      <c r="F807" s="90" t="s">
        <v>92</v>
      </c>
      <c r="G807" s="18" t="s">
        <v>126</v>
      </c>
      <c r="H807" s="91" t="s">
        <v>127</v>
      </c>
      <c r="I807" s="92" t="s">
        <v>127</v>
      </c>
      <c r="J807" s="142">
        <v>1.55</v>
      </c>
      <c r="K807" s="143">
        <v>2.118052738336714</v>
      </c>
      <c r="L807" s="151">
        <f t="shared" ca="1" si="201"/>
        <v>1.4898606506884253</v>
      </c>
      <c r="M807" s="143">
        <f t="shared" ca="1" si="202"/>
        <v>5.2736561692674524</v>
      </c>
      <c r="N807" s="162">
        <f t="shared" ca="1" si="204"/>
        <v>3.1556034309307379</v>
      </c>
      <c r="O807" s="1060" t="s">
        <v>1586</v>
      </c>
      <c r="P807" s="88"/>
      <c r="Q807" s="89"/>
      <c r="R807" s="150"/>
      <c r="S807" s="1070"/>
      <c r="T807" s="1070"/>
      <c r="U807" s="1070"/>
      <c r="V807" s="1070"/>
      <c r="W807" s="1070"/>
      <c r="X807" s="1070"/>
      <c r="Y807" s="1070"/>
      <c r="Z807" s="1070"/>
      <c r="AA807" s="1070"/>
      <c r="AB807" s="1070"/>
      <c r="AC807" s="1070"/>
      <c r="AD807" s="1070"/>
      <c r="AE807" s="1070"/>
      <c r="AF807" s="1070"/>
      <c r="AG807" s="1070"/>
      <c r="AH807" s="1070"/>
      <c r="AI807" s="1070"/>
      <c r="AJ807" s="1071"/>
      <c r="AK807" s="1048" cm="1">
        <f t="array" aca="1" ref="AK807" ca="1">INDEX(OFFSET($AK$19,MATCH($B807,$B$19:$B$150,0)-1,0,COUNTA($B$19:$B$24),COUNTA($AK$17:$BB$17)),MATCH($F807,$F$19:$F$24,0),MATCH(AK$17,$AK$17:$BB$17,0))*INDEX($10:$13,MATCH($O807,$R$10:$R$13,0),COLUMN())</f>
        <v>0.4234962136</v>
      </c>
      <c r="AL807" s="1046" cm="1">
        <f t="array" aca="1" ref="AL807" ca="1">INDEX(OFFSET($AK$19,MATCH($B807,$B$19:$B$150,0)-1,0,COUNTA($B$19:$B$24),COUNTA($AK$17:$BB$17)),MATCH($F807,$F$19:$F$24,0),MATCH(AL$17,$AK$17:$BB$17,0))*INDEX($10:$13,MATCH($O807,$R$10:$R$13,0),COLUMN())</f>
        <v>7.6200161700000001E-7</v>
      </c>
      <c r="AM807" s="1046" cm="1">
        <f t="array" aca="1" ref="AM807" ca="1">INDEX(OFFSET($AK$19,MATCH($B807,$B$19:$B$150,0)-1,0,COUNTA($B$19:$B$24),COUNTA($AK$17:$BB$17)),MATCH($F807,$F$19:$F$24,0),MATCH(AM$17,$AK$17:$BB$17,0))*INDEX($10:$13,MATCH($O807,$R$10:$R$13,0),COLUMN())</f>
        <v>0</v>
      </c>
      <c r="AN807" s="1046" cm="1">
        <f t="array" aca="1" ref="AN807" ca="1">INDEX(OFFSET($AK$19,MATCH($B807,$B$19:$B$150,0)-1,0,COUNTA($B$19:$B$24),COUNTA($AK$17:$BB$17)),MATCH($F807,$F$19:$F$24,0),MATCH(AN$17,$AK$17:$BB$17,0))*INDEX($10:$13,MATCH($O807,$R$10:$R$13,0),COLUMN())</f>
        <v>8.6339329800000017E-3</v>
      </c>
      <c r="AO807" s="1046" cm="1">
        <f t="array" aca="1" ref="AO807" ca="1">INDEX(OFFSET($AK$19,MATCH($B807,$B$19:$B$150,0)-1,0,COUNTA($B$19:$B$24),COUNTA($AK$17:$BB$17)),MATCH($F807,$F$19:$F$24,0),MATCH(AO$17,$AK$17:$BB$17,0))*INDEX($10:$13,MATCH($O807,$R$10:$R$13,0),COLUMN())</f>
        <v>0.33591671917808219</v>
      </c>
      <c r="AP807" s="1046" cm="1">
        <f t="array" aca="1" ref="AP807" ca="1">INDEX(OFFSET($AK$19,MATCH($B807,$B$19:$B$150,0)-1,0,COUNTA($B$19:$B$24),COUNTA($AK$17:$BB$17)),MATCH($F807,$F$19:$F$24,0),MATCH(AP$17,$AK$17:$BB$17,0))*INDEX($10:$13,MATCH($O807,$R$10:$R$13,0),COLUMN())</f>
        <v>0.21674372495999999</v>
      </c>
      <c r="AQ807" s="1046" cm="1">
        <f t="array" aca="1" ref="AQ807" ca="1">INDEX(OFFSET($AK$19,MATCH($B807,$B$19:$B$150,0)-1,0,COUNTA($B$19:$B$24),COUNTA($AK$17:$BB$17)),MATCH($F807,$F$19:$F$24,0),MATCH(AQ$17,$AK$17:$BB$17,0))*INDEX($10:$13,MATCH($O807,$R$10:$R$13,0),COLUMN())</f>
        <v>0.11907742623999999</v>
      </c>
      <c r="AR807" s="1046" cm="1">
        <f t="array" aca="1" ref="AR807" ca="1">INDEX(OFFSET($AK$19,MATCH($B807,$B$19:$B$150,0)-1,0,COUNTA($B$19:$B$24),COUNTA($AK$17:$BB$17)),MATCH($F807,$F$19:$F$24,0),MATCH(AR$17,$AK$17:$BB$17,0))*INDEX($10:$13,MATCH($O807,$R$10:$R$13,0),COLUMN())</f>
        <v>1.009632954</v>
      </c>
      <c r="AS807" s="1046" cm="1">
        <f t="array" aca="1" ref="AS807" ca="1">INDEX(OFFSET($AK$19,MATCH($B807,$B$19:$B$150,0)-1,0,COUNTA($B$19:$B$24),COUNTA($AK$17:$BB$17)),MATCH($F807,$F$19:$F$24,0),MATCH(AS$17,$AK$17:$BB$17,0))*INDEX($10:$13,MATCH($O807,$R$10:$R$13,0),COLUMN())</f>
        <v>0.21296001548999999</v>
      </c>
      <c r="AT807" s="1046" cm="1">
        <f t="array" aca="1" ref="AT807" ca="1">INDEX(OFFSET($AK$19,MATCH($B807,$B$19:$B$150,0)-1,0,COUNTA($B$19:$B$24),COUNTA($AK$17:$BB$17)),MATCH($F807,$F$19:$F$24,0),MATCH(AT$17,$AK$17:$BB$17,0))*INDEX($10:$13,MATCH($O807,$R$10:$R$13,0),COLUMN())</f>
        <v>2.4856849296000003E-4</v>
      </c>
      <c r="AU807" s="1046" cm="1">
        <f t="array" aca="1" ref="AU807" ca="1">INDEX(OFFSET($AK$19,MATCH($B807,$B$19:$B$150,0)-1,0,COUNTA($B$19:$B$24),COUNTA($AK$17:$BB$17)),MATCH($F807,$F$19:$F$24,0),MATCH(AU$17,$AK$17:$BB$17,0))*INDEX($10:$13,MATCH($O807,$R$10:$R$13,0),COLUMN())</f>
        <v>1.3841653145999999E-5</v>
      </c>
      <c r="AV807" s="1046" cm="1">
        <f t="array" aca="1" ref="AV807" ca="1">INDEX(OFFSET($AK$19,MATCH($B807,$B$19:$B$150,0)-1,0,COUNTA($B$19:$B$24),COUNTA($AK$17:$BB$17)),MATCH($F807,$F$19:$F$24,0),MATCH(AV$17,$AK$17:$BB$17,0))*INDEX($10:$13,MATCH($O807,$R$10:$R$13,0),COLUMN())</f>
        <v>3.5550332399942879E-3</v>
      </c>
      <c r="AW807" s="1046" cm="1">
        <f t="array" aca="1" ref="AW807" ca="1">INDEX(OFFSET($AK$19,MATCH($B807,$B$19:$B$150,0)-1,0,COUNTA($B$19:$B$24),COUNTA($AK$17:$BB$17)),MATCH($F807,$F$19:$F$24,0),MATCH(AW$17,$AK$17:$BB$17,0))*INDEX($10:$13,MATCH($O807,$R$10:$R$13,0),COLUMN())</f>
        <v>0.67094407860000005</v>
      </c>
      <c r="AX807" s="1046" cm="1">
        <f t="array" aca="1" ref="AX807" ca="1">INDEX(OFFSET($AK$19,MATCH($B807,$B$19:$B$150,0)-1,0,COUNTA($B$19:$B$24),COUNTA($AK$17:$BB$17)),MATCH($F807,$F$19:$F$24,0),MATCH(AX$17,$AK$17:$BB$17,0))*INDEX($10:$13,MATCH($O807,$R$10:$R$13,0),COLUMN())</f>
        <v>4.7295898810000005E-6</v>
      </c>
      <c r="AY807" s="1046" cm="1">
        <f t="array" aca="1" ref="AY807" ca="1">INDEX(OFFSET($AK$19,MATCH($B807,$B$19:$B$150,0)-1,0,COUNTA($B$19:$B$24),COUNTA($AK$17:$BB$17)),MATCH($F807,$F$19:$F$24,0),MATCH(AY$17,$AK$17:$BB$17,0))*INDEX($10:$13,MATCH($O807,$R$10:$R$13,0),COLUMN())</f>
        <v>4.9631406279999999E-4</v>
      </c>
      <c r="AZ807" s="1046" cm="1">
        <f t="array" aca="1" ref="AZ807" ca="1">INDEX(OFFSET($AK$19,MATCH($B807,$B$19:$B$150,0)-1,0,COUNTA($B$19:$B$24),COUNTA($AK$17:$BB$17)),MATCH($F807,$F$19:$F$24,0),MATCH(AZ$17,$AK$17:$BB$17,0))*INDEX($10:$13,MATCH($O807,$R$10:$R$13,0),COLUMN())</f>
        <v>1.1247492257611241E-5</v>
      </c>
      <c r="BA807" s="1046" cm="1">
        <f t="array" aca="1" ref="BA807" ca="1">INDEX(OFFSET($AK$19,MATCH($B807,$B$19:$B$150,0)-1,0,COUNTA($B$19:$B$24),COUNTA($AK$17:$BB$17)),MATCH($F807,$F$19:$F$24,0),MATCH(BA$17,$AK$17:$BB$17,0))*INDEX($10:$13,MATCH($O807,$R$10:$R$13,0),COLUMN())</f>
        <v>0.11697985702000001</v>
      </c>
      <c r="BB807" s="1047" cm="1">
        <f t="array" aca="1" ref="BB807" ca="1">INDEX(OFFSET($AK$19,MATCH($B807,$B$19:$B$150,0)-1,0,COUNTA($B$19:$B$24),COUNTA($AK$17:$BB$17)),MATCH($F807,$F$19:$F$24,0),MATCH(BB$17,$AK$17:$BB$17,0))*INDEX($10:$13,MATCH($O807,$R$10:$R$13,0),COLUMN())</f>
        <v>3.6888012330000004E-2</v>
      </c>
      <c r="BC807" s="1049">
        <f t="shared" ca="1" si="203"/>
        <v>0.67144512225268105</v>
      </c>
      <c r="BE807" s="1"/>
      <c r="BF807" s="1"/>
      <c r="BG807" s="1"/>
      <c r="BH807" s="1"/>
      <c r="BI807" s="1"/>
      <c r="BJ807" s="1"/>
      <c r="BK807" s="1"/>
      <c r="BL807" s="1"/>
      <c r="BM807" s="1"/>
      <c r="BN807" s="1"/>
      <c r="BO807" s="1"/>
      <c r="BP807" s="1"/>
      <c r="BQ807" s="1"/>
      <c r="BR807" s="1"/>
      <c r="BS807" s="1"/>
      <c r="BT807" s="1"/>
      <c r="BU807" s="1"/>
      <c r="BV807" s="1"/>
      <c r="BW807" s="1"/>
      <c r="BX807" s="1"/>
      <c r="BY807" s="1"/>
      <c r="BZ807" s="1"/>
    </row>
    <row r="808" spans="2:78" ht="12" customHeight="1" outlineLevel="1" x14ac:dyDescent="0.25">
      <c r="B808" s="104" t="s">
        <v>116</v>
      </c>
      <c r="C808" s="104" t="s">
        <v>124</v>
      </c>
      <c r="D808" s="2" t="s">
        <v>152</v>
      </c>
      <c r="E808" s="2" t="s">
        <v>156</v>
      </c>
      <c r="F808" s="105" t="s">
        <v>122</v>
      </c>
      <c r="G808" s="27" t="s">
        <v>1579</v>
      </c>
      <c r="H808" s="106" t="s">
        <v>128</v>
      </c>
      <c r="I808" s="107" t="s">
        <v>129</v>
      </c>
      <c r="J808" s="147">
        <v>1.55</v>
      </c>
      <c r="K808" s="148">
        <v>4.3927738336713995</v>
      </c>
      <c r="L808" s="149">
        <f t="shared" ca="1" si="201"/>
        <v>0.64828734267404908</v>
      </c>
      <c r="M808" s="148">
        <f t="shared" ca="1" si="202"/>
        <v>7.2405535092703257</v>
      </c>
      <c r="N808" s="163">
        <f t="shared" ca="1" si="204"/>
        <v>2.8477796755989266</v>
      </c>
      <c r="O808" s="1061" t="s">
        <v>1586</v>
      </c>
      <c r="P808" s="104"/>
      <c r="R808" s="119"/>
      <c r="S808" s="1072"/>
      <c r="T808" s="1072"/>
      <c r="U808" s="1072"/>
      <c r="V808" s="1072"/>
      <c r="W808" s="1072"/>
      <c r="X808" s="1072"/>
      <c r="Y808" s="1072"/>
      <c r="Z808" s="1072"/>
      <c r="AA808" s="1072"/>
      <c r="AB808" s="1072"/>
      <c r="AC808" s="1072"/>
      <c r="AD808" s="1072"/>
      <c r="AE808" s="1072"/>
      <c r="AF808" s="1072"/>
      <c r="AG808" s="1072"/>
      <c r="AH808" s="1072"/>
      <c r="AI808" s="1072"/>
      <c r="AJ808" s="1073"/>
      <c r="AK808" s="1052" cm="1">
        <f t="array" aca="1" ref="AK808" ca="1">INDEX(OFFSET($AK$19,MATCH($B808,$B$19:$B$150,0)-1,0,COUNTA($B$19:$B$24),COUNTA($AK$17:$BB$17)),MATCH($F808,$F$19:$F$24,0),MATCH(AK$17,$AK$17:$BB$17,0))*INDEX($10:$13,MATCH($O808,$R$10:$R$13,0),COLUMN())</f>
        <v>0.2038491456</v>
      </c>
      <c r="AL808" s="1050" cm="1">
        <f t="array" aca="1" ref="AL808" ca="1">INDEX(OFFSET($AK$19,MATCH($B808,$B$19:$B$150,0)-1,0,COUNTA($B$19:$B$24),COUNTA($AK$17:$BB$17)),MATCH($F808,$F$19:$F$24,0),MATCH(AL$17,$AK$17:$BB$17,0))*INDEX($10:$13,MATCH($O808,$R$10:$R$13,0),COLUMN())</f>
        <v>8.2464952499999999E-7</v>
      </c>
      <c r="AM808" s="1050" cm="1">
        <f t="array" aca="1" ref="AM808" ca="1">INDEX(OFFSET($AK$19,MATCH($B808,$B$19:$B$150,0)-1,0,COUNTA($B$19:$B$24),COUNTA($AK$17:$BB$17)),MATCH($F808,$F$19:$F$24,0),MATCH(AM$17,$AK$17:$BB$17,0))*INDEX($10:$13,MATCH($O808,$R$10:$R$13,0),COLUMN())</f>
        <v>0</v>
      </c>
      <c r="AN808" s="1050" cm="1">
        <f t="array" aca="1" ref="AN808" ca="1">INDEX(OFFSET($AK$19,MATCH($B808,$B$19:$B$150,0)-1,0,COUNTA($B$19:$B$24),COUNTA($AK$17:$BB$17)),MATCH($F808,$F$19:$F$24,0),MATCH(AN$17,$AK$17:$BB$17,0))*INDEX($10:$13,MATCH($O808,$R$10:$R$13,0),COLUMN())</f>
        <v>6.9028067280000006E-3</v>
      </c>
      <c r="AO808" s="1050" cm="1">
        <f t="array" aca="1" ref="AO808" ca="1">INDEX(OFFSET($AK$19,MATCH($B808,$B$19:$B$150,0)-1,0,COUNTA($B$19:$B$24),COUNTA($AK$17:$BB$17)),MATCH($F808,$F$19:$F$24,0),MATCH(AO$17,$AK$17:$BB$17,0))*INDEX($10:$13,MATCH($O808,$R$10:$R$13,0),COLUMN())</f>
        <v>0.34887360410958901</v>
      </c>
      <c r="AP808" s="1050" cm="1">
        <f t="array" aca="1" ref="AP808" ca="1">INDEX(OFFSET($AK$19,MATCH($B808,$B$19:$B$150,0)-1,0,COUNTA($B$19:$B$24),COUNTA($AK$17:$BB$17)),MATCH($F808,$F$19:$F$24,0),MATCH(AP$17,$AK$17:$BB$17,0))*INDEX($10:$13,MATCH($O808,$R$10:$R$13,0),COLUMN())</f>
        <v>0.22291986527999996</v>
      </c>
      <c r="AQ808" s="1050" cm="1">
        <f t="array" aca="1" ref="AQ808" ca="1">INDEX(OFFSET($AK$19,MATCH($B808,$B$19:$B$150,0)-1,0,COUNTA($B$19:$B$24),COUNTA($AK$17:$BB$17)),MATCH($F808,$F$19:$F$24,0),MATCH(AQ$17,$AK$17:$BB$17,0))*INDEX($10:$13,MATCH($O808,$R$10:$R$13,0),COLUMN())</f>
        <v>2.105748264E-2</v>
      </c>
      <c r="AR808" s="1050" cm="1">
        <f t="array" aca="1" ref="AR808" ca="1">INDEX(OFFSET($AK$19,MATCH($B808,$B$19:$B$150,0)-1,0,COUNTA($B$19:$B$24),COUNTA($AK$17:$BB$17)),MATCH($F808,$F$19:$F$24,0),MATCH(AR$17,$AK$17:$BB$17,0))*INDEX($10:$13,MATCH($O808,$R$10:$R$13,0),COLUMN())</f>
        <v>0.73634287939999998</v>
      </c>
      <c r="AS808" s="1050" cm="1">
        <f t="array" aca="1" ref="AS808" ca="1">INDEX(OFFSET($AK$19,MATCH($B808,$B$19:$B$150,0)-1,0,COUNTA($B$19:$B$24),COUNTA($AK$17:$BB$17)),MATCH($F808,$F$19:$F$24,0),MATCH(AS$17,$AK$17:$BB$17,0))*INDEX($10:$13,MATCH($O808,$R$10:$R$13,0),COLUMN())</f>
        <v>1.4215958652000001E-4</v>
      </c>
      <c r="AT808" s="1050" cm="1">
        <f t="array" aca="1" ref="AT808" ca="1">INDEX(OFFSET($AK$19,MATCH($B808,$B$19:$B$150,0)-1,0,COUNTA($B$19:$B$24),COUNTA($AK$17:$BB$17)),MATCH($F808,$F$19:$F$24,0),MATCH(AT$17,$AK$17:$BB$17,0))*INDEX($10:$13,MATCH($O808,$R$10:$R$13,0),COLUMN())</f>
        <v>9.476444712E-6</v>
      </c>
      <c r="AU808" s="1050" cm="1">
        <f t="array" aca="1" ref="AU808" ca="1">INDEX(OFFSET($AK$19,MATCH($B808,$B$19:$B$150,0)-1,0,COUNTA($B$19:$B$24),COUNTA($AK$17:$BB$17)),MATCH($F808,$F$19:$F$24,0),MATCH(AU$17,$AK$17:$BB$17,0))*INDEX($10:$13,MATCH($O808,$R$10:$R$13,0),COLUMN())</f>
        <v>2.1189040313999999E-6</v>
      </c>
      <c r="AV808" s="1050" cm="1">
        <f t="array" aca="1" ref="AV808" ca="1">INDEX(OFFSET($AK$19,MATCH($B808,$B$19:$B$150,0)-1,0,COUNTA($B$19:$B$24),COUNTA($AK$17:$BB$17)),MATCH($F808,$F$19:$F$24,0),MATCH(AV$17,$AK$17:$BB$17,0))*INDEX($10:$13,MATCH($O808,$R$10:$R$13,0),COLUMN())</f>
        <v>2.6001957154317466E-4</v>
      </c>
      <c r="AW808" s="1050" cm="1">
        <f t="array" aca="1" ref="AW808" ca="1">INDEX(OFFSET($AK$19,MATCH($B808,$B$19:$B$150,0)-1,0,COUNTA($B$19:$B$24),COUNTA($AK$17:$BB$17)),MATCH($F808,$F$19:$F$24,0),MATCH(AW$17,$AK$17:$BB$17,0))*INDEX($10:$13,MATCH($O808,$R$10:$R$13,0),COLUMN())</f>
        <v>1.196568079</v>
      </c>
      <c r="AX808" s="1050" cm="1">
        <f t="array" aca="1" ref="AX808" ca="1">INDEX(OFFSET($AK$19,MATCH($B808,$B$19:$B$150,0)-1,0,COUNTA($B$19:$B$24),COUNTA($AK$17:$BB$17)),MATCH($F808,$F$19:$F$24,0),MATCH(AX$17,$AK$17:$BB$17,0))*INDEX($10:$13,MATCH($O808,$R$10:$R$13,0),COLUMN())</f>
        <v>4.4741756000000007E-6</v>
      </c>
      <c r="AY808" s="1050" cm="1">
        <f t="array" aca="1" ref="AY808" ca="1">INDEX(OFFSET($AK$19,MATCH($B808,$B$19:$B$150,0)-1,0,COUNTA($B$19:$B$24),COUNTA($AK$17:$BB$17)),MATCH($F808,$F$19:$F$24,0),MATCH(AY$17,$AK$17:$BB$17,0))*INDEX($10:$13,MATCH($O808,$R$10:$R$13,0),COLUMN())</f>
        <v>2.0089880673000001E-7</v>
      </c>
      <c r="AZ808" s="1050" cm="1">
        <f t="array" aca="1" ref="AZ808" ca="1">INDEX(OFFSET($AK$19,MATCH($B808,$B$19:$B$150,0)-1,0,COUNTA($B$19:$B$24),COUNTA($AK$17:$BB$17)),MATCH($F808,$F$19:$F$24,0),MATCH(AZ$17,$AK$17:$BB$17,0))*INDEX($10:$13,MATCH($O808,$R$10:$R$13,0),COLUMN())</f>
        <v>1.5311170599531612E-5</v>
      </c>
      <c r="BA808" s="1050" cm="1">
        <f t="array" aca="1" ref="BA808" ca="1">INDEX(OFFSET($AK$19,MATCH($B808,$B$19:$B$150,0)-1,0,COUNTA($B$19:$B$24),COUNTA($AK$17:$BB$17)),MATCH($F808,$F$19:$F$24,0),MATCH(BA$17,$AK$17:$BB$17,0))*INDEX($10:$13,MATCH($O808,$R$10:$R$13,0),COLUMN())</f>
        <v>0.10005703639000001</v>
      </c>
      <c r="BB808" s="1051" cm="1">
        <f t="array" aca="1" ref="BB808" ca="1">INDEX(OFFSET($AK$19,MATCH($B808,$B$19:$B$150,0)-1,0,COUNTA($B$19:$B$24),COUNTA($AK$17:$BB$17)),MATCH($F808,$F$19:$F$24,0),MATCH(BB$17,$AK$17:$BB$17,0))*INDEX($10:$13,MATCH($O808,$R$10:$R$13,0),COLUMN())</f>
        <v>1.077419105E-2</v>
      </c>
      <c r="BC808" s="1053">
        <f t="shared" ca="1" si="203"/>
        <v>1.1965727540744067</v>
      </c>
      <c r="BE808" s="1"/>
      <c r="BF808" s="1"/>
      <c r="BG808" s="1"/>
      <c r="BH808" s="1"/>
      <c r="BI808" s="1"/>
      <c r="BJ808" s="1"/>
      <c r="BK808" s="1"/>
      <c r="BL808" s="1"/>
      <c r="BM808" s="1"/>
      <c r="BN808" s="1"/>
      <c r="BO808" s="1"/>
      <c r="BP808" s="1"/>
      <c r="BQ808" s="1"/>
      <c r="BR808" s="1"/>
      <c r="BS808" s="1"/>
      <c r="BT808" s="1"/>
      <c r="BU808" s="1"/>
      <c r="BV808" s="1"/>
      <c r="BW808" s="1"/>
      <c r="BX808" s="1"/>
      <c r="BY808" s="1"/>
      <c r="BZ808" s="1"/>
    </row>
    <row r="809" spans="2:78" ht="12" customHeight="1" outlineLevel="1" x14ac:dyDescent="0.25">
      <c r="B809" s="104" t="s">
        <v>116</v>
      </c>
      <c r="C809" s="104" t="s">
        <v>124</v>
      </c>
      <c r="D809" s="2" t="s">
        <v>152</v>
      </c>
      <c r="E809" s="2" t="s">
        <v>156</v>
      </c>
      <c r="F809" s="105" t="s">
        <v>93</v>
      </c>
      <c r="G809" s="27" t="s">
        <v>1578</v>
      </c>
      <c r="H809" s="106" t="s">
        <v>130</v>
      </c>
      <c r="I809" s="107" t="s">
        <v>129</v>
      </c>
      <c r="J809" s="147">
        <v>1.55</v>
      </c>
      <c r="K809" s="148">
        <v>4.3927738336713995</v>
      </c>
      <c r="L809" s="149">
        <f t="shared" ca="1" si="201"/>
        <v>0.7846747934627667</v>
      </c>
      <c r="M809" s="148">
        <f t="shared" ca="1" si="202"/>
        <v>7.8396727343361512</v>
      </c>
      <c r="N809" s="163">
        <f t="shared" ca="1" si="204"/>
        <v>3.4468989006647512</v>
      </c>
      <c r="O809" s="1061" t="s">
        <v>1586</v>
      </c>
      <c r="P809" s="104"/>
      <c r="R809" s="119"/>
      <c r="S809" s="1072"/>
      <c r="T809" s="1072"/>
      <c r="U809" s="1072"/>
      <c r="V809" s="1072"/>
      <c r="W809" s="1072"/>
      <c r="X809" s="1072"/>
      <c r="Y809" s="1072"/>
      <c r="Z809" s="1072"/>
      <c r="AA809" s="1072"/>
      <c r="AB809" s="1072"/>
      <c r="AC809" s="1072"/>
      <c r="AD809" s="1072"/>
      <c r="AE809" s="1072"/>
      <c r="AF809" s="1072"/>
      <c r="AG809" s="1072"/>
      <c r="AH809" s="1072"/>
      <c r="AI809" s="1072"/>
      <c r="AJ809" s="1073"/>
      <c r="AK809" s="1052" cm="1">
        <f t="array" aca="1" ref="AK809" ca="1">INDEX(OFFSET($AK$19,MATCH($B809,$B$19:$B$150,0)-1,0,COUNTA($B$19:$B$24),COUNTA($AK$17:$BB$17)),MATCH($F809,$F$19:$F$24,0),MATCH(AK$17,$AK$17:$BB$17,0))*INDEX($10:$13,MATCH($O809,$R$10:$R$13,0),COLUMN())</f>
        <v>0.23261696959999997</v>
      </c>
      <c r="AL809" s="1050" cm="1">
        <f t="array" aca="1" ref="AL809" ca="1">INDEX(OFFSET($AK$19,MATCH($B809,$B$19:$B$150,0)-1,0,COUNTA($B$19:$B$24),COUNTA($AK$17:$BB$17)),MATCH($F809,$F$19:$F$24,0),MATCH(AL$17,$AK$17:$BB$17,0))*INDEX($10:$13,MATCH($O809,$R$10:$R$13,0),COLUMN())</f>
        <v>8.6334122100000009E-7</v>
      </c>
      <c r="AM809" s="1050" cm="1">
        <f t="array" aca="1" ref="AM809" ca="1">INDEX(OFFSET($AK$19,MATCH($B809,$B$19:$B$150,0)-1,0,COUNTA($B$19:$B$24),COUNTA($AK$17:$BB$17)),MATCH($F809,$F$19:$F$24,0),MATCH(AM$17,$AK$17:$BB$17,0))*INDEX($10:$13,MATCH($O809,$R$10:$R$13,0),COLUMN())</f>
        <v>0</v>
      </c>
      <c r="AN809" s="1050" cm="1">
        <f t="array" aca="1" ref="AN809" ca="1">INDEX(OFFSET($AK$19,MATCH($B809,$B$19:$B$150,0)-1,0,COUNTA($B$19:$B$24),COUNTA($AK$17:$BB$17)),MATCH($F809,$F$19:$F$24,0),MATCH(AN$17,$AK$17:$BB$17,0))*INDEX($10:$13,MATCH($O809,$R$10:$R$13,0),COLUMN())</f>
        <v>8.1699321120000008E-3</v>
      </c>
      <c r="AO809" s="1050" cm="1">
        <f t="array" aca="1" ref="AO809" ca="1">INDEX(OFFSET($AK$19,MATCH($B809,$B$19:$B$150,0)-1,0,COUNTA($B$19:$B$24),COUNTA($AK$17:$BB$17)),MATCH($F809,$F$19:$F$24,0),MATCH(AO$17,$AK$17:$BB$17,0))*INDEX($10:$13,MATCH($O809,$R$10:$R$13,0),COLUMN())</f>
        <v>0.35795108136986298</v>
      </c>
      <c r="AP809" s="1050" cm="1">
        <f t="array" aca="1" ref="AP809" ca="1">INDEX(OFFSET($AK$19,MATCH($B809,$B$19:$B$150,0)-1,0,COUNTA($B$19:$B$24),COUNTA($AK$17:$BB$17)),MATCH($F809,$F$19:$F$24,0),MATCH(AP$17,$AK$17:$BB$17,0))*INDEX($10:$13,MATCH($O809,$R$10:$R$13,0),COLUMN())</f>
        <v>0.22856876448000002</v>
      </c>
      <c r="AQ809" s="1050" cm="1">
        <f t="array" aca="1" ref="AQ809" ca="1">INDEX(OFFSET($AK$19,MATCH($B809,$B$19:$B$150,0)-1,0,COUNTA($B$19:$B$24),COUNTA($AK$17:$BB$17)),MATCH($F809,$F$19:$F$24,0),MATCH(AQ$17,$AK$17:$BB$17,0))*INDEX($10:$13,MATCH($O809,$R$10:$R$13,0),COLUMN())</f>
        <v>2.7048249519999998E-2</v>
      </c>
      <c r="AR809" s="1050" cm="1">
        <f t="array" aca="1" ref="AR809" ca="1">INDEX(OFFSET($AK$19,MATCH($B809,$B$19:$B$150,0)-1,0,COUNTA($B$19:$B$24),COUNTA($AK$17:$BB$17)),MATCH($F809,$F$19:$F$24,0),MATCH(AR$17,$AK$17:$BB$17,0))*INDEX($10:$13,MATCH($O809,$R$10:$R$13,0),COLUMN())</f>
        <v>0.90676074799999995</v>
      </c>
      <c r="AS809" s="1050" cm="1">
        <f t="array" aca="1" ref="AS809" ca="1">INDEX(OFFSET($AK$19,MATCH($B809,$B$19:$B$150,0)-1,0,COUNTA($B$19:$B$24),COUNTA($AK$17:$BB$17)),MATCH($F809,$F$19:$F$24,0),MATCH(AS$17,$AK$17:$BB$17,0))*INDEX($10:$13,MATCH($O809,$R$10:$R$13,0),COLUMN())</f>
        <v>3.3849376630999998E-4</v>
      </c>
      <c r="AT809" s="1050" cm="1">
        <f t="array" aca="1" ref="AT809" ca="1">INDEX(OFFSET($AK$19,MATCH($B809,$B$19:$B$150,0)-1,0,COUNTA($B$19:$B$24),COUNTA($AK$17:$BB$17)),MATCH($F809,$F$19:$F$24,0),MATCH(AT$17,$AK$17:$BB$17,0))*INDEX($10:$13,MATCH($O809,$R$10:$R$13,0),COLUMN())</f>
        <v>1.2072481710000001E-5</v>
      </c>
      <c r="AU809" s="1050" cm="1">
        <f t="array" aca="1" ref="AU809" ca="1">INDEX(OFFSET($AK$19,MATCH($B809,$B$19:$B$150,0)-1,0,COUNTA($B$19:$B$24),COUNTA($AK$17:$BB$17)),MATCH($F809,$F$19:$F$24,0),MATCH(AU$17,$AK$17:$BB$17,0))*INDEX($10:$13,MATCH($O809,$R$10:$R$13,0),COLUMN())</f>
        <v>2.6607223062000002E-6</v>
      </c>
      <c r="AV809" s="1050" cm="1">
        <f t="array" aca="1" ref="AV809" ca="1">INDEX(OFFSET($AK$19,MATCH($B809,$B$19:$B$150,0)-1,0,COUNTA($B$19:$B$24),COUNTA($AK$17:$BB$17)),MATCH($F809,$F$19:$F$24,0),MATCH(AV$17,$AK$17:$BB$17,0))*INDEX($10:$13,MATCH($O809,$R$10:$R$13,0),COLUMN())</f>
        <v>5.7166118122624159E-4</v>
      </c>
      <c r="AW809" s="1050" cm="1">
        <f t="array" aca="1" ref="AW809" ca="1">INDEX(OFFSET($AK$19,MATCH($B809,$B$19:$B$150,0)-1,0,COUNTA($B$19:$B$24),COUNTA($AK$17:$BB$17)),MATCH($F809,$F$19:$F$24,0),MATCH(AW$17,$AK$17:$BB$17,0))*INDEX($10:$13,MATCH($O809,$R$10:$R$13,0),COLUMN())</f>
        <v>1.5632703439000002</v>
      </c>
      <c r="AX809" s="1050" cm="1">
        <f t="array" aca="1" ref="AX809" ca="1">INDEX(OFFSET($AK$19,MATCH($B809,$B$19:$B$150,0)-1,0,COUNTA($B$19:$B$24),COUNTA($AK$17:$BB$17)),MATCH($F809,$F$19:$F$24,0),MATCH(AX$17,$AK$17:$BB$17,0))*INDEX($10:$13,MATCH($O809,$R$10:$R$13,0),COLUMN())</f>
        <v>4.6277481569999998E-6</v>
      </c>
      <c r="AY809" s="1050" cm="1">
        <f t="array" aca="1" ref="AY809" ca="1">INDEX(OFFSET($AK$19,MATCH($B809,$B$19:$B$150,0)-1,0,COUNTA($B$19:$B$24),COUNTA($AK$17:$BB$17)),MATCH($F809,$F$19:$F$24,0),MATCH(AY$17,$AK$17:$BB$17,0))*INDEX($10:$13,MATCH($O809,$R$10:$R$13,0),COLUMN())</f>
        <v>2.0514214439000001E-7</v>
      </c>
      <c r="AZ809" s="1050" cm="1">
        <f t="array" aca="1" ref="AZ809" ca="1">INDEX(OFFSET($AK$19,MATCH($B809,$B$19:$B$150,0)-1,0,COUNTA($B$19:$B$24),COUNTA($AK$17:$BB$17)),MATCH($F809,$F$19:$F$24,0),MATCH(AZ$17,$AK$17:$BB$17,0))*INDEX($10:$13,MATCH($O809,$R$10:$R$13,0),COLUMN())</f>
        <v>1.8657325812646368E-5</v>
      </c>
      <c r="BA809" s="1050" cm="1">
        <f t="array" aca="1" ref="BA809" ca="1">INDEX(OFFSET($AK$19,MATCH($B809,$B$19:$B$150,0)-1,0,COUNTA($B$19:$B$24),COUNTA($AK$17:$BB$17)),MATCH($F809,$F$19:$F$24,0),MATCH(BA$17,$AK$17:$BB$17,0))*INDEX($10:$13,MATCH($O809,$R$10:$R$13,0),COLUMN())</f>
        <v>0.10972872038999999</v>
      </c>
      <c r="BB809" s="1051" cm="1">
        <f t="array" aca="1" ref="BB809" ca="1">INDEX(OFFSET($AK$19,MATCH($B809,$B$19:$B$150,0)-1,0,COUNTA($B$19:$B$24),COUNTA($AK$17:$BB$17)),MATCH($F809,$F$19:$F$24,0),MATCH(BB$17,$AK$17:$BB$17,0))*INDEX($10:$13,MATCH($O809,$R$10:$R$13,0),COLUMN())</f>
        <v>1.1834849584000001E-2</v>
      </c>
      <c r="BC809" s="1053">
        <f t="shared" ca="1" si="203"/>
        <v>1.5632751767903015</v>
      </c>
      <c r="BE809" s="1"/>
      <c r="BF809" s="1"/>
      <c r="BG809" s="1"/>
      <c r="BH809" s="1"/>
      <c r="BI809" s="1"/>
      <c r="BJ809" s="1"/>
      <c r="BK809" s="1"/>
      <c r="BL809" s="1"/>
      <c r="BM809" s="1"/>
      <c r="BN809" s="1"/>
      <c r="BO809" s="1"/>
      <c r="BP809" s="1"/>
      <c r="BQ809" s="1"/>
      <c r="BR809" s="1"/>
      <c r="BS809" s="1"/>
      <c r="BT809" s="1"/>
      <c r="BU809" s="1"/>
      <c r="BV809" s="1"/>
      <c r="BW809" s="1"/>
      <c r="BX809" s="1"/>
      <c r="BY809" s="1"/>
      <c r="BZ809" s="1"/>
    </row>
    <row r="810" spans="2:78" ht="12" customHeight="1" outlineLevel="1" x14ac:dyDescent="0.25">
      <c r="B810" s="104" t="s">
        <v>116</v>
      </c>
      <c r="C810" s="104" t="s">
        <v>124</v>
      </c>
      <c r="D810" s="2" t="s">
        <v>152</v>
      </c>
      <c r="E810" s="2" t="s">
        <v>156</v>
      </c>
      <c r="F810" s="105" t="s">
        <v>94</v>
      </c>
      <c r="G810" s="27" t="s">
        <v>1580</v>
      </c>
      <c r="H810" s="106" t="s">
        <v>131</v>
      </c>
      <c r="I810" s="107" t="s">
        <v>129</v>
      </c>
      <c r="J810" s="147">
        <v>1.55</v>
      </c>
      <c r="K810" s="148">
        <v>4.3927738336713995</v>
      </c>
      <c r="L810" s="149">
        <f t="shared" ca="1" si="201"/>
        <v>0.56007358891827586</v>
      </c>
      <c r="M810" s="148">
        <f t="shared" ca="1" si="202"/>
        <v>6.8530504400020336</v>
      </c>
      <c r="N810" s="163">
        <f t="shared" ca="1" si="204"/>
        <v>2.4602766063306341</v>
      </c>
      <c r="O810" s="1061" t="s">
        <v>1586</v>
      </c>
      <c r="P810" s="104"/>
      <c r="R810" s="119"/>
      <c r="S810" s="1072"/>
      <c r="T810" s="1072"/>
      <c r="U810" s="1072"/>
      <c r="V810" s="1072"/>
      <c r="W810" s="1072"/>
      <c r="X810" s="1072"/>
      <c r="Y810" s="1072"/>
      <c r="Z810" s="1072"/>
      <c r="AA810" s="1072"/>
      <c r="AB810" s="1072"/>
      <c r="AC810" s="1072"/>
      <c r="AD810" s="1072"/>
      <c r="AE810" s="1072"/>
      <c r="AF810" s="1072"/>
      <c r="AG810" s="1072"/>
      <c r="AH810" s="1072"/>
      <c r="AI810" s="1072"/>
      <c r="AJ810" s="1073"/>
      <c r="AK810" s="1052" cm="1">
        <f t="array" aca="1" ref="AK810" ca="1">INDEX(OFFSET($AK$19,MATCH($B810,$B$19:$B$150,0)-1,0,COUNTA($B$19:$B$24),COUNTA($AK$17:$BB$17)),MATCH($F810,$F$19:$F$24,0),MATCH(AK$17,$AK$17:$BB$17,0))*INDEX($10:$13,MATCH($O810,$R$10:$R$13,0),COLUMN())</f>
        <v>0.18486791760000001</v>
      </c>
      <c r="AL810" s="1050" cm="1">
        <f t="array" aca="1" ref="AL810" ca="1">INDEX(OFFSET($AK$19,MATCH($B810,$B$19:$B$150,0)-1,0,COUNTA($B$19:$B$24),COUNTA($AK$17:$BB$17)),MATCH($F810,$F$19:$F$24,0),MATCH(AL$17,$AK$17:$BB$17,0))*INDEX($10:$13,MATCH($O810,$R$10:$R$13,0),COLUMN())</f>
        <v>7.9562238960000009E-7</v>
      </c>
      <c r="AM810" s="1050" cm="1">
        <f t="array" aca="1" ref="AM810" ca="1">INDEX(OFFSET($AK$19,MATCH($B810,$B$19:$B$150,0)-1,0,COUNTA($B$19:$B$24),COUNTA($AK$17:$BB$17)),MATCH($F810,$F$19:$F$24,0),MATCH(AM$17,$AK$17:$BB$17,0))*INDEX($10:$13,MATCH($O810,$R$10:$R$13,0),COLUMN())</f>
        <v>0</v>
      </c>
      <c r="AN810" s="1050" cm="1">
        <f t="array" aca="1" ref="AN810" ca="1">INDEX(OFFSET($AK$19,MATCH($B810,$B$19:$B$150,0)-1,0,COUNTA($B$19:$B$24),COUNTA($AK$17:$BB$17)),MATCH($F810,$F$19:$F$24,0),MATCH(AN$17,$AK$17:$BB$17,0))*INDEX($10:$13,MATCH($O810,$R$10:$R$13,0),COLUMN())</f>
        <v>6.0788461800000007E-3</v>
      </c>
      <c r="AO810" s="1050" cm="1">
        <f t="array" aca="1" ref="AO810" ca="1">INDEX(OFFSET($AK$19,MATCH($B810,$B$19:$B$150,0)-1,0,COUNTA($B$19:$B$24),COUNTA($AK$17:$BB$17)),MATCH($F810,$F$19:$F$24,0),MATCH(AO$17,$AK$17:$BB$17,0))*INDEX($10:$13,MATCH($O810,$R$10:$R$13,0),COLUMN())</f>
        <v>0.34142701849315071</v>
      </c>
      <c r="AP810" s="1050" cm="1">
        <f t="array" aca="1" ref="AP810" ca="1">INDEX(OFFSET($AK$19,MATCH($B810,$B$19:$B$150,0)-1,0,COUNTA($B$19:$B$24),COUNTA($AK$17:$BB$17)),MATCH($F810,$F$19:$F$24,0),MATCH(AP$17,$AK$17:$BB$17,0))*INDEX($10:$13,MATCH($O810,$R$10:$R$13,0),COLUMN())</f>
        <v>0.21801544464</v>
      </c>
      <c r="AQ810" s="1050" cm="1">
        <f t="array" aca="1" ref="AQ810" ca="1">INDEX(OFFSET($AK$19,MATCH($B810,$B$19:$B$150,0)-1,0,COUNTA($B$19:$B$24),COUNTA($AK$17:$BB$17)),MATCH($F810,$F$19:$F$24,0),MATCH(AQ$17,$AK$17:$BB$17,0))*INDEX($10:$13,MATCH($O810,$R$10:$R$13,0),COLUMN())</f>
        <v>1.7239965552000001E-2</v>
      </c>
      <c r="AR810" s="1050" cm="1">
        <f t="array" aca="1" ref="AR810" ca="1">INDEX(OFFSET($AK$19,MATCH($B810,$B$19:$B$150,0)-1,0,COUNTA($B$19:$B$24),COUNTA($AK$17:$BB$17)),MATCH($F810,$F$19:$F$24,0),MATCH(AR$17,$AK$17:$BB$17,0))*INDEX($10:$13,MATCH($O810,$R$10:$R$13,0),COLUMN())</f>
        <v>0.62483667754000005</v>
      </c>
      <c r="AS810" s="1050" cm="1">
        <f t="array" aca="1" ref="AS810" ca="1">INDEX(OFFSET($AK$19,MATCH($B810,$B$19:$B$150,0)-1,0,COUNTA($B$19:$B$24),COUNTA($AK$17:$BB$17)),MATCH($F810,$F$19:$F$24,0),MATCH(AS$17,$AK$17:$BB$17,0))*INDEX($10:$13,MATCH($O810,$R$10:$R$13,0),COLUMN())</f>
        <v>2.0169758593999997E-5</v>
      </c>
      <c r="AT810" s="1050" cm="1">
        <f t="array" aca="1" ref="AT810" ca="1">INDEX(OFFSET($AK$19,MATCH($B810,$B$19:$B$150,0)-1,0,COUNTA($B$19:$B$24),COUNTA($AK$17:$BB$17)),MATCH($F810,$F$19:$F$24,0),MATCH(AT$17,$AK$17:$BB$17,0))*INDEX($10:$13,MATCH($O810,$R$10:$R$13,0),COLUMN())</f>
        <v>7.8241423120000004E-6</v>
      </c>
      <c r="AU810" s="1050" cm="1">
        <f t="array" aca="1" ref="AU810" ca="1">INDEX(OFFSET($AK$19,MATCH($B810,$B$19:$B$150,0)-1,0,COUNTA($B$19:$B$24),COUNTA($AK$17:$BB$17)),MATCH($F810,$F$19:$F$24,0),MATCH(AU$17,$AK$17:$BB$17,0))*INDEX($10:$13,MATCH($O810,$R$10:$R$13,0),COLUMN())</f>
        <v>1.7729536259999999E-6</v>
      </c>
      <c r="AV810" s="1050" cm="1">
        <f t="array" aca="1" ref="AV810" ca="1">INDEX(OFFSET($AK$19,MATCH($B810,$B$19:$B$150,0)-1,0,COUNTA($B$19:$B$24),COUNTA($AK$17:$BB$17)),MATCH($F810,$F$19:$F$24,0),MATCH(AV$17,$AK$17:$BB$17,0))*INDEX($10:$13,MATCH($O810,$R$10:$R$13,0),COLUMN())</f>
        <v>6.8017413572089494E-5</v>
      </c>
      <c r="AW810" s="1050" cm="1">
        <f t="array" aca="1" ref="AW810" ca="1">INDEX(OFFSET($AK$19,MATCH($B810,$B$19:$B$150,0)-1,0,COUNTA($B$19:$B$24),COUNTA($AK$17:$BB$17)),MATCH($F810,$F$19:$F$24,0),MATCH(AW$17,$AK$17:$BB$17,0))*INDEX($10:$13,MATCH($O810,$R$10:$R$13,0),COLUMN())</f>
        <v>0.96419896670000005</v>
      </c>
      <c r="AX810" s="1050" cm="1">
        <f t="array" aca="1" ref="AX810" ca="1">INDEX(OFFSET($AK$19,MATCH($B810,$B$19:$B$150,0)-1,0,COUNTA($B$19:$B$24),COUNTA($AK$17:$BB$17)),MATCH($F810,$F$19:$F$24,0),MATCH(AX$17,$AK$17:$BB$17,0))*INDEX($10:$13,MATCH($O810,$R$10:$R$13,0),COLUMN())</f>
        <v>4.3486303340000003E-6</v>
      </c>
      <c r="AY810" s="1050" cm="1">
        <f t="array" aca="1" ref="AY810" ca="1">INDEX(OFFSET($AK$19,MATCH($B810,$B$19:$B$150,0)-1,0,COUNTA($B$19:$B$24),COUNTA($AK$17:$BB$17)),MATCH($F810,$F$19:$F$24,0),MATCH(AY$17,$AK$17:$BB$17,0))*INDEX($10:$13,MATCH($O810,$R$10:$R$13,0),COLUMN())</f>
        <v>1.9632296492E-7</v>
      </c>
      <c r="AZ810" s="1050" cm="1">
        <f t="array" aca="1" ref="AZ810" ca="1">INDEX(OFFSET($AK$19,MATCH($B810,$B$19:$B$150,0)-1,0,COUNTA($B$19:$B$24),COUNTA($AK$17:$BB$17)),MATCH($F810,$F$19:$F$24,0),MATCH(AZ$17,$AK$17:$BB$17,0))*INDEX($10:$13,MATCH($O810,$R$10:$R$13,0),COLUMN())</f>
        <v>1.3158823690866509E-5</v>
      </c>
      <c r="BA810" s="1050" cm="1">
        <f t="array" aca="1" ref="BA810" ca="1">INDEX(OFFSET($AK$19,MATCH($B810,$B$19:$B$150,0)-1,0,COUNTA($B$19:$B$24),COUNTA($AK$17:$BB$17)),MATCH($F810,$F$19:$F$24,0),MATCH(BA$17,$AK$17:$BB$17,0))*INDEX($10:$13,MATCH($O810,$R$10:$R$13,0),COLUMN())</f>
        <v>9.3472101889999992E-2</v>
      </c>
      <c r="BB810" s="1051" cm="1">
        <f t="array" aca="1" ref="BB810" ca="1">INDEX(OFFSET($AK$19,MATCH($B810,$B$19:$B$150,0)-1,0,COUNTA($B$19:$B$24),COUNTA($AK$17:$BB$17)),MATCH($F810,$F$19:$F$24,0),MATCH(BB$17,$AK$17:$BB$17,0))*INDEX($10:$13,MATCH($O810,$R$10:$R$13,0),COLUMN())</f>
        <v>1.0023384067999999E-2</v>
      </c>
      <c r="BC810" s="1053">
        <f t="shared" ca="1" si="203"/>
        <v>0.96420351165329898</v>
      </c>
      <c r="BE810" s="1"/>
      <c r="BF810" s="1"/>
      <c r="BG810" s="1"/>
      <c r="BH810" s="1"/>
      <c r="BI810" s="1"/>
      <c r="BJ810" s="1"/>
      <c r="BK810" s="1"/>
      <c r="BL810" s="1"/>
      <c r="BM810" s="1"/>
      <c r="BN810" s="1"/>
      <c r="BO810" s="1"/>
      <c r="BP810" s="1"/>
      <c r="BQ810" s="1"/>
      <c r="BR810" s="1"/>
      <c r="BS810" s="1"/>
      <c r="BT810" s="1"/>
      <c r="BU810" s="1"/>
      <c r="BV810" s="1"/>
      <c r="BW810" s="1"/>
      <c r="BX810" s="1"/>
      <c r="BY810" s="1"/>
      <c r="BZ810" s="1"/>
    </row>
    <row r="811" spans="2:78" ht="12" customHeight="1" outlineLevel="1" x14ac:dyDescent="0.25">
      <c r="B811" s="104" t="s">
        <v>116</v>
      </c>
      <c r="C811" s="104" t="s">
        <v>124</v>
      </c>
      <c r="D811" s="2" t="s">
        <v>152</v>
      </c>
      <c r="E811" s="2" t="s">
        <v>156</v>
      </c>
      <c r="F811" s="105" t="s">
        <v>95</v>
      </c>
      <c r="G811" s="27" t="s">
        <v>1581</v>
      </c>
      <c r="H811" s="106" t="s">
        <v>128</v>
      </c>
      <c r="I811" s="107" t="s">
        <v>127</v>
      </c>
      <c r="J811" s="147">
        <v>1.55</v>
      </c>
      <c r="K811" s="148">
        <v>4.3927738336713995</v>
      </c>
      <c r="L811" s="149">
        <f t="shared" ca="1" si="201"/>
        <v>0.73323860331145141</v>
      </c>
      <c r="M811" s="148">
        <f t="shared" ca="1" si="202"/>
        <v>7.6137251841357063</v>
      </c>
      <c r="N811" s="163">
        <f t="shared" ca="1" si="204"/>
        <v>3.2209513504643068</v>
      </c>
      <c r="O811" s="1061" t="s">
        <v>1586</v>
      </c>
      <c r="P811" s="104"/>
      <c r="R811" s="119"/>
      <c r="S811" s="1072"/>
      <c r="T811" s="1072"/>
      <c r="U811" s="1072"/>
      <c r="V811" s="1072"/>
      <c r="W811" s="1072"/>
      <c r="X811" s="1072"/>
      <c r="Y811" s="1072"/>
      <c r="Z811" s="1072"/>
      <c r="AA811" s="1072"/>
      <c r="AB811" s="1072"/>
      <c r="AC811" s="1072"/>
      <c r="AD811" s="1072"/>
      <c r="AE811" s="1072"/>
      <c r="AF811" s="1072"/>
      <c r="AG811" s="1072"/>
      <c r="AH811" s="1072"/>
      <c r="AI811" s="1072"/>
      <c r="AJ811" s="1073"/>
      <c r="AK811" s="1052" cm="1">
        <f t="array" aca="1" ref="AK811" ca="1">INDEX(OFFSET($AK$19,MATCH($B811,$B$19:$B$150,0)-1,0,COUNTA($B$19:$B$24),COUNTA($AK$17:$BB$17)),MATCH($F811,$F$19:$F$24,0),MATCH(AK$17,$AK$17:$BB$17,0))*INDEX($10:$13,MATCH($O811,$R$10:$R$13,0),COLUMN())</f>
        <v>0.2157521744</v>
      </c>
      <c r="AL811" s="1050" cm="1">
        <f t="array" aca="1" ref="AL811" ca="1">INDEX(OFFSET($AK$19,MATCH($B811,$B$19:$B$150,0)-1,0,COUNTA($B$19:$B$24),COUNTA($AK$17:$BB$17)),MATCH($F811,$F$19:$F$24,0),MATCH(AL$17,$AK$17:$BB$17,0))*INDEX($10:$13,MATCH($O811,$R$10:$R$13,0),COLUMN())</f>
        <v>8.2548198540000004E-7</v>
      </c>
      <c r="AM811" s="1050" cm="1">
        <f t="array" aca="1" ref="AM811" ca="1">INDEX(OFFSET($AK$19,MATCH($B811,$B$19:$B$150,0)-1,0,COUNTA($B$19:$B$24),COUNTA($AK$17:$BB$17)),MATCH($F811,$F$19:$F$24,0),MATCH(AM$17,$AK$17:$BB$17,0))*INDEX($10:$13,MATCH($O811,$R$10:$R$13,0),COLUMN())</f>
        <v>0</v>
      </c>
      <c r="AN811" s="1050" cm="1">
        <f t="array" aca="1" ref="AN811" ca="1">INDEX(OFFSET($AK$19,MATCH($B811,$B$19:$B$150,0)-1,0,COUNTA($B$19:$B$24),COUNTA($AK$17:$BB$17)),MATCH($F811,$F$19:$F$24,0),MATCH(AN$17,$AK$17:$BB$17,0))*INDEX($10:$13,MATCH($O811,$R$10:$R$13,0),COLUMN())</f>
        <v>7.2024128220000011E-3</v>
      </c>
      <c r="AO811" s="1050" cm="1">
        <f t="array" aca="1" ref="AO811" ca="1">INDEX(OFFSET($AK$19,MATCH($B811,$B$19:$B$150,0)-1,0,COUNTA($B$19:$B$24),COUNTA($AK$17:$BB$17)),MATCH($F811,$F$19:$F$24,0),MATCH(AO$17,$AK$17:$BB$17,0))*INDEX($10:$13,MATCH($O811,$R$10:$R$13,0),COLUMN())</f>
        <v>0.38492821068493149</v>
      </c>
      <c r="AP811" s="1050" cm="1">
        <f t="array" aca="1" ref="AP811" ca="1">INDEX(OFFSET($AK$19,MATCH($B811,$B$19:$B$150,0)-1,0,COUNTA($B$19:$B$24),COUNTA($AK$17:$BB$17)),MATCH($F811,$F$19:$F$24,0),MATCH(AP$17,$AK$17:$BB$17,0))*INDEX($10:$13,MATCH($O811,$R$10:$R$13,0),COLUMN())</f>
        <v>0.25166419488000003</v>
      </c>
      <c r="AQ811" s="1050" cm="1">
        <f t="array" aca="1" ref="AQ811" ca="1">INDEX(OFFSET($AK$19,MATCH($B811,$B$19:$B$150,0)-1,0,COUNTA($B$19:$B$24),COUNTA($AK$17:$BB$17)),MATCH($F811,$F$19:$F$24,0),MATCH(AQ$17,$AK$17:$BB$17,0))*INDEX($10:$13,MATCH($O811,$R$10:$R$13,0),COLUMN())</f>
        <v>7.7521437919999991E-2</v>
      </c>
      <c r="AR811" s="1050" cm="1">
        <f t="array" aca="1" ref="AR811" ca="1">INDEX(OFFSET($AK$19,MATCH($B811,$B$19:$B$150,0)-1,0,COUNTA($B$19:$B$24),COUNTA($AK$17:$BB$17)),MATCH($F811,$F$19:$F$24,0),MATCH(AR$17,$AK$17:$BB$17,0))*INDEX($10:$13,MATCH($O811,$R$10:$R$13,0),COLUMN())</f>
        <v>0.96714975520000002</v>
      </c>
      <c r="AS811" s="1050" cm="1">
        <f t="array" aca="1" ref="AS811" ca="1">INDEX(OFFSET($AK$19,MATCH($B811,$B$19:$B$150,0)-1,0,COUNTA($B$19:$B$24),COUNTA($AK$17:$BB$17)),MATCH($F811,$F$19:$F$24,0),MATCH(AS$17,$AK$17:$BB$17,0))*INDEX($10:$13,MATCH($O811,$R$10:$R$13,0),COLUMN())</f>
        <v>4.4833898798999992E-3</v>
      </c>
      <c r="AT811" s="1050" cm="1">
        <f t="array" aca="1" ref="AT811" ca="1">INDEX(OFFSET($AK$19,MATCH($B811,$B$19:$B$150,0)-1,0,COUNTA($B$19:$B$24),COUNTA($AK$17:$BB$17)),MATCH($F811,$F$19:$F$24,0),MATCH(AT$17,$AK$17:$BB$17,0))*INDEX($10:$13,MATCH($O811,$R$10:$R$13,0),COLUMN())</f>
        <v>1.2717155372E-5</v>
      </c>
      <c r="AU811" s="1050" cm="1">
        <f t="array" aca="1" ref="AU811" ca="1">INDEX(OFFSET($AK$19,MATCH($B811,$B$19:$B$150,0)-1,0,COUNTA($B$19:$B$24),COUNTA($AK$17:$BB$17)),MATCH($F811,$F$19:$F$24,0),MATCH(AU$17,$AK$17:$BB$17,0))*INDEX($10:$13,MATCH($O811,$R$10:$R$13,0),COLUMN())</f>
        <v>2.6151244739999998E-6</v>
      </c>
      <c r="AV811" s="1050" cm="1">
        <f t="array" aca="1" ref="AV811" ca="1">INDEX(OFFSET($AK$19,MATCH($B811,$B$19:$B$150,0)-1,0,COUNTA($B$19:$B$24),COUNTA($AK$17:$BB$17)),MATCH($F811,$F$19:$F$24,0),MATCH(AV$17,$AK$17:$BB$17,0))*INDEX($10:$13,MATCH($O811,$R$10:$R$13,0),COLUMN())</f>
        <v>3.016944433759276E-3</v>
      </c>
      <c r="AW811" s="1050" cm="1">
        <f t="array" aca="1" ref="AW811" ca="1">INDEX(OFFSET($AK$19,MATCH($B811,$B$19:$B$150,0)-1,0,COUNTA($B$19:$B$24),COUNTA($AK$17:$BB$17)),MATCH($F811,$F$19:$F$24,0),MATCH(AW$17,$AK$17:$BB$17,0))*INDEX($10:$13,MATCH($O811,$R$10:$R$13,0),COLUMN())</f>
        <v>1.196568079</v>
      </c>
      <c r="AX811" s="1050" cm="1">
        <f t="array" aca="1" ref="AX811" ca="1">INDEX(OFFSET($AK$19,MATCH($B811,$B$19:$B$150,0)-1,0,COUNTA($B$19:$B$24),COUNTA($AK$17:$BB$17)),MATCH($F811,$F$19:$F$24,0),MATCH(AX$17,$AK$17:$BB$17,0))*INDEX($10:$13,MATCH($O811,$R$10:$R$13,0),COLUMN())</f>
        <v>4.4741756000000007E-6</v>
      </c>
      <c r="AY811" s="1050" cm="1">
        <f t="array" aca="1" ref="AY811" ca="1">INDEX(OFFSET($AK$19,MATCH($B811,$B$19:$B$150,0)-1,0,COUNTA($B$19:$B$24),COUNTA($AK$17:$BB$17)),MATCH($F811,$F$19:$F$24,0),MATCH(AY$17,$AK$17:$BB$17,0))*INDEX($10:$13,MATCH($O811,$R$10:$R$13,0),COLUMN())</f>
        <v>2.0089880673000001E-7</v>
      </c>
      <c r="AZ811" s="1050" cm="1">
        <f t="array" aca="1" ref="AZ811" ca="1">INDEX(OFFSET($AK$19,MATCH($B811,$B$19:$B$150,0)-1,0,COUNTA($B$19:$B$24),COUNTA($AK$17:$BB$17)),MATCH($F811,$F$19:$F$24,0),MATCH(AZ$17,$AK$17:$BB$17,0))*INDEX($10:$13,MATCH($O811,$R$10:$R$13,0),COLUMN())</f>
        <v>1.5327012477751753E-5</v>
      </c>
      <c r="BA811" s="1050" cm="1">
        <f t="array" aca="1" ref="BA811" ca="1">INDEX(OFFSET($AK$19,MATCH($B811,$B$19:$B$150,0)-1,0,COUNTA($B$19:$B$24),COUNTA($AK$17:$BB$17)),MATCH($F811,$F$19:$F$24,0),MATCH(BA$17,$AK$17:$BB$17,0))*INDEX($10:$13,MATCH($O811,$R$10:$R$13,0),COLUMN())</f>
        <v>0.10185293159</v>
      </c>
      <c r="BB811" s="1051" cm="1">
        <f t="array" aca="1" ref="BB811" ca="1">INDEX(OFFSET($AK$19,MATCH($B811,$B$19:$B$150,0)-1,0,COUNTA($B$19:$B$24),COUNTA($AK$17:$BB$17)),MATCH($F811,$F$19:$F$24,0),MATCH(BB$17,$AK$17:$BB$17,0))*INDEX($10:$13,MATCH($O811,$R$10:$R$13,0),COLUMN())</f>
        <v>1.0775659805000001E-2</v>
      </c>
      <c r="BC811" s="1053">
        <f t="shared" ca="1" si="203"/>
        <v>1.1965727540744067</v>
      </c>
      <c r="BE811" s="1"/>
      <c r="BF811" s="1"/>
      <c r="BG811" s="1"/>
      <c r="BH811" s="1"/>
      <c r="BI811" s="1"/>
      <c r="BJ811" s="1"/>
      <c r="BK811" s="1"/>
      <c r="BL811" s="1"/>
      <c r="BM811" s="1"/>
      <c r="BN811" s="1"/>
      <c r="BO811" s="1"/>
      <c r="BP811" s="1"/>
      <c r="BQ811" s="1"/>
      <c r="BR811" s="1"/>
      <c r="BS811" s="1"/>
      <c r="BT811" s="1"/>
      <c r="BU811" s="1"/>
      <c r="BV811" s="1"/>
      <c r="BW811" s="1"/>
      <c r="BX811" s="1"/>
      <c r="BY811" s="1"/>
      <c r="BZ811" s="1"/>
    </row>
    <row r="812" spans="2:78" ht="12" customHeight="1" outlineLevel="1" x14ac:dyDescent="0.25">
      <c r="B812" s="104" t="s">
        <v>116</v>
      </c>
      <c r="C812" s="104" t="s">
        <v>124</v>
      </c>
      <c r="D812" s="2" t="s">
        <v>152</v>
      </c>
      <c r="E812" s="2" t="s">
        <v>156</v>
      </c>
      <c r="F812" s="105" t="s">
        <v>96</v>
      </c>
      <c r="G812" s="27" t="s">
        <v>1582</v>
      </c>
      <c r="H812" s="106" t="s">
        <v>128</v>
      </c>
      <c r="I812" s="107" t="s">
        <v>1577</v>
      </c>
      <c r="J812" s="147">
        <v>1.55</v>
      </c>
      <c r="K812" s="148">
        <v>4.3927738336713995</v>
      </c>
      <c r="L812" s="149">
        <f t="shared" ca="1" si="201"/>
        <v>0.79604432584595008</v>
      </c>
      <c r="M812" s="148">
        <f t="shared" ca="1" si="202"/>
        <v>7.8896165186900786</v>
      </c>
      <c r="N812" s="163">
        <f t="shared" ca="1" si="204"/>
        <v>3.4968426850186791</v>
      </c>
      <c r="O812" s="1061" t="s">
        <v>1586</v>
      </c>
      <c r="P812" s="104"/>
      <c r="R812" s="119"/>
      <c r="S812" s="1072"/>
      <c r="T812" s="1072"/>
      <c r="U812" s="1072"/>
      <c r="V812" s="1072"/>
      <c r="W812" s="1072"/>
      <c r="X812" s="1072"/>
      <c r="Y812" s="1072"/>
      <c r="Z812" s="1072"/>
      <c r="AA812" s="1072"/>
      <c r="AB812" s="1072"/>
      <c r="AC812" s="1072"/>
      <c r="AD812" s="1072"/>
      <c r="AE812" s="1072"/>
      <c r="AF812" s="1072"/>
      <c r="AG812" s="1072"/>
      <c r="AH812" s="1072"/>
      <c r="AI812" s="1072"/>
      <c r="AJ812" s="1073"/>
      <c r="AK812" s="1052" cm="1">
        <f t="array" aca="1" ref="AK812" ca="1">INDEX(OFFSET($AK$19,MATCH($B812,$B$19:$B$150,0)-1,0,COUNTA($B$19:$B$24),COUNTA($AK$17:$BB$17)),MATCH($F812,$F$19:$F$24,0),MATCH(AK$17,$AK$17:$BB$17,0))*INDEX($10:$13,MATCH($O812,$R$10:$R$13,0),COLUMN())</f>
        <v>0.22442689040000002</v>
      </c>
      <c r="AL812" s="1050" cm="1">
        <f t="array" aca="1" ref="AL812" ca="1">INDEX(OFFSET($AK$19,MATCH($B812,$B$19:$B$150,0)-1,0,COUNTA($B$19:$B$24),COUNTA($AK$17:$BB$17)),MATCH($F812,$F$19:$F$24,0),MATCH(AL$17,$AK$17:$BB$17,0))*INDEX($10:$13,MATCH($O812,$R$10:$R$13,0),COLUMN())</f>
        <v>8.2602525660000007E-7</v>
      </c>
      <c r="AM812" s="1050" cm="1">
        <f t="array" aca="1" ref="AM812" ca="1">INDEX(OFFSET($AK$19,MATCH($B812,$B$19:$B$150,0)-1,0,COUNTA($B$19:$B$24),COUNTA($AK$17:$BB$17)),MATCH($F812,$F$19:$F$24,0),MATCH(AM$17,$AK$17:$BB$17,0))*INDEX($10:$13,MATCH($O812,$R$10:$R$13,0),COLUMN())</f>
        <v>0</v>
      </c>
      <c r="AN812" s="1050" cm="1">
        <f t="array" aca="1" ref="AN812" ca="1">INDEX(OFFSET($AK$19,MATCH($B812,$B$19:$B$150,0)-1,0,COUNTA($B$19:$B$24),COUNTA($AK$17:$BB$17)),MATCH($F812,$F$19:$F$24,0),MATCH(AN$17,$AK$17:$BB$17,0))*INDEX($10:$13,MATCH($O812,$R$10:$R$13,0),COLUMN())</f>
        <v>7.3979404320000004E-3</v>
      </c>
      <c r="AO812" s="1050" cm="1">
        <f t="array" aca="1" ref="AO812" ca="1">INDEX(OFFSET($AK$19,MATCH($B812,$B$19:$B$150,0)-1,0,COUNTA($B$19:$B$24),COUNTA($AK$17:$BB$17)),MATCH($F812,$F$19:$F$24,0),MATCH(AO$17,$AK$17:$BB$17,0))*INDEX($10:$13,MATCH($O812,$R$10:$R$13,0),COLUMN())</f>
        <v>0.41164756931506846</v>
      </c>
      <c r="AP812" s="1050" cm="1">
        <f t="array" aca="1" ref="AP812" ca="1">INDEX(OFFSET($AK$19,MATCH($B812,$B$19:$B$150,0)-1,0,COUNTA($B$19:$B$24),COUNTA($AK$17:$BB$17)),MATCH($F812,$F$19:$F$24,0),MATCH(AP$17,$AK$17:$BB$17,0))*INDEX($10:$13,MATCH($O812,$R$10:$R$13,0),COLUMN())</f>
        <v>0.27301612464000002</v>
      </c>
      <c r="AQ812" s="1050" cm="1">
        <f t="array" aca="1" ref="AQ812" ca="1">INDEX(OFFSET($AK$19,MATCH($B812,$B$19:$B$150,0)-1,0,COUNTA($B$19:$B$24),COUNTA($AK$17:$BB$17)),MATCH($F812,$F$19:$F$24,0),MATCH(AQ$17,$AK$17:$BB$17,0))*INDEX($10:$13,MATCH($O812,$R$10:$R$13,0),COLUMN())</f>
        <v>0.11820591904000001</v>
      </c>
      <c r="AR812" s="1050" cm="1">
        <f t="array" aca="1" ref="AR812" ca="1">INDEX(OFFSET($AK$19,MATCH($B812,$B$19:$B$150,0)-1,0,COUNTA($B$19:$B$24),COUNTA($AK$17:$BB$17)),MATCH($F812,$F$19:$F$24,0),MATCH(AR$17,$AK$17:$BB$17,0))*INDEX($10:$13,MATCH($O812,$R$10:$R$13,0),COLUMN())</f>
        <v>1.1387596706000001</v>
      </c>
      <c r="AS812" s="1050" cm="1">
        <f t="array" aca="1" ref="AS812" ca="1">INDEX(OFFSET($AK$19,MATCH($B812,$B$19:$B$150,0)-1,0,COUNTA($B$19:$B$24),COUNTA($AK$17:$BB$17)),MATCH($F812,$F$19:$F$24,0),MATCH(AS$17,$AK$17:$BB$17,0))*INDEX($10:$13,MATCH($O812,$R$10:$R$13,0),COLUMN())</f>
        <v>7.5921831360000001E-3</v>
      </c>
      <c r="AT812" s="1050" cm="1">
        <f t="array" aca="1" ref="AT812" ca="1">INDEX(OFFSET($AK$19,MATCH($B812,$B$19:$B$150,0)-1,0,COUNTA($B$19:$B$24),COUNTA($AK$17:$BB$17)),MATCH($F812,$F$19:$F$24,0),MATCH(AT$17,$AK$17:$BB$17,0))*INDEX($10:$13,MATCH($O812,$R$10:$R$13,0),COLUMN())</f>
        <v>1.4117904758000001E-5</v>
      </c>
      <c r="AU812" s="1050" cm="1">
        <f t="array" aca="1" ref="AU812" ca="1">INDEX(OFFSET($AK$19,MATCH($B812,$B$19:$B$150,0)-1,0,COUNTA($B$19:$B$24),COUNTA($AK$17:$BB$17)),MATCH($F812,$F$19:$F$24,0),MATCH(AU$17,$AK$17:$BB$17,0))*INDEX($10:$13,MATCH($O812,$R$10:$R$13,0),COLUMN())</f>
        <v>2.8151046389999999E-6</v>
      </c>
      <c r="AV812" s="1050" cm="1">
        <f t="array" aca="1" ref="AV812" ca="1">INDEX(OFFSET($AK$19,MATCH($B812,$B$19:$B$150,0)-1,0,COUNTA($B$19:$B$24),COUNTA($AK$17:$BB$17)),MATCH($F812,$F$19:$F$24,0),MATCH(AV$17,$AK$17:$BB$17,0))*INDEX($10:$13,MATCH($O812,$R$10:$R$13,0),COLUMN())</f>
        <v>5.3889530046458784E-3</v>
      </c>
      <c r="AW812" s="1050" cm="1">
        <f t="array" aca="1" ref="AW812" ca="1">INDEX(OFFSET($AK$19,MATCH($B812,$B$19:$B$150,0)-1,0,COUNTA($B$19:$B$24),COUNTA($AK$17:$BB$17)),MATCH($F812,$F$19:$F$24,0),MATCH(AW$17,$AK$17:$BB$17,0))*INDEX($10:$13,MATCH($O812,$R$10:$R$13,0),COLUMN())</f>
        <v>1.196568079</v>
      </c>
      <c r="AX812" s="1050" cm="1">
        <f t="array" aca="1" ref="AX812" ca="1">INDEX(OFFSET($AK$19,MATCH($B812,$B$19:$B$150,0)-1,0,COUNTA($B$19:$B$24),COUNTA($AK$17:$BB$17)),MATCH($F812,$F$19:$F$24,0),MATCH(AX$17,$AK$17:$BB$17,0))*INDEX($10:$13,MATCH($O812,$R$10:$R$13,0),COLUMN())</f>
        <v>4.4741756000000007E-6</v>
      </c>
      <c r="AY812" s="1050" cm="1">
        <f t="array" aca="1" ref="AY812" ca="1">INDEX(OFFSET($AK$19,MATCH($B812,$B$19:$B$150,0)-1,0,COUNTA($B$19:$B$24),COUNTA($AK$17:$BB$17)),MATCH($F812,$F$19:$F$24,0),MATCH(AY$17,$AK$17:$BB$17,0))*INDEX($10:$13,MATCH($O812,$R$10:$R$13,0),COLUMN())</f>
        <v>2.0089880673000001E-7</v>
      </c>
      <c r="AZ812" s="1050" cm="1">
        <f t="array" aca="1" ref="AZ812" ca="1">INDEX(OFFSET($AK$19,MATCH($B812,$B$19:$B$150,0)-1,0,COUNTA($B$19:$B$24),COUNTA($AK$17:$BB$17)),MATCH($F812,$F$19:$F$24,0),MATCH(AZ$17,$AK$17:$BB$17,0))*INDEX($10:$13,MATCH($O812,$R$10:$R$13,0),COLUMN())</f>
        <v>1.5337350903981262E-5</v>
      </c>
      <c r="BA812" s="1050" cm="1">
        <f t="array" aca="1" ref="BA812" ca="1">INDEX(OFFSET($AK$19,MATCH($B812,$B$19:$B$150,0)-1,0,COUNTA($B$19:$B$24),COUNTA($AK$17:$BB$17)),MATCH($F812,$F$19:$F$24,0),MATCH(BA$17,$AK$17:$BB$17,0))*INDEX($10:$13,MATCH($O812,$R$10:$R$13,0),COLUMN())</f>
        <v>0.10302496559</v>
      </c>
      <c r="BB812" s="1051" cm="1">
        <f t="array" aca="1" ref="BB812" ca="1">INDEX(OFFSET($AK$19,MATCH($B812,$B$19:$B$150,0)-1,0,COUNTA($B$19:$B$24),COUNTA($AK$17:$BB$17)),MATCH($F812,$F$19:$F$24,0),MATCH(BB$17,$AK$17:$BB$17,0))*INDEX($10:$13,MATCH($O812,$R$10:$R$13,0),COLUMN())</f>
        <v>1.0776618401000001E-2</v>
      </c>
      <c r="BC812" s="1054">
        <f t="shared" ca="1" si="203"/>
        <v>1.1965727540744067</v>
      </c>
      <c r="BE812" s="1"/>
      <c r="BF812" s="1"/>
      <c r="BG812" s="1"/>
      <c r="BH812" s="1"/>
      <c r="BI812" s="1"/>
      <c r="BJ812" s="1"/>
      <c r="BK812" s="1"/>
      <c r="BL812" s="1"/>
      <c r="BM812" s="1"/>
      <c r="BN812" s="1"/>
      <c r="BO812" s="1"/>
      <c r="BP812" s="1"/>
      <c r="BQ812" s="1"/>
      <c r="BR812" s="1"/>
      <c r="BS812" s="1"/>
      <c r="BT812" s="1"/>
      <c r="BU812" s="1"/>
      <c r="BV812" s="1"/>
      <c r="BW812" s="1"/>
      <c r="BX812" s="1"/>
      <c r="BY812" s="1"/>
      <c r="BZ812" s="1"/>
    </row>
    <row r="813" spans="2:78" ht="12" customHeight="1" x14ac:dyDescent="0.2">
      <c r="B813" s="89"/>
      <c r="C813" s="89"/>
      <c r="D813" s="89"/>
      <c r="E813" s="89"/>
      <c r="F813" s="153"/>
      <c r="G813" s="89"/>
      <c r="H813" s="89"/>
      <c r="I813" s="89"/>
      <c r="J813" s="89"/>
      <c r="K813" s="89"/>
      <c r="L813" s="89"/>
      <c r="M813" s="89"/>
      <c r="N813" s="89"/>
      <c r="O813" s="1064"/>
      <c r="P813" s="89"/>
      <c r="Q813" s="89"/>
      <c r="R813" s="89"/>
      <c r="S813" s="89"/>
      <c r="T813" s="89"/>
      <c r="U813" s="89"/>
      <c r="V813" s="89"/>
      <c r="W813" s="89"/>
      <c r="X813" s="89"/>
      <c r="Y813" s="89"/>
      <c r="Z813" s="89"/>
      <c r="AA813" s="89"/>
      <c r="AB813" s="89"/>
      <c r="AC813" s="89"/>
      <c r="AD813" s="89"/>
      <c r="AE813" s="89"/>
      <c r="AF813" s="89"/>
      <c r="AG813" s="89"/>
      <c r="AH813" s="89"/>
      <c r="AI813" s="89"/>
      <c r="AJ813" s="89"/>
      <c r="AK813" s="89"/>
      <c r="AL813" s="89"/>
      <c r="AM813" s="89"/>
      <c r="AN813" s="89"/>
      <c r="AO813" s="89"/>
      <c r="AP813" s="89"/>
      <c r="AQ813" s="89"/>
      <c r="AR813" s="89"/>
      <c r="AS813" s="89"/>
      <c r="AT813" s="89"/>
      <c r="AU813" s="89"/>
      <c r="AV813" s="89"/>
      <c r="AW813" s="89"/>
      <c r="AX813" s="89"/>
      <c r="AY813" s="89"/>
      <c r="AZ813" s="89"/>
      <c r="BA813" s="89"/>
      <c r="BB813" s="89"/>
      <c r="BC813" s="89"/>
    </row>
    <row r="814" spans="2:78" ht="12" customHeight="1" x14ac:dyDescent="0.25">
      <c r="L814" s="1393" t="s">
        <v>189</v>
      </c>
      <c r="M814" s="1394"/>
      <c r="N814" s="1394"/>
      <c r="O814" s="1395"/>
      <c r="P814" s="9" t="s">
        <v>159</v>
      </c>
      <c r="Q814" s="180" t="s">
        <v>25</v>
      </c>
      <c r="R814" s="181" t="s">
        <v>25</v>
      </c>
      <c r="S814" s="180" t="s">
        <v>26</v>
      </c>
      <c r="T814" s="181" t="s">
        <v>26</v>
      </c>
      <c r="V814" s="1393" t="s">
        <v>160</v>
      </c>
      <c r="W814" s="1394"/>
      <c r="X814" s="1394"/>
      <c r="Y814" s="1395"/>
      <c r="AA814" s="1"/>
    </row>
    <row r="815" spans="2:78" ht="12" customHeight="1" x14ac:dyDescent="0.25">
      <c r="K815" s="182" t="s">
        <v>161</v>
      </c>
      <c r="L815" s="180" t="s">
        <v>25</v>
      </c>
      <c r="M815" s="181" t="s">
        <v>26</v>
      </c>
      <c r="N815" s="180" t="s">
        <v>22</v>
      </c>
      <c r="O815" s="36" t="s">
        <v>157</v>
      </c>
      <c r="P815" s="9" t="s">
        <v>162</v>
      </c>
      <c r="Q815" s="180" t="s">
        <v>22</v>
      </c>
      <c r="R815" s="181" t="s">
        <v>157</v>
      </c>
      <c r="S815" s="180" t="s">
        <v>22</v>
      </c>
      <c r="T815" s="181" t="s">
        <v>157</v>
      </c>
      <c r="V815" s="180" t="s">
        <v>1583</v>
      </c>
      <c r="W815" s="183" t="s">
        <v>1584</v>
      </c>
      <c r="X815" s="183" t="s">
        <v>1585</v>
      </c>
      <c r="Y815" s="182" t="s">
        <v>1586</v>
      </c>
      <c r="AA815" s="1"/>
    </row>
    <row r="816" spans="2:78" ht="12" customHeight="1" x14ac:dyDescent="0.25">
      <c r="K816" s="154" t="s">
        <v>0</v>
      </c>
      <c r="L816" s="88" t="s">
        <v>163</v>
      </c>
      <c r="M816" s="150" t="s">
        <v>163</v>
      </c>
      <c r="N816" s="184" t="s">
        <v>163</v>
      </c>
      <c r="O816" s="1065" t="s">
        <v>163</v>
      </c>
      <c r="Q816" s="185">
        <f>IF(L816=$N816,1,"X")</f>
        <v>1</v>
      </c>
      <c r="R816" s="186">
        <f>IF(L816=$O816,1,"X")</f>
        <v>1</v>
      </c>
      <c r="S816" s="185">
        <f>IF(M816=$N816,1,"X")</f>
        <v>1</v>
      </c>
      <c r="T816" s="186">
        <f>IF(M816=$O816,1,"X")</f>
        <v>1</v>
      </c>
      <c r="U816" s="158"/>
      <c r="V816" s="1068">
        <v>0.19500000000000001</v>
      </c>
      <c r="W816" s="1069">
        <v>5.9896346145608681E-2</v>
      </c>
      <c r="X816" s="1069">
        <v>0.3656256</v>
      </c>
      <c r="Y816" s="1014">
        <v>0.152</v>
      </c>
      <c r="AA816" s="1"/>
    </row>
    <row r="817" spans="11:27" ht="12" customHeight="1" x14ac:dyDescent="0.25">
      <c r="K817" s="157" t="s">
        <v>1</v>
      </c>
      <c r="L817" s="104" t="s">
        <v>164</v>
      </c>
      <c r="M817" s="119" t="s">
        <v>165</v>
      </c>
      <c r="N817" s="104" t="s">
        <v>164</v>
      </c>
      <c r="O817" s="1066" t="s">
        <v>164</v>
      </c>
      <c r="Q817" s="185">
        <f t="shared" ref="Q817:Q832" si="205">IF(L817=$N817,1,"X")</f>
        <v>1</v>
      </c>
      <c r="R817" s="186">
        <f>IF(L817=$O817,1,"X")</f>
        <v>1</v>
      </c>
      <c r="S817" s="185">
        <v>1</v>
      </c>
      <c r="T817" s="186">
        <v>1</v>
      </c>
      <c r="U817" s="158"/>
      <c r="V817" s="1015">
        <v>30.4</v>
      </c>
      <c r="W817" s="1016">
        <v>22.1</v>
      </c>
      <c r="X817" s="1016">
        <v>45.7</v>
      </c>
      <c r="Y817" s="1017">
        <v>31.8</v>
      </c>
      <c r="AA817" s="1"/>
    </row>
    <row r="818" spans="11:27" ht="12" customHeight="1" x14ac:dyDescent="0.25">
      <c r="K818" s="157" t="s">
        <v>2</v>
      </c>
      <c r="L818" s="104" t="s">
        <v>166</v>
      </c>
      <c r="M818" s="119" t="s">
        <v>167</v>
      </c>
      <c r="N818" s="104" t="s">
        <v>166</v>
      </c>
      <c r="O818" s="1066"/>
      <c r="Q818" s="185">
        <f t="shared" si="205"/>
        <v>1</v>
      </c>
      <c r="R818" s="187" t="s">
        <v>168</v>
      </c>
      <c r="S818" s="196">
        <v>1.27</v>
      </c>
      <c r="T818" s="187" t="s">
        <v>168</v>
      </c>
      <c r="U818" s="158"/>
      <c r="V818" s="1015">
        <v>4.6100000000000002E-2</v>
      </c>
      <c r="W818" s="1016">
        <v>2.9700000000000001E-2</v>
      </c>
      <c r="X818" s="1016">
        <v>5.9799999999999999E-2</v>
      </c>
      <c r="Y818" s="1018"/>
      <c r="AA818" s="1"/>
    </row>
    <row r="819" spans="11:27" ht="12" customHeight="1" x14ac:dyDescent="0.25">
      <c r="K819" s="157" t="s">
        <v>3</v>
      </c>
      <c r="L819" s="104" t="s">
        <v>169</v>
      </c>
      <c r="M819" s="119" t="s">
        <v>170</v>
      </c>
      <c r="N819" s="104" t="s">
        <v>169</v>
      </c>
      <c r="O819" s="1066" t="s">
        <v>169</v>
      </c>
      <c r="Q819" s="185">
        <f t="shared" si="205"/>
        <v>1</v>
      </c>
      <c r="R819" s="186">
        <f>IF(L819=$O819,1,"X")</f>
        <v>1</v>
      </c>
      <c r="S819" s="196">
        <f>1/0.18</f>
        <v>5.5555555555555554</v>
      </c>
      <c r="T819" s="197">
        <f>S819</f>
        <v>5.5555555555555554</v>
      </c>
      <c r="U819" s="158"/>
      <c r="V819" s="1015">
        <v>1.1499999999999999</v>
      </c>
      <c r="W819" s="1016">
        <v>0.84</v>
      </c>
      <c r="X819" s="1016">
        <v>1.84</v>
      </c>
      <c r="Y819" s="1017">
        <v>2.2200000000000002</v>
      </c>
      <c r="AA819" s="1"/>
    </row>
    <row r="820" spans="11:27" ht="12" customHeight="1" x14ac:dyDescent="0.25">
      <c r="K820" s="157" t="s">
        <v>4</v>
      </c>
      <c r="L820" s="104" t="s">
        <v>171</v>
      </c>
      <c r="M820" s="119" t="s">
        <v>172</v>
      </c>
      <c r="N820" s="104" t="s">
        <v>171</v>
      </c>
      <c r="O820" s="1066" t="s">
        <v>172</v>
      </c>
      <c r="Q820" s="185">
        <f t="shared" si="205"/>
        <v>1</v>
      </c>
      <c r="R820" s="195">
        <f>1/S820</f>
        <v>0.68493150684931503</v>
      </c>
      <c r="S820" s="196">
        <v>1.46</v>
      </c>
      <c r="T820" s="186">
        <f>IF(M820=$O820,1,"X")</f>
        <v>1</v>
      </c>
      <c r="U820" s="158"/>
      <c r="V820" s="1015">
        <v>39.200000000000003</v>
      </c>
      <c r="W820" s="1016">
        <v>28</v>
      </c>
      <c r="X820" s="1016">
        <v>60.4</v>
      </c>
      <c r="Y820" s="1017">
        <v>46.2</v>
      </c>
      <c r="AA820" s="1"/>
    </row>
    <row r="821" spans="11:27" ht="12" customHeight="1" x14ac:dyDescent="0.25">
      <c r="K821" s="157" t="s">
        <v>8</v>
      </c>
      <c r="L821" s="104"/>
      <c r="M821" s="119" t="s">
        <v>170</v>
      </c>
      <c r="N821" s="104" t="s">
        <v>173</v>
      </c>
      <c r="O821" s="1066" t="s">
        <v>173</v>
      </c>
      <c r="Q821" s="188" t="s">
        <v>168</v>
      </c>
      <c r="R821" s="187" t="s">
        <v>168</v>
      </c>
      <c r="S821" s="196">
        <f>S819</f>
        <v>5.5555555555555554</v>
      </c>
      <c r="T821" s="197">
        <f>T819</f>
        <v>5.5555555555555554</v>
      </c>
      <c r="U821" s="158"/>
      <c r="V821" s="1015">
        <v>1.1499999999999999</v>
      </c>
      <c r="W821" s="1016">
        <v>0.84</v>
      </c>
      <c r="X821" s="1016">
        <v>1.84</v>
      </c>
      <c r="Y821" s="1017">
        <v>2.2200000000000002</v>
      </c>
      <c r="AA821" s="1"/>
    </row>
    <row r="822" spans="11:27" ht="12" customHeight="1" x14ac:dyDescent="0.25">
      <c r="K822" s="157" t="s">
        <v>9</v>
      </c>
      <c r="L822" s="104" t="s">
        <v>174</v>
      </c>
      <c r="M822" s="119" t="s">
        <v>174</v>
      </c>
      <c r="N822" s="104" t="s">
        <v>174</v>
      </c>
      <c r="O822" s="1066" t="s">
        <v>174</v>
      </c>
      <c r="Q822" s="185">
        <f t="shared" si="205"/>
        <v>1</v>
      </c>
      <c r="R822" s="186">
        <f t="shared" ref="R822:R827" si="206">IF(L822=$O822,1,"X")</f>
        <v>1</v>
      </c>
      <c r="S822" s="185">
        <v>1</v>
      </c>
      <c r="T822" s="186">
        <f t="shared" ref="T822:T824" si="207">IF(M822=$O822,1,"X")</f>
        <v>1</v>
      </c>
      <c r="U822" s="158"/>
      <c r="V822" s="1015">
        <v>4.97</v>
      </c>
      <c r="W822" s="1016">
        <v>0.52600000000000002</v>
      </c>
      <c r="X822" s="1016">
        <v>5.66</v>
      </c>
      <c r="Y822" s="1017">
        <v>3.36</v>
      </c>
      <c r="AA822" s="1"/>
    </row>
    <row r="823" spans="11:27" ht="12" customHeight="1" x14ac:dyDescent="0.25">
      <c r="K823" s="157" t="s">
        <v>10</v>
      </c>
      <c r="L823" s="104" t="s">
        <v>175</v>
      </c>
      <c r="M823" s="119" t="s">
        <v>175</v>
      </c>
      <c r="N823" s="104" t="s">
        <v>175</v>
      </c>
      <c r="O823" s="1066" t="s">
        <v>175</v>
      </c>
      <c r="Q823" s="185">
        <f t="shared" si="205"/>
        <v>1</v>
      </c>
      <c r="R823" s="186">
        <f t="shared" si="206"/>
        <v>1</v>
      </c>
      <c r="S823" s="185">
        <v>1</v>
      </c>
      <c r="T823" s="186">
        <f t="shared" si="207"/>
        <v>1</v>
      </c>
      <c r="U823" s="158"/>
      <c r="V823" s="1015">
        <v>1.86</v>
      </c>
      <c r="W823" s="1016">
        <v>0.25</v>
      </c>
      <c r="X823" s="1016">
        <v>2.11</v>
      </c>
      <c r="Y823" s="1017">
        <v>304</v>
      </c>
      <c r="AA823" s="1"/>
    </row>
    <row r="824" spans="11:27" ht="12" customHeight="1" x14ac:dyDescent="0.25">
      <c r="K824" s="157" t="s">
        <v>11</v>
      </c>
      <c r="L824" s="104" t="s">
        <v>176</v>
      </c>
      <c r="M824" s="119" t="s">
        <v>176</v>
      </c>
      <c r="N824" s="104" t="s">
        <v>176</v>
      </c>
      <c r="O824" s="1066" t="s">
        <v>176</v>
      </c>
      <c r="Q824" s="185">
        <f t="shared" si="205"/>
        <v>1</v>
      </c>
      <c r="R824" s="186">
        <f t="shared" si="206"/>
        <v>1</v>
      </c>
      <c r="S824" s="185">
        <v>1</v>
      </c>
      <c r="T824" s="186">
        <f t="shared" si="207"/>
        <v>1</v>
      </c>
      <c r="U824" s="158"/>
      <c r="V824" s="1015">
        <v>3.11</v>
      </c>
      <c r="W824" s="1016">
        <v>3.11</v>
      </c>
      <c r="X824" s="1016">
        <v>3.11</v>
      </c>
      <c r="Y824" s="1017">
        <v>63.4</v>
      </c>
      <c r="AA824" s="1"/>
    </row>
    <row r="825" spans="11:27" ht="12" customHeight="1" x14ac:dyDescent="0.25">
      <c r="K825" s="157" t="s">
        <v>12</v>
      </c>
      <c r="L825" s="104" t="s">
        <v>177</v>
      </c>
      <c r="M825" s="119" t="s">
        <v>178</v>
      </c>
      <c r="N825" s="104" t="s">
        <v>177</v>
      </c>
      <c r="O825" s="1066" t="s">
        <v>177</v>
      </c>
      <c r="Q825" s="185">
        <f t="shared" si="205"/>
        <v>1</v>
      </c>
      <c r="R825" s="186">
        <f t="shared" si="206"/>
        <v>1</v>
      </c>
      <c r="S825" s="185">
        <v>1</v>
      </c>
      <c r="T825" s="186">
        <v>1</v>
      </c>
      <c r="U825" s="158"/>
      <c r="V825" s="1015">
        <v>8.69</v>
      </c>
      <c r="W825" s="1016">
        <v>1.17</v>
      </c>
      <c r="X825" s="1016">
        <v>9.85</v>
      </c>
      <c r="Y825" s="1017">
        <v>7.27</v>
      </c>
      <c r="AA825" s="1"/>
    </row>
    <row r="826" spans="11:27" ht="12" customHeight="1" x14ac:dyDescent="0.25">
      <c r="K826" s="157" t="s">
        <v>13</v>
      </c>
      <c r="L826" s="104" t="s">
        <v>177</v>
      </c>
      <c r="M826" s="119" t="s">
        <v>178</v>
      </c>
      <c r="N826" s="104" t="s">
        <v>177</v>
      </c>
      <c r="O826" s="1066" t="s">
        <v>177</v>
      </c>
      <c r="Q826" s="185">
        <f t="shared" si="205"/>
        <v>1</v>
      </c>
      <c r="R826" s="186">
        <f t="shared" si="206"/>
        <v>1</v>
      </c>
      <c r="S826" s="185">
        <v>1</v>
      </c>
      <c r="T826" s="186">
        <v>1</v>
      </c>
      <c r="U826" s="158"/>
      <c r="V826" s="1015">
        <v>3.61E-2</v>
      </c>
      <c r="W826" s="1016">
        <v>4.8500000000000001E-3</v>
      </c>
      <c r="X826" s="1016">
        <v>4.0899999999999999E-2</v>
      </c>
      <c r="Y826" s="1017">
        <v>3.0200000000000001E-2</v>
      </c>
      <c r="AA826" s="1"/>
    </row>
    <row r="827" spans="11:27" ht="12" customHeight="1" x14ac:dyDescent="0.25">
      <c r="K827" s="157" t="s">
        <v>14</v>
      </c>
      <c r="L827" s="104" t="s">
        <v>177</v>
      </c>
      <c r="M827" s="119" t="s">
        <v>178</v>
      </c>
      <c r="N827" s="104" t="s">
        <v>177</v>
      </c>
      <c r="O827" s="1066" t="s">
        <v>177</v>
      </c>
      <c r="Q827" s="185">
        <f t="shared" si="205"/>
        <v>1</v>
      </c>
      <c r="R827" s="186">
        <f t="shared" si="206"/>
        <v>1</v>
      </c>
      <c r="S827" s="185">
        <v>1</v>
      </c>
      <c r="T827" s="186">
        <v>1</v>
      </c>
      <c r="U827" s="158"/>
      <c r="V827" s="1015">
        <v>7.3899999999999999E-3</v>
      </c>
      <c r="W827" s="1016">
        <v>9.9200000000000004E-4</v>
      </c>
      <c r="X827" s="1016">
        <v>8.3700000000000007E-3</v>
      </c>
      <c r="Y827" s="1017">
        <v>6.1799999999999997E-3</v>
      </c>
      <c r="AA827" s="1"/>
    </row>
    <row r="828" spans="11:27" ht="12" customHeight="1" x14ac:dyDescent="0.25">
      <c r="K828" s="157" t="s">
        <v>5</v>
      </c>
      <c r="L828" s="104"/>
      <c r="M828" s="119" t="s">
        <v>178</v>
      </c>
      <c r="N828" s="104" t="s">
        <v>177</v>
      </c>
      <c r="O828" s="1066" t="s">
        <v>179</v>
      </c>
      <c r="Q828" s="188" t="s">
        <v>168</v>
      </c>
      <c r="R828" s="187" t="s">
        <v>168</v>
      </c>
      <c r="S828" s="185">
        <v>1</v>
      </c>
      <c r="T828" s="193">
        <v>3.3238521083769161E-6</v>
      </c>
      <c r="U828" s="158"/>
      <c r="V828" s="1015">
        <v>9.9099999999999994E-2</v>
      </c>
      <c r="W828" s="1016">
        <v>7.2499999999999995E-2</v>
      </c>
      <c r="X828" s="1016">
        <v>0.153</v>
      </c>
      <c r="Y828" s="1019">
        <v>54800</v>
      </c>
      <c r="AA828" s="1"/>
    </row>
    <row r="829" spans="11:27" ht="12" customHeight="1" x14ac:dyDescent="0.25">
      <c r="K829" s="157" t="s">
        <v>6</v>
      </c>
      <c r="L829" s="104" t="s">
        <v>177</v>
      </c>
      <c r="M829" s="119" t="s">
        <v>178</v>
      </c>
      <c r="N829" s="104" t="s">
        <v>177</v>
      </c>
      <c r="O829" s="1066" t="s">
        <v>179</v>
      </c>
      <c r="Q829" s="185">
        <f t="shared" si="205"/>
        <v>1</v>
      </c>
      <c r="R829" s="193">
        <v>7.00145004042157E-7</v>
      </c>
      <c r="S829" s="185">
        <v>1</v>
      </c>
      <c r="T829" s="193">
        <v>2.2811508923627111E-7</v>
      </c>
      <c r="U829" s="158"/>
      <c r="V829" s="1015">
        <v>9.9099999999999994E-2</v>
      </c>
      <c r="W829" s="1016">
        <v>7.2499999999999995E-2</v>
      </c>
      <c r="X829" s="1016">
        <v>0.153</v>
      </c>
      <c r="Y829" s="1019">
        <v>54800</v>
      </c>
      <c r="AA829" s="1"/>
    </row>
    <row r="830" spans="11:27" ht="12" customHeight="1" x14ac:dyDescent="0.25">
      <c r="K830" s="157" t="s">
        <v>15</v>
      </c>
      <c r="L830" s="104"/>
      <c r="M830" s="119" t="s">
        <v>180</v>
      </c>
      <c r="N830" s="189" t="s">
        <v>181</v>
      </c>
      <c r="O830" s="1066" t="s">
        <v>187</v>
      </c>
      <c r="Q830" s="188" t="s">
        <v>168</v>
      </c>
      <c r="R830" s="187" t="s">
        <v>168</v>
      </c>
      <c r="S830" s="185">
        <v>1</v>
      </c>
      <c r="T830" s="193">
        <f>(1/0.55)/10000</f>
        <v>1.8181818181818181E-4</v>
      </c>
      <c r="U830" s="158"/>
      <c r="V830" s="1020">
        <v>8.4500000000000006E-2</v>
      </c>
      <c r="W830" s="1021">
        <v>2.5499999999999998E-2</v>
      </c>
      <c r="X830" s="1021">
        <v>0.68500000000000005</v>
      </c>
      <c r="Y830" s="1022">
        <f>2390</f>
        <v>2390</v>
      </c>
      <c r="AA830" s="1"/>
    </row>
    <row r="831" spans="11:27" ht="12" customHeight="1" x14ac:dyDescent="0.25">
      <c r="K831" s="157" t="s">
        <v>82</v>
      </c>
      <c r="L831" s="189" t="s">
        <v>181</v>
      </c>
      <c r="M831" s="119"/>
      <c r="N831" s="104" t="s">
        <v>181</v>
      </c>
      <c r="O831" s="1066" t="s">
        <v>187</v>
      </c>
      <c r="Q831" s="185">
        <f t="shared" si="205"/>
        <v>1</v>
      </c>
      <c r="R831" s="193">
        <f>1/10000</f>
        <v>1E-4</v>
      </c>
      <c r="S831" s="188" t="s">
        <v>168</v>
      </c>
      <c r="T831" s="187" t="s">
        <v>168</v>
      </c>
      <c r="U831" s="158"/>
      <c r="V831" s="1020">
        <v>8.4500000000000006E-2</v>
      </c>
      <c r="W831" s="1021">
        <v>2.5499999999999998E-2</v>
      </c>
      <c r="X831" s="1021">
        <v>0.68500000000000005</v>
      </c>
      <c r="Y831" s="1094">
        <v>2390</v>
      </c>
      <c r="AA831" s="1"/>
    </row>
    <row r="832" spans="11:27" ht="12" customHeight="1" x14ac:dyDescent="0.25">
      <c r="K832" s="157" t="s">
        <v>83</v>
      </c>
      <c r="L832" s="189" t="s">
        <v>181</v>
      </c>
      <c r="M832" s="119"/>
      <c r="N832" s="104" t="s">
        <v>181</v>
      </c>
      <c r="O832" s="1066" t="s">
        <v>187</v>
      </c>
      <c r="Q832" s="185">
        <f t="shared" si="205"/>
        <v>1</v>
      </c>
      <c r="R832" s="193">
        <f t="shared" ref="R832:R833" si="208">1/10000</f>
        <v>1E-4</v>
      </c>
      <c r="S832" s="188" t="s">
        <v>168</v>
      </c>
      <c r="T832" s="187" t="s">
        <v>168</v>
      </c>
      <c r="U832" s="158"/>
      <c r="V832" s="1020">
        <v>8.4500000000000006E-2</v>
      </c>
      <c r="W832" s="1021">
        <v>2.5499999999999998E-2</v>
      </c>
      <c r="X832" s="1021">
        <v>0.68500000000000005</v>
      </c>
      <c r="Y832" s="1094">
        <v>2390</v>
      </c>
      <c r="AA832" s="1"/>
    </row>
    <row r="833" spans="11:27" ht="12" customHeight="1" x14ac:dyDescent="0.25">
      <c r="K833" s="157" t="s">
        <v>84</v>
      </c>
      <c r="L833" s="189" t="s">
        <v>182</v>
      </c>
      <c r="M833" s="119"/>
      <c r="N833" s="104" t="s">
        <v>182</v>
      </c>
      <c r="O833" s="1066" t="s">
        <v>188</v>
      </c>
      <c r="Q833" s="192">
        <f>3.75</f>
        <v>3.75</v>
      </c>
      <c r="R833" s="193">
        <f t="shared" si="208"/>
        <v>1E-4</v>
      </c>
      <c r="S833" s="188" t="s">
        <v>168</v>
      </c>
      <c r="T833" s="187" t="s">
        <v>168</v>
      </c>
      <c r="U833" s="158"/>
      <c r="V833" s="1020"/>
      <c r="W833" s="1021">
        <v>2.5499999999999998E-2</v>
      </c>
      <c r="X833" s="1021">
        <v>0.68500000000000005</v>
      </c>
      <c r="Y833" s="1023">
        <f>223</f>
        <v>223</v>
      </c>
      <c r="AA833" s="1"/>
    </row>
    <row r="834" spans="11:27" ht="12" customHeight="1" x14ac:dyDescent="0.25">
      <c r="K834" s="157" t="s">
        <v>16</v>
      </c>
      <c r="L834" s="104" t="s">
        <v>183</v>
      </c>
      <c r="M834" s="119" t="s">
        <v>184</v>
      </c>
      <c r="N834" s="104"/>
      <c r="O834" s="1066" t="s">
        <v>184</v>
      </c>
      <c r="Q834" s="188" t="s">
        <v>168</v>
      </c>
      <c r="R834" s="194">
        <f>1/42.7</f>
        <v>2.3419203747072598E-2</v>
      </c>
      <c r="S834" s="188" t="s">
        <v>168</v>
      </c>
      <c r="T834" s="186">
        <f t="shared" ref="T834:T836" si="209">IF(M834=$O834,1,"X")</f>
        <v>1</v>
      </c>
      <c r="U834" s="158"/>
      <c r="V834" s="1024"/>
      <c r="W834" s="1025"/>
      <c r="X834" s="1025"/>
      <c r="Y834" s="1026">
        <v>0.223</v>
      </c>
      <c r="AA834" s="1"/>
    </row>
    <row r="835" spans="11:27" ht="12" customHeight="1" x14ac:dyDescent="0.25">
      <c r="K835" s="157" t="s">
        <v>17</v>
      </c>
      <c r="L835" s="104" t="s">
        <v>185</v>
      </c>
      <c r="M835" s="119" t="s">
        <v>185</v>
      </c>
      <c r="N835" s="104"/>
      <c r="O835" s="1066" t="s">
        <v>185</v>
      </c>
      <c r="Q835" s="188" t="s">
        <v>168</v>
      </c>
      <c r="R835" s="186">
        <f t="shared" ref="R835:R836" si="210">IF(L835=$O835,1,"X")</f>
        <v>1</v>
      </c>
      <c r="S835" s="188" t="s">
        <v>168</v>
      </c>
      <c r="T835" s="186">
        <f t="shared" si="209"/>
        <v>1</v>
      </c>
      <c r="U835" s="158"/>
      <c r="V835" s="1024"/>
      <c r="W835" s="1025"/>
      <c r="X835" s="1025"/>
      <c r="Y835" s="1026">
        <v>0.437</v>
      </c>
      <c r="AA835" s="1"/>
    </row>
    <row r="836" spans="11:27" ht="12" customHeight="1" x14ac:dyDescent="0.25">
      <c r="K836" s="155" t="s">
        <v>7</v>
      </c>
      <c r="L836" s="156" t="s">
        <v>186</v>
      </c>
      <c r="M836" s="152" t="s">
        <v>186</v>
      </c>
      <c r="N836" s="156"/>
      <c r="O836" s="1067" t="s">
        <v>186</v>
      </c>
      <c r="Q836" s="190" t="s">
        <v>168</v>
      </c>
      <c r="R836" s="191">
        <f t="shared" si="210"/>
        <v>1</v>
      </c>
      <c r="S836" s="190" t="s">
        <v>168</v>
      </c>
      <c r="T836" s="191">
        <f t="shared" si="209"/>
        <v>1</v>
      </c>
      <c r="U836" s="158"/>
      <c r="V836" s="1027"/>
      <c r="W836" s="1028"/>
      <c r="X836" s="1028"/>
      <c r="Y836" s="1029">
        <v>1.27</v>
      </c>
      <c r="AA836" s="1"/>
    </row>
  </sheetData>
  <autoFilter ref="B17:BZ812" xr:uid="{A0247E2D-14AD-4D84-9998-EE4CDFBB8A30}"/>
  <mergeCells count="3">
    <mergeCell ref="L814:O814"/>
    <mergeCell ref="V814:Y814"/>
    <mergeCell ref="O16:O17"/>
  </mergeCells>
  <conditionalFormatting sqref="S10:BB13">
    <cfRule type="expression" dxfId="14" priority="36">
      <formula>(S10=0)</formula>
    </cfRule>
  </conditionalFormatting>
  <conditionalFormatting sqref="F19:I813">
    <cfRule type="expression" dxfId="13" priority="31">
      <formula>LEFT($F19,1)="O"</formula>
    </cfRule>
    <cfRule type="expression" dxfId="12" priority="32">
      <formula>LEFT($F19,1)="C"</formula>
    </cfRule>
  </conditionalFormatting>
  <conditionalFormatting sqref="BE9:BZ11 BE813:BZ1048576 BE14:BZ276">
    <cfRule type="colorScale" priority="33">
      <colorScale>
        <cfvo type="num" val="-5.0000000000000001E-3"/>
        <cfvo type="num" val="0"/>
        <cfvo type="num" val="0.1"/>
        <color theme="9" tint="0.79998168889431442"/>
        <color theme="0"/>
        <color rgb="FFFFD1D1"/>
      </colorScale>
    </cfRule>
  </conditionalFormatting>
  <conditionalFormatting sqref="M285:BC812">
    <cfRule type="expression" dxfId="11" priority="30">
      <formula>M285&lt;0</formula>
    </cfRule>
  </conditionalFormatting>
  <conditionalFormatting sqref="S4:BB4">
    <cfRule type="expression" dxfId="10" priority="29">
      <formula>(S4=0)</formula>
    </cfRule>
  </conditionalFormatting>
  <conditionalFormatting sqref="K152:BC283">
    <cfRule type="expression" dxfId="9" priority="34">
      <formula>AND(ISNUMBER(K152),K152&lt;0)</formula>
    </cfRule>
    <cfRule type="expression" dxfId="8" priority="35">
      <formula>AND(ISNUMBER(K152),K152&gt;1)</formula>
    </cfRule>
  </conditionalFormatting>
  <conditionalFormatting sqref="BE12:BZ13">
    <cfRule type="colorScale" priority="28">
      <colorScale>
        <cfvo type="num" val="-5.0000000000000001E-3"/>
        <cfvo type="num" val="0"/>
        <cfvo type="num" val="0.1"/>
        <color theme="9" tint="0.79998168889431442"/>
        <color theme="0"/>
        <color rgb="FFFFD1D1"/>
      </colorScale>
    </cfRule>
  </conditionalFormatting>
  <conditionalFormatting sqref="S5:BB5">
    <cfRule type="expression" dxfId="7" priority="26">
      <formula>(S5=0)</formula>
    </cfRule>
  </conditionalFormatting>
  <conditionalFormatting sqref="S7:BB7">
    <cfRule type="expression" dxfId="6" priority="25">
      <formula>(S7=0)</formula>
    </cfRule>
  </conditionalFormatting>
  <conditionalFormatting sqref="K814:L814 P814:V814 K833:V833 W831:X833 K831:N832 P831:V832 K834:Y836 Y831:Y832 K815:Y830">
    <cfRule type="expression" dxfId="5" priority="24">
      <formula>K814=1</formula>
    </cfRule>
  </conditionalFormatting>
  <conditionalFormatting sqref="Y830">
    <cfRule type="expression" dxfId="4" priority="23">
      <formula>Y830=1</formula>
    </cfRule>
  </conditionalFormatting>
  <conditionalFormatting sqref="Y834">
    <cfRule type="expression" dxfId="3" priority="22">
      <formula>Y834=1</formula>
    </cfRule>
  </conditionalFormatting>
  <conditionalFormatting sqref="Y833">
    <cfRule type="expression" dxfId="2" priority="18">
      <formula>Y833=1</formula>
    </cfRule>
  </conditionalFormatting>
  <conditionalFormatting sqref="O831:O832">
    <cfRule type="expression" dxfId="1" priority="17">
      <formula>O831=1</formula>
    </cfRule>
  </conditionalFormatting>
  <conditionalFormatting sqref="S6:BB6">
    <cfRule type="expression" dxfId="0" priority="16">
      <formula>(S6=0)</formula>
    </cfRule>
  </conditionalFormatting>
  <dataValidations disablePrompts="1" count="1">
    <dataValidation allowBlank="1" showDropDown="1" showInputMessage="1" showErrorMessage="1" sqref="P14:S14 CB14:CW14" xr:uid="{79EB3940-A4BB-47EC-801E-E1615EB2D2B2}"/>
  </dataValidation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5B9D4-BF6E-4159-92B7-EA1BD182335F}">
  <dimension ref="B2:R34"/>
  <sheetViews>
    <sheetView zoomScaleNormal="100" workbookViewId="0"/>
  </sheetViews>
  <sheetFormatPr baseColWidth="10" defaultColWidth="10.85546875" defaultRowHeight="15" x14ac:dyDescent="0.25"/>
  <cols>
    <col min="1" max="1" width="3.5703125" style="1" customWidth="1"/>
    <col min="2" max="2" width="10.85546875" style="1"/>
    <col min="3" max="3" width="8.28515625" style="1" customWidth="1"/>
    <col min="4" max="4" width="7.85546875" style="1" customWidth="1"/>
    <col min="5" max="5" width="9" style="1" customWidth="1"/>
    <col min="6" max="6" width="7.85546875" style="1" customWidth="1"/>
    <col min="7" max="7" width="8.140625" style="1" customWidth="1"/>
    <col min="8" max="8" width="8.5703125" style="1" customWidth="1"/>
    <col min="9" max="9" width="7.28515625" style="1" customWidth="1"/>
    <col min="10" max="10" width="7.42578125" style="1" customWidth="1"/>
    <col min="11" max="11" width="9.42578125" style="1" customWidth="1"/>
    <col min="12" max="12" width="7.28515625" style="1" customWidth="1"/>
    <col min="13" max="13" width="8.5703125" style="1" customWidth="1"/>
    <col min="14" max="16384" width="10.85546875" style="1"/>
  </cols>
  <sheetData>
    <row r="2" spans="2:18" x14ac:dyDescent="0.25">
      <c r="B2" s="217" t="s">
        <v>2395</v>
      </c>
    </row>
    <row r="4" spans="2:18" ht="90" x14ac:dyDescent="0.25">
      <c r="B4" s="842"/>
      <c r="C4" s="1386" t="s">
        <v>36</v>
      </c>
      <c r="D4" s="1387"/>
      <c r="E4" s="1256"/>
      <c r="F4" s="1386" t="s">
        <v>38</v>
      </c>
      <c r="G4" s="1387"/>
      <c r="H4" s="1256"/>
      <c r="I4" s="1386" t="s">
        <v>2397</v>
      </c>
      <c r="J4" s="1398"/>
      <c r="K4" s="1256"/>
      <c r="L4" s="1399" t="s">
        <v>2398</v>
      </c>
      <c r="M4" s="1400"/>
      <c r="N4" s="1258" t="s">
        <v>2399</v>
      </c>
      <c r="O4" s="1259" t="s">
        <v>2400</v>
      </c>
      <c r="P4" s="1260" t="s">
        <v>2401</v>
      </c>
      <c r="Q4" s="1258" t="s">
        <v>2402</v>
      </c>
      <c r="R4" s="1260" t="s">
        <v>2403</v>
      </c>
    </row>
    <row r="5" spans="2:18" x14ac:dyDescent="0.25">
      <c r="B5" s="844" t="s">
        <v>710</v>
      </c>
      <c r="C5" s="1254" t="s">
        <v>92</v>
      </c>
      <c r="D5" s="1323" t="s">
        <v>122</v>
      </c>
      <c r="E5" s="1324" t="s">
        <v>244</v>
      </c>
      <c r="F5" s="1254" t="s">
        <v>92</v>
      </c>
      <c r="G5" s="1255" t="s">
        <v>122</v>
      </c>
      <c r="H5" s="1324" t="s">
        <v>244</v>
      </c>
      <c r="I5" s="1254" t="s">
        <v>92</v>
      </c>
      <c r="J5" s="1257" t="s">
        <v>122</v>
      </c>
      <c r="K5" s="1324" t="s">
        <v>244</v>
      </c>
      <c r="L5" s="1254" t="s">
        <v>92</v>
      </c>
      <c r="M5" s="1257" t="s">
        <v>122</v>
      </c>
      <c r="N5" s="1261" t="s">
        <v>2404</v>
      </c>
      <c r="O5" s="1262" t="s">
        <v>2405</v>
      </c>
      <c r="P5" s="1261" t="s">
        <v>2406</v>
      </c>
      <c r="Q5" s="1263" t="s">
        <v>2407</v>
      </c>
      <c r="R5" s="1264" t="s">
        <v>500</v>
      </c>
    </row>
    <row r="6" spans="2:18" x14ac:dyDescent="0.25">
      <c r="B6" s="409" t="s">
        <v>91</v>
      </c>
      <c r="C6" s="1267" cm="1">
        <f t="array" ref="C6">INDEX('[1]COMPARISON_EPH_IPCC (O-O4)'!$L$276:$L$407,MATCH(1,INDEX(($B6='[1]COMPARISON_EPH_IPCC (O-O4)'!$B$276:$B$407)*([2]Subsidies_Springmann_Freund!$C$5='[1]COMPARISON_EPH_IPCC (O-O4)'!$F$276:$F$407),0,1),0))</f>
        <v>0.21084</v>
      </c>
      <c r="D6" s="1267" cm="1">
        <f t="array" ref="D6">INDEX('[1]COMPARISON_EPH_IPCC (O-O4)'!$L$276:$L$407,MATCH(1,INDEX(($B6='[1]COMPARISON_EPH_IPCC (O-O4)'!$B$276:$B$407)*([2]Subsidies_Springmann_Freund!$D$5='[1]COMPARISON_EPH_IPCC (O-O4)'!$F$276:$F$407),0,1),0))</f>
        <v>0.43951000000000001</v>
      </c>
      <c r="E6" s="218" t="s">
        <v>802</v>
      </c>
      <c r="F6" s="1267" cm="1">
        <f t="array" ref="F6">INDEX('[1]COMPARISON_EPH_IPCC (O-O4)'!$O$276:$O$407,MATCH(1,INDEX(($B6='[1]COMPARISON_EPH_IPCC (O-O4)'!$B$276:$B$407)*([2]Subsidies_Springmann_Freund!$F$5='[1]COMPARISON_EPH_IPCC (O-O4)'!$F$276:$F$407),0,1),0))</f>
        <v>0.39676087202515975</v>
      </c>
      <c r="G6" s="1268" cm="1">
        <f t="array" ref="G6">INDEX('[1]COMPARISON_EPH_IPCC (O-O4)'!$O$276:$O$407,MATCH(1,INDEX(($B6='[1]COMPARISON_EPH_IPCC (O-O4)'!$B$276:$B$407)*([2]Subsidies_Springmann_Freund!$G$5='[1]COMPARISON_EPH_IPCC (O-O4)'!$F$276:$F$407),0,1),0))</f>
        <v>0.24889806958063124</v>
      </c>
      <c r="H6" s="218" t="s">
        <v>802</v>
      </c>
      <c r="I6" s="1267" cm="1">
        <f t="array" ref="I6">INDEX('[1]COMPARISON_EPH_IPCC (O-O4)'!$N$276:$N$407,MATCH(1,INDEX(($B6='[1]COMPARISON_EPH_IPCC (O-O4)'!$B$276:$B$407)*([2]Subsidies_Springmann_Freund!$I$5='[1]COMPARISON_EPH_IPCC (O-O4)'!$F$276:$F$407),0,1),0))</f>
        <v>0.60760087202515978</v>
      </c>
      <c r="J6" s="1267" cm="1">
        <f t="array" ref="J6">INDEX('[1]COMPARISON_EPH_IPCC (O-O4)'!$N$276:$N$407,MATCH(1,INDEX(($B6='[1]COMPARISON_EPH_IPCC (O-O4)'!$B$276:$B$407)*([2]Subsidies_Springmann_Freund!$J$5='[1]COMPARISON_EPH_IPCC (O-O4)'!$F$276:$F$407),0,1),0))</f>
        <v>0.68840806958063128</v>
      </c>
      <c r="K6" s="218" t="s">
        <v>802</v>
      </c>
      <c r="L6" s="1269">
        <f t="shared" ref="L6:M11" si="0">I6/C6-1</f>
        <v>1.8818102448546754</v>
      </c>
      <c r="M6" s="1270">
        <f t="shared" si="0"/>
        <v>0.56630809214951028</v>
      </c>
      <c r="N6" s="1265" t="s">
        <v>248</v>
      </c>
      <c r="O6" s="514">
        <v>149.83150832999999</v>
      </c>
      <c r="P6" s="1266">
        <v>58706.21</v>
      </c>
      <c r="Q6" s="363" t="s">
        <v>248</v>
      </c>
      <c r="R6" s="1271" t="s">
        <v>248</v>
      </c>
    </row>
    <row r="7" spans="2:18" x14ac:dyDescent="0.25">
      <c r="B7" s="409" t="s">
        <v>97</v>
      </c>
      <c r="C7" s="1267" cm="1">
        <f t="array" ref="C7">INDEX('[1]COMPARISON_EPH_IPCC (O-O4)'!$L$276:$L$407,MATCH(1,INDEX(($B7='[1]COMPARISON_EPH_IPCC (O-O4)'!$B$276:$B$407)*([2]Subsidies_Springmann_Freund!$C$5='[1]COMPARISON_EPH_IPCC (O-O4)'!$F$276:$F$407),0,1),0))</f>
        <v>0.19115317137940699</v>
      </c>
      <c r="D7" s="1267" cm="1">
        <f t="array" ref="D7">INDEX('[1]COMPARISON_EPH_IPCC (O-O4)'!$L$276:$L$407,MATCH(1,INDEX(($B7='[1]COMPARISON_EPH_IPCC (O-O4)'!$B$276:$B$407)*([2]Subsidies_Springmann_Freund!$D$5='[1]COMPARISON_EPH_IPCC (O-O4)'!$F$276:$F$407),0,1),0))</f>
        <v>0.46051038847432407</v>
      </c>
      <c r="E7" s="218" t="s">
        <v>802</v>
      </c>
      <c r="F7" s="1267" cm="1">
        <f t="array" ref="F7">INDEX('[1]COMPARISON_EPH_IPCC (O-O4)'!$O$276:$O$407,MATCH(1,INDEX(($B7='[1]COMPARISON_EPH_IPCC (O-O4)'!$B$276:$B$407)*([2]Subsidies_Springmann_Freund!$F$5='[1]COMPARISON_EPH_IPCC (O-O4)'!$F$276:$F$407),0,1),0))</f>
        <v>0.35913200943725937</v>
      </c>
      <c r="G7" s="1268" cm="1">
        <f t="array" ref="G7">INDEX('[1]COMPARISON_EPH_IPCC (O-O4)'!$O$276:$O$407,MATCH(1,INDEX(($B7='[1]COMPARISON_EPH_IPCC (O-O4)'!$B$276:$B$407)*([2]Subsidies_Springmann_Freund!$G$5='[1]COMPARISON_EPH_IPCC (O-O4)'!$F$276:$F$407),0,1),0))</f>
        <v>0.16356566044054471</v>
      </c>
      <c r="H7" s="218" t="s">
        <v>802</v>
      </c>
      <c r="I7" s="1267" cm="1">
        <f t="array" ref="I7">INDEX('[1]COMPARISON_EPH_IPCC (O-O4)'!$N$276:$N$407,MATCH(1,INDEX(($B7='[1]COMPARISON_EPH_IPCC (O-O4)'!$B$276:$B$407)*([2]Subsidies_Springmann_Freund!$I$5='[1]COMPARISON_EPH_IPCC (O-O4)'!$F$276:$F$407),0,1),0))</f>
        <v>0.55028518081666633</v>
      </c>
      <c r="J7" s="1267" cm="1">
        <f t="array" ref="J7">INDEX('[1]COMPARISON_EPH_IPCC (O-O4)'!$N$276:$N$407,MATCH(1,INDEX(($B7='[1]COMPARISON_EPH_IPCC (O-O4)'!$B$276:$B$407)*([2]Subsidies_Springmann_Freund!$J$5='[1]COMPARISON_EPH_IPCC (O-O4)'!$F$276:$F$407),0,1),0))</f>
        <v>0.62407604891486879</v>
      </c>
      <c r="K7" s="218" t="s">
        <v>802</v>
      </c>
      <c r="L7" s="1269">
        <f t="shared" si="0"/>
        <v>1.8787656351483832</v>
      </c>
      <c r="M7" s="1270">
        <f t="shared" si="0"/>
        <v>0.35518343241384742</v>
      </c>
      <c r="N7" s="1265" t="s">
        <v>248</v>
      </c>
      <c r="O7" s="514">
        <v>165.37845601999999</v>
      </c>
      <c r="P7" s="1266">
        <v>64703.95</v>
      </c>
      <c r="Q7" s="363" t="s">
        <v>248</v>
      </c>
      <c r="R7" s="1271" t="s">
        <v>248</v>
      </c>
    </row>
    <row r="8" spans="2:18" x14ac:dyDescent="0.25">
      <c r="B8" s="409" t="s">
        <v>98</v>
      </c>
      <c r="C8" s="1267" cm="1">
        <f t="array" ref="C8">INDEX('[1]COMPARISON_EPH_IPCC (O-O4)'!$L$276:$L$407,MATCH(1,INDEX(($B8='[1]COMPARISON_EPH_IPCC (O-O4)'!$B$276:$B$407)*([2]Subsidies_Springmann_Freund!$C$5='[1]COMPARISON_EPH_IPCC (O-O4)'!$F$276:$F$407),0,1),0))</f>
        <v>0.18564647389881783</v>
      </c>
      <c r="D8" s="1267" cm="1">
        <f t="array" ref="D8">INDEX('[1]COMPARISON_EPH_IPCC (O-O4)'!$L$276:$L$407,MATCH(1,INDEX(($B8='[1]COMPARISON_EPH_IPCC (O-O4)'!$B$276:$B$407)*([2]Subsidies_Springmann_Freund!$D$5='[1]COMPARISON_EPH_IPCC (O-O4)'!$F$276:$F$407),0,1),0))</f>
        <v>0.37645999999999996</v>
      </c>
      <c r="E8" s="218" t="s">
        <v>802</v>
      </c>
      <c r="F8" s="1267" cm="1">
        <f t="array" ref="F8">INDEX('[1]COMPARISON_EPH_IPCC (O-O4)'!$O$276:$O$407,MATCH(1,INDEX(($B8='[1]COMPARISON_EPH_IPCC (O-O4)'!$B$276:$B$407)*([2]Subsidies_Springmann_Freund!$F$5='[1]COMPARISON_EPH_IPCC (O-O4)'!$F$276:$F$407),0,1),0))</f>
        <v>0.5149973952357515</v>
      </c>
      <c r="G8" s="1268" cm="1">
        <f t="array" ref="G8">INDEX('[1]COMPARISON_EPH_IPCC (O-O4)'!$O$276:$O$407,MATCH(1,INDEX(($B8='[1]COMPARISON_EPH_IPCC (O-O4)'!$B$276:$B$407)*([2]Subsidies_Springmann_Freund!$G$5='[1]COMPARISON_EPH_IPCC (O-O4)'!$F$276:$F$407),0,1),0))</f>
        <v>0.22974325678129701</v>
      </c>
      <c r="H8" s="218" t="s">
        <v>802</v>
      </c>
      <c r="I8" s="1267" cm="1">
        <f t="array" ref="I8">INDEX('[1]COMPARISON_EPH_IPCC (O-O4)'!$N$276:$N$407,MATCH(1,INDEX(($B8='[1]COMPARISON_EPH_IPCC (O-O4)'!$B$276:$B$407)*([2]Subsidies_Springmann_Freund!$I$5='[1]COMPARISON_EPH_IPCC (O-O4)'!$F$276:$F$407),0,1),0))</f>
        <v>0.70064386913456933</v>
      </c>
      <c r="J8" s="1267" cm="1">
        <f t="array" ref="J8">INDEX('[1]COMPARISON_EPH_IPCC (O-O4)'!$N$276:$N$407,MATCH(1,INDEX(($B8='[1]COMPARISON_EPH_IPCC (O-O4)'!$B$276:$B$407)*([2]Subsidies_Springmann_Freund!$J$5='[1]COMPARISON_EPH_IPCC (O-O4)'!$F$276:$F$407),0,1),0))</f>
        <v>0.60620325678129694</v>
      </c>
      <c r="K8" s="218" t="s">
        <v>802</v>
      </c>
      <c r="L8" s="1269">
        <f t="shared" si="0"/>
        <v>2.7740758249814026</v>
      </c>
      <c r="M8" s="1270">
        <f t="shared" si="0"/>
        <v>0.61027268974471927</v>
      </c>
      <c r="N8" s="1265" t="s">
        <v>248</v>
      </c>
      <c r="O8" s="514">
        <v>138.14737500000001</v>
      </c>
      <c r="P8" s="1266">
        <v>8195.31</v>
      </c>
      <c r="Q8" s="363" t="s">
        <v>248</v>
      </c>
      <c r="R8" s="1271" t="s">
        <v>248</v>
      </c>
    </row>
    <row r="9" spans="2:18" x14ac:dyDescent="0.25">
      <c r="B9" s="409" t="s">
        <v>99</v>
      </c>
      <c r="C9" s="1267" cm="1">
        <f t="array" ref="C9">INDEX('[1]COMPARISON_EPH_IPCC (O-O4)'!$L$276:$L$407,MATCH(1,INDEX(($B9='[1]COMPARISON_EPH_IPCC (O-O4)'!$B$276:$B$407)*([2]Subsidies_Springmann_Freund!$C$5='[1]COMPARISON_EPH_IPCC (O-O4)'!$F$276:$F$407),0,1),0))</f>
        <v>0.17004</v>
      </c>
      <c r="D9" s="1267" cm="1">
        <f t="array" ref="D9">INDEX('[1]COMPARISON_EPH_IPCC (O-O4)'!$L$276:$L$407,MATCH(1,INDEX(($B9='[1]COMPARISON_EPH_IPCC (O-O4)'!$B$276:$B$407)*([2]Subsidies_Springmann_Freund!$D$5='[1]COMPARISON_EPH_IPCC (O-O4)'!$F$276:$F$407),0,1),0))</f>
        <v>0.37839999999999996</v>
      </c>
      <c r="E9" s="218" t="s">
        <v>802</v>
      </c>
      <c r="F9" s="1267" cm="1">
        <f t="array" ref="F9">INDEX('[1]COMPARISON_EPH_IPCC (O-O4)'!$O$276:$O$407,MATCH(1,INDEX(($B9='[1]COMPARISON_EPH_IPCC (O-O4)'!$B$276:$B$407)*([2]Subsidies_Springmann_Freund!$F$5='[1]COMPARISON_EPH_IPCC (O-O4)'!$F$276:$F$407),0,1),0))</f>
        <v>0.46064481199772461</v>
      </c>
      <c r="G9" s="1268" cm="1">
        <f t="array" ref="G9">INDEX('[1]COMPARISON_EPH_IPCC (O-O4)'!$O$276:$O$407,MATCH(1,INDEX(($B9='[1]COMPARISON_EPH_IPCC (O-O4)'!$B$276:$B$407)*([2]Subsidies_Springmann_Freund!$G$5='[1]COMPARISON_EPH_IPCC (O-O4)'!$F$276:$F$407),0,1),0))</f>
        <v>0.26622696184844918</v>
      </c>
      <c r="H9" s="218" t="s">
        <v>802</v>
      </c>
      <c r="I9" s="1267" cm="1">
        <f t="array" ref="I9">INDEX('[1]COMPARISON_EPH_IPCC (O-O4)'!$N$276:$N$407,MATCH(1,INDEX(($B9='[1]COMPARISON_EPH_IPCC (O-O4)'!$B$276:$B$407)*([2]Subsidies_Springmann_Freund!$I$5='[1]COMPARISON_EPH_IPCC (O-O4)'!$F$276:$F$407),0,1),0))</f>
        <v>0.63068481199772464</v>
      </c>
      <c r="J9" s="1267" cm="1">
        <f t="array" ref="J9">INDEX('[1]COMPARISON_EPH_IPCC (O-O4)'!$N$276:$N$407,MATCH(1,INDEX(($B9='[1]COMPARISON_EPH_IPCC (O-O4)'!$B$276:$B$407)*([2]Subsidies_Springmann_Freund!$J$5='[1]COMPARISON_EPH_IPCC (O-O4)'!$F$276:$F$407),0,1),0))</f>
        <v>0.64462696184844914</v>
      </c>
      <c r="K9" s="218" t="s">
        <v>802</v>
      </c>
      <c r="L9" s="1269">
        <f t="shared" si="0"/>
        <v>2.709037943999792</v>
      </c>
      <c r="M9" s="1270">
        <f t="shared" si="0"/>
        <v>0.70355962433522512</v>
      </c>
      <c r="N9" s="1265" t="s">
        <v>248</v>
      </c>
      <c r="O9" s="514" t="s">
        <v>248</v>
      </c>
      <c r="P9" s="1265" t="s">
        <v>248</v>
      </c>
      <c r="Q9" s="363" t="s">
        <v>248</v>
      </c>
      <c r="R9" s="1272" t="s">
        <v>248</v>
      </c>
    </row>
    <row r="10" spans="2:18" x14ac:dyDescent="0.25">
      <c r="B10" s="409" t="s">
        <v>100</v>
      </c>
      <c r="C10" s="1267" cm="1">
        <f t="array" ref="C10">INDEX('[1]COMPARISON_EPH_IPCC (O-O4)'!$L$276:$L$407,MATCH(1,INDEX(($B10='[1]COMPARISON_EPH_IPCC (O-O4)'!$B$276:$B$407)*([2]Subsidies_Springmann_Freund!$C$5='[1]COMPARISON_EPH_IPCC (O-O4)'!$F$276:$F$407),0,1),0))</f>
        <v>0.19027961896782761</v>
      </c>
      <c r="D10" s="1267" cm="1">
        <f t="array" ref="D10">INDEX('[1]COMPARISON_EPH_IPCC (O-O4)'!$L$276:$L$407,MATCH(1,INDEX(($B10='[1]COMPARISON_EPH_IPCC (O-O4)'!$B$276:$B$407)*([2]Subsidies_Springmann_Freund!$D$5='[1]COMPARISON_EPH_IPCC (O-O4)'!$F$276:$F$407),0,1),0))</f>
        <v>0.4056506487491307</v>
      </c>
      <c r="E10" s="218" t="s">
        <v>802</v>
      </c>
      <c r="F10" s="1267" cm="1">
        <f t="array" ref="F10">INDEX('[1]COMPARISON_EPH_IPCC (O-O4)'!$O$276:$O$407,MATCH(1,INDEX(($B10='[1]COMPARISON_EPH_IPCC (O-O4)'!$B$276:$B$407)*([2]Subsidies_Springmann_Freund!$F$5='[1]COMPARISON_EPH_IPCC (O-O4)'!$F$276:$F$407),0,1),0))</f>
        <v>0.40924855004723826</v>
      </c>
      <c r="G10" s="1268" cm="1">
        <f t="array" ref="G10">INDEX('[1]COMPARISON_EPH_IPCC (O-O4)'!$O$276:$O$407,MATCH(1,INDEX(($B10='[1]COMPARISON_EPH_IPCC (O-O4)'!$B$276:$B$407)*([2]Subsidies_Springmann_Freund!$G$5='[1]COMPARISON_EPH_IPCC (O-O4)'!$F$276:$F$407),0,1),0))</f>
        <v>0.23991159381814259</v>
      </c>
      <c r="H10" s="218" t="s">
        <v>802</v>
      </c>
      <c r="I10" s="1267" cm="1">
        <f t="array" ref="I10">INDEX('[1]COMPARISON_EPH_IPCC (O-O4)'!$N$276:$N$407,MATCH(1,INDEX(($B10='[1]COMPARISON_EPH_IPCC (O-O4)'!$B$276:$B$407)*([2]Subsidies_Springmann_Freund!$I$5='[1]COMPARISON_EPH_IPCC (O-O4)'!$F$276:$F$407),0,1),0))</f>
        <v>0.59952816901506589</v>
      </c>
      <c r="J10" s="1267" cm="1">
        <f t="array" ref="J10">INDEX('[1]COMPARISON_EPH_IPCC (O-O4)'!$N$276:$N$407,MATCH(1,INDEX(($B10='[1]COMPARISON_EPH_IPCC (O-O4)'!$B$276:$B$407)*([2]Subsidies_Springmann_Freund!$J$5='[1]COMPARISON_EPH_IPCC (O-O4)'!$F$276:$F$407),0,1),0))</f>
        <v>0.64556224256727335</v>
      </c>
      <c r="K10" s="218" t="s">
        <v>802</v>
      </c>
      <c r="L10" s="1269">
        <f t="shared" si="0"/>
        <v>2.1507744879205051</v>
      </c>
      <c r="M10" s="1270">
        <f t="shared" si="0"/>
        <v>0.59142415908352897</v>
      </c>
      <c r="N10" s="1265" t="s">
        <v>248</v>
      </c>
      <c r="O10" s="514" t="s">
        <v>248</v>
      </c>
      <c r="P10" s="1265" t="s">
        <v>248</v>
      </c>
      <c r="Q10" s="363" t="s">
        <v>248</v>
      </c>
      <c r="R10" s="1272" t="s">
        <v>248</v>
      </c>
    </row>
    <row r="11" spans="2:18" x14ac:dyDescent="0.25">
      <c r="B11" s="409" t="s">
        <v>101</v>
      </c>
      <c r="C11" s="1267" cm="1">
        <f t="array" ref="C11">INDEX('[1]COMPARISON_EPH_IPCC (O-O4)'!$L$276:$L$407,MATCH(1,INDEX(($B11='[1]COMPARISON_EPH_IPCC (O-O4)'!$B$276:$B$407)*([2]Subsidies_Springmann_Freund!$C$5='[1]COMPARISON_EPH_IPCC (O-O4)'!$F$276:$F$407),0,1),0))</f>
        <v>0.18195499999999998</v>
      </c>
      <c r="D11" s="1267" cm="1">
        <f t="array" ref="D11">INDEX('[1]COMPARISON_EPH_IPCC (O-O4)'!$L$276:$L$407,MATCH(1,INDEX(($B11='[1]COMPARISON_EPH_IPCC (O-O4)'!$B$276:$B$407)*([2]Subsidies_Springmann_Freund!$D$5='[1]COMPARISON_EPH_IPCC (O-O4)'!$F$276:$F$407),0,1),0))</f>
        <v>0.41675000000000001</v>
      </c>
      <c r="E11" s="218" t="s">
        <v>802</v>
      </c>
      <c r="F11" s="1267" cm="1">
        <f t="array" ref="F11">INDEX('[1]COMPARISON_EPH_IPCC (O-O4)'!$O$276:$O$407,MATCH(1,INDEX(($B11='[1]COMPARISON_EPH_IPCC (O-O4)'!$B$276:$B$407)*([2]Subsidies_Springmann_Freund!$F$5='[1]COMPARISON_EPH_IPCC (O-O4)'!$F$276:$F$407),0,1),0))</f>
        <v>0.33626011341935536</v>
      </c>
      <c r="G11" s="1268" cm="1">
        <f t="array" ref="G11">INDEX('[1]COMPARISON_EPH_IPCC (O-O4)'!$O$276:$O$407,MATCH(1,INDEX(($B11='[1]COMPARISON_EPH_IPCC (O-O4)'!$B$276:$B$407)*([2]Subsidies_Springmann_Freund!$G$5='[1]COMPARISON_EPH_IPCC (O-O4)'!$F$276:$F$407),0,1),0))</f>
        <v>0.21658780970658945</v>
      </c>
      <c r="H11" s="218" t="s">
        <v>802</v>
      </c>
      <c r="I11" s="1267" cm="1">
        <f t="array" ref="I11">INDEX('[1]COMPARISON_EPH_IPCC (O-O4)'!$N$276:$N$407,MATCH(1,INDEX(($B11='[1]COMPARISON_EPH_IPCC (O-O4)'!$B$276:$B$407)*([2]Subsidies_Springmann_Freund!$I$5='[1]COMPARISON_EPH_IPCC (O-O4)'!$F$276:$F$407),0,1),0))</f>
        <v>0.51821511341935533</v>
      </c>
      <c r="J11" s="1267" cm="1">
        <f t="array" ref="J11">INDEX('[1]COMPARISON_EPH_IPCC (O-O4)'!$N$276:$N$407,MATCH(1,INDEX(($B11='[1]COMPARISON_EPH_IPCC (O-O4)'!$B$276:$B$407)*([2]Subsidies_Springmann_Freund!$J$5='[1]COMPARISON_EPH_IPCC (O-O4)'!$F$276:$F$407),0,1),0))</f>
        <v>0.63333780970658948</v>
      </c>
      <c r="K11" s="218" t="s">
        <v>802</v>
      </c>
      <c r="L11" s="1269">
        <f t="shared" si="0"/>
        <v>1.8480399737262259</v>
      </c>
      <c r="M11" s="1270">
        <f t="shared" si="0"/>
        <v>0.51970680193542762</v>
      </c>
      <c r="N11" s="1265" t="s">
        <v>248</v>
      </c>
      <c r="O11" s="514">
        <v>171.85122582</v>
      </c>
      <c r="P11" s="1266">
        <v>151597.49</v>
      </c>
      <c r="Q11" s="363" t="s">
        <v>248</v>
      </c>
      <c r="R11" s="1271" t="s">
        <v>248</v>
      </c>
    </row>
    <row r="12" spans="2:18" x14ac:dyDescent="0.25">
      <c r="B12" s="1273" t="s">
        <v>2408</v>
      </c>
      <c r="C12" s="1274">
        <f>AVERAGE(C6:C11)</f>
        <v>0.18831904404100874</v>
      </c>
      <c r="D12" s="1274">
        <f>AVERAGE(D6:D11)</f>
        <v>0.41288017287057577</v>
      </c>
      <c r="E12" s="1194" t="s">
        <v>802</v>
      </c>
      <c r="F12" s="1274">
        <f>AVERAGE(F6:F11)</f>
        <v>0.41284062536041488</v>
      </c>
      <c r="G12" s="1275">
        <f>AVERAGE(G6:G11)</f>
        <v>0.22748889202927569</v>
      </c>
      <c r="H12" s="1194" t="s">
        <v>802</v>
      </c>
      <c r="I12" s="1274">
        <f>AVERAGE(I6:I11)</f>
        <v>0.60115966940142351</v>
      </c>
      <c r="J12" s="1274">
        <f>AVERAGE(J6:J11)</f>
        <v>0.64036906489985146</v>
      </c>
      <c r="K12" s="1194" t="s">
        <v>802</v>
      </c>
      <c r="L12" s="1276">
        <f>AVERAGE(L6:L11)</f>
        <v>2.2070840184384974</v>
      </c>
      <c r="M12" s="1277">
        <f>AVERAGE(M6:M11)</f>
        <v>0.55774246661037641</v>
      </c>
      <c r="N12" s="1278">
        <f>10993*0.887107173909478</f>
        <v>9751.9691627868924</v>
      </c>
      <c r="O12" s="1279">
        <f>SUMPRODUCT(O6:O11,P6:P11)/SUM(P6:P11)</f>
        <v>164.8325087900898</v>
      </c>
      <c r="P12" s="1280">
        <f>SUM(P6:P11)</f>
        <v>283202.95999999996</v>
      </c>
      <c r="Q12" s="1281">
        <f>(N12*1000000)/(P12*1000*1000)</f>
        <v>3.4434559450886013E-2</v>
      </c>
      <c r="R12" s="1282">
        <f>Q12/(O12/1000)</f>
        <v>0.20890636018127701</v>
      </c>
    </row>
    <row r="13" spans="2:18" x14ac:dyDescent="0.25">
      <c r="B13" s="409" t="s">
        <v>102</v>
      </c>
      <c r="C13" s="1267" cm="1">
        <f t="array" ref="C13">INDEX('[1]COMPARISON_EPH_IPCC (O-O4)'!$L$276:$L$407,MATCH(1,INDEX(($B13='[1]COMPARISON_EPH_IPCC (O-O4)'!$B$276:$B$407)*([2]Subsidies_Springmann_Freund!$C$5='[1]COMPARISON_EPH_IPCC (O-O4)'!$F$276:$F$407),0,1),0))</f>
        <v>1.4249898934019873</v>
      </c>
      <c r="D13" s="1267" cm="1">
        <f t="array" ref="D13">INDEX('[1]COMPARISON_EPH_IPCC (O-O4)'!$L$276:$L$407,MATCH(1,INDEX(($B13='[1]COMPARISON_EPH_IPCC (O-O4)'!$B$276:$B$407)*([2]Subsidies_Springmann_Freund!$D$5='[1]COMPARISON_EPH_IPCC (O-O4)'!$F$276:$F$407),0,1),0))</f>
        <v>3.49</v>
      </c>
      <c r="E13" s="218" t="s">
        <v>802</v>
      </c>
      <c r="F13" s="1267" cm="1">
        <f t="array" ref="F13">INDEX('[1]COMPARISON_EPH_IPCC (O-O4)'!$O$276:$O$407,MATCH(1,INDEX(($B13='[1]COMPARISON_EPH_IPCC (O-O4)'!$B$276:$B$407)*([2]Subsidies_Springmann_Freund!$F$5='[1]COMPARISON_EPH_IPCC (O-O4)'!$F$276:$F$407),0,1),0))</f>
        <v>0.73821134872201433</v>
      </c>
      <c r="G13" s="1268" cm="1">
        <f t="array" ref="G13">INDEX('[1]COMPARISON_EPH_IPCC (O-O4)'!$O$276:$O$407,MATCH(1,INDEX(($B13='[1]COMPARISON_EPH_IPCC (O-O4)'!$B$276:$B$407)*([2]Subsidies_Springmann_Freund!$G$5='[1]COMPARISON_EPH_IPCC (O-O4)'!$F$276:$F$407),0,1),0))</f>
        <v>0.35360465439950844</v>
      </c>
      <c r="H13" s="218" t="s">
        <v>802</v>
      </c>
      <c r="I13" s="1267" cm="1">
        <f t="array" ref="I13">INDEX('[1]COMPARISON_EPH_IPCC (O-O4)'!$N$276:$N$407,MATCH(1,INDEX(($B13='[1]COMPARISON_EPH_IPCC (O-O4)'!$B$276:$B$407)*([2]Subsidies_Springmann_Freund!$I$5='[1]COMPARISON_EPH_IPCC (O-O4)'!$F$276:$F$407),0,1),0))</f>
        <v>2.1632012421240017</v>
      </c>
      <c r="J13" s="1267" cm="1">
        <f t="array" ref="J13">INDEX('[1]COMPARISON_EPH_IPCC (O-O4)'!$N$276:$N$407,MATCH(1,INDEX(($B13='[1]COMPARISON_EPH_IPCC (O-O4)'!$B$276:$B$407)*([2]Subsidies_Springmann_Freund!$J$5='[1]COMPARISON_EPH_IPCC (O-O4)'!$F$276:$F$407),0,1),0))</f>
        <v>3.8436046543995088</v>
      </c>
      <c r="K13" s="218" t="s">
        <v>802</v>
      </c>
      <c r="L13" s="1269">
        <f t="shared" ref="L13:M26" si="1">I13/C13-1</f>
        <v>0.51804672590317535</v>
      </c>
      <c r="M13" s="1270">
        <f t="shared" si="1"/>
        <v>0.10131938521475892</v>
      </c>
      <c r="N13" s="1265" t="s">
        <v>248</v>
      </c>
      <c r="O13" s="514" t="s">
        <v>248</v>
      </c>
      <c r="P13" s="1265" t="s">
        <v>248</v>
      </c>
      <c r="Q13" s="363" t="s">
        <v>248</v>
      </c>
      <c r="R13" s="1272" t="s">
        <v>248</v>
      </c>
    </row>
    <row r="14" spans="2:18" x14ac:dyDescent="0.25">
      <c r="B14" s="265" t="s">
        <v>103</v>
      </c>
      <c r="C14" s="1267" cm="1">
        <f t="array" ref="C14">INDEX('[1]COMPARISON_EPH_IPCC (O-O4)'!$L$276:$L$407,MATCH(1,INDEX(($B14='[1]COMPARISON_EPH_IPCC (O-O4)'!$B$276:$B$407)*([2]Subsidies_Springmann_Freund!$C$5='[1]COMPARISON_EPH_IPCC (O-O4)'!$F$276:$F$407),0,1),0))</f>
        <v>1.7680061710892687</v>
      </c>
      <c r="D14" s="1267" cm="1">
        <f t="array" ref="D14">INDEX('[1]COMPARISON_EPH_IPCC (O-O4)'!$L$276:$L$407,MATCH(1,INDEX(($B14='[1]COMPARISON_EPH_IPCC (O-O4)'!$B$276:$B$407)*([2]Subsidies_Springmann_Freund!$D$5='[1]COMPARISON_EPH_IPCC (O-O4)'!$F$276:$F$407),0,1),0))</f>
        <v>4.28</v>
      </c>
      <c r="E14" s="218" t="s">
        <v>802</v>
      </c>
      <c r="F14" s="1267" cm="1">
        <f t="array" ref="F14">INDEX('[1]COMPARISON_EPH_IPCC (O-O4)'!$O$276:$O$407,MATCH(1,INDEX(($B14='[1]COMPARISON_EPH_IPCC (O-O4)'!$B$276:$B$407)*([2]Subsidies_Springmann_Freund!$F$5='[1]COMPARISON_EPH_IPCC (O-O4)'!$F$276:$F$407),0,1),0))</f>
        <v>0.34240270739993439</v>
      </c>
      <c r="G14" s="1268" cm="1">
        <f t="array" ref="G14">INDEX('[1]COMPARISON_EPH_IPCC (O-O4)'!$O$276:$O$407,MATCH(1,INDEX(($B14='[1]COMPARISON_EPH_IPCC (O-O4)'!$B$276:$B$407)*([2]Subsidies_Springmann_Freund!$G$5='[1]COMPARISON_EPH_IPCC (O-O4)'!$F$276:$F$407),0,1),0))</f>
        <v>0.11459156522064635</v>
      </c>
      <c r="H14" s="218" t="s">
        <v>802</v>
      </c>
      <c r="I14" s="1267" cm="1">
        <f t="array" ref="I14">INDEX('[1]COMPARISON_EPH_IPCC (O-O4)'!$N$276:$N$407,MATCH(1,INDEX(($B14='[1]COMPARISON_EPH_IPCC (O-O4)'!$B$276:$B$407)*([2]Subsidies_Springmann_Freund!$I$5='[1]COMPARISON_EPH_IPCC (O-O4)'!$F$276:$F$407),0,1),0))</f>
        <v>2.1104088784892032</v>
      </c>
      <c r="J14" s="1267" cm="1">
        <f t="array" ref="J14">INDEX('[1]COMPARISON_EPH_IPCC (O-O4)'!$N$276:$N$407,MATCH(1,INDEX(($B14='[1]COMPARISON_EPH_IPCC (O-O4)'!$B$276:$B$407)*([2]Subsidies_Springmann_Freund!$J$5='[1]COMPARISON_EPH_IPCC (O-O4)'!$F$276:$F$407),0,1),0))</f>
        <v>4.3945915652206464</v>
      </c>
      <c r="K14" s="218" t="s">
        <v>802</v>
      </c>
      <c r="L14" s="1269">
        <f t="shared" si="1"/>
        <v>0.19366601372719194</v>
      </c>
      <c r="M14" s="1270">
        <f t="shared" si="1"/>
        <v>2.6773730191739675E-2</v>
      </c>
      <c r="N14" s="1265" t="s">
        <v>248</v>
      </c>
      <c r="O14" s="514" t="s">
        <v>248</v>
      </c>
      <c r="P14" s="1265" t="s">
        <v>248</v>
      </c>
      <c r="Q14" s="363" t="s">
        <v>248</v>
      </c>
      <c r="R14" s="1272" t="s">
        <v>248</v>
      </c>
    </row>
    <row r="15" spans="2:18" x14ac:dyDescent="0.25">
      <c r="B15" s="409" t="s">
        <v>104</v>
      </c>
      <c r="C15" s="1267" cm="1">
        <f t="array" ref="C15">INDEX('[1]COMPARISON_EPH_IPCC (O-O4)'!$L$276:$L$407,MATCH(1,INDEX(($B15='[1]COMPARISON_EPH_IPCC (O-O4)'!$B$276:$B$407)*([2]Subsidies_Springmann_Freund!$C$5='[1]COMPARISON_EPH_IPCC (O-O4)'!$F$276:$F$407),0,1),0))</f>
        <v>1.5016681086919641</v>
      </c>
      <c r="D15" s="1267" cm="1">
        <f t="array" ref="D15">INDEX('[1]COMPARISON_EPH_IPCC (O-O4)'!$L$276:$L$407,MATCH(1,INDEX(($B15='[1]COMPARISON_EPH_IPCC (O-O4)'!$B$276:$B$407)*([2]Subsidies_Springmann_Freund!$D$5='[1]COMPARISON_EPH_IPCC (O-O4)'!$F$276:$F$407),0,1),0))</f>
        <v>3.677795697780804</v>
      </c>
      <c r="E15" s="218" t="s">
        <v>802</v>
      </c>
      <c r="F15" s="1267" cm="1">
        <f t="array" ref="F15">INDEX('[1]COMPARISON_EPH_IPCC (O-O4)'!$O$276:$O$407,MATCH(1,INDEX(($B15='[1]COMPARISON_EPH_IPCC (O-O4)'!$B$276:$B$407)*([2]Subsidies_Springmann_Freund!$F$5='[1]COMPARISON_EPH_IPCC (O-O4)'!$F$276:$F$407),0,1),0))</f>
        <v>1.6298959907701365</v>
      </c>
      <c r="G15" s="1268" cm="1">
        <f t="array" ref="G15">INDEX('[1]COMPARISON_EPH_IPCC (O-O4)'!$O$276:$O$407,MATCH(1,INDEX(($B15='[1]COMPARISON_EPH_IPCC (O-O4)'!$B$276:$B$407)*([2]Subsidies_Springmann_Freund!$G$5='[1]COMPARISON_EPH_IPCC (O-O4)'!$F$276:$F$407),0,1),0))</f>
        <v>0.82074887418407982</v>
      </c>
      <c r="H15" s="218" t="s">
        <v>802</v>
      </c>
      <c r="I15" s="1267" cm="1">
        <f t="array" ref="I15">INDEX('[1]COMPARISON_EPH_IPCC (O-O4)'!$N$276:$N$407,MATCH(1,INDEX(($B15='[1]COMPARISON_EPH_IPCC (O-O4)'!$B$276:$B$407)*([2]Subsidies_Springmann_Freund!$I$5='[1]COMPARISON_EPH_IPCC (O-O4)'!$F$276:$F$407),0,1),0))</f>
        <v>3.1315640994621008</v>
      </c>
      <c r="J15" s="1267" cm="1">
        <f t="array" ref="J15">INDEX('[1]COMPARISON_EPH_IPCC (O-O4)'!$N$276:$N$407,MATCH(1,INDEX(($B15='[1]COMPARISON_EPH_IPCC (O-O4)'!$B$276:$B$407)*([2]Subsidies_Springmann_Freund!$J$5='[1]COMPARISON_EPH_IPCC (O-O4)'!$F$276:$F$407),0,1),0))</f>
        <v>4.4985445719648833</v>
      </c>
      <c r="K15" s="218" t="s">
        <v>802</v>
      </c>
      <c r="L15" s="1269">
        <f t="shared" si="1"/>
        <v>1.0853902945237786</v>
      </c>
      <c r="M15" s="1270">
        <f t="shared" si="1"/>
        <v>0.22316325909003654</v>
      </c>
      <c r="N15" s="1265" t="s">
        <v>248</v>
      </c>
      <c r="O15" s="514" t="s">
        <v>248</v>
      </c>
      <c r="P15" s="1265" t="s">
        <v>248</v>
      </c>
      <c r="Q15" s="363" t="s">
        <v>248</v>
      </c>
      <c r="R15" s="1272" t="s">
        <v>248</v>
      </c>
    </row>
    <row r="16" spans="2:18" x14ac:dyDescent="0.25">
      <c r="B16" s="409" t="s">
        <v>105</v>
      </c>
      <c r="C16" s="1267" cm="1">
        <f t="array" ref="C16">INDEX('[1]COMPARISON_EPH_IPCC (O-O4)'!$L$276:$L$407,MATCH(1,INDEX(($B16='[1]COMPARISON_EPH_IPCC (O-O4)'!$B$276:$B$407)*([2]Subsidies_Springmann_Freund!$C$5='[1]COMPARISON_EPH_IPCC (O-O4)'!$F$276:$F$407),0,1),0))</f>
        <v>1.2070093457943925</v>
      </c>
      <c r="D16" s="1267" cm="1">
        <f t="array" ref="D16">INDEX('[1]COMPARISON_EPH_IPCC (O-O4)'!$L$276:$L$407,MATCH(1,INDEX(($B16='[1]COMPARISON_EPH_IPCC (O-O4)'!$B$276:$B$407)*([2]Subsidies_Springmann_Freund!$D$5='[1]COMPARISON_EPH_IPCC (O-O4)'!$F$276:$F$407),0,1),0))</f>
        <v>3.15</v>
      </c>
      <c r="E16" s="218" t="s">
        <v>802</v>
      </c>
      <c r="F16" s="1267" cm="1">
        <f t="array" ref="F16">INDEX('[1]COMPARISON_EPH_IPCC (O-O4)'!$O$276:$O$407,MATCH(1,INDEX(($B16='[1]COMPARISON_EPH_IPCC (O-O4)'!$B$276:$B$407)*([2]Subsidies_Springmann_Freund!$F$5='[1]COMPARISON_EPH_IPCC (O-O4)'!$F$276:$F$407),0,1),0))</f>
        <v>0.42335940633544905</v>
      </c>
      <c r="G16" s="1268" cm="1">
        <f t="array" ref="G16">INDEX('[1]COMPARISON_EPH_IPCC (O-O4)'!$O$276:$O$407,MATCH(1,INDEX(($B16='[1]COMPARISON_EPH_IPCC (O-O4)'!$B$276:$B$407)*([2]Subsidies_Springmann_Freund!$G$5='[1]COMPARISON_EPH_IPCC (O-O4)'!$F$276:$F$407),0,1),0))</f>
        <v>0.22963059567532315</v>
      </c>
      <c r="H16" s="218" t="s">
        <v>802</v>
      </c>
      <c r="I16" s="1267" cm="1">
        <f t="array" ref="I16">INDEX('[1]COMPARISON_EPH_IPCC (O-O4)'!$N$276:$N$407,MATCH(1,INDEX(($B16='[1]COMPARISON_EPH_IPCC (O-O4)'!$B$276:$B$407)*([2]Subsidies_Springmann_Freund!$I$5='[1]COMPARISON_EPH_IPCC (O-O4)'!$F$276:$F$407),0,1),0))</f>
        <v>1.6303687521298416</v>
      </c>
      <c r="J16" s="1267" cm="1">
        <f t="array" ref="J16">INDEX('[1]COMPARISON_EPH_IPCC (O-O4)'!$N$276:$N$407,MATCH(1,INDEX(($B16='[1]COMPARISON_EPH_IPCC (O-O4)'!$B$276:$B$407)*([2]Subsidies_Springmann_Freund!$J$5='[1]COMPARISON_EPH_IPCC (O-O4)'!$F$276:$F$407),0,1),0))</f>
        <v>3.379630595675323</v>
      </c>
      <c r="K16" s="218" t="s">
        <v>802</v>
      </c>
      <c r="L16" s="1269">
        <f t="shared" si="1"/>
        <v>0.35075072766467708</v>
      </c>
      <c r="M16" s="1270">
        <f t="shared" si="1"/>
        <v>7.2898601801689944E-2</v>
      </c>
      <c r="N16" s="1265" t="s">
        <v>248</v>
      </c>
      <c r="O16" s="514" t="s">
        <v>248</v>
      </c>
      <c r="P16" s="1265" t="s">
        <v>248</v>
      </c>
      <c r="Q16" s="363" t="s">
        <v>248</v>
      </c>
      <c r="R16" s="1272" t="s">
        <v>248</v>
      </c>
    </row>
    <row r="17" spans="2:18" x14ac:dyDescent="0.25">
      <c r="B17" s="265" t="s">
        <v>106</v>
      </c>
      <c r="C17" s="1267" cm="1">
        <f t="array" ref="C17">INDEX('[1]COMPARISON_EPH_IPCC (O-O4)'!$L$276:$L$407,MATCH(1,INDEX(($B17='[1]COMPARISON_EPH_IPCC (O-O4)'!$B$276:$B$407)*([2]Subsidies_Springmann_Freund!$C$5='[1]COMPARISON_EPH_IPCC (O-O4)'!$F$276:$F$407),0,1),0))</f>
        <v>0.32371000000000005</v>
      </c>
      <c r="D17" s="1267" cm="1">
        <f t="array" ref="D17">INDEX('[1]COMPARISON_EPH_IPCC (O-O4)'!$L$276:$L$407,MATCH(1,INDEX(($B17='[1]COMPARISON_EPH_IPCC (O-O4)'!$B$276:$B$407)*([2]Subsidies_Springmann_Freund!$D$5='[1]COMPARISON_EPH_IPCC (O-O4)'!$F$276:$F$407),0,1),0))</f>
        <v>0.70413000000000003</v>
      </c>
      <c r="E17" s="218" t="s">
        <v>802</v>
      </c>
      <c r="F17" s="1267" cm="1">
        <f t="array" ref="F17">INDEX('[1]COMPARISON_EPH_IPCC (O-O4)'!$O$276:$O$407,MATCH(1,INDEX(($B17='[1]COMPARISON_EPH_IPCC (O-O4)'!$B$276:$B$407)*([2]Subsidies_Springmann_Freund!$F$5='[1]COMPARISON_EPH_IPCC (O-O4)'!$F$276:$F$407),0,1),0))</f>
        <v>0.98039626973270333</v>
      </c>
      <c r="G17" s="1268" cm="1">
        <f t="array" ref="G17">INDEX('[1]COMPARISON_EPH_IPCC (O-O4)'!$O$276:$O$407,MATCH(1,INDEX(($B17='[1]COMPARISON_EPH_IPCC (O-O4)'!$B$276:$B$407)*([2]Subsidies_Springmann_Freund!$G$5='[1]COMPARISON_EPH_IPCC (O-O4)'!$F$276:$F$407),0,1),0))</f>
        <v>0.62611125565031545</v>
      </c>
      <c r="H17" s="218" t="s">
        <v>802</v>
      </c>
      <c r="I17" s="1267" cm="1">
        <f t="array" ref="I17">INDEX('[1]COMPARISON_EPH_IPCC (O-O4)'!$N$276:$N$407,MATCH(1,INDEX(($B17='[1]COMPARISON_EPH_IPCC (O-O4)'!$B$276:$B$407)*([2]Subsidies_Springmann_Freund!$I$5='[1]COMPARISON_EPH_IPCC (O-O4)'!$F$276:$F$407),0,1),0))</f>
        <v>1.3041062697327033</v>
      </c>
      <c r="J17" s="1267" cm="1">
        <f t="array" ref="J17">INDEX('[1]COMPARISON_EPH_IPCC (O-O4)'!$N$276:$N$407,MATCH(1,INDEX(($B17='[1]COMPARISON_EPH_IPCC (O-O4)'!$B$276:$B$407)*([2]Subsidies_Springmann_Freund!$J$5='[1]COMPARISON_EPH_IPCC (O-O4)'!$F$276:$F$407),0,1),0))</f>
        <v>1.3302412556503156</v>
      </c>
      <c r="K17" s="218" t="s">
        <v>802</v>
      </c>
      <c r="L17" s="1269">
        <f t="shared" si="1"/>
        <v>3.0286252192786849</v>
      </c>
      <c r="M17" s="1270">
        <f t="shared" si="1"/>
        <v>0.88919838048416566</v>
      </c>
      <c r="N17" s="1265" t="s">
        <v>248</v>
      </c>
      <c r="O17" s="514" t="s">
        <v>248</v>
      </c>
      <c r="P17" s="1266" t="s">
        <v>248</v>
      </c>
      <c r="Q17" s="363" t="s">
        <v>248</v>
      </c>
      <c r="R17" s="1271" t="s">
        <v>248</v>
      </c>
    </row>
    <row r="18" spans="2:18" x14ac:dyDescent="0.25">
      <c r="B18" s="409" t="s">
        <v>107</v>
      </c>
      <c r="C18" s="1267" cm="1">
        <f t="array" ref="C18">INDEX('[1]COMPARISON_EPH_IPCC (O-O4)'!$L$276:$L$407,MATCH(1,INDEX(($B18='[1]COMPARISON_EPH_IPCC (O-O4)'!$B$276:$B$407)*([2]Subsidies_Springmann_Freund!$C$5='[1]COMPARISON_EPH_IPCC (O-O4)'!$F$276:$F$407),0,1),0))</f>
        <v>0.33</v>
      </c>
      <c r="D18" s="1267" cm="1">
        <f t="array" ref="D18">INDEX('[1]COMPARISON_EPH_IPCC (O-O4)'!$L$276:$L$407,MATCH(1,INDEX(($B18='[1]COMPARISON_EPH_IPCC (O-O4)'!$B$276:$B$407)*([2]Subsidies_Springmann_Freund!$D$5='[1]COMPARISON_EPH_IPCC (O-O4)'!$F$276:$F$407),0,1),0))</f>
        <v>3</v>
      </c>
      <c r="E18" s="218" t="s">
        <v>802</v>
      </c>
      <c r="F18" s="1267" cm="1">
        <f t="array" ref="F18">INDEX('[1]COMPARISON_EPH_IPCC (O-O4)'!$O$276:$O$407,MATCH(1,INDEX(($B18='[1]COMPARISON_EPH_IPCC (O-O4)'!$B$276:$B$407)*([2]Subsidies_Springmann_Freund!$F$5='[1]COMPARISON_EPH_IPCC (O-O4)'!$F$276:$F$407),0,1),0))</f>
        <v>1.882244555664244</v>
      </c>
      <c r="G18" s="1268" cm="1">
        <f t="array" ref="G18">INDEX('[1]COMPARISON_EPH_IPCC (O-O4)'!$O$276:$O$407,MATCH(1,INDEX(($B18='[1]COMPARISON_EPH_IPCC (O-O4)'!$B$276:$B$407)*([2]Subsidies_Springmann_Freund!$G$5='[1]COMPARISON_EPH_IPCC (O-O4)'!$F$276:$F$407),0,1),0))</f>
        <v>1.1133260184734246</v>
      </c>
      <c r="H18" s="218" t="s">
        <v>802</v>
      </c>
      <c r="I18" s="1267" cm="1">
        <f t="array" ref="I18">INDEX('[1]COMPARISON_EPH_IPCC (O-O4)'!$N$276:$N$407,MATCH(1,INDEX(($B18='[1]COMPARISON_EPH_IPCC (O-O4)'!$B$276:$B$407)*([2]Subsidies_Springmann_Freund!$I$5='[1]COMPARISON_EPH_IPCC (O-O4)'!$F$276:$F$407),0,1),0))</f>
        <v>2.2122445556642441</v>
      </c>
      <c r="J18" s="1267" cm="1">
        <f t="array" ref="J18">INDEX('[1]COMPARISON_EPH_IPCC (O-O4)'!$N$276:$N$407,MATCH(1,INDEX(($B18='[1]COMPARISON_EPH_IPCC (O-O4)'!$B$276:$B$407)*([2]Subsidies_Springmann_Freund!$J$5='[1]COMPARISON_EPH_IPCC (O-O4)'!$F$276:$F$407),0,1),0))</f>
        <v>4.1133260184734244</v>
      </c>
      <c r="K18" s="218" t="s">
        <v>802</v>
      </c>
      <c r="L18" s="1269">
        <f t="shared" si="1"/>
        <v>5.7037713808007391</v>
      </c>
      <c r="M18" s="1270">
        <f t="shared" si="1"/>
        <v>0.37110867282447479</v>
      </c>
      <c r="N18" s="1265" t="s">
        <v>248</v>
      </c>
      <c r="O18" s="514" t="s">
        <v>248</v>
      </c>
      <c r="P18" s="1265" t="s">
        <v>248</v>
      </c>
      <c r="Q18" s="363" t="s">
        <v>248</v>
      </c>
      <c r="R18" s="1272" t="s">
        <v>248</v>
      </c>
    </row>
    <row r="19" spans="2:18" x14ac:dyDescent="0.25">
      <c r="B19" s="265" t="s">
        <v>108</v>
      </c>
      <c r="C19" s="1267" cm="1">
        <f t="array" ref="C19">INDEX('[1]COMPARISON_EPH_IPCC (O-O4)'!$L$276:$L$407,MATCH(1,INDEX(($B19='[1]COMPARISON_EPH_IPCC (O-O4)'!$B$276:$B$407)*([2]Subsidies_Springmann_Freund!$C$5='[1]COMPARISON_EPH_IPCC (O-O4)'!$F$276:$F$407),0,1),0))</f>
        <v>0.7434325684016676</v>
      </c>
      <c r="D19" s="1267" cm="1">
        <f t="array" ref="D19">INDEX('[1]COMPARISON_EPH_IPCC (O-O4)'!$L$276:$L$407,MATCH(1,INDEX(($B19='[1]COMPARISON_EPH_IPCC (O-O4)'!$B$276:$B$407)*([2]Subsidies_Springmann_Freund!$D$5='[1]COMPARISON_EPH_IPCC (O-O4)'!$F$276:$F$407),0,1),0))</f>
        <v>3.5</v>
      </c>
      <c r="E19" s="218" t="s">
        <v>802</v>
      </c>
      <c r="F19" s="1267" cm="1">
        <f t="array" ref="F19">INDEX('[1]COMPARISON_EPH_IPCC (O-O4)'!$O$276:$O$407,MATCH(1,INDEX(($B19='[1]COMPARISON_EPH_IPCC (O-O4)'!$B$276:$B$407)*([2]Subsidies_Springmann_Freund!$F$5='[1]COMPARISON_EPH_IPCC (O-O4)'!$F$276:$F$407),0,1),0))</f>
        <v>2.4252242515895586</v>
      </c>
      <c r="G19" s="1268" cm="1">
        <f t="array" ref="G19">INDEX('[1]COMPARISON_EPH_IPCC (O-O4)'!$O$276:$O$407,MATCH(1,INDEX(($B19='[1]COMPARISON_EPH_IPCC (O-O4)'!$B$276:$B$407)*([2]Subsidies_Springmann_Freund!$G$5='[1]COMPARISON_EPH_IPCC (O-O4)'!$F$276:$F$407),0,1),0))</f>
        <v>1.2678609299139327</v>
      </c>
      <c r="H19" s="218" t="s">
        <v>802</v>
      </c>
      <c r="I19" s="1267" cm="1">
        <f t="array" ref="I19">INDEX('[1]COMPARISON_EPH_IPCC (O-O4)'!$N$276:$N$407,MATCH(1,INDEX(($B19='[1]COMPARISON_EPH_IPCC (O-O4)'!$B$276:$B$407)*([2]Subsidies_Springmann_Freund!$I$5='[1]COMPARISON_EPH_IPCC (O-O4)'!$F$276:$F$407),0,1),0))</f>
        <v>3.1686568199912264</v>
      </c>
      <c r="J19" s="1267" cm="1">
        <f t="array" ref="J19">INDEX('[1]COMPARISON_EPH_IPCC (O-O4)'!$N$276:$N$407,MATCH(1,INDEX(($B19='[1]COMPARISON_EPH_IPCC (O-O4)'!$B$276:$B$407)*([2]Subsidies_Springmann_Freund!$J$5='[1]COMPARISON_EPH_IPCC (O-O4)'!$F$276:$F$407),0,1),0))</f>
        <v>4.7678609299139332</v>
      </c>
      <c r="K19" s="218" t="s">
        <v>802</v>
      </c>
      <c r="L19" s="1269">
        <f t="shared" si="1"/>
        <v>3.2621980185824189</v>
      </c>
      <c r="M19" s="1270">
        <f t="shared" si="1"/>
        <v>0.36224597997540942</v>
      </c>
      <c r="N19" s="1265" t="s">
        <v>248</v>
      </c>
      <c r="O19" s="514" t="s">
        <v>248</v>
      </c>
      <c r="P19" s="1265" t="s">
        <v>248</v>
      </c>
      <c r="Q19" s="363" t="s">
        <v>248</v>
      </c>
      <c r="R19" s="1272" t="s">
        <v>248</v>
      </c>
    </row>
    <row r="20" spans="2:18" x14ac:dyDescent="0.25">
      <c r="B20" s="409" t="s">
        <v>109</v>
      </c>
      <c r="C20" s="1267" cm="1">
        <f t="array" ref="C20">INDEX('[1]COMPARISON_EPH_IPCC (O-O4)'!$L$276:$L$407,MATCH(1,INDEX(($B20='[1]COMPARISON_EPH_IPCC (O-O4)'!$B$276:$B$407)*([2]Subsidies_Springmann_Freund!$C$5='[1]COMPARISON_EPH_IPCC (O-O4)'!$F$276:$F$407),0,1),0))</f>
        <v>0.35311999999999999</v>
      </c>
      <c r="D20" s="1267" cm="1">
        <f t="array" ref="D20">INDEX('[1]COMPARISON_EPH_IPCC (O-O4)'!$L$276:$L$407,MATCH(1,INDEX(($B20='[1]COMPARISON_EPH_IPCC (O-O4)'!$B$276:$B$407)*([2]Subsidies_Springmann_Freund!$D$5='[1]COMPARISON_EPH_IPCC (O-O4)'!$F$276:$F$407),0,1),0))</f>
        <v>0.91249000000000002</v>
      </c>
      <c r="E20" s="218" t="s">
        <v>802</v>
      </c>
      <c r="F20" s="1267" cm="1">
        <f t="array" ref="F20">INDEX('[1]COMPARISON_EPH_IPCC (O-O4)'!$O$276:$O$407,MATCH(1,INDEX(($B20='[1]COMPARISON_EPH_IPCC (O-O4)'!$B$276:$B$407)*([2]Subsidies_Springmann_Freund!$F$5='[1]COMPARISON_EPH_IPCC (O-O4)'!$F$276:$F$407),0,1),0))</f>
        <v>0.86995918701082708</v>
      </c>
      <c r="G20" s="1268" cm="1">
        <f t="array" ref="G20">INDEX('[1]COMPARISON_EPH_IPCC (O-O4)'!$O$276:$O$407,MATCH(1,INDEX(($B20='[1]COMPARISON_EPH_IPCC (O-O4)'!$B$276:$B$407)*([2]Subsidies_Springmann_Freund!$G$5='[1]COMPARISON_EPH_IPCC (O-O4)'!$F$276:$F$407),0,1),0))</f>
        <v>0.43296503327047747</v>
      </c>
      <c r="H20" s="218" t="s">
        <v>802</v>
      </c>
      <c r="I20" s="1267" cm="1">
        <f t="array" ref="I20">INDEX('[1]COMPARISON_EPH_IPCC (O-O4)'!$N$276:$N$407,MATCH(1,INDEX(($B20='[1]COMPARISON_EPH_IPCC (O-O4)'!$B$276:$B$407)*([2]Subsidies_Springmann_Freund!$I$5='[1]COMPARISON_EPH_IPCC (O-O4)'!$F$276:$F$407),0,1),0))</f>
        <v>1.2230791870108271</v>
      </c>
      <c r="J20" s="1267" cm="1">
        <f t="array" ref="J20">INDEX('[1]COMPARISON_EPH_IPCC (O-O4)'!$N$276:$N$407,MATCH(1,INDEX(($B20='[1]COMPARISON_EPH_IPCC (O-O4)'!$B$276:$B$407)*([2]Subsidies_Springmann_Freund!$J$5='[1]COMPARISON_EPH_IPCC (O-O4)'!$F$276:$F$407),0,1),0))</f>
        <v>1.3454550332704776</v>
      </c>
      <c r="K20" s="218" t="s">
        <v>802</v>
      </c>
      <c r="L20" s="1269">
        <f t="shared" si="1"/>
        <v>2.4636361208960893</v>
      </c>
      <c r="M20" s="1270">
        <f t="shared" si="1"/>
        <v>0.47448742810384492</v>
      </c>
      <c r="N20" s="1265" t="s">
        <v>248</v>
      </c>
      <c r="O20" s="514" t="s">
        <v>248</v>
      </c>
      <c r="P20" s="1265" t="s">
        <v>248</v>
      </c>
      <c r="Q20" s="363" t="s">
        <v>248</v>
      </c>
      <c r="R20" s="1272" t="s">
        <v>248</v>
      </c>
    </row>
    <row r="21" spans="2:18" x14ac:dyDescent="0.25">
      <c r="B21" s="265" t="s">
        <v>110</v>
      </c>
      <c r="C21" s="1267" cm="1">
        <f t="array" ref="C21">INDEX('[1]COMPARISON_EPH_IPCC (O-O4)'!$L$276:$L$407,MATCH(1,INDEX(($B21='[1]COMPARISON_EPH_IPCC (O-O4)'!$B$276:$B$407)*([2]Subsidies_Springmann_Freund!$C$5='[1]COMPARISON_EPH_IPCC (O-O4)'!$F$276:$F$407),0,1),0))</f>
        <v>0.29699999999999999</v>
      </c>
      <c r="D21" s="1267" cm="1">
        <f t="array" ref="D21">INDEX('[1]COMPARISON_EPH_IPCC (O-O4)'!$L$276:$L$407,MATCH(1,INDEX(($B21='[1]COMPARISON_EPH_IPCC (O-O4)'!$B$276:$B$407)*([2]Subsidies_Springmann_Freund!$D$5='[1]COMPARISON_EPH_IPCC (O-O4)'!$F$276:$F$407),0,1),0))</f>
        <v>0.72726000000000002</v>
      </c>
      <c r="E21" s="218" t="s">
        <v>802</v>
      </c>
      <c r="F21" s="1267" cm="1">
        <f t="array" ref="F21">INDEX('[1]COMPARISON_EPH_IPCC (O-O4)'!$O$276:$O$407,MATCH(1,INDEX(($B21='[1]COMPARISON_EPH_IPCC (O-O4)'!$B$276:$B$407)*([2]Subsidies_Springmann_Freund!$F$5='[1]COMPARISON_EPH_IPCC (O-O4)'!$F$276:$F$407),0,1),0))</f>
        <v>1.3566495896358768</v>
      </c>
      <c r="G21" s="1268" cm="1">
        <f t="array" ref="G21">INDEX('[1]COMPARISON_EPH_IPCC (O-O4)'!$O$276:$O$407,MATCH(1,INDEX(($B21='[1]COMPARISON_EPH_IPCC (O-O4)'!$B$276:$B$407)*([2]Subsidies_Springmann_Freund!$G$5='[1]COMPARISON_EPH_IPCC (O-O4)'!$F$276:$F$407),0,1),0))</f>
        <v>0.79953842932222341</v>
      </c>
      <c r="H21" s="218" t="s">
        <v>802</v>
      </c>
      <c r="I21" s="1267" cm="1">
        <f t="array" ref="I21">INDEX('[1]COMPARISON_EPH_IPCC (O-O4)'!$N$276:$N$407,MATCH(1,INDEX(($B21='[1]COMPARISON_EPH_IPCC (O-O4)'!$B$276:$B$407)*([2]Subsidies_Springmann_Freund!$I$5='[1]COMPARISON_EPH_IPCC (O-O4)'!$F$276:$F$407),0,1),0))</f>
        <v>1.6536495896358767</v>
      </c>
      <c r="J21" s="1267" cm="1">
        <f t="array" ref="J21">INDEX('[1]COMPARISON_EPH_IPCC (O-O4)'!$N$276:$N$407,MATCH(1,INDEX(($B21='[1]COMPARISON_EPH_IPCC (O-O4)'!$B$276:$B$407)*([2]Subsidies_Springmann_Freund!$J$5='[1]COMPARISON_EPH_IPCC (O-O4)'!$F$276:$F$407),0,1),0))</f>
        <v>1.5267984293222234</v>
      </c>
      <c r="K21" s="218" t="s">
        <v>802</v>
      </c>
      <c r="L21" s="1269">
        <f t="shared" si="1"/>
        <v>4.5678437361477329</v>
      </c>
      <c r="M21" s="1270">
        <f t="shared" si="1"/>
        <v>1.0993845795481993</v>
      </c>
      <c r="N21" s="1265" t="s">
        <v>248</v>
      </c>
      <c r="O21" s="514" t="s">
        <v>248</v>
      </c>
      <c r="P21" s="1265" t="s">
        <v>248</v>
      </c>
      <c r="Q21" s="363" t="s">
        <v>248</v>
      </c>
      <c r="R21" s="1272" t="s">
        <v>248</v>
      </c>
    </row>
    <row r="22" spans="2:18" x14ac:dyDescent="0.25">
      <c r="B22" s="409" t="s">
        <v>111</v>
      </c>
      <c r="C22" s="1267" cm="1">
        <f t="array" ref="C22">INDEX('[1]COMPARISON_EPH_IPCC (O-O4)'!$L$276:$L$407,MATCH(1,INDEX(($B22='[1]COMPARISON_EPH_IPCC (O-O4)'!$B$276:$B$407)*([2]Subsidies_Springmann_Freund!$C$5='[1]COMPARISON_EPH_IPCC (O-O4)'!$F$276:$F$407),0,1),0))</f>
        <v>0.23780000000000001</v>
      </c>
      <c r="D22" s="1267" cm="1">
        <f t="array" ref="D22">INDEX('[1]COMPARISON_EPH_IPCC (O-O4)'!$L$276:$L$407,MATCH(1,INDEX(($B22='[1]COMPARISON_EPH_IPCC (O-O4)'!$B$276:$B$407)*([2]Subsidies_Springmann_Freund!$D$5='[1]COMPARISON_EPH_IPCC (O-O4)'!$F$276:$F$407),0,1),0))</f>
        <v>1.79</v>
      </c>
      <c r="E22" s="218" t="s">
        <v>802</v>
      </c>
      <c r="F22" s="1267" cm="1">
        <f t="array" ref="F22">INDEX('[1]COMPARISON_EPH_IPCC (O-O4)'!$O$276:$O$407,MATCH(1,INDEX(($B22='[1]COMPARISON_EPH_IPCC (O-O4)'!$B$276:$B$407)*([2]Subsidies_Springmann_Freund!$F$5='[1]COMPARISON_EPH_IPCC (O-O4)'!$F$276:$F$407),0,1),0))</f>
        <v>0.25501105017031817</v>
      </c>
      <c r="G22" s="1268" cm="1">
        <f t="array" ref="G22">INDEX('[1]COMPARISON_EPH_IPCC (O-O4)'!$O$276:$O$407,MATCH(1,INDEX(($B22='[1]COMPARISON_EPH_IPCC (O-O4)'!$B$276:$B$407)*([2]Subsidies_Springmann_Freund!$G$5='[1]COMPARISON_EPH_IPCC (O-O4)'!$F$276:$F$407),0,1),0))</f>
        <v>4.3997530516402372E-2</v>
      </c>
      <c r="H22" s="218" t="s">
        <v>802</v>
      </c>
      <c r="I22" s="1267" cm="1">
        <f t="array" ref="I22">INDEX('[1]COMPARISON_EPH_IPCC (O-O4)'!$N$276:$N$407,MATCH(1,INDEX(($B22='[1]COMPARISON_EPH_IPCC (O-O4)'!$B$276:$B$407)*([2]Subsidies_Springmann_Freund!$I$5='[1]COMPARISON_EPH_IPCC (O-O4)'!$F$276:$F$407),0,1),0))</f>
        <v>0.49281105017031818</v>
      </c>
      <c r="J22" s="1267" cm="1">
        <f t="array" ref="J22">INDEX('[1]COMPARISON_EPH_IPCC (O-O4)'!$N$276:$N$407,MATCH(1,INDEX(($B22='[1]COMPARISON_EPH_IPCC (O-O4)'!$B$276:$B$407)*([2]Subsidies_Springmann_Freund!$J$5='[1]COMPARISON_EPH_IPCC (O-O4)'!$F$276:$F$407),0,1),0))</f>
        <v>1.8339975305164025</v>
      </c>
      <c r="K22" s="218" t="s">
        <v>802</v>
      </c>
      <c r="L22" s="1269">
        <f t="shared" si="1"/>
        <v>1.0723761571502024</v>
      </c>
      <c r="M22" s="1270">
        <f t="shared" si="1"/>
        <v>2.4579625986816955E-2</v>
      </c>
      <c r="N22" s="1265" t="s">
        <v>248</v>
      </c>
      <c r="O22" s="514" t="s">
        <v>248</v>
      </c>
      <c r="P22" s="1266" t="s">
        <v>248</v>
      </c>
      <c r="Q22" s="363" t="s">
        <v>248</v>
      </c>
      <c r="R22" s="1271" t="s">
        <v>248</v>
      </c>
    </row>
    <row r="23" spans="2:18" x14ac:dyDescent="0.25">
      <c r="B23" s="1283" t="s">
        <v>112</v>
      </c>
      <c r="C23" s="1284" cm="1">
        <f t="array" ref="C23">INDEX('[1]COMPARISON_EPH_IPCC (O-O4)'!$L$276:$L$407,MATCH(1,INDEX(($B23='[1]COMPARISON_EPH_IPCC (O-O4)'!$B$276:$B$407)*([2]Subsidies_Springmann_Freund!$C$5='[1]COMPARISON_EPH_IPCC (O-O4)'!$F$276:$F$407),0,1),0))</f>
        <v>0.28999999999999998</v>
      </c>
      <c r="D23" s="1284" cm="1">
        <f t="array" ref="D23">INDEX('[1]COMPARISON_EPH_IPCC (O-O4)'!$L$276:$L$407,MATCH(1,INDEX(($B23='[1]COMPARISON_EPH_IPCC (O-O4)'!$B$276:$B$407)*([2]Subsidies_Springmann_Freund!$D$5='[1]COMPARISON_EPH_IPCC (O-O4)'!$F$276:$F$407),0,1),0))</f>
        <v>1.33</v>
      </c>
      <c r="E23" s="1285" t="s">
        <v>802</v>
      </c>
      <c r="F23" s="1284" cm="1">
        <f t="array" ref="F23">INDEX('[1]COMPARISON_EPH_IPCC (O-O4)'!$O$276:$O$407,MATCH(1,INDEX(($B23='[1]COMPARISON_EPH_IPCC (O-O4)'!$B$276:$B$407)*([2]Subsidies_Springmann_Freund!$F$5='[1]COMPARISON_EPH_IPCC (O-O4)'!$F$276:$F$407),0,1),0))</f>
        <v>4.7759989148965565E-2</v>
      </c>
      <c r="G23" s="1286" cm="1">
        <f t="array" ref="G23">INDEX('[1]COMPARISON_EPH_IPCC (O-O4)'!$O$276:$O$407,MATCH(1,INDEX(($B23='[1]COMPARISON_EPH_IPCC (O-O4)'!$B$276:$B$407)*([2]Subsidies_Springmann_Freund!$G$5='[1]COMPARISON_EPH_IPCC (O-O4)'!$F$276:$F$407),0,1),0))</f>
        <v>2.6008871129131934E-2</v>
      </c>
      <c r="H23" s="1285" t="s">
        <v>802</v>
      </c>
      <c r="I23" s="1284" cm="1">
        <f t="array" ref="I23">INDEX('[1]COMPARISON_EPH_IPCC (O-O4)'!$N$276:$N$407,MATCH(1,INDEX(($B23='[1]COMPARISON_EPH_IPCC (O-O4)'!$B$276:$B$407)*([2]Subsidies_Springmann_Freund!$I$5='[1]COMPARISON_EPH_IPCC (O-O4)'!$F$276:$F$407),0,1),0))</f>
        <v>0.33775998914896554</v>
      </c>
      <c r="J23" s="1284" cm="1">
        <f t="array" ref="J23">INDEX('[1]COMPARISON_EPH_IPCC (O-O4)'!$N$276:$N$407,MATCH(1,INDEX(($B23='[1]COMPARISON_EPH_IPCC (O-O4)'!$B$276:$B$407)*([2]Subsidies_Springmann_Freund!$J$5='[1]COMPARISON_EPH_IPCC (O-O4)'!$F$276:$F$407),0,1),0))</f>
        <v>1.356008871129132</v>
      </c>
      <c r="K23" s="1285" t="s">
        <v>802</v>
      </c>
      <c r="L23" s="1287">
        <f t="shared" si="1"/>
        <v>0.16468961775505364</v>
      </c>
      <c r="M23" s="1288">
        <f t="shared" si="1"/>
        <v>1.9555542202354781E-2</v>
      </c>
      <c r="N23" s="1289" t="s">
        <v>248</v>
      </c>
      <c r="O23" s="1290" t="s">
        <v>248</v>
      </c>
      <c r="P23" s="1289" t="s">
        <v>248</v>
      </c>
      <c r="Q23" s="1291" t="s">
        <v>248</v>
      </c>
      <c r="R23" s="1292" t="s">
        <v>248</v>
      </c>
    </row>
    <row r="24" spans="2:18" x14ac:dyDescent="0.25">
      <c r="B24" s="409" t="s">
        <v>113</v>
      </c>
      <c r="C24" s="1267" cm="1">
        <f t="array" ref="C24">INDEX('[1]COMPARISON_EPH_IPCC (O-O4)'!$L$276:$L$407,MATCH(1,INDEX(($B24='[1]COMPARISON_EPH_IPCC (O-O4)'!$B$276:$B$407)*([2]Subsidies_Springmann_Freund!$C$5='[1]COMPARISON_EPH_IPCC (O-O4)'!$F$276:$F$407),0,1),0))</f>
        <v>1.55</v>
      </c>
      <c r="D24" s="1267" cm="1">
        <f t="array" ref="D24">INDEX('[1]COMPARISON_EPH_IPCC (O-O4)'!$L$276:$L$407,MATCH(1,INDEX(($B24='[1]COMPARISON_EPH_IPCC (O-O4)'!$B$276:$B$407)*([2]Subsidies_Springmann_Freund!$D$5='[1]COMPARISON_EPH_IPCC (O-O4)'!$F$276:$F$407),0,1),0))</f>
        <v>3.53</v>
      </c>
      <c r="E24" s="218" t="s">
        <v>802</v>
      </c>
      <c r="F24" s="1267" cm="1">
        <f t="array" ref="F24">INDEX('[1]COMPARISON_EPH_IPCC (O-O4)'!$O$276:$O$407,MATCH(1,INDEX(($B24='[1]COMPARISON_EPH_IPCC (O-O4)'!$B$276:$B$407)*([2]Subsidies_Springmann_Freund!$F$5='[1]COMPARISON_EPH_IPCC (O-O4)'!$F$276:$F$407),0,1),0))</f>
        <v>1.8479385636050434</v>
      </c>
      <c r="G24" s="1268" cm="1">
        <f t="array" ref="G24">INDEX('[1]COMPARISON_EPH_IPCC (O-O4)'!$O$276:$O$407,MATCH(1,INDEX(($B24='[1]COMPARISON_EPH_IPCC (O-O4)'!$B$276:$B$407)*([2]Subsidies_Springmann_Freund!$G$5='[1]COMPARISON_EPH_IPCC (O-O4)'!$F$276:$F$407),0,1),0))</f>
        <v>1.4053779474884509</v>
      </c>
      <c r="H24" s="218" t="s">
        <v>802</v>
      </c>
      <c r="I24" s="1267" cm="1">
        <f t="array" ref="I24">INDEX('[1]COMPARISON_EPH_IPCC (O-O4)'!$N$276:$N$407,MATCH(1,INDEX(($B24='[1]COMPARISON_EPH_IPCC (O-O4)'!$B$276:$B$407)*([2]Subsidies_Springmann_Freund!$I$5='[1]COMPARISON_EPH_IPCC (O-O4)'!$F$276:$F$407),0,1),0))</f>
        <v>3.3979385636050434</v>
      </c>
      <c r="J24" s="1267" cm="1">
        <f t="array" ref="J24">INDEX('[1]COMPARISON_EPH_IPCC (O-O4)'!$N$276:$N$407,MATCH(1,INDEX(($B24='[1]COMPARISON_EPH_IPCC (O-O4)'!$B$276:$B$407)*([2]Subsidies_Springmann_Freund!$J$5='[1]COMPARISON_EPH_IPCC (O-O4)'!$F$276:$F$407),0,1),0))</f>
        <v>4.9353779474884512</v>
      </c>
      <c r="K24" s="218" t="s">
        <v>802</v>
      </c>
      <c r="L24" s="1269">
        <f t="shared" si="1"/>
        <v>1.1922184281322861</v>
      </c>
      <c r="M24" s="1270">
        <f t="shared" si="1"/>
        <v>0.39812406444432047</v>
      </c>
      <c r="N24" s="1265" t="s">
        <v>248</v>
      </c>
      <c r="O24" s="514">
        <v>1602.8440000000001</v>
      </c>
      <c r="P24" s="1266">
        <v>23660.11</v>
      </c>
      <c r="Q24" s="363" t="s">
        <v>248</v>
      </c>
      <c r="R24" s="1271" t="s">
        <v>248</v>
      </c>
    </row>
    <row r="25" spans="2:18" x14ac:dyDescent="0.25">
      <c r="B25" s="409" t="s">
        <v>114</v>
      </c>
      <c r="C25" s="1267" cm="1">
        <f t="array" ref="C25">INDEX('[1]COMPARISON_EPH_IPCC (O-O4)'!$L$276:$L$407,MATCH(1,INDEX(($B25='[1]COMPARISON_EPH_IPCC (O-O4)'!$B$276:$B$407)*([2]Subsidies_Springmann_Freund!$C$5='[1]COMPARISON_EPH_IPCC (O-O4)'!$F$276:$F$407),0,1),0))</f>
        <v>0.84</v>
      </c>
      <c r="D25" s="1267" cm="1">
        <f t="array" ref="D25">INDEX('[1]COMPARISON_EPH_IPCC (O-O4)'!$L$276:$L$407,MATCH(1,INDEX(($B25='[1]COMPARISON_EPH_IPCC (O-O4)'!$B$276:$B$407)*([2]Subsidies_Springmann_Freund!$D$5='[1]COMPARISON_EPH_IPCC (O-O4)'!$F$276:$F$407),0,1),0))</f>
        <v>1.2788316801138424</v>
      </c>
      <c r="E25" s="218" t="s">
        <v>802</v>
      </c>
      <c r="F25" s="1267" cm="1">
        <f t="array" ref="F25">INDEX('[1]COMPARISON_EPH_IPCC (O-O4)'!$O$276:$O$407,MATCH(1,INDEX(($B25='[1]COMPARISON_EPH_IPCC (O-O4)'!$B$276:$B$407)*([2]Subsidies_Springmann_Freund!$F$5='[1]COMPARISON_EPH_IPCC (O-O4)'!$F$276:$F$407),0,1),0))</f>
        <v>1.8110668011527451</v>
      </c>
      <c r="G25" s="1268" cm="1">
        <f t="array" ref="G25">INDEX('[1]COMPARISON_EPH_IPCC (O-O4)'!$O$276:$O$407,MATCH(1,INDEX(($B25='[1]COMPARISON_EPH_IPCC (O-O4)'!$B$276:$B$407)*([2]Subsidies_Springmann_Freund!$G$5='[1]COMPARISON_EPH_IPCC (O-O4)'!$F$276:$F$407),0,1),0))</f>
        <v>1.5365656111979311</v>
      </c>
      <c r="H25" s="218" t="s">
        <v>802</v>
      </c>
      <c r="I25" s="1267" cm="1">
        <f t="array" ref="I25">INDEX('[1]COMPARISON_EPH_IPCC (O-O4)'!$N$276:$N$407,MATCH(1,INDEX(($B25='[1]COMPARISON_EPH_IPCC (O-O4)'!$B$276:$B$407)*([2]Subsidies_Springmann_Freund!$I$5='[1]COMPARISON_EPH_IPCC (O-O4)'!$F$276:$F$407),0,1),0))</f>
        <v>2.6510668011527452</v>
      </c>
      <c r="J25" s="1267" cm="1">
        <f t="array" ref="J25">INDEX('[1]COMPARISON_EPH_IPCC (O-O4)'!$N$276:$N$407,MATCH(1,INDEX(($B25='[1]COMPARISON_EPH_IPCC (O-O4)'!$B$276:$B$407)*([2]Subsidies_Springmann_Freund!$J$5='[1]COMPARISON_EPH_IPCC (O-O4)'!$F$276:$F$407),0,1),0))</f>
        <v>2.8153972913117737</v>
      </c>
      <c r="K25" s="218" t="s">
        <v>802</v>
      </c>
      <c r="L25" s="1269">
        <f t="shared" si="1"/>
        <v>2.1560319061342206</v>
      </c>
      <c r="M25" s="1270">
        <f t="shared" si="1"/>
        <v>1.2015385879877054</v>
      </c>
      <c r="N25" s="1265" t="s">
        <v>248</v>
      </c>
      <c r="O25" s="514">
        <v>1181.8231208</v>
      </c>
      <c r="P25" s="1266">
        <v>14557.398440999999</v>
      </c>
      <c r="Q25" s="363" t="s">
        <v>248</v>
      </c>
      <c r="R25" s="1271" t="s">
        <v>248</v>
      </c>
    </row>
    <row r="26" spans="2:18" x14ac:dyDescent="0.25">
      <c r="B26" s="409" t="s">
        <v>2409</v>
      </c>
      <c r="C26" s="1267" cm="1">
        <f t="array" ref="C26">INDEX('[1]COMPARISON_EPH_IPCC (O-O4)'!$L$276:$L$407,MATCH(1,INDEX(($B26='[1]COMPARISON_EPH_IPCC (O-O4)'!$B$276:$B$407)*([2]Subsidies_Springmann_Freund!$C$5='[1]COMPARISON_EPH_IPCC (O-O4)'!$F$276:$F$407),0,1),0))</f>
        <v>3.63</v>
      </c>
      <c r="D26" s="1267" cm="1">
        <f t="array" ref="D26">INDEX('[1]COMPARISON_EPH_IPCC (O-O4)'!$L$276:$L$407,MATCH(1,INDEX(($B26='[1]COMPARISON_EPH_IPCC (O-O4)'!$B$276:$B$407)*([2]Subsidies_Springmann_Freund!$D$5='[1]COMPARISON_EPH_IPCC (O-O4)'!$F$276:$F$407),0,1),0))</f>
        <v>4.5</v>
      </c>
      <c r="E26" s="218" t="s">
        <v>802</v>
      </c>
      <c r="F26" s="1267" cm="1">
        <f t="array" ref="F26">INDEX('[1]COMPARISON_EPH_IPCC (O-O4)'!$O$276:$O$407,MATCH(1,INDEX(($B26='[1]COMPARISON_EPH_IPCC (O-O4)'!$B$276:$B$407)*([2]Subsidies_Springmann_Freund!$F$5='[1]COMPARISON_EPH_IPCC (O-O4)'!$F$276:$F$407),0,1),0))</f>
        <v>9.6040421415442019</v>
      </c>
      <c r="G26" s="1268" cm="1">
        <f t="array" ref="G26">INDEX('[1]COMPARISON_EPH_IPCC (O-O4)'!$O$276:$O$407,MATCH(1,INDEX(($B26='[1]COMPARISON_EPH_IPCC (O-O4)'!$B$276:$B$407)*([2]Subsidies_Springmann_Freund!$G$5='[1]COMPARISON_EPH_IPCC (O-O4)'!$F$276:$F$407),0,1),0))</f>
        <v>9.708976808842344</v>
      </c>
      <c r="H26" s="218" t="s">
        <v>802</v>
      </c>
      <c r="I26" s="1267" cm="1">
        <f t="array" ref="I26">INDEX('[1]COMPARISON_EPH_IPCC (O-O4)'!$N$276:$N$407,MATCH(1,INDEX(($B26='[1]COMPARISON_EPH_IPCC (O-O4)'!$B$276:$B$407)*([2]Subsidies_Springmann_Freund!$I$5='[1]COMPARISON_EPH_IPCC (O-O4)'!$F$276:$F$407),0,1),0))</f>
        <v>13.234042141544201</v>
      </c>
      <c r="J26" s="1267" cm="1">
        <f t="array" ref="J26">INDEX('[1]COMPARISON_EPH_IPCC (O-O4)'!$N$276:$N$407,MATCH(1,INDEX(($B26='[1]COMPARISON_EPH_IPCC (O-O4)'!$B$276:$B$407)*([2]Subsidies_Springmann_Freund!$J$5='[1]COMPARISON_EPH_IPCC (O-O4)'!$F$276:$F$407),0,1),0))</f>
        <v>14.208976808842344</v>
      </c>
      <c r="K26" s="218" t="s">
        <v>802</v>
      </c>
      <c r="L26" s="1269">
        <f t="shared" si="1"/>
        <v>2.6457416367890363</v>
      </c>
      <c r="M26" s="1270">
        <f t="shared" si="1"/>
        <v>2.1575504019649654</v>
      </c>
      <c r="N26" s="1265" t="s">
        <v>248</v>
      </c>
      <c r="O26" s="514">
        <v>3453.1715568</v>
      </c>
      <c r="P26" s="1266">
        <v>8103.7672000000002</v>
      </c>
      <c r="Q26" s="363" t="s">
        <v>248</v>
      </c>
      <c r="R26" s="1271" t="s">
        <v>248</v>
      </c>
    </row>
    <row r="27" spans="2:18" x14ac:dyDescent="0.25">
      <c r="B27" s="1273" t="s">
        <v>2410</v>
      </c>
      <c r="C27" s="1274">
        <f>AVERAGE(C24:C26)</f>
        <v>2.0066666666666664</v>
      </c>
      <c r="D27" s="1274">
        <f>AVERAGE(D24:D26)</f>
        <v>3.1029438933712807</v>
      </c>
      <c r="E27" s="1194" t="s">
        <v>802</v>
      </c>
      <c r="F27" s="1274">
        <f>AVERAGE(F24:F26)</f>
        <v>4.4210158354339972</v>
      </c>
      <c r="G27" s="1275">
        <f>AVERAGE(G24:G26)</f>
        <v>4.2169734558429086</v>
      </c>
      <c r="H27" s="1194" t="s">
        <v>802</v>
      </c>
      <c r="I27" s="1274">
        <f>AVERAGE(I24:I26)</f>
        <v>6.4276825021006632</v>
      </c>
      <c r="J27" s="1274">
        <f>AVERAGE(J24:J26)</f>
        <v>7.3199173492141894</v>
      </c>
      <c r="K27" s="1194" t="s">
        <v>802</v>
      </c>
      <c r="L27" s="1276">
        <f>AVERAGE(L24:L26)</f>
        <v>1.9979973236851809</v>
      </c>
      <c r="M27" s="1277">
        <f>AVERAGE(M24:M26)</f>
        <v>1.2524043514656638</v>
      </c>
      <c r="N27" s="1278">
        <f>23316*0.887107173909478</f>
        <v>20683.790866873391</v>
      </c>
      <c r="O27" s="1279">
        <f>SUMPRODUCT(O24:O26,P24:P26)/SUM(P24:P26)</f>
        <v>1794.2388817443675</v>
      </c>
      <c r="P27" s="1280">
        <f>SUM(P24:P26)</f>
        <v>46321.275641</v>
      </c>
      <c r="Q27" s="1281">
        <f>(N27*1000000)/(P27*1000*1000)</f>
        <v>0.44652895630891698</v>
      </c>
      <c r="R27" s="1282">
        <f>Q27/(O27/1000)</f>
        <v>0.24886817516450174</v>
      </c>
    </row>
    <row r="28" spans="2:18" x14ac:dyDescent="0.25">
      <c r="B28" s="1273" t="s">
        <v>115</v>
      </c>
      <c r="C28" s="1274" cm="1">
        <f t="array" ref="C28">INDEX('[1]COMPARISON_EPH_IPCC (O-O4)'!$L$276:$L$407,MATCH(1,INDEX(($B28='[1]COMPARISON_EPH_IPCC (O-O4)'!$B$276:$B$407)*([2]Subsidies_Springmann_Freund!$C$5='[1]COMPARISON_EPH_IPCC (O-O4)'!$F$276:$F$407),0,1),0))</f>
        <v>0.35299999999999998</v>
      </c>
      <c r="D28" s="1274" cm="1">
        <f t="array" ref="D28">INDEX('[1]COMPARISON_EPH_IPCC (O-O4)'!$L$276:$L$407,MATCH(1,INDEX(($B28='[1]COMPARISON_EPH_IPCC (O-O4)'!$B$276:$B$407)*([2]Subsidies_Springmann_Freund!$D$5='[1]COMPARISON_EPH_IPCC (O-O4)'!$F$276:$F$407),0,1),0))</f>
        <v>0.4819</v>
      </c>
      <c r="E28" s="1194" t="s">
        <v>802</v>
      </c>
      <c r="F28" s="1274" cm="1">
        <f t="array" ref="F28">INDEX('[1]COMPARISON_EPH_IPCC (O-O4)'!$O$276:$O$407,MATCH(1,INDEX(($B28='[1]COMPARISON_EPH_IPCC (O-O4)'!$B$276:$B$407)*([2]Subsidies_Springmann_Freund!$F$5='[1]COMPARISON_EPH_IPCC (O-O4)'!$F$276:$F$407),0,1),0))</f>
        <v>0.74831386654046972</v>
      </c>
      <c r="G28" s="1275" cm="1">
        <f t="array" ref="G28">INDEX('[1]COMPARISON_EPH_IPCC (O-O4)'!$O$276:$O$407,MATCH(1,INDEX(($B28='[1]COMPARISON_EPH_IPCC (O-O4)'!$B$276:$B$407)*([2]Subsidies_Springmann_Freund!$G$5='[1]COMPARISON_EPH_IPCC (O-O4)'!$F$276:$F$407),0,1),0))</f>
        <v>0.71660557782690948</v>
      </c>
      <c r="H28" s="1194" t="s">
        <v>802</v>
      </c>
      <c r="I28" s="1274" cm="1">
        <f t="array" ref="I28">INDEX('[1]COMPARISON_EPH_IPCC (O-O4)'!$N$276:$N$407,MATCH(1,INDEX(($B28='[1]COMPARISON_EPH_IPCC (O-O4)'!$B$276:$B$407)*([2]Subsidies_Springmann_Freund!$I$5='[1]COMPARISON_EPH_IPCC (O-O4)'!$F$276:$F$407),0,1),0))</f>
        <v>1.1013138665404698</v>
      </c>
      <c r="J28" s="1274" cm="1">
        <f t="array" ref="J28">INDEX('[1]COMPARISON_EPH_IPCC (O-O4)'!$N$276:$N$407,MATCH(1,INDEX(($B28='[1]COMPARISON_EPH_IPCC (O-O4)'!$B$276:$B$407)*([2]Subsidies_Springmann_Freund!$J$5='[1]COMPARISON_EPH_IPCC (O-O4)'!$F$276:$F$407),0,1),0))</f>
        <v>1.1985055778269094</v>
      </c>
      <c r="K28" s="1194" t="s">
        <v>802</v>
      </c>
      <c r="L28" s="1276">
        <f>I28/C28-1</f>
        <v>2.119869310312946</v>
      </c>
      <c r="M28" s="1277">
        <f>J28/D28-1</f>
        <v>1.4870420789103744</v>
      </c>
      <c r="N28" s="1278">
        <f>13376*0.887107173909478</f>
        <v>11865.945558213178</v>
      </c>
      <c r="O28" s="1293">
        <v>347.10900652999999</v>
      </c>
      <c r="P28" s="1278">
        <v>165377.16</v>
      </c>
      <c r="Q28" s="1281">
        <f>(N28*1000000)/(P28*1000*1000)</f>
        <v>7.1750812253718585E-2</v>
      </c>
      <c r="R28" s="1294">
        <f>Q28/(O28/1000)</f>
        <v>0.20670973931503933</v>
      </c>
    </row>
    <row r="29" spans="2:18" x14ac:dyDescent="0.25">
      <c r="B29" s="446" t="s">
        <v>116</v>
      </c>
      <c r="C29" s="1295" cm="1">
        <f t="array" ref="C29">INDEX('[1]COMPARISON_EPH_IPCC (O-O4)'!$L$276:$L$407,MATCH(1,INDEX(($B29='[1]COMPARISON_EPH_IPCC (O-O4)'!$B$276:$B$407)*([2]Subsidies_Springmann_Freund!$C$5='[1]COMPARISON_EPH_IPCC (O-O4)'!$F$276:$F$407),0,1),0))</f>
        <v>2.118052738336714</v>
      </c>
      <c r="D29" s="1295" cm="1">
        <f t="array" ref="D29">INDEX('[1]COMPARISON_EPH_IPCC (O-O4)'!$L$276:$L$407,MATCH(1,INDEX(($B29='[1]COMPARISON_EPH_IPCC (O-O4)'!$B$276:$B$407)*([2]Subsidies_Springmann_Freund!$D$5='[1]COMPARISON_EPH_IPCC (O-O4)'!$F$276:$F$407),0,1),0))</f>
        <v>4.3927738336713995</v>
      </c>
      <c r="E29" s="1296" t="s">
        <v>802</v>
      </c>
      <c r="F29" s="1295" cm="1">
        <f t="array" ref="F29">INDEX('[1]COMPARISON_EPH_IPCC (O-O4)'!$O$276:$O$407,MATCH(1,INDEX(($B29='[1]COMPARISON_EPH_IPCC (O-O4)'!$B$276:$B$407)*([2]Subsidies_Springmann_Freund!$F$5='[1]COMPARISON_EPH_IPCC (O-O4)'!$F$276:$F$407),0,1),0))</f>
        <v>1.8374400716538148</v>
      </c>
      <c r="G29" s="1297" cm="1">
        <f t="array" ref="G29">INDEX('[1]COMPARISON_EPH_IPCC (O-O4)'!$O$276:$O$407,MATCH(1,INDEX(($B29='[1]COMPARISON_EPH_IPCC (O-O4)'!$B$276:$B$407)*([2]Subsidies_Springmann_Freund!$G$5='[1]COMPARISON_EPH_IPCC (O-O4)'!$F$276:$F$407),0,1),0))</f>
        <v>1.4886756375805104</v>
      </c>
      <c r="H29" s="1296" t="s">
        <v>802</v>
      </c>
      <c r="I29" s="1295" cm="1">
        <f t="array" ref="I29">INDEX('[1]COMPARISON_EPH_IPCC (O-O4)'!$N$276:$N$407,MATCH(1,INDEX(($B29='[1]COMPARISON_EPH_IPCC (O-O4)'!$B$276:$B$407)*([2]Subsidies_Springmann_Freund!$I$5='[1]COMPARISON_EPH_IPCC (O-O4)'!$F$276:$F$407),0,1),0))</f>
        <v>3.9554928099905289</v>
      </c>
      <c r="J29" s="1295" cm="1">
        <f t="array" ref="J29">INDEX('[1]COMPARISON_EPH_IPCC (O-O4)'!$N$276:$N$407,MATCH(1,INDEX(($B29='[1]COMPARISON_EPH_IPCC (O-O4)'!$B$276:$B$407)*([2]Subsidies_Springmann_Freund!$J$5='[1]COMPARISON_EPH_IPCC (O-O4)'!$F$276:$F$407),0,1),0))</f>
        <v>5.8814494712519103</v>
      </c>
      <c r="K29" s="1296" t="s">
        <v>802</v>
      </c>
      <c r="L29" s="1298">
        <f>I29/C29-1</f>
        <v>0.86751384344505911</v>
      </c>
      <c r="M29" s="1299">
        <f>J29/D29-1</f>
        <v>0.33889193797539607</v>
      </c>
      <c r="N29" s="1300" t="s">
        <v>248</v>
      </c>
      <c r="O29" s="932" t="s">
        <v>248</v>
      </c>
      <c r="P29" s="1301" t="s">
        <v>248</v>
      </c>
      <c r="Q29" s="932" t="s">
        <v>248</v>
      </c>
      <c r="R29" s="1301" t="s">
        <v>248</v>
      </c>
    </row>
    <row r="31" spans="2:18" x14ac:dyDescent="0.25">
      <c r="N31" s="212"/>
    </row>
    <row r="33" spans="2:18" x14ac:dyDescent="0.25">
      <c r="B33" s="1" t="s">
        <v>2388</v>
      </c>
      <c r="C33" s="1" t="s">
        <v>2411</v>
      </c>
      <c r="Q33" s="1105"/>
      <c r="R33" s="1105"/>
    </row>
    <row r="34" spans="2:18" x14ac:dyDescent="0.25">
      <c r="B34" s="1" t="s">
        <v>2390</v>
      </c>
      <c r="C34" s="1" t="s">
        <v>2412</v>
      </c>
    </row>
  </sheetData>
  <mergeCells count="4">
    <mergeCell ref="C4:D4"/>
    <mergeCell ref="F4:G4"/>
    <mergeCell ref="I4:J4"/>
    <mergeCell ref="L4:M4"/>
  </mergeCells>
  <hyperlinks>
    <hyperlink ref="C34" r:id="rId1" display="https://doi.org/10.1787/54da8ea7-en" xr:uid="{02BF2A30-6455-4FF8-88E8-A050CB5A7F63}"/>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3053-28FD-4E2E-93A5-60A8C6245402}">
  <dimension ref="B2:X95"/>
  <sheetViews>
    <sheetView zoomScaleNormal="100" workbookViewId="0"/>
  </sheetViews>
  <sheetFormatPr baseColWidth="10" defaultColWidth="11.28515625" defaultRowHeight="15" x14ac:dyDescent="0.25"/>
  <cols>
    <col min="1" max="1" width="3.7109375" style="1" customWidth="1"/>
    <col min="2" max="10" width="11.28515625" style="1"/>
    <col min="11" max="11" width="11.28515625" style="913"/>
    <col min="12" max="16384" width="11.28515625" style="1"/>
  </cols>
  <sheetData>
    <row r="2" spans="2:24" x14ac:dyDescent="0.25">
      <c r="B2" s="217" t="s">
        <v>2426</v>
      </c>
      <c r="K2" s="217" t="s">
        <v>2427</v>
      </c>
      <c r="T2" s="217" t="s">
        <v>2428</v>
      </c>
    </row>
    <row r="4" spans="2:24" s="914" customFormat="1" ht="25.5" x14ac:dyDescent="0.25">
      <c r="B4" s="1302" t="s">
        <v>1505</v>
      </c>
      <c r="C4" s="1302" t="s">
        <v>710</v>
      </c>
      <c r="D4" s="1303" t="s">
        <v>1587</v>
      </c>
      <c r="E4" s="1303" t="s">
        <v>1588</v>
      </c>
      <c r="F4" s="1303" t="s">
        <v>1589</v>
      </c>
      <c r="G4" s="1303" t="s">
        <v>1590</v>
      </c>
      <c r="H4" s="1303" t="s">
        <v>1591</v>
      </c>
      <c r="I4" s="1304" t="s">
        <v>1592</v>
      </c>
      <c r="K4" s="1302" t="s">
        <v>1593</v>
      </c>
      <c r="L4" s="1302" t="s">
        <v>710</v>
      </c>
      <c r="M4" s="1303" t="s">
        <v>1587</v>
      </c>
      <c r="N4" s="1303" t="s">
        <v>1588</v>
      </c>
      <c r="O4" s="1303" t="s">
        <v>1589</v>
      </c>
      <c r="P4" s="1303" t="s">
        <v>1590</v>
      </c>
      <c r="Q4" s="1303" t="s">
        <v>1591</v>
      </c>
      <c r="R4" s="1304" t="s">
        <v>1592</v>
      </c>
      <c r="T4" s="1406" t="s">
        <v>2396</v>
      </c>
      <c r="U4" s="1407"/>
      <c r="V4" s="1407"/>
      <c r="W4" s="1407"/>
      <c r="X4" s="1408"/>
    </row>
    <row r="5" spans="2:24" ht="14.25" customHeight="1" x14ac:dyDescent="0.25">
      <c r="B5" s="1409" t="s">
        <v>42</v>
      </c>
      <c r="C5" s="579" t="s">
        <v>98</v>
      </c>
      <c r="D5" s="1305">
        <v>0.36874841587557217</v>
      </c>
      <c r="E5" s="1305">
        <v>0.392530298500533</v>
      </c>
      <c r="F5" s="1305">
        <v>0.34767746387806142</v>
      </c>
      <c r="G5" s="1305">
        <v>0.43142394014773122</v>
      </c>
      <c r="H5" s="1305">
        <v>0.4763367771887807</v>
      </c>
      <c r="I5" s="1306">
        <v>1</v>
      </c>
      <c r="K5" s="1410" t="s">
        <v>39</v>
      </c>
      <c r="L5" s="579" t="s">
        <v>91</v>
      </c>
      <c r="M5" s="1305">
        <v>0.29470977796916981</v>
      </c>
      <c r="N5" s="1305">
        <v>0.35065533988259578</v>
      </c>
      <c r="O5" s="1305">
        <v>0.25200377803152896</v>
      </c>
      <c r="P5" s="1305">
        <v>0.87198064033200395</v>
      </c>
      <c r="Q5" s="1305">
        <v>1.3151233414783352</v>
      </c>
      <c r="R5" s="1306">
        <v>1</v>
      </c>
    </row>
    <row r="6" spans="2:24" x14ac:dyDescent="0.25">
      <c r="B6" s="1404"/>
      <c r="C6" s="533" t="s">
        <v>101</v>
      </c>
      <c r="D6" s="1308">
        <v>0.5456217857491642</v>
      </c>
      <c r="E6" s="1308">
        <v>0.68813024601463102</v>
      </c>
      <c r="F6" s="1308">
        <v>0.45198583093636902</v>
      </c>
      <c r="G6" s="1308">
        <v>0.61320862976764545</v>
      </c>
      <c r="H6" s="1308">
        <v>0.6616408984045421</v>
      </c>
      <c r="I6" s="1309">
        <v>1</v>
      </c>
      <c r="K6" s="1403"/>
      <c r="L6" s="533" t="s">
        <v>97</v>
      </c>
      <c r="M6" s="1308">
        <v>0.25353874897311685</v>
      </c>
      <c r="N6" s="1308">
        <v>0.33879640896903002</v>
      </c>
      <c r="O6" s="1308">
        <v>0.19674361012048494</v>
      </c>
      <c r="P6" s="1308">
        <v>0.75786117345011739</v>
      </c>
      <c r="Q6" s="1308">
        <v>1.154179354076651</v>
      </c>
      <c r="R6" s="1309">
        <v>1</v>
      </c>
    </row>
    <row r="7" spans="2:24" x14ac:dyDescent="0.25">
      <c r="B7" s="1404"/>
      <c r="C7" s="534" t="s">
        <v>103</v>
      </c>
      <c r="D7" s="1308">
        <v>0.2822100770683304</v>
      </c>
      <c r="E7" s="1308">
        <v>0.37418500090669532</v>
      </c>
      <c r="F7" s="1308">
        <v>0.22652861980982317</v>
      </c>
      <c r="G7" s="1308">
        <v>0.34442898038077513</v>
      </c>
      <c r="H7" s="1308">
        <v>0.38901461371320095</v>
      </c>
      <c r="I7" s="1309">
        <v>1</v>
      </c>
      <c r="K7" s="1403"/>
      <c r="L7" s="533" t="s">
        <v>98</v>
      </c>
      <c r="M7" s="1308">
        <v>0.20284531045350904</v>
      </c>
      <c r="N7" s="1308">
        <v>0.21939915856572142</v>
      </c>
      <c r="O7" s="1308">
        <v>0.18817941512697259</v>
      </c>
      <c r="P7" s="1308">
        <v>0.6531842533457809</v>
      </c>
      <c r="Q7" s="1308">
        <v>1.0003412871665487</v>
      </c>
      <c r="R7" s="1309">
        <v>1</v>
      </c>
    </row>
    <row r="8" spans="2:24" x14ac:dyDescent="0.25">
      <c r="B8" s="1404"/>
      <c r="C8" s="533" t="s">
        <v>104</v>
      </c>
      <c r="D8" s="1308">
        <v>0.92078111375169291</v>
      </c>
      <c r="E8" s="1308">
        <v>1.2346334304095485</v>
      </c>
      <c r="F8" s="1308">
        <v>0.73403951279702639</v>
      </c>
      <c r="G8" s="1308">
        <v>1.0477999881131166</v>
      </c>
      <c r="H8" s="1308">
        <v>1.1388208363228276</v>
      </c>
      <c r="I8" s="1309">
        <v>1</v>
      </c>
      <c r="K8" s="1403"/>
      <c r="L8" s="533" t="s">
        <v>99</v>
      </c>
      <c r="M8" s="1308">
        <v>0.28907041456085941</v>
      </c>
      <c r="N8" s="1308">
        <v>0.39110211216089069</v>
      </c>
      <c r="O8" s="1308">
        <v>0.22341568223725394</v>
      </c>
      <c r="P8" s="1308">
        <v>0.94010069036994348</v>
      </c>
      <c r="Q8" s="1308">
        <v>1.4476945710991764</v>
      </c>
      <c r="R8" s="1309">
        <v>1</v>
      </c>
    </row>
    <row r="9" spans="2:24" x14ac:dyDescent="0.25">
      <c r="B9" s="1404"/>
      <c r="C9" s="533" t="s">
        <v>109</v>
      </c>
      <c r="D9" s="1308">
        <v>0.43505013081716837</v>
      </c>
      <c r="E9" s="1308">
        <v>0.53937229708339218</v>
      </c>
      <c r="F9" s="1308">
        <v>0.36453890386464799</v>
      </c>
      <c r="G9" s="1308">
        <v>0.49392224319407618</v>
      </c>
      <c r="H9" s="1308">
        <v>0.53610958623362659</v>
      </c>
      <c r="I9" s="1309">
        <v>1</v>
      </c>
      <c r="K9" s="1403"/>
      <c r="L9" s="533" t="s">
        <v>100</v>
      </c>
      <c r="M9" s="1308">
        <v>0.28260826427480196</v>
      </c>
      <c r="N9" s="1308">
        <v>0.38899172094776169</v>
      </c>
      <c r="O9" s="1308">
        <v>0.21361997603462435</v>
      </c>
      <c r="P9" s="1308">
        <v>0.93259480975357767</v>
      </c>
      <c r="Q9" s="1308">
        <v>1.4549797526249555</v>
      </c>
      <c r="R9" s="1309">
        <v>1</v>
      </c>
    </row>
    <row r="10" spans="2:24" x14ac:dyDescent="0.25">
      <c r="B10" s="1404"/>
      <c r="C10" s="896" t="s">
        <v>111</v>
      </c>
      <c r="D10" s="1308">
        <v>0.53535015438749556</v>
      </c>
      <c r="E10" s="1308">
        <v>0.81326408507434089</v>
      </c>
      <c r="F10" s="1308">
        <v>0.39867455648040012</v>
      </c>
      <c r="G10" s="1308">
        <v>0.58694512935588006</v>
      </c>
      <c r="H10" s="1308">
        <v>0.62391773024725861</v>
      </c>
      <c r="I10" s="1309">
        <v>1</v>
      </c>
      <c r="K10" s="1403"/>
      <c r="L10" s="533" t="s">
        <v>101</v>
      </c>
      <c r="M10" s="1308">
        <v>0.2883686712131342</v>
      </c>
      <c r="N10" s="1308">
        <v>0.38475991477896698</v>
      </c>
      <c r="O10" s="1308">
        <v>0.22503899293365373</v>
      </c>
      <c r="P10" s="1308">
        <v>0.88218986792748888</v>
      </c>
      <c r="Q10" s="1308">
        <v>1.3563950495909558</v>
      </c>
      <c r="R10" s="1309">
        <v>1</v>
      </c>
    </row>
    <row r="11" spans="2:24" x14ac:dyDescent="0.25">
      <c r="B11" s="1310"/>
      <c r="C11"/>
      <c r="D11" s="1308"/>
      <c r="E11" s="1308"/>
      <c r="F11" s="1308"/>
      <c r="G11" s="1308"/>
      <c r="H11" s="1308"/>
      <c r="I11" s="1309"/>
      <c r="K11" s="1403"/>
      <c r="L11" s="533" t="s">
        <v>102</v>
      </c>
      <c r="M11" s="1308">
        <v>0.31339854697683334</v>
      </c>
      <c r="N11" s="1308">
        <v>0.44409785528292817</v>
      </c>
      <c r="O11" s="1308">
        <v>0.23511257386370391</v>
      </c>
      <c r="P11" s="1308">
        <v>0.98410405392168898</v>
      </c>
      <c r="Q11" s="1308">
        <v>1.49468751294768</v>
      </c>
      <c r="R11" s="1309">
        <v>1</v>
      </c>
    </row>
    <row r="12" spans="2:24" ht="14.25" customHeight="1" x14ac:dyDescent="0.25">
      <c r="B12" s="1404" t="s">
        <v>46</v>
      </c>
      <c r="C12" s="579" t="s">
        <v>98</v>
      </c>
      <c r="D12" s="1308">
        <v>0.22972285850862736</v>
      </c>
      <c r="E12" s="1308">
        <v>0.24453849734991201</v>
      </c>
      <c r="F12" s="1308">
        <v>0.21659607413645854</v>
      </c>
      <c r="G12" s="1308">
        <v>0.58139470399658899</v>
      </c>
      <c r="H12" s="1308">
        <v>0.83732346915993205</v>
      </c>
      <c r="I12" s="1309">
        <v>1</v>
      </c>
      <c r="K12" s="1403"/>
      <c r="L12" s="534" t="s">
        <v>103</v>
      </c>
      <c r="M12" s="1308">
        <v>0.22746046173693088</v>
      </c>
      <c r="N12" s="1308">
        <v>0.30222633800348436</v>
      </c>
      <c r="O12" s="1308">
        <v>0.18219733451990955</v>
      </c>
      <c r="P12" s="1308">
        <v>0.68457565201240078</v>
      </c>
      <c r="Q12" s="1308">
        <v>1.0133198785530044</v>
      </c>
      <c r="R12" s="1309">
        <v>1</v>
      </c>
    </row>
    <row r="13" spans="2:24" x14ac:dyDescent="0.25">
      <c r="B13" s="1404"/>
      <c r="C13" s="533" t="s">
        <v>101</v>
      </c>
      <c r="D13" s="1308">
        <v>0.29243862555680039</v>
      </c>
      <c r="E13" s="1308">
        <v>0.36881932474181522</v>
      </c>
      <c r="F13" s="1308">
        <v>0.24225227009521147</v>
      </c>
      <c r="G13" s="1308">
        <v>0.7343112045196033</v>
      </c>
      <c r="H13" s="1308">
        <v>1.0558834279630778</v>
      </c>
      <c r="I13" s="1309">
        <v>1</v>
      </c>
      <c r="K13" s="1403"/>
      <c r="L13" s="533" t="s">
        <v>104</v>
      </c>
      <c r="M13" s="1308">
        <v>0.37838503552459318</v>
      </c>
      <c r="N13" s="1308">
        <v>0.51860971614617257</v>
      </c>
      <c r="O13" s="1308">
        <v>0.29496294810251472</v>
      </c>
      <c r="P13" s="1308">
        <v>1.0629017460067178</v>
      </c>
      <c r="Q13" s="1308">
        <v>1.5673840136859787</v>
      </c>
      <c r="R13" s="1309">
        <v>1</v>
      </c>
    </row>
    <row r="14" spans="2:24" x14ac:dyDescent="0.25">
      <c r="B14" s="1404"/>
      <c r="C14" s="534" t="s">
        <v>103</v>
      </c>
      <c r="D14" s="1308">
        <v>0.21374559879837687</v>
      </c>
      <c r="E14" s="1308">
        <v>0.28340730503806633</v>
      </c>
      <c r="F14" s="1308">
        <v>0.17157252538985274</v>
      </c>
      <c r="G14" s="1308">
        <v>0.55692505084770616</v>
      </c>
      <c r="H14" s="1308">
        <v>0.80667349254625076</v>
      </c>
      <c r="I14" s="1309">
        <v>1</v>
      </c>
      <c r="K14" s="1403"/>
      <c r="L14" s="534" t="s">
        <v>105</v>
      </c>
      <c r="M14" s="1308">
        <v>0.34412612233681039</v>
      </c>
      <c r="N14" s="1308">
        <v>0.46054697542656603</v>
      </c>
      <c r="O14" s="1308">
        <v>0.27442740290767326</v>
      </c>
      <c r="P14" s="1308">
        <v>0.99106507674296651</v>
      </c>
      <c r="Q14" s="1308">
        <v>1.4564134887455895</v>
      </c>
      <c r="R14" s="1309">
        <v>1</v>
      </c>
    </row>
    <row r="15" spans="2:24" x14ac:dyDescent="0.25">
      <c r="B15" s="1404"/>
      <c r="C15" s="533" t="s">
        <v>104</v>
      </c>
      <c r="D15" s="1308">
        <v>0.40780445570009033</v>
      </c>
      <c r="E15" s="1308">
        <v>0.54669174710660873</v>
      </c>
      <c r="F15" s="1308">
        <v>0.32514075629786543</v>
      </c>
      <c r="G15" s="1308">
        <v>1.1006620524614541</v>
      </c>
      <c r="H15" s="1308">
        <v>1.6048883200108095</v>
      </c>
      <c r="I15" s="1309">
        <v>1</v>
      </c>
      <c r="K15" s="1403"/>
      <c r="L15" s="534" t="s">
        <v>106</v>
      </c>
      <c r="M15" s="1308">
        <v>0.30984550857484883</v>
      </c>
      <c r="N15" s="1308">
        <v>0.43785019012987142</v>
      </c>
      <c r="O15" s="1308">
        <v>0.23433436353683462</v>
      </c>
      <c r="P15" s="1308">
        <v>0.91327745247742986</v>
      </c>
      <c r="Q15" s="1308">
        <v>1.3765353561037064</v>
      </c>
      <c r="R15" s="1309">
        <v>1</v>
      </c>
    </row>
    <row r="16" spans="2:24" x14ac:dyDescent="0.25">
      <c r="B16" s="1404"/>
      <c r="C16" s="533" t="s">
        <v>109</v>
      </c>
      <c r="D16" s="1308">
        <v>0.25086618247459297</v>
      </c>
      <c r="E16" s="1308">
        <v>0.31102224481350782</v>
      </c>
      <c r="F16" s="1308">
        <v>0.21020677543067354</v>
      </c>
      <c r="G16" s="1308">
        <v>0.63452980257605818</v>
      </c>
      <c r="H16" s="1308">
        <v>0.91374056297918238</v>
      </c>
      <c r="I16" s="1309">
        <v>1</v>
      </c>
      <c r="K16" s="1403"/>
      <c r="L16" s="533" t="s">
        <v>107</v>
      </c>
      <c r="M16" s="1308">
        <v>0.37561407185053597</v>
      </c>
      <c r="N16" s="1308">
        <v>0.48095520243222339</v>
      </c>
      <c r="O16" s="1308">
        <v>0.30564585381548809</v>
      </c>
      <c r="P16" s="1308">
        <v>1.1678579249989489</v>
      </c>
      <c r="Q16" s="1308">
        <v>1.7584998780954098</v>
      </c>
      <c r="R16" s="1309">
        <v>1</v>
      </c>
    </row>
    <row r="17" spans="2:18" x14ac:dyDescent="0.25">
      <c r="B17" s="1404"/>
      <c r="C17" s="896" t="s">
        <v>111</v>
      </c>
      <c r="D17" s="1308">
        <v>0.36960315798112903</v>
      </c>
      <c r="E17" s="1308">
        <v>0.56147359326274482</v>
      </c>
      <c r="F17" s="1308">
        <v>0.27524298648258838</v>
      </c>
      <c r="G17" s="1308">
        <v>0.712296635628764</v>
      </c>
      <c r="H17" s="1308">
        <v>0.96169140724834046</v>
      </c>
      <c r="I17" s="1309">
        <v>1</v>
      </c>
      <c r="K17" s="1403"/>
      <c r="L17" s="534" t="s">
        <v>108</v>
      </c>
      <c r="M17" s="1308">
        <v>0.3005052050091267</v>
      </c>
      <c r="N17" s="1308">
        <v>0.38127993302038155</v>
      </c>
      <c r="O17" s="1308">
        <v>0.24629509340955716</v>
      </c>
      <c r="P17" s="1308">
        <v>0.90820655803641059</v>
      </c>
      <c r="Q17" s="1308">
        <v>1.354143021265273</v>
      </c>
      <c r="R17" s="1309">
        <v>1</v>
      </c>
    </row>
    <row r="18" spans="2:18" x14ac:dyDescent="0.25">
      <c r="B18" s="1310"/>
      <c r="C18"/>
      <c r="D18" s="1308"/>
      <c r="E18" s="1308"/>
      <c r="F18" s="1308"/>
      <c r="G18" s="1308"/>
      <c r="H18" s="1308"/>
      <c r="I18" s="1309"/>
      <c r="K18" s="1403"/>
      <c r="L18" s="533" t="s">
        <v>109</v>
      </c>
      <c r="M18" s="1308">
        <v>0.23954170381088424</v>
      </c>
      <c r="N18" s="1308">
        <v>0.31441400391175522</v>
      </c>
      <c r="O18" s="1308">
        <v>0.18893631861248089</v>
      </c>
      <c r="P18" s="1308">
        <v>0.75248659027247178</v>
      </c>
      <c r="Q18" s="1308">
        <v>1.1596198783848528</v>
      </c>
      <c r="R18" s="1309">
        <v>1</v>
      </c>
    </row>
    <row r="19" spans="2:18" ht="14.25" customHeight="1" x14ac:dyDescent="0.25">
      <c r="B19" s="1404" t="s">
        <v>48</v>
      </c>
      <c r="C19" s="579" t="s">
        <v>98</v>
      </c>
      <c r="D19" s="1308">
        <v>0.1577821927583046</v>
      </c>
      <c r="E19" s="1308">
        <v>0.16795812210905386</v>
      </c>
      <c r="F19" s="1308">
        <v>0.14876623633684097</v>
      </c>
      <c r="G19" s="1308">
        <v>0.55082876245226475</v>
      </c>
      <c r="H19" s="1308">
        <v>0.83720114856219674</v>
      </c>
      <c r="I19" s="1309">
        <v>1</v>
      </c>
      <c r="K19" s="1403"/>
      <c r="L19" s="534" t="s">
        <v>110</v>
      </c>
      <c r="M19" s="1308">
        <v>0.38208393753126163</v>
      </c>
      <c r="N19" s="1308">
        <v>0.49061406044220396</v>
      </c>
      <c r="O19" s="1308">
        <v>0.3092327519790658</v>
      </c>
      <c r="P19" s="1308">
        <v>1.1691265149012207</v>
      </c>
      <c r="Q19" s="1308">
        <v>1.7544211187577519</v>
      </c>
      <c r="R19" s="1309">
        <v>1</v>
      </c>
    </row>
    <row r="20" spans="2:18" x14ac:dyDescent="0.25">
      <c r="B20" s="1404"/>
      <c r="C20" s="533" t="s">
        <v>101</v>
      </c>
      <c r="D20" s="1308">
        <v>0.19708108061125221</v>
      </c>
      <c r="E20" s="1308">
        <v>0.24855578811512485</v>
      </c>
      <c r="F20" s="1308">
        <v>0.16325934250300664</v>
      </c>
      <c r="G20" s="1308">
        <v>0.68498379608871696</v>
      </c>
      <c r="H20" s="1308">
        <v>1.0404680786021665</v>
      </c>
      <c r="I20" s="1309">
        <v>1</v>
      </c>
      <c r="K20" s="1403"/>
      <c r="L20" s="533" t="s">
        <v>111</v>
      </c>
      <c r="M20" s="1308">
        <v>0.35839160933644876</v>
      </c>
      <c r="N20" s="1308">
        <v>0.54941663656542983</v>
      </c>
      <c r="O20" s="1308">
        <v>0.26445503428519807</v>
      </c>
      <c r="P20" s="1308">
        <v>0.79251558510515929</v>
      </c>
      <c r="Q20" s="1308">
        <v>1.1073964515547006</v>
      </c>
      <c r="R20" s="1309">
        <v>1</v>
      </c>
    </row>
    <row r="21" spans="2:18" x14ac:dyDescent="0.25">
      <c r="B21" s="1404"/>
      <c r="C21" s="534" t="s">
        <v>103</v>
      </c>
      <c r="D21" s="1308">
        <v>0.1494771888238082</v>
      </c>
      <c r="E21" s="1308">
        <v>0.19819321438774537</v>
      </c>
      <c r="F21" s="1308">
        <v>0.11998459421098724</v>
      </c>
      <c r="G21" s="1308">
        <v>0.53089426553341779</v>
      </c>
      <c r="H21" s="1308">
        <v>0.80879345536895098</v>
      </c>
      <c r="I21" s="1309">
        <v>1</v>
      </c>
      <c r="K21" s="1403"/>
      <c r="L21" s="896" t="s">
        <v>112</v>
      </c>
      <c r="M21" s="1308">
        <v>0.34272170846284988</v>
      </c>
      <c r="N21" s="1308">
        <v>0.51045859290955609</v>
      </c>
      <c r="O21" s="1308">
        <v>0.2512928964824247</v>
      </c>
      <c r="P21" s="1308">
        <v>0.78326543639085</v>
      </c>
      <c r="Q21" s="1308">
        <v>1.1190788115655379</v>
      </c>
      <c r="R21" s="1309">
        <v>1</v>
      </c>
    </row>
    <row r="22" spans="2:18" x14ac:dyDescent="0.25">
      <c r="B22" s="1404"/>
      <c r="C22" s="533" t="s">
        <v>104</v>
      </c>
      <c r="D22" s="1308">
        <v>0.3100224657075567</v>
      </c>
      <c r="E22" s="1308">
        <v>0.41573147727733517</v>
      </c>
      <c r="F22" s="1308">
        <v>0.24713406035511795</v>
      </c>
      <c r="G22" s="1308">
        <v>1.1229206951299588</v>
      </c>
      <c r="H22" s="1308">
        <v>1.7151955999304571</v>
      </c>
      <c r="I22" s="1309">
        <v>1</v>
      </c>
      <c r="K22" s="1314"/>
      <c r="L22" s="533"/>
      <c r="M22" s="1308"/>
      <c r="N22" s="1308"/>
      <c r="O22" s="1308"/>
      <c r="P22" s="1308"/>
      <c r="Q22"/>
      <c r="R22" s="1309"/>
    </row>
    <row r="23" spans="2:18" x14ac:dyDescent="0.25">
      <c r="B23" s="1404"/>
      <c r="C23" s="533" t="s">
        <v>109</v>
      </c>
      <c r="D23" s="1308">
        <v>0.1708689371826769</v>
      </c>
      <c r="E23" s="1308">
        <v>0.21184218278705094</v>
      </c>
      <c r="F23" s="1308">
        <v>0.14317516404409228</v>
      </c>
      <c r="G23" s="1308">
        <v>0.59658161857315262</v>
      </c>
      <c r="H23" s="1308">
        <v>0.90675440278924657</v>
      </c>
      <c r="I23" s="1309">
        <v>1</v>
      </c>
      <c r="K23" s="1403" t="s">
        <v>40</v>
      </c>
      <c r="L23" s="579" t="s">
        <v>91</v>
      </c>
      <c r="M23" s="1308">
        <v>1.2966925809534906</v>
      </c>
      <c r="N23" s="1308">
        <v>1.4944449545275265</v>
      </c>
      <c r="O23" s="1308">
        <v>1.1451146714221807</v>
      </c>
      <c r="P23" s="1308">
        <v>1.3469770632700826</v>
      </c>
      <c r="Q23" s="1308">
        <v>1.3834351461365284</v>
      </c>
      <c r="R23" s="1309">
        <v>1</v>
      </c>
    </row>
    <row r="24" spans="2:18" ht="15" customHeight="1" x14ac:dyDescent="0.25">
      <c r="B24" s="1404"/>
      <c r="C24" s="896" t="s">
        <v>111</v>
      </c>
      <c r="D24" s="1308">
        <v>0.22477709566741924</v>
      </c>
      <c r="E24" s="1308">
        <v>0.34146461902432601</v>
      </c>
      <c r="F24" s="1308">
        <v>0.16739120314521724</v>
      </c>
      <c r="G24" s="1308">
        <v>0.64570848188433128</v>
      </c>
      <c r="H24" s="1308">
        <v>0.95239767265628128</v>
      </c>
      <c r="I24" s="1309">
        <v>1</v>
      </c>
      <c r="K24" s="1403"/>
      <c r="L24" s="533" t="s">
        <v>97</v>
      </c>
      <c r="M24" s="1308">
        <v>1.1263710518212184</v>
      </c>
      <c r="N24" s="1308">
        <v>1.4086542668884154</v>
      </c>
      <c r="O24" s="1308">
        <v>0.9383210575745301</v>
      </c>
      <c r="P24" s="1308">
        <v>1.1698322996054422</v>
      </c>
      <c r="Q24" s="1308">
        <v>1.2013431753336019</v>
      </c>
      <c r="R24" s="1309">
        <v>1</v>
      </c>
    </row>
    <row r="25" spans="2:18" x14ac:dyDescent="0.25">
      <c r="B25" s="1310"/>
      <c r="C25"/>
      <c r="D25" s="1308"/>
      <c r="E25" s="1308"/>
      <c r="F25" s="1308"/>
      <c r="G25" s="1308"/>
      <c r="H25" s="1308"/>
      <c r="I25" s="1309"/>
      <c r="K25" s="1403"/>
      <c r="L25" s="533" t="s">
        <v>98</v>
      </c>
      <c r="M25" s="1308">
        <v>0.90438347156569387</v>
      </c>
      <c r="N25" s="1308">
        <v>0.96271048513755642</v>
      </c>
      <c r="O25" s="1308">
        <v>0.85270528559664505</v>
      </c>
      <c r="P25" s="1308">
        <v>0.93962337327590273</v>
      </c>
      <c r="Q25" s="1308">
        <v>0.96517379874400122</v>
      </c>
      <c r="R25" s="1309">
        <v>1</v>
      </c>
    </row>
    <row r="26" spans="2:18" ht="14.25" customHeight="1" x14ac:dyDescent="0.25">
      <c r="B26" s="1404" t="s">
        <v>50</v>
      </c>
      <c r="C26" s="579" t="s">
        <v>98</v>
      </c>
      <c r="D26" s="1308">
        <v>0.31940383890103946</v>
      </c>
      <c r="E26" s="1308">
        <v>0.3400033231486822</v>
      </c>
      <c r="F26" s="1308">
        <v>0.3011525287454947</v>
      </c>
      <c r="G26" s="1308">
        <v>0.46924410778569503</v>
      </c>
      <c r="H26" s="1308">
        <v>0.57850433566681703</v>
      </c>
      <c r="I26" s="1309">
        <v>1</v>
      </c>
      <c r="K26" s="1403"/>
      <c r="L26" s="533" t="s">
        <v>99</v>
      </c>
      <c r="M26" s="1308">
        <v>1.2659873192885827</v>
      </c>
      <c r="N26" s="1308">
        <v>1.6174274833410223</v>
      </c>
      <c r="O26" s="1308">
        <v>1.0397866948353178</v>
      </c>
      <c r="P26" s="1308">
        <v>1.3152544376742976</v>
      </c>
      <c r="Q26" s="1308">
        <v>1.3509752974365301</v>
      </c>
      <c r="R26" s="1309">
        <v>1</v>
      </c>
    </row>
    <row r="27" spans="2:18" x14ac:dyDescent="0.25">
      <c r="B27" s="1404"/>
      <c r="C27" s="533" t="s">
        <v>101</v>
      </c>
      <c r="D27" s="1308">
        <v>0.60080051723111216</v>
      </c>
      <c r="E27" s="1308">
        <v>0.75772081828076032</v>
      </c>
      <c r="F27" s="1308">
        <v>0.49769512143690914</v>
      </c>
      <c r="G27" s="1308">
        <v>0.7482834682069206</v>
      </c>
      <c r="H27" s="1308">
        <v>0.85582476877456071</v>
      </c>
      <c r="I27" s="1309">
        <v>1</v>
      </c>
      <c r="K27" s="1403"/>
      <c r="L27" s="533" t="s">
        <v>100</v>
      </c>
      <c r="M27" s="1308">
        <v>1.2595105109792972</v>
      </c>
      <c r="N27" s="1308">
        <v>1.6011391315578858</v>
      </c>
      <c r="O27" s="1308">
        <v>1.037937461703492</v>
      </c>
      <c r="P27" s="1308">
        <v>1.3082848838446042</v>
      </c>
      <c r="Q27" s="1308">
        <v>1.3436486699271712</v>
      </c>
      <c r="R27" s="1309">
        <v>1</v>
      </c>
    </row>
    <row r="28" spans="2:18" x14ac:dyDescent="0.25">
      <c r="B28" s="1404"/>
      <c r="C28" s="534" t="s">
        <v>103</v>
      </c>
      <c r="D28" s="1308">
        <v>0.12809212779062376</v>
      </c>
      <c r="E28" s="1308">
        <v>0.16983856362337155</v>
      </c>
      <c r="F28" s="1308">
        <v>0.10281891081860862</v>
      </c>
      <c r="G28" s="1308">
        <v>0.3027072753746568</v>
      </c>
      <c r="H28" s="1308">
        <v>0.43003276749922964</v>
      </c>
      <c r="I28" s="1309">
        <v>1</v>
      </c>
      <c r="K28" s="1403"/>
      <c r="L28" s="533" t="s">
        <v>101</v>
      </c>
      <c r="M28" s="1308">
        <v>1.3375131209257889</v>
      </c>
      <c r="N28" s="1308">
        <v>1.686852607066728</v>
      </c>
      <c r="O28" s="1308">
        <v>1.1079776407472575</v>
      </c>
      <c r="P28" s="1308">
        <v>1.3890981088052423</v>
      </c>
      <c r="Q28" s="1308">
        <v>1.4264994873339498</v>
      </c>
      <c r="R28" s="1309">
        <v>1</v>
      </c>
    </row>
    <row r="29" spans="2:18" x14ac:dyDescent="0.25">
      <c r="B29" s="1404"/>
      <c r="C29" s="533" t="s">
        <v>104</v>
      </c>
      <c r="D29" s="1308">
        <v>0.66975611340728169</v>
      </c>
      <c r="E29" s="1308">
        <v>0.89836440359660807</v>
      </c>
      <c r="F29" s="1308">
        <v>0.53380694232628823</v>
      </c>
      <c r="G29" s="1308">
        <v>1.1435901847668899</v>
      </c>
      <c r="H29" s="1308">
        <v>1.4890994802017619</v>
      </c>
      <c r="I29" s="1309">
        <v>1</v>
      </c>
      <c r="K29" s="1403"/>
      <c r="L29" s="533" t="s">
        <v>102</v>
      </c>
      <c r="M29" s="1308">
        <v>1.0637898774879506</v>
      </c>
      <c r="N29" s="1308">
        <v>1.4200755940639445</v>
      </c>
      <c r="O29" s="1308">
        <v>0.8503688580987504</v>
      </c>
      <c r="P29" s="1308">
        <v>1.1052444173298661</v>
      </c>
      <c r="Q29" s="1308">
        <v>1.1353003256573637</v>
      </c>
      <c r="R29" s="1309">
        <v>1</v>
      </c>
    </row>
    <row r="30" spans="2:18" x14ac:dyDescent="0.25">
      <c r="B30" s="1404"/>
      <c r="C30" s="533" t="s">
        <v>109</v>
      </c>
      <c r="D30" s="1308">
        <v>0.43645325397453943</v>
      </c>
      <c r="E30" s="1308">
        <v>0.54111187570550279</v>
      </c>
      <c r="F30" s="1308">
        <v>0.36571463483594907</v>
      </c>
      <c r="G30" s="1308">
        <v>0.57849717300963321</v>
      </c>
      <c r="H30" s="1308">
        <v>0.68207243260663486</v>
      </c>
      <c r="I30" s="1309">
        <v>1</v>
      </c>
      <c r="K30" s="1403"/>
      <c r="L30" s="534" t="s">
        <v>103</v>
      </c>
      <c r="M30" s="1308">
        <v>0.97576788637213541</v>
      </c>
      <c r="N30" s="1308">
        <v>1.2937798909587586</v>
      </c>
      <c r="O30" s="1308">
        <v>0.78324399918182452</v>
      </c>
      <c r="P30" s="1308">
        <v>1.0140634343831718</v>
      </c>
      <c r="Q30" s="1308">
        <v>1.0418282607797658</v>
      </c>
      <c r="R30" s="1309">
        <v>1</v>
      </c>
    </row>
    <row r="31" spans="2:18" x14ac:dyDescent="0.25">
      <c r="B31" s="1404"/>
      <c r="C31" s="896" t="s">
        <v>111</v>
      </c>
      <c r="D31" s="1308">
        <v>0.48350355356317942</v>
      </c>
      <c r="E31" s="1308">
        <v>0.73450260459196459</v>
      </c>
      <c r="F31" s="1308">
        <v>0.36006447128105723</v>
      </c>
      <c r="G31" s="1308">
        <v>0.62369191037951743</v>
      </c>
      <c r="H31" s="1308">
        <v>0.72591411989486343</v>
      </c>
      <c r="I31" s="1309">
        <v>1</v>
      </c>
      <c r="K31" s="1403"/>
      <c r="L31" s="533" t="s">
        <v>104</v>
      </c>
      <c r="M31" s="1308">
        <v>1.08107410731037</v>
      </c>
      <c r="N31" s="1308">
        <v>1.4500499555949462</v>
      </c>
      <c r="O31" s="1308">
        <v>0.86164450329177111</v>
      </c>
      <c r="P31" s="1308">
        <v>1.1230046726541654</v>
      </c>
      <c r="Q31" s="1308">
        <v>1.1534053533330526</v>
      </c>
      <c r="R31" s="1309">
        <v>1</v>
      </c>
    </row>
    <row r="32" spans="2:18" x14ac:dyDescent="0.25">
      <c r="B32" s="1310"/>
      <c r="C32"/>
      <c r="D32" s="1308"/>
      <c r="E32" s="1308"/>
      <c r="F32" s="1308"/>
      <c r="G32" s="1308"/>
      <c r="H32" s="1308"/>
      <c r="I32" s="1309"/>
      <c r="K32" s="1403"/>
      <c r="L32" s="534" t="s">
        <v>105</v>
      </c>
      <c r="M32" s="1308">
        <v>1.067086774737126</v>
      </c>
      <c r="N32" s="1308">
        <v>1.424996357797546</v>
      </c>
      <c r="O32" s="1308">
        <v>0.85281316231702831</v>
      </c>
      <c r="P32" s="1308">
        <v>1.1087663715099174</v>
      </c>
      <c r="Q32" s="1308">
        <v>1.1389846952282141</v>
      </c>
      <c r="R32" s="1309">
        <v>1</v>
      </c>
    </row>
    <row r="33" spans="2:18" ht="14.25" customHeight="1" x14ac:dyDescent="0.25">
      <c r="B33" s="1404" t="s">
        <v>51</v>
      </c>
      <c r="C33" s="579" t="s">
        <v>98</v>
      </c>
      <c r="D33" s="1308">
        <v>1.2057396870303059E-2</v>
      </c>
      <c r="E33" s="1308">
        <v>1.2835021190014655E-2</v>
      </c>
      <c r="F33" s="1308">
        <v>1.1368415664816474E-2</v>
      </c>
      <c r="G33" s="1308">
        <v>1.9771719584795511E-2</v>
      </c>
      <c r="H33" s="1308">
        <v>2.4806208982972356E-2</v>
      </c>
      <c r="I33" s="1309">
        <v>1</v>
      </c>
      <c r="K33" s="1403"/>
      <c r="L33" s="534" t="s">
        <v>106</v>
      </c>
      <c r="M33" s="1308">
        <v>1.0555042078313239</v>
      </c>
      <c r="N33" s="1308">
        <v>1.423292907791613</v>
      </c>
      <c r="O33" s="1308">
        <v>0.83848830584305478</v>
      </c>
      <c r="P33" s="1308">
        <v>1.0963442512629955</v>
      </c>
      <c r="Q33" s="1308">
        <v>1.1259547314557055</v>
      </c>
      <c r="R33" s="1309">
        <v>1</v>
      </c>
    </row>
    <row r="34" spans="2:18" x14ac:dyDescent="0.25">
      <c r="B34" s="1404"/>
      <c r="C34" s="533" t="s">
        <v>101</v>
      </c>
      <c r="D34" s="1308">
        <v>2.9524350004483543E-2</v>
      </c>
      <c r="E34" s="1308">
        <v>3.723567877126762E-2</v>
      </c>
      <c r="F34" s="1308">
        <v>2.4457579155719188E-2</v>
      </c>
      <c r="G34" s="1308">
        <v>4.8820584297951455E-2</v>
      </c>
      <c r="H34" s="1308">
        <v>6.1413613038595917E-2</v>
      </c>
      <c r="I34" s="1309">
        <v>1</v>
      </c>
      <c r="K34" s="1403"/>
      <c r="L34" s="533" t="s">
        <v>107</v>
      </c>
      <c r="M34" s="1308">
        <v>1.3387468326538674</v>
      </c>
      <c r="N34" s="1308">
        <v>1.6782956129413429</v>
      </c>
      <c r="O34" s="1308">
        <v>1.113221382776626</v>
      </c>
      <c r="P34" s="1308">
        <v>1.3909979957452694</v>
      </c>
      <c r="Q34" s="1308">
        <v>1.4288894829647021</v>
      </c>
      <c r="R34" s="1309">
        <v>1</v>
      </c>
    </row>
    <row r="35" spans="2:18" x14ac:dyDescent="0.25">
      <c r="B35" s="1404"/>
      <c r="C35" s="534" t="s">
        <v>103</v>
      </c>
      <c r="D35" s="1308">
        <v>2.8578945462377939E-3</v>
      </c>
      <c r="E35" s="1308">
        <v>3.7893091659108608E-3</v>
      </c>
      <c r="F35" s="1308">
        <v>2.2940176743614675E-3</v>
      </c>
      <c r="G35" s="1308">
        <v>4.9331251297157286E-3</v>
      </c>
      <c r="H35" s="1308">
        <v>6.2874536136885775E-3</v>
      </c>
      <c r="I35" s="1309">
        <v>1</v>
      </c>
      <c r="K35" s="1403"/>
      <c r="L35" s="534" t="s">
        <v>108</v>
      </c>
      <c r="M35" s="1308">
        <v>1.2629914356556187</v>
      </c>
      <c r="N35" s="1308">
        <v>1.5727046202667738</v>
      </c>
      <c r="O35" s="1308">
        <v>1.0551277680714006</v>
      </c>
      <c r="P35" s="1308">
        <v>1.3124143126092966</v>
      </c>
      <c r="Q35" s="1308">
        <v>1.3482469285823082</v>
      </c>
      <c r="R35" s="1309">
        <v>1</v>
      </c>
    </row>
    <row r="36" spans="2:18" x14ac:dyDescent="0.25">
      <c r="B36" s="1404"/>
      <c r="C36" s="533" t="s">
        <v>104</v>
      </c>
      <c r="D36" s="1308">
        <v>5.116014924584124E-3</v>
      </c>
      <c r="E36" s="1308">
        <v>6.8576324644787842E-3</v>
      </c>
      <c r="F36" s="1308">
        <v>4.0792569560000845E-3</v>
      </c>
      <c r="G36" s="1308">
        <v>9.0680747024551814E-3</v>
      </c>
      <c r="H36" s="1308">
        <v>1.1647251598123711E-2</v>
      </c>
      <c r="I36" s="1309">
        <v>1</v>
      </c>
      <c r="K36" s="1403"/>
      <c r="L36" s="533" t="s">
        <v>109</v>
      </c>
      <c r="M36" s="1308">
        <v>1.2082497776756025</v>
      </c>
      <c r="N36" s="1308">
        <v>1.4979806089819447</v>
      </c>
      <c r="O36" s="1308">
        <v>1.0124210618442084</v>
      </c>
      <c r="P36" s="1308">
        <v>1.2550094851691538</v>
      </c>
      <c r="Q36" s="1308">
        <v>1.2889119709511099</v>
      </c>
      <c r="R36" s="1309">
        <v>1</v>
      </c>
    </row>
    <row r="37" spans="2:18" x14ac:dyDescent="0.25">
      <c r="B37" s="1404"/>
      <c r="C37" s="533" t="s">
        <v>109</v>
      </c>
      <c r="D37" s="1308">
        <v>6.0334443905310864E-3</v>
      </c>
      <c r="E37" s="1308">
        <v>7.4802246624579346E-3</v>
      </c>
      <c r="F37" s="1308">
        <v>5.0555674453233619E-3</v>
      </c>
      <c r="G37" s="1308">
        <v>1.0207039130895421E-2</v>
      </c>
      <c r="H37" s="1308">
        <v>1.2930793028293312E-2</v>
      </c>
      <c r="I37" s="1309">
        <v>1</v>
      </c>
      <c r="K37" s="1403"/>
      <c r="L37" s="534" t="s">
        <v>110</v>
      </c>
      <c r="M37" s="1308">
        <v>1.3252028013713495</v>
      </c>
      <c r="N37" s="1308">
        <v>1.649959483086203</v>
      </c>
      <c r="O37" s="1308">
        <v>1.107198176441847</v>
      </c>
      <c r="P37" s="1308">
        <v>1.3769690319999432</v>
      </c>
      <c r="Q37" s="1308">
        <v>1.4145008338567193</v>
      </c>
      <c r="R37" s="1309">
        <v>1</v>
      </c>
    </row>
    <row r="38" spans="2:18" x14ac:dyDescent="0.25">
      <c r="B38" s="1404"/>
      <c r="C38" s="896" t="s">
        <v>111</v>
      </c>
      <c r="D38" s="1308">
        <v>3.5549324500783728E-3</v>
      </c>
      <c r="E38" s="1308">
        <v>5.4003886514827808E-3</v>
      </c>
      <c r="F38" s="1308">
        <v>2.6473535030705217E-3</v>
      </c>
      <c r="G38" s="1308">
        <v>4.5961845016643911E-3</v>
      </c>
      <c r="H38" s="1308">
        <v>5.2757220557920906E-3</v>
      </c>
      <c r="I38" s="1309">
        <v>1</v>
      </c>
      <c r="K38" s="1403"/>
      <c r="L38" s="533" t="s">
        <v>111</v>
      </c>
      <c r="M38" s="1308">
        <v>1.0871561838311354</v>
      </c>
      <c r="N38" s="1308">
        <v>1.6515269586696824</v>
      </c>
      <c r="O38" s="1308">
        <v>0.80960368412551509</v>
      </c>
      <c r="P38" s="1308">
        <v>1.1279713679146524</v>
      </c>
      <c r="Q38" s="1308">
        <v>1.1575631523415539</v>
      </c>
      <c r="R38" s="1309">
        <v>1</v>
      </c>
    </row>
    <row r="39" spans="2:18" x14ac:dyDescent="0.25">
      <c r="B39" s="1310"/>
      <c r="C39"/>
      <c r="D39" s="1308"/>
      <c r="E39" s="1308"/>
      <c r="F39" s="1308"/>
      <c r="G39" s="1308"/>
      <c r="H39" s="1308"/>
      <c r="I39" s="1309"/>
      <c r="K39" s="1403"/>
      <c r="L39" s="896" t="s">
        <v>112</v>
      </c>
      <c r="M39" s="1308">
        <v>1.0797432485280152</v>
      </c>
      <c r="N39" s="1308">
        <v>1.5303307201791805</v>
      </c>
      <c r="O39" s="1308">
        <v>0.83414034795905267</v>
      </c>
      <c r="P39" s="1308">
        <v>1.1202901652316768</v>
      </c>
      <c r="Q39" s="1308">
        <v>1.1496877625413058</v>
      </c>
      <c r="R39" s="1309">
        <v>1</v>
      </c>
    </row>
    <row r="40" spans="2:18" ht="14.25" customHeight="1" x14ac:dyDescent="0.25">
      <c r="B40" s="1404" t="s">
        <v>55</v>
      </c>
      <c r="C40" s="579" t="s">
        <v>98</v>
      </c>
      <c r="D40" s="1308">
        <v>4.1138849174973131E-2</v>
      </c>
      <c r="E40" s="1308">
        <v>5.3697002078399662E-2</v>
      </c>
      <c r="F40" s="1308">
        <v>3.0014937968489495E-2</v>
      </c>
      <c r="G40" s="1308">
        <v>0.90906169031079076</v>
      </c>
      <c r="H40" s="1308">
        <v>1.5966637247060116</v>
      </c>
      <c r="I40" s="1309">
        <v>1</v>
      </c>
      <c r="K40" s="1314"/>
      <c r="L40" s="533"/>
      <c r="M40" s="1308"/>
      <c r="N40" s="1308"/>
      <c r="O40" s="1308"/>
      <c r="P40" s="1308"/>
      <c r="Q40"/>
      <c r="R40" s="1309"/>
    </row>
    <row r="41" spans="2:18" x14ac:dyDescent="0.25">
      <c r="B41" s="1404"/>
      <c r="C41" s="533" t="s">
        <v>101</v>
      </c>
      <c r="D41" s="1308">
        <v>-0.1132893775276342</v>
      </c>
      <c r="E41" s="1308">
        <v>-5.3373703421704076E-2</v>
      </c>
      <c r="F41" s="1308">
        <v>-0.15263728138475136</v>
      </c>
      <c r="G41" s="1308">
        <v>1.5527841759099483</v>
      </c>
      <c r="H41" s="1308">
        <v>2.9450360803639413</v>
      </c>
      <c r="I41" s="1309">
        <v>1</v>
      </c>
      <c r="K41" s="1403" t="s">
        <v>41</v>
      </c>
      <c r="L41" s="579" t="s">
        <v>91</v>
      </c>
      <c r="M41" s="1308">
        <v>0.69429684259279134</v>
      </c>
      <c r="N41" s="1308">
        <v>0.80018054629644009</v>
      </c>
      <c r="O41" s="1308">
        <v>0.61313660416115034</v>
      </c>
      <c r="P41" s="1308">
        <v>0.73632067993775119</v>
      </c>
      <c r="Q41" s="1308">
        <v>0.76374613322837182</v>
      </c>
      <c r="R41" s="1309">
        <v>1</v>
      </c>
    </row>
    <row r="42" spans="2:18" x14ac:dyDescent="0.25">
      <c r="B42" s="1404"/>
      <c r="C42" s="534" t="s">
        <v>103</v>
      </c>
      <c r="D42" s="1308">
        <v>0.20317365123311576</v>
      </c>
      <c r="E42" s="1308">
        <v>0.27102591656602776</v>
      </c>
      <c r="F42" s="1308">
        <v>0.16209601292766279</v>
      </c>
      <c r="G42" s="1308">
        <v>1.0328902672346161</v>
      </c>
      <c r="H42" s="1308">
        <v>1.6270498904522306</v>
      </c>
      <c r="I42" s="1309">
        <v>1</v>
      </c>
      <c r="K42" s="1403"/>
      <c r="L42" s="533" t="s">
        <v>97</v>
      </c>
      <c r="M42" s="1308">
        <v>0.57732872292419612</v>
      </c>
      <c r="N42" s="1308">
        <v>0.72201453145874306</v>
      </c>
      <c r="O42" s="1308">
        <v>0.48094267936385854</v>
      </c>
      <c r="P42" s="1308">
        <v>0.61136900486225143</v>
      </c>
      <c r="Q42" s="1308">
        <v>0.63358422818625848</v>
      </c>
      <c r="R42" s="1309">
        <v>1</v>
      </c>
    </row>
    <row r="43" spans="2:18" ht="15" customHeight="1" x14ac:dyDescent="0.25">
      <c r="B43" s="1404"/>
      <c r="C43" s="533" t="s">
        <v>104</v>
      </c>
      <c r="D43" s="1308">
        <v>0.16172912160262981</v>
      </c>
      <c r="E43" s="1308">
        <v>0.23795326343028023</v>
      </c>
      <c r="F43" s="1308">
        <v>0.11641008614697872</v>
      </c>
      <c r="G43" s="1308">
        <v>1.0500657390396737</v>
      </c>
      <c r="H43" s="1308">
        <v>1.7088923230855058</v>
      </c>
      <c r="I43" s="1309">
        <v>1</v>
      </c>
      <c r="K43" s="1403"/>
      <c r="L43" s="533" t="s">
        <v>98</v>
      </c>
      <c r="M43" s="1308">
        <v>0.55194666542798587</v>
      </c>
      <c r="N43" s="1308">
        <v>0.58754367531470852</v>
      </c>
      <c r="O43" s="1308">
        <v>0.5204074474432614</v>
      </c>
      <c r="P43" s="1308">
        <v>0.58579188693375961</v>
      </c>
      <c r="Q43" s="1308">
        <v>0.60787977503164503</v>
      </c>
      <c r="R43" s="1309">
        <v>1</v>
      </c>
    </row>
    <row r="44" spans="2:18" x14ac:dyDescent="0.25">
      <c r="B44" s="1404"/>
      <c r="C44" s="533" t="s">
        <v>109</v>
      </c>
      <c r="D44" s="1308">
        <v>-5.9330502322858393E-2</v>
      </c>
      <c r="E44" s="1308">
        <v>-2.9207203297862581E-3</v>
      </c>
      <c r="F44" s="1308">
        <v>-9.7454913359364514E-2</v>
      </c>
      <c r="G44" s="1308">
        <v>1.3191499143477183</v>
      </c>
      <c r="H44" s="1308">
        <v>2.4603888846677422</v>
      </c>
      <c r="I44" s="1309">
        <v>1</v>
      </c>
      <c r="K44" s="1403"/>
      <c r="L44" s="533" t="s">
        <v>99</v>
      </c>
      <c r="M44" s="1308">
        <v>0.7724318035986999</v>
      </c>
      <c r="N44" s="1308">
        <v>0.98685980257480299</v>
      </c>
      <c r="O44" s="1308">
        <v>0.63441753460821293</v>
      </c>
      <c r="P44" s="1308">
        <v>0.81955050996709666</v>
      </c>
      <c r="Q44" s="1308">
        <v>0.85030091488885062</v>
      </c>
      <c r="R44" s="1309">
        <v>1</v>
      </c>
    </row>
    <row r="45" spans="2:18" x14ac:dyDescent="0.25">
      <c r="B45" s="1404"/>
      <c r="C45" s="896" t="s">
        <v>111</v>
      </c>
      <c r="D45" s="1308">
        <v>0.19157555909233698</v>
      </c>
      <c r="E45" s="1308">
        <v>0.30494549499566215</v>
      </c>
      <c r="F45" s="1308">
        <v>0.13584316642304686</v>
      </c>
      <c r="G45" s="1308">
        <v>1.0430743958237862</v>
      </c>
      <c r="H45" s="1308">
        <v>1.6602693149616305</v>
      </c>
      <c r="I45" s="1309">
        <v>1</v>
      </c>
      <c r="K45" s="1403"/>
      <c r="L45" s="533" t="s">
        <v>100</v>
      </c>
      <c r="M45" s="1308">
        <v>0.77059851503152688</v>
      </c>
      <c r="N45" s="1308">
        <v>0.97961462434456159</v>
      </c>
      <c r="O45" s="1308">
        <v>0.63503513464580807</v>
      </c>
      <c r="P45" s="1308">
        <v>0.81729310749165751</v>
      </c>
      <c r="Q45" s="1308">
        <v>0.84776672026932898</v>
      </c>
      <c r="R45" s="1309">
        <v>1</v>
      </c>
    </row>
    <row r="46" spans="2:18" x14ac:dyDescent="0.25">
      <c r="B46" s="1310"/>
      <c r="C46"/>
      <c r="D46" s="1308"/>
      <c r="E46" s="1308"/>
      <c r="F46" s="1308"/>
      <c r="G46" s="1308"/>
      <c r="H46" s="1308"/>
      <c r="I46" s="1309"/>
      <c r="K46" s="1403"/>
      <c r="L46" s="533" t="s">
        <v>101</v>
      </c>
      <c r="M46" s="1308">
        <v>0.71358620426648323</v>
      </c>
      <c r="N46" s="1308">
        <v>0.89996453171116542</v>
      </c>
      <c r="O46" s="1308">
        <v>0.59112532418173236</v>
      </c>
      <c r="P46" s="1308">
        <v>0.75634052403244723</v>
      </c>
      <c r="Q46" s="1308">
        <v>0.78424269206081754</v>
      </c>
      <c r="R46" s="1309">
        <v>1</v>
      </c>
    </row>
    <row r="47" spans="2:18" x14ac:dyDescent="0.25">
      <c r="B47" s="1404" t="s">
        <v>56</v>
      </c>
      <c r="C47" s="579" t="s">
        <v>98</v>
      </c>
      <c r="D47" s="1308">
        <v>1.0215248422059822</v>
      </c>
      <c r="E47" s="1308">
        <v>1.0874065605616874</v>
      </c>
      <c r="F47" s="1308">
        <v>0.96315307368493097</v>
      </c>
      <c r="G47" s="1308">
        <v>1.0215248422059822</v>
      </c>
      <c r="H47" s="1308">
        <v>1.0215248422059822</v>
      </c>
      <c r="I47" s="1309">
        <v>1</v>
      </c>
      <c r="K47" s="1403"/>
      <c r="L47" s="533" t="s">
        <v>102</v>
      </c>
      <c r="M47" s="1308">
        <v>0.76205073763867082</v>
      </c>
      <c r="N47" s="1308">
        <v>1.017277190413729</v>
      </c>
      <c r="O47" s="1308">
        <v>0.60916591460117975</v>
      </c>
      <c r="P47" s="1308">
        <v>0.81730612070824982</v>
      </c>
      <c r="Q47" s="1308">
        <v>0.85336668818954431</v>
      </c>
      <c r="R47" s="1309">
        <v>1</v>
      </c>
    </row>
    <row r="48" spans="2:18" x14ac:dyDescent="0.25">
      <c r="B48" s="1404"/>
      <c r="C48" s="533" t="s">
        <v>101</v>
      </c>
      <c r="D48" s="1308">
        <v>1.5634202738239753</v>
      </c>
      <c r="E48" s="1308">
        <v>1.9717627438131822</v>
      </c>
      <c r="F48" s="1308">
        <v>1.2951165375002982</v>
      </c>
      <c r="G48" s="1308">
        <v>1.5634202738239753</v>
      </c>
      <c r="H48" s="1308">
        <v>1.5634202738239753</v>
      </c>
      <c r="I48" s="1309">
        <v>1</v>
      </c>
      <c r="K48" s="1403"/>
      <c r="L48" s="534" t="s">
        <v>103</v>
      </c>
      <c r="M48" s="1308">
        <v>0.50094128213391831</v>
      </c>
      <c r="N48" s="1308">
        <v>0.66420276881659268</v>
      </c>
      <c r="O48" s="1308">
        <v>0.40210306354525771</v>
      </c>
      <c r="P48" s="1308">
        <v>0.53450051286696854</v>
      </c>
      <c r="Q48" s="1308">
        <v>0.55640180623465618</v>
      </c>
      <c r="R48" s="1309">
        <v>1</v>
      </c>
    </row>
    <row r="49" spans="2:18" x14ac:dyDescent="0.25">
      <c r="B49" s="1404"/>
      <c r="C49" s="534" t="s">
        <v>103</v>
      </c>
      <c r="D49" s="1308">
        <v>1.1388940445635487</v>
      </c>
      <c r="E49" s="1308">
        <v>1.5100702825174943</v>
      </c>
      <c r="F49" s="1308">
        <v>0.91418454363821466</v>
      </c>
      <c r="G49" s="1308">
        <v>1.1388940445635487</v>
      </c>
      <c r="H49" s="1308">
        <v>1.1388940445635487</v>
      </c>
      <c r="I49" s="1309">
        <v>1</v>
      </c>
      <c r="K49" s="1403"/>
      <c r="L49" s="533" t="s">
        <v>104</v>
      </c>
      <c r="M49" s="1308">
        <v>0.80388323038876519</v>
      </c>
      <c r="N49" s="1308">
        <v>1.0770737570951068</v>
      </c>
      <c r="O49" s="1308">
        <v>0.64115014404741444</v>
      </c>
      <c r="P49" s="1308">
        <v>0.86387775490104834</v>
      </c>
      <c r="Q49" s="1308">
        <v>0.90303113743599983</v>
      </c>
      <c r="R49" s="1309">
        <v>1</v>
      </c>
    </row>
    <row r="50" spans="2:18" x14ac:dyDescent="0.25">
      <c r="B50" s="1404"/>
      <c r="C50" s="533" t="s">
        <v>104</v>
      </c>
      <c r="D50" s="1308">
        <v>1.144291213108479</v>
      </c>
      <c r="E50" s="1308">
        <v>1.5348731777852018</v>
      </c>
      <c r="F50" s="1308">
        <v>0.91201929008536953</v>
      </c>
      <c r="G50" s="1308">
        <v>1.144291213108479</v>
      </c>
      <c r="H50" s="1308">
        <v>1.144291213108479</v>
      </c>
      <c r="I50" s="1309">
        <v>1</v>
      </c>
      <c r="K50" s="1403"/>
      <c r="L50" s="534" t="s">
        <v>105</v>
      </c>
      <c r="M50" s="1308">
        <v>0.78693012515227445</v>
      </c>
      <c r="N50" s="1308">
        <v>1.050872872750271</v>
      </c>
      <c r="O50" s="1308">
        <v>0.62891262975405637</v>
      </c>
      <c r="P50" s="1308">
        <v>0.8425115447537721</v>
      </c>
      <c r="Q50" s="1308">
        <v>0.87878486482721929</v>
      </c>
      <c r="R50" s="1309">
        <v>1</v>
      </c>
    </row>
    <row r="51" spans="2:18" x14ac:dyDescent="0.25">
      <c r="B51" s="1404"/>
      <c r="C51" s="533" t="s">
        <v>109</v>
      </c>
      <c r="D51" s="1308">
        <v>1.4416503467307016</v>
      </c>
      <c r="E51" s="1308">
        <v>1.7873486273539876</v>
      </c>
      <c r="F51" s="1308">
        <v>1.2079932969720892</v>
      </c>
      <c r="G51" s="1308">
        <v>1.4416503467307016</v>
      </c>
      <c r="H51" s="1308">
        <v>1.4416503467307016</v>
      </c>
      <c r="I51" s="1309">
        <v>1</v>
      </c>
      <c r="K51" s="1403"/>
      <c r="L51" s="534" t="s">
        <v>106</v>
      </c>
      <c r="M51" s="1308">
        <v>0.71653249671801378</v>
      </c>
      <c r="N51" s="1308">
        <v>0.96620668220541028</v>
      </c>
      <c r="O51" s="1308">
        <v>0.56921076000212456</v>
      </c>
      <c r="P51" s="1308">
        <v>0.76591493772640984</v>
      </c>
      <c r="Q51" s="1308">
        <v>0.79814272603761671</v>
      </c>
      <c r="R51" s="1309">
        <v>1</v>
      </c>
    </row>
    <row r="52" spans="2:18" x14ac:dyDescent="0.25">
      <c r="B52" s="1404"/>
      <c r="C52" s="896" t="s">
        <v>111</v>
      </c>
      <c r="D52" s="1308">
        <v>1.294096733815187</v>
      </c>
      <c r="E52" s="1308">
        <v>1.9658953725467072</v>
      </c>
      <c r="F52" s="1308">
        <v>0.96371210269951213</v>
      </c>
      <c r="G52" s="1308">
        <v>1.294096733815187</v>
      </c>
      <c r="H52" s="1308">
        <v>1.294096733815187</v>
      </c>
      <c r="I52" s="1309">
        <v>1</v>
      </c>
      <c r="K52" s="1403"/>
      <c r="L52" s="533" t="s">
        <v>107</v>
      </c>
      <c r="M52" s="1308">
        <v>0.92480462621214654</v>
      </c>
      <c r="N52" s="1308">
        <v>1.1590174110697051</v>
      </c>
      <c r="O52" s="1308">
        <v>0.76917209875666903</v>
      </c>
      <c r="P52" s="1308">
        <v>0.9794825733517899</v>
      </c>
      <c r="Q52" s="1308">
        <v>1.01516625502608</v>
      </c>
      <c r="R52" s="1309">
        <v>1</v>
      </c>
    </row>
    <row r="53" spans="2:18" x14ac:dyDescent="0.25">
      <c r="B53" s="904"/>
      <c r="C53"/>
      <c r="D53" s="1308"/>
      <c r="E53" s="1308"/>
      <c r="F53" s="1308"/>
      <c r="G53" s="1308"/>
      <c r="H53" s="1308"/>
      <c r="I53" s="1309"/>
      <c r="K53" s="1403"/>
      <c r="L53" s="534" t="s">
        <v>108</v>
      </c>
      <c r="M53" s="1308">
        <v>0.58254841802072321</v>
      </c>
      <c r="N53" s="1308">
        <v>0.72540192734793296</v>
      </c>
      <c r="O53" s="1308">
        <v>0.48667242494935153</v>
      </c>
      <c r="P53" s="1308">
        <v>0.6191255757328693</v>
      </c>
      <c r="Q53" s="1308">
        <v>0.64299640581401385</v>
      </c>
      <c r="R53" s="1309">
        <v>1</v>
      </c>
    </row>
    <row r="54" spans="2:18" x14ac:dyDescent="0.25">
      <c r="B54" s="904"/>
      <c r="C54"/>
      <c r="I54" s="209"/>
      <c r="K54" s="1403"/>
      <c r="L54" s="533" t="s">
        <v>109</v>
      </c>
      <c r="M54" s="1308">
        <v>0.56772321373863899</v>
      </c>
      <c r="N54" s="1308">
        <v>0.70385952170082655</v>
      </c>
      <c r="O54" s="1308">
        <v>0.4757088549239703</v>
      </c>
      <c r="P54" s="1308">
        <v>0.60250329671439751</v>
      </c>
      <c r="Q54" s="1308">
        <v>0.62520132661697836</v>
      </c>
      <c r="R54" s="1309">
        <v>1</v>
      </c>
    </row>
    <row r="55" spans="2:18" ht="14.25" customHeight="1" x14ac:dyDescent="0.25">
      <c r="B55" s="1404" t="s">
        <v>42</v>
      </c>
      <c r="C55" s="579" t="s">
        <v>113</v>
      </c>
      <c r="D55" s="1308">
        <v>0.61498914148948258</v>
      </c>
      <c r="E55" s="1308">
        <v>0.66070808322808683</v>
      </c>
      <c r="F55" s="1308">
        <v>0.58380659462282658</v>
      </c>
      <c r="G55" s="1308">
        <v>0.63778140300935326</v>
      </c>
      <c r="H55" s="1308">
        <v>0.6541514893280882</v>
      </c>
      <c r="I55" s="1309">
        <v>1</v>
      </c>
      <c r="K55" s="1403"/>
      <c r="L55" s="534" t="s">
        <v>110</v>
      </c>
      <c r="M55" s="1308">
        <v>0.87448783095542992</v>
      </c>
      <c r="N55" s="1308">
        <v>1.0887911773666792</v>
      </c>
      <c r="O55" s="1308">
        <v>0.73062897785130509</v>
      </c>
      <c r="P55" s="1308">
        <v>0.93485192909366099</v>
      </c>
      <c r="Q55" s="1308">
        <v>0.97424648943829673</v>
      </c>
      <c r="R55" s="1309">
        <v>1</v>
      </c>
    </row>
    <row r="56" spans="2:18" x14ac:dyDescent="0.25">
      <c r="B56" s="1404"/>
      <c r="C56" s="533" t="s">
        <v>114</v>
      </c>
      <c r="D56" s="1308">
        <v>0.42488797778916804</v>
      </c>
      <c r="E56" s="1308">
        <v>0.40637220620333658</v>
      </c>
      <c r="F56" s="1308">
        <v>0.44020994555702808</v>
      </c>
      <c r="G56" s="1308">
        <v>0.45011858283881717</v>
      </c>
      <c r="H56" s="1308">
        <v>0.46849912766176488</v>
      </c>
      <c r="I56" s="1309">
        <v>1</v>
      </c>
      <c r="K56" s="1403"/>
      <c r="L56" s="533" t="s">
        <v>111</v>
      </c>
      <c r="M56" s="1308">
        <v>0.74336913981143982</v>
      </c>
      <c r="N56" s="1308">
        <v>1.1292710375087143</v>
      </c>
      <c r="O56" s="1308">
        <v>0.55358601528434237</v>
      </c>
      <c r="P56" s="1308">
        <v>0.76441442830785822</v>
      </c>
      <c r="Q56" s="1308">
        <v>0.77814891369883266</v>
      </c>
      <c r="R56" s="1309">
        <v>1</v>
      </c>
    </row>
    <row r="57" spans="2:18" x14ac:dyDescent="0.25">
      <c r="B57" s="1404"/>
      <c r="C57" s="533" t="s">
        <v>2366</v>
      </c>
      <c r="D57" s="1308">
        <v>0.95264803753611826</v>
      </c>
      <c r="E57" s="1308">
        <v>0.9344409089108513</v>
      </c>
      <c r="F57" s="1308">
        <v>0.96996054894026706</v>
      </c>
      <c r="G57" s="1308">
        <v>0.95677984488653334</v>
      </c>
      <c r="H57" s="1308">
        <v>1.0056659090670814</v>
      </c>
      <c r="I57" s="1309">
        <v>1</v>
      </c>
      <c r="K57" s="1403"/>
      <c r="L57" s="896" t="s">
        <v>112</v>
      </c>
      <c r="M57" s="1308">
        <v>0.69244832232731124</v>
      </c>
      <c r="N57" s="1308">
        <v>0.98141322311918611</v>
      </c>
      <c r="O57" s="1308">
        <v>0.53494139947749353</v>
      </c>
      <c r="P57" s="1308">
        <v>0.71654619029202493</v>
      </c>
      <c r="Q57" s="1308">
        <v>0.7322728515405893</v>
      </c>
      <c r="R57" s="1309">
        <v>1</v>
      </c>
    </row>
    <row r="58" spans="2:18" x14ac:dyDescent="0.25">
      <c r="B58" s="1404"/>
      <c r="C58" s="533" t="s">
        <v>115</v>
      </c>
      <c r="D58" s="1308">
        <v>0.89917076147945196</v>
      </c>
      <c r="E58" s="1308">
        <v>1.0069157665208639</v>
      </c>
      <c r="F58" s="1308">
        <v>0.81560390756145973</v>
      </c>
      <c r="G58" s="1308">
        <v>0.90327264560066722</v>
      </c>
      <c r="H58" s="1308">
        <v>0.93935761398944517</v>
      </c>
      <c r="I58" s="1309">
        <v>1</v>
      </c>
      <c r="K58" s="1314"/>
      <c r="L58" s="533"/>
      <c r="M58" s="1308"/>
      <c r="N58" s="1308"/>
      <c r="O58" s="1308"/>
      <c r="P58"/>
      <c r="Q58"/>
      <c r="R58" s="847"/>
    </row>
    <row r="59" spans="2:18" x14ac:dyDescent="0.25">
      <c r="B59" s="1404"/>
      <c r="C59" s="896" t="s">
        <v>116</v>
      </c>
      <c r="D59" s="1308">
        <v>0.48838350973102346</v>
      </c>
      <c r="E59" s="1308">
        <v>0.55598046328815609</v>
      </c>
      <c r="F59" s="1308">
        <v>0.4436780544158645</v>
      </c>
      <c r="G59" s="1308">
        <v>0.51615978807058294</v>
      </c>
      <c r="H59" s="1308">
        <v>0.53639965379270271</v>
      </c>
      <c r="I59" s="1309">
        <v>1</v>
      </c>
      <c r="K59" s="1314"/>
      <c r="L59" s="533"/>
      <c r="M59" s="1308"/>
      <c r="N59" s="1308"/>
      <c r="O59" s="1308"/>
      <c r="P59"/>
      <c r="Q59"/>
      <c r="R59" s="847"/>
    </row>
    <row r="60" spans="2:18" x14ac:dyDescent="0.25">
      <c r="B60" s="1307"/>
      <c r="C60" s="533"/>
      <c r="D60" s="1308"/>
      <c r="E60" s="1308"/>
      <c r="F60" s="1308"/>
      <c r="G60" s="1308"/>
      <c r="H60" s="1308"/>
      <c r="I60" s="1309"/>
      <c r="K60" s="1403" t="s">
        <v>39</v>
      </c>
      <c r="L60" s="579" t="s">
        <v>113</v>
      </c>
      <c r="M60" s="1308">
        <v>0.65971675516802963</v>
      </c>
      <c r="N60" s="1308">
        <v>0.70097952224320326</v>
      </c>
      <c r="O60" s="1308">
        <v>0.6313033547460879</v>
      </c>
      <c r="P60" s="1308">
        <v>0.90149066183853765</v>
      </c>
      <c r="Q60" s="1308">
        <v>1.0895125986041114</v>
      </c>
      <c r="R60" s="1309">
        <v>1</v>
      </c>
    </row>
    <row r="61" spans="2:18" ht="14.25" customHeight="1" x14ac:dyDescent="0.25">
      <c r="B61" s="1404" t="s">
        <v>46</v>
      </c>
      <c r="C61" s="579" t="s">
        <v>113</v>
      </c>
      <c r="D61" s="1308">
        <v>0.85257694054632172</v>
      </c>
      <c r="E61" s="1308">
        <v>0.88279280082303579</v>
      </c>
      <c r="F61" s="1308">
        <v>0.83094692404723869</v>
      </c>
      <c r="G61" s="1308">
        <v>1.0039230112606532</v>
      </c>
      <c r="H61" s="1308">
        <v>1.1143559141921469</v>
      </c>
      <c r="I61" s="1309">
        <v>1</v>
      </c>
      <c r="K61" s="1403"/>
      <c r="L61" s="533" t="s">
        <v>114</v>
      </c>
      <c r="M61" s="1308">
        <v>0.74585720718228177</v>
      </c>
      <c r="N61" s="1308">
        <v>0.67563729205077871</v>
      </c>
      <c r="O61" s="1308">
        <v>0.80419671818843208</v>
      </c>
      <c r="P61" s="1308">
        <v>1.0464282672649439</v>
      </c>
      <c r="Q61" s="1308">
        <v>1.2824503637076869</v>
      </c>
      <c r="R61" s="1309">
        <v>1</v>
      </c>
    </row>
    <row r="62" spans="2:18" ht="14.25" customHeight="1" x14ac:dyDescent="0.25">
      <c r="B62" s="1404"/>
      <c r="C62" s="533" t="s">
        <v>114</v>
      </c>
      <c r="D62" s="1308">
        <v>1.1771344452466699</v>
      </c>
      <c r="E62" s="1308">
        <v>1.0222450426312466</v>
      </c>
      <c r="F62" s="1308">
        <v>1.3060629466541407</v>
      </c>
      <c r="G62" s="1308">
        <v>1.3660263730818478</v>
      </c>
      <c r="H62" s="1308">
        <v>1.5061353193378837</v>
      </c>
      <c r="I62" s="1309">
        <v>1</v>
      </c>
      <c r="K62" s="1403"/>
      <c r="L62" s="533" t="s">
        <v>2366</v>
      </c>
      <c r="M62" s="1308">
        <v>1.0485537814176218</v>
      </c>
      <c r="N62" s="1308">
        <v>1.0247974955799213</v>
      </c>
      <c r="O62" s="1308">
        <v>1.0701422743286999</v>
      </c>
      <c r="P62" s="1308">
        <v>1.0854757547362928</v>
      </c>
      <c r="Q62" s="1308">
        <v>1.3842344124229411</v>
      </c>
      <c r="R62" s="1309">
        <v>1</v>
      </c>
    </row>
    <row r="63" spans="2:18" ht="15" customHeight="1" x14ac:dyDescent="0.25">
      <c r="B63" s="1404"/>
      <c r="C63" s="533" t="s">
        <v>2366</v>
      </c>
      <c r="D63" s="1308">
        <v>1.1187340390970733</v>
      </c>
      <c r="E63" s="1308">
        <v>1.0900110145762865</v>
      </c>
      <c r="F63" s="1308">
        <v>1.1440847244586887</v>
      </c>
      <c r="G63" s="1308">
        <v>1.1355538043340976</v>
      </c>
      <c r="H63" s="1308">
        <v>1.377991418906034</v>
      </c>
      <c r="I63" s="1309">
        <v>1</v>
      </c>
      <c r="K63" s="1403"/>
      <c r="L63" s="533" t="s">
        <v>115</v>
      </c>
      <c r="M63" s="1308">
        <v>0.98764674022415</v>
      </c>
      <c r="N63" s="1308">
        <v>1.1217425379440258</v>
      </c>
      <c r="O63" s="1308">
        <v>0.88677905390538891</v>
      </c>
      <c r="P63" s="1308">
        <v>1.0273211898497911</v>
      </c>
      <c r="Q63" s="1308">
        <v>1.2763214576708852</v>
      </c>
      <c r="R63" s="1309">
        <v>1</v>
      </c>
    </row>
    <row r="64" spans="2:18" x14ac:dyDescent="0.25">
      <c r="B64" s="1404"/>
      <c r="C64" s="533" t="s">
        <v>115</v>
      </c>
      <c r="D64" s="1308">
        <v>1.0360429526172716</v>
      </c>
      <c r="E64" s="1308">
        <v>1.1678173271885677</v>
      </c>
      <c r="F64" s="1308">
        <v>0.93509530137212693</v>
      </c>
      <c r="G64" s="1308">
        <v>1.0562095716005699</v>
      </c>
      <c r="H64" s="1308">
        <v>1.2688315146535922</v>
      </c>
      <c r="I64" s="1309">
        <v>1</v>
      </c>
      <c r="K64" s="1403"/>
      <c r="L64" s="896" t="s">
        <v>116</v>
      </c>
      <c r="M64" s="1308">
        <v>0.75046030943951003</v>
      </c>
      <c r="N64" s="1308">
        <v>0.80366377043299553</v>
      </c>
      <c r="O64" s="1308">
        <v>0.71293958081408015</v>
      </c>
      <c r="P64" s="1308">
        <v>0.99739065963451989</v>
      </c>
      <c r="Q64" s="1308">
        <v>1.1912169625466593</v>
      </c>
      <c r="R64" s="1309">
        <v>1</v>
      </c>
    </row>
    <row r="65" spans="2:18" x14ac:dyDescent="0.25">
      <c r="B65" s="1404"/>
      <c r="C65" s="896" t="s">
        <v>116</v>
      </c>
      <c r="D65" s="1308">
        <v>1.0107213656680405</v>
      </c>
      <c r="E65" s="1308">
        <v>1.0440831045628576</v>
      </c>
      <c r="F65" s="1308">
        <v>0.98371656012939868</v>
      </c>
      <c r="G65" s="1308">
        <v>1.1360380184256222</v>
      </c>
      <c r="H65" s="1308">
        <v>1.2290159856323843</v>
      </c>
      <c r="I65" s="1309">
        <v>1</v>
      </c>
      <c r="K65" s="1315"/>
      <c r="L65" s="533"/>
      <c r="M65" s="1308"/>
      <c r="N65" s="1308"/>
      <c r="O65"/>
      <c r="P65" s="1308"/>
      <c r="Q65"/>
      <c r="R65" s="1309"/>
    </row>
    <row r="66" spans="2:18" x14ac:dyDescent="0.25">
      <c r="B66" s="1307"/>
      <c r="C66" s="533"/>
      <c r="D66" s="1308"/>
      <c r="E66" s="1308"/>
      <c r="F66" s="1308"/>
      <c r="G66" s="1308"/>
      <c r="H66" s="1308"/>
      <c r="I66" s="1309"/>
      <c r="K66" s="1403" t="s">
        <v>40</v>
      </c>
      <c r="L66" s="579" t="s">
        <v>113</v>
      </c>
      <c r="M66" s="1308">
        <v>1.1995384777872578</v>
      </c>
      <c r="N66" s="1308">
        <v>1.4399367684904434</v>
      </c>
      <c r="O66" s="1308">
        <v>1.0398649622343847</v>
      </c>
      <c r="P66" s="1308">
        <v>1.236515578643669</v>
      </c>
      <c r="Q66" s="1308">
        <v>1.2633905303345025</v>
      </c>
      <c r="R66" s="1309">
        <v>1</v>
      </c>
    </row>
    <row r="67" spans="2:18" ht="14.25" customHeight="1" x14ac:dyDescent="0.25">
      <c r="B67" s="1404" t="s">
        <v>48</v>
      </c>
      <c r="C67" s="579" t="s">
        <v>113</v>
      </c>
      <c r="D67" s="1308">
        <v>0.86122566882844864</v>
      </c>
      <c r="E67" s="1308">
        <v>0.88354077261334329</v>
      </c>
      <c r="F67" s="1308">
        <v>0.84476041280375935</v>
      </c>
      <c r="G67" s="1308">
        <v>1.0232265181767886</v>
      </c>
      <c r="H67" s="1308">
        <v>1.141574755890213</v>
      </c>
      <c r="I67" s="1309">
        <v>1</v>
      </c>
      <c r="K67" s="1403"/>
      <c r="L67" s="533" t="s">
        <v>114</v>
      </c>
      <c r="M67" s="1308">
        <v>1.4169600116299814</v>
      </c>
      <c r="N67" s="1308">
        <v>1.4843869615553473</v>
      </c>
      <c r="O67" s="1308">
        <v>1.3606032539029813</v>
      </c>
      <c r="P67" s="1308">
        <v>1.4619104718723093</v>
      </c>
      <c r="Q67" s="1308">
        <v>1.4950775604894555</v>
      </c>
      <c r="R67" s="1309">
        <v>1</v>
      </c>
    </row>
    <row r="68" spans="2:18" x14ac:dyDescent="0.25">
      <c r="B68" s="1404"/>
      <c r="C68" s="533" t="s">
        <v>114</v>
      </c>
      <c r="D68" s="1308">
        <v>1.2095206289372076</v>
      </c>
      <c r="E68" s="1308">
        <v>1.0398919578307297</v>
      </c>
      <c r="F68" s="1308">
        <v>1.3507620077657587</v>
      </c>
      <c r="G68" s="1308">
        <v>1.4133257408580038</v>
      </c>
      <c r="H68" s="1308">
        <v>1.5647014391203378</v>
      </c>
      <c r="I68" s="1309">
        <v>1</v>
      </c>
      <c r="K68" s="1403"/>
      <c r="L68" s="533" t="s">
        <v>2366</v>
      </c>
      <c r="M68" s="1308">
        <v>1.2021787098457419</v>
      </c>
      <c r="N68" s="1308">
        <v>1.2258596603418248</v>
      </c>
      <c r="O68" s="1308">
        <v>1.1917726404784477</v>
      </c>
      <c r="P68" s="1308">
        <v>1.2097800218015056</v>
      </c>
      <c r="Q68" s="1308">
        <v>1.3081564806308077</v>
      </c>
      <c r="R68" s="1309">
        <v>1</v>
      </c>
    </row>
    <row r="69" spans="2:18" ht="14.25" customHeight="1" x14ac:dyDescent="0.25">
      <c r="B69" s="1404"/>
      <c r="C69" s="533" t="s">
        <v>2366</v>
      </c>
      <c r="D69" s="1308">
        <v>1.1198886050511181</v>
      </c>
      <c r="E69" s="1308">
        <v>1.0899513168805972</v>
      </c>
      <c r="F69" s="1308">
        <v>1.1460867124534408</v>
      </c>
      <c r="G69" s="1308">
        <v>1.1371911851286283</v>
      </c>
      <c r="H69" s="1308">
        <v>1.3901406705556469</v>
      </c>
      <c r="I69" s="1309">
        <v>1</v>
      </c>
      <c r="K69" s="1403"/>
      <c r="L69" s="533" t="s">
        <v>115</v>
      </c>
      <c r="M69" s="1308">
        <v>1.1508666145242916</v>
      </c>
      <c r="N69" s="1308">
        <v>1.3913036951633559</v>
      </c>
      <c r="O69" s="1308">
        <v>0.98866657698902094</v>
      </c>
      <c r="P69" s="1308">
        <v>1.1599035467681247</v>
      </c>
      <c r="Q69" s="1308">
        <v>1.2462244095684856</v>
      </c>
      <c r="R69" s="1309">
        <v>1</v>
      </c>
    </row>
    <row r="70" spans="2:18" x14ac:dyDescent="0.25">
      <c r="B70" s="1404"/>
      <c r="C70" s="533" t="s">
        <v>115</v>
      </c>
      <c r="D70" s="1308">
        <v>1.0411208200987292</v>
      </c>
      <c r="E70" s="1308">
        <v>1.1698708007818692</v>
      </c>
      <c r="F70" s="1308">
        <v>0.94168813831271103</v>
      </c>
      <c r="G70" s="1308">
        <v>1.0616869244605129</v>
      </c>
      <c r="H70" s="1308">
        <v>1.2813458144718723</v>
      </c>
      <c r="I70" s="1309">
        <v>1</v>
      </c>
      <c r="K70" s="1403"/>
      <c r="L70" s="896" t="s">
        <v>116</v>
      </c>
      <c r="M70" s="1308">
        <v>1.2462856289780919</v>
      </c>
      <c r="N70" s="1308">
        <v>1.5478344376584388</v>
      </c>
      <c r="O70" s="1308">
        <v>1.0534576560608497</v>
      </c>
      <c r="P70" s="1308">
        <v>1.2839584246901143</v>
      </c>
      <c r="Q70" s="1308">
        <v>1.311762624059621</v>
      </c>
      <c r="R70" s="1309">
        <v>1</v>
      </c>
    </row>
    <row r="71" spans="2:18" x14ac:dyDescent="0.25">
      <c r="B71" s="1404"/>
      <c r="C71" s="896" t="s">
        <v>116</v>
      </c>
      <c r="D71" s="1308">
        <v>1.0267040286124522</v>
      </c>
      <c r="E71" s="1308">
        <v>1.0521405190410633</v>
      </c>
      <c r="F71" s="1308">
        <v>1.004473090438543</v>
      </c>
      <c r="G71" s="1308">
        <v>1.1592214149420468</v>
      </c>
      <c r="H71" s="1308">
        <v>1.2576755547074447</v>
      </c>
      <c r="I71" s="1309">
        <v>1</v>
      </c>
      <c r="K71" s="1315"/>
      <c r="L71" s="533"/>
      <c r="M71" s="1308"/>
      <c r="N71" s="1308"/>
      <c r="O71"/>
      <c r="P71" s="1308"/>
      <c r="Q71"/>
      <c r="R71" s="1309"/>
    </row>
    <row r="72" spans="2:18" x14ac:dyDescent="0.25">
      <c r="B72" s="1311"/>
      <c r="C72" s="533"/>
      <c r="D72" s="1308"/>
      <c r="E72" s="1308"/>
      <c r="F72" s="1308"/>
      <c r="G72" s="1308"/>
      <c r="H72" s="1308"/>
      <c r="I72" s="1309"/>
      <c r="K72" s="1403" t="s">
        <v>41</v>
      </c>
      <c r="L72" s="579" t="s">
        <v>113</v>
      </c>
      <c r="M72" s="1308">
        <v>0.81155479888303428</v>
      </c>
      <c r="N72" s="1308">
        <v>0.89211226022408407</v>
      </c>
      <c r="O72" s="1308">
        <v>0.75689893560420407</v>
      </c>
      <c r="P72" s="1308">
        <v>0.83080019670945404</v>
      </c>
      <c r="Q72" s="1308">
        <v>0.84336004899295669</v>
      </c>
      <c r="R72" s="1309">
        <v>1</v>
      </c>
    </row>
    <row r="73" spans="2:18" ht="14.25" customHeight="1" x14ac:dyDescent="0.25">
      <c r="B73" s="1404" t="s">
        <v>50</v>
      </c>
      <c r="C73" s="579" t="s">
        <v>113</v>
      </c>
      <c r="D73" s="1308">
        <v>0.60933129434036393</v>
      </c>
      <c r="E73" s="1308">
        <v>0.75300721450728036</v>
      </c>
      <c r="F73" s="1308">
        <v>0.51240786594409415</v>
      </c>
      <c r="G73" s="1308">
        <v>0.80709366812369032</v>
      </c>
      <c r="H73" s="1308">
        <v>0.9516850678283888</v>
      </c>
      <c r="I73" s="1309">
        <v>1</v>
      </c>
      <c r="K73" s="1403"/>
      <c r="L73" s="533" t="s">
        <v>114</v>
      </c>
      <c r="M73" s="1308">
        <v>0.96236659296775773</v>
      </c>
      <c r="N73" s="1308">
        <v>0.88938758615151348</v>
      </c>
      <c r="O73" s="1308">
        <v>1.0231524215952059</v>
      </c>
      <c r="P73" s="1308">
        <v>0.98316347912757451</v>
      </c>
      <c r="Q73" s="1308">
        <v>0.99673585320388114</v>
      </c>
      <c r="R73" s="1309">
        <v>1</v>
      </c>
    </row>
    <row r="74" spans="2:18" x14ac:dyDescent="0.25">
      <c r="B74" s="1404"/>
      <c r="C74" s="533" t="s">
        <v>114</v>
      </c>
      <c r="D74" s="1308">
        <v>0.83750401156098242</v>
      </c>
      <c r="E74" s="1308">
        <v>0.90038515420137377</v>
      </c>
      <c r="F74" s="1308">
        <v>0.78064797852065015</v>
      </c>
      <c r="G74" s="1308">
        <v>1.1746045979325697</v>
      </c>
      <c r="H74" s="1308">
        <v>1.4252181320930348</v>
      </c>
      <c r="I74" s="1309">
        <v>1</v>
      </c>
      <c r="K74" s="1403"/>
      <c r="L74" s="533" t="s">
        <v>2366</v>
      </c>
      <c r="M74" s="1308">
        <v>0.80947194086029695</v>
      </c>
      <c r="N74" s="1308">
        <v>0.80765928457764202</v>
      </c>
      <c r="O74" s="1308">
        <v>0.81466125873439144</v>
      </c>
      <c r="P74" s="1308">
        <v>0.8153353955387006</v>
      </c>
      <c r="Q74" s="1308">
        <v>0.81916199411486956</v>
      </c>
      <c r="R74" s="1309">
        <v>1</v>
      </c>
    </row>
    <row r="75" spans="2:18" x14ac:dyDescent="0.25">
      <c r="B75" s="1404"/>
      <c r="C75" s="533" t="s">
        <v>2366</v>
      </c>
      <c r="D75" s="1308">
        <v>0.9229182635608093</v>
      </c>
      <c r="E75" s="1308">
        <v>0.90894012635387544</v>
      </c>
      <c r="F75" s="1308">
        <v>0.93689773845093249</v>
      </c>
      <c r="G75" s="1308">
        <v>0.93858534284142947</v>
      </c>
      <c r="H75" s="1308">
        <v>1.1698634758864963</v>
      </c>
      <c r="I75" s="1309">
        <v>1</v>
      </c>
      <c r="K75" s="1403"/>
      <c r="L75" s="533" t="s">
        <v>115</v>
      </c>
      <c r="M75" s="1308">
        <v>0.82693991950518753</v>
      </c>
      <c r="N75" s="1308">
        <v>0.99644214682459997</v>
      </c>
      <c r="O75" s="1308">
        <v>0.71103437490133348</v>
      </c>
      <c r="P75" s="1308">
        <v>0.83370139192455117</v>
      </c>
      <c r="Q75" s="1308">
        <v>0.83811403096591897</v>
      </c>
      <c r="R75" s="1309">
        <v>1</v>
      </c>
    </row>
    <row r="76" spans="2:18" ht="14.25" customHeight="1" x14ac:dyDescent="0.25">
      <c r="B76" s="1404"/>
      <c r="C76" s="533" t="s">
        <v>115</v>
      </c>
      <c r="D76" s="1308">
        <v>0.86376580676502068</v>
      </c>
      <c r="E76" s="1308">
        <v>1.0061005092949966</v>
      </c>
      <c r="F76" s="1308">
        <v>0.7617220641916318</v>
      </c>
      <c r="G76" s="1308">
        <v>0.88977835858257026</v>
      </c>
      <c r="H76" s="1308">
        <v>1.1701048863178403</v>
      </c>
      <c r="I76" s="1309">
        <v>1</v>
      </c>
      <c r="K76" s="1405"/>
      <c r="L76" s="896" t="s">
        <v>116</v>
      </c>
      <c r="M76" s="1312">
        <v>0.81874702126137344</v>
      </c>
      <c r="N76" s="1312">
        <v>0.91179876754105427</v>
      </c>
      <c r="O76" s="1312">
        <v>0.75628821255821421</v>
      </c>
      <c r="P76" s="1312">
        <v>0.83730289953914205</v>
      </c>
      <c r="Q76" s="1312">
        <v>0.849412762628865</v>
      </c>
      <c r="R76" s="1313">
        <v>1</v>
      </c>
    </row>
    <row r="77" spans="2:18" x14ac:dyDescent="0.25">
      <c r="B77" s="1404"/>
      <c r="C77" s="896" t="s">
        <v>116</v>
      </c>
      <c r="D77" s="1308">
        <v>0.67554512627015162</v>
      </c>
      <c r="E77" s="1308">
        <v>0.86998885007326565</v>
      </c>
      <c r="F77" s="1308">
        <v>0.54931471677034771</v>
      </c>
      <c r="G77" s="1308">
        <v>0.92193078185567423</v>
      </c>
      <c r="H77" s="1308">
        <v>1.1051543110907209</v>
      </c>
      <c r="I77" s="1309">
        <v>1</v>
      </c>
    </row>
    <row r="78" spans="2:18" x14ac:dyDescent="0.25">
      <c r="B78" s="1311"/>
      <c r="C78" s="533"/>
      <c r="D78" s="1308"/>
      <c r="E78" s="1308"/>
      <c r="F78" s="1308"/>
      <c r="G78" s="1308"/>
      <c r="H78" s="1308"/>
      <c r="I78" s="1309"/>
    </row>
    <row r="79" spans="2:18" ht="14.25" customHeight="1" x14ac:dyDescent="0.25">
      <c r="B79" s="1404" t="s">
        <v>51</v>
      </c>
      <c r="C79" s="579" t="s">
        <v>113</v>
      </c>
      <c r="D79" s="1308">
        <v>5.3941322332736241E-2</v>
      </c>
      <c r="E79" s="1308">
        <v>5.8276847515213608E-2</v>
      </c>
      <c r="F79" s="1308">
        <v>5.0972337832168153E-2</v>
      </c>
      <c r="G79" s="1308">
        <v>6.4882420526088613E-2</v>
      </c>
      <c r="H79" s="1308">
        <v>7.2022753712236404E-2</v>
      </c>
      <c r="I79" s="1309">
        <v>1</v>
      </c>
    </row>
    <row r="80" spans="2:18" x14ac:dyDescent="0.25">
      <c r="B80" s="1404"/>
      <c r="C80" s="533" t="s">
        <v>114</v>
      </c>
      <c r="D80" s="1308">
        <v>5.1836061689726022E-2</v>
      </c>
      <c r="E80" s="1308">
        <v>4.840118973730665E-2</v>
      </c>
      <c r="F80" s="1308">
        <v>5.471371654771115E-2</v>
      </c>
      <c r="G80" s="1308">
        <v>6.5452112286453173E-2</v>
      </c>
      <c r="H80" s="1308">
        <v>7.4338159056519776E-2</v>
      </c>
      <c r="I80" s="1309">
        <v>1</v>
      </c>
    </row>
    <row r="81" spans="2:9" x14ac:dyDescent="0.25">
      <c r="B81" s="1404"/>
      <c r="C81" s="533" t="s">
        <v>2366</v>
      </c>
      <c r="D81" s="1308">
        <v>0.11418965081782369</v>
      </c>
      <c r="E81" s="1308">
        <v>0.11391736369902046</v>
      </c>
      <c r="F81" s="1308">
        <v>0.11493288442335392</v>
      </c>
      <c r="G81" s="1308">
        <v>0.12316788510554645</v>
      </c>
      <c r="H81" s="1308">
        <v>0.12902722260476512</v>
      </c>
      <c r="I81" s="1309">
        <v>1</v>
      </c>
    </row>
    <row r="82" spans="2:9" x14ac:dyDescent="0.25">
      <c r="B82" s="1404"/>
      <c r="C82" s="533" t="s">
        <v>115</v>
      </c>
      <c r="D82" s="1308">
        <v>7.7555278645597636E-2</v>
      </c>
      <c r="E82" s="1308">
        <v>9.2839278493772728E-2</v>
      </c>
      <c r="F82" s="1308">
        <v>6.7084609645068294E-2</v>
      </c>
      <c r="G82" s="1308">
        <v>8.7484661429535815E-2</v>
      </c>
      <c r="H82" s="1308">
        <v>9.3964736492165149E-2</v>
      </c>
      <c r="I82" s="1309">
        <v>1</v>
      </c>
    </row>
    <row r="83" spans="2:9" ht="14.25" customHeight="1" x14ac:dyDescent="0.25">
      <c r="B83" s="1404"/>
      <c r="C83" s="896" t="s">
        <v>116</v>
      </c>
      <c r="D83" s="1308">
        <v>4.2921385038329526E-2</v>
      </c>
      <c r="E83" s="1308">
        <v>4.7715026512535411E-2</v>
      </c>
      <c r="F83" s="1308">
        <v>3.969860368520723E-2</v>
      </c>
      <c r="G83" s="1308">
        <v>5.3257546234216829E-2</v>
      </c>
      <c r="H83" s="1308">
        <v>6.0003088009782143E-2</v>
      </c>
      <c r="I83" s="1309">
        <v>1</v>
      </c>
    </row>
    <row r="84" spans="2:9" x14ac:dyDescent="0.25">
      <c r="B84" s="1311"/>
      <c r="C84" s="533"/>
      <c r="D84" s="1308"/>
      <c r="E84" s="1308"/>
      <c r="F84" s="1308"/>
      <c r="G84" s="1308"/>
      <c r="H84" s="1308"/>
      <c r="I84" s="1309"/>
    </row>
    <row r="85" spans="2:9" ht="14.25" customHeight="1" x14ac:dyDescent="0.25">
      <c r="B85" s="1404" t="s">
        <v>55</v>
      </c>
      <c r="C85" s="579" t="s">
        <v>113</v>
      </c>
      <c r="D85" s="1308">
        <v>4.1752691678447168E-2</v>
      </c>
      <c r="E85" s="1308">
        <v>0.11074040078609412</v>
      </c>
      <c r="F85" s="1308">
        <v>-3.5233447980953575E-3</v>
      </c>
      <c r="G85" s="1308">
        <v>1.4675537869714501</v>
      </c>
      <c r="H85" s="1308">
        <v>2.6110797993054033</v>
      </c>
      <c r="I85" s="1309">
        <v>1</v>
      </c>
    </row>
    <row r="86" spans="2:9" x14ac:dyDescent="0.25">
      <c r="B86" s="1404"/>
      <c r="C86" s="533" t="s">
        <v>114</v>
      </c>
      <c r="D86" s="1308">
        <v>8.8777143451620869E-2</v>
      </c>
      <c r="E86" s="1308">
        <v>0.22109517965133726</v>
      </c>
      <c r="F86" s="1308">
        <v>-2.2284262988372865E-2</v>
      </c>
      <c r="G86" s="1308">
        <v>2.9389550591933284</v>
      </c>
      <c r="H86" s="1308">
        <v>5.2396939333512673</v>
      </c>
      <c r="I86" s="1309">
        <v>1</v>
      </c>
    </row>
    <row r="87" spans="2:9" x14ac:dyDescent="0.25">
      <c r="B87" s="1404"/>
      <c r="C87" s="533" t="s">
        <v>2366</v>
      </c>
      <c r="D87" s="1308">
        <v>0.98218955443931943</v>
      </c>
      <c r="E87" s="1308">
        <v>0.96731540488657553</v>
      </c>
      <c r="F87" s="1308">
        <v>0.99730381077564823</v>
      </c>
      <c r="G87" s="1308">
        <v>1.2294501704623981</v>
      </c>
      <c r="H87" s="1308">
        <v>2.6121317228024803</v>
      </c>
      <c r="I87" s="1309">
        <v>1</v>
      </c>
    </row>
    <row r="88" spans="2:9" x14ac:dyDescent="0.25">
      <c r="B88" s="1404"/>
      <c r="C88" s="533" t="s">
        <v>115</v>
      </c>
      <c r="D88" s="1308">
        <v>1.0559483065126991</v>
      </c>
      <c r="E88" s="1308">
        <v>1.2882268177802192</v>
      </c>
      <c r="F88" s="1308">
        <v>0.89809067526639297</v>
      </c>
      <c r="G88" s="1308">
        <v>1.3059604236601869</v>
      </c>
      <c r="H88" s="1308">
        <v>2.431085061424068</v>
      </c>
      <c r="I88" s="1309">
        <v>1</v>
      </c>
    </row>
    <row r="89" spans="2:9" x14ac:dyDescent="0.25">
      <c r="B89" s="1404"/>
      <c r="C89" s="896" t="s">
        <v>116</v>
      </c>
      <c r="D89" s="1308">
        <v>6.6608696072369231E-2</v>
      </c>
      <c r="E89" s="1308">
        <v>0.19566750628201432</v>
      </c>
      <c r="F89" s="1308">
        <v>-1.2970743732133196E-2</v>
      </c>
      <c r="G89" s="1308">
        <v>2.1252834555935647</v>
      </c>
      <c r="H89" s="1308">
        <v>3.7859425203568748</v>
      </c>
      <c r="I89" s="1309">
        <v>1</v>
      </c>
    </row>
    <row r="90" spans="2:9" ht="14.25" customHeight="1" x14ac:dyDescent="0.25">
      <c r="B90" s="1311"/>
      <c r="C90" s="533"/>
      <c r="D90" s="1308"/>
      <c r="E90" s="1308"/>
      <c r="F90" s="1308"/>
      <c r="G90" s="1308"/>
      <c r="H90" s="1308"/>
      <c r="I90" s="1309"/>
    </row>
    <row r="91" spans="2:9" x14ac:dyDescent="0.25">
      <c r="B91" s="1401" t="s">
        <v>56</v>
      </c>
      <c r="C91" s="579" t="s">
        <v>113</v>
      </c>
      <c r="D91" s="1308">
        <v>1.5168575554360311</v>
      </c>
      <c r="E91" s="1308">
        <v>1.8922454091127541</v>
      </c>
      <c r="F91" s="1308">
        <v>1.2682982172759236</v>
      </c>
      <c r="G91" s="1308">
        <v>1.5168575554360311</v>
      </c>
      <c r="H91" s="1308">
        <v>1.5168575554360311</v>
      </c>
      <c r="I91" s="1309">
        <v>1</v>
      </c>
    </row>
    <row r="92" spans="2:9" x14ac:dyDescent="0.25">
      <c r="B92" s="1401"/>
      <c r="C92" s="533" t="s">
        <v>114</v>
      </c>
      <c r="D92" s="1308">
        <v>1.8772215549034115</v>
      </c>
      <c r="E92" s="1308">
        <v>2.0496019251843913</v>
      </c>
      <c r="F92" s="1308">
        <v>1.7333671881417716</v>
      </c>
      <c r="G92" s="1308">
        <v>1.8772215549034115</v>
      </c>
      <c r="H92" s="1308">
        <v>1.8772215549034115</v>
      </c>
      <c r="I92" s="1309">
        <v>1</v>
      </c>
    </row>
    <row r="93" spans="2:9" x14ac:dyDescent="0.25">
      <c r="B93" s="1401"/>
      <c r="C93" s="533" t="s">
        <v>2366</v>
      </c>
      <c r="D93" s="1308">
        <v>1.4149202142459902</v>
      </c>
      <c r="E93" s="1308">
        <v>1.505372986304264</v>
      </c>
      <c r="F93" s="1308">
        <v>1.3594564523509673</v>
      </c>
      <c r="G93" s="1308">
        <v>1.4149202142459902</v>
      </c>
      <c r="H93" s="1308">
        <v>1.4149202142459902</v>
      </c>
      <c r="I93" s="1309">
        <v>1</v>
      </c>
    </row>
    <row r="94" spans="2:9" x14ac:dyDescent="0.25">
      <c r="B94" s="1401"/>
      <c r="C94" s="533" t="s">
        <v>115</v>
      </c>
      <c r="D94" s="1308">
        <v>1.4475056955428727</v>
      </c>
      <c r="E94" s="1308">
        <v>1.8887936927307143</v>
      </c>
      <c r="F94" s="1308">
        <v>1.1691912137637823</v>
      </c>
      <c r="G94" s="1308">
        <v>1.4475056955428727</v>
      </c>
      <c r="H94" s="1308">
        <v>1.4475056955428727</v>
      </c>
      <c r="I94" s="1309">
        <v>1</v>
      </c>
    </row>
    <row r="95" spans="2:9" x14ac:dyDescent="0.25">
      <c r="B95" s="1402"/>
      <c r="C95" s="896" t="s">
        <v>116</v>
      </c>
      <c r="D95" s="1312">
        <v>1.5717908999661874</v>
      </c>
      <c r="E95" s="1312">
        <v>2.0531134274424021</v>
      </c>
      <c r="F95" s="1312">
        <v>1.266750520064384</v>
      </c>
      <c r="G95" s="1312">
        <v>1.5717908999661874</v>
      </c>
      <c r="H95" s="1312">
        <v>1.5717908999661874</v>
      </c>
      <c r="I95" s="1313">
        <v>1</v>
      </c>
    </row>
  </sheetData>
  <mergeCells count="21">
    <mergeCell ref="T4:X4"/>
    <mergeCell ref="B5:B10"/>
    <mergeCell ref="K5:K21"/>
    <mergeCell ref="B12:B17"/>
    <mergeCell ref="B19:B24"/>
    <mergeCell ref="K23:K39"/>
    <mergeCell ref="B26:B31"/>
    <mergeCell ref="B33:B38"/>
    <mergeCell ref="B40:B45"/>
    <mergeCell ref="K41:K57"/>
    <mergeCell ref="B47:B52"/>
    <mergeCell ref="B55:B59"/>
    <mergeCell ref="K60:K64"/>
    <mergeCell ref="B61:B65"/>
    <mergeCell ref="B91:B95"/>
    <mergeCell ref="K66:K70"/>
    <mergeCell ref="B67:B71"/>
    <mergeCell ref="K72:K76"/>
    <mergeCell ref="B73:B77"/>
    <mergeCell ref="B79:B83"/>
    <mergeCell ref="B85:B89"/>
  </mergeCells>
  <pageMargins left="0.7" right="0.7" top="0.78740157499999996" bottom="0.78740157499999996" header="0.3" footer="0.3"/>
  <pageSetup paperSize="9" orientation="portrait" verticalDpi="597"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07942-C4BA-4DC7-80A0-5C59DF89C93F}">
  <dimension ref="B2:R92"/>
  <sheetViews>
    <sheetView zoomScaleNormal="100" workbookViewId="0"/>
  </sheetViews>
  <sheetFormatPr baseColWidth="10" defaultColWidth="10.7109375" defaultRowHeight="15" x14ac:dyDescent="0.25"/>
  <cols>
    <col min="1" max="1" width="3.7109375" style="1" customWidth="1"/>
    <col min="2" max="2" width="26" style="1" customWidth="1"/>
    <col min="3" max="11" width="10.7109375" style="1"/>
    <col min="12" max="12" width="25" style="1" customWidth="1"/>
    <col min="13" max="16384" width="10.7109375" style="1"/>
  </cols>
  <sheetData>
    <row r="2" spans="2:17" x14ac:dyDescent="0.25">
      <c r="B2" s="217" t="s">
        <v>2425</v>
      </c>
      <c r="L2" s="217"/>
      <c r="M2" s="915"/>
      <c r="N2" s="915"/>
      <c r="O2" s="915"/>
      <c r="P2" s="915"/>
      <c r="Q2" s="915"/>
    </row>
    <row r="4" spans="2:17" x14ac:dyDescent="0.25">
      <c r="B4" s="217" t="s">
        <v>2417</v>
      </c>
      <c r="L4" s="217" t="s">
        <v>2418</v>
      </c>
    </row>
    <row r="5" spans="2:17" ht="13.15" customHeight="1" x14ac:dyDescent="0.25"/>
    <row r="6" spans="2:17" ht="45" x14ac:dyDescent="0.25">
      <c r="B6" s="1302" t="s">
        <v>1505</v>
      </c>
      <c r="C6" s="1302" t="s">
        <v>1511</v>
      </c>
      <c r="D6" s="1303" t="s">
        <v>1506</v>
      </c>
      <c r="E6" s="1303" t="s">
        <v>643</v>
      </c>
      <c r="F6" s="1303" t="s">
        <v>1507</v>
      </c>
      <c r="G6" s="1302" t="s">
        <v>499</v>
      </c>
      <c r="H6" s="1302" t="s">
        <v>1508</v>
      </c>
      <c r="I6" s="1303" t="s">
        <v>913</v>
      </c>
      <c r="J6" s="1304" t="s">
        <v>1509</v>
      </c>
      <c r="L6" s="1302" t="s">
        <v>1505</v>
      </c>
      <c r="M6" s="1302" t="s">
        <v>1511</v>
      </c>
      <c r="N6" s="1302" t="s">
        <v>1506</v>
      </c>
      <c r="O6" s="1302" t="s">
        <v>1512</v>
      </c>
      <c r="P6" s="1302" t="s">
        <v>1513</v>
      </c>
      <c r="Q6" s="1302" t="s">
        <v>1514</v>
      </c>
    </row>
    <row r="7" spans="2:17" x14ac:dyDescent="0.25">
      <c r="B7" s="263" t="s">
        <v>42</v>
      </c>
      <c r="C7" s="207" t="s">
        <v>92</v>
      </c>
      <c r="D7" s="1316">
        <v>0.11659431258788749</v>
      </c>
      <c r="E7" s="1316">
        <v>0.64804034317734438</v>
      </c>
      <c r="F7" s="1316">
        <v>6.5876505074049354E-3</v>
      </c>
      <c r="G7" s="1316">
        <v>4.5603830898033382E-2</v>
      </c>
      <c r="H7" s="1316">
        <v>2.4939202342444303E-2</v>
      </c>
      <c r="I7" s="1316">
        <v>0</v>
      </c>
      <c r="J7" s="1317">
        <v>0.15823466048688553</v>
      </c>
      <c r="L7" s="263" t="s">
        <v>42</v>
      </c>
      <c r="M7" s="207" t="s">
        <v>92</v>
      </c>
      <c r="N7" s="1316">
        <v>4.3530496444207784E-2</v>
      </c>
      <c r="O7" s="1316">
        <v>0.3709737966314986</v>
      </c>
      <c r="P7" s="1316">
        <v>0.12545749581184498</v>
      </c>
      <c r="Q7" s="1317">
        <v>0.46003820459432848</v>
      </c>
    </row>
    <row r="8" spans="2:17" x14ac:dyDescent="0.25">
      <c r="B8" s="265"/>
      <c r="C8" s="1" t="s">
        <v>1510</v>
      </c>
      <c r="D8" s="1105">
        <v>0.1602079664921317</v>
      </c>
      <c r="E8" s="1105">
        <v>7.6037440668291212E-2</v>
      </c>
      <c r="F8" s="1105">
        <v>0</v>
      </c>
      <c r="G8" s="1105">
        <v>1.5739547623015587E-2</v>
      </c>
      <c r="H8" s="1105">
        <v>3.8598842436614343E-2</v>
      </c>
      <c r="I8" s="1105">
        <v>0</v>
      </c>
      <c r="J8" s="1318">
        <v>0.23075365181249385</v>
      </c>
      <c r="L8" s="265"/>
      <c r="M8" s="1" t="s">
        <v>1510</v>
      </c>
      <c r="N8" s="1105">
        <v>5.9973406280208724E-2</v>
      </c>
      <c r="O8" s="1105">
        <v>0.23476056158861305</v>
      </c>
      <c r="P8" s="1105">
        <v>5.8693679368415186E-2</v>
      </c>
      <c r="Q8" s="1318">
        <v>0.61460889439541544</v>
      </c>
    </row>
    <row r="9" spans="2:17" x14ac:dyDescent="0.25">
      <c r="B9" s="265" t="s">
        <v>46</v>
      </c>
      <c r="C9" s="1" t="s">
        <v>92</v>
      </c>
      <c r="D9" s="1105">
        <v>9.7220458220228734E-2</v>
      </c>
      <c r="E9" s="1105">
        <v>0.52503733679624343</v>
      </c>
      <c r="F9" s="1105">
        <v>5.0538972240633693E-3</v>
      </c>
      <c r="G9" s="1105">
        <v>0.35015056482427259</v>
      </c>
      <c r="H9" s="1105">
        <v>0</v>
      </c>
      <c r="I9" s="1105">
        <v>0</v>
      </c>
      <c r="J9" s="1318">
        <v>2.2537742935191903E-2</v>
      </c>
      <c r="L9" s="265" t="s">
        <v>46</v>
      </c>
      <c r="M9" s="1" t="s">
        <v>92</v>
      </c>
      <c r="N9" s="1105">
        <v>2.3325048317399927E-2</v>
      </c>
      <c r="O9" s="1105">
        <v>0.73504363583543197</v>
      </c>
      <c r="P9" s="1105">
        <v>4.9554585284129496E-2</v>
      </c>
      <c r="Q9" s="1318">
        <v>0.1920767204596753</v>
      </c>
    </row>
    <row r="10" spans="2:17" x14ac:dyDescent="0.25">
      <c r="B10" s="265"/>
      <c r="C10" s="1" t="s">
        <v>1510</v>
      </c>
      <c r="D10" s="1105">
        <v>0.13476945052996486</v>
      </c>
      <c r="E10" s="1105">
        <v>2.8042314941850049E-3</v>
      </c>
      <c r="F10" s="1105">
        <v>0</v>
      </c>
      <c r="G10" s="1105">
        <v>0.12084974464988626</v>
      </c>
      <c r="H10" s="1105">
        <v>0</v>
      </c>
      <c r="I10" s="1105">
        <v>0</v>
      </c>
      <c r="J10" s="1318">
        <v>1.3517108310476124E-2</v>
      </c>
      <c r="L10" s="265"/>
      <c r="M10" s="1" t="s">
        <v>1510</v>
      </c>
      <c r="N10" s="1105">
        <v>3.2179367005140881E-2</v>
      </c>
      <c r="O10" s="1105">
        <v>0.80575528313728495</v>
      </c>
      <c r="P10" s="1105">
        <v>2.1449466796019594E-2</v>
      </c>
      <c r="Q10" s="1318">
        <v>0.25661361375652764</v>
      </c>
    </row>
    <row r="11" spans="2:17" x14ac:dyDescent="0.25">
      <c r="B11" s="265" t="s">
        <v>48</v>
      </c>
      <c r="C11" s="1" t="s">
        <v>92</v>
      </c>
      <c r="D11" s="1105">
        <v>3.391759102505127E-2</v>
      </c>
      <c r="E11" s="1105">
        <v>0.55239970536143568</v>
      </c>
      <c r="F11" s="1105">
        <v>2.2077040807165992E-3</v>
      </c>
      <c r="G11" s="1105">
        <v>0.39098798958177516</v>
      </c>
      <c r="H11" s="1105">
        <v>0</v>
      </c>
      <c r="I11" s="1105">
        <v>0</v>
      </c>
      <c r="J11" s="1318">
        <v>2.0487009951021311E-2</v>
      </c>
      <c r="L11" s="265" t="s">
        <v>48</v>
      </c>
      <c r="M11" s="1" t="s">
        <v>92</v>
      </c>
      <c r="N11" s="1105">
        <v>8.1388363417215781E-3</v>
      </c>
      <c r="O11" s="1105">
        <v>0.75411747626968184</v>
      </c>
      <c r="P11" s="1105">
        <v>3.7254144344317577E-2</v>
      </c>
      <c r="Q11" s="1318">
        <v>0.20048952177374105</v>
      </c>
    </row>
    <row r="12" spans="2:17" x14ac:dyDescent="0.25">
      <c r="B12" s="265"/>
      <c r="C12" s="1" t="s">
        <v>1510</v>
      </c>
      <c r="D12" s="1105">
        <v>4.6042587367693726E-2</v>
      </c>
      <c r="E12" s="1105">
        <v>1.1755906673768645E-3</v>
      </c>
      <c r="F12" s="1105">
        <v>0</v>
      </c>
      <c r="G12" s="1105">
        <v>0.13494423392054766</v>
      </c>
      <c r="H12" s="1105">
        <v>0</v>
      </c>
      <c r="I12" s="1105">
        <v>0</v>
      </c>
      <c r="J12" s="1318">
        <v>7.9763040598101551E-3</v>
      </c>
      <c r="L12" s="265"/>
      <c r="M12" s="1" t="s">
        <v>1510</v>
      </c>
      <c r="N12" s="1105">
        <v>1.1086830540410169E-2</v>
      </c>
      <c r="O12" s="1105">
        <v>0.82636336077206685</v>
      </c>
      <c r="P12" s="1105">
        <v>1.2152149381347576E-2</v>
      </c>
      <c r="Q12" s="1318">
        <v>0.26785306281166416</v>
      </c>
    </row>
    <row r="13" spans="2:17" x14ac:dyDescent="0.25">
      <c r="B13" s="265" t="s">
        <v>50</v>
      </c>
      <c r="C13" s="1" t="s">
        <v>92</v>
      </c>
      <c r="D13" s="1105">
        <v>2.8695619163056508E-5</v>
      </c>
      <c r="E13" s="1105">
        <v>0.51154703875945173</v>
      </c>
      <c r="F13" s="1105">
        <v>8.4510417897885054E-5</v>
      </c>
      <c r="G13" s="1105">
        <v>0.11908770460000445</v>
      </c>
      <c r="H13" s="1105">
        <v>0</v>
      </c>
      <c r="I13" s="1105">
        <v>0</v>
      </c>
      <c r="J13" s="1318">
        <v>0.36925205060348298</v>
      </c>
      <c r="L13" s="265" t="s">
        <v>50</v>
      </c>
      <c r="M13" s="1" t="s">
        <v>92</v>
      </c>
      <c r="N13" s="1105">
        <v>1.7931617104796206E-5</v>
      </c>
      <c r="O13" s="1105">
        <v>0.89620135830673375</v>
      </c>
      <c r="P13" s="1105">
        <v>0.10378072557202889</v>
      </c>
      <c r="Q13" s="1318">
        <v>0</v>
      </c>
    </row>
    <row r="14" spans="2:17" x14ac:dyDescent="0.25">
      <c r="B14" s="265"/>
      <c r="C14" s="1" t="s">
        <v>1510</v>
      </c>
      <c r="D14" s="1105">
        <v>3.9600217324096253E-5</v>
      </c>
      <c r="E14" s="1105">
        <v>3.0621181043014564E-6</v>
      </c>
      <c r="F14" s="1105">
        <v>0</v>
      </c>
      <c r="G14" s="1105">
        <v>4.1101517490008919E-2</v>
      </c>
      <c r="H14" s="1105">
        <v>0</v>
      </c>
      <c r="I14" s="1105">
        <v>0</v>
      </c>
      <c r="J14" s="1318">
        <v>0.55964795389789934</v>
      </c>
      <c r="L14" s="265"/>
      <c r="M14" s="1" t="s">
        <v>1510</v>
      </c>
      <c r="N14" s="1105">
        <v>2.4967972024610172E-5</v>
      </c>
      <c r="O14" s="1105">
        <v>0.86376995720362282</v>
      </c>
      <c r="P14" s="1105">
        <v>5.7550525865617576E-2</v>
      </c>
      <c r="Q14" s="1318">
        <v>0</v>
      </c>
    </row>
    <row r="15" spans="2:17" x14ac:dyDescent="0.25">
      <c r="B15" s="265" t="s">
        <v>51</v>
      </c>
      <c r="C15" s="1" t="s">
        <v>92</v>
      </c>
      <c r="D15" s="1105">
        <v>3.0780148973290591E-2</v>
      </c>
      <c r="E15" s="1105">
        <v>4.8609536947119732E-3</v>
      </c>
      <c r="F15" s="1105">
        <v>0.94366471322157119</v>
      </c>
      <c r="G15" s="1105">
        <v>8.5721150719255765E-20</v>
      </c>
      <c r="H15" s="1105">
        <v>0</v>
      </c>
      <c r="I15" s="1105">
        <v>0</v>
      </c>
      <c r="J15" s="1318">
        <v>2.0694184110426377E-2</v>
      </c>
      <c r="L15" s="265" t="s">
        <v>51</v>
      </c>
      <c r="M15" s="1" t="s">
        <v>92</v>
      </c>
      <c r="N15" s="1105">
        <v>3.7326944904664081E-2</v>
      </c>
      <c r="O15" s="1105">
        <v>1.797588730988893E-2</v>
      </c>
      <c r="P15" s="1105">
        <v>0.94469717837353029</v>
      </c>
      <c r="Q15" s="1318">
        <v>0</v>
      </c>
    </row>
    <row r="16" spans="2:17" x14ac:dyDescent="0.25">
      <c r="B16" s="265"/>
      <c r="C16" s="1" t="s">
        <v>1510</v>
      </c>
      <c r="D16" s="1105">
        <v>2.312595466060198E-2</v>
      </c>
      <c r="E16" s="1105">
        <v>4.6169578133173361E-4</v>
      </c>
      <c r="F16" s="1105">
        <v>0</v>
      </c>
      <c r="G16" s="1105">
        <v>7.2843668624592668E-20</v>
      </c>
      <c r="H16" s="1105">
        <v>0</v>
      </c>
      <c r="I16" s="1105">
        <v>0</v>
      </c>
      <c r="J16" s="1318">
        <v>3.5816042847918567E-3</v>
      </c>
      <c r="L16" s="265"/>
      <c r="M16" s="1" t="s">
        <v>1510</v>
      </c>
      <c r="N16" s="1105">
        <v>4.8319595634582116E-2</v>
      </c>
      <c r="O16" s="1105">
        <v>1.7754196057421293E-2</v>
      </c>
      <c r="P16" s="1105">
        <v>3.3641162851725949E-2</v>
      </c>
      <c r="Q16" s="1318">
        <v>0</v>
      </c>
    </row>
    <row r="17" spans="2:18" x14ac:dyDescent="0.25">
      <c r="B17" s="265" t="s">
        <v>55</v>
      </c>
      <c r="C17" s="1" t="s">
        <v>92</v>
      </c>
      <c r="D17" s="1105">
        <v>7.7350132751059298E-4</v>
      </c>
      <c r="E17" s="1105">
        <v>0.20437921642017082</v>
      </c>
      <c r="F17" s="1105">
        <v>4.0038432688050572E-3</v>
      </c>
      <c r="G17" s="1105">
        <v>0.77075116730251159</v>
      </c>
      <c r="H17" s="1105">
        <v>0</v>
      </c>
      <c r="I17" s="1105">
        <v>0</v>
      </c>
      <c r="J17" s="1318">
        <v>2.0092271681001899E-2</v>
      </c>
      <c r="L17" s="265" t="s">
        <v>55</v>
      </c>
      <c r="M17" s="1" t="s">
        <v>92</v>
      </c>
      <c r="N17" s="1105">
        <v>4.4312966370752791E-4</v>
      </c>
      <c r="O17" s="1105">
        <v>0.77029324249378361</v>
      </c>
      <c r="P17" s="1105">
        <v>0.22926360502759963</v>
      </c>
      <c r="Q17" s="1318">
        <v>0</v>
      </c>
    </row>
    <row r="18" spans="2:18" x14ac:dyDescent="0.25">
      <c r="B18" s="265"/>
      <c r="C18" s="1" t="s">
        <v>1510</v>
      </c>
      <c r="D18" s="1105">
        <v>-3.0794779435213738E-4</v>
      </c>
      <c r="E18" s="1105">
        <v>-4.9621440148176169E-2</v>
      </c>
      <c r="F18" s="1105">
        <v>0</v>
      </c>
      <c r="G18" s="1105">
        <v>-6.2731632678859783E-2</v>
      </c>
      <c r="H18" s="1105">
        <v>0</v>
      </c>
      <c r="I18" s="1105">
        <v>0</v>
      </c>
      <c r="J18" s="1318">
        <v>-1.3362708144395038E-3</v>
      </c>
      <c r="L18" s="265"/>
      <c r="M18" s="1" t="s">
        <v>1510</v>
      </c>
      <c r="N18" s="1105">
        <v>5.8731842428528733E-4</v>
      </c>
      <c r="O18" s="1105">
        <v>0.94980312058997229</v>
      </c>
      <c r="P18" s="1105">
        <v>8.1766348659682818E-3</v>
      </c>
      <c r="Q18" s="1318">
        <v>0</v>
      </c>
    </row>
    <row r="19" spans="2:18" x14ac:dyDescent="0.25">
      <c r="B19" s="265" t="s">
        <v>56</v>
      </c>
      <c r="C19" s="1" t="s">
        <v>92</v>
      </c>
      <c r="D19" s="1105">
        <v>1.3394090863429018E-6</v>
      </c>
      <c r="E19" s="1105">
        <v>7.9220833645764433E-6</v>
      </c>
      <c r="F19" s="1105">
        <v>1.8613843312348085E-4</v>
      </c>
      <c r="G19" s="1105">
        <v>0</v>
      </c>
      <c r="H19" s="1105">
        <v>0.98091661811118713</v>
      </c>
      <c r="I19" s="1105">
        <v>0</v>
      </c>
      <c r="J19" s="1318">
        <v>1.8887981963238612E-2</v>
      </c>
      <c r="L19" s="265" t="s">
        <v>56</v>
      </c>
      <c r="M19" s="1" t="s">
        <v>92</v>
      </c>
      <c r="N19" s="1105">
        <v>1.7480838681823564E-6</v>
      </c>
      <c r="O19" s="1105">
        <v>0.61816292926632732</v>
      </c>
      <c r="P19" s="1105">
        <v>0.38183534123242613</v>
      </c>
      <c r="Q19" s="1318">
        <v>0</v>
      </c>
    </row>
    <row r="20" spans="2:18" x14ac:dyDescent="0.25">
      <c r="B20" s="268"/>
      <c r="C20" s="210" t="s">
        <v>1510</v>
      </c>
      <c r="D20" s="1319">
        <v>1.9899444435580865E-6</v>
      </c>
      <c r="E20" s="1319">
        <v>0</v>
      </c>
      <c r="F20" s="1319">
        <v>0</v>
      </c>
      <c r="G20" s="1319">
        <v>0</v>
      </c>
      <c r="H20" s="1319">
        <v>1.5181820223133407</v>
      </c>
      <c r="I20" s="1319">
        <v>0</v>
      </c>
      <c r="J20" s="1320">
        <v>4.5235890251753841E-2</v>
      </c>
      <c r="L20" s="268"/>
      <c r="M20" s="210" t="s">
        <v>1510</v>
      </c>
      <c r="N20" s="1319">
        <v>2.5816287985200596E-6</v>
      </c>
      <c r="O20" s="1319">
        <v>0.87384097336696187</v>
      </c>
      <c r="P20" s="1319">
        <v>0.5872952760091823</v>
      </c>
      <c r="Q20" s="1320">
        <v>0</v>
      </c>
    </row>
    <row r="21" spans="2:18" x14ac:dyDescent="0.25">
      <c r="L21" s="340"/>
      <c r="M21" s="340"/>
      <c r="N21" s="340"/>
      <c r="O21" s="340"/>
      <c r="P21" s="340"/>
      <c r="Q21" s="340"/>
    </row>
    <row r="22" spans="2:18" x14ac:dyDescent="0.25">
      <c r="L22" s="340"/>
      <c r="M22" s="340"/>
      <c r="N22" s="340"/>
      <c r="O22" s="340"/>
      <c r="P22" s="340"/>
      <c r="Q22" s="340"/>
    </row>
    <row r="23" spans="2:18" x14ac:dyDescent="0.25">
      <c r="B23" s="217" t="s">
        <v>2419</v>
      </c>
      <c r="L23" s="217" t="s">
        <v>2422</v>
      </c>
      <c r="M23" s="340"/>
      <c r="N23" s="340"/>
      <c r="O23" s="340"/>
      <c r="P23" s="340"/>
      <c r="Q23" s="340"/>
    </row>
    <row r="24" spans="2:18" x14ac:dyDescent="0.25">
      <c r="L24" s="340"/>
      <c r="M24" s="340"/>
      <c r="N24" s="340"/>
      <c r="O24" s="340"/>
      <c r="P24" s="340"/>
      <c r="Q24" s="340"/>
    </row>
    <row r="25" spans="2:18" ht="45" x14ac:dyDescent="0.25">
      <c r="B25" s="1302" t="s">
        <v>1505</v>
      </c>
      <c r="C25" s="1302" t="s">
        <v>1511</v>
      </c>
      <c r="D25" s="1303" t="s">
        <v>1506</v>
      </c>
      <c r="E25" s="1303" t="s">
        <v>643</v>
      </c>
      <c r="F25" s="1303" t="s">
        <v>1507</v>
      </c>
      <c r="G25" s="1302" t="s">
        <v>499</v>
      </c>
      <c r="H25" s="1302" t="s">
        <v>1508</v>
      </c>
      <c r="I25" s="1303" t="s">
        <v>913</v>
      </c>
      <c r="J25" s="1304" t="s">
        <v>1509</v>
      </c>
      <c r="L25" s="1302" t="s">
        <v>1505</v>
      </c>
      <c r="M25" s="1302" t="s">
        <v>1511</v>
      </c>
      <c r="N25" s="1302" t="s">
        <v>1506</v>
      </c>
      <c r="O25" s="1302" t="s">
        <v>1512</v>
      </c>
      <c r="P25" s="1302" t="s">
        <v>97</v>
      </c>
      <c r="Q25" s="1302" t="s">
        <v>1513</v>
      </c>
      <c r="R25" s="1302" t="s">
        <v>1619</v>
      </c>
    </row>
    <row r="26" spans="2:18" x14ac:dyDescent="0.25">
      <c r="B26" s="263" t="s">
        <v>42</v>
      </c>
      <c r="C26" s="207" t="s">
        <v>92</v>
      </c>
      <c r="D26" s="1316">
        <v>0.12628787441608244</v>
      </c>
      <c r="E26" s="1316">
        <v>0.63453963260517587</v>
      </c>
      <c r="F26" s="1316">
        <v>1.6732269899626822E-2</v>
      </c>
      <c r="G26" s="1316">
        <v>4.8348150687852226E-2</v>
      </c>
      <c r="H26" s="1316">
        <v>2.8088533832992955E-2</v>
      </c>
      <c r="I26" s="1316">
        <v>0</v>
      </c>
      <c r="J26" s="1317">
        <v>0.1460035385582697</v>
      </c>
      <c r="L26" s="263" t="s">
        <v>42</v>
      </c>
      <c r="M26" s="207" t="s">
        <v>92</v>
      </c>
      <c r="N26" s="1316">
        <v>2.6019235352086591E-2</v>
      </c>
      <c r="O26" s="1316">
        <v>0.18348310604188198</v>
      </c>
      <c r="P26" s="1316">
        <v>4.0276514866583159E-2</v>
      </c>
      <c r="Q26" s="1316">
        <v>0.21085661017044605</v>
      </c>
      <c r="R26" s="1317">
        <v>0.53936453058080791</v>
      </c>
    </row>
    <row r="27" spans="2:18" x14ac:dyDescent="0.25">
      <c r="B27" s="265"/>
      <c r="C27" s="1" t="s">
        <v>1510</v>
      </c>
      <c r="D27" s="1105">
        <v>0.16316254328517418</v>
      </c>
      <c r="E27" s="1105">
        <v>6.8215087224964444E-2</v>
      </c>
      <c r="F27" s="1105">
        <v>0</v>
      </c>
      <c r="G27" s="1105">
        <v>1.4120341118005753E-2</v>
      </c>
      <c r="H27" s="1105">
        <v>3.6787072851883408E-2</v>
      </c>
      <c r="I27" s="1105">
        <v>0</v>
      </c>
      <c r="J27" s="1318">
        <v>0.16624796835668432</v>
      </c>
      <c r="L27" s="265"/>
      <c r="M27" s="1" t="s">
        <v>1510</v>
      </c>
      <c r="N27" s="1105">
        <v>2.7276487110854484E-2</v>
      </c>
      <c r="O27" s="1105">
        <v>0.10254232475662163</v>
      </c>
      <c r="P27" s="1105">
        <v>4.4989126707659713E-2</v>
      </c>
      <c r="Q27" s="1105">
        <v>7.2359014546357903E-2</v>
      </c>
      <c r="R27" s="1318">
        <v>0.62999539185945741</v>
      </c>
    </row>
    <row r="28" spans="2:18" x14ac:dyDescent="0.25">
      <c r="B28" s="265" t="s">
        <v>46</v>
      </c>
      <c r="C28" s="1" t="s">
        <v>92</v>
      </c>
      <c r="D28" s="1105">
        <v>0.10502526680826139</v>
      </c>
      <c r="E28" s="1105">
        <v>0.49525383634680342</v>
      </c>
      <c r="F28" s="1105">
        <v>1.2918391005723508E-2</v>
      </c>
      <c r="G28" s="1105">
        <v>0.37124769015123726</v>
      </c>
      <c r="H28" s="1105">
        <v>0</v>
      </c>
      <c r="I28" s="1105">
        <v>0</v>
      </c>
      <c r="J28" s="1318">
        <v>1.5554815687974399E-2</v>
      </c>
      <c r="L28" s="265" t="s">
        <v>46</v>
      </c>
      <c r="M28" s="1" t="s">
        <v>92</v>
      </c>
      <c r="N28" s="1105">
        <v>3.9661460934520458E-3</v>
      </c>
      <c r="O28" s="1105">
        <v>0.47154727168110894</v>
      </c>
      <c r="P28" s="1105">
        <v>8.095178078845934E-2</v>
      </c>
      <c r="Q28" s="1105">
        <v>5.7660608026305064E-2</v>
      </c>
      <c r="R28" s="1318">
        <v>0.38587419070875661</v>
      </c>
    </row>
    <row r="29" spans="2:18" x14ac:dyDescent="0.25">
      <c r="B29" s="265"/>
      <c r="C29" s="1" t="s">
        <v>1510</v>
      </c>
      <c r="D29" s="1105">
        <v>0.12810682808290719</v>
      </c>
      <c r="E29" s="1105">
        <v>2.5159222415872119E-3</v>
      </c>
      <c r="F29" s="1105">
        <v>0</v>
      </c>
      <c r="G29" s="1105">
        <v>0.10842491247902501</v>
      </c>
      <c r="H29" s="1105">
        <v>0</v>
      </c>
      <c r="I29" s="1105">
        <v>0</v>
      </c>
      <c r="J29" s="1318">
        <v>3.701601428126854E-3</v>
      </c>
      <c r="L29" s="265"/>
      <c r="M29" s="1" t="s">
        <v>1510</v>
      </c>
      <c r="N29" s="1105">
        <v>4.1893348574611536E-3</v>
      </c>
      <c r="O29" s="1105">
        <v>0.43913585334793126</v>
      </c>
      <c r="P29" s="1105">
        <v>0.11489694936927841</v>
      </c>
      <c r="Q29" s="1105">
        <v>2.0639970633097957E-2</v>
      </c>
      <c r="R29" s="1318">
        <v>0.45071366854615685</v>
      </c>
    </row>
    <row r="30" spans="2:18" x14ac:dyDescent="0.25">
      <c r="B30" s="265" t="s">
        <v>48</v>
      </c>
      <c r="C30" s="1" t="s">
        <v>92</v>
      </c>
      <c r="D30" s="1105">
        <v>3.7161265957255142E-2</v>
      </c>
      <c r="E30" s="1105">
        <v>0.52310948170157723</v>
      </c>
      <c r="F30" s="1105">
        <v>5.7283425469292892E-3</v>
      </c>
      <c r="G30" s="1105">
        <v>0.42059564457811471</v>
      </c>
      <c r="H30" s="1105">
        <v>0</v>
      </c>
      <c r="I30" s="1105">
        <v>0</v>
      </c>
      <c r="J30" s="1318">
        <v>1.3405265216123667E-2</v>
      </c>
      <c r="L30" s="265" t="s">
        <v>48</v>
      </c>
      <c r="M30" s="1" t="s">
        <v>92</v>
      </c>
      <c r="N30" s="1105">
        <v>1.6121788825901034E-3</v>
      </c>
      <c r="O30" s="1105">
        <v>0.48205159180227675</v>
      </c>
      <c r="P30" s="1105">
        <v>7.7764728948169826E-2</v>
      </c>
      <c r="Q30" s="1105">
        <v>3.7707114589387199E-2</v>
      </c>
      <c r="R30" s="1318">
        <v>0.40086437829746685</v>
      </c>
    </row>
    <row r="31" spans="2:18" x14ac:dyDescent="0.25">
      <c r="B31" s="265"/>
      <c r="C31" s="1" t="s">
        <v>1510</v>
      </c>
      <c r="D31" s="1105">
        <v>4.4866267538351538E-2</v>
      </c>
      <c r="E31" s="1105">
        <v>1.0701185028927915E-3</v>
      </c>
      <c r="F31" s="1105">
        <v>0</v>
      </c>
      <c r="G31" s="1105">
        <v>0.12283724869973162</v>
      </c>
      <c r="H31" s="1105">
        <v>0</v>
      </c>
      <c r="I31" s="1105">
        <v>0</v>
      </c>
      <c r="J31" s="1318">
        <v>2.6134233672753496E-3</v>
      </c>
      <c r="L31" s="265"/>
      <c r="M31" s="1" t="s">
        <v>1510</v>
      </c>
      <c r="N31" s="1105">
        <v>1.7034759244188742E-3</v>
      </c>
      <c r="O31" s="1105">
        <v>0.44795455975545684</v>
      </c>
      <c r="P31" s="1105">
        <v>0.11048905059160483</v>
      </c>
      <c r="Q31" s="1105">
        <v>1.2116514840887041E-2</v>
      </c>
      <c r="R31" s="1318">
        <v>0.4682226741975542</v>
      </c>
    </row>
    <row r="32" spans="2:18" x14ac:dyDescent="0.25">
      <c r="B32" s="265" t="s">
        <v>50</v>
      </c>
      <c r="C32" s="1" t="s">
        <v>92</v>
      </c>
      <c r="D32" s="1105">
        <v>3.2623678324441643E-5</v>
      </c>
      <c r="E32" s="1105">
        <v>0.50837640189648048</v>
      </c>
      <c r="F32" s="1105">
        <v>2.3374166802871989E-4</v>
      </c>
      <c r="G32" s="1105">
        <v>0.13147459164181768</v>
      </c>
      <c r="H32" s="1105">
        <v>0</v>
      </c>
      <c r="I32" s="1105">
        <v>0</v>
      </c>
      <c r="J32" s="1318">
        <v>0.35988264111534873</v>
      </c>
      <c r="L32" s="265" t="s">
        <v>50</v>
      </c>
      <c r="M32" s="1" t="s">
        <v>92</v>
      </c>
      <c r="N32" s="1105">
        <v>2.0233077301018977E-5</v>
      </c>
      <c r="O32" s="1105">
        <v>0.75179004496343049</v>
      </c>
      <c r="P32" s="1105">
        <v>0.12962567543483508</v>
      </c>
      <c r="Q32" s="1105">
        <v>0.11856407088526821</v>
      </c>
      <c r="R32" s="1318">
        <v>0</v>
      </c>
    </row>
    <row r="33" spans="2:18" x14ac:dyDescent="0.25">
      <c r="B33" s="265"/>
      <c r="C33" s="1" t="s">
        <v>1510</v>
      </c>
      <c r="D33" s="1105">
        <v>4.1149387987163083E-5</v>
      </c>
      <c r="E33" s="1105">
        <v>2.8606928555765063E-6</v>
      </c>
      <c r="F33" s="1105">
        <v>0</v>
      </c>
      <c r="G33" s="1105">
        <v>3.8397871585507927E-2</v>
      </c>
      <c r="H33" s="1105">
        <v>0</v>
      </c>
      <c r="I33" s="1105">
        <v>0</v>
      </c>
      <c r="J33" s="1318">
        <v>0.46368193125433693</v>
      </c>
      <c r="L33" s="265"/>
      <c r="M33" s="1" t="s">
        <v>1510</v>
      </c>
      <c r="N33" s="1105">
        <v>2.1202225614538253E-5</v>
      </c>
      <c r="O33" s="1105">
        <v>0.61932684210935263</v>
      </c>
      <c r="P33" s="1105">
        <v>0.13480282547497147</v>
      </c>
      <c r="Q33" s="1105">
        <v>8.1961641954343106E-2</v>
      </c>
      <c r="R33" s="1318">
        <v>0</v>
      </c>
    </row>
    <row r="34" spans="2:18" x14ac:dyDescent="0.25">
      <c r="B34" s="265" t="s">
        <v>51</v>
      </c>
      <c r="C34" s="1" t="s">
        <v>92</v>
      </c>
      <c r="D34" s="1105">
        <v>9.2218357455553981E-3</v>
      </c>
      <c r="E34" s="1105">
        <v>2.1602653203589852E-3</v>
      </c>
      <c r="F34" s="1105">
        <v>0.97639315294480333</v>
      </c>
      <c r="G34" s="1105">
        <v>2.5900567038372184E-20</v>
      </c>
      <c r="H34" s="1105">
        <v>0</v>
      </c>
      <c r="I34" s="1105">
        <v>0</v>
      </c>
      <c r="J34" s="1318">
        <v>1.2224745989282337E-2</v>
      </c>
      <c r="L34" s="265" t="s">
        <v>51</v>
      </c>
      <c r="M34" s="1" t="s">
        <v>92</v>
      </c>
      <c r="N34" s="1105">
        <v>1.6965566508261941E-2</v>
      </c>
      <c r="O34" s="1105">
        <v>1.1578391258501484E-2</v>
      </c>
      <c r="P34" s="1105">
        <v>8.055250840754518E-3</v>
      </c>
      <c r="Q34" s="1105">
        <v>0.96340080505767856</v>
      </c>
      <c r="R34" s="1318">
        <v>0</v>
      </c>
    </row>
    <row r="35" spans="2:18" x14ac:dyDescent="0.25">
      <c r="B35" s="265"/>
      <c r="C35" s="1" t="s">
        <v>1510</v>
      </c>
      <c r="D35" s="1105">
        <v>6.3739988388985284E-3</v>
      </c>
      <c r="E35" s="1105">
        <v>1.167162641952132E-4</v>
      </c>
      <c r="F35" s="1105">
        <v>0</v>
      </c>
      <c r="G35" s="1105">
        <v>1.8825811141138229E-20</v>
      </c>
      <c r="H35" s="1105">
        <v>0</v>
      </c>
      <c r="I35" s="1105">
        <v>0</v>
      </c>
      <c r="J35" s="1318">
        <v>1.0050732471805308E-4</v>
      </c>
      <c r="L35" s="265"/>
      <c r="M35" s="1" t="s">
        <v>1510</v>
      </c>
      <c r="N35" s="1105">
        <v>1.8455576427638749E-2</v>
      </c>
      <c r="O35" s="1105">
        <v>1.0062123363112012E-2</v>
      </c>
      <c r="P35" s="1105">
        <v>1.0980001843553902E-2</v>
      </c>
      <c r="Q35" s="1105">
        <v>3.237701176351783E-2</v>
      </c>
      <c r="R35" s="1318">
        <v>0</v>
      </c>
    </row>
    <row r="36" spans="2:18" x14ac:dyDescent="0.25">
      <c r="B36" s="265" t="s">
        <v>55</v>
      </c>
      <c r="C36" s="1" t="s">
        <v>92</v>
      </c>
      <c r="D36" s="1105">
        <v>7.4559306440492433E-4</v>
      </c>
      <c r="E36" s="1105">
        <v>0.12572814467630714</v>
      </c>
      <c r="F36" s="1105">
        <v>7.6429799283477306E-3</v>
      </c>
      <c r="G36" s="1105">
        <v>0.85177935003453842</v>
      </c>
      <c r="H36" s="1105">
        <v>0</v>
      </c>
      <c r="I36" s="1105">
        <v>0</v>
      </c>
      <c r="J36" s="1318">
        <v>1.410393229640179E-2</v>
      </c>
      <c r="L36" s="265" t="s">
        <v>55</v>
      </c>
      <c r="M36" s="1" t="s">
        <v>92</v>
      </c>
      <c r="N36" s="1105">
        <v>1.5564834257658284E-4</v>
      </c>
      <c r="O36" s="1105">
        <v>0.61425248657430864</v>
      </c>
      <c r="P36" s="1105">
        <v>0.24327488384275012</v>
      </c>
      <c r="Q36" s="1105">
        <v>0.14231696538208743</v>
      </c>
      <c r="R36" s="1318">
        <v>0</v>
      </c>
    </row>
    <row r="37" spans="2:18" x14ac:dyDescent="0.25">
      <c r="B37" s="265"/>
      <c r="C37" s="1" t="s">
        <v>1510</v>
      </c>
      <c r="D37" s="1105">
        <v>2.770473268101473E-4</v>
      </c>
      <c r="E37" s="1105">
        <v>-5.2346810060859515E-4</v>
      </c>
      <c r="F37" s="1105">
        <v>0</v>
      </c>
      <c r="G37" s="1105">
        <v>-2.1138167601949295E-2</v>
      </c>
      <c r="H37" s="1105">
        <v>0</v>
      </c>
      <c r="I37" s="1105">
        <v>0</v>
      </c>
      <c r="J37" s="1318">
        <v>-1.4586251373273861E-4</v>
      </c>
      <c r="L37" s="265"/>
      <c r="M37" s="1" t="s">
        <v>1510</v>
      </c>
      <c r="N37" s="1105">
        <v>1.654877715038194E-4</v>
      </c>
      <c r="O37" s="1105">
        <v>0.65550651197487908</v>
      </c>
      <c r="P37" s="1105">
        <v>0.32721616179253388</v>
      </c>
      <c r="Q37" s="1105">
        <v>1.9376935288735761E-3</v>
      </c>
      <c r="R37" s="1318">
        <v>0</v>
      </c>
    </row>
    <row r="38" spans="2:18" x14ac:dyDescent="0.25">
      <c r="B38" s="265" t="s">
        <v>56</v>
      </c>
      <c r="C38" s="1" t="s">
        <v>92</v>
      </c>
      <c r="D38" s="1105">
        <v>1.3759066989971041E-6</v>
      </c>
      <c r="E38" s="1105">
        <v>9.1165286893904628E-6</v>
      </c>
      <c r="F38" s="1105">
        <v>4.7004429793868216E-4</v>
      </c>
      <c r="G38" s="1105">
        <v>0</v>
      </c>
      <c r="H38" s="1105">
        <v>0.98783431199178107</v>
      </c>
      <c r="I38" s="1105">
        <v>0</v>
      </c>
      <c r="J38" s="1318">
        <v>1.1685151274891817E-2</v>
      </c>
      <c r="L38" s="265" t="s">
        <v>56</v>
      </c>
      <c r="M38" s="1" t="s">
        <v>92</v>
      </c>
      <c r="N38" s="1105">
        <v>0</v>
      </c>
      <c r="O38" s="1105">
        <v>0.3705927603872653</v>
      </c>
      <c r="P38" s="1105">
        <v>0.19664552679457414</v>
      </c>
      <c r="Q38" s="1105">
        <v>0.4327617022811745</v>
      </c>
      <c r="R38" s="1318">
        <v>0</v>
      </c>
    </row>
    <row r="39" spans="2:18" x14ac:dyDescent="0.25">
      <c r="B39" s="268"/>
      <c r="C39" s="210" t="s">
        <v>1510</v>
      </c>
      <c r="D39" s="1319">
        <v>1.7297806606733894E-6</v>
      </c>
      <c r="E39" s="1319">
        <v>0</v>
      </c>
      <c r="F39" s="1319">
        <v>0</v>
      </c>
      <c r="G39" s="1319">
        <v>0</v>
      </c>
      <c r="H39" s="1319">
        <v>1.2937496371170729</v>
      </c>
      <c r="I39" s="1319">
        <v>0</v>
      </c>
      <c r="J39" s="1320">
        <v>2.0033459627570221E-2</v>
      </c>
      <c r="L39" s="268"/>
      <c r="M39" s="210" t="s">
        <v>1510</v>
      </c>
      <c r="N39" s="1319">
        <v>0</v>
      </c>
      <c r="O39" s="1319">
        <v>0.42755451345934659</v>
      </c>
      <c r="P39" s="1319">
        <v>0.29002569299155689</v>
      </c>
      <c r="Q39" s="1319">
        <v>0.6962739070547479</v>
      </c>
      <c r="R39" s="1320">
        <v>0</v>
      </c>
    </row>
    <row r="42" spans="2:18" x14ac:dyDescent="0.25">
      <c r="B42" s="217" t="s">
        <v>2420</v>
      </c>
      <c r="L42" s="217" t="s">
        <v>2423</v>
      </c>
    </row>
    <row r="44" spans="2:18" ht="45" x14ac:dyDescent="0.25">
      <c r="B44" s="1302" t="s">
        <v>1505</v>
      </c>
      <c r="C44" s="1302" t="s">
        <v>1511</v>
      </c>
      <c r="D44" s="1303" t="s">
        <v>1506</v>
      </c>
      <c r="E44" s="1303" t="s">
        <v>643</v>
      </c>
      <c r="F44" s="1303" t="s">
        <v>1507</v>
      </c>
      <c r="G44" s="1302" t="s">
        <v>499</v>
      </c>
      <c r="H44" s="1302" t="s">
        <v>1508</v>
      </c>
      <c r="I44" s="1303" t="s">
        <v>913</v>
      </c>
      <c r="J44" s="1304" t="s">
        <v>1509</v>
      </c>
      <c r="L44" s="1302" t="s">
        <v>1505</v>
      </c>
      <c r="M44" s="1302" t="s">
        <v>1511</v>
      </c>
      <c r="N44" s="1302" t="s">
        <v>1506</v>
      </c>
      <c r="O44" s="1302" t="s">
        <v>498</v>
      </c>
      <c r="P44" s="1302" t="s">
        <v>1514</v>
      </c>
    </row>
    <row r="45" spans="2:18" x14ac:dyDescent="0.25">
      <c r="B45" s="263" t="s">
        <v>42</v>
      </c>
      <c r="C45" s="207" t="s">
        <v>92</v>
      </c>
      <c r="D45" s="1316">
        <v>0.23701552496552267</v>
      </c>
      <c r="E45" s="1316">
        <v>0.17559941461980019</v>
      </c>
      <c r="F45" s="1316">
        <v>4.9564117208544582E-2</v>
      </c>
      <c r="G45" s="1316">
        <v>0.11505435382391808</v>
      </c>
      <c r="H45" s="1316">
        <v>0.26144759707945381</v>
      </c>
      <c r="I45" s="1316">
        <v>0</v>
      </c>
      <c r="J45" s="1317">
        <v>0.16131899230276059</v>
      </c>
      <c r="L45" s="263" t="s">
        <v>42</v>
      </c>
      <c r="M45" s="207" t="s">
        <v>92</v>
      </c>
      <c r="N45" s="1316">
        <v>3.1818532383743048E-2</v>
      </c>
      <c r="O45" s="1316">
        <v>0.89191180392404157</v>
      </c>
      <c r="P45" s="1317">
        <v>7.6269661981922754E-2</v>
      </c>
    </row>
    <row r="46" spans="2:18" x14ac:dyDescent="0.25">
      <c r="B46" s="265"/>
      <c r="C46" s="1" t="s">
        <v>1510</v>
      </c>
      <c r="D46" s="1105">
        <v>0.23817189953638249</v>
      </c>
      <c r="E46" s="1105">
        <v>0.14121264525459989</v>
      </c>
      <c r="F46" s="1105">
        <v>0</v>
      </c>
      <c r="G46" s="1105">
        <v>2.9230641647380567E-2</v>
      </c>
      <c r="H46" s="1105">
        <v>0.29786588061598351</v>
      </c>
      <c r="I46" s="1105">
        <v>0</v>
      </c>
      <c r="J46" s="1318">
        <v>0.17936589187988355</v>
      </c>
      <c r="L46" s="265"/>
      <c r="M46" s="1" t="s">
        <v>1510</v>
      </c>
      <c r="N46" s="1105">
        <v>3.938719434047562E-2</v>
      </c>
      <c r="O46" s="1105">
        <v>0.25827187295047394</v>
      </c>
      <c r="P46" s="1318">
        <v>7.5003235507120944E-2</v>
      </c>
    </row>
    <row r="47" spans="2:18" x14ac:dyDescent="0.25">
      <c r="B47" s="265" t="s">
        <v>46</v>
      </c>
      <c r="C47" s="1" t="s">
        <v>92</v>
      </c>
      <c r="D47" s="1105">
        <v>0.16470842555937826</v>
      </c>
      <c r="E47" s="1105">
        <v>2.321702163995755E-2</v>
      </c>
      <c r="F47" s="1105">
        <v>3.1716476964422279E-2</v>
      </c>
      <c r="G47" s="1105">
        <v>0.73703576697101769</v>
      </c>
      <c r="H47" s="1105">
        <v>0</v>
      </c>
      <c r="I47" s="1105">
        <v>0</v>
      </c>
      <c r="J47" s="1318">
        <v>4.3322308865224091E-2</v>
      </c>
      <c r="L47" s="265" t="s">
        <v>46</v>
      </c>
      <c r="M47" s="1" t="s">
        <v>92</v>
      </c>
      <c r="N47" s="1105">
        <v>5.9430856522619648E-3</v>
      </c>
      <c r="O47" s="1105">
        <v>0.29740371700803026</v>
      </c>
      <c r="P47" s="1318">
        <v>0.69665319876189802</v>
      </c>
    </row>
    <row r="48" spans="2:18" x14ac:dyDescent="0.25">
      <c r="B48" s="265"/>
      <c r="C48" s="1" t="s">
        <v>1510</v>
      </c>
      <c r="D48" s="1105">
        <v>0.1670905838670417</v>
      </c>
      <c r="E48" s="1105">
        <v>4.3450220176254268E-3</v>
      </c>
      <c r="F48" s="1105">
        <v>0</v>
      </c>
      <c r="G48" s="1105">
        <v>0.18725087361818121</v>
      </c>
      <c r="H48" s="1105">
        <v>0</v>
      </c>
      <c r="I48" s="1105">
        <v>0</v>
      </c>
      <c r="J48" s="1318">
        <v>2.4508899172834869E-2</v>
      </c>
      <c r="L48" s="265"/>
      <c r="M48" s="1" t="s">
        <v>1510</v>
      </c>
      <c r="N48" s="1105">
        <v>7.5668216095552982E-3</v>
      </c>
      <c r="O48" s="1105">
        <v>0.1504351617769869</v>
      </c>
      <c r="P48" s="1318">
        <v>0.93899857610310744</v>
      </c>
    </row>
    <row r="49" spans="2:17" x14ac:dyDescent="0.25">
      <c r="B49" s="265" t="s">
        <v>48</v>
      </c>
      <c r="C49" s="1" t="s">
        <v>92</v>
      </c>
      <c r="D49" s="1105">
        <v>6.1214540596678045E-2</v>
      </c>
      <c r="E49" s="1105">
        <v>1.0362657606771963E-2</v>
      </c>
      <c r="F49" s="1105">
        <v>1.472430928367539E-2</v>
      </c>
      <c r="G49" s="1105">
        <v>0.87448222499932671</v>
      </c>
      <c r="H49" s="1105">
        <v>0</v>
      </c>
      <c r="I49" s="1105">
        <v>0</v>
      </c>
      <c r="J49" s="1318">
        <v>3.921626751354796E-2</v>
      </c>
      <c r="L49" s="265" t="s">
        <v>48</v>
      </c>
      <c r="M49" s="1" t="s">
        <v>92</v>
      </c>
      <c r="N49" s="1105">
        <v>2.672620126951018E-3</v>
      </c>
      <c r="O49" s="1105">
        <v>0.22449850488571066</v>
      </c>
      <c r="P49" s="1318">
        <v>0.77282888315260512</v>
      </c>
    </row>
    <row r="50" spans="2:17" x14ac:dyDescent="0.25">
      <c r="B50" s="265"/>
      <c r="C50" s="1" t="s">
        <v>1510</v>
      </c>
      <c r="D50" s="1105">
        <v>6.0715487687005125E-2</v>
      </c>
      <c r="E50" s="1105">
        <v>1.9354771547966431E-3</v>
      </c>
      <c r="F50" s="1105">
        <v>0</v>
      </c>
      <c r="G50" s="1105">
        <v>0.22217043123590885</v>
      </c>
      <c r="H50" s="1105">
        <v>0</v>
      </c>
      <c r="I50" s="1105">
        <v>0</v>
      </c>
      <c r="J50" s="1318">
        <v>1.6341229904544157E-2</v>
      </c>
      <c r="L50" s="265"/>
      <c r="M50" s="1" t="s">
        <v>1510</v>
      </c>
      <c r="N50" s="1105">
        <v>3.4040300274865436E-3</v>
      </c>
      <c r="O50" s="1105">
        <v>0.11639622346849204</v>
      </c>
      <c r="P50" s="1318">
        <v>1.0493102127307004</v>
      </c>
    </row>
    <row r="51" spans="2:17" x14ac:dyDescent="0.25">
      <c r="B51" s="265" t="s">
        <v>50</v>
      </c>
      <c r="C51" s="1" t="s">
        <v>92</v>
      </c>
      <c r="D51" s="1105">
        <v>9.9669782243285254E-5</v>
      </c>
      <c r="E51" s="1105">
        <v>6.1602885244844968E-5</v>
      </c>
      <c r="F51" s="1105">
        <v>1.1011595324690523E-3</v>
      </c>
      <c r="G51" s="1105">
        <v>0.51362769675660214</v>
      </c>
      <c r="H51" s="1105">
        <v>0</v>
      </c>
      <c r="I51" s="1105">
        <v>0</v>
      </c>
      <c r="J51" s="1318">
        <v>0.48510987104344078</v>
      </c>
      <c r="L51" s="265" t="s">
        <v>50</v>
      </c>
      <c r="M51" s="1" t="s">
        <v>92</v>
      </c>
      <c r="N51" s="1105">
        <v>2.4806694592375769E-5</v>
      </c>
      <c r="O51" s="1105">
        <v>0.86759244377750677</v>
      </c>
      <c r="P51" s="1318">
        <v>0.1323827622100128</v>
      </c>
    </row>
    <row r="52" spans="2:17" x14ac:dyDescent="0.25">
      <c r="B52" s="265"/>
      <c r="C52" s="1" t="s">
        <v>1510</v>
      </c>
      <c r="D52" s="1105">
        <v>1.0062279608412672E-4</v>
      </c>
      <c r="E52" s="1105">
        <v>9.7218246902676415E-6</v>
      </c>
      <c r="F52" s="1105">
        <v>0</v>
      </c>
      <c r="G52" s="1105">
        <v>0.1304919477338963</v>
      </c>
      <c r="H52" s="1105">
        <v>0</v>
      </c>
      <c r="I52" s="1105">
        <v>0</v>
      </c>
      <c r="J52" s="1318">
        <v>0.53913902912860046</v>
      </c>
      <c r="L52" s="265"/>
      <c r="M52" s="1" t="s">
        <v>1510</v>
      </c>
      <c r="N52" s="1105">
        <v>3.0981489995550313E-5</v>
      </c>
      <c r="O52" s="1105">
        <v>0.65713179283727696</v>
      </c>
      <c r="P52" s="1318">
        <v>0.10188832678170823</v>
      </c>
    </row>
    <row r="53" spans="2:17" x14ac:dyDescent="0.25">
      <c r="B53" s="265" t="s">
        <v>51</v>
      </c>
      <c r="C53" s="1" t="s">
        <v>92</v>
      </c>
      <c r="D53" s="1105">
        <v>7.1991834752346395E-3</v>
      </c>
      <c r="E53" s="1105">
        <v>1.0187682535585879E-3</v>
      </c>
      <c r="F53" s="1105">
        <v>0.95564555212119717</v>
      </c>
      <c r="G53" s="1105">
        <v>2.4915915835458709E-20</v>
      </c>
      <c r="H53" s="1105">
        <v>0</v>
      </c>
      <c r="I53" s="1105">
        <v>0</v>
      </c>
      <c r="J53" s="1318">
        <v>3.6136496150009516E-2</v>
      </c>
      <c r="L53" s="265" t="s">
        <v>51</v>
      </c>
      <c r="M53" s="1" t="s">
        <v>92</v>
      </c>
      <c r="N53" s="1105">
        <v>7.235962518174213E-3</v>
      </c>
      <c r="O53" s="1105">
        <v>0.89285382355866616</v>
      </c>
      <c r="P53" s="1318">
        <v>9.9910238633217296E-2</v>
      </c>
    </row>
    <row r="54" spans="2:17" x14ac:dyDescent="0.25">
      <c r="B54" s="265"/>
      <c r="C54" s="1" t="s">
        <v>1510</v>
      </c>
      <c r="D54" s="1105">
        <v>3.8916751313750031E-3</v>
      </c>
      <c r="E54" s="1105">
        <v>9.3442965215862386E-5</v>
      </c>
      <c r="F54" s="1105">
        <v>0</v>
      </c>
      <c r="G54" s="1105">
        <v>1.5337139882567598E-20</v>
      </c>
      <c r="H54" s="1105">
        <v>0</v>
      </c>
      <c r="I54" s="1105">
        <v>0</v>
      </c>
      <c r="J54" s="1318">
        <v>7.6167922726230459E-4</v>
      </c>
      <c r="L54" s="265"/>
      <c r="M54" s="1" t="s">
        <v>1510</v>
      </c>
      <c r="N54" s="1105">
        <v>9.6839063047365077E-3</v>
      </c>
      <c r="O54" s="1105">
        <v>3.0372175461677236E-2</v>
      </c>
      <c r="P54" s="1318">
        <v>5.6406092861646098E-3</v>
      </c>
    </row>
    <row r="55" spans="2:17" x14ac:dyDescent="0.25">
      <c r="B55" s="265" t="s">
        <v>55</v>
      </c>
      <c r="C55" s="1" t="s">
        <v>92</v>
      </c>
      <c r="D55" s="1105">
        <v>4.0011845438309206E-4</v>
      </c>
      <c r="E55" s="1105">
        <v>6.2148615048704121E-2</v>
      </c>
      <c r="F55" s="1105">
        <v>4.783325574317961E-3</v>
      </c>
      <c r="G55" s="1105">
        <v>0.89451579697463224</v>
      </c>
      <c r="H55" s="1105">
        <v>0</v>
      </c>
      <c r="I55" s="1105">
        <v>0</v>
      </c>
      <c r="J55" s="1318">
        <v>3.8152143947962652E-2</v>
      </c>
      <c r="L55" s="265" t="s">
        <v>55</v>
      </c>
      <c r="M55" s="1" t="s">
        <v>92</v>
      </c>
      <c r="N55" s="1105">
        <v>2.6299776011786221E-4</v>
      </c>
      <c r="O55" s="1105">
        <v>0.85944168178905944</v>
      </c>
      <c r="P55" s="1318">
        <v>0.14029532780349083</v>
      </c>
    </row>
    <row r="56" spans="2:17" x14ac:dyDescent="0.25">
      <c r="B56" s="265"/>
      <c r="C56" s="1" t="s">
        <v>1510</v>
      </c>
      <c r="D56" s="1105">
        <v>3.0131369622424324E-4</v>
      </c>
      <c r="E56" s="1105">
        <v>1.4660788801643888E-2</v>
      </c>
      <c r="F56" s="1105">
        <v>0</v>
      </c>
      <c r="G56" s="1105">
        <v>0.13923462619876104</v>
      </c>
      <c r="H56" s="1105">
        <v>0</v>
      </c>
      <c r="I56" s="1105">
        <v>0</v>
      </c>
      <c r="J56" s="1318">
        <v>7.5001651910261685E-3</v>
      </c>
      <c r="L56" s="265"/>
      <c r="M56" s="1" t="s">
        <v>1510</v>
      </c>
      <c r="N56" s="1105">
        <v>3.4156571481420127E-4</v>
      </c>
      <c r="O56" s="1105">
        <v>5.6535223224727441E-2</v>
      </c>
      <c r="P56" s="1318">
        <v>5.3977031050616757E-3</v>
      </c>
      <c r="Q56" s="340"/>
    </row>
    <row r="57" spans="2:17" x14ac:dyDescent="0.25">
      <c r="B57" s="265" t="s">
        <v>56</v>
      </c>
      <c r="C57" s="1" t="s">
        <v>92</v>
      </c>
      <c r="D57" s="1105">
        <v>1.0497941050570932E-6</v>
      </c>
      <c r="E57" s="1105">
        <v>2.9446953301255715E-6</v>
      </c>
      <c r="F57" s="1105">
        <v>5.5267787805135201E-4</v>
      </c>
      <c r="G57" s="1105">
        <v>0</v>
      </c>
      <c r="H57" s="1105">
        <v>0.96380343802809743</v>
      </c>
      <c r="I57" s="1105">
        <v>0</v>
      </c>
      <c r="J57" s="1318">
        <v>3.5639889604416039E-2</v>
      </c>
      <c r="L57" s="265" t="s">
        <v>56</v>
      </c>
      <c r="M57" s="1" t="s">
        <v>92</v>
      </c>
      <c r="N57" s="1105">
        <v>0</v>
      </c>
      <c r="O57" s="1105">
        <v>0.90789419495904866</v>
      </c>
      <c r="P57" s="1318">
        <v>9.2105805040951325E-2</v>
      </c>
      <c r="Q57" s="340"/>
    </row>
    <row r="58" spans="2:17" x14ac:dyDescent="0.25">
      <c r="B58" s="268"/>
      <c r="C58" s="210" t="s">
        <v>1510</v>
      </c>
      <c r="D58" s="1319">
        <v>1.1480906046325245E-6</v>
      </c>
      <c r="E58" s="1319">
        <v>0</v>
      </c>
      <c r="F58" s="1319">
        <v>0</v>
      </c>
      <c r="G58" s="1319">
        <v>0</v>
      </c>
      <c r="H58" s="1319">
        <v>1.0980562219892687</v>
      </c>
      <c r="I58" s="1319">
        <v>0</v>
      </c>
      <c r="J58" s="1320">
        <v>4.6233658907963313E-2</v>
      </c>
      <c r="L58" s="268"/>
      <c r="M58" s="210" t="s">
        <v>1510</v>
      </c>
      <c r="N58" s="1319">
        <v>0</v>
      </c>
      <c r="O58" s="1319">
        <v>1.5930915374239425</v>
      </c>
      <c r="P58" s="1320">
        <v>0.18327766794444619</v>
      </c>
      <c r="Q58" s="340"/>
    </row>
    <row r="59" spans="2:17" x14ac:dyDescent="0.25">
      <c r="Q59" s="340"/>
    </row>
    <row r="60" spans="2:17" x14ac:dyDescent="0.25">
      <c r="Q60" s="340"/>
    </row>
    <row r="61" spans="2:17" x14ac:dyDescent="0.25">
      <c r="B61" s="217" t="s">
        <v>2421</v>
      </c>
      <c r="L61" s="217" t="s">
        <v>2424</v>
      </c>
      <c r="Q61" s="340"/>
    </row>
    <row r="62" spans="2:17" x14ac:dyDescent="0.25">
      <c r="Q62" s="340"/>
    </row>
    <row r="63" spans="2:17" ht="45" x14ac:dyDescent="0.25">
      <c r="B63" s="1302" t="s">
        <v>1505</v>
      </c>
      <c r="C63" s="1302" t="s">
        <v>1511</v>
      </c>
      <c r="D63" s="1303" t="s">
        <v>1506</v>
      </c>
      <c r="E63" s="1303" t="s">
        <v>643</v>
      </c>
      <c r="F63" s="1303" t="s">
        <v>1507</v>
      </c>
      <c r="G63" s="1302" t="s">
        <v>499</v>
      </c>
      <c r="H63" s="1302" t="s">
        <v>1508</v>
      </c>
      <c r="I63" s="1303" t="s">
        <v>913</v>
      </c>
      <c r="J63" s="1304" t="s">
        <v>1509</v>
      </c>
      <c r="L63" s="1302" t="s">
        <v>1505</v>
      </c>
      <c r="M63" s="1302" t="s">
        <v>1511</v>
      </c>
      <c r="N63" s="1302" t="s">
        <v>1506</v>
      </c>
      <c r="O63" s="1302" t="s">
        <v>1515</v>
      </c>
      <c r="P63" s="1302" t="s">
        <v>1516</v>
      </c>
    </row>
    <row r="64" spans="2:17" x14ac:dyDescent="0.25">
      <c r="B64" s="263" t="s">
        <v>42</v>
      </c>
      <c r="C64" s="207" t="s">
        <v>92</v>
      </c>
      <c r="D64" s="1316">
        <v>0.10961624441111734</v>
      </c>
      <c r="E64" s="1316">
        <v>0.68569297051937117</v>
      </c>
      <c r="F64" s="1316">
        <v>2.0834732493261711E-2</v>
      </c>
      <c r="G64" s="1316">
        <v>4.3505717116924483E-2</v>
      </c>
      <c r="H64" s="1316">
        <v>3.0803974405977756E-2</v>
      </c>
      <c r="I64" s="1316">
        <v>0</v>
      </c>
      <c r="J64" s="1317">
        <v>0.10954636105334778</v>
      </c>
      <c r="L64" s="263" t="s">
        <v>42</v>
      </c>
      <c r="M64" s="207" t="s">
        <v>92</v>
      </c>
      <c r="N64" s="1316">
        <v>3.1008480540563051E-2</v>
      </c>
      <c r="O64" s="1316">
        <v>0.92273427238591688</v>
      </c>
      <c r="P64" s="1317">
        <v>4.6257226665988652E-2</v>
      </c>
      <c r="Q64" s="340"/>
    </row>
    <row r="65" spans="2:17" x14ac:dyDescent="0.25">
      <c r="B65" s="265"/>
      <c r="C65" s="1" t="s">
        <v>1510</v>
      </c>
      <c r="D65" s="1105">
        <v>0.1386577207565248</v>
      </c>
      <c r="E65" s="1105">
        <v>6.7355436815384501E-2</v>
      </c>
      <c r="F65" s="1105">
        <v>0</v>
      </c>
      <c r="G65" s="1105">
        <v>1.3942395572576441E-2</v>
      </c>
      <c r="H65" s="1105">
        <v>4.4268892441461941E-2</v>
      </c>
      <c r="I65" s="1105">
        <v>0</v>
      </c>
      <c r="J65" s="1318">
        <v>0.15007460669061334</v>
      </c>
      <c r="L65" s="265"/>
      <c r="M65" s="1" t="s">
        <v>1510</v>
      </c>
      <c r="N65" s="1105">
        <v>3.3408382481922357E-2</v>
      </c>
      <c r="O65" s="1105">
        <v>0.33191803816999887</v>
      </c>
      <c r="P65" s="1318">
        <v>5.3665571955881654E-2</v>
      </c>
      <c r="Q65" s="340"/>
    </row>
    <row r="66" spans="2:17" x14ac:dyDescent="0.25">
      <c r="B66" s="265" t="s">
        <v>46</v>
      </c>
      <c r="C66" s="1" t="s">
        <v>92</v>
      </c>
      <c r="D66" s="1105">
        <v>9.1063838726359841E-2</v>
      </c>
      <c r="E66" s="1105">
        <v>0.54783969682392308</v>
      </c>
      <c r="F66" s="1105">
        <v>1.5938602961582088E-2</v>
      </c>
      <c r="G66" s="1105">
        <v>0.33297101717400823</v>
      </c>
      <c r="H66" s="1105">
        <v>0</v>
      </c>
      <c r="I66" s="1105">
        <v>0</v>
      </c>
      <c r="J66" s="1318">
        <v>1.2186844314126598E-2</v>
      </c>
      <c r="L66" s="265" t="s">
        <v>46</v>
      </c>
      <c r="M66" s="1" t="s">
        <v>92</v>
      </c>
      <c r="N66" s="1105">
        <v>5.5644552491827216E-3</v>
      </c>
      <c r="O66" s="1105">
        <v>0.29539783869216402</v>
      </c>
      <c r="P66" s="1318">
        <v>0.69903771476758958</v>
      </c>
      <c r="Q66" s="340"/>
    </row>
    <row r="67" spans="2:17" x14ac:dyDescent="0.25">
      <c r="B67" s="265"/>
      <c r="C67" s="1" t="s">
        <v>1510</v>
      </c>
      <c r="D67" s="1105">
        <v>0.11632230933937704</v>
      </c>
      <c r="E67" s="1105">
        <v>2.4760855462881534E-3</v>
      </c>
      <c r="F67" s="1105">
        <v>0</v>
      </c>
      <c r="G67" s="1105">
        <v>0.10670813252398217</v>
      </c>
      <c r="H67" s="1105">
        <v>0</v>
      </c>
      <c r="I67" s="1105">
        <v>0</v>
      </c>
      <c r="J67" s="1318">
        <v>7.9003741108798209E-3</v>
      </c>
      <c r="L67" s="265"/>
      <c r="M67" s="1" t="s">
        <v>1510</v>
      </c>
      <c r="N67" s="1105">
        <v>6.1075255934444905E-3</v>
      </c>
      <c r="O67" s="1105">
        <v>0.11726603514802324</v>
      </c>
      <c r="P67" s="1318">
        <v>0.81250640342342484</v>
      </c>
      <c r="Q67" s="340"/>
    </row>
    <row r="68" spans="2:17" x14ac:dyDescent="0.25">
      <c r="B68" s="265" t="s">
        <v>48</v>
      </c>
      <c r="C68" s="1" t="s">
        <v>92</v>
      </c>
      <c r="D68" s="1105">
        <v>3.1963404888243549E-2</v>
      </c>
      <c r="E68" s="1105">
        <v>0.57716112724127999</v>
      </c>
      <c r="F68" s="1105">
        <v>6.9986417657439568E-3</v>
      </c>
      <c r="G68" s="1105">
        <v>0.3736326239156364</v>
      </c>
      <c r="H68" s="1105">
        <v>0</v>
      </c>
      <c r="I68" s="1105">
        <v>0</v>
      </c>
      <c r="J68" s="1318">
        <v>1.024420218909612E-2</v>
      </c>
      <c r="L68" s="265" t="s">
        <v>48</v>
      </c>
      <c r="M68" s="1" t="s">
        <v>92</v>
      </c>
      <c r="N68" s="1105">
        <v>2.434247509283045E-3</v>
      </c>
      <c r="O68" s="1105">
        <v>0.22150094807844201</v>
      </c>
      <c r="P68" s="1318">
        <v>0.77606480797596111</v>
      </c>
      <c r="Q68" s="340"/>
    </row>
    <row r="69" spans="2:17" x14ac:dyDescent="0.25">
      <c r="B69" s="265"/>
      <c r="C69" s="1" t="s">
        <v>1510</v>
      </c>
      <c r="D69" s="1105">
        <v>3.989059622578621E-2</v>
      </c>
      <c r="E69" s="1105">
        <v>1.043128178393335E-3</v>
      </c>
      <c r="F69" s="1105">
        <v>0</v>
      </c>
      <c r="G69" s="1105">
        <v>0.11973907233661353</v>
      </c>
      <c r="H69" s="1105">
        <v>0</v>
      </c>
      <c r="I69" s="1105">
        <v>0</v>
      </c>
      <c r="J69" s="1318">
        <v>4.2540372927551123E-3</v>
      </c>
      <c r="L69" s="265"/>
      <c r="M69" s="1" t="s">
        <v>1510</v>
      </c>
      <c r="N69" s="1105">
        <v>2.6738668103516061E-3</v>
      </c>
      <c r="O69" s="1105">
        <v>8.5861896994049614E-2</v>
      </c>
      <c r="P69" s="1318">
        <v>0.90203663597924222</v>
      </c>
      <c r="Q69" s="340"/>
    </row>
    <row r="70" spans="2:17" x14ac:dyDescent="0.25">
      <c r="B70" s="265" t="s">
        <v>50</v>
      </c>
      <c r="C70" s="1" t="s">
        <v>92</v>
      </c>
      <c r="D70" s="1105">
        <v>2.9822271021790209E-5</v>
      </c>
      <c r="E70" s="1105">
        <v>0.59347125121452915</v>
      </c>
      <c r="F70" s="1105">
        <v>3.0151301334504062E-4</v>
      </c>
      <c r="G70" s="1105">
        <v>0.12561600896820899</v>
      </c>
      <c r="H70" s="1105">
        <v>0</v>
      </c>
      <c r="I70" s="1105">
        <v>0</v>
      </c>
      <c r="J70" s="1318">
        <v>0.28058140453289498</v>
      </c>
      <c r="L70" s="265" t="s">
        <v>50</v>
      </c>
      <c r="M70" s="1" t="s">
        <v>92</v>
      </c>
      <c r="N70" s="1105">
        <v>3.5111033350681547E-5</v>
      </c>
      <c r="O70" s="1105">
        <v>0.99996490046594055</v>
      </c>
      <c r="P70" s="1318">
        <v>0</v>
      </c>
    </row>
    <row r="71" spans="2:17" x14ac:dyDescent="0.25">
      <c r="B71" s="265"/>
      <c r="C71" s="1" t="s">
        <v>1510</v>
      </c>
      <c r="D71" s="1105">
        <v>3.7904540837382876E-5</v>
      </c>
      <c r="E71" s="1105">
        <v>2.9991634483299062E-6</v>
      </c>
      <c r="F71" s="1105">
        <v>0</v>
      </c>
      <c r="G71" s="1105">
        <v>4.0256505307942572E-2</v>
      </c>
      <c r="H71" s="1105">
        <v>0</v>
      </c>
      <c r="I71" s="1105">
        <v>0</v>
      </c>
      <c r="J71" s="1318">
        <v>0.39614819950070823</v>
      </c>
      <c r="L71" s="265"/>
      <c r="M71" s="1" t="s">
        <v>1510</v>
      </c>
      <c r="N71" s="1105">
        <v>3.7707806804180081E-5</v>
      </c>
      <c r="O71" s="1105">
        <v>0.60190410001446615</v>
      </c>
      <c r="P71" s="1318">
        <v>0</v>
      </c>
    </row>
    <row r="72" spans="2:17" x14ac:dyDescent="0.25">
      <c r="B72" s="265" t="s">
        <v>51</v>
      </c>
      <c r="C72" s="1" t="s">
        <v>92</v>
      </c>
      <c r="D72" s="1105">
        <v>7.3683630637615813E-3</v>
      </c>
      <c r="E72" s="1105">
        <v>1.50760730210993E-3</v>
      </c>
      <c r="F72" s="1105">
        <v>0.98198001622236009</v>
      </c>
      <c r="G72" s="1105">
        <v>2.0542394803383057E-20</v>
      </c>
      <c r="H72" s="1105">
        <v>0</v>
      </c>
      <c r="I72" s="1105">
        <v>0</v>
      </c>
      <c r="J72" s="1318">
        <v>9.144013411768348E-3</v>
      </c>
      <c r="L72" s="265" t="s">
        <v>51</v>
      </c>
      <c r="M72" s="1" t="s">
        <v>92</v>
      </c>
      <c r="N72" s="1105">
        <v>8.916033845787652E-3</v>
      </c>
      <c r="O72" s="1105">
        <v>0.99108394525958998</v>
      </c>
      <c r="P72" s="1318">
        <v>0</v>
      </c>
    </row>
    <row r="73" spans="2:17" x14ac:dyDescent="0.25">
      <c r="B73" s="265"/>
      <c r="C73" s="1" t="s">
        <v>1510</v>
      </c>
      <c r="D73" s="1105">
        <v>4.7482495548973828E-3</v>
      </c>
      <c r="E73" s="1105">
        <v>1.0155267539556285E-4</v>
      </c>
      <c r="F73" s="1105">
        <v>0</v>
      </c>
      <c r="G73" s="1105">
        <v>1.5989886120284176E-20</v>
      </c>
      <c r="H73" s="1105">
        <v>0</v>
      </c>
      <c r="I73" s="1105">
        <v>0</v>
      </c>
      <c r="J73" s="1318">
        <v>6.8393773376056914E-4</v>
      </c>
      <c r="L73" s="265"/>
      <c r="M73" s="1" t="s">
        <v>1510</v>
      </c>
      <c r="N73" s="1105">
        <v>1.0146910131798739E-2</v>
      </c>
      <c r="O73" s="1105">
        <v>2.8912265637213573E-2</v>
      </c>
      <c r="P73" s="1318">
        <v>0</v>
      </c>
    </row>
    <row r="74" spans="2:17" x14ac:dyDescent="0.25">
      <c r="B74" s="265" t="s">
        <v>55</v>
      </c>
      <c r="C74" s="1" t="s">
        <v>92</v>
      </c>
      <c r="D74" s="1105">
        <v>7.6445136105761531E-4</v>
      </c>
      <c r="E74" s="1105">
        <v>0.147885243631106</v>
      </c>
      <c r="F74" s="1105">
        <v>7.3898845881575116E-3</v>
      </c>
      <c r="G74" s="1105">
        <v>0.83368264627650102</v>
      </c>
      <c r="H74" s="1105">
        <v>0</v>
      </c>
      <c r="I74" s="1105">
        <v>0</v>
      </c>
      <c r="J74" s="1318">
        <v>1.0277774143177841E-2</v>
      </c>
      <c r="L74" s="265" t="s">
        <v>55</v>
      </c>
      <c r="M74" s="1" t="s">
        <v>92</v>
      </c>
      <c r="N74" s="1105">
        <v>3.0206921846535385E-4</v>
      </c>
      <c r="O74" s="1105">
        <v>0.99969792554097747</v>
      </c>
      <c r="P74" s="1318">
        <v>0</v>
      </c>
    </row>
    <row r="75" spans="2:17" x14ac:dyDescent="0.25">
      <c r="B75" s="265"/>
      <c r="C75" s="1" t="s">
        <v>1510</v>
      </c>
      <c r="D75" s="1105">
        <v>-2.0359098552462059E-4</v>
      </c>
      <c r="E75" s="1105">
        <v>-2.7062734459128428E-2</v>
      </c>
      <c r="F75" s="1105">
        <v>0</v>
      </c>
      <c r="G75" s="1105">
        <v>-3.2327777450584898E-2</v>
      </c>
      <c r="H75" s="1105">
        <v>0</v>
      </c>
      <c r="I75" s="1105">
        <v>0</v>
      </c>
      <c r="J75" s="1318">
        <v>-2.1734846139428218E-4</v>
      </c>
      <c r="L75" s="265"/>
      <c r="M75" s="1" t="s">
        <v>1510</v>
      </c>
      <c r="N75" s="1105">
        <v>3.3542573921609354E-4</v>
      </c>
      <c r="O75" s="1105">
        <v>4.6091816387835258E-2</v>
      </c>
      <c r="P75" s="1318">
        <v>0</v>
      </c>
    </row>
    <row r="76" spans="2:17" x14ac:dyDescent="0.25">
      <c r="B76" s="265" t="s">
        <v>56</v>
      </c>
      <c r="C76" s="1" t="s">
        <v>92</v>
      </c>
      <c r="D76" s="1105">
        <v>1.3269735895172741E-6</v>
      </c>
      <c r="E76" s="1105">
        <v>1.0839791291513918E-5</v>
      </c>
      <c r="F76" s="1105">
        <v>6.3609393578339447E-4</v>
      </c>
      <c r="G76" s="1105">
        <v>0</v>
      </c>
      <c r="H76" s="1105">
        <v>0.99063558609439017</v>
      </c>
      <c r="I76" s="1105">
        <v>0</v>
      </c>
      <c r="J76" s="1318">
        <v>8.716153204945367E-3</v>
      </c>
      <c r="L76" s="265" t="s">
        <v>56</v>
      </c>
      <c r="M76" s="1" t="s">
        <v>92</v>
      </c>
      <c r="N76" s="1105">
        <v>0</v>
      </c>
      <c r="O76" s="1105">
        <v>0.99999998516825372</v>
      </c>
      <c r="P76" s="1318">
        <v>0</v>
      </c>
    </row>
    <row r="77" spans="2:17" x14ac:dyDescent="0.25">
      <c r="B77" s="268"/>
      <c r="C77" s="210" t="s">
        <v>1510</v>
      </c>
      <c r="D77" s="1319">
        <v>1.8305859566872219E-6</v>
      </c>
      <c r="E77" s="1319">
        <v>0</v>
      </c>
      <c r="F77" s="1319">
        <v>0</v>
      </c>
      <c r="G77" s="1319">
        <v>0</v>
      </c>
      <c r="H77" s="1319">
        <v>1.4236585170114509</v>
      </c>
      <c r="I77" s="1319">
        <v>0</v>
      </c>
      <c r="J77" s="1320">
        <v>1.7989750516958003E-2</v>
      </c>
      <c r="L77" s="268"/>
      <c r="M77" s="210" t="s">
        <v>1510</v>
      </c>
      <c r="N77" s="1319">
        <v>0</v>
      </c>
      <c r="O77" s="1319">
        <v>1.4225064636806604</v>
      </c>
      <c r="P77" s="1320">
        <v>0</v>
      </c>
    </row>
    <row r="79" spans="2:17" x14ac:dyDescent="0.25">
      <c r="Q79" s="340"/>
    </row>
    <row r="80" spans="2:17" x14ac:dyDescent="0.25">
      <c r="Q80" s="340"/>
    </row>
    <row r="81" spans="17:17" x14ac:dyDescent="0.25">
      <c r="Q81" s="340"/>
    </row>
    <row r="82" spans="17:17" x14ac:dyDescent="0.25">
      <c r="Q82" s="340"/>
    </row>
    <row r="83" spans="17:17" x14ac:dyDescent="0.25">
      <c r="Q83" s="340"/>
    </row>
    <row r="84" spans="17:17" x14ac:dyDescent="0.25">
      <c r="Q84" s="340"/>
    </row>
    <row r="85" spans="17:17" x14ac:dyDescent="0.25">
      <c r="Q85" s="340"/>
    </row>
    <row r="86" spans="17:17" x14ac:dyDescent="0.25">
      <c r="Q86" s="340"/>
    </row>
    <row r="87" spans="17:17" x14ac:dyDescent="0.25">
      <c r="Q87" s="340"/>
    </row>
    <row r="88" spans="17:17" x14ac:dyDescent="0.25">
      <c r="Q88" s="340"/>
    </row>
    <row r="89" spans="17:17" x14ac:dyDescent="0.25">
      <c r="Q89" s="340"/>
    </row>
    <row r="90" spans="17:17" x14ac:dyDescent="0.25">
      <c r="Q90" s="340"/>
    </row>
    <row r="91" spans="17:17" x14ac:dyDescent="0.25">
      <c r="Q91" s="340"/>
    </row>
    <row r="92" spans="17:17" x14ac:dyDescent="0.25">
      <c r="Q92" s="340"/>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4346B-AE33-485E-AFDF-D54589112612}">
  <dimension ref="B2:I69"/>
  <sheetViews>
    <sheetView zoomScaleNormal="100" workbookViewId="0"/>
  </sheetViews>
  <sheetFormatPr baseColWidth="10" defaultColWidth="10.7109375" defaultRowHeight="15" x14ac:dyDescent="0.25"/>
  <cols>
    <col min="1" max="1" width="3.7109375" style="1" customWidth="1"/>
    <col min="2" max="2" width="10.7109375" style="1"/>
    <col min="3" max="3" width="10.7109375" style="1" customWidth="1"/>
    <col min="4" max="4" width="13" style="1" bestFit="1" customWidth="1"/>
    <col min="5" max="5" width="20.28515625" style="1" customWidth="1"/>
    <col min="6" max="6" width="18.7109375" style="1" customWidth="1"/>
    <col min="7" max="7" width="17.28515625" style="1" customWidth="1"/>
    <col min="8" max="8" width="17.7109375" style="1" customWidth="1"/>
    <col min="9" max="9" width="11.7109375" style="1" customWidth="1"/>
    <col min="10" max="16384" width="10.7109375" style="1"/>
  </cols>
  <sheetData>
    <row r="2" spans="2:9" x14ac:dyDescent="0.25">
      <c r="B2" s="217" t="s">
        <v>2416</v>
      </c>
    </row>
    <row r="3" spans="2:9" x14ac:dyDescent="0.25">
      <c r="C3" s="217"/>
    </row>
    <row r="4" spans="2:9" ht="30" x14ac:dyDescent="0.25">
      <c r="B4" s="1104" t="s">
        <v>710</v>
      </c>
      <c r="C4" s="1102" t="s">
        <v>1511</v>
      </c>
      <c r="D4" s="1103" t="s">
        <v>36</v>
      </c>
      <c r="E4" s="1102" t="s">
        <v>1594</v>
      </c>
      <c r="F4" s="1102" t="s">
        <v>1595</v>
      </c>
      <c r="G4" s="1102" t="s">
        <v>1596</v>
      </c>
      <c r="H4" s="1102" t="s">
        <v>1597</v>
      </c>
      <c r="I4" s="1104" t="s">
        <v>37</v>
      </c>
    </row>
    <row r="5" spans="2:9" x14ac:dyDescent="0.25">
      <c r="B5" s="263" t="s">
        <v>91</v>
      </c>
      <c r="C5" s="263" t="s">
        <v>92</v>
      </c>
      <c r="D5" s="917">
        <v>0.21084</v>
      </c>
      <c r="E5" s="917">
        <v>0.39676087202515975</v>
      </c>
      <c r="F5" s="918">
        <v>0.13728281838562006</v>
      </c>
      <c r="G5" s="917">
        <v>1.3116480025852641</v>
      </c>
      <c r="H5" s="919">
        <v>1.1387440236100073</v>
      </c>
      <c r="I5" s="919">
        <v>0.60760087202515978</v>
      </c>
    </row>
    <row r="6" spans="2:9" x14ac:dyDescent="0.25">
      <c r="B6" s="265"/>
      <c r="C6" s="265" t="s">
        <v>1510</v>
      </c>
      <c r="D6" s="920">
        <v>0.43951000000000001</v>
      </c>
      <c r="E6" s="920">
        <v>0.24889806958063124</v>
      </c>
      <c r="F6" s="921">
        <v>9.0199806906473487E-2</v>
      </c>
      <c r="G6" s="920">
        <v>1.5010483854481662</v>
      </c>
      <c r="H6" s="922">
        <v>0.84310552893253732</v>
      </c>
      <c r="I6" s="922">
        <v>0.68840806958063128</v>
      </c>
    </row>
    <row r="7" spans="2:9" x14ac:dyDescent="0.25">
      <c r="B7" s="265"/>
      <c r="C7" s="265"/>
      <c r="D7" s="920" t="s">
        <v>125</v>
      </c>
      <c r="E7" s="920" t="s">
        <v>125</v>
      </c>
      <c r="F7" s="921" t="s">
        <v>125</v>
      </c>
      <c r="G7" s="920"/>
      <c r="H7" s="922"/>
      <c r="I7" s="922" t="s">
        <v>125</v>
      </c>
    </row>
    <row r="8" spans="2:9" x14ac:dyDescent="0.25">
      <c r="B8" s="265" t="s">
        <v>97</v>
      </c>
      <c r="C8" s="265" t="s">
        <v>92</v>
      </c>
      <c r="D8" s="920">
        <v>0.19115317137940699</v>
      </c>
      <c r="E8" s="920">
        <v>0.35913200943725937</v>
      </c>
      <c r="F8" s="921">
        <v>0.10870130750636092</v>
      </c>
      <c r="G8" s="920">
        <v>1.0467940279027854</v>
      </c>
      <c r="H8" s="922">
        <v>0.91849381188906887</v>
      </c>
      <c r="I8" s="922">
        <v>0.55028518081666633</v>
      </c>
    </row>
    <row r="9" spans="2:9" x14ac:dyDescent="0.25">
      <c r="B9" s="265"/>
      <c r="C9" s="265" t="s">
        <v>122</v>
      </c>
      <c r="D9" s="920">
        <v>0.46051038847432407</v>
      </c>
      <c r="E9" s="920">
        <v>0.16356566044054471</v>
      </c>
      <c r="F9" s="921">
        <v>5.9023405287094072E-2</v>
      </c>
      <c r="G9" s="920">
        <v>0.97334734554016544</v>
      </c>
      <c r="H9" s="922">
        <v>0.56518814725903699</v>
      </c>
      <c r="I9" s="922">
        <v>0.62407604891486879</v>
      </c>
    </row>
    <row r="10" spans="2:9" x14ac:dyDescent="0.25">
      <c r="B10" s="265"/>
      <c r="C10" s="265"/>
      <c r="D10" s="920" t="s">
        <v>125</v>
      </c>
      <c r="E10" s="920" t="s">
        <v>125</v>
      </c>
      <c r="F10" s="921" t="s">
        <v>125</v>
      </c>
      <c r="G10" s="920"/>
      <c r="H10" s="922"/>
      <c r="I10" s="922" t="s">
        <v>125</v>
      </c>
    </row>
    <row r="11" spans="2:9" x14ac:dyDescent="0.25">
      <c r="B11" s="265" t="s">
        <v>98</v>
      </c>
      <c r="C11" s="265" t="s">
        <v>92</v>
      </c>
      <c r="D11" s="920">
        <v>0.18564647389881783</v>
      </c>
      <c r="E11" s="920">
        <v>0.5149973952357515</v>
      </c>
      <c r="F11" s="921">
        <v>0.16904406226432281</v>
      </c>
      <c r="G11" s="920">
        <v>1.7966283050049368</v>
      </c>
      <c r="H11" s="922">
        <v>1.3594207751915457</v>
      </c>
      <c r="I11" s="922">
        <v>0.70064386913456933</v>
      </c>
    </row>
    <row r="12" spans="2:9" x14ac:dyDescent="0.25">
      <c r="B12" s="265"/>
      <c r="C12" s="265" t="s">
        <v>122</v>
      </c>
      <c r="D12" s="920">
        <v>0.37645999999999996</v>
      </c>
      <c r="E12" s="920">
        <v>0.22974325678129701</v>
      </c>
      <c r="F12" s="921">
        <v>8.030192929676018E-2</v>
      </c>
      <c r="G12" s="920">
        <v>1.4380023911213309</v>
      </c>
      <c r="H12" s="922">
        <v>0.71078609206589272</v>
      </c>
      <c r="I12" s="922">
        <v>0.60620325678129694</v>
      </c>
    </row>
    <row r="13" spans="2:9" x14ac:dyDescent="0.25">
      <c r="B13" s="265"/>
      <c r="C13" s="265"/>
      <c r="D13" s="920" t="s">
        <v>125</v>
      </c>
      <c r="E13" s="920" t="s">
        <v>125</v>
      </c>
      <c r="F13" s="921" t="s">
        <v>125</v>
      </c>
      <c r="G13" s="920"/>
      <c r="H13" s="922"/>
      <c r="I13" s="922" t="s">
        <v>125</v>
      </c>
    </row>
    <row r="14" spans="2:9" x14ac:dyDescent="0.25">
      <c r="B14" s="265" t="s">
        <v>99</v>
      </c>
      <c r="C14" s="265" t="s">
        <v>92</v>
      </c>
      <c r="D14" s="920">
        <v>0.17004</v>
      </c>
      <c r="E14" s="920">
        <v>0.46064481199772461</v>
      </c>
      <c r="F14" s="921">
        <v>0.14458269389455386</v>
      </c>
      <c r="G14" s="920">
        <v>1.5118361957286259</v>
      </c>
      <c r="H14" s="922">
        <v>1.1640103451007089</v>
      </c>
      <c r="I14" s="922">
        <v>0.63068481199772464</v>
      </c>
    </row>
    <row r="15" spans="2:9" x14ac:dyDescent="0.25">
      <c r="B15" s="265"/>
      <c r="C15" s="265" t="s">
        <v>122</v>
      </c>
      <c r="D15" s="920">
        <v>0.37839999999999996</v>
      </c>
      <c r="E15" s="920">
        <v>0.26622696184844918</v>
      </c>
      <c r="F15" s="921">
        <v>9.4083697555197271E-2</v>
      </c>
      <c r="G15" s="920">
        <v>1.6478980670061132</v>
      </c>
      <c r="H15" s="922">
        <v>0.84583851744356253</v>
      </c>
      <c r="I15" s="922">
        <v>0.64462696184844914</v>
      </c>
    </row>
    <row r="16" spans="2:9" x14ac:dyDescent="0.25">
      <c r="B16" s="265"/>
      <c r="C16" s="265"/>
      <c r="D16" s="920" t="s">
        <v>125</v>
      </c>
      <c r="E16" s="920" t="s">
        <v>125</v>
      </c>
      <c r="F16" s="921" t="s">
        <v>125</v>
      </c>
      <c r="G16" s="920"/>
      <c r="H16" s="922"/>
      <c r="I16" s="922" t="s">
        <v>125</v>
      </c>
    </row>
    <row r="17" spans="2:9" x14ac:dyDescent="0.25">
      <c r="B17" s="265" t="s">
        <v>100</v>
      </c>
      <c r="C17" s="265" t="s">
        <v>92</v>
      </c>
      <c r="D17" s="920">
        <v>0.19027961896782761</v>
      </c>
      <c r="E17" s="920">
        <v>0.40924855004723826</v>
      </c>
      <c r="F17" s="921">
        <v>0.12897436918989275</v>
      </c>
      <c r="G17" s="920">
        <v>1.3398724118726828</v>
      </c>
      <c r="H17" s="922">
        <v>1.0428297629052543</v>
      </c>
      <c r="I17" s="922">
        <v>0.59952816901506589</v>
      </c>
    </row>
    <row r="18" spans="2:9" x14ac:dyDescent="0.25">
      <c r="B18" s="265"/>
      <c r="C18" s="265" t="s">
        <v>122</v>
      </c>
      <c r="D18" s="920">
        <v>0.4056506487491307</v>
      </c>
      <c r="E18" s="920">
        <v>0.23991159381814259</v>
      </c>
      <c r="F18" s="921">
        <v>8.5020265913928764E-2</v>
      </c>
      <c r="G18" s="920">
        <v>1.4569350561956558</v>
      </c>
      <c r="H18" s="922">
        <v>0.76643500829516631</v>
      </c>
      <c r="I18" s="922">
        <v>0.64556224256727335</v>
      </c>
    </row>
    <row r="19" spans="2:9" x14ac:dyDescent="0.25">
      <c r="B19" s="265"/>
      <c r="C19" s="265"/>
      <c r="D19" s="920" t="s">
        <v>125</v>
      </c>
      <c r="E19" s="920" t="s">
        <v>125</v>
      </c>
      <c r="F19" s="921" t="s">
        <v>125</v>
      </c>
      <c r="G19" s="920"/>
      <c r="H19" s="922"/>
      <c r="I19" s="922" t="s">
        <v>125</v>
      </c>
    </row>
    <row r="20" spans="2:9" x14ac:dyDescent="0.25">
      <c r="B20" s="265" t="s">
        <v>101</v>
      </c>
      <c r="C20" s="265" t="s">
        <v>92</v>
      </c>
      <c r="D20" s="920">
        <v>0.18195499999999998</v>
      </c>
      <c r="E20" s="920">
        <v>0.33626011341935536</v>
      </c>
      <c r="F20" s="921">
        <v>0.11607156479574569</v>
      </c>
      <c r="G20" s="920">
        <v>1.0847162476947017</v>
      </c>
      <c r="H20" s="922">
        <v>0.97442070732000985</v>
      </c>
      <c r="I20" s="922">
        <v>0.51821511341935533</v>
      </c>
    </row>
    <row r="21" spans="2:9" x14ac:dyDescent="0.25">
      <c r="B21" s="265"/>
      <c r="C21" s="265" t="s">
        <v>122</v>
      </c>
      <c r="D21" s="920">
        <v>0.41675000000000001</v>
      </c>
      <c r="E21" s="920">
        <v>0.21658780970658945</v>
      </c>
      <c r="F21" s="921">
        <v>7.9602473890045461E-2</v>
      </c>
      <c r="G21" s="920">
        <v>1.271838192954611</v>
      </c>
      <c r="H21" s="922">
        <v>0.75877754231883732</v>
      </c>
      <c r="I21" s="922">
        <v>0.63333780970658948</v>
      </c>
    </row>
    <row r="22" spans="2:9" x14ac:dyDescent="0.25">
      <c r="B22" s="265"/>
      <c r="C22" s="265"/>
      <c r="D22" s="920" t="s">
        <v>125</v>
      </c>
      <c r="E22" s="920" t="s">
        <v>125</v>
      </c>
      <c r="F22" s="921" t="s">
        <v>125</v>
      </c>
      <c r="G22" s="920"/>
      <c r="H22" s="922"/>
      <c r="I22" s="922" t="s">
        <v>125</v>
      </c>
    </row>
    <row r="23" spans="2:9" x14ac:dyDescent="0.25">
      <c r="B23" s="265" t="s">
        <v>102</v>
      </c>
      <c r="C23" s="265" t="s">
        <v>92</v>
      </c>
      <c r="D23" s="920">
        <v>1.4249898934019873</v>
      </c>
      <c r="E23" s="920">
        <v>0.73821134872201433</v>
      </c>
      <c r="F23" s="921">
        <v>0.20293359228634184</v>
      </c>
      <c r="G23" s="920">
        <v>2.4525934256169228</v>
      </c>
      <c r="H23" s="922">
        <v>1.6115668380574879</v>
      </c>
      <c r="I23" s="922">
        <v>2.1632012421240017</v>
      </c>
    </row>
    <row r="24" spans="2:9" x14ac:dyDescent="0.25">
      <c r="B24" s="265"/>
      <c r="C24" s="265" t="s">
        <v>122</v>
      </c>
      <c r="D24" s="920">
        <v>3.49</v>
      </c>
      <c r="E24" s="920">
        <v>0.35360465439950844</v>
      </c>
      <c r="F24" s="921">
        <v>0.12391143827956437</v>
      </c>
      <c r="G24" s="920">
        <v>2.2042027988396438</v>
      </c>
      <c r="H24" s="922">
        <v>1.1106516776594584</v>
      </c>
      <c r="I24" s="922">
        <v>3.8436046543995088</v>
      </c>
    </row>
    <row r="25" spans="2:9" x14ac:dyDescent="0.25">
      <c r="B25" s="265"/>
      <c r="C25" s="265"/>
      <c r="D25" s="920" t="s">
        <v>125</v>
      </c>
      <c r="E25" s="920" t="s">
        <v>125</v>
      </c>
      <c r="F25" s="921" t="s">
        <v>125</v>
      </c>
      <c r="G25" s="920"/>
      <c r="H25" s="922"/>
      <c r="I25" s="922" t="s">
        <v>125</v>
      </c>
    </row>
    <row r="26" spans="2:9" x14ac:dyDescent="0.25">
      <c r="B26" s="265" t="s">
        <v>103</v>
      </c>
      <c r="C26" s="265" t="s">
        <v>92</v>
      </c>
      <c r="D26" s="920">
        <v>1.7680061710892687</v>
      </c>
      <c r="E26" s="920">
        <v>0.34240270739993439</v>
      </c>
      <c r="F26" s="921">
        <v>9.6217275820492262E-2</v>
      </c>
      <c r="G26" s="920">
        <v>0.97057807796847928</v>
      </c>
      <c r="H26" s="922">
        <v>0.71430421294500634</v>
      </c>
      <c r="I26" s="922">
        <v>2.1104088784892032</v>
      </c>
    </row>
    <row r="27" spans="2:9" x14ac:dyDescent="0.25">
      <c r="B27" s="265"/>
      <c r="C27" s="265" t="s">
        <v>122</v>
      </c>
      <c r="D27" s="920">
        <v>4.28</v>
      </c>
      <c r="E27" s="920">
        <v>0.11459156522064635</v>
      </c>
      <c r="F27" s="921">
        <v>3.8264503104801673E-2</v>
      </c>
      <c r="G27" s="920">
        <v>0.75140826869076416</v>
      </c>
      <c r="H27" s="922">
        <v>0.31210336700675262</v>
      </c>
      <c r="I27" s="922">
        <v>4.3945915652206464</v>
      </c>
    </row>
    <row r="28" spans="2:9" x14ac:dyDescent="0.25">
      <c r="B28" s="265"/>
      <c r="C28" s="265"/>
      <c r="D28" s="920" t="s">
        <v>125</v>
      </c>
      <c r="E28" s="920" t="s">
        <v>125</v>
      </c>
      <c r="F28" s="921" t="s">
        <v>125</v>
      </c>
      <c r="G28" s="920"/>
      <c r="H28" s="922"/>
      <c r="I28" s="922" t="s">
        <v>125</v>
      </c>
    </row>
    <row r="29" spans="2:9" x14ac:dyDescent="0.25">
      <c r="B29" s="265" t="s">
        <v>104</v>
      </c>
      <c r="C29" s="265" t="s">
        <v>92</v>
      </c>
      <c r="D29" s="920">
        <v>1.5016681086919641</v>
      </c>
      <c r="E29" s="920">
        <v>1.6298959907701365</v>
      </c>
      <c r="F29" s="921">
        <v>0.42898238652483944</v>
      </c>
      <c r="G29" s="920">
        <v>5.5354395691874494</v>
      </c>
      <c r="H29" s="922">
        <v>3.2569035027135453</v>
      </c>
      <c r="I29" s="922">
        <v>3.1315640994621008</v>
      </c>
    </row>
    <row r="30" spans="2:9" x14ac:dyDescent="0.25">
      <c r="B30" s="265"/>
      <c r="C30" s="265" t="s">
        <v>122</v>
      </c>
      <c r="D30" s="920">
        <v>3.677795697780804</v>
      </c>
      <c r="E30" s="920">
        <v>0.82074887418407982</v>
      </c>
      <c r="F30" s="921">
        <v>0.27784296216548943</v>
      </c>
      <c r="G30" s="920">
        <v>5.0872380017108068</v>
      </c>
      <c r="H30" s="922">
        <v>2.2877674914152739</v>
      </c>
      <c r="I30" s="922">
        <v>4.4985445719648833</v>
      </c>
    </row>
    <row r="31" spans="2:9" x14ac:dyDescent="0.25">
      <c r="B31" s="265"/>
      <c r="C31" s="265"/>
      <c r="D31" s="920" t="s">
        <v>125</v>
      </c>
      <c r="E31" s="920" t="s">
        <v>125</v>
      </c>
      <c r="F31" s="921" t="s">
        <v>125</v>
      </c>
      <c r="G31" s="920"/>
      <c r="H31" s="922"/>
      <c r="I31" s="922" t="s">
        <v>125</v>
      </c>
    </row>
    <row r="32" spans="2:9" x14ac:dyDescent="0.25">
      <c r="B32" s="265" t="s">
        <v>105</v>
      </c>
      <c r="C32" s="265" t="s">
        <v>92</v>
      </c>
      <c r="D32" s="920">
        <v>1.2070093457943925</v>
      </c>
      <c r="E32" s="920">
        <v>0.42335940633544905</v>
      </c>
      <c r="F32" s="921">
        <v>0.12148522881207768</v>
      </c>
      <c r="G32" s="920">
        <v>1.567642941218933</v>
      </c>
      <c r="H32" s="922">
        <v>0.91501537820781631</v>
      </c>
      <c r="I32" s="922">
        <v>1.6303687521298416</v>
      </c>
    </row>
    <row r="33" spans="2:9" x14ac:dyDescent="0.25">
      <c r="B33" s="265"/>
      <c r="C33" s="265" t="s">
        <v>122</v>
      </c>
      <c r="D33" s="920">
        <v>3.15</v>
      </c>
      <c r="E33" s="920">
        <v>0.22963059567532315</v>
      </c>
      <c r="F33" s="921">
        <v>7.6544380780055377E-2</v>
      </c>
      <c r="G33" s="920">
        <v>1.4752863343511047</v>
      </c>
      <c r="H33" s="922">
        <v>0.61711841273476198</v>
      </c>
      <c r="I33" s="922">
        <v>3.379630595675323</v>
      </c>
    </row>
    <row r="34" spans="2:9" x14ac:dyDescent="0.25">
      <c r="B34" s="265"/>
      <c r="C34" s="265"/>
      <c r="D34" s="920" t="s">
        <v>125</v>
      </c>
      <c r="E34" s="920" t="s">
        <v>125</v>
      </c>
      <c r="F34" s="921" t="s">
        <v>125</v>
      </c>
      <c r="G34" s="920"/>
      <c r="H34" s="922"/>
      <c r="I34" s="922" t="s">
        <v>125</v>
      </c>
    </row>
    <row r="35" spans="2:9" x14ac:dyDescent="0.25">
      <c r="B35" s="265" t="s">
        <v>106</v>
      </c>
      <c r="C35" s="265" t="s">
        <v>92</v>
      </c>
      <c r="D35" s="920">
        <v>0.32371000000000005</v>
      </c>
      <c r="E35" s="920">
        <v>0.98039626973270333</v>
      </c>
      <c r="F35" s="921">
        <v>0.32119403859421752</v>
      </c>
      <c r="G35" s="920">
        <v>3.9352378499727756</v>
      </c>
      <c r="H35" s="922">
        <v>2.5074623440752157</v>
      </c>
      <c r="I35" s="922">
        <v>1.3041062697327033</v>
      </c>
    </row>
    <row r="36" spans="2:9" x14ac:dyDescent="0.25">
      <c r="B36" s="265"/>
      <c r="C36" s="265" t="s">
        <v>122</v>
      </c>
      <c r="D36" s="920">
        <v>0.70413000000000003</v>
      </c>
      <c r="E36" s="920">
        <v>0.62611125565031545</v>
      </c>
      <c r="F36" s="921">
        <v>0.21220517830352426</v>
      </c>
      <c r="G36" s="920">
        <v>3.852277243130386</v>
      </c>
      <c r="H36" s="922">
        <v>1.7438213181765587</v>
      </c>
      <c r="I36" s="922">
        <v>1.3302412556503156</v>
      </c>
    </row>
    <row r="37" spans="2:9" x14ac:dyDescent="0.25">
      <c r="B37" s="265"/>
      <c r="C37" s="265"/>
      <c r="D37" s="920" t="s">
        <v>125</v>
      </c>
      <c r="E37" s="920" t="s">
        <v>125</v>
      </c>
      <c r="F37" s="921" t="s">
        <v>125</v>
      </c>
      <c r="G37" s="920"/>
      <c r="H37" s="922"/>
      <c r="I37" s="922" t="s">
        <v>125</v>
      </c>
    </row>
    <row r="38" spans="2:9" x14ac:dyDescent="0.25">
      <c r="B38" s="265" t="s">
        <v>107</v>
      </c>
      <c r="C38" s="265" t="s">
        <v>92</v>
      </c>
      <c r="D38" s="920">
        <v>0.33</v>
      </c>
      <c r="E38" s="920">
        <v>1.882244555664244</v>
      </c>
      <c r="F38" s="921">
        <v>0.52832171054424992</v>
      </c>
      <c r="G38" s="920">
        <v>6.2833045545688551</v>
      </c>
      <c r="H38" s="922">
        <v>4.0511944611651538</v>
      </c>
      <c r="I38" s="922">
        <v>2.2122445556642441</v>
      </c>
    </row>
    <row r="39" spans="2:9" x14ac:dyDescent="0.25">
      <c r="B39" s="265"/>
      <c r="C39" s="265" t="s">
        <v>122</v>
      </c>
      <c r="D39" s="920">
        <v>3</v>
      </c>
      <c r="E39" s="920">
        <v>1.1133260184734246</v>
      </c>
      <c r="F39" s="921">
        <v>0.37954501064624213</v>
      </c>
      <c r="G39" s="920">
        <v>7.1450645746377441</v>
      </c>
      <c r="H39" s="922">
        <v>3.2030223434574343</v>
      </c>
      <c r="I39" s="922">
        <v>4.1133260184734244</v>
      </c>
    </row>
    <row r="40" spans="2:9" x14ac:dyDescent="0.25">
      <c r="B40" s="265"/>
      <c r="C40" s="265"/>
      <c r="D40" s="920" t="s">
        <v>125</v>
      </c>
      <c r="E40" s="920" t="s">
        <v>125</v>
      </c>
      <c r="F40" s="921" t="s">
        <v>125</v>
      </c>
      <c r="G40" s="920"/>
      <c r="H40" s="922"/>
      <c r="I40" s="922" t="s">
        <v>125</v>
      </c>
    </row>
    <row r="41" spans="2:9" x14ac:dyDescent="0.25">
      <c r="B41" s="265" t="s">
        <v>108</v>
      </c>
      <c r="C41" s="265" t="s">
        <v>92</v>
      </c>
      <c r="D41" s="920">
        <v>0.7434325684016676</v>
      </c>
      <c r="E41" s="920">
        <v>2.4252242515895586</v>
      </c>
      <c r="F41" s="921">
        <v>0.72765246142117301</v>
      </c>
      <c r="G41" s="920">
        <v>7.6451130226967843</v>
      </c>
      <c r="H41" s="922">
        <v>5.8310687206188447</v>
      </c>
      <c r="I41" s="922">
        <v>3.1686568199912264</v>
      </c>
    </row>
    <row r="42" spans="2:9" x14ac:dyDescent="0.25">
      <c r="B42" s="265"/>
      <c r="C42" s="265" t="s">
        <v>122</v>
      </c>
      <c r="D42" s="920">
        <v>3.5</v>
      </c>
      <c r="E42" s="920">
        <v>1.2678609299139327</v>
      </c>
      <c r="F42" s="921">
        <v>0.43113906349971909</v>
      </c>
      <c r="G42" s="920">
        <v>8.152119041683628</v>
      </c>
      <c r="H42" s="922">
        <v>3.6017186528101814</v>
      </c>
      <c r="I42" s="922">
        <v>4.7678609299139332</v>
      </c>
    </row>
    <row r="43" spans="2:9" x14ac:dyDescent="0.25">
      <c r="B43" s="265"/>
      <c r="C43" s="265"/>
      <c r="D43" s="920" t="s">
        <v>125</v>
      </c>
      <c r="E43" s="920" t="s">
        <v>125</v>
      </c>
      <c r="F43" s="921" t="s">
        <v>125</v>
      </c>
      <c r="G43" s="920"/>
      <c r="H43" s="922"/>
      <c r="I43" s="922" t="s">
        <v>125</v>
      </c>
    </row>
    <row r="44" spans="2:9" x14ac:dyDescent="0.25">
      <c r="B44" s="265" t="s">
        <v>109</v>
      </c>
      <c r="C44" s="265" t="s">
        <v>92</v>
      </c>
      <c r="D44" s="920">
        <v>0.35311999999999999</v>
      </c>
      <c r="E44" s="920">
        <v>0.86995918701082708</v>
      </c>
      <c r="F44" s="921">
        <v>0.27940724640258136</v>
      </c>
      <c r="G44" s="920">
        <v>2.5726386373044861</v>
      </c>
      <c r="H44" s="922">
        <v>2.2602965249483078</v>
      </c>
      <c r="I44" s="922">
        <v>1.2230791870108271</v>
      </c>
    </row>
    <row r="45" spans="2:9" x14ac:dyDescent="0.25">
      <c r="B45" s="265"/>
      <c r="C45" s="265" t="s">
        <v>122</v>
      </c>
      <c r="D45" s="920">
        <v>0.91249000000000002</v>
      </c>
      <c r="E45" s="920">
        <v>0.43296503327047747</v>
      </c>
      <c r="F45" s="921">
        <v>0.15490096582555352</v>
      </c>
      <c r="G45" s="920">
        <v>2.6064531292407871</v>
      </c>
      <c r="H45" s="922">
        <v>1.4147262901464603</v>
      </c>
      <c r="I45" s="922">
        <v>1.3454550332704776</v>
      </c>
    </row>
    <row r="46" spans="2:9" x14ac:dyDescent="0.25">
      <c r="B46" s="265"/>
      <c r="C46" s="265"/>
      <c r="D46" s="920" t="s">
        <v>125</v>
      </c>
      <c r="E46" s="920" t="s">
        <v>125</v>
      </c>
      <c r="F46" s="921" t="s">
        <v>125</v>
      </c>
      <c r="G46" s="920"/>
      <c r="H46" s="922"/>
      <c r="I46" s="922" t="s">
        <v>125</v>
      </c>
    </row>
    <row r="47" spans="2:9" x14ac:dyDescent="0.25">
      <c r="B47" s="265" t="s">
        <v>110</v>
      </c>
      <c r="C47" s="265" t="s">
        <v>92</v>
      </c>
      <c r="D47" s="920">
        <v>0.29699999999999999</v>
      </c>
      <c r="E47" s="920">
        <v>1.3566495896358768</v>
      </c>
      <c r="F47" s="921">
        <v>0.38500295047013938</v>
      </c>
      <c r="G47" s="920">
        <v>4.479313817504047</v>
      </c>
      <c r="H47" s="922">
        <v>3.0471284785562607</v>
      </c>
      <c r="I47" s="922">
        <v>1.6536495896358767</v>
      </c>
    </row>
    <row r="48" spans="2:9" x14ac:dyDescent="0.25">
      <c r="B48" s="265"/>
      <c r="C48" s="265" t="s">
        <v>122</v>
      </c>
      <c r="D48" s="920">
        <v>0.72726000000000002</v>
      </c>
      <c r="E48" s="920">
        <v>0.79953842932222341</v>
      </c>
      <c r="F48" s="921">
        <v>0.27955011415831521</v>
      </c>
      <c r="G48" s="920">
        <v>5.0376570656552691</v>
      </c>
      <c r="H48" s="922">
        <v>2.4920571567717529</v>
      </c>
      <c r="I48" s="922">
        <v>1.5267984293222234</v>
      </c>
    </row>
    <row r="49" spans="2:9" x14ac:dyDescent="0.25">
      <c r="B49" s="265"/>
      <c r="C49" s="265"/>
      <c r="D49" s="920" t="s">
        <v>125</v>
      </c>
      <c r="E49" s="920" t="s">
        <v>125</v>
      </c>
      <c r="F49" s="921" t="s">
        <v>125</v>
      </c>
      <c r="G49" s="920"/>
      <c r="H49" s="922"/>
      <c r="I49" s="922" t="s">
        <v>125</v>
      </c>
    </row>
    <row r="50" spans="2:9" x14ac:dyDescent="0.25">
      <c r="B50" s="265" t="s">
        <v>111</v>
      </c>
      <c r="C50" s="265" t="s">
        <v>92</v>
      </c>
      <c r="D50" s="920">
        <v>0.23780000000000001</v>
      </c>
      <c r="E50" s="920">
        <v>0.25501105017031817</v>
      </c>
      <c r="F50" s="921">
        <v>5.1214713007933045E-2</v>
      </c>
      <c r="G50" s="920">
        <v>0.44842486824946459</v>
      </c>
      <c r="H50" s="922">
        <v>0.37512702201201509</v>
      </c>
      <c r="I50" s="922">
        <v>0.49281105017031818</v>
      </c>
    </row>
    <row r="51" spans="2:9" x14ac:dyDescent="0.25">
      <c r="B51" s="265"/>
      <c r="C51" s="265" t="s">
        <v>122</v>
      </c>
      <c r="D51" s="920">
        <v>1.79</v>
      </c>
      <c r="E51" s="920">
        <v>4.3997530516402372E-2</v>
      </c>
      <c r="F51" s="921">
        <v>1.6261160302065047E-2</v>
      </c>
      <c r="G51" s="920">
        <v>0.24213500620995976</v>
      </c>
      <c r="H51" s="922">
        <v>0.15223805542403826</v>
      </c>
      <c r="I51" s="922">
        <v>1.8339975305164025</v>
      </c>
    </row>
    <row r="52" spans="2:9" x14ac:dyDescent="0.25">
      <c r="B52" s="265"/>
      <c r="C52" s="265"/>
      <c r="D52" s="920" t="s">
        <v>125</v>
      </c>
      <c r="E52" s="920" t="s">
        <v>125</v>
      </c>
      <c r="F52" s="921" t="s">
        <v>125</v>
      </c>
      <c r="G52" s="920"/>
      <c r="H52" s="922"/>
      <c r="I52" s="922" t="s">
        <v>125</v>
      </c>
    </row>
    <row r="53" spans="2:9" x14ac:dyDescent="0.25">
      <c r="B53" s="265" t="s">
        <v>112</v>
      </c>
      <c r="C53" s="265" t="s">
        <v>92</v>
      </c>
      <c r="D53" s="920">
        <v>0.28999999999999998</v>
      </c>
      <c r="E53" s="920">
        <v>4.7759989148965565E-2</v>
      </c>
      <c r="F53" s="921">
        <v>1.6312847462162945E-2</v>
      </c>
      <c r="G53" s="920">
        <v>0.14551545923694187</v>
      </c>
      <c r="H53" s="922">
        <v>0.1464691519399188</v>
      </c>
      <c r="I53" s="922">
        <v>0.33775998914896554</v>
      </c>
    </row>
    <row r="54" spans="2:9" x14ac:dyDescent="0.25">
      <c r="B54" s="265"/>
      <c r="C54" s="265" t="s">
        <v>122</v>
      </c>
      <c r="D54" s="920">
        <v>1.33</v>
      </c>
      <c r="E54" s="920">
        <v>2.6008871129131934E-2</v>
      </c>
      <c r="F54" s="921">
        <v>1.0187055046492645E-2</v>
      </c>
      <c r="G54" s="920">
        <v>0.13727523414806592</v>
      </c>
      <c r="H54" s="922">
        <v>0.1048379461454262</v>
      </c>
      <c r="I54" s="922">
        <v>1.356008871129132</v>
      </c>
    </row>
    <row r="55" spans="2:9" x14ac:dyDescent="0.25">
      <c r="B55" s="265"/>
      <c r="C55" s="265"/>
      <c r="D55" s="920" t="s">
        <v>125</v>
      </c>
      <c r="E55" s="920" t="s">
        <v>125</v>
      </c>
      <c r="F55" s="921" t="s">
        <v>125</v>
      </c>
      <c r="G55" s="920"/>
      <c r="H55" s="922"/>
      <c r="I55" s="922" t="s">
        <v>125</v>
      </c>
    </row>
    <row r="56" spans="2:9" x14ac:dyDescent="0.25">
      <c r="B56" s="265" t="s">
        <v>113</v>
      </c>
      <c r="C56" s="265" t="s">
        <v>92</v>
      </c>
      <c r="D56" s="920">
        <v>1.55</v>
      </c>
      <c r="E56" s="920">
        <v>1.8479385636050434</v>
      </c>
      <c r="F56" s="921">
        <v>0.65743924195883885</v>
      </c>
      <c r="G56" s="920">
        <v>4.7620100132398537</v>
      </c>
      <c r="H56" s="922">
        <v>3.5166697397903137</v>
      </c>
      <c r="I56" s="922">
        <v>3.3979385636050434</v>
      </c>
    </row>
    <row r="57" spans="2:9" x14ac:dyDescent="0.25">
      <c r="B57" s="265"/>
      <c r="C57" s="265" t="s">
        <v>122</v>
      </c>
      <c r="D57" s="920">
        <v>3.53</v>
      </c>
      <c r="E57" s="920">
        <v>1.4053779474884509</v>
      </c>
      <c r="F57" s="921">
        <v>0.5243933618612866</v>
      </c>
      <c r="G57" s="920">
        <v>5.158823611855242</v>
      </c>
      <c r="H57" s="922">
        <v>2.9287782336331478</v>
      </c>
      <c r="I57" s="922">
        <v>4.9353779474884512</v>
      </c>
    </row>
    <row r="58" spans="2:9" x14ac:dyDescent="0.25">
      <c r="B58" s="265"/>
      <c r="C58" s="265"/>
      <c r="D58" s="920" t="s">
        <v>125</v>
      </c>
      <c r="E58" s="920" t="s">
        <v>125</v>
      </c>
      <c r="F58" s="921" t="s">
        <v>125</v>
      </c>
      <c r="G58" s="920"/>
      <c r="H58" s="922"/>
      <c r="I58" s="922" t="s">
        <v>125</v>
      </c>
    </row>
    <row r="59" spans="2:9" x14ac:dyDescent="0.25">
      <c r="B59" s="265" t="s">
        <v>114</v>
      </c>
      <c r="C59" s="265" t="s">
        <v>92</v>
      </c>
      <c r="D59" s="920">
        <v>0.84</v>
      </c>
      <c r="E59" s="920">
        <v>1.8110668011527451</v>
      </c>
      <c r="F59" s="921">
        <v>0.63922264225903125</v>
      </c>
      <c r="G59" s="920">
        <v>4.4400285977223337</v>
      </c>
      <c r="H59" s="922">
        <v>2.9941425872971488</v>
      </c>
      <c r="I59" s="922">
        <v>2.6510668011527452</v>
      </c>
    </row>
    <row r="60" spans="2:9" x14ac:dyDescent="0.25">
      <c r="B60" s="265"/>
      <c r="C60" s="265" t="s">
        <v>122</v>
      </c>
      <c r="D60" s="920">
        <v>1.2788316801138424</v>
      </c>
      <c r="E60" s="920">
        <v>1.5365656111979311</v>
      </c>
      <c r="F60" s="921">
        <v>0.60032041503066358</v>
      </c>
      <c r="G60" s="920">
        <v>5.5993548387440635</v>
      </c>
      <c r="H60" s="922">
        <v>3.09065612150627</v>
      </c>
      <c r="I60" s="922">
        <v>2.8153972913117737</v>
      </c>
    </row>
    <row r="61" spans="2:9" x14ac:dyDescent="0.25">
      <c r="B61" s="265"/>
      <c r="C61" s="265"/>
      <c r="D61" s="920" t="s">
        <v>125</v>
      </c>
      <c r="E61" s="920" t="s">
        <v>125</v>
      </c>
      <c r="F61" s="921" t="s">
        <v>125</v>
      </c>
      <c r="G61" s="920"/>
      <c r="H61" s="922"/>
      <c r="I61" s="922" t="s">
        <v>125</v>
      </c>
    </row>
    <row r="62" spans="2:9" x14ac:dyDescent="0.25">
      <c r="B62" s="265" t="s">
        <v>2366</v>
      </c>
      <c r="C62" s="265" t="s">
        <v>92</v>
      </c>
      <c r="D62" s="920">
        <v>3.63</v>
      </c>
      <c r="E62" s="920">
        <v>9.6040421415442019</v>
      </c>
      <c r="F62" s="921">
        <v>3.998494581936983</v>
      </c>
      <c r="G62" s="920">
        <v>16.632778684186157</v>
      </c>
      <c r="H62" s="922">
        <v>23.043542327602516</v>
      </c>
      <c r="I62" s="922">
        <v>13.234042141544201</v>
      </c>
    </row>
    <row r="63" spans="2:9" x14ac:dyDescent="0.25">
      <c r="B63" s="265"/>
      <c r="C63" s="265" t="s">
        <v>122</v>
      </c>
      <c r="D63" s="920">
        <v>4.5</v>
      </c>
      <c r="E63" s="920">
        <v>9.708976808842344</v>
      </c>
      <c r="F63" s="921">
        <v>4.1073129022075534</v>
      </c>
      <c r="G63" s="920">
        <v>18.031097082301589</v>
      </c>
      <c r="H63" s="922">
        <v>22.528063050171291</v>
      </c>
      <c r="I63" s="922">
        <v>14.208976808842344</v>
      </c>
    </row>
    <row r="64" spans="2:9" x14ac:dyDescent="0.25">
      <c r="B64" s="265"/>
      <c r="C64" s="265"/>
      <c r="D64" s="920" t="s">
        <v>125</v>
      </c>
      <c r="E64" s="920" t="s">
        <v>125</v>
      </c>
      <c r="F64" s="921" t="s">
        <v>125</v>
      </c>
      <c r="G64" s="920"/>
      <c r="H64" s="922"/>
      <c r="I64" s="922" t="s">
        <v>125</v>
      </c>
    </row>
    <row r="65" spans="2:9" x14ac:dyDescent="0.25">
      <c r="B65" s="265" t="s">
        <v>115</v>
      </c>
      <c r="C65" s="265" t="s">
        <v>92</v>
      </c>
      <c r="D65" s="920">
        <v>0.35299999999999998</v>
      </c>
      <c r="E65" s="920">
        <v>0.74831386654046972</v>
      </c>
      <c r="F65" s="921">
        <v>0.29643285828045524</v>
      </c>
      <c r="G65" s="920">
        <v>1.3880996444812359</v>
      </c>
      <c r="H65" s="922">
        <v>1.500340949508512</v>
      </c>
      <c r="I65" s="922">
        <v>1.1013138665404698</v>
      </c>
    </row>
    <row r="66" spans="2:9" x14ac:dyDescent="0.25">
      <c r="B66" s="265"/>
      <c r="C66" s="265" t="s">
        <v>1510</v>
      </c>
      <c r="D66" s="920">
        <v>0.4819</v>
      </c>
      <c r="E66" s="920">
        <v>0.71660557782690948</v>
      </c>
      <c r="F66" s="921">
        <v>0.28813759788684795</v>
      </c>
      <c r="G66" s="920">
        <v>1.503184187940944</v>
      </c>
      <c r="H66" s="922">
        <v>1.4271025101958434</v>
      </c>
      <c r="I66" s="922">
        <v>1.1985055778269094</v>
      </c>
    </row>
    <row r="67" spans="2:9" x14ac:dyDescent="0.25">
      <c r="B67" s="265"/>
      <c r="C67" s="265"/>
      <c r="D67" s="920" t="s">
        <v>125</v>
      </c>
      <c r="E67" s="920" t="s">
        <v>125</v>
      </c>
      <c r="F67" s="921" t="s">
        <v>125</v>
      </c>
      <c r="G67" s="920"/>
      <c r="H67" s="922"/>
      <c r="I67" s="922" t="s">
        <v>125</v>
      </c>
    </row>
    <row r="68" spans="2:9" x14ac:dyDescent="0.25">
      <c r="B68" s="265" t="s">
        <v>116</v>
      </c>
      <c r="C68" s="265" t="s">
        <v>92</v>
      </c>
      <c r="D68" s="920">
        <v>2.118052738336714</v>
      </c>
      <c r="E68" s="920">
        <v>1.8374400716538148</v>
      </c>
      <c r="F68" s="921">
        <v>0.66659483826066512</v>
      </c>
      <c r="G68" s="920">
        <v>4.3675712862424998</v>
      </c>
      <c r="H68" s="922">
        <v>3.1556034309307379</v>
      </c>
      <c r="I68" s="922">
        <v>3.9554928099905289</v>
      </c>
    </row>
    <row r="69" spans="2:9" x14ac:dyDescent="0.25">
      <c r="B69" s="268"/>
      <c r="C69" s="268" t="s">
        <v>1510</v>
      </c>
      <c r="D69" s="923">
        <v>4.3927738336713995</v>
      </c>
      <c r="E69" s="923">
        <v>1.4886756375805104</v>
      </c>
      <c r="F69" s="924">
        <v>0.59183033060264867</v>
      </c>
      <c r="G69" s="923">
        <v>5.006486880400125</v>
      </c>
      <c r="H69" s="925">
        <v>2.8477796755989266</v>
      </c>
      <c r="I69" s="925">
        <v>5.8814494712519103</v>
      </c>
    </row>
  </sheetData>
  <phoneticPr fontId="62" type="noConversion"/>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F5CBA-0CA1-40AE-8AC8-7720F9A7C277}">
  <dimension ref="B2:L69"/>
  <sheetViews>
    <sheetView zoomScaleNormal="100" workbookViewId="0"/>
  </sheetViews>
  <sheetFormatPr baseColWidth="10" defaultColWidth="10.7109375" defaultRowHeight="15" x14ac:dyDescent="0.25"/>
  <cols>
    <col min="1" max="1" width="3.7109375" style="1" customWidth="1"/>
    <col min="2" max="2" width="10.7109375" style="1"/>
    <col min="3" max="3" width="10.7109375" style="1" customWidth="1"/>
    <col min="4" max="4" width="13" style="1" bestFit="1" customWidth="1"/>
    <col min="5" max="5" width="20.28515625" style="1" customWidth="1"/>
    <col min="6" max="6" width="18.7109375" style="1" customWidth="1"/>
    <col min="7" max="7" width="17.7109375" style="1" customWidth="1"/>
    <col min="8" max="16384" width="10.7109375" style="1"/>
  </cols>
  <sheetData>
    <row r="2" spans="2:12" x14ac:dyDescent="0.25">
      <c r="B2" s="217" t="s">
        <v>2414</v>
      </c>
      <c r="I2" s="217" t="s">
        <v>2413</v>
      </c>
    </row>
    <row r="3" spans="2:12" x14ac:dyDescent="0.25">
      <c r="C3" s="217"/>
    </row>
    <row r="4" spans="2:12" ht="30" x14ac:dyDescent="0.25">
      <c r="B4" s="1104" t="s">
        <v>710</v>
      </c>
      <c r="C4" s="1102" t="s">
        <v>1511</v>
      </c>
      <c r="D4" s="1103" t="s">
        <v>36</v>
      </c>
      <c r="E4" s="1102" t="s">
        <v>2362</v>
      </c>
      <c r="F4" s="1102" t="s">
        <v>2363</v>
      </c>
      <c r="G4" s="1102" t="s">
        <v>2364</v>
      </c>
      <c r="I4" s="934" t="s">
        <v>1593</v>
      </c>
      <c r="J4" s="934" t="s">
        <v>710</v>
      </c>
      <c r="K4" s="934" t="s">
        <v>2365</v>
      </c>
      <c r="L4" s="1213" t="s">
        <v>664</v>
      </c>
    </row>
    <row r="5" spans="2:12" x14ac:dyDescent="0.25">
      <c r="B5" s="263" t="s">
        <v>91</v>
      </c>
      <c r="C5" s="263" t="s">
        <v>92</v>
      </c>
      <c r="D5" s="917">
        <v>0.21084</v>
      </c>
      <c r="E5" s="917">
        <v>0.39676087202515975</v>
      </c>
      <c r="F5" s="918"/>
      <c r="G5" s="919"/>
      <c r="I5" s="263"/>
      <c r="J5" s="207" t="s">
        <v>2366</v>
      </c>
      <c r="K5" s="917">
        <v>9.6040421415442019</v>
      </c>
      <c r="L5" s="919">
        <v>9.708976808842344</v>
      </c>
    </row>
    <row r="6" spans="2:12" x14ac:dyDescent="0.25">
      <c r="B6" s="265"/>
      <c r="C6" s="265" t="s">
        <v>1510</v>
      </c>
      <c r="D6" s="920">
        <v>0.43951000000000001</v>
      </c>
      <c r="E6" s="920">
        <v>0.24889806958063124</v>
      </c>
      <c r="F6" s="921">
        <v>0.73951964132901105</v>
      </c>
      <c r="G6" s="922">
        <v>0.7768779265070751</v>
      </c>
      <c r="I6" s="265"/>
      <c r="J6" s="1" t="s">
        <v>2367</v>
      </c>
      <c r="K6" s="920">
        <v>1.9593742104222194</v>
      </c>
      <c r="L6" s="922">
        <v>1.7115342793546295</v>
      </c>
    </row>
    <row r="7" spans="2:12" x14ac:dyDescent="0.25">
      <c r="B7" s="265"/>
      <c r="C7" s="265"/>
      <c r="D7" s="920" t="s">
        <v>125</v>
      </c>
      <c r="E7" s="920" t="s">
        <v>125</v>
      </c>
      <c r="F7" s="921"/>
      <c r="G7" s="922"/>
      <c r="I7" s="268"/>
      <c r="J7" s="210" t="s">
        <v>2368</v>
      </c>
      <c r="K7" s="923">
        <v>6.5390053810724904</v>
      </c>
      <c r="L7" s="925">
        <v>6.6489290910751917</v>
      </c>
    </row>
    <row r="8" spans="2:12" x14ac:dyDescent="0.25">
      <c r="B8" s="265" t="s">
        <v>97</v>
      </c>
      <c r="C8" s="265" t="s">
        <v>92</v>
      </c>
      <c r="D8" s="920">
        <v>0.19115317137940699</v>
      </c>
      <c r="E8" s="920">
        <v>0.35913200943725937</v>
      </c>
      <c r="F8" s="921"/>
      <c r="G8" s="922"/>
      <c r="I8" s="263" t="s">
        <v>2369</v>
      </c>
      <c r="J8" s="207" t="s">
        <v>2366</v>
      </c>
      <c r="K8" s="1214">
        <v>1</v>
      </c>
      <c r="L8" s="1215">
        <v>1.0485537814176218</v>
      </c>
    </row>
    <row r="9" spans="2:12" x14ac:dyDescent="0.25">
      <c r="B9" s="265"/>
      <c r="C9" s="265" t="s">
        <v>122</v>
      </c>
      <c r="D9" s="920">
        <v>0.46051038847432407</v>
      </c>
      <c r="E9" s="920">
        <v>0.16356566044054471</v>
      </c>
      <c r="F9" s="921">
        <v>0.65620909674453609</v>
      </c>
      <c r="G9" s="922">
        <v>0.67988451897077085</v>
      </c>
      <c r="I9" s="265"/>
      <c r="J9" s="1" t="s">
        <v>2367</v>
      </c>
      <c r="K9" s="1216">
        <v>1</v>
      </c>
      <c r="L9" s="1217">
        <v>0.90089348649375622</v>
      </c>
    </row>
    <row r="10" spans="2:12" x14ac:dyDescent="0.25">
      <c r="B10" s="265"/>
      <c r="C10" s="265"/>
      <c r="D10" s="920" t="s">
        <v>125</v>
      </c>
      <c r="E10" s="920" t="s">
        <v>125</v>
      </c>
      <c r="F10" s="921"/>
      <c r="G10" s="922"/>
      <c r="I10" s="265"/>
      <c r="J10" s="1" t="s">
        <v>2368</v>
      </c>
      <c r="K10" s="1216">
        <v>1</v>
      </c>
      <c r="L10" s="1217">
        <v>1.0527180520256878</v>
      </c>
    </row>
    <row r="11" spans="2:12" x14ac:dyDescent="0.25">
      <c r="B11" s="265" t="s">
        <v>98</v>
      </c>
      <c r="C11" s="265" t="s">
        <v>92</v>
      </c>
      <c r="D11" s="920">
        <v>0.18564647389881783</v>
      </c>
      <c r="E11" s="920">
        <v>0.5149973952357515</v>
      </c>
      <c r="F11" s="921"/>
      <c r="G11" s="922"/>
      <c r="I11" s="265" t="s">
        <v>40</v>
      </c>
      <c r="J11" s="1" t="s">
        <v>2366</v>
      </c>
      <c r="K11" s="1216">
        <v>1</v>
      </c>
      <c r="L11" s="1217">
        <v>1.2021787098457419</v>
      </c>
    </row>
    <row r="12" spans="2:12" x14ac:dyDescent="0.25">
      <c r="B12" s="265"/>
      <c r="C12" s="265" t="s">
        <v>122</v>
      </c>
      <c r="D12" s="920">
        <v>0.37645999999999996</v>
      </c>
      <c r="E12" s="920">
        <v>0.22974325678129701</v>
      </c>
      <c r="F12" s="921">
        <v>0.65585810131647637</v>
      </c>
      <c r="G12" s="922">
        <v>0.69215453495414836</v>
      </c>
      <c r="I12" s="265"/>
      <c r="J12" s="1" t="s">
        <v>2367</v>
      </c>
      <c r="K12" s="1216">
        <v>1</v>
      </c>
      <c r="L12" s="1217">
        <v>0.99550321688098231</v>
      </c>
    </row>
    <row r="13" spans="2:12" x14ac:dyDescent="0.25">
      <c r="B13" s="265"/>
      <c r="C13" s="265"/>
      <c r="D13" s="920" t="s">
        <v>125</v>
      </c>
      <c r="E13" s="920" t="s">
        <v>125</v>
      </c>
      <c r="F13" s="921"/>
      <c r="G13" s="922"/>
      <c r="I13" s="265"/>
      <c r="J13" s="1" t="s">
        <v>2368</v>
      </c>
      <c r="K13" s="1216">
        <v>1</v>
      </c>
      <c r="L13" s="1217">
        <v>1.1732600648964315</v>
      </c>
    </row>
    <row r="14" spans="2:12" x14ac:dyDescent="0.25">
      <c r="B14" s="265" t="s">
        <v>99</v>
      </c>
      <c r="C14" s="265" t="s">
        <v>92</v>
      </c>
      <c r="D14" s="920">
        <v>0.17004</v>
      </c>
      <c r="E14" s="920">
        <v>0.46064481199772461</v>
      </c>
      <c r="F14" s="921"/>
      <c r="G14" s="922"/>
      <c r="I14" s="265" t="s">
        <v>2370</v>
      </c>
      <c r="J14" s="1" t="s">
        <v>2366</v>
      </c>
      <c r="K14" s="1216">
        <v>1</v>
      </c>
      <c r="L14" s="1217">
        <v>0.80947194086029695</v>
      </c>
    </row>
    <row r="15" spans="2:12" x14ac:dyDescent="0.25">
      <c r="B15" s="265"/>
      <c r="C15" s="265" t="s">
        <v>122</v>
      </c>
      <c r="D15" s="920">
        <v>0.37839999999999996</v>
      </c>
      <c r="E15" s="920">
        <v>0.26622696184844918</v>
      </c>
      <c r="F15" s="921">
        <v>0.70125749215319166</v>
      </c>
      <c r="G15" s="922">
        <v>0.7426937869789606</v>
      </c>
      <c r="I15" s="265"/>
      <c r="J15" s="1" t="s">
        <v>2367</v>
      </c>
      <c r="K15" s="1216">
        <v>1</v>
      </c>
      <c r="L15" s="1217">
        <v>0.7543029024738388</v>
      </c>
    </row>
    <row r="16" spans="2:12" x14ac:dyDescent="0.25">
      <c r="B16" s="265"/>
      <c r="C16" s="265"/>
      <c r="D16" s="920" t="s">
        <v>125</v>
      </c>
      <c r="E16" s="920" t="s">
        <v>125</v>
      </c>
      <c r="F16" s="921"/>
      <c r="G16" s="922"/>
      <c r="I16" s="268"/>
      <c r="J16" s="210" t="s">
        <v>2368</v>
      </c>
      <c r="K16" s="1218">
        <v>1</v>
      </c>
      <c r="L16" s="1219">
        <v>0.83393736452853851</v>
      </c>
    </row>
    <row r="17" spans="2:7" x14ac:dyDescent="0.25">
      <c r="B17" s="265" t="s">
        <v>100</v>
      </c>
      <c r="C17" s="265" t="s">
        <v>92</v>
      </c>
      <c r="D17" s="920">
        <v>0.19027961896782761</v>
      </c>
      <c r="E17" s="920">
        <v>0.40924855004723826</v>
      </c>
      <c r="F17" s="921"/>
      <c r="G17" s="922"/>
    </row>
    <row r="18" spans="2:7" x14ac:dyDescent="0.25">
      <c r="B18" s="265"/>
      <c r="C18" s="265" t="s">
        <v>122</v>
      </c>
      <c r="D18" s="920">
        <v>0.4056506487491307</v>
      </c>
      <c r="E18" s="920">
        <v>0.23991159381814259</v>
      </c>
      <c r="F18" s="921">
        <v>0.69505781520693377</v>
      </c>
      <c r="G18" s="922">
        <v>0.73137481190680242</v>
      </c>
    </row>
    <row r="19" spans="2:7" x14ac:dyDescent="0.25">
      <c r="B19" s="265"/>
      <c r="C19" s="265"/>
      <c r="D19" s="920" t="s">
        <v>125</v>
      </c>
      <c r="E19" s="920" t="s">
        <v>125</v>
      </c>
      <c r="F19" s="921"/>
      <c r="G19" s="922"/>
    </row>
    <row r="20" spans="2:7" x14ac:dyDescent="0.25">
      <c r="B20" s="265" t="s">
        <v>101</v>
      </c>
      <c r="C20" s="265" t="s">
        <v>92</v>
      </c>
      <c r="D20" s="920">
        <v>0.18195499999999998</v>
      </c>
      <c r="E20" s="920">
        <v>0.33626011341935536</v>
      </c>
      <c r="F20" s="921"/>
      <c r="G20" s="922"/>
    </row>
    <row r="21" spans="2:7" x14ac:dyDescent="0.25">
      <c r="B21" s="265"/>
      <c r="C21" s="265" t="s">
        <v>122</v>
      </c>
      <c r="D21" s="920">
        <v>0.41675000000000001</v>
      </c>
      <c r="E21" s="920">
        <v>0.21658780970658945</v>
      </c>
      <c r="F21" s="921">
        <v>0.67610922789373529</v>
      </c>
      <c r="G21" s="922">
        <v>0.70747888169706641</v>
      </c>
    </row>
    <row r="22" spans="2:7" x14ac:dyDescent="0.25">
      <c r="B22" s="265"/>
      <c r="C22" s="265"/>
      <c r="D22" s="920" t="s">
        <v>125</v>
      </c>
      <c r="E22" s="920" t="s">
        <v>125</v>
      </c>
      <c r="F22" s="921"/>
      <c r="G22" s="922"/>
    </row>
    <row r="23" spans="2:7" x14ac:dyDescent="0.25">
      <c r="B23" s="265" t="s">
        <v>102</v>
      </c>
      <c r="C23" s="265" t="s">
        <v>92</v>
      </c>
      <c r="D23" s="920">
        <v>1.4249898934019873</v>
      </c>
      <c r="E23" s="920">
        <v>0.73821134872201433</v>
      </c>
      <c r="F23" s="921"/>
      <c r="G23" s="922"/>
    </row>
    <row r="24" spans="2:7" x14ac:dyDescent="0.25">
      <c r="B24" s="265"/>
      <c r="C24" s="265" t="s">
        <v>122</v>
      </c>
      <c r="D24" s="920">
        <v>3.49</v>
      </c>
      <c r="E24" s="920">
        <v>0.35360465439950844</v>
      </c>
      <c r="F24" s="921">
        <v>3.9197088688626907</v>
      </c>
      <c r="G24" s="922">
        <v>3.9752798192105407</v>
      </c>
    </row>
    <row r="25" spans="2:7" x14ac:dyDescent="0.25">
      <c r="B25" s="265"/>
      <c r="C25" s="265"/>
      <c r="D25" s="920" t="s">
        <v>125</v>
      </c>
      <c r="E25" s="920" t="s">
        <v>125</v>
      </c>
      <c r="F25" s="921"/>
      <c r="G25" s="922"/>
    </row>
    <row r="26" spans="2:7" x14ac:dyDescent="0.25">
      <c r="B26" s="265" t="s">
        <v>103</v>
      </c>
      <c r="C26" s="265" t="s">
        <v>92</v>
      </c>
      <c r="D26" s="920">
        <v>1.7680061710892687</v>
      </c>
      <c r="E26" s="920">
        <v>0.34240270739993439</v>
      </c>
      <c r="F26" s="921"/>
      <c r="G26" s="922"/>
    </row>
    <row r="27" spans="2:7" x14ac:dyDescent="0.25">
      <c r="B27" s="265"/>
      <c r="C27" s="265" t="s">
        <v>122</v>
      </c>
      <c r="D27" s="920">
        <v>4.28</v>
      </c>
      <c r="E27" s="920">
        <v>0.11459156522064635</v>
      </c>
      <c r="F27" s="921">
        <v>4.4211631453372098</v>
      </c>
      <c r="G27" s="922">
        <v>4.4404521153683749</v>
      </c>
    </row>
    <row r="28" spans="2:7" x14ac:dyDescent="0.25">
      <c r="B28" s="265"/>
      <c r="C28" s="265"/>
      <c r="D28" s="920" t="s">
        <v>125</v>
      </c>
      <c r="E28" s="920" t="s">
        <v>125</v>
      </c>
      <c r="F28" s="921"/>
      <c r="G28" s="922"/>
    </row>
    <row r="29" spans="2:7" x14ac:dyDescent="0.25">
      <c r="B29" s="265" t="s">
        <v>104</v>
      </c>
      <c r="C29" s="265" t="s">
        <v>92</v>
      </c>
      <c r="D29" s="920">
        <v>1.5016681086919641</v>
      </c>
      <c r="E29" s="920">
        <v>1.6298959907701365</v>
      </c>
      <c r="F29" s="921"/>
      <c r="G29" s="922"/>
    </row>
    <row r="30" spans="2:7" x14ac:dyDescent="0.25">
      <c r="B30" s="265"/>
      <c r="C30" s="265" t="s">
        <v>122</v>
      </c>
      <c r="D30" s="920">
        <v>3.677795697780804</v>
      </c>
      <c r="E30" s="920">
        <v>0.82074887418407982</v>
      </c>
      <c r="F30" s="921">
        <v>4.67398869186027</v>
      </c>
      <c r="G30" s="922">
        <v>4.801674183277159</v>
      </c>
    </row>
    <row r="31" spans="2:7" x14ac:dyDescent="0.25">
      <c r="B31" s="265"/>
      <c r="C31" s="265"/>
      <c r="D31" s="920" t="s">
        <v>125</v>
      </c>
      <c r="E31" s="920" t="s">
        <v>125</v>
      </c>
      <c r="F31" s="921"/>
      <c r="G31" s="922"/>
    </row>
    <row r="32" spans="2:7" x14ac:dyDescent="0.25">
      <c r="B32" s="265" t="s">
        <v>105</v>
      </c>
      <c r="C32" s="265" t="s">
        <v>92</v>
      </c>
      <c r="D32" s="920">
        <v>1.2070093457943925</v>
      </c>
      <c r="E32" s="920">
        <v>0.42335940633544905</v>
      </c>
      <c r="F32" s="921"/>
      <c r="G32" s="922"/>
    </row>
    <row r="33" spans="2:7" x14ac:dyDescent="0.25">
      <c r="B33" s="265"/>
      <c r="C33" s="265" t="s">
        <v>122</v>
      </c>
      <c r="D33" s="920">
        <v>3.15</v>
      </c>
      <c r="E33" s="920">
        <v>0.22963059567532315</v>
      </c>
      <c r="F33" s="921">
        <v>3.4313676182809814</v>
      </c>
      <c r="G33" s="922">
        <v>3.4689257222509058</v>
      </c>
    </row>
    <row r="34" spans="2:7" x14ac:dyDescent="0.25">
      <c r="B34" s="265"/>
      <c r="C34" s="265"/>
      <c r="D34" s="920" t="s">
        <v>125</v>
      </c>
      <c r="E34" s="920" t="s">
        <v>125</v>
      </c>
      <c r="F34" s="921"/>
      <c r="G34" s="922"/>
    </row>
    <row r="35" spans="2:7" x14ac:dyDescent="0.25">
      <c r="B35" s="265" t="s">
        <v>106</v>
      </c>
      <c r="C35" s="265" t="s">
        <v>92</v>
      </c>
      <c r="D35" s="920">
        <v>0.32371000000000005</v>
      </c>
      <c r="E35" s="920">
        <v>0.98039626973270333</v>
      </c>
      <c r="F35" s="921"/>
      <c r="G35" s="922"/>
    </row>
    <row r="36" spans="2:7" x14ac:dyDescent="0.25">
      <c r="B36" s="265"/>
      <c r="C36" s="265" t="s">
        <v>122</v>
      </c>
      <c r="D36" s="920">
        <v>0.70413000000000003</v>
      </c>
      <c r="E36" s="920">
        <v>0.62611125565031545</v>
      </c>
      <c r="F36" s="921">
        <v>1.4617812258645233</v>
      </c>
      <c r="G36" s="922">
        <v>1.5579392550346371</v>
      </c>
    </row>
    <row r="37" spans="2:7" x14ac:dyDescent="0.25">
      <c r="B37" s="265"/>
      <c r="C37" s="265"/>
      <c r="D37" s="920" t="s">
        <v>125</v>
      </c>
      <c r="E37" s="920" t="s">
        <v>125</v>
      </c>
      <c r="F37" s="921"/>
      <c r="G37" s="922"/>
    </row>
    <row r="38" spans="2:7" x14ac:dyDescent="0.25">
      <c r="B38" s="265" t="s">
        <v>107</v>
      </c>
      <c r="C38" s="265" t="s">
        <v>92</v>
      </c>
      <c r="D38" s="920">
        <v>0.33</v>
      </c>
      <c r="E38" s="920">
        <v>1.882244555664244</v>
      </c>
      <c r="F38" s="921"/>
      <c r="G38" s="922"/>
    </row>
    <row r="39" spans="2:7" x14ac:dyDescent="0.25">
      <c r="B39" s="265"/>
      <c r="C39" s="265" t="s">
        <v>122</v>
      </c>
      <c r="D39" s="920">
        <v>3</v>
      </c>
      <c r="E39" s="920">
        <v>1.1133260184734246</v>
      </c>
      <c r="F39" s="921">
        <v>4.3623804144090244</v>
      </c>
      <c r="G39" s="922">
        <v>4.5439220543039847</v>
      </c>
    </row>
    <row r="40" spans="2:7" x14ac:dyDescent="0.25">
      <c r="B40" s="265"/>
      <c r="C40" s="265"/>
      <c r="D40" s="920" t="s">
        <v>125</v>
      </c>
      <c r="E40" s="920" t="s">
        <v>125</v>
      </c>
      <c r="F40" s="921"/>
      <c r="G40" s="922"/>
    </row>
    <row r="41" spans="2:7" x14ac:dyDescent="0.25">
      <c r="B41" s="265" t="s">
        <v>108</v>
      </c>
      <c r="C41" s="265" t="s">
        <v>92</v>
      </c>
      <c r="D41" s="920">
        <v>0.7434325684016676</v>
      </c>
      <c r="E41" s="920">
        <v>2.4252242515895586</v>
      </c>
      <c r="F41" s="921"/>
      <c r="G41" s="922"/>
    </row>
    <row r="42" spans="2:7" x14ac:dyDescent="0.25">
      <c r="B42" s="265"/>
      <c r="C42" s="265" t="s">
        <v>122</v>
      </c>
      <c r="D42" s="920">
        <v>3.5</v>
      </c>
      <c r="E42" s="920">
        <v>1.2678609299139327</v>
      </c>
      <c r="F42" s="921">
        <v>5.0534793230373172</v>
      </c>
      <c r="G42" s="922">
        <v>5.2612741765179818</v>
      </c>
    </row>
    <row r="43" spans="2:7" x14ac:dyDescent="0.25">
      <c r="B43" s="265"/>
      <c r="C43" s="265"/>
      <c r="D43" s="920" t="s">
        <v>125</v>
      </c>
      <c r="E43" s="920" t="s">
        <v>125</v>
      </c>
      <c r="F43" s="921"/>
      <c r="G43" s="922"/>
    </row>
    <row r="44" spans="2:7" x14ac:dyDescent="0.25">
      <c r="B44" s="265" t="s">
        <v>109</v>
      </c>
      <c r="C44" s="265" t="s">
        <v>92</v>
      </c>
      <c r="D44" s="920">
        <v>0.35311999999999999</v>
      </c>
      <c r="E44" s="920">
        <v>0.86995918701082708</v>
      </c>
      <c r="F44" s="921"/>
      <c r="G44" s="922"/>
    </row>
    <row r="45" spans="2:7" x14ac:dyDescent="0.25">
      <c r="B45" s="265"/>
      <c r="C45" s="265" t="s">
        <v>122</v>
      </c>
      <c r="D45" s="920">
        <v>0.91249000000000002</v>
      </c>
      <c r="E45" s="920">
        <v>0.43296503327047747</v>
      </c>
      <c r="F45" s="921">
        <v>1.433912908814269</v>
      </c>
      <c r="G45" s="922">
        <v>1.498740310252046</v>
      </c>
    </row>
    <row r="46" spans="2:7" x14ac:dyDescent="0.25">
      <c r="B46" s="265"/>
      <c r="C46" s="265"/>
      <c r="D46" s="920" t="s">
        <v>125</v>
      </c>
      <c r="E46" s="920" t="s">
        <v>125</v>
      </c>
      <c r="F46" s="921"/>
      <c r="G46" s="922"/>
    </row>
    <row r="47" spans="2:7" x14ac:dyDescent="0.25">
      <c r="B47" s="265" t="s">
        <v>110</v>
      </c>
      <c r="C47" s="265" t="s">
        <v>92</v>
      </c>
      <c r="D47" s="920">
        <v>0.29699999999999999</v>
      </c>
      <c r="E47" s="920">
        <v>1.3566495896358768</v>
      </c>
      <c r="F47" s="921"/>
      <c r="G47" s="922"/>
    </row>
    <row r="48" spans="2:7" x14ac:dyDescent="0.25">
      <c r="B48" s="265"/>
      <c r="C48" s="265" t="s">
        <v>122</v>
      </c>
      <c r="D48" s="920">
        <v>0.72726000000000002</v>
      </c>
      <c r="E48" s="920">
        <v>0.79953842932222341</v>
      </c>
      <c r="F48" s="921">
        <v>1.7019400933532411</v>
      </c>
      <c r="G48" s="922">
        <v>1.8295446298646409</v>
      </c>
    </row>
    <row r="49" spans="2:7" x14ac:dyDescent="0.25">
      <c r="B49" s="265"/>
      <c r="C49" s="265"/>
      <c r="D49" s="920" t="s">
        <v>125</v>
      </c>
      <c r="E49" s="920" t="s">
        <v>125</v>
      </c>
      <c r="F49" s="921"/>
      <c r="G49" s="922"/>
    </row>
    <row r="50" spans="2:7" x14ac:dyDescent="0.25">
      <c r="B50" s="265" t="s">
        <v>111</v>
      </c>
      <c r="C50" s="265" t="s">
        <v>92</v>
      </c>
      <c r="D50" s="920">
        <v>0.23780000000000001</v>
      </c>
      <c r="E50" s="920">
        <v>0.25501105017031817</v>
      </c>
      <c r="F50" s="921"/>
      <c r="G50" s="922"/>
    </row>
    <row r="51" spans="2:7" x14ac:dyDescent="0.25">
      <c r="B51" s="265"/>
      <c r="C51" s="265" t="s">
        <v>122</v>
      </c>
      <c r="D51" s="920">
        <v>1.79</v>
      </c>
      <c r="E51" s="920">
        <v>4.3997530516402372E-2</v>
      </c>
      <c r="F51" s="921">
        <v>1.8420030676727981</v>
      </c>
      <c r="G51" s="922">
        <v>1.8478216737621609</v>
      </c>
    </row>
    <row r="52" spans="2:7" x14ac:dyDescent="0.25">
      <c r="B52" s="265"/>
      <c r="C52" s="265"/>
      <c r="D52" s="920" t="s">
        <v>125</v>
      </c>
      <c r="E52" s="920" t="s">
        <v>125</v>
      </c>
      <c r="F52" s="921"/>
      <c r="G52" s="922"/>
    </row>
    <row r="53" spans="2:7" x14ac:dyDescent="0.25">
      <c r="B53" s="265" t="s">
        <v>112</v>
      </c>
      <c r="C53" s="265" t="s">
        <v>92</v>
      </c>
      <c r="D53" s="920">
        <v>0.28999999999999998</v>
      </c>
      <c r="E53" s="920">
        <v>4.7759989148965565E-2</v>
      </c>
      <c r="F53" s="921"/>
      <c r="G53" s="922"/>
    </row>
    <row r="54" spans="2:7" x14ac:dyDescent="0.25">
      <c r="B54" s="265"/>
      <c r="C54" s="265" t="s">
        <v>122</v>
      </c>
      <c r="D54" s="920">
        <v>1.33</v>
      </c>
      <c r="E54" s="920">
        <v>2.6008871129131934E-2</v>
      </c>
      <c r="F54" s="921">
        <v>1.3604444011439978</v>
      </c>
      <c r="G54" s="922">
        <v>1.3636867683999589</v>
      </c>
    </row>
    <row r="55" spans="2:7" x14ac:dyDescent="0.25">
      <c r="B55" s="265"/>
      <c r="C55" s="265"/>
      <c r="D55" s="920" t="s">
        <v>125</v>
      </c>
      <c r="E55" s="920" t="s">
        <v>125</v>
      </c>
      <c r="F55" s="921"/>
      <c r="G55" s="922"/>
    </row>
    <row r="56" spans="2:7" x14ac:dyDescent="0.25">
      <c r="B56" s="265" t="s">
        <v>113</v>
      </c>
      <c r="C56" s="263" t="s">
        <v>92</v>
      </c>
      <c r="D56" s="917">
        <v>1.55</v>
      </c>
      <c r="E56" s="917">
        <v>1.8479385636050434</v>
      </c>
      <c r="F56" s="918"/>
      <c r="G56" s="919"/>
    </row>
    <row r="57" spans="2:7" x14ac:dyDescent="0.25">
      <c r="B57" s="265"/>
      <c r="C57" s="265" t="s">
        <v>122</v>
      </c>
      <c r="D57" s="920">
        <v>3.53</v>
      </c>
      <c r="E57" s="920">
        <v>1.4053779474884509</v>
      </c>
      <c r="F57" s="921">
        <v>5.0709577957742402</v>
      </c>
      <c r="G57" s="922">
        <v>5.1704064683561679</v>
      </c>
    </row>
    <row r="58" spans="2:7" x14ac:dyDescent="0.25">
      <c r="B58" s="265"/>
      <c r="C58" s="265"/>
      <c r="D58" s="920" t="s">
        <v>125</v>
      </c>
      <c r="E58" s="920" t="s">
        <v>125</v>
      </c>
      <c r="F58" s="921"/>
      <c r="G58" s="922"/>
    </row>
    <row r="59" spans="2:7" x14ac:dyDescent="0.25">
      <c r="B59" s="265" t="s">
        <v>114</v>
      </c>
      <c r="C59" s="265" t="s">
        <v>92</v>
      </c>
      <c r="D59" s="920">
        <v>0.84</v>
      </c>
      <c r="E59" s="920">
        <v>1.8110668011527451</v>
      </c>
      <c r="F59" s="921"/>
      <c r="G59" s="922"/>
    </row>
    <row r="60" spans="2:7" x14ac:dyDescent="0.25">
      <c r="B60" s="265"/>
      <c r="C60" s="265" t="s">
        <v>122</v>
      </c>
      <c r="D60" s="920">
        <v>1.2788316801138424</v>
      </c>
      <c r="E60" s="920">
        <v>1.5365656111979311</v>
      </c>
      <c r="F60" s="921">
        <v>2.9648674438685805</v>
      </c>
      <c r="G60" s="922">
        <v>3.0762736404756783</v>
      </c>
    </row>
    <row r="61" spans="2:7" x14ac:dyDescent="0.25">
      <c r="B61" s="265"/>
      <c r="C61" s="265"/>
      <c r="D61" s="920" t="s">
        <v>125</v>
      </c>
      <c r="E61" s="920" t="s">
        <v>125</v>
      </c>
      <c r="F61" s="921"/>
      <c r="G61" s="922"/>
    </row>
    <row r="62" spans="2:7" x14ac:dyDescent="0.25">
      <c r="B62" s="265" t="s">
        <v>2366</v>
      </c>
      <c r="C62" s="265" t="s">
        <v>92</v>
      </c>
      <c r="D62" s="920">
        <v>3.63</v>
      </c>
      <c r="E62" s="920">
        <v>9.6040421415442019</v>
      </c>
      <c r="F62" s="921"/>
      <c r="G62" s="922"/>
    </row>
    <row r="63" spans="2:7" x14ac:dyDescent="0.25">
      <c r="B63" s="265"/>
      <c r="C63" s="265" t="s">
        <v>122</v>
      </c>
      <c r="D63" s="920">
        <v>4.5</v>
      </c>
      <c r="E63" s="920">
        <v>9.708976808842344</v>
      </c>
      <c r="F63" s="921">
        <v>14.335596419899911</v>
      </c>
      <c r="G63" s="922">
        <v>15.993203178083865</v>
      </c>
    </row>
    <row r="64" spans="2:7" x14ac:dyDescent="0.25">
      <c r="B64" s="265"/>
      <c r="C64" s="265"/>
      <c r="D64" s="920" t="s">
        <v>125</v>
      </c>
      <c r="E64" s="920" t="s">
        <v>125</v>
      </c>
      <c r="F64" s="921"/>
      <c r="G64" s="922"/>
    </row>
    <row r="65" spans="2:7" x14ac:dyDescent="0.25">
      <c r="B65" s="265" t="s">
        <v>115</v>
      </c>
      <c r="C65" s="265" t="s">
        <v>92</v>
      </c>
      <c r="D65" s="920">
        <v>0.35299999999999998</v>
      </c>
      <c r="E65" s="920">
        <v>0.74831386654046972</v>
      </c>
      <c r="F65" s="921"/>
      <c r="G65" s="922"/>
    </row>
    <row r="66" spans="2:7" x14ac:dyDescent="0.25">
      <c r="B66" s="265"/>
      <c r="C66" s="265" t="s">
        <v>1510</v>
      </c>
      <c r="D66" s="920">
        <v>0.4819</v>
      </c>
      <c r="E66" s="920">
        <v>0.71660557782690948</v>
      </c>
      <c r="F66" s="921">
        <v>1.2095961723702411</v>
      </c>
      <c r="G66" s="922">
        <v>1.3169033118136251</v>
      </c>
    </row>
    <row r="67" spans="2:7" x14ac:dyDescent="0.25">
      <c r="B67" s="265"/>
      <c r="C67" s="265"/>
      <c r="D67" s="920" t="s">
        <v>125</v>
      </c>
      <c r="E67" s="920" t="s">
        <v>125</v>
      </c>
      <c r="F67" s="921"/>
      <c r="G67" s="922"/>
    </row>
    <row r="68" spans="2:7" x14ac:dyDescent="0.25">
      <c r="B68" s="265" t="s">
        <v>116</v>
      </c>
      <c r="C68" s="265" t="s">
        <v>92</v>
      </c>
      <c r="D68" s="920">
        <v>2.118052738336714</v>
      </c>
      <c r="E68" s="920">
        <v>1.8374400716538148</v>
      </c>
      <c r="F68" s="921"/>
      <c r="G68" s="922"/>
    </row>
    <row r="69" spans="2:7" x14ac:dyDescent="0.25">
      <c r="B69" s="268"/>
      <c r="C69" s="268" t="s">
        <v>1510</v>
      </c>
      <c r="D69" s="923">
        <v>4.3927738336713995</v>
      </c>
      <c r="E69" s="923">
        <v>1.4886756375805104</v>
      </c>
      <c r="F69" s="924">
        <v>6.0080399846721839</v>
      </c>
      <c r="G69" s="925">
        <v>6.1024652241928177</v>
      </c>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5DC45-DF60-4E64-862F-4C843C0E2067}">
  <dimension ref="B2:X164"/>
  <sheetViews>
    <sheetView zoomScaleNormal="100" workbookViewId="0"/>
  </sheetViews>
  <sheetFormatPr baseColWidth="10" defaultRowHeight="15" x14ac:dyDescent="0.25"/>
  <cols>
    <col min="1" max="1" width="3.7109375" style="1" customWidth="1"/>
    <col min="2" max="2" width="11.7109375" style="1" bestFit="1" customWidth="1"/>
    <col min="3" max="4" width="11.28515625" style="1"/>
    <col min="5" max="5" width="11.28515625" style="323"/>
    <col min="6" max="8" width="11.28515625" style="1"/>
    <col min="9" max="9" width="13.140625" style="1226" customWidth="1"/>
    <col min="10" max="24" width="10.7109375" style="1227"/>
    <col min="25" max="16384" width="11.42578125" style="1"/>
  </cols>
  <sheetData>
    <row r="2" spans="2:24" x14ac:dyDescent="0.25">
      <c r="B2" s="217" t="s">
        <v>2415</v>
      </c>
    </row>
    <row r="4" spans="2:24" x14ac:dyDescent="0.25">
      <c r="B4" s="1321"/>
      <c r="C4" s="676"/>
      <c r="D4" s="916" t="s">
        <v>1517</v>
      </c>
      <c r="E4" s="1411" t="s">
        <v>1518</v>
      </c>
      <c r="F4" s="1412"/>
      <c r="G4" s="1412"/>
      <c r="H4" s="1413"/>
      <c r="I4" s="1414" t="s">
        <v>1519</v>
      </c>
      <c r="J4" s="1415"/>
      <c r="K4" s="1415"/>
      <c r="L4" s="1416"/>
      <c r="M4" s="1415" t="s">
        <v>1520</v>
      </c>
      <c r="N4" s="1415"/>
      <c r="O4" s="1415"/>
      <c r="P4" s="1415"/>
      <c r="Q4" s="1414" t="s">
        <v>1521</v>
      </c>
      <c r="R4" s="1415"/>
      <c r="S4" s="1415"/>
      <c r="T4" s="1416"/>
      <c r="U4" s="1415" t="s">
        <v>1522</v>
      </c>
      <c r="V4" s="1415"/>
      <c r="W4" s="1415"/>
      <c r="X4" s="1416"/>
    </row>
    <row r="5" spans="2:24" x14ac:dyDescent="0.25">
      <c r="B5" s="1322" t="s">
        <v>710</v>
      </c>
      <c r="C5" s="666" t="s">
        <v>1523</v>
      </c>
      <c r="D5" s="666" t="s">
        <v>1598</v>
      </c>
      <c r="E5" s="284" t="s">
        <v>1599</v>
      </c>
      <c r="F5" s="285" t="s">
        <v>1600</v>
      </c>
      <c r="G5" s="285" t="s">
        <v>1601</v>
      </c>
      <c r="H5" s="935" t="s">
        <v>1602</v>
      </c>
      <c r="I5" s="1228" t="s">
        <v>1603</v>
      </c>
      <c r="J5" s="1229" t="s">
        <v>1604</v>
      </c>
      <c r="K5" s="1229" t="s">
        <v>1605</v>
      </c>
      <c r="L5" s="1230" t="s">
        <v>1606</v>
      </c>
      <c r="M5" s="1228" t="s">
        <v>1607</v>
      </c>
      <c r="N5" s="1229" t="s">
        <v>1608</v>
      </c>
      <c r="O5" s="1229" t="s">
        <v>1609</v>
      </c>
      <c r="P5" s="1230" t="s">
        <v>1610</v>
      </c>
      <c r="Q5" s="1228" t="s">
        <v>1611</v>
      </c>
      <c r="R5" s="1229" t="s">
        <v>1612</v>
      </c>
      <c r="S5" s="1229" t="s">
        <v>1613</v>
      </c>
      <c r="T5" s="1230" t="s">
        <v>1614</v>
      </c>
      <c r="U5" s="1228" t="s">
        <v>1615</v>
      </c>
      <c r="V5" s="1229" t="s">
        <v>1616</v>
      </c>
      <c r="W5" s="1229" t="s">
        <v>1617</v>
      </c>
      <c r="X5" s="1230" t="s">
        <v>1618</v>
      </c>
    </row>
    <row r="6" spans="2:24" x14ac:dyDescent="0.25">
      <c r="B6" s="263" t="s">
        <v>91</v>
      </c>
      <c r="C6" s="208" t="s">
        <v>92</v>
      </c>
      <c r="D6" s="926">
        <v>0.21084</v>
      </c>
      <c r="E6" s="927">
        <v>0.39676087202515975</v>
      </c>
      <c r="F6" s="926">
        <v>0.13728281838562006</v>
      </c>
      <c r="G6" s="926">
        <v>1.3116480025852641</v>
      </c>
      <c r="H6" s="928">
        <v>1.1387440236100073</v>
      </c>
      <c r="I6" s="1231"/>
      <c r="J6" s="1232"/>
      <c r="K6" s="1232"/>
      <c r="L6" s="1233"/>
      <c r="M6" s="1234"/>
      <c r="N6" s="1232"/>
      <c r="O6" s="1232"/>
      <c r="P6" s="1233"/>
      <c r="Q6" s="1234"/>
      <c r="R6" s="1232"/>
      <c r="S6" s="1232"/>
      <c r="T6" s="1233"/>
      <c r="U6" s="1232"/>
      <c r="V6" s="1232"/>
      <c r="W6" s="1232"/>
      <c r="X6" s="1233"/>
    </row>
    <row r="7" spans="2:24" x14ac:dyDescent="0.25">
      <c r="B7" s="265" t="s">
        <v>91</v>
      </c>
      <c r="C7" s="209" t="s">
        <v>122</v>
      </c>
      <c r="D7" s="363">
        <v>0.43951000000000001</v>
      </c>
      <c r="E7" s="929">
        <v>0.24889806958063124</v>
      </c>
      <c r="F7" s="512">
        <v>9.0199806906473487E-2</v>
      </c>
      <c r="G7" s="512">
        <v>1.5010483854481662</v>
      </c>
      <c r="H7" s="512">
        <v>0.84310552893253732</v>
      </c>
      <c r="I7" s="1235">
        <v>0.28698765103250767</v>
      </c>
      <c r="J7" s="1236">
        <v>0.10402398742085384</v>
      </c>
      <c r="K7" s="1236">
        <v>1.7301493587736512</v>
      </c>
      <c r="L7" s="1237">
        <v>0.97175512549012888</v>
      </c>
      <c r="M7" s="1235">
        <v>0.21970490578893165</v>
      </c>
      <c r="N7" s="1236">
        <v>7.9604554232671737E-2</v>
      </c>
      <c r="O7" s="1236">
        <v>1.3254451011533501</v>
      </c>
      <c r="P7" s="1237">
        <v>0.74449683887778095</v>
      </c>
      <c r="Q7" s="1235">
        <v>0.30000964132901098</v>
      </c>
      <c r="R7" s="1236">
        <v>0.11392309522209433</v>
      </c>
      <c r="S7" s="1236">
        <v>1.5716601798799361</v>
      </c>
      <c r="T7" s="1237">
        <v>0.99302584780829972</v>
      </c>
      <c r="U7" s="1236">
        <v>0.33736792650707509</v>
      </c>
      <c r="V7" s="1236">
        <v>0.13135590578122164</v>
      </c>
      <c r="W7" s="1236">
        <v>1.623285298821266</v>
      </c>
      <c r="X7" s="1237">
        <v>1.1018520156792553</v>
      </c>
    </row>
    <row r="8" spans="2:24" x14ac:dyDescent="0.25">
      <c r="B8" s="265" t="s">
        <v>97</v>
      </c>
      <c r="C8" s="209" t="s">
        <v>92</v>
      </c>
      <c r="D8" s="512">
        <v>0.19115317137940699</v>
      </c>
      <c r="E8" s="929">
        <v>0.35913200943725937</v>
      </c>
      <c r="F8" s="512">
        <v>0.10870130750636092</v>
      </c>
      <c r="G8" s="512">
        <v>1.0467940279027854</v>
      </c>
      <c r="H8" s="930">
        <v>0.91849381188906887</v>
      </c>
      <c r="I8" s="1238"/>
      <c r="L8" s="1239"/>
      <c r="M8" s="1240"/>
      <c r="P8" s="1239"/>
      <c r="Q8" s="1240"/>
      <c r="T8" s="1239"/>
      <c r="X8" s="1239"/>
    </row>
    <row r="9" spans="2:24" x14ac:dyDescent="0.25">
      <c r="B9" s="265" t="s">
        <v>97</v>
      </c>
      <c r="C9" s="209" t="s">
        <v>122</v>
      </c>
      <c r="D9" s="363">
        <v>0.46051038847432407</v>
      </c>
      <c r="E9" s="929">
        <v>0.16356566044054471</v>
      </c>
      <c r="F9" s="512">
        <v>5.9023405287094072E-2</v>
      </c>
      <c r="G9" s="512">
        <v>0.97334734554016544</v>
      </c>
      <c r="H9" s="512">
        <v>0.56518814725903699</v>
      </c>
      <c r="I9" s="1235">
        <v>0.20500816562791274</v>
      </c>
      <c r="J9" s="1236">
        <v>7.411986315441918E-2</v>
      </c>
      <c r="K9" s="1236">
        <v>1.2179590699618339</v>
      </c>
      <c r="L9" s="1237">
        <v>0.70702509412621561</v>
      </c>
      <c r="M9" s="1235">
        <v>0.13595773705550293</v>
      </c>
      <c r="N9" s="1236">
        <v>4.8966544621912328E-2</v>
      </c>
      <c r="O9" s="1236">
        <v>0.81039323059095569</v>
      </c>
      <c r="P9" s="1237">
        <v>0.47069996019956789</v>
      </c>
      <c r="Q9" s="1235">
        <v>0.19569870827021205</v>
      </c>
      <c r="R9" s="1236">
        <v>7.3701209069152757E-2</v>
      </c>
      <c r="S9" s="1236">
        <v>1.0175948051370889</v>
      </c>
      <c r="T9" s="1237">
        <v>0.66154208215378718</v>
      </c>
      <c r="U9" s="1236">
        <v>0.2193741304964468</v>
      </c>
      <c r="V9" s="1236">
        <v>8.4623015611280772E-2</v>
      </c>
      <c r="W9" s="1236">
        <v>1.0502332941653671</v>
      </c>
      <c r="X9" s="1237">
        <v>0.73155982654348117</v>
      </c>
    </row>
    <row r="10" spans="2:24" x14ac:dyDescent="0.25">
      <c r="B10" s="265" t="s">
        <v>98</v>
      </c>
      <c r="C10" s="209" t="s">
        <v>92</v>
      </c>
      <c r="D10" s="512">
        <v>0.18564647389881783</v>
      </c>
      <c r="E10" s="929">
        <v>0.5149973952357515</v>
      </c>
      <c r="F10" s="512">
        <v>0.16904406226432281</v>
      </c>
      <c r="G10" s="512">
        <v>1.7966283050049368</v>
      </c>
      <c r="H10" s="930">
        <v>1.3594207751915457</v>
      </c>
      <c r="I10" s="1238"/>
      <c r="L10" s="1239"/>
      <c r="M10" s="1240"/>
      <c r="P10" s="1239"/>
      <c r="Q10" s="1240"/>
      <c r="T10" s="1239"/>
      <c r="X10" s="1239"/>
    </row>
    <row r="11" spans="2:24" x14ac:dyDescent="0.25">
      <c r="B11" s="265" t="s">
        <v>98</v>
      </c>
      <c r="C11" s="209" t="s">
        <v>122</v>
      </c>
      <c r="D11" s="363">
        <v>0.37645999999999996</v>
      </c>
      <c r="E11" s="929">
        <v>0.22974325678129701</v>
      </c>
      <c r="F11" s="512">
        <v>8.030192929676018E-2</v>
      </c>
      <c r="G11" s="512">
        <v>1.4380023911213309</v>
      </c>
      <c r="H11" s="930">
        <v>0.71078609206589272</v>
      </c>
      <c r="I11" s="1235">
        <v>0.24460675530904599</v>
      </c>
      <c r="J11" s="1236">
        <v>8.5505457975102714E-2</v>
      </c>
      <c r="K11" s="1236">
        <v>1.5308095817623548</v>
      </c>
      <c r="L11" s="1237">
        <v>0.7566523522508225</v>
      </c>
      <c r="M11" s="1235">
        <v>0.21657408561031086</v>
      </c>
      <c r="N11" s="1236">
        <v>7.5691566260304599E-2</v>
      </c>
      <c r="O11" s="1236">
        <v>1.3557744464616048</v>
      </c>
      <c r="P11" s="1237">
        <v>0.67014820578796164</v>
      </c>
      <c r="Q11" s="1235">
        <v>0.27939810131647635</v>
      </c>
      <c r="R11" s="1236">
        <v>0.10333863351168444</v>
      </c>
      <c r="S11" s="1236">
        <v>1.506592145468721</v>
      </c>
      <c r="T11" s="1237">
        <v>0.85618436923905816</v>
      </c>
      <c r="U11" s="1236">
        <v>0.3156945349541484</v>
      </c>
      <c r="V11" s="1236">
        <v>0.12026767707404883</v>
      </c>
      <c r="W11" s="1236">
        <v>1.5567425435561766</v>
      </c>
      <c r="X11" s="1237">
        <v>0.96173040148987332</v>
      </c>
    </row>
    <row r="12" spans="2:24" x14ac:dyDescent="0.25">
      <c r="B12" s="265" t="s">
        <v>99</v>
      </c>
      <c r="C12" s="209" t="s">
        <v>92</v>
      </c>
      <c r="D12" s="512">
        <v>0.17004</v>
      </c>
      <c r="E12" s="929">
        <v>0.46064481199772461</v>
      </c>
      <c r="F12" s="512">
        <v>0.14458269389455386</v>
      </c>
      <c r="G12" s="512">
        <v>1.5118361957286259</v>
      </c>
      <c r="H12" s="930">
        <v>1.1640103451007089</v>
      </c>
      <c r="I12" s="1238"/>
      <c r="L12" s="1239"/>
      <c r="M12" s="1240"/>
      <c r="P12" s="1239"/>
      <c r="Q12" s="1240"/>
      <c r="T12" s="1239"/>
      <c r="X12" s="1239"/>
    </row>
    <row r="13" spans="2:24" x14ac:dyDescent="0.25">
      <c r="B13" s="265" t="s">
        <v>99</v>
      </c>
      <c r="C13" s="209" t="s">
        <v>122</v>
      </c>
      <c r="D13" s="363">
        <v>0.37839999999999996</v>
      </c>
      <c r="E13" s="929">
        <v>0.26622696184844918</v>
      </c>
      <c r="F13" s="512">
        <v>9.4083697555197271E-2</v>
      </c>
      <c r="G13" s="512">
        <v>1.6478980670061132</v>
      </c>
      <c r="H13" s="512">
        <v>0.84583851744356253</v>
      </c>
      <c r="I13" s="1235">
        <v>0.34034655619664617</v>
      </c>
      <c r="J13" s="1236">
        <v>0.12031915662176425</v>
      </c>
      <c r="K13" s="1236">
        <v>2.1056609635996955</v>
      </c>
      <c r="L13" s="1237">
        <v>1.0807570455375954</v>
      </c>
      <c r="M13" s="1235">
        <v>0.21852086461266887</v>
      </c>
      <c r="N13" s="1236">
        <v>7.7197623106488616E-2</v>
      </c>
      <c r="O13" s="1236">
        <v>1.3532642304160432</v>
      </c>
      <c r="P13" s="1237">
        <v>0.69463586214160289</v>
      </c>
      <c r="Q13" s="1235">
        <v>0.32285749215319171</v>
      </c>
      <c r="R13" s="1236">
        <v>0.12034339051157557</v>
      </c>
      <c r="S13" s="1236">
        <v>1.7261160286200015</v>
      </c>
      <c r="T13" s="1237">
        <v>1.011849047045752</v>
      </c>
      <c r="U13" s="1236">
        <v>0.36429378697896064</v>
      </c>
      <c r="V13" s="1236">
        <v>0.13966722685691391</v>
      </c>
      <c r="W13" s="1236">
        <v>1.7833666908325436</v>
      </c>
      <c r="X13" s="1237">
        <v>1.1323761598694133</v>
      </c>
    </row>
    <row r="14" spans="2:24" x14ac:dyDescent="0.25">
      <c r="B14" s="265" t="s">
        <v>100</v>
      </c>
      <c r="C14" s="209" t="s">
        <v>92</v>
      </c>
      <c r="D14" s="512">
        <v>0.19027961896782761</v>
      </c>
      <c r="E14" s="929">
        <v>0.40924855004723826</v>
      </c>
      <c r="F14" s="512">
        <v>0.12897436918989275</v>
      </c>
      <c r="G14" s="512">
        <v>1.3398724118726828</v>
      </c>
      <c r="H14" s="930">
        <v>1.0428297629052543</v>
      </c>
      <c r="I14" s="1238"/>
      <c r="L14" s="1239"/>
      <c r="M14" s="1240"/>
      <c r="P14" s="1239"/>
      <c r="Q14" s="1240"/>
      <c r="T14" s="1239"/>
      <c r="X14" s="1239"/>
    </row>
    <row r="15" spans="2:24" x14ac:dyDescent="0.25">
      <c r="B15" s="265" t="s">
        <v>100</v>
      </c>
      <c r="C15" s="209" t="s">
        <v>122</v>
      </c>
      <c r="D15" s="363">
        <v>0.4056506487491307</v>
      </c>
      <c r="E15" s="929">
        <v>0.23991159381814259</v>
      </c>
      <c r="F15" s="512">
        <v>8.5020265913928764E-2</v>
      </c>
      <c r="G15" s="512">
        <v>1.4569350561956558</v>
      </c>
      <c r="H15" s="512">
        <v>0.76643500829516631</v>
      </c>
      <c r="I15" s="1235">
        <v>0.30524068546414751</v>
      </c>
      <c r="J15" s="1236">
        <v>0.10821689809253605</v>
      </c>
      <c r="K15" s="1236">
        <v>1.8524717908816026</v>
      </c>
      <c r="L15" s="1237">
        <v>0.9744594341620012</v>
      </c>
      <c r="M15" s="1235">
        <v>0.1975406231856501</v>
      </c>
      <c r="N15" s="1236">
        <v>6.9975469494835657E-2</v>
      </c>
      <c r="O15" s="1236">
        <v>1.2003985040788128</v>
      </c>
      <c r="P15" s="1237">
        <v>0.63151485002870145</v>
      </c>
      <c r="Q15" s="1235">
        <v>0.28940716645780307</v>
      </c>
      <c r="R15" s="1236">
        <v>0.10794717996539414</v>
      </c>
      <c r="S15" s="1236">
        <v>1.5252854181500981</v>
      </c>
      <c r="T15" s="1237">
        <v>0.91197157553925956</v>
      </c>
      <c r="U15" s="1236">
        <v>0.32572416315767166</v>
      </c>
      <c r="V15" s="1236">
        <v>0.12487925211140703</v>
      </c>
      <c r="W15" s="1236">
        <v>1.5754605907885404</v>
      </c>
      <c r="X15" s="1237">
        <v>1.0176832938685054</v>
      </c>
    </row>
    <row r="16" spans="2:24" x14ac:dyDescent="0.25">
      <c r="B16" s="265" t="s">
        <v>101</v>
      </c>
      <c r="C16" s="209" t="s">
        <v>92</v>
      </c>
      <c r="D16" s="512">
        <v>0.18195499999999998</v>
      </c>
      <c r="E16" s="929">
        <v>0.33626011341935536</v>
      </c>
      <c r="F16" s="512">
        <v>0.11607156479574569</v>
      </c>
      <c r="G16" s="512">
        <v>1.0847162476947017</v>
      </c>
      <c r="H16" s="930">
        <v>0.97442070732000985</v>
      </c>
      <c r="I16" s="1235"/>
      <c r="L16" s="1239"/>
      <c r="M16" s="1240"/>
      <c r="P16" s="1239"/>
      <c r="Q16" s="1240"/>
      <c r="T16" s="1239"/>
      <c r="X16" s="1239"/>
    </row>
    <row r="17" spans="2:24" x14ac:dyDescent="0.25">
      <c r="B17" s="265" t="s">
        <v>101</v>
      </c>
      <c r="C17" s="209" t="s">
        <v>122</v>
      </c>
      <c r="D17" s="363">
        <v>0.41675000000000001</v>
      </c>
      <c r="E17" s="929">
        <v>0.21658780970658945</v>
      </c>
      <c r="F17" s="512">
        <v>7.9602473890045461E-2</v>
      </c>
      <c r="G17" s="512">
        <v>1.271838192954611</v>
      </c>
      <c r="H17" s="512">
        <v>0.75877754231883732</v>
      </c>
      <c r="I17" s="1235">
        <v>0.2733396669338608</v>
      </c>
      <c r="J17" s="1236">
        <v>0.10048787005641617</v>
      </c>
      <c r="K17" s="1236">
        <v>1.6042784398022789</v>
      </c>
      <c r="L17" s="1237">
        <v>0.95705907637780419</v>
      </c>
      <c r="M17" s="1235">
        <v>0.17929873097877308</v>
      </c>
      <c r="N17" s="1236">
        <v>6.5879630093286887E-2</v>
      </c>
      <c r="O17" s="1236">
        <v>1.053406571477028</v>
      </c>
      <c r="P17" s="1237">
        <v>0.62849558715580478</v>
      </c>
      <c r="Q17" s="1235">
        <v>0.25935922789373522</v>
      </c>
      <c r="R17" s="1236">
        <v>9.9419187041598939E-2</v>
      </c>
      <c r="S17" s="1236">
        <v>1.3309055641272212</v>
      </c>
      <c r="T17" s="1237">
        <v>0.88449095718588011</v>
      </c>
      <c r="U17" s="1236">
        <v>0.2907288816970664</v>
      </c>
      <c r="V17" s="1236">
        <v>0.11404497694177473</v>
      </c>
      <c r="W17" s="1236">
        <v>1.3742457301811697</v>
      </c>
      <c r="X17" s="1237">
        <v>0.97579828993253082</v>
      </c>
    </row>
    <row r="18" spans="2:24" x14ac:dyDescent="0.25">
      <c r="B18" s="265" t="s">
        <v>102</v>
      </c>
      <c r="C18" s="209" t="s">
        <v>92</v>
      </c>
      <c r="D18" s="512">
        <v>1.4249898934019873</v>
      </c>
      <c r="E18" s="929">
        <v>0.73821134872201433</v>
      </c>
      <c r="F18" s="512">
        <v>0.20293359228634184</v>
      </c>
      <c r="G18" s="512">
        <v>2.4525934256169228</v>
      </c>
      <c r="H18" s="930">
        <v>1.6115668380574879</v>
      </c>
      <c r="I18" s="1238"/>
      <c r="L18" s="1239"/>
      <c r="M18" s="1240"/>
      <c r="P18" s="1239"/>
      <c r="Q18" s="1240"/>
      <c r="T18" s="1239"/>
      <c r="X18" s="1239"/>
    </row>
    <row r="19" spans="2:24" x14ac:dyDescent="0.25">
      <c r="B19" s="265" t="s">
        <v>102</v>
      </c>
      <c r="C19" s="209" t="s">
        <v>122</v>
      </c>
      <c r="D19" s="363">
        <v>3.49</v>
      </c>
      <c r="E19" s="929">
        <v>0.35360465439950844</v>
      </c>
      <c r="F19" s="512">
        <v>0.12391143827956437</v>
      </c>
      <c r="G19" s="512">
        <v>2.2042027988396438</v>
      </c>
      <c r="H19" s="512">
        <v>1.1106516776594584</v>
      </c>
      <c r="I19" s="1235">
        <v>0.47244204855069832</v>
      </c>
      <c r="J19" s="1236">
        <v>0.16561103147649828</v>
      </c>
      <c r="K19" s="1236">
        <v>2.9429971400420696</v>
      </c>
      <c r="L19" s="1237">
        <v>1.4828644769970185</v>
      </c>
      <c r="M19" s="1235">
        <v>0.28241918066739718</v>
      </c>
      <c r="N19" s="1236">
        <v>9.8932735420993373E-2</v>
      </c>
      <c r="O19" s="1236">
        <v>1.7616529429937784</v>
      </c>
      <c r="P19" s="1237">
        <v>0.88769013906620498</v>
      </c>
      <c r="Q19" s="1235">
        <v>0.42970886886269044</v>
      </c>
      <c r="R19" s="1236">
        <v>0.15923861850988741</v>
      </c>
      <c r="S19" s="1236">
        <v>2.3093389816048329</v>
      </c>
      <c r="T19" s="1237">
        <v>1.3332220455902839</v>
      </c>
      <c r="U19" s="1236">
        <v>0.48527981921054048</v>
      </c>
      <c r="V19" s="1236">
        <v>0.18516072667005981</v>
      </c>
      <c r="W19" s="1236">
        <v>2.3861225417437217</v>
      </c>
      <c r="X19" s="1237">
        <v>1.4947617447298078</v>
      </c>
    </row>
    <row r="20" spans="2:24" x14ac:dyDescent="0.25">
      <c r="B20" s="265" t="s">
        <v>103</v>
      </c>
      <c r="C20" s="209" t="s">
        <v>92</v>
      </c>
      <c r="D20" s="512">
        <v>1.7680061710892687</v>
      </c>
      <c r="E20" s="929">
        <v>0.34240270739993439</v>
      </c>
      <c r="F20" s="512">
        <v>9.6217275820492262E-2</v>
      </c>
      <c r="G20" s="512">
        <v>0.97057807796847928</v>
      </c>
      <c r="H20" s="930">
        <v>0.71430421294500634</v>
      </c>
      <c r="I20" s="1238"/>
      <c r="L20" s="1239"/>
      <c r="M20" s="1240"/>
      <c r="P20" s="1239"/>
      <c r="Q20" s="1240"/>
      <c r="T20" s="1239"/>
      <c r="X20" s="1239"/>
    </row>
    <row r="21" spans="2:24" x14ac:dyDescent="0.25">
      <c r="B21" s="265" t="s">
        <v>103</v>
      </c>
      <c r="C21" s="209" t="s">
        <v>122</v>
      </c>
      <c r="D21" s="363">
        <v>4.28</v>
      </c>
      <c r="E21" s="929">
        <v>0.11459156522064635</v>
      </c>
      <c r="F21" s="512">
        <v>3.8264503104801673E-2</v>
      </c>
      <c r="G21" s="512">
        <v>0.75140826869076416</v>
      </c>
      <c r="H21" s="512">
        <v>0.31210336700675262</v>
      </c>
      <c r="I21" s="1235">
        <v>0.15194549868603596</v>
      </c>
      <c r="J21" s="1236">
        <v>5.0739790083491831E-2</v>
      </c>
      <c r="K21" s="1236">
        <v>0.99631020648214907</v>
      </c>
      <c r="L21" s="1237">
        <v>0.41382439537370813</v>
      </c>
      <c r="M21" s="1235">
        <v>9.197756087702523E-2</v>
      </c>
      <c r="N21" s="1236">
        <v>3.0711986680808396E-2</v>
      </c>
      <c r="O21" s="1236">
        <v>0.6031450772494461</v>
      </c>
      <c r="P21" s="1237">
        <v>0.25052163878951689</v>
      </c>
      <c r="Q21" s="1235">
        <v>0.14116314533720981</v>
      </c>
      <c r="R21" s="1236">
        <v>5.0626670046746147E-2</v>
      </c>
      <c r="S21" s="1236">
        <v>0.78813091383000122</v>
      </c>
      <c r="T21" s="1237">
        <v>0.38930514901064633</v>
      </c>
      <c r="U21" s="1236">
        <v>0.16045211536837428</v>
      </c>
      <c r="V21" s="1236">
        <v>5.9629921809886383E-2</v>
      </c>
      <c r="W21" s="1236">
        <v>0.81478592906267477</v>
      </c>
      <c r="X21" s="1237">
        <v>0.44528224529472726</v>
      </c>
    </row>
    <row r="22" spans="2:24" x14ac:dyDescent="0.25">
      <c r="B22" s="265" t="s">
        <v>104</v>
      </c>
      <c r="C22" s="209" t="s">
        <v>92</v>
      </c>
      <c r="D22" s="512">
        <v>1.5016681086919641</v>
      </c>
      <c r="E22" s="929">
        <v>1.6298959907701365</v>
      </c>
      <c r="F22" s="512">
        <v>0.42898238652483944</v>
      </c>
      <c r="G22" s="512">
        <v>5.5354395691874494</v>
      </c>
      <c r="H22" s="930">
        <v>3.2569035027135453</v>
      </c>
      <c r="I22" s="1238"/>
      <c r="L22" s="1239"/>
      <c r="M22" s="1240"/>
      <c r="P22" s="1239"/>
      <c r="Q22" s="1240"/>
      <c r="T22" s="1239"/>
      <c r="X22" s="1239"/>
    </row>
    <row r="23" spans="2:24" x14ac:dyDescent="0.25">
      <c r="B23" s="265" t="s">
        <v>104</v>
      </c>
      <c r="C23" s="209" t="s">
        <v>122</v>
      </c>
      <c r="D23" s="363">
        <v>3.677795697780804</v>
      </c>
      <c r="E23" s="929">
        <v>0.82074887418407982</v>
      </c>
      <c r="F23" s="512">
        <v>0.27784296216548943</v>
      </c>
      <c r="G23" s="512">
        <v>5.0872380017108068</v>
      </c>
      <c r="H23" s="512">
        <v>2.2877674914152739</v>
      </c>
      <c r="I23" s="1235">
        <v>1.1011969922221645</v>
      </c>
      <c r="J23" s="1236">
        <v>0.37283426835195949</v>
      </c>
      <c r="K23" s="1236">
        <v>6.8240446913971029</v>
      </c>
      <c r="L23" s="1237">
        <v>3.0687385824116209</v>
      </c>
      <c r="M23" s="1235">
        <v>0.65394522076682782</v>
      </c>
      <c r="N23" s="1236">
        <v>0.22134235352613849</v>
      </c>
      <c r="O23" s="1236">
        <v>4.0543458750635528</v>
      </c>
      <c r="P23" s="1237">
        <v>1.8233037308262887</v>
      </c>
      <c r="Q23" s="1235">
        <v>0.9961929940794656</v>
      </c>
      <c r="R23" s="1236">
        <v>0.35939114129686783</v>
      </c>
      <c r="S23" s="1236">
        <v>5.329667214208218</v>
      </c>
      <c r="T23" s="1237">
        <v>2.7989351361786263</v>
      </c>
      <c r="U23" s="1236">
        <v>1.1238784854963548</v>
      </c>
      <c r="V23" s="1236">
        <v>0.41897566334222242</v>
      </c>
      <c r="W23" s="1236">
        <v>5.5061058469931172</v>
      </c>
      <c r="X23" s="1237">
        <v>3.1697306390362101</v>
      </c>
    </row>
    <row r="24" spans="2:24" x14ac:dyDescent="0.25">
      <c r="B24" s="265" t="s">
        <v>105</v>
      </c>
      <c r="C24" s="209" t="s">
        <v>92</v>
      </c>
      <c r="D24" s="512">
        <v>1.2070093457943925</v>
      </c>
      <c r="E24" s="929">
        <v>0.42335940633544905</v>
      </c>
      <c r="F24" s="512">
        <v>0.12148522881207768</v>
      </c>
      <c r="G24" s="512">
        <v>1.567642941218933</v>
      </c>
      <c r="H24" s="930">
        <v>0.91501537820781631</v>
      </c>
      <c r="I24" s="1235"/>
      <c r="L24" s="1239"/>
      <c r="M24" s="1240"/>
      <c r="P24" s="1239"/>
      <c r="Q24" s="1240"/>
      <c r="T24" s="1239"/>
      <c r="X24" s="1239"/>
    </row>
    <row r="25" spans="2:24" x14ac:dyDescent="0.25">
      <c r="B25" s="265" t="s">
        <v>105</v>
      </c>
      <c r="C25" s="209" t="s">
        <v>122</v>
      </c>
      <c r="D25" s="363">
        <v>3.15</v>
      </c>
      <c r="E25" s="929">
        <v>0.22963059567532315</v>
      </c>
      <c r="F25" s="512">
        <v>7.6544380780055377E-2</v>
      </c>
      <c r="G25" s="512">
        <v>1.4752863343511047</v>
      </c>
      <c r="H25" s="512">
        <v>0.61711841273476198</v>
      </c>
      <c r="I25" s="1235">
        <v>0.30666670324891632</v>
      </c>
      <c r="J25" s="1236">
        <v>0.1022277813939287</v>
      </c>
      <c r="K25" s="1236">
        <v>1.9701328279075716</v>
      </c>
      <c r="L25" s="1237">
        <v>0.82411268981511498</v>
      </c>
      <c r="M25" s="1235">
        <v>0.18351054538954811</v>
      </c>
      <c r="N25" s="1236">
        <v>6.1168219209483267E-2</v>
      </c>
      <c r="O25" s="1236">
        <v>1.1790311422219726</v>
      </c>
      <c r="P25" s="1237">
        <v>0.49319487847589727</v>
      </c>
      <c r="Q25" s="1235">
        <v>0.28136761828098128</v>
      </c>
      <c r="R25" s="1236">
        <v>0.10061406277737427</v>
      </c>
      <c r="S25" s="1236">
        <v>1.5467880393671445</v>
      </c>
      <c r="T25" s="1237">
        <v>0.76744244515008964</v>
      </c>
      <c r="U25" s="1236">
        <v>0.31892572225090593</v>
      </c>
      <c r="V25" s="1236">
        <v>0.1181443678488204</v>
      </c>
      <c r="W25" s="1236">
        <v>1.5986886705820771</v>
      </c>
      <c r="X25" s="1237">
        <v>0.87643909694465871</v>
      </c>
    </row>
    <row r="26" spans="2:24" x14ac:dyDescent="0.25">
      <c r="B26" s="265" t="s">
        <v>106</v>
      </c>
      <c r="C26" s="209" t="s">
        <v>92</v>
      </c>
      <c r="D26" s="512">
        <v>0.32371000000000005</v>
      </c>
      <c r="E26" s="929">
        <v>0.98039626973270333</v>
      </c>
      <c r="F26" s="512">
        <v>0.32119403859421752</v>
      </c>
      <c r="G26" s="512">
        <v>3.9352378499727756</v>
      </c>
      <c r="H26" s="930">
        <v>2.5074623440752157</v>
      </c>
      <c r="I26" s="1238"/>
      <c r="L26" s="1239"/>
      <c r="M26" s="1240"/>
      <c r="P26" s="1239"/>
      <c r="Q26" s="1240"/>
      <c r="T26" s="1239"/>
      <c r="X26" s="1239"/>
    </row>
    <row r="27" spans="2:24" x14ac:dyDescent="0.25">
      <c r="B27" s="265" t="s">
        <v>106</v>
      </c>
      <c r="C27" s="209" t="s">
        <v>122</v>
      </c>
      <c r="D27" s="363">
        <v>0.70413000000000003</v>
      </c>
      <c r="E27" s="929">
        <v>0.62611125565031545</v>
      </c>
      <c r="F27" s="512">
        <v>0.21220517830352426</v>
      </c>
      <c r="G27" s="512">
        <v>3.852277243130386</v>
      </c>
      <c r="H27" s="512">
        <v>1.7438213181765587</v>
      </c>
      <c r="I27" s="1235">
        <v>0.84494701775266601</v>
      </c>
      <c r="J27" s="1236">
        <v>0.28648534109434498</v>
      </c>
      <c r="K27" s="1236">
        <v>5.1955231241329747</v>
      </c>
      <c r="L27" s="1237">
        <v>2.351824980684706</v>
      </c>
      <c r="M27" s="1235">
        <v>0.49698655463452801</v>
      </c>
      <c r="N27" s="1236">
        <v>0.16837604827905894</v>
      </c>
      <c r="O27" s="1236">
        <v>3.0596879782367572</v>
      </c>
      <c r="P27" s="1237">
        <v>1.3850655262538196</v>
      </c>
      <c r="Q27" s="1235">
        <v>0.75765122586452316</v>
      </c>
      <c r="R27" s="1236">
        <v>0.27320175166671984</v>
      </c>
      <c r="S27" s="1236">
        <v>4.03395937523534</v>
      </c>
      <c r="T27" s="1237">
        <v>2.1292707506391113</v>
      </c>
      <c r="U27" s="1236">
        <v>0.85380925503463712</v>
      </c>
      <c r="V27" s="1236">
        <v>0.31802824336652064</v>
      </c>
      <c r="W27" s="1236">
        <v>4.1668058274336328</v>
      </c>
      <c r="X27" s="1237">
        <v>2.4090762282896812</v>
      </c>
    </row>
    <row r="28" spans="2:24" x14ac:dyDescent="0.25">
      <c r="B28" s="265" t="s">
        <v>107</v>
      </c>
      <c r="C28" s="209" t="s">
        <v>92</v>
      </c>
      <c r="D28" s="512">
        <v>0.33</v>
      </c>
      <c r="E28" s="929">
        <v>1.882244555664244</v>
      </c>
      <c r="F28" s="512">
        <v>0.52832171054424992</v>
      </c>
      <c r="G28" s="512">
        <v>6.2833045545688551</v>
      </c>
      <c r="H28" s="930">
        <v>4.0511944611651538</v>
      </c>
      <c r="I28" s="1238"/>
      <c r="L28" s="1239"/>
      <c r="M28" s="1240"/>
      <c r="P28" s="1239"/>
      <c r="Q28" s="1240"/>
      <c r="T28" s="1239"/>
      <c r="X28" s="1239"/>
    </row>
    <row r="29" spans="2:24" x14ac:dyDescent="0.25">
      <c r="B29" s="265" t="s">
        <v>107</v>
      </c>
      <c r="C29" s="209" t="s">
        <v>122</v>
      </c>
      <c r="D29" s="363">
        <v>3</v>
      </c>
      <c r="E29" s="929">
        <v>1.1133260184734246</v>
      </c>
      <c r="F29" s="512">
        <v>0.37954501064624213</v>
      </c>
      <c r="G29" s="512">
        <v>7.1450645746377441</v>
      </c>
      <c r="H29" s="512">
        <v>3.2030223434574343</v>
      </c>
      <c r="I29" s="1235">
        <v>1.3961634983720068</v>
      </c>
      <c r="J29" s="1236">
        <v>0.47604557633767397</v>
      </c>
      <c r="K29" s="1236">
        <v>8.9579522809527514</v>
      </c>
      <c r="L29" s="1237">
        <v>4.0156516187939326</v>
      </c>
      <c r="M29" s="1235">
        <v>0.92545956912142902</v>
      </c>
      <c r="N29" s="1236">
        <v>0.31544651444091298</v>
      </c>
      <c r="O29" s="1236">
        <v>5.9409547345278932</v>
      </c>
      <c r="P29" s="1237">
        <v>2.6632728543181323</v>
      </c>
      <c r="Q29" s="1235">
        <v>1.3623804144090248</v>
      </c>
      <c r="R29" s="1236">
        <v>0.49522525408336115</v>
      </c>
      <c r="S29" s="1236">
        <v>7.4889914111347036</v>
      </c>
      <c r="T29" s="1237">
        <v>3.9308769897192719</v>
      </c>
      <c r="U29" s="1236">
        <v>1.5439220543039844</v>
      </c>
      <c r="V29" s="1236">
        <v>0.57991708048145352</v>
      </c>
      <c r="W29" s="1236">
        <v>7.7397230480135049</v>
      </c>
      <c r="X29" s="1237">
        <v>4.4590197059721151</v>
      </c>
    </row>
    <row r="30" spans="2:24" x14ac:dyDescent="0.25">
      <c r="B30" s="265" t="s">
        <v>108</v>
      </c>
      <c r="C30" s="209" t="s">
        <v>92</v>
      </c>
      <c r="D30" s="512">
        <v>0.7434325684016676</v>
      </c>
      <c r="E30" s="929">
        <v>2.4252242515895586</v>
      </c>
      <c r="F30" s="512">
        <v>0.72765246142117301</v>
      </c>
      <c r="G30" s="512">
        <v>7.6451130226967843</v>
      </c>
      <c r="H30" s="930">
        <v>5.8310687206188447</v>
      </c>
      <c r="I30" s="1238"/>
      <c r="L30" s="1239"/>
      <c r="M30" s="1240"/>
      <c r="P30" s="1239"/>
      <c r="Q30" s="1240"/>
      <c r="T30" s="1239"/>
      <c r="X30" s="1239"/>
    </row>
    <row r="31" spans="2:24" x14ac:dyDescent="0.25">
      <c r="B31" s="265" t="s">
        <v>108</v>
      </c>
      <c r="C31" s="209" t="s">
        <v>122</v>
      </c>
      <c r="D31" s="363">
        <v>3.5</v>
      </c>
      <c r="E31" s="929">
        <v>1.2678609299139327</v>
      </c>
      <c r="F31" s="512">
        <v>0.43113906349971909</v>
      </c>
      <c r="G31" s="512">
        <v>8.152119041683628</v>
      </c>
      <c r="H31" s="512">
        <v>3.6017186528101814</v>
      </c>
      <c r="I31" s="1235">
        <v>1.5793059793161577</v>
      </c>
      <c r="J31" s="1236">
        <v>0.53713501903693983</v>
      </c>
      <c r="K31" s="1236">
        <v>10.151942166835465</v>
      </c>
      <c r="L31" s="1237">
        <v>4.4852386514791833</v>
      </c>
      <c r="M31" s="1235">
        <v>1.0588350549136949</v>
      </c>
      <c r="N31" s="1236">
        <v>0.36000005797343987</v>
      </c>
      <c r="O31" s="1236">
        <v>6.8099401222642895</v>
      </c>
      <c r="P31" s="1237">
        <v>3.0087452411445876</v>
      </c>
      <c r="Q31" s="1235">
        <v>1.5534793230373176</v>
      </c>
      <c r="R31" s="1236">
        <v>0.56389035944924681</v>
      </c>
      <c r="S31" s="1236">
        <v>8.5467811607352751</v>
      </c>
      <c r="T31" s="1237">
        <v>4.4337345406604021</v>
      </c>
      <c r="U31" s="1236">
        <v>1.7612741765179818</v>
      </c>
      <c r="V31" s="1236">
        <v>0.66084610960187817</v>
      </c>
      <c r="W31" s="1236">
        <v>8.8339090207983819</v>
      </c>
      <c r="X31" s="1237">
        <v>5.0372318369796396</v>
      </c>
    </row>
    <row r="32" spans="2:24" x14ac:dyDescent="0.25">
      <c r="B32" s="265" t="s">
        <v>109</v>
      </c>
      <c r="C32" s="209" t="s">
        <v>92</v>
      </c>
      <c r="D32" s="512">
        <v>0.35311999999999999</v>
      </c>
      <c r="E32" s="929">
        <v>0.86995918701082708</v>
      </c>
      <c r="F32" s="512">
        <v>0.27940724640258136</v>
      </c>
      <c r="G32" s="512">
        <v>2.5726386373044861</v>
      </c>
      <c r="H32" s="930">
        <v>2.2602965249483078</v>
      </c>
      <c r="I32" s="1238"/>
      <c r="L32" s="1239"/>
      <c r="M32" s="1240"/>
      <c r="P32" s="1239"/>
      <c r="Q32" s="1240"/>
      <c r="T32" s="1239"/>
      <c r="X32" s="1239"/>
    </row>
    <row r="33" spans="2:24" x14ac:dyDescent="0.25">
      <c r="B33" s="265" t="s">
        <v>109</v>
      </c>
      <c r="C33" s="209" t="s">
        <v>122</v>
      </c>
      <c r="D33" s="363">
        <v>0.91249000000000002</v>
      </c>
      <c r="E33" s="929">
        <v>0.43296503327047747</v>
      </c>
      <c r="F33" s="512">
        <v>0.15490096582555352</v>
      </c>
      <c r="G33" s="512">
        <v>2.6064531292407871</v>
      </c>
      <c r="H33" s="512">
        <v>1.4147262901464603</v>
      </c>
      <c r="I33" s="1235">
        <v>0.53711447082836195</v>
      </c>
      <c r="J33" s="1236">
        <v>0.19222693746030869</v>
      </c>
      <c r="K33" s="1236">
        <v>3.2319290345698972</v>
      </c>
      <c r="L33" s="1237">
        <v>1.7541384822004862</v>
      </c>
      <c r="M33" s="1235">
        <v>0.36257056538565074</v>
      </c>
      <c r="N33" s="1236">
        <v>0.12967239317775078</v>
      </c>
      <c r="O33" s="1236">
        <v>2.1836947341402015</v>
      </c>
      <c r="P33" s="1237">
        <v>1.1853180033784028</v>
      </c>
      <c r="Q33" s="1235">
        <v>0.521422908814269</v>
      </c>
      <c r="R33" s="1236">
        <v>0.19589057156044001</v>
      </c>
      <c r="S33" s="1236">
        <v>2.7286152169949931</v>
      </c>
      <c r="T33" s="1237">
        <v>1.6744798732861639</v>
      </c>
      <c r="U33" s="1236">
        <v>0.58625031025204599</v>
      </c>
      <c r="V33" s="1236">
        <v>0.22611826025403264</v>
      </c>
      <c r="W33" s="1236">
        <v>2.8181817195011072</v>
      </c>
      <c r="X33" s="1237">
        <v>1.8631145293781055</v>
      </c>
    </row>
    <row r="34" spans="2:24" x14ac:dyDescent="0.25">
      <c r="B34" s="265" t="s">
        <v>110</v>
      </c>
      <c r="C34" s="209" t="s">
        <v>92</v>
      </c>
      <c r="D34" s="512">
        <v>0.29699999999999999</v>
      </c>
      <c r="E34" s="929">
        <v>1.3566495896358768</v>
      </c>
      <c r="F34" s="512">
        <v>0.38500295047013938</v>
      </c>
      <c r="G34" s="512">
        <v>4.479313817504047</v>
      </c>
      <c r="H34" s="930">
        <v>3.0471284785562607</v>
      </c>
      <c r="I34" s="1235"/>
      <c r="L34" s="1239"/>
      <c r="M34" s="1240"/>
      <c r="P34" s="1239"/>
      <c r="Q34" s="1240"/>
      <c r="T34" s="1239"/>
      <c r="X34" s="1239"/>
    </row>
    <row r="35" spans="2:24" x14ac:dyDescent="0.25">
      <c r="B35" s="265" t="s">
        <v>110</v>
      </c>
      <c r="C35" s="209" t="s">
        <v>122</v>
      </c>
      <c r="D35" s="363">
        <v>0.72726000000000002</v>
      </c>
      <c r="E35" s="929">
        <v>0.79953842932222341</v>
      </c>
      <c r="F35" s="512">
        <v>0.27955011415831521</v>
      </c>
      <c r="G35" s="512">
        <v>5.0376570656552691</v>
      </c>
      <c r="H35" s="512">
        <v>2.4920571567717529</v>
      </c>
      <c r="I35" s="1235">
        <v>0.99600178194953193</v>
      </c>
      <c r="J35" s="1236">
        <v>0.3483230491209664</v>
      </c>
      <c r="K35" s="1236">
        <v>6.2729247256163223</v>
      </c>
      <c r="L35" s="1237">
        <v>3.103058830081781</v>
      </c>
      <c r="M35" s="1235">
        <v>0.66765543419412376</v>
      </c>
      <c r="N35" s="1236">
        <v>0.23338386154776636</v>
      </c>
      <c r="O35" s="1236">
        <v>4.2084391959147078</v>
      </c>
      <c r="P35" s="1237">
        <v>2.0819002703171852</v>
      </c>
      <c r="Q35" s="1235">
        <v>0.97468009335324113</v>
      </c>
      <c r="R35" s="1236">
        <v>0.3608969796543558</v>
      </c>
      <c r="S35" s="1236">
        <v>5.2796336422814161</v>
      </c>
      <c r="T35" s="1237">
        <v>3.0031582866578104</v>
      </c>
      <c r="U35" s="1236">
        <v>1.1022846298646409</v>
      </c>
      <c r="V35" s="1236">
        <v>0.42042047449428704</v>
      </c>
      <c r="W35" s="1236">
        <v>5.455946461696592</v>
      </c>
      <c r="X35" s="1237">
        <v>3.3739714200562139</v>
      </c>
    </row>
    <row r="36" spans="2:24" x14ac:dyDescent="0.25">
      <c r="B36" s="265" t="s">
        <v>111</v>
      </c>
      <c r="C36" s="209" t="s">
        <v>92</v>
      </c>
      <c r="D36" s="512">
        <v>0.23780000000000001</v>
      </c>
      <c r="E36" s="929">
        <v>0.25501105017031817</v>
      </c>
      <c r="F36" s="512">
        <v>5.1214713007933045E-2</v>
      </c>
      <c r="G36" s="512">
        <v>0.44842486824946459</v>
      </c>
      <c r="H36" s="930">
        <v>0.37512702201201509</v>
      </c>
      <c r="I36" s="1238"/>
      <c r="L36" s="1239"/>
      <c r="M36" s="1240"/>
      <c r="P36" s="1239"/>
      <c r="Q36" s="1240"/>
      <c r="T36" s="1239"/>
      <c r="X36" s="1239"/>
    </row>
    <row r="37" spans="2:24" x14ac:dyDescent="0.25">
      <c r="B37" s="265" t="s">
        <v>111</v>
      </c>
      <c r="C37" s="209" t="s">
        <v>122</v>
      </c>
      <c r="D37" s="363">
        <v>1.79</v>
      </c>
      <c r="E37" s="929">
        <v>4.3997530516402372E-2</v>
      </c>
      <c r="F37" s="512">
        <v>1.6261160302065047E-2</v>
      </c>
      <c r="G37" s="512">
        <v>0.24213500620995976</v>
      </c>
      <c r="H37" s="512">
        <v>0.15223805542403826</v>
      </c>
      <c r="I37" s="1235">
        <v>6.6862700245470488E-2</v>
      </c>
      <c r="J37" s="1236">
        <v>2.4716189253298101E-2</v>
      </c>
      <c r="K37" s="1236">
        <v>0.36786866220363168</v>
      </c>
      <c r="L37" s="1237">
        <v>0.23128197907793019</v>
      </c>
      <c r="M37" s="1235">
        <v>3.2752682931256265E-2</v>
      </c>
      <c r="N37" s="1236">
        <v>1.2103073569619505E-2</v>
      </c>
      <c r="O37" s="1236">
        <v>0.18030036952890577</v>
      </c>
      <c r="P37" s="1237">
        <v>0.11336497996600134</v>
      </c>
      <c r="Q37" s="1235">
        <v>5.2003067672798164E-2</v>
      </c>
      <c r="R37" s="1236">
        <v>1.9982202988187408E-2</v>
      </c>
      <c r="S37" s="1236">
        <v>0.25319691390827354</v>
      </c>
      <c r="T37" s="1237">
        <v>0.17554524023966456</v>
      </c>
      <c r="U37" s="1236">
        <v>5.7821673762160783E-2</v>
      </c>
      <c r="V37" s="1236">
        <v>2.2696567987684022E-2</v>
      </c>
      <c r="W37" s="1236">
        <v>0.26123662427148076</v>
      </c>
      <c r="X37" s="1237">
        <v>0.1924481722119698</v>
      </c>
    </row>
    <row r="38" spans="2:24" x14ac:dyDescent="0.25">
      <c r="B38" s="265" t="s">
        <v>112</v>
      </c>
      <c r="C38" s="209" t="s">
        <v>92</v>
      </c>
      <c r="D38" s="512">
        <v>0.28999999999999998</v>
      </c>
      <c r="E38" s="929">
        <v>4.7759989148965565E-2</v>
      </c>
      <c r="F38" s="512">
        <v>1.6312847462162945E-2</v>
      </c>
      <c r="G38" s="512">
        <v>0.14551545923694187</v>
      </c>
      <c r="H38" s="930">
        <v>0.1464691519399188</v>
      </c>
      <c r="I38" s="1238"/>
      <c r="L38" s="1239"/>
      <c r="M38" s="1240"/>
      <c r="P38" s="1239"/>
      <c r="Q38" s="1240"/>
      <c r="T38" s="1239"/>
      <c r="X38" s="1239"/>
    </row>
    <row r="39" spans="2:24" x14ac:dyDescent="0.25">
      <c r="B39" s="265" t="s">
        <v>112</v>
      </c>
      <c r="C39" s="209" t="s">
        <v>122</v>
      </c>
      <c r="D39" s="363">
        <v>1.33</v>
      </c>
      <c r="E39" s="929">
        <v>2.6008871129131934E-2</v>
      </c>
      <c r="F39" s="512">
        <v>1.0187055046492645E-2</v>
      </c>
      <c r="G39" s="512">
        <v>0.13727523414806592</v>
      </c>
      <c r="H39" s="512">
        <v>0.1048379461454262</v>
      </c>
      <c r="I39" s="1235">
        <v>3.6908158591149334E-2</v>
      </c>
      <c r="J39" s="1236">
        <v>1.4464593872499867E-2</v>
      </c>
      <c r="K39" s="1236">
        <v>0.19462698541594217</v>
      </c>
      <c r="L39" s="1237">
        <v>0.14861062635542066</v>
      </c>
      <c r="M39" s="1235">
        <v>2.006796625369078E-2</v>
      </c>
      <c r="N39" s="1236">
        <v>7.8554851297924985E-3</v>
      </c>
      <c r="O39" s="1236">
        <v>0.10601435662049989</v>
      </c>
      <c r="P39" s="1237">
        <v>8.0978651494268028E-2</v>
      </c>
      <c r="Q39" s="1235">
        <v>3.0444401143997702E-2</v>
      </c>
      <c r="R39" s="1236">
        <v>1.2240624603304049E-2</v>
      </c>
      <c r="S39" s="1236">
        <v>0.14339952532360672</v>
      </c>
      <c r="T39" s="1237">
        <v>0.11785862933833743</v>
      </c>
      <c r="U39" s="1236">
        <v>3.368676839995894E-2</v>
      </c>
      <c r="V39" s="1236">
        <v>1.3750277171646261E-2</v>
      </c>
      <c r="W39" s="1236">
        <v>0.14787785017949243</v>
      </c>
      <c r="X39" s="1237">
        <v>0.12731017261373098</v>
      </c>
    </row>
    <row r="40" spans="2:24" x14ac:dyDescent="0.25">
      <c r="B40" s="263" t="s">
        <v>113</v>
      </c>
      <c r="C40" s="208" t="s">
        <v>92</v>
      </c>
      <c r="D40" s="926">
        <v>1.55</v>
      </c>
      <c r="E40" s="927">
        <v>1.8479385636050434</v>
      </c>
      <c r="F40" s="926">
        <v>0.65743924195883885</v>
      </c>
      <c r="G40" s="926">
        <v>4.7620100132398537</v>
      </c>
      <c r="H40" s="928">
        <v>3.5166697397903137</v>
      </c>
      <c r="I40" s="1241"/>
      <c r="J40" s="1232"/>
      <c r="K40" s="1232"/>
      <c r="L40" s="1232"/>
      <c r="M40" s="1234"/>
      <c r="N40" s="1232"/>
      <c r="O40" s="1232"/>
      <c r="P40" s="1233"/>
      <c r="Q40" s="1234"/>
      <c r="R40" s="1232"/>
      <c r="S40" s="1232"/>
      <c r="T40" s="1233"/>
      <c r="U40" s="1232"/>
      <c r="V40" s="1232"/>
      <c r="W40" s="1232"/>
      <c r="X40" s="1233"/>
    </row>
    <row r="41" spans="2:24" x14ac:dyDescent="0.25">
      <c r="B41" s="265" t="s">
        <v>113</v>
      </c>
      <c r="C41" s="209" t="s">
        <v>122</v>
      </c>
      <c r="D41" s="363">
        <v>3.53</v>
      </c>
      <c r="E41" s="929">
        <v>1.4053779474884509</v>
      </c>
      <c r="F41" s="512">
        <v>0.5243933618612866</v>
      </c>
      <c r="G41" s="512">
        <v>5.158823611855242</v>
      </c>
      <c r="H41" s="512">
        <v>2.9287782336331478</v>
      </c>
      <c r="I41" s="1235">
        <v>1.5767250564313877</v>
      </c>
      <c r="J41" s="1236">
        <v>0.58563576569181308</v>
      </c>
      <c r="K41" s="1236">
        <v>6.1647031010965208</v>
      </c>
      <c r="L41" s="1236">
        <v>3.4667429649629979</v>
      </c>
      <c r="M41" s="1235">
        <v>1.2902814414839114</v>
      </c>
      <c r="N41" s="1236">
        <v>0.48314233193578904</v>
      </c>
      <c r="O41" s="1236">
        <v>4.4903385183140747</v>
      </c>
      <c r="P41" s="1237">
        <v>2.5689512972461417</v>
      </c>
      <c r="Q41" s="1235">
        <v>1.5409577957742406</v>
      </c>
      <c r="R41" s="1236">
        <v>0.58725117560091478</v>
      </c>
      <c r="S41" s="1236">
        <v>5.346082713288034</v>
      </c>
      <c r="T41" s="1237">
        <v>3.3266581036911673</v>
      </c>
      <c r="U41" s="1236">
        <v>1.6404064683561683</v>
      </c>
      <c r="V41" s="1236">
        <v>0.63362089756023166</v>
      </c>
      <c r="W41" s="1236">
        <v>5.4834810347525647</v>
      </c>
      <c r="X41" s="1237">
        <v>3.6162385929763845</v>
      </c>
    </row>
    <row r="42" spans="2:24" x14ac:dyDescent="0.25">
      <c r="B42" s="265" t="s">
        <v>114</v>
      </c>
      <c r="C42" s="209" t="s">
        <v>92</v>
      </c>
      <c r="D42" s="512">
        <v>0.84</v>
      </c>
      <c r="E42" s="929">
        <v>1.8110668011527451</v>
      </c>
      <c r="F42" s="512">
        <v>0.63922264225903125</v>
      </c>
      <c r="G42" s="512">
        <v>4.4400285977223337</v>
      </c>
      <c r="H42" s="930">
        <v>2.9941425872971488</v>
      </c>
      <c r="I42" s="1238"/>
      <c r="M42" s="1240"/>
      <c r="P42" s="1239"/>
      <c r="Q42" s="1240"/>
      <c r="T42" s="1239"/>
      <c r="X42" s="1239"/>
    </row>
    <row r="43" spans="2:24" x14ac:dyDescent="0.25">
      <c r="B43" s="265" t="s">
        <v>114</v>
      </c>
      <c r="C43" s="209" t="s">
        <v>122</v>
      </c>
      <c r="D43" s="363">
        <v>1.2788316801138424</v>
      </c>
      <c r="E43" s="929">
        <v>1.5365656111979311</v>
      </c>
      <c r="F43" s="512">
        <v>0.60032041503066358</v>
      </c>
      <c r="G43" s="512">
        <v>5.5993548387440635</v>
      </c>
      <c r="H43" s="512">
        <v>3.09065612150627</v>
      </c>
      <c r="I43" s="1235">
        <v>1.4769271101438357</v>
      </c>
      <c r="J43" s="1236">
        <v>0.56942201597745357</v>
      </c>
      <c r="K43" s="1236">
        <v>5.8204617667772869</v>
      </c>
      <c r="L43" s="1236">
        <v>3.1562493777118883</v>
      </c>
      <c r="M43" s="1235">
        <v>1.5859964811987521</v>
      </c>
      <c r="N43" s="1236">
        <v>0.6258884773185055</v>
      </c>
      <c r="O43" s="1236">
        <v>5.4144824142212347</v>
      </c>
      <c r="P43" s="1237">
        <v>3.0324917322786153</v>
      </c>
      <c r="Q43" s="1235">
        <v>1.6860357637547381</v>
      </c>
      <c r="R43" s="1236">
        <v>0.66946231209034601</v>
      </c>
      <c r="S43" s="1236">
        <v>5.8057016629300353</v>
      </c>
      <c r="T43" s="1237">
        <v>3.5304501239255681</v>
      </c>
      <c r="U43" s="1236">
        <v>1.7974419603618359</v>
      </c>
      <c r="V43" s="1236">
        <v>0.72131904164396932</v>
      </c>
      <c r="W43" s="1236">
        <v>5.9595477843486835</v>
      </c>
      <c r="X43" s="1237">
        <v>3.8554934642524912</v>
      </c>
    </row>
    <row r="44" spans="2:24" x14ac:dyDescent="0.25">
      <c r="B44" s="265" t="s">
        <v>2366</v>
      </c>
      <c r="C44" s="209" t="s">
        <v>92</v>
      </c>
      <c r="D44" s="512">
        <v>3.63</v>
      </c>
      <c r="E44" s="929">
        <v>9.6040421415442019</v>
      </c>
      <c r="F44" s="512">
        <v>3.998494581936983</v>
      </c>
      <c r="G44" s="512">
        <v>16.632778684186157</v>
      </c>
      <c r="H44" s="930">
        <v>23.043542327602516</v>
      </c>
      <c r="I44" s="1238"/>
      <c r="M44" s="1240"/>
      <c r="P44" s="1239"/>
      <c r="Q44" s="1240"/>
      <c r="T44" s="1239"/>
      <c r="X44" s="1239"/>
    </row>
    <row r="45" spans="2:24" x14ac:dyDescent="0.25">
      <c r="B45" s="265" t="s">
        <v>2366</v>
      </c>
      <c r="C45" s="209" t="s">
        <v>122</v>
      </c>
      <c r="D45" s="363">
        <v>4.5</v>
      </c>
      <c r="E45" s="929">
        <v>9.708976808842344</v>
      </c>
      <c r="F45" s="512">
        <v>4.1073129022075534</v>
      </c>
      <c r="G45" s="512">
        <v>18.031097082301589</v>
      </c>
      <c r="H45" s="930">
        <v>22.528063050171291</v>
      </c>
      <c r="I45" s="1235">
        <v>9.6148218836623407</v>
      </c>
      <c r="J45" s="1236">
        <v>4.0545982193341406</v>
      </c>
      <c r="K45" s="1236">
        <v>18.622708180271843</v>
      </c>
      <c r="L45" s="1236">
        <v>22.456364893042661</v>
      </c>
      <c r="M45" s="1235">
        <v>9.8219004180710545</v>
      </c>
      <c r="N45" s="1236">
        <v>4.1638748571772721</v>
      </c>
      <c r="O45" s="1236">
        <v>17.711760094424793</v>
      </c>
      <c r="P45" s="1237">
        <v>22.685929655322987</v>
      </c>
      <c r="Q45" s="1235">
        <v>9.8355964198999111</v>
      </c>
      <c r="R45" s="1236">
        <v>4.1658054391425532</v>
      </c>
      <c r="S45" s="1236">
        <v>18.206258783622513</v>
      </c>
      <c r="T45" s="1237">
        <v>22.900139861876205</v>
      </c>
      <c r="U45" s="1236">
        <v>11.493203178083865</v>
      </c>
      <c r="V45" s="1236">
        <v>4.938796354686021</v>
      </c>
      <c r="W45" s="1236">
        <v>20.481018744389068</v>
      </c>
      <c r="X45" s="1237">
        <v>27.781572953164577</v>
      </c>
    </row>
    <row r="46" spans="2:24" x14ac:dyDescent="0.25">
      <c r="B46" s="265" t="s">
        <v>115</v>
      </c>
      <c r="C46" s="209" t="s">
        <v>92</v>
      </c>
      <c r="D46" s="512">
        <v>0.35299999999999998</v>
      </c>
      <c r="E46" s="929">
        <v>0.74831386654046972</v>
      </c>
      <c r="F46" s="512">
        <v>0.29643285828045524</v>
      </c>
      <c r="G46" s="512">
        <v>1.3880996444812359</v>
      </c>
      <c r="H46" s="930">
        <v>1.500340949508512</v>
      </c>
      <c r="I46" s="1238"/>
      <c r="M46" s="1240"/>
      <c r="P46" s="1239"/>
      <c r="Q46" s="1240"/>
      <c r="T46" s="1239"/>
      <c r="X46" s="1239"/>
    </row>
    <row r="47" spans="2:24" x14ac:dyDescent="0.25">
      <c r="B47" s="265" t="s">
        <v>115</v>
      </c>
      <c r="C47" s="209" t="s">
        <v>122</v>
      </c>
      <c r="D47" s="363">
        <v>0.4819</v>
      </c>
      <c r="E47" s="929">
        <v>0.71660557782690948</v>
      </c>
      <c r="F47" s="512">
        <v>0.28813759788684795</v>
      </c>
      <c r="G47" s="512">
        <v>1.503184187940944</v>
      </c>
      <c r="H47" s="512">
        <v>1.4271025101958434</v>
      </c>
      <c r="I47" s="1235">
        <v>0.82636487618508347</v>
      </c>
      <c r="J47" s="1236">
        <v>0.3315779818775626</v>
      </c>
      <c r="K47" s="1236">
        <v>1.8348669242836908</v>
      </c>
      <c r="L47" s="1236">
        <v>1.6846773345447414</v>
      </c>
      <c r="M47" s="1235">
        <v>0.63689768050096485</v>
      </c>
      <c r="N47" s="1236">
        <v>0.25643343299195476</v>
      </c>
      <c r="O47" s="1236">
        <v>1.2816774736673284</v>
      </c>
      <c r="P47" s="1237">
        <v>1.2469640781953415</v>
      </c>
      <c r="Q47" s="1235">
        <v>0.72769617237024098</v>
      </c>
      <c r="R47" s="1236">
        <v>0.29325529826129537</v>
      </c>
      <c r="S47" s="1236">
        <v>1.5185130919835663</v>
      </c>
      <c r="T47" s="1237">
        <v>1.4597702707582614</v>
      </c>
      <c r="U47" s="1236">
        <v>0.83500331181362497</v>
      </c>
      <c r="V47" s="1236">
        <v>0.34331975604278026</v>
      </c>
      <c r="W47" s="1236">
        <v>1.665814202100101</v>
      </c>
      <c r="X47" s="1237">
        <v>1.7757456617750782</v>
      </c>
    </row>
    <row r="48" spans="2:24" x14ac:dyDescent="0.25">
      <c r="B48" s="265" t="s">
        <v>116</v>
      </c>
      <c r="C48" s="209" t="s">
        <v>92</v>
      </c>
      <c r="D48" s="512">
        <v>2.118052738336714</v>
      </c>
      <c r="E48" s="929">
        <v>1.8374400716538148</v>
      </c>
      <c r="F48" s="512">
        <v>0.66659483826066512</v>
      </c>
      <c r="G48" s="512">
        <v>4.3675712862424998</v>
      </c>
      <c r="H48" s="930">
        <v>3.1556034309307379</v>
      </c>
      <c r="I48" s="1238"/>
      <c r="M48" s="1240"/>
      <c r="P48" s="1239"/>
      <c r="Q48" s="1240"/>
      <c r="T48" s="1239"/>
      <c r="X48" s="1239"/>
    </row>
    <row r="49" spans="2:24" x14ac:dyDescent="0.25">
      <c r="B49" s="268" t="s">
        <v>116</v>
      </c>
      <c r="C49" s="211" t="s">
        <v>122</v>
      </c>
      <c r="D49" s="932">
        <v>4.3927738336713995</v>
      </c>
      <c r="E49" s="931">
        <v>1.4886756375805104</v>
      </c>
      <c r="F49" s="933">
        <v>0.59183033060264867</v>
      </c>
      <c r="G49" s="933">
        <v>5.006486880400125</v>
      </c>
      <c r="H49" s="933">
        <v>2.8477796755989266</v>
      </c>
      <c r="I49" s="1242">
        <v>1.6849974206755265</v>
      </c>
      <c r="J49" s="1243">
        <v>0.66071749032674754</v>
      </c>
      <c r="K49" s="1243">
        <v>6.1645915337797526</v>
      </c>
      <c r="L49" s="1243">
        <v>3.4468989006647512</v>
      </c>
      <c r="M49" s="1242">
        <v>1.3590738597523431</v>
      </c>
      <c r="N49" s="1243">
        <v>0.54600035113656631</v>
      </c>
      <c r="O49" s="1243">
        <v>4.2651773554923214</v>
      </c>
      <c r="P49" s="1244">
        <v>2.4602766063306341</v>
      </c>
      <c r="Q49" s="1242">
        <v>1.615266151000784</v>
      </c>
      <c r="R49" s="1243">
        <v>0.65031489542743581</v>
      </c>
      <c r="S49" s="1243">
        <v>5.1812031117552708</v>
      </c>
      <c r="T49" s="1244">
        <v>3.2209513504643068</v>
      </c>
      <c r="U49" s="1243">
        <v>1.7096913905214182</v>
      </c>
      <c r="V49" s="1243">
        <v>0.69422725020245668</v>
      </c>
      <c r="W49" s="1243">
        <v>5.3115746736509193</v>
      </c>
      <c r="X49" s="1244">
        <v>3.4968426850186791</v>
      </c>
    </row>
    <row r="50" spans="2:24" x14ac:dyDescent="0.25">
      <c r="D50" s="363"/>
      <c r="E50" s="820"/>
      <c r="F50" s="512"/>
      <c r="G50" s="512"/>
      <c r="H50" s="512"/>
    </row>
    <row r="51" spans="2:24" x14ac:dyDescent="0.25">
      <c r="D51" s="363"/>
      <c r="E51" s="820"/>
      <c r="F51" s="512"/>
      <c r="G51" s="512"/>
      <c r="H51" s="512"/>
      <c r="I51" s="1236"/>
      <c r="J51" s="1236"/>
      <c r="K51" s="1236"/>
      <c r="L51" s="1236"/>
      <c r="M51" s="1236"/>
      <c r="N51" s="1236"/>
      <c r="O51" s="1236"/>
      <c r="P51" s="1236"/>
      <c r="Q51" s="1236"/>
      <c r="R51" s="1236"/>
      <c r="S51" s="1236"/>
      <c r="T51" s="1236"/>
      <c r="U51" s="1236"/>
      <c r="V51" s="1236"/>
      <c r="W51" s="1236"/>
    </row>
    <row r="52" spans="2:24" x14ac:dyDescent="0.25">
      <c r="D52" s="363"/>
      <c r="E52" s="820"/>
      <c r="F52" s="512"/>
      <c r="G52" s="512"/>
      <c r="H52" s="512"/>
    </row>
    <row r="53" spans="2:24" x14ac:dyDescent="0.25">
      <c r="D53" s="363"/>
      <c r="E53" s="820"/>
      <c r="F53" s="512"/>
      <c r="G53" s="512"/>
      <c r="H53" s="512"/>
      <c r="I53" s="1236"/>
      <c r="J53" s="1236"/>
      <c r="K53" s="1236"/>
      <c r="L53" s="1226"/>
      <c r="M53" s="1236"/>
      <c r="N53" s="1236"/>
      <c r="O53" s="1236"/>
      <c r="P53" s="1236"/>
      <c r="Q53" s="1236"/>
      <c r="R53" s="1236"/>
      <c r="S53" s="1236"/>
      <c r="T53" s="1236"/>
      <c r="U53" s="1236"/>
      <c r="V53" s="1236"/>
      <c r="W53" s="1236"/>
    </row>
    <row r="54" spans="2:24" x14ac:dyDescent="0.25">
      <c r="D54" s="363"/>
      <c r="E54" s="820"/>
      <c r="F54" s="512"/>
      <c r="G54" s="512"/>
      <c r="H54" s="512"/>
    </row>
    <row r="55" spans="2:24" x14ac:dyDescent="0.25">
      <c r="D55" s="363"/>
      <c r="E55" s="820"/>
      <c r="F55" s="512"/>
      <c r="G55" s="512"/>
      <c r="H55" s="512"/>
    </row>
    <row r="56" spans="2:24" x14ac:dyDescent="0.25">
      <c r="D56" s="363"/>
      <c r="E56" s="820"/>
      <c r="F56" s="512"/>
      <c r="G56" s="512"/>
      <c r="H56" s="512"/>
    </row>
    <row r="57" spans="2:24" x14ac:dyDescent="0.25">
      <c r="D57" s="363"/>
      <c r="E57" s="820"/>
      <c r="F57" s="512"/>
      <c r="G57" s="512"/>
      <c r="H57" s="512"/>
    </row>
    <row r="58" spans="2:24" x14ac:dyDescent="0.25">
      <c r="D58" s="363"/>
      <c r="E58" s="820"/>
      <c r="F58" s="512"/>
      <c r="G58" s="512"/>
      <c r="H58" s="512"/>
    </row>
    <row r="59" spans="2:24" x14ac:dyDescent="0.25">
      <c r="D59" s="363"/>
      <c r="E59" s="820"/>
      <c r="F59" s="512"/>
      <c r="G59" s="512"/>
      <c r="H59" s="512"/>
    </row>
    <row r="60" spans="2:24" x14ac:dyDescent="0.25">
      <c r="D60" s="363"/>
      <c r="E60" s="820"/>
      <c r="F60" s="512"/>
      <c r="G60" s="512"/>
      <c r="H60" s="512"/>
    </row>
    <row r="61" spans="2:24" x14ac:dyDescent="0.25">
      <c r="D61" s="363"/>
      <c r="E61" s="820"/>
      <c r="F61" s="512"/>
      <c r="G61" s="512"/>
      <c r="H61" s="512"/>
    </row>
    <row r="62" spans="2:24" x14ac:dyDescent="0.25">
      <c r="D62" s="363"/>
      <c r="E62" s="820"/>
      <c r="F62" s="512"/>
      <c r="G62" s="512"/>
      <c r="H62" s="512"/>
    </row>
    <row r="63" spans="2:24" x14ac:dyDescent="0.25">
      <c r="D63" s="363"/>
      <c r="E63" s="820"/>
      <c r="F63" s="512"/>
      <c r="G63" s="512"/>
      <c r="H63" s="512"/>
    </row>
    <row r="64" spans="2:24" x14ac:dyDescent="0.25">
      <c r="D64" s="363"/>
      <c r="E64" s="820"/>
      <c r="F64" s="512"/>
      <c r="G64" s="512"/>
      <c r="H64" s="512"/>
    </row>
    <row r="65" spans="4:8" x14ac:dyDescent="0.25">
      <c r="D65" s="363"/>
      <c r="E65" s="820"/>
      <c r="F65" s="512"/>
      <c r="G65" s="512"/>
      <c r="H65" s="512"/>
    </row>
    <row r="66" spans="4:8" x14ac:dyDescent="0.25">
      <c r="D66" s="363"/>
      <c r="E66" s="820"/>
      <c r="F66" s="512"/>
      <c r="G66" s="512"/>
      <c r="H66" s="512"/>
    </row>
    <row r="67" spans="4:8" x14ac:dyDescent="0.25">
      <c r="D67" s="363"/>
      <c r="E67" s="820"/>
      <c r="F67" s="512"/>
      <c r="G67" s="512"/>
      <c r="H67" s="512"/>
    </row>
    <row r="68" spans="4:8" x14ac:dyDescent="0.25">
      <c r="D68" s="363"/>
      <c r="E68" s="820"/>
      <c r="F68" s="512"/>
      <c r="G68" s="512"/>
      <c r="H68" s="512"/>
    </row>
    <row r="69" spans="4:8" x14ac:dyDescent="0.25">
      <c r="D69" s="363"/>
      <c r="E69" s="820"/>
      <c r="F69" s="512"/>
      <c r="G69" s="512"/>
      <c r="H69" s="512"/>
    </row>
    <row r="70" spans="4:8" x14ac:dyDescent="0.25">
      <c r="D70" s="363"/>
      <c r="E70" s="820"/>
      <c r="F70" s="512"/>
      <c r="G70" s="512"/>
      <c r="H70" s="512"/>
    </row>
    <row r="71" spans="4:8" x14ac:dyDescent="0.25">
      <c r="D71" s="363"/>
      <c r="E71" s="820"/>
      <c r="F71" s="512"/>
      <c r="G71" s="512"/>
      <c r="H71" s="512"/>
    </row>
    <row r="72" spans="4:8" x14ac:dyDescent="0.25">
      <c r="D72" s="363"/>
      <c r="E72" s="820"/>
      <c r="F72" s="512"/>
      <c r="G72" s="512"/>
      <c r="H72" s="512"/>
    </row>
    <row r="73" spans="4:8" x14ac:dyDescent="0.25">
      <c r="D73" s="363"/>
      <c r="E73" s="820"/>
      <c r="F73" s="512"/>
      <c r="G73" s="512"/>
      <c r="H73" s="512"/>
    </row>
    <row r="74" spans="4:8" x14ac:dyDescent="0.25">
      <c r="D74" s="363"/>
      <c r="E74" s="820"/>
      <c r="F74" s="512"/>
      <c r="G74" s="512"/>
      <c r="H74" s="512"/>
    </row>
    <row r="75" spans="4:8" x14ac:dyDescent="0.25">
      <c r="D75" s="363"/>
      <c r="E75" s="820"/>
      <c r="F75" s="512"/>
      <c r="G75" s="512"/>
      <c r="H75" s="512"/>
    </row>
    <row r="76" spans="4:8" x14ac:dyDescent="0.25">
      <c r="D76" s="363"/>
      <c r="E76" s="820"/>
      <c r="F76" s="512"/>
      <c r="G76" s="512"/>
      <c r="H76" s="512"/>
    </row>
    <row r="77" spans="4:8" x14ac:dyDescent="0.25">
      <c r="D77" s="363"/>
      <c r="E77" s="820"/>
      <c r="F77" s="512"/>
      <c r="G77" s="512"/>
      <c r="H77" s="512"/>
    </row>
    <row r="78" spans="4:8" x14ac:dyDescent="0.25">
      <c r="D78" s="363"/>
      <c r="E78" s="820"/>
      <c r="F78" s="512"/>
      <c r="G78" s="512"/>
      <c r="H78" s="512"/>
    </row>
    <row r="79" spans="4:8" x14ac:dyDescent="0.25">
      <c r="D79" s="363"/>
      <c r="E79" s="820"/>
      <c r="F79" s="512"/>
      <c r="G79" s="512"/>
      <c r="H79" s="512"/>
    </row>
    <row r="80" spans="4:8" x14ac:dyDescent="0.25">
      <c r="D80" s="363"/>
      <c r="E80" s="820"/>
      <c r="F80" s="512"/>
      <c r="G80" s="512"/>
      <c r="H80" s="512"/>
    </row>
    <row r="81" spans="4:8" x14ac:dyDescent="0.25">
      <c r="D81" s="363"/>
      <c r="E81" s="820"/>
      <c r="F81" s="512"/>
      <c r="G81" s="512"/>
      <c r="H81" s="512"/>
    </row>
    <row r="82" spans="4:8" x14ac:dyDescent="0.25">
      <c r="D82" s="363"/>
      <c r="E82" s="820"/>
      <c r="F82" s="512"/>
      <c r="G82" s="512"/>
      <c r="H82" s="512"/>
    </row>
    <row r="83" spans="4:8" x14ac:dyDescent="0.25">
      <c r="D83" s="363"/>
      <c r="E83" s="820"/>
      <c r="F83" s="512"/>
      <c r="G83" s="512"/>
      <c r="H83" s="512"/>
    </row>
    <row r="84" spans="4:8" x14ac:dyDescent="0.25">
      <c r="D84" s="363"/>
      <c r="E84" s="820"/>
      <c r="F84" s="512"/>
      <c r="G84" s="512"/>
      <c r="H84" s="512"/>
    </row>
    <row r="85" spans="4:8" x14ac:dyDescent="0.25">
      <c r="D85" s="363"/>
      <c r="E85" s="820"/>
      <c r="F85" s="512"/>
      <c r="G85" s="512"/>
      <c r="H85" s="512"/>
    </row>
    <row r="86" spans="4:8" x14ac:dyDescent="0.25">
      <c r="D86" s="363"/>
      <c r="E86" s="820"/>
      <c r="F86" s="512"/>
      <c r="G86" s="512"/>
      <c r="H86" s="512"/>
    </row>
    <row r="87" spans="4:8" x14ac:dyDescent="0.25">
      <c r="D87" s="363"/>
      <c r="E87" s="820"/>
      <c r="F87" s="512"/>
      <c r="G87" s="512"/>
      <c r="H87" s="512"/>
    </row>
    <row r="88" spans="4:8" x14ac:dyDescent="0.25">
      <c r="D88" s="363"/>
      <c r="E88" s="820"/>
      <c r="F88" s="512"/>
      <c r="G88" s="512"/>
      <c r="H88" s="512"/>
    </row>
    <row r="89" spans="4:8" x14ac:dyDescent="0.25">
      <c r="D89" s="363"/>
      <c r="E89" s="820"/>
      <c r="F89" s="512"/>
      <c r="G89" s="512"/>
      <c r="H89" s="512"/>
    </row>
    <row r="90" spans="4:8" x14ac:dyDescent="0.25">
      <c r="D90" s="363"/>
      <c r="E90" s="820"/>
      <c r="F90" s="512"/>
      <c r="G90" s="512"/>
      <c r="H90" s="512"/>
    </row>
    <row r="91" spans="4:8" x14ac:dyDescent="0.25">
      <c r="D91" s="363"/>
      <c r="E91" s="820"/>
      <c r="F91" s="512"/>
      <c r="G91" s="512"/>
      <c r="H91" s="512"/>
    </row>
    <row r="92" spans="4:8" x14ac:dyDescent="0.25">
      <c r="D92" s="363"/>
      <c r="E92" s="820"/>
      <c r="F92" s="512"/>
      <c r="G92" s="512"/>
      <c r="H92" s="512"/>
    </row>
    <row r="93" spans="4:8" x14ac:dyDescent="0.25">
      <c r="D93" s="363"/>
      <c r="E93" s="820"/>
      <c r="F93" s="512"/>
      <c r="G93" s="512"/>
      <c r="H93" s="512"/>
    </row>
    <row r="94" spans="4:8" x14ac:dyDescent="0.25">
      <c r="D94" s="363"/>
      <c r="E94" s="820"/>
      <c r="F94" s="512"/>
      <c r="G94" s="512"/>
      <c r="H94" s="512"/>
    </row>
    <row r="95" spans="4:8" x14ac:dyDescent="0.25">
      <c r="D95" s="363"/>
      <c r="E95" s="820"/>
      <c r="F95" s="512"/>
      <c r="G95" s="512"/>
      <c r="H95" s="512"/>
    </row>
    <row r="96" spans="4:8" x14ac:dyDescent="0.25">
      <c r="D96" s="363"/>
      <c r="E96" s="820"/>
      <c r="F96" s="512"/>
      <c r="G96" s="512"/>
      <c r="H96" s="512"/>
    </row>
    <row r="97" spans="4:8" x14ac:dyDescent="0.25">
      <c r="D97" s="363"/>
      <c r="E97" s="820"/>
      <c r="F97" s="512"/>
      <c r="G97" s="512"/>
      <c r="H97" s="512"/>
    </row>
    <row r="98" spans="4:8" x14ac:dyDescent="0.25">
      <c r="D98" s="363"/>
      <c r="E98" s="820"/>
      <c r="F98" s="512"/>
      <c r="G98" s="512"/>
      <c r="H98" s="512"/>
    </row>
    <row r="99" spans="4:8" x14ac:dyDescent="0.25">
      <c r="D99" s="363"/>
      <c r="E99" s="820"/>
      <c r="F99" s="512"/>
      <c r="G99" s="512"/>
      <c r="H99" s="512"/>
    </row>
    <row r="100" spans="4:8" x14ac:dyDescent="0.25">
      <c r="D100" s="363"/>
      <c r="E100" s="820"/>
      <c r="F100" s="512"/>
      <c r="G100" s="512"/>
      <c r="H100" s="512"/>
    </row>
    <row r="101" spans="4:8" x14ac:dyDescent="0.25">
      <c r="D101" s="363"/>
      <c r="E101" s="820"/>
      <c r="F101" s="512"/>
      <c r="G101" s="512"/>
      <c r="H101" s="512"/>
    </row>
    <row r="102" spans="4:8" x14ac:dyDescent="0.25">
      <c r="D102" s="363"/>
      <c r="E102" s="820"/>
      <c r="F102" s="512"/>
      <c r="G102" s="512"/>
      <c r="H102" s="512"/>
    </row>
    <row r="103" spans="4:8" x14ac:dyDescent="0.25">
      <c r="D103" s="363"/>
      <c r="E103" s="820"/>
      <c r="F103" s="512"/>
      <c r="G103" s="512"/>
      <c r="H103" s="512"/>
    </row>
    <row r="104" spans="4:8" x14ac:dyDescent="0.25">
      <c r="D104" s="363"/>
      <c r="E104" s="820"/>
      <c r="F104" s="512"/>
      <c r="G104" s="512"/>
      <c r="H104" s="512"/>
    </row>
    <row r="105" spans="4:8" x14ac:dyDescent="0.25">
      <c r="D105" s="363"/>
      <c r="E105" s="820"/>
      <c r="F105" s="512"/>
      <c r="G105" s="512"/>
      <c r="H105" s="512"/>
    </row>
    <row r="106" spans="4:8" x14ac:dyDescent="0.25">
      <c r="D106" s="363"/>
      <c r="E106" s="820"/>
      <c r="F106" s="512"/>
      <c r="G106" s="512"/>
      <c r="H106" s="512"/>
    </row>
    <row r="107" spans="4:8" x14ac:dyDescent="0.25">
      <c r="D107" s="363"/>
      <c r="E107" s="820"/>
      <c r="F107" s="512"/>
      <c r="G107" s="512"/>
      <c r="H107" s="512"/>
    </row>
    <row r="108" spans="4:8" x14ac:dyDescent="0.25">
      <c r="D108" s="363"/>
      <c r="E108" s="820"/>
      <c r="F108" s="512"/>
      <c r="G108" s="512"/>
      <c r="H108" s="512"/>
    </row>
    <row r="109" spans="4:8" x14ac:dyDescent="0.25">
      <c r="D109" s="363"/>
      <c r="E109" s="820"/>
      <c r="F109" s="512"/>
      <c r="G109" s="512"/>
      <c r="H109" s="512"/>
    </row>
    <row r="110" spans="4:8" x14ac:dyDescent="0.25">
      <c r="D110" s="363"/>
      <c r="E110" s="820"/>
      <c r="F110" s="512"/>
      <c r="G110" s="512"/>
      <c r="H110" s="512"/>
    </row>
    <row r="111" spans="4:8" x14ac:dyDescent="0.25">
      <c r="D111" s="363"/>
      <c r="E111" s="820"/>
      <c r="F111" s="512"/>
      <c r="G111" s="512"/>
      <c r="H111" s="512"/>
    </row>
    <row r="112" spans="4:8" x14ac:dyDescent="0.25">
      <c r="D112" s="363"/>
      <c r="E112" s="820"/>
      <c r="F112" s="512"/>
      <c r="G112" s="512"/>
      <c r="H112" s="512"/>
    </row>
    <row r="113" spans="4:8" x14ac:dyDescent="0.25">
      <c r="D113" s="363"/>
      <c r="E113" s="820"/>
      <c r="F113" s="512"/>
      <c r="G113" s="512"/>
      <c r="H113" s="512"/>
    </row>
    <row r="114" spans="4:8" x14ac:dyDescent="0.25">
      <c r="D114" s="363"/>
      <c r="E114" s="820"/>
      <c r="F114" s="512"/>
      <c r="G114" s="512"/>
      <c r="H114" s="512"/>
    </row>
    <row r="115" spans="4:8" x14ac:dyDescent="0.25">
      <c r="D115" s="363"/>
      <c r="E115" s="820"/>
      <c r="F115" s="512"/>
      <c r="G115" s="512"/>
      <c r="H115" s="512"/>
    </row>
    <row r="116" spans="4:8" x14ac:dyDescent="0.25">
      <c r="D116" s="363"/>
      <c r="E116" s="820"/>
      <c r="F116" s="512"/>
      <c r="G116" s="512"/>
      <c r="H116" s="512"/>
    </row>
    <row r="117" spans="4:8" x14ac:dyDescent="0.25">
      <c r="D117" s="363"/>
      <c r="E117" s="820"/>
      <c r="F117" s="512"/>
      <c r="G117" s="512"/>
      <c r="H117" s="512"/>
    </row>
    <row r="118" spans="4:8" x14ac:dyDescent="0.25">
      <c r="D118" s="363"/>
      <c r="E118" s="820"/>
      <c r="F118" s="512"/>
      <c r="G118" s="512"/>
      <c r="H118" s="512"/>
    </row>
    <row r="119" spans="4:8" x14ac:dyDescent="0.25">
      <c r="D119" s="363"/>
      <c r="E119" s="820"/>
      <c r="F119" s="512"/>
      <c r="G119" s="512"/>
      <c r="H119" s="512"/>
    </row>
    <row r="120" spans="4:8" x14ac:dyDescent="0.25">
      <c r="D120" s="363"/>
      <c r="E120" s="820"/>
      <c r="F120" s="512"/>
      <c r="G120" s="512"/>
      <c r="H120" s="512"/>
    </row>
    <row r="121" spans="4:8" x14ac:dyDescent="0.25">
      <c r="D121" s="363"/>
      <c r="E121" s="820"/>
      <c r="F121" s="512"/>
      <c r="G121" s="512"/>
      <c r="H121" s="512"/>
    </row>
    <row r="122" spans="4:8" x14ac:dyDescent="0.25">
      <c r="D122" s="363"/>
      <c r="E122" s="820"/>
      <c r="F122" s="512"/>
      <c r="G122" s="512"/>
      <c r="H122" s="512"/>
    </row>
    <row r="123" spans="4:8" x14ac:dyDescent="0.25">
      <c r="D123" s="363"/>
      <c r="E123" s="820"/>
      <c r="F123" s="512"/>
      <c r="G123" s="512"/>
      <c r="H123" s="512"/>
    </row>
    <row r="124" spans="4:8" x14ac:dyDescent="0.25">
      <c r="D124" s="363"/>
      <c r="E124" s="820"/>
      <c r="F124" s="512"/>
      <c r="G124" s="512"/>
      <c r="H124" s="512"/>
    </row>
    <row r="125" spans="4:8" x14ac:dyDescent="0.25">
      <c r="D125" s="363"/>
      <c r="E125" s="820"/>
      <c r="F125" s="512"/>
      <c r="G125" s="512"/>
      <c r="H125" s="512"/>
    </row>
    <row r="126" spans="4:8" x14ac:dyDescent="0.25">
      <c r="D126" s="363"/>
      <c r="E126" s="820"/>
      <c r="F126" s="512"/>
      <c r="G126" s="512"/>
      <c r="H126" s="512"/>
    </row>
    <row r="127" spans="4:8" x14ac:dyDescent="0.25">
      <c r="D127" s="363"/>
      <c r="E127" s="820"/>
      <c r="F127" s="512"/>
      <c r="G127" s="512"/>
      <c r="H127" s="512"/>
    </row>
    <row r="128" spans="4:8" x14ac:dyDescent="0.25">
      <c r="D128" s="363"/>
      <c r="E128" s="820"/>
      <c r="F128" s="512"/>
      <c r="G128" s="512"/>
      <c r="H128" s="512"/>
    </row>
    <row r="129" spans="4:8" x14ac:dyDescent="0.25">
      <c r="D129" s="363"/>
      <c r="E129" s="820"/>
      <c r="F129" s="512"/>
      <c r="G129" s="512"/>
      <c r="H129" s="512"/>
    </row>
    <row r="130" spans="4:8" x14ac:dyDescent="0.25">
      <c r="D130" s="363"/>
      <c r="E130" s="820"/>
      <c r="F130" s="512"/>
      <c r="G130" s="512"/>
      <c r="H130" s="512"/>
    </row>
    <row r="131" spans="4:8" x14ac:dyDescent="0.25">
      <c r="D131" s="363"/>
      <c r="E131" s="820"/>
      <c r="F131" s="512"/>
      <c r="G131" s="512"/>
      <c r="H131" s="512"/>
    </row>
    <row r="132" spans="4:8" x14ac:dyDescent="0.25">
      <c r="D132" s="363"/>
      <c r="E132" s="820"/>
      <c r="F132" s="512"/>
      <c r="G132" s="512"/>
      <c r="H132" s="512"/>
    </row>
    <row r="133" spans="4:8" x14ac:dyDescent="0.25">
      <c r="D133" s="363"/>
      <c r="E133" s="820"/>
      <c r="F133" s="512"/>
      <c r="G133" s="512"/>
      <c r="H133" s="512"/>
    </row>
    <row r="134" spans="4:8" x14ac:dyDescent="0.25">
      <c r="D134" s="363"/>
      <c r="E134" s="820"/>
      <c r="F134" s="512"/>
      <c r="G134" s="512"/>
      <c r="H134" s="512"/>
    </row>
    <row r="135" spans="4:8" x14ac:dyDescent="0.25">
      <c r="D135" s="363"/>
      <c r="E135" s="820"/>
      <c r="F135" s="512"/>
      <c r="G135" s="512"/>
      <c r="H135" s="512"/>
    </row>
    <row r="136" spans="4:8" x14ac:dyDescent="0.25">
      <c r="D136" s="363"/>
      <c r="E136" s="820"/>
      <c r="F136" s="512"/>
      <c r="G136" s="512"/>
      <c r="H136" s="512"/>
    </row>
    <row r="137" spans="4:8" x14ac:dyDescent="0.25">
      <c r="D137" s="363"/>
      <c r="E137" s="820"/>
      <c r="F137" s="512"/>
      <c r="G137" s="512"/>
      <c r="H137" s="512"/>
    </row>
    <row r="138" spans="4:8" x14ac:dyDescent="0.25">
      <c r="D138" s="363"/>
      <c r="E138" s="820"/>
      <c r="F138" s="512"/>
      <c r="G138" s="512"/>
      <c r="H138" s="512"/>
    </row>
    <row r="139" spans="4:8" x14ac:dyDescent="0.25">
      <c r="D139" s="363"/>
      <c r="E139" s="820"/>
      <c r="F139" s="512"/>
      <c r="G139" s="512"/>
      <c r="H139" s="512"/>
    </row>
    <row r="140" spans="4:8" x14ac:dyDescent="0.25">
      <c r="D140" s="363"/>
      <c r="E140" s="820"/>
      <c r="F140" s="512"/>
      <c r="G140" s="512"/>
      <c r="H140" s="512"/>
    </row>
    <row r="141" spans="4:8" x14ac:dyDescent="0.25">
      <c r="D141" s="363"/>
      <c r="E141" s="820"/>
      <c r="F141" s="512"/>
      <c r="G141" s="512"/>
      <c r="H141" s="512"/>
    </row>
    <row r="142" spans="4:8" x14ac:dyDescent="0.25">
      <c r="D142" s="363"/>
      <c r="E142" s="820"/>
      <c r="F142" s="512"/>
      <c r="G142" s="512"/>
      <c r="H142" s="512"/>
    </row>
    <row r="143" spans="4:8" x14ac:dyDescent="0.25">
      <c r="D143" s="363"/>
      <c r="E143" s="820"/>
      <c r="F143" s="512"/>
      <c r="G143" s="512"/>
      <c r="H143" s="512"/>
    </row>
    <row r="144" spans="4:8" x14ac:dyDescent="0.25">
      <c r="D144" s="363"/>
      <c r="E144" s="820"/>
      <c r="F144" s="512"/>
      <c r="G144" s="512"/>
      <c r="H144" s="512"/>
    </row>
    <row r="145" spans="4:8" x14ac:dyDescent="0.25">
      <c r="D145" s="363"/>
      <c r="E145" s="820"/>
      <c r="F145" s="512"/>
      <c r="G145" s="512"/>
      <c r="H145" s="512"/>
    </row>
    <row r="146" spans="4:8" x14ac:dyDescent="0.25">
      <c r="D146" s="363"/>
      <c r="E146" s="820"/>
      <c r="F146" s="512"/>
      <c r="G146" s="512"/>
      <c r="H146" s="512"/>
    </row>
    <row r="147" spans="4:8" x14ac:dyDescent="0.25">
      <c r="D147" s="363"/>
      <c r="E147" s="820"/>
      <c r="F147" s="512"/>
      <c r="G147" s="512"/>
      <c r="H147" s="512"/>
    </row>
    <row r="148" spans="4:8" x14ac:dyDescent="0.25">
      <c r="D148" s="363"/>
      <c r="E148" s="820"/>
      <c r="F148" s="512"/>
      <c r="G148" s="512"/>
      <c r="H148" s="512"/>
    </row>
    <row r="149" spans="4:8" x14ac:dyDescent="0.25">
      <c r="D149" s="363"/>
      <c r="E149" s="820"/>
      <c r="F149" s="512"/>
      <c r="G149" s="512"/>
      <c r="H149" s="512"/>
    </row>
    <row r="150" spans="4:8" x14ac:dyDescent="0.25">
      <c r="D150" s="363"/>
      <c r="E150" s="820"/>
      <c r="F150" s="512"/>
      <c r="G150" s="512"/>
      <c r="H150" s="512"/>
    </row>
    <row r="151" spans="4:8" x14ac:dyDescent="0.25">
      <c r="D151" s="363"/>
      <c r="E151" s="820"/>
      <c r="F151" s="512"/>
      <c r="G151" s="512"/>
      <c r="H151" s="512"/>
    </row>
    <row r="152" spans="4:8" x14ac:dyDescent="0.25">
      <c r="D152" s="363"/>
      <c r="E152" s="820"/>
      <c r="F152" s="512"/>
      <c r="G152" s="512"/>
      <c r="H152" s="512"/>
    </row>
    <row r="153" spans="4:8" x14ac:dyDescent="0.25">
      <c r="D153" s="363"/>
      <c r="E153" s="820"/>
      <c r="F153" s="512"/>
      <c r="G153" s="512"/>
      <c r="H153" s="512"/>
    </row>
    <row r="154" spans="4:8" x14ac:dyDescent="0.25">
      <c r="D154" s="363"/>
      <c r="E154" s="820"/>
      <c r="F154" s="512"/>
      <c r="G154" s="512"/>
      <c r="H154" s="512"/>
    </row>
    <row r="155" spans="4:8" x14ac:dyDescent="0.25">
      <c r="D155" s="363"/>
      <c r="E155" s="820"/>
      <c r="F155" s="512"/>
      <c r="G155" s="512"/>
      <c r="H155" s="512"/>
    </row>
    <row r="156" spans="4:8" x14ac:dyDescent="0.25">
      <c r="D156" s="363"/>
      <c r="E156" s="820"/>
      <c r="F156" s="512"/>
      <c r="G156" s="512"/>
      <c r="H156" s="512"/>
    </row>
    <row r="157" spans="4:8" x14ac:dyDescent="0.25">
      <c r="D157" s="363"/>
      <c r="E157" s="820"/>
      <c r="F157" s="512"/>
      <c r="G157" s="512"/>
      <c r="H157" s="512"/>
    </row>
    <row r="158" spans="4:8" x14ac:dyDescent="0.25">
      <c r="D158" s="363"/>
      <c r="E158" s="820"/>
      <c r="F158" s="512"/>
      <c r="G158" s="512"/>
      <c r="H158" s="512"/>
    </row>
    <row r="159" spans="4:8" x14ac:dyDescent="0.25">
      <c r="D159" s="363"/>
      <c r="E159" s="820"/>
      <c r="F159" s="512"/>
      <c r="G159" s="512"/>
      <c r="H159" s="512"/>
    </row>
    <row r="160" spans="4:8" x14ac:dyDescent="0.25">
      <c r="D160" s="363"/>
      <c r="E160" s="820"/>
      <c r="F160" s="512"/>
      <c r="G160" s="512"/>
      <c r="H160" s="512"/>
    </row>
    <row r="161" spans="4:8" x14ac:dyDescent="0.25">
      <c r="D161" s="363"/>
      <c r="E161" s="820"/>
      <c r="F161" s="512"/>
      <c r="G161" s="512"/>
      <c r="H161" s="512"/>
    </row>
    <row r="162" spans="4:8" x14ac:dyDescent="0.25">
      <c r="D162" s="363"/>
      <c r="E162" s="820"/>
      <c r="F162" s="512"/>
      <c r="G162" s="512"/>
      <c r="H162" s="512"/>
    </row>
    <row r="163" spans="4:8" x14ac:dyDescent="0.25">
      <c r="D163" s="363"/>
      <c r="E163" s="820"/>
      <c r="F163" s="512"/>
      <c r="G163" s="512"/>
      <c r="H163" s="512"/>
    </row>
    <row r="164" spans="4:8" x14ac:dyDescent="0.25">
      <c r="D164" s="363"/>
      <c r="E164" s="820"/>
      <c r="F164" s="512"/>
      <c r="G164" s="512"/>
      <c r="H164" s="512"/>
    </row>
  </sheetData>
  <mergeCells count="5">
    <mergeCell ref="E4:H4"/>
    <mergeCell ref="I4:L4"/>
    <mergeCell ref="M4:P4"/>
    <mergeCell ref="Q4:T4"/>
    <mergeCell ref="U4:X4"/>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193A-4B23-4DDB-82D5-5BE7C57E591D}">
  <sheetPr>
    <outlinePr summaryBelow="0" summaryRight="0"/>
  </sheetPr>
  <dimension ref="B2:CD106"/>
  <sheetViews>
    <sheetView zoomScaleNormal="100" workbookViewId="0"/>
  </sheetViews>
  <sheetFormatPr baseColWidth="10" defaultColWidth="13.7109375" defaultRowHeight="15" outlineLevelCol="1" x14ac:dyDescent="0.25"/>
  <cols>
    <col min="1" max="1" width="3.7109375" style="682" customWidth="1"/>
    <col min="2" max="2" width="16.28515625" style="682" customWidth="1"/>
    <col min="3" max="3" width="27" style="682" customWidth="1"/>
    <col min="4" max="4" width="22" style="682" customWidth="1" outlineLevel="1"/>
    <col min="5" max="5" width="13.7109375" style="683" customWidth="1" outlineLevel="1"/>
    <col min="6" max="6" width="22.7109375" style="682" customWidth="1" outlineLevel="1"/>
    <col min="7" max="7" width="13.7109375" style="682" customWidth="1" outlineLevel="1"/>
    <col min="8" max="8" width="11.28515625" style="682" customWidth="1" outlineLevel="1"/>
    <col min="9" max="9" width="17.28515625" style="682" customWidth="1" outlineLevel="1"/>
    <col min="10" max="10" width="15.7109375" style="682" customWidth="1"/>
    <col min="11" max="11" width="17.7109375" style="682" customWidth="1" outlineLevel="1"/>
    <col min="12" max="12" width="22.7109375" style="682" customWidth="1" outlineLevel="1"/>
    <col min="13" max="13" width="7.28515625" style="682" customWidth="1" outlineLevel="1"/>
    <col min="14" max="14" width="11.7109375" style="684" customWidth="1"/>
    <col min="15" max="15" width="10.7109375" style="682" customWidth="1"/>
    <col min="16" max="16" width="15.7109375" style="682" customWidth="1"/>
    <col min="17" max="17" width="13.28515625" style="682" bestFit="1" customWidth="1"/>
    <col min="18" max="18" width="11.140625" style="684" customWidth="1"/>
    <col min="19" max="21" width="8.7109375" style="682" customWidth="1"/>
    <col min="22" max="22" width="11.140625" style="684" customWidth="1"/>
    <col min="23" max="23" width="15.7109375" style="686" customWidth="1"/>
    <col min="24" max="25" width="13.28515625" style="686" customWidth="1"/>
    <col min="26" max="26" width="13.28515625" style="686" customWidth="1" collapsed="1"/>
    <col min="27" max="28" width="13.28515625" style="686" hidden="1" customWidth="1" outlineLevel="1"/>
    <col min="29" max="29" width="12.28515625" style="687" hidden="1" customWidth="1" outlineLevel="1"/>
    <col min="30" max="30" width="1.7109375" style="687" hidden="1" customWidth="1" outlineLevel="1"/>
    <col min="31" max="31" width="8.28515625" style="688" hidden="1" customWidth="1" outlineLevel="1"/>
    <col min="32" max="33" width="13.28515625" style="686" hidden="1" customWidth="1" outlineLevel="1"/>
    <col min="34" max="34" width="12.28515625" style="687" hidden="1" customWidth="1" outlineLevel="1"/>
    <col min="35" max="35" width="1.7109375" style="687" hidden="1" customWidth="1" outlineLevel="1"/>
    <col min="36" max="36" width="8.28515625" style="688" hidden="1" customWidth="1" outlineLevel="1"/>
    <col min="37" max="37" width="15.7109375" style="684" customWidth="1"/>
    <col min="38" max="38" width="15.7109375" style="686" customWidth="1"/>
    <col min="39" max="40" width="13.28515625" style="686" customWidth="1"/>
    <col min="41" max="41" width="13.28515625" style="686" customWidth="1" collapsed="1"/>
    <col min="42" max="43" width="13.28515625" style="686" hidden="1" customWidth="1" outlineLevel="1"/>
    <col min="44" max="44" width="12.28515625" style="687" hidden="1" customWidth="1" outlineLevel="1"/>
    <col min="45" max="45" width="1.7109375" style="687" hidden="1" customWidth="1" outlineLevel="1"/>
    <col min="46" max="46" width="8.28515625" style="688" hidden="1" customWidth="1" outlineLevel="1"/>
    <col min="47" max="48" width="12.28515625" style="682" hidden="1" customWidth="1" outlineLevel="1"/>
    <col min="49" max="49" width="12.28515625" style="687" hidden="1" customWidth="1" outlineLevel="1"/>
    <col min="50" max="50" width="1.7109375" style="687" hidden="1" customWidth="1" outlineLevel="1"/>
    <col min="51" max="51" width="13.28515625" style="688" hidden="1" customWidth="1" outlineLevel="1"/>
    <col min="52" max="52" width="11.28515625" style="684" customWidth="1"/>
    <col min="53" max="53" width="15.7109375" style="686" customWidth="1"/>
    <col min="54" max="54" width="13.28515625" style="686" customWidth="1"/>
    <col min="55" max="55" width="13.28515625" style="686" customWidth="1" collapsed="1"/>
    <col min="56" max="57" width="13.28515625" style="686" hidden="1" customWidth="1" outlineLevel="1"/>
    <col min="58" max="58" width="12.28515625" style="687" hidden="1" customWidth="1" outlineLevel="1"/>
    <col min="59" max="59" width="1.7109375" style="687" hidden="1" customWidth="1" outlineLevel="1"/>
    <col min="60" max="60" width="8.28515625" style="688" hidden="1" customWidth="1" outlineLevel="1"/>
    <col min="61" max="62" width="12.28515625" style="682" hidden="1" customWidth="1" outlineLevel="1"/>
    <col min="63" max="63" width="12.28515625" style="687" hidden="1" customWidth="1" outlineLevel="1"/>
    <col min="64" max="64" width="1.7109375" style="687" hidden="1" customWidth="1" outlineLevel="1"/>
    <col min="65" max="65" width="13.28515625" style="688" hidden="1" customWidth="1" outlineLevel="1"/>
    <col min="66" max="66" width="14.28515625" style="1001" customWidth="1"/>
    <col min="67" max="67" width="14.28515625" style="687" customWidth="1"/>
    <col min="68" max="68" width="10.28515625" style="687" customWidth="1"/>
    <col min="69" max="69" width="10.28515625" style="682" customWidth="1" collapsed="1"/>
    <col min="70" max="70" width="11" style="689" hidden="1" customWidth="1" outlineLevel="1"/>
    <col min="71" max="72" width="10.7109375" style="689" hidden="1" customWidth="1" outlineLevel="1"/>
    <col min="73" max="74" width="10" style="689" hidden="1" customWidth="1" outlineLevel="1"/>
    <col min="75" max="75" width="10" style="690" hidden="1" customWidth="1" outlineLevel="1"/>
    <col min="76" max="77" width="10" style="689" hidden="1" customWidth="1" outlineLevel="1"/>
    <col min="78" max="78" width="10.28515625" style="682" hidden="1" customWidth="1" outlineLevel="1"/>
    <col min="79" max="79" width="12.7109375" style="684" customWidth="1"/>
    <col min="80" max="80" width="12.7109375" style="682" customWidth="1"/>
    <col min="81" max="82" width="11.28515625" style="682" customWidth="1"/>
    <col min="83" max="16384" width="13.7109375" style="682"/>
  </cols>
  <sheetData>
    <row r="2" spans="2:82" x14ac:dyDescent="0.25">
      <c r="B2" s="217" t="s">
        <v>609</v>
      </c>
    </row>
    <row r="3" spans="2:82" x14ac:dyDescent="0.25">
      <c r="B3" s="1" t="s">
        <v>614</v>
      </c>
    </row>
    <row r="4" spans="2:82" x14ac:dyDescent="0.25">
      <c r="B4" s="1" t="s">
        <v>1479</v>
      </c>
    </row>
    <row r="5" spans="2:82" x14ac:dyDescent="0.25">
      <c r="B5" s="1" t="s">
        <v>1480</v>
      </c>
    </row>
    <row r="6" spans="2:82" x14ac:dyDescent="0.25">
      <c r="B6" s="217"/>
    </row>
    <row r="7" spans="2:82" s="686" customFormat="1" ht="48" customHeight="1" x14ac:dyDescent="0.25">
      <c r="B7" s="691"/>
      <c r="C7" s="692"/>
      <c r="D7" s="693"/>
      <c r="E7" s="694" t="s">
        <v>217</v>
      </c>
      <c r="F7" s="674"/>
      <c r="G7" s="674"/>
      <c r="H7" s="694"/>
      <c r="I7" s="695"/>
      <c r="J7" s="693"/>
      <c r="K7" s="674"/>
      <c r="L7" s="696"/>
      <c r="M7" s="692"/>
      <c r="N7" s="693" t="s">
        <v>218</v>
      </c>
      <c r="O7" s="674"/>
      <c r="P7" s="674"/>
      <c r="Q7" s="696"/>
      <c r="R7" s="693" t="s">
        <v>219</v>
      </c>
      <c r="S7" s="674"/>
      <c r="T7" s="674"/>
      <c r="U7" s="696"/>
      <c r="V7" s="693" t="s">
        <v>220</v>
      </c>
      <c r="W7" s="697"/>
      <c r="X7" s="697"/>
      <c r="Y7" s="698" t="s">
        <v>221</v>
      </c>
      <c r="Z7" s="996"/>
      <c r="AA7" s="697"/>
      <c r="AB7" s="697"/>
      <c r="AC7" s="699"/>
      <c r="AD7" s="699"/>
      <c r="AE7" s="700"/>
      <c r="AF7" s="697"/>
      <c r="AG7" s="697"/>
      <c r="AH7" s="699"/>
      <c r="AI7" s="699"/>
      <c r="AJ7" s="700"/>
      <c r="AK7" s="693" t="s">
        <v>222</v>
      </c>
      <c r="AL7" s="697"/>
      <c r="AM7" s="697"/>
      <c r="AN7" s="698" t="s">
        <v>223</v>
      </c>
      <c r="AO7" s="996"/>
      <c r="AP7" s="697"/>
      <c r="AQ7" s="697"/>
      <c r="AR7" s="699"/>
      <c r="AS7" s="699"/>
      <c r="AT7" s="700"/>
      <c r="AU7" s="674"/>
      <c r="AV7" s="674"/>
      <c r="AW7" s="699"/>
      <c r="AX7" s="699"/>
      <c r="AY7" s="701"/>
      <c r="AZ7" s="693" t="s">
        <v>224</v>
      </c>
      <c r="BA7" s="697"/>
      <c r="BB7" s="697"/>
      <c r="BC7" s="698" t="s">
        <v>221</v>
      </c>
      <c r="BD7" s="697"/>
      <c r="BE7" s="697"/>
      <c r="BF7" s="699"/>
      <c r="BG7" s="699"/>
      <c r="BH7" s="700"/>
      <c r="BI7" s="674"/>
      <c r="BJ7" s="674"/>
      <c r="BK7" s="699"/>
      <c r="BL7" s="699"/>
      <c r="BM7" s="701"/>
      <c r="BN7" s="700" t="s">
        <v>225</v>
      </c>
      <c r="BO7" s="700"/>
      <c r="BP7" s="700"/>
      <c r="BQ7" s="702"/>
      <c r="BR7" s="703" t="s">
        <v>226</v>
      </c>
      <c r="BS7" s="703"/>
      <c r="BT7" s="704" t="s">
        <v>227</v>
      </c>
      <c r="BU7" s="704"/>
      <c r="BV7" s="704" t="s">
        <v>228</v>
      </c>
      <c r="BW7" s="705"/>
      <c r="BX7" s="704" t="s">
        <v>229</v>
      </c>
      <c r="BY7" s="704"/>
      <c r="BZ7" s="706"/>
      <c r="CA7" s="693"/>
      <c r="CB7" s="674" t="s">
        <v>230</v>
      </c>
      <c r="CC7" s="674"/>
      <c r="CD7" s="707"/>
    </row>
    <row r="8" spans="2:82" ht="32.25" customHeight="1" x14ac:dyDescent="0.25">
      <c r="B8" s="708" t="s">
        <v>28</v>
      </c>
      <c r="C8" s="709" t="s">
        <v>231</v>
      </c>
      <c r="D8" s="710" t="s">
        <v>232</v>
      </c>
      <c r="E8" s="711" t="s">
        <v>233</v>
      </c>
      <c r="F8" s="712" t="s">
        <v>234</v>
      </c>
      <c r="G8" s="713" t="s">
        <v>235</v>
      </c>
      <c r="H8" s="712" t="s">
        <v>236</v>
      </c>
      <c r="I8" s="714" t="s">
        <v>237</v>
      </c>
      <c r="J8" s="715" t="s">
        <v>238</v>
      </c>
      <c r="K8" s="713" t="s">
        <v>239</v>
      </c>
      <c r="L8" s="716" t="s">
        <v>240</v>
      </c>
      <c r="M8" s="709" t="s">
        <v>241</v>
      </c>
      <c r="N8" s="717" t="s">
        <v>242</v>
      </c>
      <c r="O8" s="718" t="s">
        <v>243</v>
      </c>
      <c r="P8" s="718" t="s">
        <v>126</v>
      </c>
      <c r="Q8" s="719" t="s">
        <v>244</v>
      </c>
      <c r="R8" s="720" t="s">
        <v>242</v>
      </c>
      <c r="S8" s="718" t="s">
        <v>243</v>
      </c>
      <c r="T8" s="718" t="s">
        <v>126</v>
      </c>
      <c r="U8" s="719" t="s">
        <v>244</v>
      </c>
      <c r="V8" s="717" t="s">
        <v>242</v>
      </c>
      <c r="W8" s="721" t="s">
        <v>243</v>
      </c>
      <c r="X8" s="721" t="s">
        <v>126</v>
      </c>
      <c r="Y8" s="721" t="s">
        <v>244</v>
      </c>
      <c r="Z8" s="997" t="s">
        <v>1570</v>
      </c>
      <c r="AA8" s="722" t="s">
        <v>243</v>
      </c>
      <c r="AB8" s="722" t="s">
        <v>126</v>
      </c>
      <c r="AC8" s="723" t="s">
        <v>244</v>
      </c>
      <c r="AD8" s="724"/>
      <c r="AE8" s="723"/>
      <c r="AF8" s="722" t="s">
        <v>243</v>
      </c>
      <c r="AG8" s="722" t="s">
        <v>126</v>
      </c>
      <c r="AH8" s="723" t="s">
        <v>244</v>
      </c>
      <c r="AI8" s="724"/>
      <c r="AJ8" s="723"/>
      <c r="AK8" s="717" t="s">
        <v>242</v>
      </c>
      <c r="AL8" s="721" t="s">
        <v>243</v>
      </c>
      <c r="AM8" s="721" t="s">
        <v>126</v>
      </c>
      <c r="AN8" s="721" t="s">
        <v>244</v>
      </c>
      <c r="AO8" s="997" t="s">
        <v>1570</v>
      </c>
      <c r="AP8" s="722" t="s">
        <v>243</v>
      </c>
      <c r="AQ8" s="722" t="s">
        <v>126</v>
      </c>
      <c r="AR8" s="723" t="s">
        <v>244</v>
      </c>
      <c r="AS8" s="724"/>
      <c r="AT8" s="723"/>
      <c r="AU8" s="722" t="s">
        <v>243</v>
      </c>
      <c r="AV8" s="722" t="s">
        <v>126</v>
      </c>
      <c r="AW8" s="723" t="s">
        <v>244</v>
      </c>
      <c r="AX8" s="724"/>
      <c r="AY8" s="725"/>
      <c r="AZ8" s="717" t="s">
        <v>242</v>
      </c>
      <c r="BA8" s="721" t="s">
        <v>243</v>
      </c>
      <c r="BB8" s="721" t="s">
        <v>126</v>
      </c>
      <c r="BC8" s="721" t="s">
        <v>244</v>
      </c>
      <c r="BD8" s="722" t="s">
        <v>243</v>
      </c>
      <c r="BE8" s="722" t="s">
        <v>126</v>
      </c>
      <c r="BF8" s="723" t="s">
        <v>244</v>
      </c>
      <c r="BG8" s="724"/>
      <c r="BH8" s="723"/>
      <c r="BI8" s="722" t="s">
        <v>243</v>
      </c>
      <c r="BJ8" s="722" t="s">
        <v>126</v>
      </c>
      <c r="BK8" s="723" t="s">
        <v>244</v>
      </c>
      <c r="BL8" s="724"/>
      <c r="BM8" s="725"/>
      <c r="BN8" s="717" t="s">
        <v>242</v>
      </c>
      <c r="BO8" s="713" t="s">
        <v>243</v>
      </c>
      <c r="BP8" s="713" t="s">
        <v>126</v>
      </c>
      <c r="BQ8" s="721" t="s">
        <v>244</v>
      </c>
      <c r="BR8" s="726" t="s">
        <v>243</v>
      </c>
      <c r="BS8" s="726" t="s">
        <v>126</v>
      </c>
      <c r="BT8" s="726" t="s">
        <v>243</v>
      </c>
      <c r="BU8" s="726" t="s">
        <v>126</v>
      </c>
      <c r="BV8" s="726" t="s">
        <v>243</v>
      </c>
      <c r="BW8" s="727" t="s">
        <v>126</v>
      </c>
      <c r="BX8" s="726" t="s">
        <v>243</v>
      </c>
      <c r="BY8" s="726" t="s">
        <v>126</v>
      </c>
      <c r="BZ8" s="719" t="s">
        <v>244</v>
      </c>
      <c r="CA8" s="717" t="s">
        <v>242</v>
      </c>
      <c r="CB8" s="718" t="s">
        <v>243</v>
      </c>
      <c r="CC8" s="718" t="s">
        <v>126</v>
      </c>
      <c r="CD8" s="728" t="s">
        <v>244</v>
      </c>
    </row>
    <row r="9" spans="2:82" s="680" customFormat="1" x14ac:dyDescent="0.25">
      <c r="B9" s="729" t="str">
        <f t="shared" ref="B9:B68" si="0">IF(OR(K9="beef",K9="pork",K9="poultry"),"animal",
IF(OR(K9="milk",K9="eggs"),"animal-based",
"plant-based"))</f>
        <v>animal</v>
      </c>
      <c r="C9" s="730" t="s">
        <v>245</v>
      </c>
      <c r="D9" s="730" t="s">
        <v>246</v>
      </c>
      <c r="E9" s="731" t="s">
        <v>247</v>
      </c>
      <c r="F9" s="680" t="s">
        <v>248</v>
      </c>
      <c r="G9" s="680" t="s">
        <v>249</v>
      </c>
      <c r="H9" s="680" t="s">
        <v>250</v>
      </c>
      <c r="I9" s="732" t="s">
        <v>251</v>
      </c>
      <c r="J9" s="730" t="s">
        <v>252</v>
      </c>
      <c r="K9" s="680" t="s">
        <v>253</v>
      </c>
      <c r="L9" s="732"/>
      <c r="M9" s="729" t="str">
        <f t="shared" ref="M9:M40" si="1">IF(B9="animal","head",
IF(K9="milk","kg",
IF(K9="eggs","p","ha")))</f>
        <v>head</v>
      </c>
      <c r="N9" s="733">
        <f t="shared" ref="N9:N18" si="2">O9/P9</f>
        <v>1.0247619047619048</v>
      </c>
      <c r="O9" s="734">
        <v>538</v>
      </c>
      <c r="P9" s="734">
        <v>525</v>
      </c>
      <c r="Q9" s="321" t="s">
        <v>254</v>
      </c>
      <c r="R9" s="733">
        <f>S9/T9</f>
        <v>1.4666666666666666</v>
      </c>
      <c r="S9" s="734">
        <v>22</v>
      </c>
      <c r="T9" s="734">
        <v>15</v>
      </c>
      <c r="U9" s="321" t="s">
        <v>255</v>
      </c>
      <c r="V9" s="1000" t="str">
        <f t="shared" ref="V9:V68" si="3">IF(COUNTBLANK(W9:X9)=0,W9/X9,
IF(AND(COUNTBLANK(AJ9)=0,AJ9="ha"),"hectar not convertible",IF(AND(COUNTBLANK(AJ9)=0,COUNTBLANK($Q9)=1),"yield not convertible","")))</f>
        <v/>
      </c>
      <c r="W9" s="735" t="str">
        <f t="shared" ref="W9:W68" si="4">IF(COUNTBLANK($Y9)=0,
IF($Y9=$AC9&amp;"/"&amp;$AE9,AA9,
IF($AE9="kg",AA9*$O9,"")),"")</f>
        <v/>
      </c>
      <c r="X9" s="735" t="str">
        <f t="shared" ref="X9:X68" si="5">IF(COUNTBLANK($Y9)=0,
IF($Y9=$AC9&amp;"/"&amp;$AE9,AB9,
IF($AE9="kg",AB9*$P9,"")),"")</f>
        <v/>
      </c>
      <c r="Y9" s="736" t="str">
        <f t="shared" ref="Y9:Y68" si="6">IFERROR(IF(COUNTBLANK($AE9)=0,$AC9&amp;"/"&amp;SUBSTITUTE($Q9,LEFT($Q9,SEARCH("/",$Q9)),""),""),"")</f>
        <v/>
      </c>
      <c r="Z9" s="738"/>
      <c r="AA9" s="737" t="s">
        <v>125</v>
      </c>
      <c r="AB9" s="738" t="s">
        <v>125</v>
      </c>
      <c r="AC9" s="739" t="str">
        <f t="shared" ref="AC9:AC68" si="7">IF(COUNTBLANK(AE9)=0,$Y$7,"")</f>
        <v/>
      </c>
      <c r="AD9" s="740" t="str">
        <f t="shared" ref="AD9:AD68" si="8">IF(COUNTBLANK(AE9)=0,"/","")</f>
        <v/>
      </c>
      <c r="AE9" s="741" t="str">
        <f t="shared" ref="AE9:AE68" si="9">IF(COUNTBLANK(AJ9)=0,IF(OR(AJ9="head",AJ9="ha"),AJ9,"kg"),"")</f>
        <v/>
      </c>
      <c r="AF9" s="737"/>
      <c r="AG9" s="738"/>
      <c r="AH9" s="739" t="s">
        <v>125</v>
      </c>
      <c r="AI9" s="740" t="s">
        <v>125</v>
      </c>
      <c r="AJ9" s="742" t="s">
        <v>125</v>
      </c>
      <c r="AK9" s="733" t="str">
        <f t="shared" ref="AK9:AK68" si="10">IF(COUNTBLANK(AL9:AM9)=0,AL9/AM9,
IF(AND(COUNTBLANK(AY9)=0,AY9="ha"),"hectar not convertible",IF(AND(COUNTBLANK(AY9)=0,COUNTBLANK($Q9)=1),"yield not convertible","")))</f>
        <v/>
      </c>
      <c r="AL9" s="734" t="str">
        <f t="shared" ref="AL9:AL68" si="11">IF(COUNTBLANK($AN9)=0,
IF($AN9=$AR9&amp;"/"&amp;$AT9,AP9,
IF($AT9="kg",AP9*$O9,"")),"")</f>
        <v/>
      </c>
      <c r="AM9" s="734" t="str">
        <f t="shared" ref="AM9:AM68" si="12">IF(COUNTBLANK($AN9)=0,
IF($AN9=$AR9&amp;"/"&amp;$AT9,AQ9,
IF($AT9="kg",AQ9*$P9,"")),"")</f>
        <v/>
      </c>
      <c r="AN9" s="744" t="str">
        <f t="shared" ref="AN9:AN68" si="13">IFERROR(IF(COUNTBLANK($AT9)=0,$AR9&amp;"/"&amp;SUBSTITUTE($Q9,LEFT($Q9,SEARCH("/",$Q9)),""),""),"")</f>
        <v/>
      </c>
      <c r="AO9" s="746"/>
      <c r="AP9" s="745" t="s">
        <v>125</v>
      </c>
      <c r="AQ9" s="746" t="s">
        <v>125</v>
      </c>
      <c r="AR9" s="747" t="str">
        <f t="shared" ref="AR9:AR68" si="14">IF(COUNTBLANK(AT9)=0,$AN$7,"")</f>
        <v/>
      </c>
      <c r="AS9" s="748" t="str">
        <f t="shared" ref="AS9:AS68" si="15">IF(COUNTBLANK(AT9)=0,"/","")</f>
        <v/>
      </c>
      <c r="AT9" s="749" t="str">
        <f t="shared" ref="AT9:AT68" si="16">IF(COUNTBLANK(AY9)=0,IF(OR(AY9="head",AY9="ha"),AY9,"kg"),"")</f>
        <v/>
      </c>
      <c r="AU9" s="745"/>
      <c r="AV9" s="746"/>
      <c r="AW9" s="747" t="s">
        <v>125</v>
      </c>
      <c r="AX9" s="748" t="s">
        <v>125</v>
      </c>
      <c r="AY9" s="750" t="s">
        <v>125</v>
      </c>
      <c r="AZ9" s="733">
        <f t="shared" ref="AZ9:AZ68" si="17">IF(COUNTBLANK(BA9:BB9)=0,BA9/BB9,
IF(AND(COUNTBLANK(BM9)=0,BM9="ha"),"hectar not convertible",IF(AND(COUNTBLANK(BM9)=0,COUNTBLANK($Q9)=1),"yield not convertible","")))</f>
        <v>0.85350318471337583</v>
      </c>
      <c r="BA9" s="734">
        <f t="shared" ref="BA9:BA68" si="18">IF(COUNTBLANK($BC9)=0,
IF($BC9=$BF9&amp;"/"&amp;$BH9,BD9,
IF($BH9="kg",BD9*$O9,"")),"")</f>
        <v>670</v>
      </c>
      <c r="BB9" s="734">
        <f t="shared" ref="BB9:BB68" si="19">IF(COUNTBLANK($BC9)=0,
IF($BC9=$BF9&amp;"/"&amp;$BH9,BE9,
IF($BH9="kg",BE9*$P9,"")),"")</f>
        <v>785</v>
      </c>
      <c r="BC9" s="744" t="str">
        <f t="shared" ref="BC9:BC68" si="20">IFERROR(IF(COUNTBLANK($BH9)=0,$BF9&amp;"/"&amp;SUBSTITUTE($Q9,LEFT($Q9,SEARCH("/",$Q9)),""),""),"")</f>
        <v>kg/head</v>
      </c>
      <c r="BD9" s="745">
        <v>670</v>
      </c>
      <c r="BE9" s="746">
        <v>785</v>
      </c>
      <c r="BF9" s="747" t="str">
        <f t="shared" ref="BF9:BF68" si="21">IF(COUNTBLANK(BH9)=0,$BC$7,"")</f>
        <v>kg</v>
      </c>
      <c r="BG9" s="748" t="str">
        <f t="shared" ref="BG9:BG68" si="22">IF(COUNTBLANK(BH9)=0,"/","")</f>
        <v>/</v>
      </c>
      <c r="BH9" s="749" t="str">
        <f t="shared" ref="BH9:BH68" si="23">IF(COUNTBLANK(BM9)=0,IF(OR(BM9="head",BM9="ha"),BM9,"kg"),"")</f>
        <v>head</v>
      </c>
      <c r="BI9" s="745">
        <f>31+109+530</f>
        <v>670</v>
      </c>
      <c r="BJ9" s="746">
        <f>19+716+50</f>
        <v>785</v>
      </c>
      <c r="BK9" s="747" t="s">
        <v>221</v>
      </c>
      <c r="BL9" s="748" t="s">
        <v>256</v>
      </c>
      <c r="BM9" s="750" t="s">
        <v>257</v>
      </c>
      <c r="BN9" s="1002" t="str">
        <f t="shared" ref="BN9:BN68" si="24">IFERROR(BO9/BP9,"")</f>
        <v/>
      </c>
      <c r="BO9" s="751" t="s">
        <v>125</v>
      </c>
      <c r="BP9" s="751" t="s">
        <v>125</v>
      </c>
      <c r="BQ9" s="744" t="str">
        <f t="shared" ref="BQ9:BQ68" si="25">IF(COUNTBLANK(BZ9)=0,"kg/ha","")</f>
        <v/>
      </c>
      <c r="BR9" s="755"/>
      <c r="BS9" s="756"/>
      <c r="BT9" s="755"/>
      <c r="BU9" s="756"/>
      <c r="BV9" s="755"/>
      <c r="BW9" s="757"/>
      <c r="BX9" s="755"/>
      <c r="BY9" s="756"/>
      <c r="BZ9" s="752" t="s">
        <v>125</v>
      </c>
      <c r="CA9" s="733"/>
      <c r="CB9" s="734"/>
      <c r="CC9" s="734"/>
      <c r="CD9" s="321"/>
    </row>
    <row r="10" spans="2:82" s="680" customFormat="1" x14ac:dyDescent="0.25">
      <c r="B10" s="729" t="str">
        <f t="shared" si="0"/>
        <v>animal</v>
      </c>
      <c r="C10" s="730" t="s">
        <v>245</v>
      </c>
      <c r="D10" s="730" t="s">
        <v>246</v>
      </c>
      <c r="E10" s="731" t="s">
        <v>247</v>
      </c>
      <c r="F10" s="680" t="s">
        <v>248</v>
      </c>
      <c r="G10" s="680" t="s">
        <v>249</v>
      </c>
      <c r="H10" s="680" t="s">
        <v>250</v>
      </c>
      <c r="I10" s="732" t="s">
        <v>251</v>
      </c>
      <c r="J10" s="730" t="s">
        <v>258</v>
      </c>
      <c r="K10" s="680" t="s">
        <v>259</v>
      </c>
      <c r="L10" s="732"/>
      <c r="M10" s="729" t="str">
        <f t="shared" si="1"/>
        <v>head</v>
      </c>
      <c r="N10" s="733">
        <f t="shared" si="2"/>
        <v>1.0198019801980198</v>
      </c>
      <c r="O10" s="734">
        <v>103</v>
      </c>
      <c r="P10" s="734">
        <f>(102+100)/2</f>
        <v>101</v>
      </c>
      <c r="Q10" s="321" t="s">
        <v>254</v>
      </c>
      <c r="R10" s="754">
        <f t="shared" ref="R10:R14" si="26">S10/T10</f>
        <v>1.0526315789473684</v>
      </c>
      <c r="S10" s="734">
        <f>110</f>
        <v>110</v>
      </c>
      <c r="T10" s="734">
        <f>((103+106)/2)</f>
        <v>104.5</v>
      </c>
      <c r="U10" s="321" t="s">
        <v>260</v>
      </c>
      <c r="V10" s="733" t="str">
        <f t="shared" si="3"/>
        <v/>
      </c>
      <c r="W10" s="734" t="str">
        <f t="shared" si="4"/>
        <v/>
      </c>
      <c r="X10" s="734" t="str">
        <f t="shared" si="5"/>
        <v/>
      </c>
      <c r="Y10" s="744" t="str">
        <f t="shared" si="6"/>
        <v/>
      </c>
      <c r="Z10" s="746"/>
      <c r="AA10" s="745" t="s">
        <v>125</v>
      </c>
      <c r="AB10" s="746" t="s">
        <v>125</v>
      </c>
      <c r="AC10" s="747" t="str">
        <f t="shared" si="7"/>
        <v/>
      </c>
      <c r="AD10" s="748" t="str">
        <f t="shared" si="8"/>
        <v/>
      </c>
      <c r="AE10" s="749" t="str">
        <f t="shared" si="9"/>
        <v/>
      </c>
      <c r="AF10" s="745"/>
      <c r="AG10" s="746"/>
      <c r="AH10" s="747" t="s">
        <v>125</v>
      </c>
      <c r="AI10" s="748" t="s">
        <v>125</v>
      </c>
      <c r="AJ10" s="750" t="s">
        <v>125</v>
      </c>
      <c r="AK10" s="733" t="str">
        <f t="shared" si="10"/>
        <v/>
      </c>
      <c r="AL10" s="734" t="str">
        <f t="shared" si="11"/>
        <v/>
      </c>
      <c r="AM10" s="734" t="str">
        <f t="shared" si="12"/>
        <v/>
      </c>
      <c r="AN10" s="744" t="str">
        <f t="shared" si="13"/>
        <v/>
      </c>
      <c r="AO10" s="746"/>
      <c r="AP10" s="745" t="s">
        <v>125</v>
      </c>
      <c r="AQ10" s="746" t="s">
        <v>125</v>
      </c>
      <c r="AR10" s="747" t="str">
        <f t="shared" si="14"/>
        <v/>
      </c>
      <c r="AS10" s="748" t="str">
        <f t="shared" si="15"/>
        <v/>
      </c>
      <c r="AT10" s="749" t="str">
        <f t="shared" si="16"/>
        <v/>
      </c>
      <c r="AU10" s="745"/>
      <c r="AV10" s="746"/>
      <c r="AW10" s="747" t="s">
        <v>125</v>
      </c>
      <c r="AX10" s="748" t="s">
        <v>125</v>
      </c>
      <c r="AY10" s="750" t="s">
        <v>125</v>
      </c>
      <c r="AZ10" s="733">
        <f>IF(COUNTBLANK(BA10:BB10)=0,BA10/BB10,
IF(AND(COUNTBLANK(BM10)=0,BM10="ha"),"hectar not convertible",IF(AND(COUNTBLANK(BM10)=0,COUNTBLANK($Q10)=1),"yield not convertible","")))</f>
        <v>0.99340659340659343</v>
      </c>
      <c r="BA10" s="734">
        <f>IF(COUNTBLANK($BC10)=0,
IF($BC10=$BF10&amp;"/"&amp;$BH10,BD10,
IF($BH10="kg",BD10*$O10,"")),"")</f>
        <v>226</v>
      </c>
      <c r="BB10" s="734">
        <f>IF(COUNTBLANK($BC10)=0,
IF($BC10=$BF10&amp;"/"&amp;$BH10,BE10,
IF($BH10="kg",BE10*$P10,"")),"")</f>
        <v>227.5</v>
      </c>
      <c r="BC10" s="744" t="str">
        <f t="shared" si="20"/>
        <v>kg/head</v>
      </c>
      <c r="BD10" s="745">
        <v>226</v>
      </c>
      <c r="BE10" s="746">
        <v>227.5</v>
      </c>
      <c r="BF10" s="747" t="str">
        <f t="shared" si="21"/>
        <v>kg</v>
      </c>
      <c r="BG10" s="748" t="str">
        <f t="shared" si="22"/>
        <v>/</v>
      </c>
      <c r="BH10" s="749" t="str">
        <f t="shared" si="23"/>
        <v>head</v>
      </c>
      <c r="BI10" s="745">
        <v>226</v>
      </c>
      <c r="BJ10" s="746">
        <f>(224+231)/2</f>
        <v>227.5</v>
      </c>
      <c r="BK10" s="747" t="s">
        <v>221</v>
      </c>
      <c r="BL10" s="748" t="s">
        <v>256</v>
      </c>
      <c r="BM10" s="750" t="s">
        <v>257</v>
      </c>
      <c r="BN10" s="1002" t="str">
        <f t="shared" si="24"/>
        <v/>
      </c>
      <c r="BO10" s="751" t="s">
        <v>125</v>
      </c>
      <c r="BP10" s="751" t="s">
        <v>125</v>
      </c>
      <c r="BQ10" s="744" t="str">
        <f t="shared" si="25"/>
        <v/>
      </c>
      <c r="BR10" s="755"/>
      <c r="BS10" s="756"/>
      <c r="BT10" s="755"/>
      <c r="BU10" s="756"/>
      <c r="BV10" s="755"/>
      <c r="BW10" s="757"/>
      <c r="BX10" s="755"/>
      <c r="BY10" s="756"/>
      <c r="BZ10" s="752" t="s">
        <v>125</v>
      </c>
      <c r="CA10" s="733"/>
      <c r="CB10" s="734"/>
      <c r="CC10" s="734"/>
      <c r="CD10" s="321"/>
    </row>
    <row r="11" spans="2:82" s="680" customFormat="1" x14ac:dyDescent="0.25">
      <c r="B11" s="729" t="str">
        <f t="shared" si="0"/>
        <v>animal</v>
      </c>
      <c r="C11" s="730" t="s">
        <v>245</v>
      </c>
      <c r="D11" s="730" t="s">
        <v>246</v>
      </c>
      <c r="E11" s="731" t="s">
        <v>247</v>
      </c>
      <c r="F11" s="680" t="s">
        <v>248</v>
      </c>
      <c r="G11" s="680" t="s">
        <v>249</v>
      </c>
      <c r="H11" s="680" t="s">
        <v>250</v>
      </c>
      <c r="I11" s="732" t="s">
        <v>251</v>
      </c>
      <c r="J11" s="730" t="s">
        <v>261</v>
      </c>
      <c r="K11" s="680" t="s">
        <v>261</v>
      </c>
      <c r="L11" s="732"/>
      <c r="M11" s="729" t="str">
        <f t="shared" si="1"/>
        <v>head</v>
      </c>
      <c r="N11" s="733">
        <f t="shared" si="2"/>
        <v>0.92838196286472152</v>
      </c>
      <c r="O11" s="734">
        <v>1.75</v>
      </c>
      <c r="P11" s="734">
        <f>(1.85+1.92)/2</f>
        <v>1.885</v>
      </c>
      <c r="Q11" s="321" t="s">
        <v>254</v>
      </c>
      <c r="R11" s="754">
        <f t="shared" si="26"/>
        <v>1.3846153846153846</v>
      </c>
      <c r="S11" s="734">
        <f>63</f>
        <v>63</v>
      </c>
      <c r="T11" s="734">
        <f>((35+56)/2)</f>
        <v>45.5</v>
      </c>
      <c r="U11" s="321" t="s">
        <v>260</v>
      </c>
      <c r="V11" s="733" t="str">
        <f t="shared" si="3"/>
        <v/>
      </c>
      <c r="W11" s="734" t="str">
        <f t="shared" si="4"/>
        <v/>
      </c>
      <c r="X11" s="734" t="str">
        <f t="shared" si="5"/>
        <v/>
      </c>
      <c r="Y11" s="744" t="str">
        <f t="shared" si="6"/>
        <v/>
      </c>
      <c r="Z11" s="746"/>
      <c r="AA11" s="745" t="s">
        <v>125</v>
      </c>
      <c r="AB11" s="746" t="s">
        <v>125</v>
      </c>
      <c r="AC11" s="747" t="str">
        <f t="shared" si="7"/>
        <v/>
      </c>
      <c r="AD11" s="748" t="str">
        <f t="shared" si="8"/>
        <v/>
      </c>
      <c r="AE11" s="749" t="str">
        <f t="shared" si="9"/>
        <v/>
      </c>
      <c r="AF11" s="745"/>
      <c r="AG11" s="746"/>
      <c r="AH11" s="747" t="s">
        <v>125</v>
      </c>
      <c r="AI11" s="748" t="s">
        <v>125</v>
      </c>
      <c r="AJ11" s="750" t="s">
        <v>125</v>
      </c>
      <c r="AK11" s="733" t="str">
        <f t="shared" si="10"/>
        <v/>
      </c>
      <c r="AL11" s="734" t="str">
        <f t="shared" si="11"/>
        <v/>
      </c>
      <c r="AM11" s="734" t="str">
        <f t="shared" si="12"/>
        <v/>
      </c>
      <c r="AN11" s="744" t="str">
        <f t="shared" si="13"/>
        <v/>
      </c>
      <c r="AO11" s="746"/>
      <c r="AP11" s="745" t="s">
        <v>125</v>
      </c>
      <c r="AQ11" s="746" t="s">
        <v>125</v>
      </c>
      <c r="AR11" s="747" t="str">
        <f t="shared" si="14"/>
        <v/>
      </c>
      <c r="AS11" s="748" t="str">
        <f t="shared" si="15"/>
        <v/>
      </c>
      <c r="AT11" s="749" t="str">
        <f t="shared" si="16"/>
        <v/>
      </c>
      <c r="AU11" s="745"/>
      <c r="AV11" s="746"/>
      <c r="AW11" s="747" t="s">
        <v>125</v>
      </c>
      <c r="AX11" s="748" t="s">
        <v>125</v>
      </c>
      <c r="AY11" s="750" t="s">
        <v>125</v>
      </c>
      <c r="AZ11" s="733">
        <f t="shared" si="17"/>
        <v>1.178082191780822</v>
      </c>
      <c r="BA11" s="734">
        <f t="shared" si="18"/>
        <v>4.3</v>
      </c>
      <c r="BB11" s="734">
        <f t="shared" si="19"/>
        <v>3.65</v>
      </c>
      <c r="BC11" s="744" t="str">
        <f t="shared" si="20"/>
        <v>kg/head</v>
      </c>
      <c r="BD11" s="745">
        <v>4.3</v>
      </c>
      <c r="BE11" s="746">
        <v>3.65</v>
      </c>
      <c r="BF11" s="747" t="str">
        <f t="shared" si="21"/>
        <v>kg</v>
      </c>
      <c r="BG11" s="748" t="str">
        <f t="shared" si="22"/>
        <v>/</v>
      </c>
      <c r="BH11" s="749" t="str">
        <f t="shared" si="23"/>
        <v>head</v>
      </c>
      <c r="BI11" s="745">
        <v>4.3</v>
      </c>
      <c r="BJ11" s="746">
        <f>(3.2+4.1)/2</f>
        <v>3.65</v>
      </c>
      <c r="BK11" s="747" t="s">
        <v>221</v>
      </c>
      <c r="BL11" s="748" t="s">
        <v>256</v>
      </c>
      <c r="BM11" s="750" t="s">
        <v>257</v>
      </c>
      <c r="BN11" s="1002" t="str">
        <f t="shared" si="24"/>
        <v/>
      </c>
      <c r="BO11" s="751" t="s">
        <v>125</v>
      </c>
      <c r="BP11" s="751" t="s">
        <v>125</v>
      </c>
      <c r="BQ11" s="744" t="str">
        <f t="shared" si="25"/>
        <v/>
      </c>
      <c r="BR11" s="755"/>
      <c r="BS11" s="756"/>
      <c r="BT11" s="755"/>
      <c r="BU11" s="756"/>
      <c r="BV11" s="755"/>
      <c r="BW11" s="757"/>
      <c r="BX11" s="755"/>
      <c r="BY11" s="756"/>
      <c r="BZ11" s="752" t="s">
        <v>125</v>
      </c>
      <c r="CA11" s="733"/>
      <c r="CB11" s="734"/>
      <c r="CC11" s="734"/>
      <c r="CD11" s="321"/>
    </row>
    <row r="12" spans="2:82" s="680" customFormat="1" x14ac:dyDescent="0.25">
      <c r="B12" s="729" t="str">
        <f t="shared" si="0"/>
        <v>animal</v>
      </c>
      <c r="C12" s="730" t="s">
        <v>262</v>
      </c>
      <c r="D12" s="730" t="s">
        <v>263</v>
      </c>
      <c r="E12" s="731" t="s">
        <v>264</v>
      </c>
      <c r="F12" s="680" t="s">
        <v>265</v>
      </c>
      <c r="G12" s="680" t="s">
        <v>266</v>
      </c>
      <c r="H12" s="680" t="s">
        <v>250</v>
      </c>
      <c r="I12" s="732" t="s">
        <v>267</v>
      </c>
      <c r="J12" s="730" t="s">
        <v>258</v>
      </c>
      <c r="K12" s="680" t="s">
        <v>259</v>
      </c>
      <c r="L12" s="732"/>
      <c r="M12" s="729" t="str">
        <f t="shared" si="1"/>
        <v>head</v>
      </c>
      <c r="N12" s="733">
        <f t="shared" si="2"/>
        <v>1.0619469026548674</v>
      </c>
      <c r="O12" s="734">
        <v>120</v>
      </c>
      <c r="P12" s="734">
        <v>113</v>
      </c>
      <c r="Q12" s="321" t="s">
        <v>254</v>
      </c>
      <c r="R12" s="754">
        <f t="shared" si="26"/>
        <v>1.1142857142857143</v>
      </c>
      <c r="S12" s="734">
        <f>195</f>
        <v>195</v>
      </c>
      <c r="T12" s="734">
        <f>175</f>
        <v>175</v>
      </c>
      <c r="U12" s="321" t="s">
        <v>260</v>
      </c>
      <c r="V12" s="733" t="str">
        <f t="shared" si="3"/>
        <v/>
      </c>
      <c r="W12" s="734" t="str">
        <f t="shared" si="4"/>
        <v/>
      </c>
      <c r="X12" s="734" t="str">
        <f t="shared" si="5"/>
        <v/>
      </c>
      <c r="Y12" s="744" t="str">
        <f t="shared" si="6"/>
        <v/>
      </c>
      <c r="Z12" s="746"/>
      <c r="AA12" s="745" t="s">
        <v>125</v>
      </c>
      <c r="AB12" s="746" t="s">
        <v>125</v>
      </c>
      <c r="AC12" s="747" t="str">
        <f t="shared" si="7"/>
        <v/>
      </c>
      <c r="AD12" s="748" t="str">
        <f t="shared" si="8"/>
        <v/>
      </c>
      <c r="AE12" s="749" t="str">
        <f t="shared" si="9"/>
        <v/>
      </c>
      <c r="AF12" s="745"/>
      <c r="AG12" s="746"/>
      <c r="AH12" s="747" t="s">
        <v>125</v>
      </c>
      <c r="AI12" s="748" t="s">
        <v>125</v>
      </c>
      <c r="AJ12" s="750" t="s">
        <v>125</v>
      </c>
      <c r="AK12" s="733" t="str">
        <f t="shared" si="10"/>
        <v/>
      </c>
      <c r="AL12" s="734" t="str">
        <f t="shared" si="11"/>
        <v/>
      </c>
      <c r="AM12" s="734" t="str">
        <f t="shared" si="12"/>
        <v/>
      </c>
      <c r="AN12" s="744" t="str">
        <f t="shared" si="13"/>
        <v/>
      </c>
      <c r="AO12" s="746"/>
      <c r="AP12" s="745" t="s">
        <v>125</v>
      </c>
      <c r="AQ12" s="746" t="s">
        <v>125</v>
      </c>
      <c r="AR12" s="747" t="str">
        <f t="shared" si="14"/>
        <v/>
      </c>
      <c r="AS12" s="748" t="str">
        <f t="shared" si="15"/>
        <v/>
      </c>
      <c r="AT12" s="749" t="str">
        <f t="shared" si="16"/>
        <v/>
      </c>
      <c r="AU12" s="745"/>
      <c r="AV12" s="746"/>
      <c r="AW12" s="747" t="s">
        <v>125</v>
      </c>
      <c r="AX12" s="748" t="s">
        <v>125</v>
      </c>
      <c r="AY12" s="750" t="s">
        <v>125</v>
      </c>
      <c r="AZ12" s="733">
        <f t="shared" si="17"/>
        <v>1.2363636363636363</v>
      </c>
      <c r="BA12" s="734">
        <f t="shared" si="18"/>
        <v>340</v>
      </c>
      <c r="BB12" s="734">
        <f t="shared" si="19"/>
        <v>275</v>
      </c>
      <c r="BC12" s="744" t="str">
        <f t="shared" si="20"/>
        <v>kg/head</v>
      </c>
      <c r="BD12" s="745">
        <v>340</v>
      </c>
      <c r="BE12" s="746">
        <v>275</v>
      </c>
      <c r="BF12" s="747" t="str">
        <f t="shared" si="21"/>
        <v>kg</v>
      </c>
      <c r="BG12" s="748" t="str">
        <f t="shared" si="22"/>
        <v>/</v>
      </c>
      <c r="BH12" s="749" t="str">
        <f t="shared" si="23"/>
        <v>head</v>
      </c>
      <c r="BI12" s="745">
        <f>340</f>
        <v>340</v>
      </c>
      <c r="BJ12" s="746">
        <f>275</f>
        <v>275</v>
      </c>
      <c r="BK12" s="747" t="s">
        <v>221</v>
      </c>
      <c r="BL12" s="748" t="s">
        <v>256</v>
      </c>
      <c r="BM12" s="750" t="s">
        <v>257</v>
      </c>
      <c r="BN12" s="1002" t="str">
        <f t="shared" si="24"/>
        <v/>
      </c>
      <c r="BO12" s="751" t="s">
        <v>125</v>
      </c>
      <c r="BP12" s="751" t="s">
        <v>125</v>
      </c>
      <c r="BQ12" s="744" t="str">
        <f t="shared" si="25"/>
        <v/>
      </c>
      <c r="BR12" s="755"/>
      <c r="BS12" s="756"/>
      <c r="BT12" s="755" t="s">
        <v>268</v>
      </c>
      <c r="BU12" s="756"/>
      <c r="BV12" s="755"/>
      <c r="BW12" s="757"/>
      <c r="BX12" s="755"/>
      <c r="BY12" s="756"/>
      <c r="BZ12" s="752" t="s">
        <v>125</v>
      </c>
      <c r="CA12" s="733"/>
      <c r="CB12" s="734"/>
      <c r="CC12" s="734"/>
      <c r="CD12" s="321"/>
    </row>
    <row r="13" spans="2:82" s="680" customFormat="1" x14ac:dyDescent="0.25">
      <c r="B13" s="729" t="str">
        <f t="shared" si="0"/>
        <v>animal</v>
      </c>
      <c r="C13" s="730" t="s">
        <v>269</v>
      </c>
      <c r="D13" s="730" t="s">
        <v>270</v>
      </c>
      <c r="E13" s="731" t="s">
        <v>264</v>
      </c>
      <c r="F13" s="680" t="s">
        <v>271</v>
      </c>
      <c r="G13" s="680" t="s">
        <v>272</v>
      </c>
      <c r="H13" s="680" t="s">
        <v>273</v>
      </c>
      <c r="I13" s="732" t="s">
        <v>274</v>
      </c>
      <c r="J13" s="730" t="s">
        <v>261</v>
      </c>
      <c r="K13" s="680" t="s">
        <v>261</v>
      </c>
      <c r="L13" s="732"/>
      <c r="M13" s="729" t="str">
        <f t="shared" si="1"/>
        <v>head</v>
      </c>
      <c r="N13" s="733">
        <f t="shared" si="2"/>
        <v>1.1538461538461537</v>
      </c>
      <c r="O13" s="734">
        <f>(2.5+3.5)/2</f>
        <v>3</v>
      </c>
      <c r="P13" s="734">
        <v>2.6</v>
      </c>
      <c r="Q13" s="321" t="s">
        <v>254</v>
      </c>
      <c r="R13" s="754">
        <f t="shared" si="26"/>
        <v>1.91</v>
      </c>
      <c r="S13" s="734">
        <f>((110+81)/2)</f>
        <v>95.5</v>
      </c>
      <c r="T13" s="734">
        <f>50</f>
        <v>50</v>
      </c>
      <c r="U13" s="321" t="s">
        <v>260</v>
      </c>
      <c r="V13" s="733" t="str">
        <f t="shared" si="3"/>
        <v/>
      </c>
      <c r="W13" s="734" t="str">
        <f t="shared" si="4"/>
        <v/>
      </c>
      <c r="X13" s="734" t="str">
        <f t="shared" si="5"/>
        <v/>
      </c>
      <c r="Y13" s="744" t="str">
        <f t="shared" si="6"/>
        <v/>
      </c>
      <c r="Z13" s="746"/>
      <c r="AA13" s="745" t="s">
        <v>125</v>
      </c>
      <c r="AB13" s="746" t="s">
        <v>125</v>
      </c>
      <c r="AC13" s="747" t="str">
        <f t="shared" si="7"/>
        <v/>
      </c>
      <c r="AD13" s="748" t="str">
        <f t="shared" si="8"/>
        <v/>
      </c>
      <c r="AE13" s="749" t="str">
        <f t="shared" si="9"/>
        <v/>
      </c>
      <c r="AF13" s="745"/>
      <c r="AG13" s="746"/>
      <c r="AH13" s="747" t="s">
        <v>125</v>
      </c>
      <c r="AI13" s="748" t="s">
        <v>125</v>
      </c>
      <c r="AJ13" s="750" t="s">
        <v>125</v>
      </c>
      <c r="AK13" s="733" t="str">
        <f t="shared" si="10"/>
        <v/>
      </c>
      <c r="AL13" s="734" t="str">
        <f t="shared" si="11"/>
        <v/>
      </c>
      <c r="AM13" s="734" t="str">
        <f t="shared" si="12"/>
        <v/>
      </c>
      <c r="AN13" s="744" t="str">
        <f t="shared" si="13"/>
        <v/>
      </c>
      <c r="AO13" s="746"/>
      <c r="AP13" s="745" t="s">
        <v>125</v>
      </c>
      <c r="AQ13" s="746" t="s">
        <v>125</v>
      </c>
      <c r="AR13" s="747" t="str">
        <f t="shared" si="14"/>
        <v/>
      </c>
      <c r="AS13" s="748" t="str">
        <f t="shared" si="15"/>
        <v/>
      </c>
      <c r="AT13" s="749" t="str">
        <f t="shared" si="16"/>
        <v/>
      </c>
      <c r="AU13" s="745"/>
      <c r="AV13" s="746"/>
      <c r="AW13" s="747" t="s">
        <v>125</v>
      </c>
      <c r="AX13" s="748" t="s">
        <v>125</v>
      </c>
      <c r="AY13" s="750" t="s">
        <v>125</v>
      </c>
      <c r="AZ13" s="733">
        <f t="shared" si="17"/>
        <v>1.8173076923076921</v>
      </c>
      <c r="BA13" s="734">
        <f t="shared" si="18"/>
        <v>9.4499999999999993</v>
      </c>
      <c r="BB13" s="734">
        <f t="shared" si="19"/>
        <v>5.2</v>
      </c>
      <c r="BC13" s="744" t="str">
        <f t="shared" si="20"/>
        <v>kg/head</v>
      </c>
      <c r="BD13" s="745">
        <v>3.15</v>
      </c>
      <c r="BE13" s="746">
        <v>2</v>
      </c>
      <c r="BF13" s="747" t="str">
        <f t="shared" si="21"/>
        <v>kg</v>
      </c>
      <c r="BG13" s="748" t="str">
        <f t="shared" si="22"/>
        <v>/</v>
      </c>
      <c r="BH13" s="749" t="str">
        <f t="shared" si="23"/>
        <v>kg</v>
      </c>
      <c r="BI13" s="745">
        <f>(2.8+3.5)/2</f>
        <v>3.15</v>
      </c>
      <c r="BJ13" s="746">
        <v>2</v>
      </c>
      <c r="BK13" s="747" t="s">
        <v>221</v>
      </c>
      <c r="BL13" s="748" t="s">
        <v>256</v>
      </c>
      <c r="BM13" s="750" t="s">
        <v>221</v>
      </c>
      <c r="BN13" s="1002" t="str">
        <f t="shared" si="24"/>
        <v/>
      </c>
      <c r="BO13" s="751" t="s">
        <v>125</v>
      </c>
      <c r="BP13" s="751" t="s">
        <v>125</v>
      </c>
      <c r="BQ13" s="744" t="str">
        <f t="shared" si="25"/>
        <v/>
      </c>
      <c r="BR13" s="755"/>
      <c r="BS13" s="756"/>
      <c r="BT13" s="755"/>
      <c r="BU13" s="756"/>
      <c r="BV13" s="755"/>
      <c r="BW13" s="757"/>
      <c r="BX13" s="755"/>
      <c r="BY13" s="756"/>
      <c r="BZ13" s="752" t="s">
        <v>125</v>
      </c>
      <c r="CA13" s="733"/>
      <c r="CB13" s="734"/>
      <c r="CC13" s="734"/>
      <c r="CD13" s="321"/>
    </row>
    <row r="14" spans="2:82" s="680" customFormat="1" x14ac:dyDescent="0.25">
      <c r="B14" s="729" t="str">
        <f t="shared" si="0"/>
        <v>animal</v>
      </c>
      <c r="C14" s="730" t="s">
        <v>275</v>
      </c>
      <c r="D14" s="730" t="s">
        <v>276</v>
      </c>
      <c r="E14" s="731" t="s">
        <v>264</v>
      </c>
      <c r="F14" s="323" t="s">
        <v>277</v>
      </c>
      <c r="G14" s="680" t="s">
        <v>272</v>
      </c>
      <c r="H14" s="680" t="s">
        <v>250</v>
      </c>
      <c r="I14" s="732" t="s">
        <v>278</v>
      </c>
      <c r="J14" s="730" t="s">
        <v>252</v>
      </c>
      <c r="K14" s="680" t="s">
        <v>253</v>
      </c>
      <c r="L14" s="732"/>
      <c r="M14" s="729" t="str">
        <f t="shared" si="1"/>
        <v>head</v>
      </c>
      <c r="N14" s="754">
        <f t="shared" si="2"/>
        <v>1.0714285714285714</v>
      </c>
      <c r="O14" s="734">
        <v>750</v>
      </c>
      <c r="P14" s="734">
        <f>(400+500+600+700+800+1200)/6</f>
        <v>700</v>
      </c>
      <c r="Q14" s="321" t="s">
        <v>254</v>
      </c>
      <c r="R14" s="754">
        <f t="shared" si="26"/>
        <v>1.2</v>
      </c>
      <c r="S14" s="734">
        <v>24</v>
      </c>
      <c r="T14" s="734">
        <v>20</v>
      </c>
      <c r="U14" s="321" t="s">
        <v>255</v>
      </c>
      <c r="V14" s="733" t="str">
        <f t="shared" si="3"/>
        <v/>
      </c>
      <c r="W14" s="734" t="str">
        <f t="shared" si="4"/>
        <v/>
      </c>
      <c r="X14" s="734" t="str">
        <f t="shared" si="5"/>
        <v/>
      </c>
      <c r="Y14" s="744" t="str">
        <f t="shared" si="6"/>
        <v/>
      </c>
      <c r="Z14" s="746"/>
      <c r="AA14" s="745" t="s">
        <v>125</v>
      </c>
      <c r="AB14" s="746" t="s">
        <v>125</v>
      </c>
      <c r="AC14" s="747" t="str">
        <f t="shared" si="7"/>
        <v/>
      </c>
      <c r="AD14" s="748" t="str">
        <f t="shared" si="8"/>
        <v/>
      </c>
      <c r="AE14" s="749" t="str">
        <f t="shared" si="9"/>
        <v/>
      </c>
      <c r="AF14" s="745"/>
      <c r="AG14" s="746"/>
      <c r="AH14" s="747" t="s">
        <v>125</v>
      </c>
      <c r="AI14" s="748" t="s">
        <v>125</v>
      </c>
      <c r="AJ14" s="750" t="s">
        <v>125</v>
      </c>
      <c r="AK14" s="733" t="str">
        <f t="shared" si="10"/>
        <v/>
      </c>
      <c r="AL14" s="734" t="str">
        <f t="shared" si="11"/>
        <v/>
      </c>
      <c r="AM14" s="734" t="str">
        <f t="shared" si="12"/>
        <v/>
      </c>
      <c r="AN14" s="744" t="str">
        <f t="shared" si="13"/>
        <v/>
      </c>
      <c r="AO14" s="746"/>
      <c r="AP14" s="745" t="s">
        <v>125</v>
      </c>
      <c r="AQ14" s="746" t="s">
        <v>125</v>
      </c>
      <c r="AR14" s="747" t="str">
        <f t="shared" si="14"/>
        <v/>
      </c>
      <c r="AS14" s="748" t="str">
        <f t="shared" si="15"/>
        <v/>
      </c>
      <c r="AT14" s="749" t="str">
        <f t="shared" si="16"/>
        <v/>
      </c>
      <c r="AU14" s="745"/>
      <c r="AV14" s="746"/>
      <c r="AW14" s="747" t="s">
        <v>125</v>
      </c>
      <c r="AX14" s="748" t="s">
        <v>125</v>
      </c>
      <c r="AY14" s="750" t="s">
        <v>125</v>
      </c>
      <c r="AZ14" s="754">
        <f t="shared" si="17"/>
        <v>0.84051383399209489</v>
      </c>
      <c r="BA14" s="734">
        <f t="shared" si="18"/>
        <v>4253</v>
      </c>
      <c r="BB14" s="734">
        <f t="shared" si="19"/>
        <v>5060</v>
      </c>
      <c r="BC14" s="744" t="str">
        <f t="shared" si="20"/>
        <v>kg/head</v>
      </c>
      <c r="BD14" s="745">
        <v>5.6706666666666665</v>
      </c>
      <c r="BE14" s="746">
        <v>7.2285714285714286</v>
      </c>
      <c r="BF14" s="747" t="str">
        <f t="shared" si="21"/>
        <v>kg</v>
      </c>
      <c r="BG14" s="748" t="str">
        <f t="shared" si="22"/>
        <v>/</v>
      </c>
      <c r="BH14" s="749" t="str">
        <f t="shared" si="23"/>
        <v>kg</v>
      </c>
      <c r="BI14" s="745">
        <f>4253/750</f>
        <v>5.6706666666666665</v>
      </c>
      <c r="BJ14" s="746">
        <f>5060/700</f>
        <v>7.2285714285714286</v>
      </c>
      <c r="BK14" s="747" t="s">
        <v>221</v>
      </c>
      <c r="BL14" s="748" t="s">
        <v>256</v>
      </c>
      <c r="BM14" s="750" t="s">
        <v>221</v>
      </c>
      <c r="BN14" s="1002" t="str">
        <f t="shared" si="24"/>
        <v/>
      </c>
      <c r="BO14" s="751" t="s">
        <v>125</v>
      </c>
      <c r="BP14" s="751" t="s">
        <v>125</v>
      </c>
      <c r="BQ14" s="744" t="str">
        <f t="shared" si="25"/>
        <v/>
      </c>
      <c r="BR14" s="755"/>
      <c r="BS14" s="756"/>
      <c r="BT14" s="755"/>
      <c r="BU14" s="756"/>
      <c r="BV14" s="755"/>
      <c r="BW14" s="757"/>
      <c r="BX14" s="755"/>
      <c r="BY14" s="756"/>
      <c r="BZ14" s="752" t="s">
        <v>125</v>
      </c>
      <c r="CA14" s="733"/>
      <c r="CB14" s="734"/>
      <c r="CC14" s="734"/>
      <c r="CD14" s="321"/>
    </row>
    <row r="15" spans="2:82" s="680" customFormat="1" x14ac:dyDescent="0.25">
      <c r="B15" s="729" t="str">
        <f t="shared" si="0"/>
        <v>animal</v>
      </c>
      <c r="C15" s="730" t="s">
        <v>279</v>
      </c>
      <c r="D15" s="730" t="s">
        <v>280</v>
      </c>
      <c r="E15" s="731" t="s">
        <v>264</v>
      </c>
      <c r="F15" s="680" t="s">
        <v>281</v>
      </c>
      <c r="G15" s="680" t="s">
        <v>282</v>
      </c>
      <c r="H15" s="680" t="s">
        <v>283</v>
      </c>
      <c r="I15" s="732" t="s">
        <v>278</v>
      </c>
      <c r="J15" s="730" t="s">
        <v>252</v>
      </c>
      <c r="K15" s="680" t="s">
        <v>253</v>
      </c>
      <c r="L15" s="732"/>
      <c r="M15" s="729" t="str">
        <f t="shared" si="1"/>
        <v>head</v>
      </c>
      <c r="N15" s="733">
        <f t="shared" si="2"/>
        <v>0.89783190936352042</v>
      </c>
      <c r="O15" s="734">
        <v>489.74566666666669</v>
      </c>
      <c r="P15" s="734">
        <v>545.47589761412132</v>
      </c>
      <c r="Q15" s="321" t="s">
        <v>254</v>
      </c>
      <c r="R15" s="733"/>
      <c r="S15" s="734"/>
      <c r="T15" s="734"/>
      <c r="U15" s="321"/>
      <c r="V15" s="733" t="str">
        <f t="shared" si="3"/>
        <v/>
      </c>
      <c r="W15" s="734" t="str">
        <f t="shared" si="4"/>
        <v/>
      </c>
      <c r="X15" s="734" t="str">
        <f t="shared" si="5"/>
        <v/>
      </c>
      <c r="Y15" s="744" t="str">
        <f t="shared" si="6"/>
        <v/>
      </c>
      <c r="Z15" s="746"/>
      <c r="AA15" s="745" t="s">
        <v>125</v>
      </c>
      <c r="AB15" s="746" t="s">
        <v>125</v>
      </c>
      <c r="AC15" s="747" t="str">
        <f t="shared" si="7"/>
        <v/>
      </c>
      <c r="AD15" s="748" t="str">
        <f t="shared" si="8"/>
        <v/>
      </c>
      <c r="AE15" s="749" t="str">
        <f t="shared" si="9"/>
        <v/>
      </c>
      <c r="AF15" s="745"/>
      <c r="AG15" s="746"/>
      <c r="AH15" s="747" t="s">
        <v>125</v>
      </c>
      <c r="AI15" s="748" t="s">
        <v>125</v>
      </c>
      <c r="AJ15" s="750" t="s">
        <v>125</v>
      </c>
      <c r="AK15" s="733" t="str">
        <f t="shared" si="10"/>
        <v/>
      </c>
      <c r="AL15" s="734" t="str">
        <f t="shared" si="11"/>
        <v/>
      </c>
      <c r="AM15" s="734" t="str">
        <f t="shared" si="12"/>
        <v/>
      </c>
      <c r="AN15" s="744" t="str">
        <f t="shared" si="13"/>
        <v/>
      </c>
      <c r="AO15" s="746"/>
      <c r="AP15" s="745" t="s">
        <v>125</v>
      </c>
      <c r="AQ15" s="746" t="s">
        <v>125</v>
      </c>
      <c r="AR15" s="747" t="str">
        <f t="shared" si="14"/>
        <v/>
      </c>
      <c r="AS15" s="748" t="str">
        <f t="shared" si="15"/>
        <v/>
      </c>
      <c r="AT15" s="749" t="str">
        <f t="shared" si="16"/>
        <v/>
      </c>
      <c r="AU15" s="745"/>
      <c r="AV15" s="746"/>
      <c r="AW15" s="747" t="s">
        <v>125</v>
      </c>
      <c r="AX15" s="748" t="s">
        <v>125</v>
      </c>
      <c r="AY15" s="750" t="s">
        <v>125</v>
      </c>
      <c r="AZ15" s="733" t="str">
        <f t="shared" si="17"/>
        <v/>
      </c>
      <c r="BA15" s="734" t="str">
        <f t="shared" si="18"/>
        <v/>
      </c>
      <c r="BB15" s="734" t="str">
        <f t="shared" si="19"/>
        <v/>
      </c>
      <c r="BC15" s="744" t="str">
        <f t="shared" si="20"/>
        <v/>
      </c>
      <c r="BD15" s="745" t="s">
        <v>125</v>
      </c>
      <c r="BE15" s="746" t="s">
        <v>125</v>
      </c>
      <c r="BF15" s="747" t="str">
        <f t="shared" si="21"/>
        <v/>
      </c>
      <c r="BG15" s="748" t="str">
        <f t="shared" si="22"/>
        <v/>
      </c>
      <c r="BH15" s="749" t="str">
        <f t="shared" si="23"/>
        <v/>
      </c>
      <c r="BI15" s="745"/>
      <c r="BJ15" s="746"/>
      <c r="BK15" s="747" t="s">
        <v>125</v>
      </c>
      <c r="BL15" s="748" t="s">
        <v>125</v>
      </c>
      <c r="BM15" s="750" t="s">
        <v>125</v>
      </c>
      <c r="BN15" s="1002" t="str">
        <f t="shared" si="24"/>
        <v/>
      </c>
      <c r="BO15" s="751" t="s">
        <v>125</v>
      </c>
      <c r="BP15" s="751" t="s">
        <v>125</v>
      </c>
      <c r="BQ15" s="744" t="str">
        <f t="shared" si="25"/>
        <v/>
      </c>
      <c r="BR15" s="755"/>
      <c r="BS15" s="756"/>
      <c r="BT15" s="755"/>
      <c r="BU15" s="756"/>
      <c r="BV15" s="755"/>
      <c r="BW15" s="757"/>
      <c r="BX15" s="755"/>
      <c r="BY15" s="756"/>
      <c r="BZ15" s="752" t="s">
        <v>125</v>
      </c>
      <c r="CA15" s="733"/>
      <c r="CB15" s="734"/>
      <c r="CC15" s="734"/>
      <c r="CD15" s="321"/>
    </row>
    <row r="16" spans="2:82" s="680" customFormat="1" x14ac:dyDescent="0.25">
      <c r="B16" s="729" t="str">
        <f t="shared" si="0"/>
        <v>animal</v>
      </c>
      <c r="C16" s="730" t="s">
        <v>284</v>
      </c>
      <c r="D16" s="730" t="s">
        <v>285</v>
      </c>
      <c r="E16" s="731" t="s">
        <v>264</v>
      </c>
      <c r="F16" s="680" t="s">
        <v>286</v>
      </c>
      <c r="G16" s="680" t="s">
        <v>287</v>
      </c>
      <c r="H16" s="680" t="s">
        <v>250</v>
      </c>
      <c r="I16" s="732" t="s">
        <v>251</v>
      </c>
      <c r="J16" s="730" t="s">
        <v>261</v>
      </c>
      <c r="K16" s="680" t="s">
        <v>261</v>
      </c>
      <c r="L16" s="732" t="s">
        <v>288</v>
      </c>
      <c r="M16" s="729" t="str">
        <f t="shared" si="1"/>
        <v>head</v>
      </c>
      <c r="N16" s="733">
        <f t="shared" si="2"/>
        <v>1.0523114355231145</v>
      </c>
      <c r="O16" s="734">
        <f>(1.52+1.94)/2</f>
        <v>1.73</v>
      </c>
      <c r="P16" s="734">
        <f>(1.4+1.52+1.8+1.8+1.7)/5</f>
        <v>1.6439999999999997</v>
      </c>
      <c r="Q16" s="321" t="s">
        <v>254</v>
      </c>
      <c r="R16" s="754">
        <f>S16/T16</f>
        <v>0.97708674304418985</v>
      </c>
      <c r="S16" s="734">
        <f>398</f>
        <v>398</v>
      </c>
      <c r="T16" s="734">
        <f>((420+406+396)/3)</f>
        <v>407.33333333333331</v>
      </c>
      <c r="U16" s="321" t="s">
        <v>260</v>
      </c>
      <c r="V16" s="733" t="str">
        <f t="shared" si="3"/>
        <v/>
      </c>
      <c r="W16" s="734" t="str">
        <f t="shared" si="4"/>
        <v/>
      </c>
      <c r="X16" s="734" t="str">
        <f t="shared" si="5"/>
        <v/>
      </c>
      <c r="Y16" s="744" t="str">
        <f t="shared" si="6"/>
        <v/>
      </c>
      <c r="Z16" s="746"/>
      <c r="AA16" s="745" t="s">
        <v>125</v>
      </c>
      <c r="AB16" s="746" t="s">
        <v>125</v>
      </c>
      <c r="AC16" s="747" t="str">
        <f t="shared" si="7"/>
        <v/>
      </c>
      <c r="AD16" s="748" t="str">
        <f t="shared" si="8"/>
        <v/>
      </c>
      <c r="AE16" s="749" t="str">
        <f t="shared" si="9"/>
        <v/>
      </c>
      <c r="AF16" s="745"/>
      <c r="AG16" s="746"/>
      <c r="AH16" s="747" t="s">
        <v>125</v>
      </c>
      <c r="AI16" s="748" t="s">
        <v>125</v>
      </c>
      <c r="AJ16" s="750" t="s">
        <v>125</v>
      </c>
      <c r="AK16" s="733" t="str">
        <f t="shared" si="10"/>
        <v/>
      </c>
      <c r="AL16" s="734" t="str">
        <f t="shared" si="11"/>
        <v/>
      </c>
      <c r="AM16" s="734" t="str">
        <f t="shared" si="12"/>
        <v/>
      </c>
      <c r="AN16" s="744" t="str">
        <f t="shared" si="13"/>
        <v/>
      </c>
      <c r="AO16" s="746"/>
      <c r="AP16" s="745" t="s">
        <v>125</v>
      </c>
      <c r="AQ16" s="746" t="s">
        <v>125</v>
      </c>
      <c r="AR16" s="747" t="str">
        <f t="shared" si="14"/>
        <v/>
      </c>
      <c r="AS16" s="748" t="str">
        <f t="shared" si="15"/>
        <v/>
      </c>
      <c r="AT16" s="749" t="str">
        <f t="shared" si="16"/>
        <v/>
      </c>
      <c r="AU16" s="745"/>
      <c r="AV16" s="746"/>
      <c r="AW16" s="747" t="s">
        <v>125</v>
      </c>
      <c r="AX16" s="748" t="s">
        <v>125</v>
      </c>
      <c r="AY16" s="750" t="s">
        <v>125</v>
      </c>
      <c r="AZ16" s="733" t="str">
        <f t="shared" si="17"/>
        <v/>
      </c>
      <c r="BA16" s="734" t="str">
        <f t="shared" si="18"/>
        <v/>
      </c>
      <c r="BB16" s="734" t="str">
        <f t="shared" si="19"/>
        <v/>
      </c>
      <c r="BC16" s="744" t="str">
        <f t="shared" si="20"/>
        <v/>
      </c>
      <c r="BD16" s="745" t="s">
        <v>125</v>
      </c>
      <c r="BE16" s="746" t="s">
        <v>125</v>
      </c>
      <c r="BF16" s="747" t="str">
        <f t="shared" si="21"/>
        <v/>
      </c>
      <c r="BG16" s="748" t="str">
        <f t="shared" si="22"/>
        <v/>
      </c>
      <c r="BH16" s="749" t="str">
        <f t="shared" si="23"/>
        <v/>
      </c>
      <c r="BI16" s="745"/>
      <c r="BJ16" s="746"/>
      <c r="BK16" s="747" t="s">
        <v>125</v>
      </c>
      <c r="BL16" s="748" t="s">
        <v>125</v>
      </c>
      <c r="BM16" s="750" t="s">
        <v>125</v>
      </c>
      <c r="BN16" s="1002" t="str">
        <f t="shared" si="24"/>
        <v/>
      </c>
      <c r="BO16" s="751" t="s">
        <v>125</v>
      </c>
      <c r="BP16" s="751" t="s">
        <v>125</v>
      </c>
      <c r="BQ16" s="744" t="str">
        <f t="shared" si="25"/>
        <v/>
      </c>
      <c r="BR16" s="755"/>
      <c r="BS16" s="756"/>
      <c r="BT16" s="755"/>
      <c r="BU16" s="756"/>
      <c r="BV16" s="755"/>
      <c r="BW16" s="757"/>
      <c r="BX16" s="755"/>
      <c r="BY16" s="756"/>
      <c r="BZ16" s="752" t="s">
        <v>125</v>
      </c>
      <c r="CA16" s="733"/>
      <c r="CB16" s="734"/>
      <c r="CC16" s="734"/>
      <c r="CD16" s="321"/>
    </row>
    <row r="17" spans="2:82" s="680" customFormat="1" x14ac:dyDescent="0.25">
      <c r="B17" s="729" t="str">
        <f t="shared" si="0"/>
        <v>animal</v>
      </c>
      <c r="C17" s="730" t="s">
        <v>289</v>
      </c>
      <c r="D17" s="730" t="s">
        <v>290</v>
      </c>
      <c r="E17" s="731" t="s">
        <v>247</v>
      </c>
      <c r="F17" s="680" t="s">
        <v>248</v>
      </c>
      <c r="G17" s="680" t="s">
        <v>1573</v>
      </c>
      <c r="H17" s="680" t="s">
        <v>250</v>
      </c>
      <c r="I17" s="732" t="s">
        <v>292</v>
      </c>
      <c r="J17" s="730" t="s">
        <v>258</v>
      </c>
      <c r="K17" s="680" t="s">
        <v>259</v>
      </c>
      <c r="L17" s="732"/>
      <c r="M17" s="729" t="str">
        <f t="shared" si="1"/>
        <v>head</v>
      </c>
      <c r="N17" s="743">
        <f t="shared" si="2"/>
        <v>0.97499999999999998</v>
      </c>
      <c r="O17" s="734">
        <v>117</v>
      </c>
      <c r="P17" s="734">
        <v>120</v>
      </c>
      <c r="Q17" s="321" t="s">
        <v>254</v>
      </c>
      <c r="R17" s="733"/>
      <c r="S17" s="734"/>
      <c r="T17" s="734"/>
      <c r="U17" s="321"/>
      <c r="V17" s="733" t="str">
        <f>IF(COUNTBLANK(W17:X17)=0,W17/X17,
IF(AND(COUNTBLANK(AJ17)=0,AJ17="ha"),"hectar not convertible",IF(AND(COUNTBLANK(AJ17)=0,COUNTBLANK($Q17)=1),"yield not convertible","")))</f>
        <v/>
      </c>
      <c r="W17" s="734" t="str">
        <f>IF(COUNTBLANK($Y17)=0,
IF($Y17=$AC17&amp;"/"&amp;$AE17,AA17,
IF($AE17="kg",AA17*$O17,"")),"")</f>
        <v/>
      </c>
      <c r="X17" s="734" t="str">
        <f>IF(COUNTBLANK($Y17)=0,
IF($Y17=$AC17&amp;"/"&amp;$AE17,AB17,
IF($AE17="kg",AB17*$P17,"")),"")</f>
        <v/>
      </c>
      <c r="Y17" s="744" t="str">
        <f>IFERROR(IF(COUNTBLANK($AE17)=0,$AC17&amp;"/"&amp;SUBSTITUTE($Q17,LEFT($Q17,SEARCH("/",$Q17)),""),""),"")</f>
        <v/>
      </c>
      <c r="Z17" s="746"/>
      <c r="AA17" s="745" t="s">
        <v>125</v>
      </c>
      <c r="AB17" s="746" t="s">
        <v>125</v>
      </c>
      <c r="AC17" s="747" t="str">
        <f t="shared" ref="AC17" si="27">IF(COUNTBLANK(AE17)=0,$Y$2,"")</f>
        <v/>
      </c>
      <c r="AD17" s="748" t="str">
        <f t="shared" si="8"/>
        <v/>
      </c>
      <c r="AE17" s="749" t="str">
        <f t="shared" si="9"/>
        <v/>
      </c>
      <c r="AF17" s="745"/>
      <c r="AG17" s="746"/>
      <c r="AH17" s="747" t="s">
        <v>125</v>
      </c>
      <c r="AI17" s="748" t="s">
        <v>125</v>
      </c>
      <c r="AJ17" s="750" t="s">
        <v>125</v>
      </c>
      <c r="AK17" s="733">
        <f>IF(COUNTBLANK(AL17:AM17)=0,AL17/AM17,
IF(AND(COUNTBLANK(AY17)=0,AY17="ha"),"hectar not convertible",IF(AND(COUNTBLANK(AY17)=0,COUNTBLANK($Q17)=1),"yield not convertible","")))</f>
        <v>1</v>
      </c>
      <c r="AL17" s="734">
        <f>IF(COUNTBLANK($AN17)=0,
IF($AN17=$AR17&amp;"/"&amp;$AT17,AP17,
IF($AT17="kg",AP17*$O17,"")),"")</f>
        <v>239.29</v>
      </c>
      <c r="AM17" s="734">
        <f>IF(COUNTBLANK($AN17)=0,
IF($AN17=$AR17&amp;"/"&amp;$AT17,AQ17,
IF($AT17="kg",AQ17*$P17,"")),"")</f>
        <v>239.29</v>
      </c>
      <c r="AN17" s="744" t="str">
        <f>IFERROR(IF(COUNTBLANK($AT17)=0,$AR17&amp;"/"&amp;SUBSTITUTE($Q17,LEFT($Q17,SEARCH("/",$Q17)),""),""),"")</f>
        <v>kWh/head</v>
      </c>
      <c r="AO17" s="746" t="s">
        <v>1571</v>
      </c>
      <c r="AP17" s="745">
        <v>239.29</v>
      </c>
      <c r="AQ17" s="746">
        <v>239.29</v>
      </c>
      <c r="AR17" s="747" t="str">
        <f t="shared" si="14"/>
        <v>kWh</v>
      </c>
      <c r="AS17" s="748" t="str">
        <f t="shared" si="15"/>
        <v>/</v>
      </c>
      <c r="AT17" s="749" t="str">
        <f t="shared" si="16"/>
        <v>head</v>
      </c>
      <c r="AU17" s="745">
        <f>33.29+206</f>
        <v>239.29</v>
      </c>
      <c r="AV17" s="746">
        <f>33.29+206</f>
        <v>239.29</v>
      </c>
      <c r="AW17" s="747" t="s">
        <v>223</v>
      </c>
      <c r="AX17" s="748" t="s">
        <v>256</v>
      </c>
      <c r="AY17" s="750" t="s">
        <v>257</v>
      </c>
      <c r="AZ17" s="733">
        <f>IF(COUNTBLANK(BA17:BB17)=0,BA17/BB17,
IF(AND(COUNTBLANK(BM17)=0,BM17="ha"),"hectar not convertible",IF(AND(COUNTBLANK(BM17)=0,COUNTBLANK($Q17)=1),"yield not convertible","")))</f>
        <v>1.0574632095304835</v>
      </c>
      <c r="BA17" s="734">
        <f>IF(COUNTBLANK($BC17)=0,
IF($BC17=$BF17&amp;"/"&amp;$BH17,BD17,
IF($BH17="kg",BD17*$O17,"")),"")</f>
        <v>3018</v>
      </c>
      <c r="BB17" s="734">
        <f>IF(COUNTBLANK($BC17)=0,
IF($BC17=$BF17&amp;"/"&amp;$BH17,BE17,
IF($BH17="kg",BE17*$P17,"")),"")</f>
        <v>2854</v>
      </c>
      <c r="BC17" s="744" t="str">
        <f>IFERROR(IF(COUNTBLANK($BH17)=0,$BF17&amp;"/"&amp;SUBSTITUTE($Q17,LEFT($Q17,SEARCH("/",$Q17)),""),""),"")</f>
        <v>kg/head</v>
      </c>
      <c r="BD17" s="745">
        <v>3018</v>
      </c>
      <c r="BE17" s="746">
        <v>2854</v>
      </c>
      <c r="BF17" s="747" t="str">
        <f t="shared" si="21"/>
        <v>kg</v>
      </c>
      <c r="BG17" s="748" t="str">
        <f t="shared" si="22"/>
        <v>/</v>
      </c>
      <c r="BH17" s="749" t="str">
        <f t="shared" si="23"/>
        <v>head</v>
      </c>
      <c r="BI17" s="745">
        <f>2210+808</f>
        <v>3018</v>
      </c>
      <c r="BJ17" s="746">
        <f>2081+773</f>
        <v>2854</v>
      </c>
      <c r="BK17" s="747" t="s">
        <v>221</v>
      </c>
      <c r="BL17" s="748" t="s">
        <v>256</v>
      </c>
      <c r="BM17" s="750" t="s">
        <v>257</v>
      </c>
      <c r="BN17" s="1002" t="str">
        <f t="shared" si="24"/>
        <v/>
      </c>
      <c r="BO17" s="751" t="s">
        <v>125</v>
      </c>
      <c r="BP17" s="751" t="s">
        <v>125</v>
      </c>
      <c r="BQ17" s="744" t="str">
        <f t="shared" si="25"/>
        <v/>
      </c>
      <c r="BR17" s="755"/>
      <c r="BS17" s="756"/>
      <c r="BT17" s="755"/>
      <c r="BU17" s="756"/>
      <c r="BV17" s="755"/>
      <c r="BW17" s="757"/>
      <c r="BX17" s="755"/>
      <c r="BY17" s="756"/>
      <c r="BZ17" s="752" t="s">
        <v>125</v>
      </c>
      <c r="CA17" s="733"/>
      <c r="CB17" s="734"/>
      <c r="CC17" s="734"/>
      <c r="CD17" s="321"/>
    </row>
    <row r="18" spans="2:82" s="680" customFormat="1" x14ac:dyDescent="0.25">
      <c r="B18" s="729" t="str">
        <f t="shared" si="0"/>
        <v>animal</v>
      </c>
      <c r="C18" s="730" t="s">
        <v>295</v>
      </c>
      <c r="D18" s="730" t="s">
        <v>296</v>
      </c>
      <c r="E18" s="731" t="s">
        <v>264</v>
      </c>
      <c r="F18" s="680" t="s">
        <v>297</v>
      </c>
      <c r="G18" s="680" t="s">
        <v>293</v>
      </c>
      <c r="H18" s="680" t="s">
        <v>250</v>
      </c>
      <c r="I18" s="732" t="s">
        <v>251</v>
      </c>
      <c r="J18" s="730" t="s">
        <v>261</v>
      </c>
      <c r="K18" s="680" t="s">
        <v>261</v>
      </c>
      <c r="L18" s="732"/>
      <c r="M18" s="729" t="str">
        <f t="shared" si="1"/>
        <v>head</v>
      </c>
      <c r="N18" s="733">
        <f t="shared" si="2"/>
        <v>1.0822942643391522</v>
      </c>
      <c r="O18" s="734">
        <v>2.17</v>
      </c>
      <c r="P18" s="734">
        <f>(1.95+2.06)/2</f>
        <v>2.0049999999999999</v>
      </c>
      <c r="Q18" s="321" t="s">
        <v>254</v>
      </c>
      <c r="R18" s="754">
        <f>S18/T18</f>
        <v>1.5051546391752577</v>
      </c>
      <c r="S18" s="734">
        <v>73</v>
      </c>
      <c r="T18" s="734">
        <f>(58+39)/2</f>
        <v>48.5</v>
      </c>
      <c r="U18" s="321" t="s">
        <v>260</v>
      </c>
      <c r="V18" s="733" t="str">
        <f t="shared" si="3"/>
        <v/>
      </c>
      <c r="W18" s="734" t="str">
        <f t="shared" si="4"/>
        <v/>
      </c>
      <c r="X18" s="734" t="str">
        <f t="shared" si="5"/>
        <v/>
      </c>
      <c r="Y18" s="744" t="str">
        <f t="shared" si="6"/>
        <v/>
      </c>
      <c r="Z18" s="746"/>
      <c r="AA18" s="745" t="s">
        <v>125</v>
      </c>
      <c r="AB18" s="746" t="s">
        <v>125</v>
      </c>
      <c r="AC18" s="747" t="str">
        <f t="shared" si="7"/>
        <v/>
      </c>
      <c r="AD18" s="748" t="str">
        <f t="shared" si="8"/>
        <v/>
      </c>
      <c r="AE18" s="749" t="str">
        <f t="shared" si="9"/>
        <v/>
      </c>
      <c r="AF18" s="745"/>
      <c r="AG18" s="746"/>
      <c r="AH18" s="747" t="s">
        <v>125</v>
      </c>
      <c r="AI18" s="748" t="s">
        <v>125</v>
      </c>
      <c r="AJ18" s="750" t="s">
        <v>125</v>
      </c>
      <c r="AK18" s="733">
        <f>AP18/AQ18</f>
        <v>0.92646207295888849</v>
      </c>
      <c r="AL18" s="734" t="s">
        <v>248</v>
      </c>
      <c r="AM18" s="734" t="s">
        <v>248</v>
      </c>
      <c r="AN18" s="744" t="str">
        <f t="shared" si="13"/>
        <v>kWh/head</v>
      </c>
      <c r="AO18" s="746" t="s">
        <v>1574</v>
      </c>
      <c r="AP18" s="745">
        <v>0.7407407407407407</v>
      </c>
      <c r="AQ18" s="746">
        <v>0.79953703703703682</v>
      </c>
      <c r="AR18" s="747" t="str">
        <f t="shared" si="14"/>
        <v>kWh</v>
      </c>
      <c r="AS18" s="748" t="str">
        <f t="shared" si="15"/>
        <v>/</v>
      </c>
      <c r="AT18" s="749" t="str">
        <f t="shared" si="16"/>
        <v>kg</v>
      </c>
      <c r="AU18" s="745">
        <f>(2.88+4.64+0.48)/3</f>
        <v>2.6666666666666665</v>
      </c>
      <c r="AV18" s="746">
        <f>(2.82+6.31+0.23+2.53+5.05+0.33)/6</f>
        <v>2.8783333333333325</v>
      </c>
      <c r="AW18" s="747" t="s">
        <v>298</v>
      </c>
      <c r="AX18" s="748" t="s">
        <v>256</v>
      </c>
      <c r="AY18" s="750" t="s">
        <v>299</v>
      </c>
      <c r="AZ18" s="733">
        <f t="shared" si="17"/>
        <v>1.0231859146859781</v>
      </c>
      <c r="BA18" s="734">
        <f t="shared" si="18"/>
        <v>9.8040599999999998</v>
      </c>
      <c r="BB18" s="734">
        <f t="shared" si="19"/>
        <v>9.5818949999999994</v>
      </c>
      <c r="BC18" s="744" t="str">
        <f t="shared" si="20"/>
        <v>kg/head</v>
      </c>
      <c r="BD18" s="745">
        <v>4.5179999999999998</v>
      </c>
      <c r="BE18" s="746">
        <v>4.7789999999999999</v>
      </c>
      <c r="BF18" s="747" t="str">
        <f t="shared" si="21"/>
        <v>kg</v>
      </c>
      <c r="BG18" s="748" t="str">
        <f t="shared" si="22"/>
        <v>/</v>
      </c>
      <c r="BH18" s="749" t="str">
        <f t="shared" si="23"/>
        <v>kg</v>
      </c>
      <c r="BI18" s="745">
        <v>4.5179999999999998</v>
      </c>
      <c r="BJ18" s="746">
        <f>(2.913+6.645)/2</f>
        <v>4.7789999999999999</v>
      </c>
      <c r="BK18" s="747" t="s">
        <v>221</v>
      </c>
      <c r="BL18" s="748" t="s">
        <v>256</v>
      </c>
      <c r="BM18" s="750" t="s">
        <v>221</v>
      </c>
      <c r="BN18" s="1002" t="str">
        <f t="shared" si="24"/>
        <v/>
      </c>
      <c r="BO18" s="751" t="s">
        <v>125</v>
      </c>
      <c r="BP18" s="751" t="s">
        <v>125</v>
      </c>
      <c r="BQ18" s="744" t="str">
        <f t="shared" si="25"/>
        <v/>
      </c>
      <c r="BR18" s="755"/>
      <c r="BS18" s="756"/>
      <c r="BT18" s="755"/>
      <c r="BU18" s="756"/>
      <c r="BV18" s="755"/>
      <c r="BW18" s="757"/>
      <c r="BX18" s="755"/>
      <c r="BY18" s="756"/>
      <c r="BZ18" s="752" t="s">
        <v>125</v>
      </c>
      <c r="CA18" s="733">
        <f>CB18/CC18</f>
        <v>1.2475598935226266</v>
      </c>
      <c r="CB18" s="734">
        <v>7.03</v>
      </c>
      <c r="CC18" s="734">
        <f>(4.41+6.86)/2</f>
        <v>5.6349999999999998</v>
      </c>
      <c r="CD18" s="321" t="s">
        <v>300</v>
      </c>
    </row>
    <row r="19" spans="2:82" s="680" customFormat="1" x14ac:dyDescent="0.25">
      <c r="B19" s="729" t="str">
        <f t="shared" si="0"/>
        <v>animal</v>
      </c>
      <c r="C19" s="730" t="s">
        <v>301</v>
      </c>
      <c r="D19" s="730" t="s">
        <v>302</v>
      </c>
      <c r="E19" s="731" t="s">
        <v>247</v>
      </c>
      <c r="F19" s="680" t="s">
        <v>248</v>
      </c>
      <c r="G19" s="680" t="s">
        <v>293</v>
      </c>
      <c r="H19" s="680" t="s">
        <v>250</v>
      </c>
      <c r="I19" s="732" t="s">
        <v>251</v>
      </c>
      <c r="J19" s="730" t="s">
        <v>252</v>
      </c>
      <c r="K19" s="680" t="s">
        <v>253</v>
      </c>
      <c r="L19" s="732"/>
      <c r="M19" s="729" t="str">
        <f t="shared" si="1"/>
        <v>head</v>
      </c>
      <c r="N19" s="733"/>
      <c r="O19" s="734" t="s">
        <v>303</v>
      </c>
      <c r="P19" s="734"/>
      <c r="Q19" s="321"/>
      <c r="R19" s="733"/>
      <c r="S19" s="734"/>
      <c r="T19" s="734"/>
      <c r="U19" s="321"/>
      <c r="V19" s="733" t="str">
        <f t="shared" si="3"/>
        <v/>
      </c>
      <c r="W19" s="734" t="str">
        <f t="shared" si="4"/>
        <v/>
      </c>
      <c r="X19" s="734" t="str">
        <f t="shared" si="5"/>
        <v/>
      </c>
      <c r="Y19" s="744" t="str">
        <f t="shared" si="6"/>
        <v/>
      </c>
      <c r="Z19" s="746"/>
      <c r="AA19" s="745" t="s">
        <v>125</v>
      </c>
      <c r="AB19" s="746" t="s">
        <v>125</v>
      </c>
      <c r="AC19" s="747" t="str">
        <f t="shared" si="7"/>
        <v/>
      </c>
      <c r="AD19" s="748" t="str">
        <f t="shared" si="8"/>
        <v/>
      </c>
      <c r="AE19" s="749" t="str">
        <f t="shared" si="9"/>
        <v/>
      </c>
      <c r="AF19" s="745"/>
      <c r="AG19" s="746"/>
      <c r="AH19" s="747" t="s">
        <v>125</v>
      </c>
      <c r="AI19" s="748" t="s">
        <v>125</v>
      </c>
      <c r="AJ19" s="750" t="s">
        <v>125</v>
      </c>
      <c r="AK19" s="733" t="str">
        <f t="shared" si="10"/>
        <v>yield not convertible</v>
      </c>
      <c r="AL19" s="734" t="str">
        <f t="shared" si="11"/>
        <v/>
      </c>
      <c r="AM19" s="734" t="str">
        <f t="shared" si="12"/>
        <v/>
      </c>
      <c r="AN19" s="744" t="str">
        <f t="shared" si="13"/>
        <v/>
      </c>
      <c r="AO19" s="746"/>
      <c r="AP19" s="745">
        <v>5.0277777777777786</v>
      </c>
      <c r="AQ19" s="746">
        <v>7.7222222222222223</v>
      </c>
      <c r="AR19" s="747" t="str">
        <f t="shared" si="14"/>
        <v>kWh</v>
      </c>
      <c r="AS19" s="748" t="str">
        <f t="shared" si="15"/>
        <v>/</v>
      </c>
      <c r="AT19" s="749" t="str">
        <f t="shared" si="16"/>
        <v>kg</v>
      </c>
      <c r="AU19" s="745">
        <v>18100</v>
      </c>
      <c r="AV19" s="746">
        <v>27800</v>
      </c>
      <c r="AW19" s="747" t="s">
        <v>304</v>
      </c>
      <c r="AX19" s="748" t="s">
        <v>256</v>
      </c>
      <c r="AY19" s="750" t="s">
        <v>299</v>
      </c>
      <c r="AZ19" s="733" t="str">
        <f t="shared" si="17"/>
        <v/>
      </c>
      <c r="BA19" s="734" t="str">
        <f t="shared" si="18"/>
        <v/>
      </c>
      <c r="BB19" s="734" t="str">
        <f t="shared" si="19"/>
        <v/>
      </c>
      <c r="BC19" s="744" t="str">
        <f t="shared" si="20"/>
        <v/>
      </c>
      <c r="BD19" s="745" t="s">
        <v>125</v>
      </c>
      <c r="BE19" s="746" t="s">
        <v>125</v>
      </c>
      <c r="BF19" s="747" t="str">
        <f t="shared" si="21"/>
        <v/>
      </c>
      <c r="BG19" s="748" t="str">
        <f t="shared" si="22"/>
        <v/>
      </c>
      <c r="BH19" s="749" t="str">
        <f t="shared" si="23"/>
        <v/>
      </c>
      <c r="BI19" s="745"/>
      <c r="BJ19" s="746"/>
      <c r="BK19" s="747" t="s">
        <v>125</v>
      </c>
      <c r="BL19" s="748" t="s">
        <v>125</v>
      </c>
      <c r="BM19" s="750" t="s">
        <v>125</v>
      </c>
      <c r="BN19" s="1002" t="str">
        <f t="shared" si="24"/>
        <v/>
      </c>
      <c r="BO19" s="751" t="s">
        <v>125</v>
      </c>
      <c r="BP19" s="751" t="s">
        <v>125</v>
      </c>
      <c r="BQ19" s="744" t="str">
        <f t="shared" si="25"/>
        <v/>
      </c>
      <c r="BR19" s="755"/>
      <c r="BS19" s="756"/>
      <c r="BT19" s="755"/>
      <c r="BU19" s="756"/>
      <c r="BV19" s="755"/>
      <c r="BW19" s="757"/>
      <c r="BX19" s="755"/>
      <c r="BY19" s="756"/>
      <c r="BZ19" s="752" t="s">
        <v>125</v>
      </c>
      <c r="CA19" s="733"/>
      <c r="CB19" s="734"/>
      <c r="CC19" s="734"/>
      <c r="CD19" s="321"/>
    </row>
    <row r="20" spans="2:82" s="680" customFormat="1" x14ac:dyDescent="0.25">
      <c r="B20" s="729" t="str">
        <f t="shared" si="0"/>
        <v>animal</v>
      </c>
      <c r="C20" s="730" t="s">
        <v>301</v>
      </c>
      <c r="D20" s="730" t="s">
        <v>302</v>
      </c>
      <c r="E20" s="731" t="s">
        <v>247</v>
      </c>
      <c r="F20" s="680" t="s">
        <v>248</v>
      </c>
      <c r="G20" s="680" t="s">
        <v>293</v>
      </c>
      <c r="H20" s="680" t="s">
        <v>250</v>
      </c>
      <c r="I20" s="732" t="s">
        <v>251</v>
      </c>
      <c r="J20" s="730" t="s">
        <v>258</v>
      </c>
      <c r="K20" s="680" t="s">
        <v>259</v>
      </c>
      <c r="L20" s="732"/>
      <c r="M20" s="729" t="str">
        <f t="shared" si="1"/>
        <v>head</v>
      </c>
      <c r="N20" s="733"/>
      <c r="O20" s="734" t="s">
        <v>303</v>
      </c>
      <c r="P20" s="734"/>
      <c r="Q20" s="321"/>
      <c r="R20" s="733"/>
      <c r="S20" s="734"/>
      <c r="T20" s="734"/>
      <c r="U20" s="321"/>
      <c r="V20" s="733" t="str">
        <f t="shared" si="3"/>
        <v/>
      </c>
      <c r="W20" s="734" t="str">
        <f t="shared" si="4"/>
        <v/>
      </c>
      <c r="X20" s="734" t="str">
        <f t="shared" si="5"/>
        <v/>
      </c>
      <c r="Y20" s="744" t="str">
        <f t="shared" si="6"/>
        <v/>
      </c>
      <c r="Z20" s="746"/>
      <c r="AA20" s="745" t="s">
        <v>125</v>
      </c>
      <c r="AB20" s="746" t="s">
        <v>125</v>
      </c>
      <c r="AC20" s="747" t="str">
        <f t="shared" si="7"/>
        <v/>
      </c>
      <c r="AD20" s="748" t="str">
        <f t="shared" si="8"/>
        <v/>
      </c>
      <c r="AE20" s="749" t="str">
        <f t="shared" si="9"/>
        <v/>
      </c>
      <c r="AF20" s="745"/>
      <c r="AG20" s="746"/>
      <c r="AH20" s="747" t="s">
        <v>125</v>
      </c>
      <c r="AI20" s="748" t="s">
        <v>125</v>
      </c>
      <c r="AJ20" s="750" t="s">
        <v>125</v>
      </c>
      <c r="AK20" s="733" t="str">
        <f t="shared" si="10"/>
        <v>yield not convertible</v>
      </c>
      <c r="AL20" s="734" t="str">
        <f t="shared" si="11"/>
        <v/>
      </c>
      <c r="AM20" s="734" t="str">
        <f t="shared" si="12"/>
        <v/>
      </c>
      <c r="AN20" s="744" t="str">
        <f t="shared" si="13"/>
        <v/>
      </c>
      <c r="AO20" s="746"/>
      <c r="AP20" s="745">
        <v>4.0277777777777777</v>
      </c>
      <c r="AQ20" s="746">
        <v>4.6388888888888884</v>
      </c>
      <c r="AR20" s="747" t="str">
        <f t="shared" si="14"/>
        <v>kWh</v>
      </c>
      <c r="AS20" s="748" t="str">
        <f t="shared" si="15"/>
        <v>/</v>
      </c>
      <c r="AT20" s="749" t="str">
        <f t="shared" si="16"/>
        <v>kg</v>
      </c>
      <c r="AU20" s="745">
        <v>14500</v>
      </c>
      <c r="AV20" s="746">
        <v>16700</v>
      </c>
      <c r="AW20" s="747" t="s">
        <v>304</v>
      </c>
      <c r="AX20" s="748" t="s">
        <v>256</v>
      </c>
      <c r="AY20" s="750" t="s">
        <v>299</v>
      </c>
      <c r="AZ20" s="733" t="str">
        <f t="shared" si="17"/>
        <v/>
      </c>
      <c r="BA20" s="734" t="str">
        <f t="shared" si="18"/>
        <v/>
      </c>
      <c r="BB20" s="734" t="str">
        <f t="shared" si="19"/>
        <v/>
      </c>
      <c r="BC20" s="744" t="str">
        <f t="shared" si="20"/>
        <v/>
      </c>
      <c r="BD20" s="745" t="s">
        <v>125</v>
      </c>
      <c r="BE20" s="746" t="s">
        <v>125</v>
      </c>
      <c r="BF20" s="747" t="str">
        <f t="shared" si="21"/>
        <v/>
      </c>
      <c r="BG20" s="748" t="str">
        <f t="shared" si="22"/>
        <v/>
      </c>
      <c r="BH20" s="749" t="str">
        <f t="shared" si="23"/>
        <v/>
      </c>
      <c r="BI20" s="745"/>
      <c r="BJ20" s="746"/>
      <c r="BK20" s="747" t="s">
        <v>125</v>
      </c>
      <c r="BL20" s="748" t="s">
        <v>125</v>
      </c>
      <c r="BM20" s="750" t="s">
        <v>125</v>
      </c>
      <c r="BN20" s="1002" t="str">
        <f t="shared" si="24"/>
        <v/>
      </c>
      <c r="BO20" s="751" t="s">
        <v>125</v>
      </c>
      <c r="BP20" s="751" t="s">
        <v>125</v>
      </c>
      <c r="BQ20" s="744" t="str">
        <f t="shared" si="25"/>
        <v/>
      </c>
      <c r="BR20" s="755"/>
      <c r="BS20" s="756"/>
      <c r="BT20" s="755"/>
      <c r="BU20" s="756"/>
      <c r="BV20" s="755"/>
      <c r="BW20" s="757"/>
      <c r="BX20" s="755"/>
      <c r="BY20" s="756"/>
      <c r="BZ20" s="752" t="s">
        <v>125</v>
      </c>
      <c r="CA20" s="733"/>
      <c r="CB20" s="734"/>
      <c r="CC20" s="734"/>
      <c r="CD20" s="321"/>
    </row>
    <row r="21" spans="2:82" s="680" customFormat="1" x14ac:dyDescent="0.25">
      <c r="B21" s="729" t="str">
        <f t="shared" si="0"/>
        <v>animal</v>
      </c>
      <c r="C21" s="730" t="s">
        <v>301</v>
      </c>
      <c r="D21" s="730" t="s">
        <v>302</v>
      </c>
      <c r="E21" s="731" t="s">
        <v>247</v>
      </c>
      <c r="F21" s="680" t="s">
        <v>248</v>
      </c>
      <c r="G21" s="680" t="s">
        <v>293</v>
      </c>
      <c r="H21" s="680" t="s">
        <v>250</v>
      </c>
      <c r="I21" s="732" t="s">
        <v>251</v>
      </c>
      <c r="J21" s="730" t="s">
        <v>261</v>
      </c>
      <c r="K21" s="680" t="s">
        <v>261</v>
      </c>
      <c r="L21" s="732"/>
      <c r="M21" s="729" t="str">
        <f t="shared" si="1"/>
        <v>head</v>
      </c>
      <c r="N21" s="733"/>
      <c r="O21" s="734" t="s">
        <v>303</v>
      </c>
      <c r="P21" s="734"/>
      <c r="Q21" s="321"/>
      <c r="R21" s="733"/>
      <c r="S21" s="734"/>
      <c r="T21" s="734"/>
      <c r="U21" s="321"/>
      <c r="V21" s="733" t="str">
        <f t="shared" si="3"/>
        <v/>
      </c>
      <c r="W21" s="734" t="str">
        <f t="shared" si="4"/>
        <v/>
      </c>
      <c r="X21" s="734" t="str">
        <f t="shared" si="5"/>
        <v/>
      </c>
      <c r="Y21" s="744" t="str">
        <f t="shared" si="6"/>
        <v/>
      </c>
      <c r="Z21" s="746"/>
      <c r="AA21" s="745" t="s">
        <v>125</v>
      </c>
      <c r="AB21" s="746" t="s">
        <v>125</v>
      </c>
      <c r="AC21" s="747" t="str">
        <f t="shared" si="7"/>
        <v/>
      </c>
      <c r="AD21" s="748" t="str">
        <f t="shared" si="8"/>
        <v/>
      </c>
      <c r="AE21" s="749" t="str">
        <f t="shared" si="9"/>
        <v/>
      </c>
      <c r="AF21" s="745"/>
      <c r="AG21" s="746"/>
      <c r="AH21" s="747" t="s">
        <v>125</v>
      </c>
      <c r="AI21" s="748" t="s">
        <v>125</v>
      </c>
      <c r="AJ21" s="750" t="s">
        <v>125</v>
      </c>
      <c r="AK21" s="733" t="str">
        <f t="shared" si="10"/>
        <v>yield not convertible</v>
      </c>
      <c r="AL21" s="734" t="str">
        <f t="shared" si="11"/>
        <v/>
      </c>
      <c r="AM21" s="734" t="str">
        <f t="shared" si="12"/>
        <v/>
      </c>
      <c r="AN21" s="744" t="str">
        <f t="shared" si="13"/>
        <v/>
      </c>
      <c r="AO21" s="746"/>
      <c r="AP21" s="745">
        <v>4.3888888888888884</v>
      </c>
      <c r="AQ21" s="746">
        <v>3.3333333333333335</v>
      </c>
      <c r="AR21" s="747" t="str">
        <f t="shared" si="14"/>
        <v>kWh</v>
      </c>
      <c r="AS21" s="748" t="str">
        <f t="shared" si="15"/>
        <v>/</v>
      </c>
      <c r="AT21" s="749" t="str">
        <f t="shared" si="16"/>
        <v>kg</v>
      </c>
      <c r="AU21" s="745">
        <v>15800</v>
      </c>
      <c r="AV21" s="746">
        <v>12000</v>
      </c>
      <c r="AW21" s="747" t="s">
        <v>304</v>
      </c>
      <c r="AX21" s="748" t="s">
        <v>256</v>
      </c>
      <c r="AY21" s="750" t="s">
        <v>299</v>
      </c>
      <c r="AZ21" s="733" t="str">
        <f t="shared" si="17"/>
        <v/>
      </c>
      <c r="BA21" s="734" t="str">
        <f t="shared" si="18"/>
        <v/>
      </c>
      <c r="BB21" s="734" t="str">
        <f t="shared" si="19"/>
        <v/>
      </c>
      <c r="BC21" s="744" t="str">
        <f t="shared" si="20"/>
        <v/>
      </c>
      <c r="BD21" s="745" t="s">
        <v>125</v>
      </c>
      <c r="BE21" s="746" t="s">
        <v>125</v>
      </c>
      <c r="BF21" s="747" t="str">
        <f t="shared" si="21"/>
        <v/>
      </c>
      <c r="BG21" s="748" t="str">
        <f t="shared" si="22"/>
        <v/>
      </c>
      <c r="BH21" s="749" t="str">
        <f t="shared" si="23"/>
        <v/>
      </c>
      <c r="BI21" s="745"/>
      <c r="BJ21" s="746"/>
      <c r="BK21" s="747" t="s">
        <v>125</v>
      </c>
      <c r="BL21" s="748" t="s">
        <v>125</v>
      </c>
      <c r="BM21" s="750" t="s">
        <v>125</v>
      </c>
      <c r="BN21" s="1002" t="str">
        <f t="shared" si="24"/>
        <v/>
      </c>
      <c r="BO21" s="751" t="s">
        <v>125</v>
      </c>
      <c r="BP21" s="751" t="s">
        <v>125</v>
      </c>
      <c r="BQ21" s="744" t="str">
        <f t="shared" si="25"/>
        <v/>
      </c>
      <c r="BR21" s="755"/>
      <c r="BS21" s="756"/>
      <c r="BT21" s="755"/>
      <c r="BU21" s="756"/>
      <c r="BV21" s="755"/>
      <c r="BW21" s="757"/>
      <c r="BX21" s="755"/>
      <c r="BY21" s="756"/>
      <c r="BZ21" s="752" t="s">
        <v>125</v>
      </c>
      <c r="CA21" s="733"/>
      <c r="CB21" s="734"/>
      <c r="CC21" s="734"/>
      <c r="CD21" s="321"/>
    </row>
    <row r="22" spans="2:82" s="680" customFormat="1" x14ac:dyDescent="0.25">
      <c r="B22" s="729" t="str">
        <f t="shared" si="0"/>
        <v>animal-based</v>
      </c>
      <c r="C22" s="730" t="s">
        <v>305</v>
      </c>
      <c r="D22" s="730" t="s">
        <v>306</v>
      </c>
      <c r="E22" s="731" t="s">
        <v>92</v>
      </c>
      <c r="F22" s="680" t="s">
        <v>248</v>
      </c>
      <c r="G22" s="680" t="s">
        <v>287</v>
      </c>
      <c r="H22" s="680" t="s">
        <v>273</v>
      </c>
      <c r="I22" s="732" t="s">
        <v>251</v>
      </c>
      <c r="J22" s="730" t="s">
        <v>252</v>
      </c>
      <c r="K22" s="680" t="s">
        <v>307</v>
      </c>
      <c r="L22" s="732"/>
      <c r="M22" s="729" t="str">
        <f t="shared" si="1"/>
        <v>kg</v>
      </c>
      <c r="N22" s="733"/>
      <c r="O22" s="734" t="s">
        <v>308</v>
      </c>
      <c r="P22" s="734"/>
      <c r="Q22" s="321"/>
      <c r="R22" s="733"/>
      <c r="S22" s="734"/>
      <c r="T22" s="734"/>
      <c r="U22" s="321"/>
      <c r="V22" s="733" t="str">
        <f t="shared" si="3"/>
        <v/>
      </c>
      <c r="W22" s="734" t="str">
        <f t="shared" si="4"/>
        <v/>
      </c>
      <c r="X22" s="734" t="str">
        <f t="shared" si="5"/>
        <v/>
      </c>
      <c r="Y22" s="744" t="str">
        <f t="shared" si="6"/>
        <v/>
      </c>
      <c r="Z22" s="746"/>
      <c r="AA22" s="745" t="s">
        <v>125</v>
      </c>
      <c r="AB22" s="746" t="s">
        <v>125</v>
      </c>
      <c r="AC22" s="747" t="str">
        <f t="shared" si="7"/>
        <v/>
      </c>
      <c r="AD22" s="748" t="str">
        <f t="shared" si="8"/>
        <v/>
      </c>
      <c r="AE22" s="749" t="str">
        <f t="shared" si="9"/>
        <v/>
      </c>
      <c r="AF22" s="745"/>
      <c r="AG22" s="746"/>
      <c r="AH22" s="747" t="s">
        <v>125</v>
      </c>
      <c r="AI22" s="748" t="s">
        <v>125</v>
      </c>
      <c r="AJ22" s="750" t="s">
        <v>125</v>
      </c>
      <c r="AK22" s="733" t="str">
        <f t="shared" si="10"/>
        <v>yield not convertible</v>
      </c>
      <c r="AL22" s="734" t="str">
        <f t="shared" si="11"/>
        <v/>
      </c>
      <c r="AM22" s="734" t="str">
        <f t="shared" si="12"/>
        <v/>
      </c>
      <c r="AN22" s="744" t="str">
        <f t="shared" si="13"/>
        <v/>
      </c>
      <c r="AO22" s="746"/>
      <c r="AP22" s="745">
        <v>1.125</v>
      </c>
      <c r="AQ22" s="746">
        <v>1.3611111111111112</v>
      </c>
      <c r="AR22" s="747" t="str">
        <f t="shared" si="14"/>
        <v>kWh</v>
      </c>
      <c r="AS22" s="748" t="str">
        <f t="shared" si="15"/>
        <v>/</v>
      </c>
      <c r="AT22" s="749" t="str">
        <f t="shared" si="16"/>
        <v>kg</v>
      </c>
      <c r="AU22" s="745">
        <v>4.05</v>
      </c>
      <c r="AV22" s="746">
        <v>4.9000000000000004</v>
      </c>
      <c r="AW22" s="747" t="s">
        <v>298</v>
      </c>
      <c r="AX22" s="748" t="s">
        <v>256</v>
      </c>
      <c r="AY22" s="750" t="s">
        <v>309</v>
      </c>
      <c r="AZ22" s="733" t="str">
        <f t="shared" si="17"/>
        <v/>
      </c>
      <c r="BA22" s="734" t="str">
        <f t="shared" si="18"/>
        <v/>
      </c>
      <c r="BB22" s="734" t="str">
        <f t="shared" si="19"/>
        <v/>
      </c>
      <c r="BC22" s="744" t="str">
        <f t="shared" si="20"/>
        <v/>
      </c>
      <c r="BD22" s="745" t="s">
        <v>125</v>
      </c>
      <c r="BE22" s="746" t="s">
        <v>125</v>
      </c>
      <c r="BF22" s="747" t="str">
        <f t="shared" si="21"/>
        <v/>
      </c>
      <c r="BG22" s="748" t="str">
        <f t="shared" si="22"/>
        <v/>
      </c>
      <c r="BH22" s="749" t="str">
        <f t="shared" si="23"/>
        <v/>
      </c>
      <c r="BI22" s="745"/>
      <c r="BJ22" s="746"/>
      <c r="BK22" s="747" t="s">
        <v>125</v>
      </c>
      <c r="BL22" s="748" t="s">
        <v>125</v>
      </c>
      <c r="BM22" s="750" t="s">
        <v>125</v>
      </c>
      <c r="BN22" s="1002" t="str">
        <f t="shared" si="24"/>
        <v/>
      </c>
      <c r="BO22" s="751" t="s">
        <v>125</v>
      </c>
      <c r="BP22" s="751" t="s">
        <v>125</v>
      </c>
      <c r="BQ22" s="744" t="str">
        <f t="shared" si="25"/>
        <v/>
      </c>
      <c r="BR22" s="755"/>
      <c r="BS22" s="756"/>
      <c r="BT22" s="755"/>
      <c r="BU22" s="756"/>
      <c r="BV22" s="755"/>
      <c r="BW22" s="757"/>
      <c r="BX22" s="755"/>
      <c r="BY22" s="756"/>
      <c r="BZ22" s="752" t="s">
        <v>125</v>
      </c>
      <c r="CA22" s="733"/>
      <c r="CB22" s="734"/>
      <c r="CC22" s="734"/>
      <c r="CD22" s="321"/>
    </row>
    <row r="23" spans="2:82" s="680" customFormat="1" x14ac:dyDescent="0.25">
      <c r="B23" s="729" t="str">
        <f t="shared" si="0"/>
        <v>animal-based</v>
      </c>
      <c r="C23" s="730" t="s">
        <v>310</v>
      </c>
      <c r="D23" s="730" t="s">
        <v>311</v>
      </c>
      <c r="E23" s="731" t="s">
        <v>264</v>
      </c>
      <c r="F23" s="680" t="s">
        <v>312</v>
      </c>
      <c r="G23" s="680" t="s">
        <v>287</v>
      </c>
      <c r="H23" s="680" t="s">
        <v>273</v>
      </c>
      <c r="I23" s="732" t="s">
        <v>278</v>
      </c>
      <c r="J23" s="730" t="s">
        <v>252</v>
      </c>
      <c r="K23" s="680" t="s">
        <v>307</v>
      </c>
      <c r="L23" s="732"/>
      <c r="M23" s="729" t="str">
        <f t="shared" si="1"/>
        <v>kg</v>
      </c>
      <c r="N23" s="733">
        <f>O23/P23</f>
        <v>0.93333333333333335</v>
      </c>
      <c r="O23" s="734">
        <v>7000</v>
      </c>
      <c r="P23" s="734">
        <v>7500</v>
      </c>
      <c r="Q23" s="321" t="s">
        <v>254</v>
      </c>
      <c r="R23" s="733"/>
      <c r="S23" s="734"/>
      <c r="T23" s="734"/>
      <c r="U23" s="321"/>
      <c r="V23" s="733" t="str">
        <f t="shared" si="3"/>
        <v/>
      </c>
      <c r="W23" s="734" t="str">
        <f t="shared" si="4"/>
        <v/>
      </c>
      <c r="X23" s="734" t="str">
        <f t="shared" si="5"/>
        <v/>
      </c>
      <c r="Y23" s="744" t="str">
        <f t="shared" si="6"/>
        <v/>
      </c>
      <c r="Z23" s="746"/>
      <c r="AA23" s="745" t="s">
        <v>125</v>
      </c>
      <c r="AB23" s="746" t="s">
        <v>125</v>
      </c>
      <c r="AC23" s="747" t="str">
        <f t="shared" si="7"/>
        <v/>
      </c>
      <c r="AD23" s="748" t="str">
        <f t="shared" si="8"/>
        <v/>
      </c>
      <c r="AE23" s="749" t="str">
        <f t="shared" si="9"/>
        <v/>
      </c>
      <c r="AF23" s="745"/>
      <c r="AG23" s="746"/>
      <c r="AH23" s="747" t="s">
        <v>125</v>
      </c>
      <c r="AI23" s="748" t="s">
        <v>125</v>
      </c>
      <c r="AJ23" s="750" t="s">
        <v>125</v>
      </c>
      <c r="AK23" s="733" t="str">
        <f t="shared" si="10"/>
        <v/>
      </c>
      <c r="AL23" s="734" t="str">
        <f t="shared" si="11"/>
        <v/>
      </c>
      <c r="AM23" s="734" t="str">
        <f t="shared" si="12"/>
        <v/>
      </c>
      <c r="AN23" s="744" t="str">
        <f t="shared" si="13"/>
        <v/>
      </c>
      <c r="AO23" s="746"/>
      <c r="AP23" s="745" t="s">
        <v>125</v>
      </c>
      <c r="AQ23" s="746" t="s">
        <v>125</v>
      </c>
      <c r="AR23" s="747" t="str">
        <f t="shared" si="14"/>
        <v/>
      </c>
      <c r="AS23" s="748" t="str">
        <f t="shared" si="15"/>
        <v/>
      </c>
      <c r="AT23" s="749" t="str">
        <f t="shared" si="16"/>
        <v/>
      </c>
      <c r="AU23" s="745"/>
      <c r="AV23" s="746"/>
      <c r="AW23" s="747" t="s">
        <v>125</v>
      </c>
      <c r="AX23" s="748" t="s">
        <v>125</v>
      </c>
      <c r="AY23" s="750" t="s">
        <v>125</v>
      </c>
      <c r="AZ23" s="733" t="str">
        <f t="shared" si="17"/>
        <v/>
      </c>
      <c r="BA23" s="734" t="str">
        <f t="shared" si="18"/>
        <v/>
      </c>
      <c r="BB23" s="734" t="str">
        <f t="shared" si="19"/>
        <v/>
      </c>
      <c r="BC23" s="744" t="str">
        <f t="shared" si="20"/>
        <v/>
      </c>
      <c r="BD23" s="745" t="s">
        <v>125</v>
      </c>
      <c r="BE23" s="746" t="s">
        <v>125</v>
      </c>
      <c r="BF23" s="747" t="str">
        <f t="shared" si="21"/>
        <v/>
      </c>
      <c r="BG23" s="748" t="str">
        <f t="shared" si="22"/>
        <v/>
      </c>
      <c r="BH23" s="749" t="str">
        <f t="shared" si="23"/>
        <v/>
      </c>
      <c r="BI23" s="745"/>
      <c r="BJ23" s="746"/>
      <c r="BK23" s="747" t="s">
        <v>125</v>
      </c>
      <c r="BL23" s="748" t="s">
        <v>125</v>
      </c>
      <c r="BM23" s="750" t="s">
        <v>125</v>
      </c>
      <c r="BN23" s="1002" t="str">
        <f t="shared" si="24"/>
        <v/>
      </c>
      <c r="BO23" s="751" t="s">
        <v>125</v>
      </c>
      <c r="BP23" s="751" t="s">
        <v>125</v>
      </c>
      <c r="BQ23" s="744" t="str">
        <f t="shared" si="25"/>
        <v/>
      </c>
      <c r="BR23" s="755"/>
      <c r="BS23" s="756"/>
      <c r="BT23" s="755"/>
      <c r="BU23" s="756"/>
      <c r="BV23" s="755"/>
      <c r="BW23" s="757"/>
      <c r="BX23" s="755"/>
      <c r="BY23" s="756"/>
      <c r="BZ23" s="752" t="s">
        <v>125</v>
      </c>
      <c r="CA23" s="733"/>
      <c r="CB23" s="734"/>
      <c r="CC23" s="734"/>
      <c r="CD23" s="321"/>
    </row>
    <row r="24" spans="2:82" s="680" customFormat="1" x14ac:dyDescent="0.25">
      <c r="B24" s="729" t="str">
        <f t="shared" si="0"/>
        <v>animal-based</v>
      </c>
      <c r="C24" s="730" t="s">
        <v>313</v>
      </c>
      <c r="D24" s="730" t="s">
        <v>314</v>
      </c>
      <c r="E24" s="731" t="s">
        <v>247</v>
      </c>
      <c r="F24" s="680" t="s">
        <v>248</v>
      </c>
      <c r="G24" s="680" t="s">
        <v>315</v>
      </c>
      <c r="H24" s="680" t="s">
        <v>250</v>
      </c>
      <c r="I24" s="732" t="s">
        <v>278</v>
      </c>
      <c r="J24" s="730" t="s">
        <v>252</v>
      </c>
      <c r="K24" s="680" t="s">
        <v>307</v>
      </c>
      <c r="L24" s="732"/>
      <c r="M24" s="729" t="str">
        <f t="shared" si="1"/>
        <v>kg</v>
      </c>
      <c r="N24" s="743">
        <f>O24/P24</f>
        <v>0.87223111822791566</v>
      </c>
      <c r="O24" s="734">
        <v>7690</v>
      </c>
      <c r="P24" s="734">
        <f>(9240*9+8340*8)/17</f>
        <v>8816.4705882352937</v>
      </c>
      <c r="Q24" s="321" t="s">
        <v>254</v>
      </c>
      <c r="R24" s="733"/>
      <c r="S24" s="734"/>
      <c r="T24" s="734"/>
      <c r="U24" s="321"/>
      <c r="V24" s="733">
        <f>IF(COUNTBLANK(W24:X24)=0,W24/X24,
IF(AND(COUNTBLANK(AJ24)=0,AJ24="ha"),"hectar not convertible",IF(AND(COUNTBLANK(AJ24)=0,COUNTBLANK($Q24)=1),"yield not convertible","")))</f>
        <v>1.0030328094844223</v>
      </c>
      <c r="W24" s="734">
        <f>IF(COUNTBLANK($Y24)=0,
IF($Y24=$AC24&amp;"/"&amp;$AE24,AA24,
IF($AE24="kg",AA24*$O24,"")),"")</f>
        <v>99.86666666666666</v>
      </c>
      <c r="X24" s="734">
        <f>IF(COUNTBLANK($Y24)=0,
IF($Y24=$AC24&amp;"/"&amp;$AE24,AB24,
IF($AE24="kg",AB24*$P24,"")),"")</f>
        <v>99.564705882352939</v>
      </c>
      <c r="Y24" s="744" t="str">
        <f>IFERROR(IF(COUNTBLANK($AE24)=0,$AC24&amp;"/"&amp;SUBSTITUTE($Q24,LEFT($Q24,SEARCH("/",$Q24)),""),""),"")</f>
        <v>kg/head</v>
      </c>
      <c r="Z24" s="746" t="s">
        <v>1571</v>
      </c>
      <c r="AA24" s="745">
        <v>99.86666666666666</v>
      </c>
      <c r="AB24" s="746">
        <v>99.564705882352939</v>
      </c>
      <c r="AC24" s="747" t="str">
        <f t="shared" si="7"/>
        <v>kg</v>
      </c>
      <c r="AD24" s="748" t="str">
        <f t="shared" si="8"/>
        <v>/</v>
      </c>
      <c r="AE24" s="749" t="str">
        <f t="shared" si="9"/>
        <v>head</v>
      </c>
      <c r="AF24" s="745">
        <f>107/0.9</f>
        <v>118.88888888888889</v>
      </c>
      <c r="AG24" s="746">
        <f>((134/1.2*9+101/0.8*8)/17)</f>
        <v>118.52941176470588</v>
      </c>
      <c r="AH24" s="747" t="s">
        <v>316</v>
      </c>
      <c r="AI24" s="748" t="s">
        <v>256</v>
      </c>
      <c r="AJ24" s="750" t="s">
        <v>257</v>
      </c>
      <c r="AK24" s="733">
        <f>AP24/AQ24</f>
        <v>1.2728123537669631</v>
      </c>
      <c r="AL24" s="734">
        <f>IF(COUNTBLANK($AN24)=0,
IF($AN24=$AR24&amp;"/"&amp;$AT24,AP24,
IF($AT24="kg",AP24*$O24,"")),"")</f>
        <v>1600</v>
      </c>
      <c r="AM24" s="734">
        <f>IF(COUNTBLANK($AN24)=0,
IF($AN24=$AR24&amp;"/"&amp;$AT24,AQ24,
IF($AT24="kg",AQ24*$P24,"")),"")</f>
        <v>1257.0588235294117</v>
      </c>
      <c r="AN24" s="744" t="str">
        <f>IFERROR(IF(COUNTBLANK($AT24)=0,$AR24&amp;"/"&amp;SUBSTITUTE($Q24,LEFT($Q24,SEARCH("/",$Q24)),""),""),"")</f>
        <v>kWh/head</v>
      </c>
      <c r="AO24" s="746" t="s">
        <v>1571</v>
      </c>
      <c r="AP24" s="745">
        <v>1600</v>
      </c>
      <c r="AQ24" s="746">
        <v>1257.0588235294117</v>
      </c>
      <c r="AR24" s="747" t="str">
        <f t="shared" si="14"/>
        <v>kWh</v>
      </c>
      <c r="AS24" s="748" t="str">
        <f t="shared" si="15"/>
        <v>/</v>
      </c>
      <c r="AT24" s="749" t="str">
        <f t="shared" si="16"/>
        <v>head</v>
      </c>
      <c r="AU24" s="745">
        <f>1600</f>
        <v>1600</v>
      </c>
      <c r="AV24" s="746">
        <f>((1290*9+1220*8)/17)</f>
        <v>1257.0588235294117</v>
      </c>
      <c r="AW24" s="747" t="s">
        <v>1572</v>
      </c>
      <c r="AX24" s="748" t="s">
        <v>256</v>
      </c>
      <c r="AY24" s="750" t="s">
        <v>257</v>
      </c>
      <c r="AZ24" s="733" t="str">
        <f t="shared" si="17"/>
        <v/>
      </c>
      <c r="BA24" s="734" t="str">
        <f>IF(COUNTBLANK($BC24)=0,
IF($BC24=$BF24&amp;"/"&amp;$BH24,BD24,
IF($BH24="kg",BD24*$O24,"")),"")</f>
        <v/>
      </c>
      <c r="BB24" s="734" t="str">
        <f>IF(COUNTBLANK($BC24)=0,
IF($BC24=$BF24&amp;"/"&amp;$BH24,BE24,
IF($BH24="kg",BE24*$P24,"")),"")</f>
        <v/>
      </c>
      <c r="BC24" s="744" t="str">
        <f>IFERROR(IF(COUNTBLANK($BH24)=0,$BF24&amp;"/"&amp;SUBSTITUTE($Q24,LEFT($Q24,SEARCH("/",$Q24)),""),""),"")</f>
        <v/>
      </c>
      <c r="BD24" s="745" t="s">
        <v>125</v>
      </c>
      <c r="BE24" s="746" t="s">
        <v>125</v>
      </c>
      <c r="BF24" s="747" t="str">
        <f>IF(COUNTBLANK(BH24)=0,$BC$2,"")</f>
        <v/>
      </c>
      <c r="BG24" s="748" t="str">
        <f t="shared" si="22"/>
        <v/>
      </c>
      <c r="BH24" s="749" t="str">
        <f t="shared" si="23"/>
        <v/>
      </c>
      <c r="BI24" s="745"/>
      <c r="BJ24" s="746"/>
      <c r="BK24" s="747" t="s">
        <v>125</v>
      </c>
      <c r="BL24" s="748" t="s">
        <v>125</v>
      </c>
      <c r="BM24" s="750" t="s">
        <v>125</v>
      </c>
      <c r="BN24" s="1002">
        <f t="shared" si="24"/>
        <v>0.80092100602196248</v>
      </c>
      <c r="BO24" s="751">
        <v>1330</v>
      </c>
      <c r="BP24" s="751">
        <v>1660.5882352941176</v>
      </c>
      <c r="BQ24" s="744" t="str">
        <f t="shared" si="25"/>
        <v>kg/ha</v>
      </c>
      <c r="BR24" s="755"/>
      <c r="BS24" s="756"/>
      <c r="BT24" s="755"/>
      <c r="BU24" s="756"/>
      <c r="BV24" s="755">
        <v>1330</v>
      </c>
      <c r="BW24" s="757">
        <f>(2070*9+1200*8)/17</f>
        <v>1660.5882352941176</v>
      </c>
      <c r="BX24" s="755"/>
      <c r="BY24" s="756"/>
      <c r="BZ24" s="752" t="s">
        <v>317</v>
      </c>
      <c r="CA24" s="733"/>
      <c r="CB24" s="734"/>
      <c r="CC24" s="734"/>
      <c r="CD24" s="321"/>
    </row>
    <row r="25" spans="2:82" s="680" customFormat="1" x14ac:dyDescent="0.25">
      <c r="B25" s="729" t="str">
        <f t="shared" si="0"/>
        <v>animal-based</v>
      </c>
      <c r="C25" s="730" t="s">
        <v>318</v>
      </c>
      <c r="D25" s="730" t="s">
        <v>319</v>
      </c>
      <c r="E25" s="731" t="s">
        <v>264</v>
      </c>
      <c r="F25" s="680" t="s">
        <v>320</v>
      </c>
      <c r="G25" s="680" t="s">
        <v>315</v>
      </c>
      <c r="H25" s="680" t="s">
        <v>321</v>
      </c>
      <c r="I25" s="732" t="s">
        <v>278</v>
      </c>
      <c r="J25" s="730" t="s">
        <v>252</v>
      </c>
      <c r="K25" s="680" t="s">
        <v>307</v>
      </c>
      <c r="L25" s="732"/>
      <c r="M25" s="729" t="str">
        <f t="shared" si="1"/>
        <v>kg</v>
      </c>
      <c r="N25" s="733">
        <f>O25/P25</f>
        <v>0.91219761935236143</v>
      </c>
      <c r="O25" s="734">
        <f>1000*7.127</f>
        <v>7127</v>
      </c>
      <c r="P25" s="734">
        <f>1000*7.813</f>
        <v>7813</v>
      </c>
      <c r="Q25" s="321" t="s">
        <v>254</v>
      </c>
      <c r="R25" s="733"/>
      <c r="S25" s="734"/>
      <c r="T25" s="734"/>
      <c r="U25" s="321"/>
      <c r="V25" s="733" t="str">
        <f t="shared" si="3"/>
        <v/>
      </c>
      <c r="W25" s="734" t="str">
        <f t="shared" si="4"/>
        <v/>
      </c>
      <c r="X25" s="734" t="str">
        <f t="shared" si="5"/>
        <v/>
      </c>
      <c r="Y25" s="744" t="str">
        <f t="shared" si="6"/>
        <v/>
      </c>
      <c r="Z25" s="746"/>
      <c r="AA25" s="745" t="s">
        <v>125</v>
      </c>
      <c r="AB25" s="746" t="s">
        <v>125</v>
      </c>
      <c r="AC25" s="747" t="str">
        <f t="shared" si="7"/>
        <v/>
      </c>
      <c r="AD25" s="748" t="str">
        <f t="shared" si="8"/>
        <v/>
      </c>
      <c r="AE25" s="749" t="str">
        <f t="shared" si="9"/>
        <v/>
      </c>
      <c r="AF25" s="745"/>
      <c r="AG25" s="746"/>
      <c r="AH25" s="747" t="s">
        <v>125</v>
      </c>
      <c r="AI25" s="748" t="s">
        <v>125</v>
      </c>
      <c r="AJ25" s="750" t="s">
        <v>125</v>
      </c>
      <c r="AK25" s="733">
        <f>AP25/AQ25</f>
        <v>0.70732394366197182</v>
      </c>
      <c r="AL25" s="734" t="s">
        <v>248</v>
      </c>
      <c r="AM25" s="734" t="s">
        <v>248</v>
      </c>
      <c r="AN25" s="744" t="str">
        <f t="shared" si="13"/>
        <v>kWh/head</v>
      </c>
      <c r="AO25" s="746" t="s">
        <v>1574</v>
      </c>
      <c r="AP25" s="745">
        <v>0.69750000000000001</v>
      </c>
      <c r="AQ25" s="746">
        <v>0.98611111111111116</v>
      </c>
      <c r="AR25" s="747" t="str">
        <f t="shared" si="14"/>
        <v>kWh</v>
      </c>
      <c r="AS25" s="748" t="str">
        <f t="shared" si="15"/>
        <v>/</v>
      </c>
      <c r="AT25" s="749" t="str">
        <f t="shared" si="16"/>
        <v>kg</v>
      </c>
      <c r="AU25" s="745">
        <v>2511</v>
      </c>
      <c r="AV25" s="746">
        <v>3550</v>
      </c>
      <c r="AW25" s="747" t="s">
        <v>304</v>
      </c>
      <c r="AX25" s="748" t="s">
        <v>256</v>
      </c>
      <c r="AY25" s="750" t="s">
        <v>299</v>
      </c>
      <c r="AZ25" s="733">
        <f t="shared" si="17"/>
        <v>1.0963571062083119</v>
      </c>
      <c r="BA25" s="734">
        <f t="shared" si="18"/>
        <v>5342</v>
      </c>
      <c r="BB25" s="734">
        <f t="shared" si="19"/>
        <v>4872.5</v>
      </c>
      <c r="BC25" s="744" t="str">
        <f t="shared" si="20"/>
        <v>kg/head</v>
      </c>
      <c r="BD25" s="745">
        <v>5342</v>
      </c>
      <c r="BE25" s="746">
        <v>4872.5</v>
      </c>
      <c r="BF25" s="747" t="str">
        <f t="shared" si="21"/>
        <v>kg</v>
      </c>
      <c r="BG25" s="748" t="str">
        <f t="shared" si="22"/>
        <v>/</v>
      </c>
      <c r="BH25" s="749" t="str">
        <f t="shared" si="23"/>
        <v>head</v>
      </c>
      <c r="BI25" s="745">
        <f>1869+1355+775+1000+343</f>
        <v>5342</v>
      </c>
      <c r="BJ25" s="746">
        <f>2267+687+775/2+1531</f>
        <v>4872.5</v>
      </c>
      <c r="BK25" s="747" t="s">
        <v>221</v>
      </c>
      <c r="BL25" s="748" t="s">
        <v>256</v>
      </c>
      <c r="BM25" s="750" t="s">
        <v>257</v>
      </c>
      <c r="BN25" s="1002" t="str">
        <f t="shared" si="24"/>
        <v/>
      </c>
      <c r="BO25" s="751" t="s">
        <v>125</v>
      </c>
      <c r="BP25" s="751" t="s">
        <v>125</v>
      </c>
      <c r="BQ25" s="744" t="str">
        <f t="shared" si="25"/>
        <v/>
      </c>
      <c r="BR25" s="755"/>
      <c r="BS25" s="756"/>
      <c r="BT25" s="755"/>
      <c r="BU25" s="756"/>
      <c r="BV25" s="755"/>
      <c r="BW25" s="757"/>
      <c r="BX25" s="755"/>
      <c r="BY25" s="756"/>
      <c r="BZ25" s="752" t="s">
        <v>125</v>
      </c>
      <c r="CA25" s="733"/>
      <c r="CB25" s="734"/>
      <c r="CC25" s="734"/>
      <c r="CD25" s="321"/>
    </row>
    <row r="26" spans="2:82" s="680" customFormat="1" x14ac:dyDescent="0.25">
      <c r="B26" s="729" t="str">
        <f t="shared" si="0"/>
        <v>animal-based</v>
      </c>
      <c r="C26" s="730" t="s">
        <v>322</v>
      </c>
      <c r="D26" s="730" t="s">
        <v>323</v>
      </c>
      <c r="E26" s="731" t="s">
        <v>264</v>
      </c>
      <c r="F26" s="680" t="s">
        <v>324</v>
      </c>
      <c r="G26" s="680" t="s">
        <v>293</v>
      </c>
      <c r="H26" s="680" t="s">
        <v>325</v>
      </c>
      <c r="I26" s="732" t="s">
        <v>278</v>
      </c>
      <c r="J26" s="730" t="s">
        <v>252</v>
      </c>
      <c r="K26" s="680" t="s">
        <v>307</v>
      </c>
      <c r="L26" s="732"/>
      <c r="M26" s="729" t="str">
        <f t="shared" si="1"/>
        <v>kg</v>
      </c>
      <c r="N26" s="733">
        <f>O26/P26</f>
        <v>0.81915151515151519</v>
      </c>
      <c r="O26" s="734">
        <v>6758</v>
      </c>
      <c r="P26" s="734">
        <v>8250</v>
      </c>
      <c r="Q26" s="321" t="s">
        <v>254</v>
      </c>
      <c r="R26" s="733"/>
      <c r="S26" s="734"/>
      <c r="T26" s="734"/>
      <c r="U26" s="321"/>
      <c r="V26" s="733" t="str">
        <f t="shared" si="3"/>
        <v/>
      </c>
      <c r="W26" s="734" t="str">
        <f t="shared" si="4"/>
        <v/>
      </c>
      <c r="X26" s="734" t="str">
        <f t="shared" si="5"/>
        <v/>
      </c>
      <c r="Y26" s="744" t="str">
        <f t="shared" si="6"/>
        <v/>
      </c>
      <c r="Z26" s="746"/>
      <c r="AA26" s="745" t="s">
        <v>125</v>
      </c>
      <c r="AB26" s="746" t="s">
        <v>125</v>
      </c>
      <c r="AC26" s="747" t="str">
        <f t="shared" si="7"/>
        <v/>
      </c>
      <c r="AD26" s="748" t="str">
        <f t="shared" si="8"/>
        <v/>
      </c>
      <c r="AE26" s="749" t="str">
        <f t="shared" si="9"/>
        <v/>
      </c>
      <c r="AF26" s="745"/>
      <c r="AG26" s="746"/>
      <c r="AH26" s="747" t="s">
        <v>125</v>
      </c>
      <c r="AI26" s="748" t="s">
        <v>125</v>
      </c>
      <c r="AJ26" s="750" t="s">
        <v>125</v>
      </c>
      <c r="AK26" s="733" t="str">
        <f t="shared" si="10"/>
        <v/>
      </c>
      <c r="AL26" s="734" t="str">
        <f t="shared" si="11"/>
        <v/>
      </c>
      <c r="AM26" s="734" t="str">
        <f t="shared" si="12"/>
        <v/>
      </c>
      <c r="AN26" s="744" t="str">
        <f t="shared" si="13"/>
        <v/>
      </c>
      <c r="AO26" s="746"/>
      <c r="AP26" s="745" t="s">
        <v>125</v>
      </c>
      <c r="AQ26" s="746" t="s">
        <v>125</v>
      </c>
      <c r="AR26" s="747" t="str">
        <f t="shared" si="14"/>
        <v/>
      </c>
      <c r="AS26" s="748" t="str">
        <f t="shared" si="15"/>
        <v/>
      </c>
      <c r="AT26" s="749" t="str">
        <f t="shared" si="16"/>
        <v/>
      </c>
      <c r="AU26" s="745"/>
      <c r="AV26" s="746"/>
      <c r="AW26" s="747" t="s">
        <v>125</v>
      </c>
      <c r="AX26" s="748" t="s">
        <v>125</v>
      </c>
      <c r="AY26" s="750" t="s">
        <v>125</v>
      </c>
      <c r="AZ26" s="733">
        <f t="shared" si="17"/>
        <v>0.89711797530422799</v>
      </c>
      <c r="BA26" s="734">
        <f t="shared" si="18"/>
        <v>3189622.4</v>
      </c>
      <c r="BB26" s="734">
        <f t="shared" si="19"/>
        <v>3555410.1999999997</v>
      </c>
      <c r="BC26" s="744" t="str">
        <f t="shared" si="20"/>
        <v>kg/head</v>
      </c>
      <c r="BD26" s="745">
        <v>3189622.4</v>
      </c>
      <c r="BE26" s="746">
        <v>3555410.1999999997</v>
      </c>
      <c r="BF26" s="747" t="str">
        <f t="shared" si="21"/>
        <v>kg</v>
      </c>
      <c r="BG26" s="748" t="str">
        <f t="shared" si="22"/>
        <v>/</v>
      </c>
      <c r="BH26" s="749" t="str">
        <f t="shared" si="23"/>
        <v>head</v>
      </c>
      <c r="BI26" s="745">
        <v>70256</v>
      </c>
      <c r="BJ26" s="746">
        <v>78313</v>
      </c>
      <c r="BK26" s="747" t="s">
        <v>304</v>
      </c>
      <c r="BL26" s="748" t="s">
        <v>256</v>
      </c>
      <c r="BM26" s="750" t="s">
        <v>257</v>
      </c>
      <c r="BN26" s="1002" t="str">
        <f t="shared" si="24"/>
        <v/>
      </c>
      <c r="BO26" s="751" t="s">
        <v>125</v>
      </c>
      <c r="BP26" s="751" t="s">
        <v>125</v>
      </c>
      <c r="BQ26" s="744" t="str">
        <f t="shared" si="25"/>
        <v/>
      </c>
      <c r="BR26" s="755"/>
      <c r="BS26" s="756"/>
      <c r="BT26" s="755"/>
      <c r="BU26" s="756"/>
      <c r="BV26" s="755"/>
      <c r="BW26" s="757"/>
      <c r="BX26" s="755"/>
      <c r="BY26" s="756"/>
      <c r="BZ26" s="752" t="s">
        <v>125</v>
      </c>
      <c r="CA26" s="733"/>
      <c r="CB26" s="734"/>
      <c r="CC26" s="734"/>
      <c r="CD26" s="321"/>
    </row>
    <row r="27" spans="2:82" s="680" customFormat="1" x14ac:dyDescent="0.25">
      <c r="B27" s="729" t="str">
        <f t="shared" si="0"/>
        <v>animal-based</v>
      </c>
      <c r="C27" s="730" t="s">
        <v>326</v>
      </c>
      <c r="D27" s="730" t="s">
        <v>327</v>
      </c>
      <c r="E27" s="731" t="s">
        <v>264</v>
      </c>
      <c r="F27" s="680" t="s">
        <v>328</v>
      </c>
      <c r="G27" s="680" t="s">
        <v>291</v>
      </c>
      <c r="H27" s="680" t="s">
        <v>248</v>
      </c>
      <c r="I27" s="732" t="s">
        <v>248</v>
      </c>
      <c r="J27" s="730" t="s">
        <v>252</v>
      </c>
      <c r="K27" s="680" t="s">
        <v>307</v>
      </c>
      <c r="L27" s="732"/>
      <c r="M27" s="729" t="str">
        <f t="shared" si="1"/>
        <v>kg</v>
      </c>
      <c r="N27" s="743"/>
      <c r="O27" s="734" t="s">
        <v>303</v>
      </c>
      <c r="P27" s="734"/>
      <c r="Q27" s="321" t="s">
        <v>254</v>
      </c>
      <c r="R27" s="733"/>
      <c r="S27" s="734"/>
      <c r="T27" s="734"/>
      <c r="U27" s="321"/>
      <c r="V27" s="733">
        <f>IF(COUNTBLANK(W27:X27)=0,W27/X27,
IF(AND(COUNTBLANK(AJ27)=0,AJ27="ha"),"hectar not convertible",IF(AND(COUNTBLANK(AJ27)=0,COUNTBLANK($Q27)=1),"yield not convertible","")))</f>
        <v>1.0613476138828635</v>
      </c>
      <c r="W27" s="734">
        <f>IF(COUNTBLANK($Y27)=0,
IF($Y27=$AC27&amp;"/"&amp;$AE27,AA27,
IF($AE27="kg",AA27*$O27,"")),"")</f>
        <v>107.45</v>
      </c>
      <c r="X27" s="734">
        <f>IF(COUNTBLANK($Y27)=0,
IF($Y27=$AC27&amp;"/"&amp;$AE27,AB27,
IF($AE27="kg",AB27*$P27,"")),"")</f>
        <v>101.23921568627451</v>
      </c>
      <c r="Y27" s="744" t="str">
        <f>IFERROR(IF(COUNTBLANK($AE27)=0,$AC27&amp;"/"&amp;SUBSTITUTE($Q27,LEFT($Q27,SEARCH("/",$Q27)),""),""),"")</f>
        <v>kg/head</v>
      </c>
      <c r="Z27" s="998" t="s">
        <v>1571</v>
      </c>
      <c r="AA27" s="745">
        <v>107.45</v>
      </c>
      <c r="AB27" s="746">
        <v>101.23921568627451</v>
      </c>
      <c r="AC27" s="747" t="str">
        <f t="shared" si="7"/>
        <v>kg</v>
      </c>
      <c r="AD27" s="748" t="str">
        <f t="shared" si="8"/>
        <v>/</v>
      </c>
      <c r="AE27" s="749" t="str">
        <f t="shared" si="9"/>
        <v>head</v>
      </c>
      <c r="AF27" s="745">
        <f>(124/1.2+122/0.8)/2</f>
        <v>127.91666666666667</v>
      </c>
      <c r="AG27" s="746">
        <f>(147/0.9+166/1.7+143/1.1+164/1.8)/4</f>
        <v>120.52287581699346</v>
      </c>
      <c r="AH27" s="747" t="s">
        <v>316</v>
      </c>
      <c r="AI27" s="748" t="s">
        <v>256</v>
      </c>
      <c r="AJ27" s="750" t="s">
        <v>257</v>
      </c>
      <c r="AK27" s="733">
        <f>IF(COUNTBLANK(AL27:AM27)=0,AL27/AM27,
IF(AND(COUNTBLANK(AY27)=0,AY27="ha"),"hectar not convertible",IF(AND(COUNTBLANK(AY27)=0,COUNTBLANK($Q27)=1),"yield not convertible","")))</f>
        <v>0.93747077331639872</v>
      </c>
      <c r="AL27" s="734">
        <f>IF(COUNTBLANK($AN27)=0,
IF($AN27=$AR27&amp;"/"&amp;$AT27,AP27,
IF($AT27="kg",AP27*$O27,"")),"")</f>
        <v>379.04761904761904</v>
      </c>
      <c r="AM27" s="734">
        <f>IF(COUNTBLANK($AN27)=0,
IF($AN27=$AR27&amp;"/"&amp;$AT27,AQ27,
IF($AT27="kg",AQ27*$P27,"")),"")</f>
        <v>404.33006535947709</v>
      </c>
      <c r="AN27" s="744" t="str">
        <f>IFERROR(IF(COUNTBLANK($AT27)=0,$AR27&amp;"/"&amp;SUBSTITUTE($Q27,LEFT($Q27,SEARCH("/",$Q27)),""),""),"")</f>
        <v>kWh/head</v>
      </c>
      <c r="AO27" s="746" t="s">
        <v>1571</v>
      </c>
      <c r="AP27" s="745">
        <v>379.04761904761904</v>
      </c>
      <c r="AQ27" s="746">
        <v>404.33006535947709</v>
      </c>
      <c r="AR27" s="747" t="str">
        <f t="shared" si="14"/>
        <v>kWh</v>
      </c>
      <c r="AS27" s="748" t="str">
        <f t="shared" si="15"/>
        <v>/</v>
      </c>
      <c r="AT27" s="749" t="str">
        <f t="shared" si="16"/>
        <v>head</v>
      </c>
      <c r="AU27" s="745">
        <f>(446/1.2+541/1.4)/2</f>
        <v>379.04761904761904</v>
      </c>
      <c r="AV27" s="746">
        <f>(464/0.9+598/1.7+429/1.1+648/1.8)/4</f>
        <v>404.33006535947709</v>
      </c>
      <c r="AW27" s="747" t="s">
        <v>223</v>
      </c>
      <c r="AX27" s="748" t="s">
        <v>256</v>
      </c>
      <c r="AY27" s="750" t="s">
        <v>257</v>
      </c>
      <c r="AZ27" s="733">
        <f t="shared" si="17"/>
        <v>0.87967323694295918</v>
      </c>
      <c r="BA27" s="734">
        <f>IF(COUNTBLANK($BC27)=0,
IF($BC27=$BF27&amp;"/"&amp;$BH27,BD27,
IF($BH27="kg",BD27*$O27,"")),"")</f>
        <v>598.86904761904771</v>
      </c>
      <c r="BB27" s="734">
        <f>IF(COUNTBLANK($BC27)=0,
IF($BC27=$BF27&amp;"/"&amp;$BH27,BE27,
IF($BH27="kg",BE27*$P27,"")),"")</f>
        <v>680.78579916815215</v>
      </c>
      <c r="BC27" s="744" t="str">
        <f>IFERROR(IF(COUNTBLANK($BH27)=0,$BF27&amp;"/"&amp;SUBSTITUTE($Q27,LEFT($Q27,SEARCH("/",$Q27)),""),""),"")</f>
        <v>kg/head</v>
      </c>
      <c r="BD27" s="745">
        <v>598.86904761904771</v>
      </c>
      <c r="BE27" s="746">
        <v>680.78579916815215</v>
      </c>
      <c r="BF27" s="747" t="str">
        <f t="shared" si="21"/>
        <v>kg</v>
      </c>
      <c r="BG27" s="748" t="str">
        <f t="shared" si="22"/>
        <v>/</v>
      </c>
      <c r="BH27" s="749" t="str">
        <f t="shared" si="23"/>
        <v>head</v>
      </c>
      <c r="BI27" s="745">
        <f>(((1116+250)/2/1.2)+((1415+345)/2/1.4))/2</f>
        <v>598.86904761904771</v>
      </c>
      <c r="BJ27" s="746">
        <f>(((1294+1402)/2/1.7)+(594/0.9)+(1411+1185)/2/1.8+(604/1.1))/4</f>
        <v>680.78579916815215</v>
      </c>
      <c r="BK27" s="747" t="s">
        <v>221</v>
      </c>
      <c r="BL27" s="748" t="s">
        <v>256</v>
      </c>
      <c r="BM27" s="750" t="s">
        <v>257</v>
      </c>
      <c r="BN27" s="1002">
        <f t="shared" si="24"/>
        <v>5.9999999999999991</v>
      </c>
      <c r="BO27" s="751">
        <v>5121.9512195121943</v>
      </c>
      <c r="BP27" s="751">
        <v>853.65853658536582</v>
      </c>
      <c r="BQ27" s="744" t="str">
        <f t="shared" si="25"/>
        <v>kg/ha</v>
      </c>
      <c r="BR27" s="755"/>
      <c r="BS27" s="756"/>
      <c r="BT27" s="755"/>
      <c r="BU27" s="756"/>
      <c r="BV27" s="755">
        <f>(22+20)/2</f>
        <v>21</v>
      </c>
      <c r="BW27" s="757">
        <f>(6+0+8+0)/4</f>
        <v>3.5</v>
      </c>
      <c r="BX27" s="755"/>
      <c r="BY27" s="756"/>
      <c r="BZ27" s="752" t="s">
        <v>329</v>
      </c>
      <c r="CA27" s="733"/>
      <c r="CB27" s="734"/>
      <c r="CC27" s="734"/>
      <c r="CD27" s="321"/>
    </row>
    <row r="28" spans="2:82" s="680" customFormat="1" x14ac:dyDescent="0.25">
      <c r="B28" s="729" t="str">
        <f t="shared" si="0"/>
        <v>animal-based</v>
      </c>
      <c r="C28" s="730" t="s">
        <v>284</v>
      </c>
      <c r="D28" s="730" t="s">
        <v>285</v>
      </c>
      <c r="E28" s="731" t="s">
        <v>264</v>
      </c>
      <c r="F28" s="680" t="s">
        <v>330</v>
      </c>
      <c r="G28" s="680" t="s">
        <v>287</v>
      </c>
      <c r="H28" s="680" t="s">
        <v>250</v>
      </c>
      <c r="I28" s="732" t="s">
        <v>251</v>
      </c>
      <c r="J28" s="730" t="s">
        <v>261</v>
      </c>
      <c r="K28" s="680" t="s">
        <v>331</v>
      </c>
      <c r="L28" s="732"/>
      <c r="M28" s="729" t="str">
        <f t="shared" si="1"/>
        <v>p</v>
      </c>
      <c r="N28" s="733">
        <f t="shared" ref="N28:N40" si="28">O28/P28</f>
        <v>0.57620041753653439</v>
      </c>
      <c r="O28" s="734">
        <v>276</v>
      </c>
      <c r="P28" s="734">
        <f>(338+318+302)/2</f>
        <v>479</v>
      </c>
      <c r="Q28" s="321" t="s">
        <v>332</v>
      </c>
      <c r="R28" s="733"/>
      <c r="S28" s="734"/>
      <c r="T28" s="734"/>
      <c r="U28" s="321"/>
      <c r="V28" s="733" t="str">
        <f t="shared" si="3"/>
        <v/>
      </c>
      <c r="W28" s="734" t="str">
        <f t="shared" si="4"/>
        <v/>
      </c>
      <c r="X28" s="734" t="str">
        <f t="shared" si="5"/>
        <v/>
      </c>
      <c r="Y28" s="744" t="str">
        <f t="shared" si="6"/>
        <v/>
      </c>
      <c r="Z28" s="746"/>
      <c r="AA28" s="745" t="s">
        <v>125</v>
      </c>
      <c r="AB28" s="746" t="s">
        <v>125</v>
      </c>
      <c r="AC28" s="747" t="str">
        <f t="shared" si="7"/>
        <v/>
      </c>
      <c r="AD28" s="748" t="str">
        <f t="shared" si="8"/>
        <v/>
      </c>
      <c r="AE28" s="749" t="str">
        <f t="shared" si="9"/>
        <v/>
      </c>
      <c r="AF28" s="745"/>
      <c r="AG28" s="746"/>
      <c r="AH28" s="747" t="s">
        <v>125</v>
      </c>
      <c r="AI28" s="748" t="s">
        <v>125</v>
      </c>
      <c r="AJ28" s="750" t="s">
        <v>125</v>
      </c>
      <c r="AK28" s="733">
        <f>AP28/AQ28</f>
        <v>0.906884377758164</v>
      </c>
      <c r="AL28" s="734" t="s">
        <v>248</v>
      </c>
      <c r="AM28" s="734" t="s">
        <v>248</v>
      </c>
      <c r="AN28" s="744" t="str">
        <f>IFERROR(IF(COUNTBLANK($AT28)=0,$AR28&amp;"/"&amp;SUBSTITUTE($Q28,LEFT($Q28,SEARCH("/",$Q28)),""),""),"")</f>
        <v>kWh/head</v>
      </c>
      <c r="AO28" s="746" t="s">
        <v>1574</v>
      </c>
      <c r="AP28" s="745">
        <v>5.7083333333333339</v>
      </c>
      <c r="AQ28" s="746">
        <v>6.2944444444444461</v>
      </c>
      <c r="AR28" s="747" t="str">
        <f t="shared" si="14"/>
        <v>kWh</v>
      </c>
      <c r="AS28" s="748" t="str">
        <f t="shared" si="15"/>
        <v>/</v>
      </c>
      <c r="AT28" s="749" t="str">
        <f t="shared" si="16"/>
        <v>kg</v>
      </c>
      <c r="AU28" s="745">
        <f>(20.3+20.8)/2</f>
        <v>20.55</v>
      </c>
      <c r="AV28" s="746">
        <f>(20.7+23.2+22.5+23.8+23.1)/5</f>
        <v>22.660000000000004</v>
      </c>
      <c r="AW28" s="747" t="s">
        <v>304</v>
      </c>
      <c r="AX28" s="748" t="s">
        <v>256</v>
      </c>
      <c r="AY28" s="750" t="s">
        <v>221</v>
      </c>
      <c r="AZ28" s="733" t="str">
        <f t="shared" si="17"/>
        <v/>
      </c>
      <c r="BA28" s="734" t="str">
        <f t="shared" si="18"/>
        <v/>
      </c>
      <c r="BB28" s="734" t="str">
        <f t="shared" si="19"/>
        <v/>
      </c>
      <c r="BC28" s="744" t="str">
        <f t="shared" si="20"/>
        <v/>
      </c>
      <c r="BD28" s="745" t="s">
        <v>125</v>
      </c>
      <c r="BE28" s="746" t="s">
        <v>125</v>
      </c>
      <c r="BF28" s="747" t="str">
        <f t="shared" si="21"/>
        <v/>
      </c>
      <c r="BG28" s="748" t="str">
        <f t="shared" si="22"/>
        <v/>
      </c>
      <c r="BH28" s="749" t="str">
        <f t="shared" si="23"/>
        <v/>
      </c>
      <c r="BI28" s="745"/>
      <c r="BJ28" s="746"/>
      <c r="BK28" s="747" t="s">
        <v>125</v>
      </c>
      <c r="BL28" s="748" t="s">
        <v>125</v>
      </c>
      <c r="BM28" s="750" t="s">
        <v>125</v>
      </c>
      <c r="BN28" s="1002" t="str">
        <f t="shared" si="24"/>
        <v/>
      </c>
      <c r="BO28" s="751" t="s">
        <v>125</v>
      </c>
      <c r="BP28" s="751" t="s">
        <v>125</v>
      </c>
      <c r="BQ28" s="744" t="str">
        <f t="shared" si="25"/>
        <v/>
      </c>
      <c r="BR28" s="755"/>
      <c r="BS28" s="756"/>
      <c r="BT28" s="755"/>
      <c r="BU28" s="756"/>
      <c r="BV28" s="755"/>
      <c r="BW28" s="757"/>
      <c r="BX28" s="755"/>
      <c r="BY28" s="756"/>
      <c r="BZ28" s="752" t="s">
        <v>125</v>
      </c>
      <c r="CA28" s="733"/>
      <c r="CB28" s="734"/>
      <c r="CC28" s="734"/>
      <c r="CD28" s="321"/>
    </row>
    <row r="29" spans="2:82" s="680" customFormat="1" x14ac:dyDescent="0.25">
      <c r="B29" s="729" t="str">
        <f t="shared" si="0"/>
        <v>animal-based</v>
      </c>
      <c r="C29" s="730" t="s">
        <v>333</v>
      </c>
      <c r="D29" s="730" t="s">
        <v>334</v>
      </c>
      <c r="E29" s="731" t="s">
        <v>264</v>
      </c>
      <c r="F29" s="680" t="s">
        <v>335</v>
      </c>
      <c r="G29" s="680" t="s">
        <v>315</v>
      </c>
      <c r="H29" s="680" t="s">
        <v>336</v>
      </c>
      <c r="I29" s="732" t="s">
        <v>251</v>
      </c>
      <c r="J29" s="730" t="s">
        <v>252</v>
      </c>
      <c r="K29" s="680" t="s">
        <v>307</v>
      </c>
      <c r="L29" s="732"/>
      <c r="M29" s="729" t="str">
        <f t="shared" si="1"/>
        <v>kg</v>
      </c>
      <c r="N29" s="733">
        <f t="shared" si="28"/>
        <v>0.87380452530907393</v>
      </c>
      <c r="O29" s="734">
        <v>7492</v>
      </c>
      <c r="P29" s="734">
        <v>8574</v>
      </c>
      <c r="Q29" s="321" t="s">
        <v>254</v>
      </c>
      <c r="R29" s="733"/>
      <c r="S29" s="734"/>
      <c r="T29" s="734"/>
      <c r="U29" s="321"/>
      <c r="V29" s="733" t="str">
        <f t="shared" si="3"/>
        <v/>
      </c>
      <c r="W29" s="734" t="str">
        <f t="shared" si="4"/>
        <v/>
      </c>
      <c r="X29" s="734" t="str">
        <f t="shared" si="5"/>
        <v/>
      </c>
      <c r="Y29" s="744" t="str">
        <f t="shared" si="6"/>
        <v/>
      </c>
      <c r="Z29" s="746"/>
      <c r="AA29" s="745" t="s">
        <v>125</v>
      </c>
      <c r="AB29" s="746" t="s">
        <v>125</v>
      </c>
      <c r="AC29" s="747" t="str">
        <f t="shared" si="7"/>
        <v/>
      </c>
      <c r="AD29" s="748" t="str">
        <f t="shared" si="8"/>
        <v/>
      </c>
      <c r="AE29" s="749" t="str">
        <f t="shared" si="9"/>
        <v/>
      </c>
      <c r="AF29" s="745"/>
      <c r="AG29" s="746"/>
      <c r="AH29" s="747" t="s">
        <v>125</v>
      </c>
      <c r="AI29" s="748" t="s">
        <v>125</v>
      </c>
      <c r="AJ29" s="750" t="s">
        <v>125</v>
      </c>
      <c r="AK29" s="733" t="str">
        <f t="shared" si="10"/>
        <v/>
      </c>
      <c r="AL29" s="734" t="str">
        <f t="shared" si="11"/>
        <v/>
      </c>
      <c r="AM29" s="734" t="str">
        <f t="shared" si="12"/>
        <v/>
      </c>
      <c r="AN29" s="744" t="str">
        <f t="shared" si="13"/>
        <v/>
      </c>
      <c r="AO29" s="746"/>
      <c r="AP29" s="745" t="s">
        <v>125</v>
      </c>
      <c r="AQ29" s="746" t="s">
        <v>125</v>
      </c>
      <c r="AR29" s="747" t="str">
        <f t="shared" si="14"/>
        <v/>
      </c>
      <c r="AS29" s="748" t="str">
        <f t="shared" si="15"/>
        <v/>
      </c>
      <c r="AT29" s="749" t="str">
        <f t="shared" si="16"/>
        <v/>
      </c>
      <c r="AU29" s="745"/>
      <c r="AV29" s="746"/>
      <c r="AW29" s="747" t="s">
        <v>125</v>
      </c>
      <c r="AX29" s="748" t="s">
        <v>125</v>
      </c>
      <c r="AY29" s="750" t="s">
        <v>125</v>
      </c>
      <c r="AZ29" s="733" t="str">
        <f t="shared" si="17"/>
        <v/>
      </c>
      <c r="BA29" s="734" t="str">
        <f t="shared" si="18"/>
        <v/>
      </c>
      <c r="BB29" s="734" t="str">
        <f t="shared" si="19"/>
        <v/>
      </c>
      <c r="BC29" s="744" t="str">
        <f t="shared" si="20"/>
        <v/>
      </c>
      <c r="BD29" s="745" t="s">
        <v>125</v>
      </c>
      <c r="BE29" s="746" t="s">
        <v>125</v>
      </c>
      <c r="BF29" s="747" t="str">
        <f t="shared" si="21"/>
        <v/>
      </c>
      <c r="BG29" s="748" t="str">
        <f t="shared" si="22"/>
        <v/>
      </c>
      <c r="BH29" s="749" t="str">
        <f t="shared" si="23"/>
        <v/>
      </c>
      <c r="BI29" s="745"/>
      <c r="BJ29" s="746"/>
      <c r="BK29" s="747" t="s">
        <v>125</v>
      </c>
      <c r="BL29" s="748" t="s">
        <v>125</v>
      </c>
      <c r="BM29" s="750" t="s">
        <v>125</v>
      </c>
      <c r="BN29" s="1002" t="str">
        <f t="shared" si="24"/>
        <v/>
      </c>
      <c r="BO29" s="751" t="s">
        <v>125</v>
      </c>
      <c r="BP29" s="751" t="s">
        <v>125</v>
      </c>
      <c r="BQ29" s="744" t="str">
        <f t="shared" si="25"/>
        <v/>
      </c>
      <c r="BR29" s="755"/>
      <c r="BS29" s="756"/>
      <c r="BT29" s="755"/>
      <c r="BU29" s="756"/>
      <c r="BV29" s="755"/>
      <c r="BW29" s="757"/>
      <c r="BX29" s="755"/>
      <c r="BY29" s="756"/>
      <c r="BZ29" s="752" t="s">
        <v>125</v>
      </c>
      <c r="CA29" s="733"/>
      <c r="CB29" s="734"/>
      <c r="CC29" s="734"/>
      <c r="CD29" s="321"/>
    </row>
    <row r="30" spans="2:82" s="680" customFormat="1" x14ac:dyDescent="0.25">
      <c r="B30" s="729" t="str">
        <f t="shared" si="0"/>
        <v>animal-based</v>
      </c>
      <c r="C30" s="730" t="s">
        <v>337</v>
      </c>
      <c r="D30" s="730" t="s">
        <v>338</v>
      </c>
      <c r="E30" s="731" t="s">
        <v>264</v>
      </c>
      <c r="F30" s="680" t="s">
        <v>339</v>
      </c>
      <c r="G30" s="680" t="s">
        <v>315</v>
      </c>
      <c r="H30" s="680" t="s">
        <v>250</v>
      </c>
      <c r="I30" s="732" t="s">
        <v>278</v>
      </c>
      <c r="J30" s="730" t="s">
        <v>252</v>
      </c>
      <c r="K30" s="680" t="s">
        <v>307</v>
      </c>
      <c r="L30" s="732"/>
      <c r="M30" s="729" t="str">
        <f t="shared" si="1"/>
        <v>kg</v>
      </c>
      <c r="N30" s="733">
        <f t="shared" si="28"/>
        <v>0.90370370370370368</v>
      </c>
      <c r="O30" s="734">
        <v>24400</v>
      </c>
      <c r="P30" s="734">
        <v>27000</v>
      </c>
      <c r="Q30" s="321" t="s">
        <v>254</v>
      </c>
      <c r="R30" s="733">
        <f>S30/T30</f>
        <v>1.0633116883116882</v>
      </c>
      <c r="S30" s="734">
        <v>65.5</v>
      </c>
      <c r="T30" s="734">
        <v>61.6</v>
      </c>
      <c r="U30" s="321" t="s">
        <v>255</v>
      </c>
      <c r="V30" s="733" t="str">
        <f t="shared" si="3"/>
        <v/>
      </c>
      <c r="W30" s="734" t="str">
        <f t="shared" si="4"/>
        <v/>
      </c>
      <c r="X30" s="734" t="str">
        <f t="shared" si="5"/>
        <v/>
      </c>
      <c r="Y30" s="744" t="str">
        <f t="shared" si="6"/>
        <v/>
      </c>
      <c r="Z30" s="746"/>
      <c r="AA30" s="745" t="s">
        <v>125</v>
      </c>
      <c r="AB30" s="746" t="s">
        <v>125</v>
      </c>
      <c r="AC30" s="747" t="str">
        <f t="shared" si="7"/>
        <v/>
      </c>
      <c r="AD30" s="748" t="str">
        <f t="shared" si="8"/>
        <v/>
      </c>
      <c r="AE30" s="749" t="str">
        <f t="shared" si="9"/>
        <v/>
      </c>
      <c r="AF30" s="745"/>
      <c r="AG30" s="746"/>
      <c r="AH30" s="747" t="s">
        <v>125</v>
      </c>
      <c r="AI30" s="748" t="s">
        <v>125</v>
      </c>
      <c r="AJ30" s="750" t="s">
        <v>125</v>
      </c>
      <c r="AK30" s="733" t="str">
        <f t="shared" si="10"/>
        <v/>
      </c>
      <c r="AL30" s="734" t="str">
        <f t="shared" si="11"/>
        <v/>
      </c>
      <c r="AM30" s="734" t="str">
        <f t="shared" si="12"/>
        <v/>
      </c>
      <c r="AN30" s="744" t="str">
        <f t="shared" si="13"/>
        <v/>
      </c>
      <c r="AO30" s="746"/>
      <c r="AP30" s="745" t="s">
        <v>125</v>
      </c>
      <c r="AQ30" s="746" t="s">
        <v>125</v>
      </c>
      <c r="AR30" s="747" t="str">
        <f t="shared" si="14"/>
        <v/>
      </c>
      <c r="AS30" s="748" t="str">
        <f t="shared" si="15"/>
        <v/>
      </c>
      <c r="AT30" s="749" t="str">
        <f t="shared" si="16"/>
        <v/>
      </c>
      <c r="AU30" s="745"/>
      <c r="AV30" s="746"/>
      <c r="AW30" s="747" t="s">
        <v>125</v>
      </c>
      <c r="AX30" s="748" t="s">
        <v>125</v>
      </c>
      <c r="AY30" s="750" t="s">
        <v>125</v>
      </c>
      <c r="AZ30" s="733" t="str">
        <f t="shared" si="17"/>
        <v/>
      </c>
      <c r="BA30" s="734" t="str">
        <f t="shared" si="18"/>
        <v/>
      </c>
      <c r="BB30" s="734" t="str">
        <f t="shared" si="19"/>
        <v/>
      </c>
      <c r="BC30" s="744" t="str">
        <f t="shared" si="20"/>
        <v/>
      </c>
      <c r="BD30" s="745" t="s">
        <v>125</v>
      </c>
      <c r="BE30" s="746" t="s">
        <v>125</v>
      </c>
      <c r="BF30" s="747" t="str">
        <f t="shared" si="21"/>
        <v/>
      </c>
      <c r="BG30" s="748" t="str">
        <f t="shared" si="22"/>
        <v/>
      </c>
      <c r="BH30" s="749" t="str">
        <f t="shared" si="23"/>
        <v/>
      </c>
      <c r="BI30" s="745"/>
      <c r="BJ30" s="746"/>
      <c r="BK30" s="747" t="s">
        <v>125</v>
      </c>
      <c r="BL30" s="748" t="s">
        <v>125</v>
      </c>
      <c r="BM30" s="750" t="s">
        <v>125</v>
      </c>
      <c r="BN30" s="1002" t="str">
        <f t="shared" si="24"/>
        <v/>
      </c>
      <c r="BO30" s="751" t="s">
        <v>125</v>
      </c>
      <c r="BP30" s="751" t="s">
        <v>125</v>
      </c>
      <c r="BQ30" s="744" t="str">
        <f t="shared" si="25"/>
        <v/>
      </c>
      <c r="BR30" s="755"/>
      <c r="BS30" s="756"/>
      <c r="BT30" s="755"/>
      <c r="BU30" s="756"/>
      <c r="BV30" s="755"/>
      <c r="BW30" s="757"/>
      <c r="BX30" s="755"/>
      <c r="BY30" s="756"/>
      <c r="BZ30" s="752" t="s">
        <v>125</v>
      </c>
      <c r="CA30" s="733"/>
      <c r="CB30" s="734"/>
      <c r="CC30" s="734"/>
      <c r="CD30" s="321"/>
    </row>
    <row r="31" spans="2:82" s="680" customFormat="1" x14ac:dyDescent="0.25">
      <c r="B31" s="729" t="str">
        <f t="shared" si="0"/>
        <v>animal-based</v>
      </c>
      <c r="C31" s="730" t="s">
        <v>340</v>
      </c>
      <c r="D31" s="730" t="s">
        <v>341</v>
      </c>
      <c r="E31" s="731" t="s">
        <v>264</v>
      </c>
      <c r="F31" s="680" t="s">
        <v>342</v>
      </c>
      <c r="G31" s="680" t="s">
        <v>343</v>
      </c>
      <c r="H31" s="680" t="s">
        <v>344</v>
      </c>
      <c r="I31" s="732" t="s">
        <v>345</v>
      </c>
      <c r="J31" s="730" t="s">
        <v>252</v>
      </c>
      <c r="K31" s="680" t="s">
        <v>307</v>
      </c>
      <c r="L31" s="732"/>
      <c r="M31" s="729" t="str">
        <f t="shared" si="1"/>
        <v>kg</v>
      </c>
      <c r="N31" s="733">
        <f t="shared" si="28"/>
        <v>0.88311688311688308</v>
      </c>
      <c r="O31" s="734">
        <v>6800</v>
      </c>
      <c r="P31" s="734">
        <v>7700</v>
      </c>
      <c r="Q31" s="321" t="s">
        <v>254</v>
      </c>
      <c r="R31" s="733"/>
      <c r="S31" s="734"/>
      <c r="T31" s="734"/>
      <c r="U31" s="321"/>
      <c r="V31" s="733">
        <f t="shared" si="3"/>
        <v>1.3359973359973361</v>
      </c>
      <c r="W31" s="734">
        <f t="shared" si="4"/>
        <v>176155.51257253383</v>
      </c>
      <c r="X31" s="734">
        <f t="shared" si="5"/>
        <v>131853.19148936169</v>
      </c>
      <c r="Y31" s="744" t="str">
        <f t="shared" si="6"/>
        <v>kg/head</v>
      </c>
      <c r="Z31" s="998" t="s">
        <v>1571</v>
      </c>
      <c r="AA31" s="745">
        <v>25.905222437137329</v>
      </c>
      <c r="AB31" s="746">
        <v>17.123791102514506</v>
      </c>
      <c r="AC31" s="747" t="str">
        <f t="shared" si="7"/>
        <v>kg</v>
      </c>
      <c r="AD31" s="748" t="str">
        <f t="shared" si="8"/>
        <v>/</v>
      </c>
      <c r="AE31" s="749" t="str">
        <f t="shared" si="9"/>
        <v>kg</v>
      </c>
      <c r="AF31" s="745">
        <f>0.59</f>
        <v>0.59</v>
      </c>
      <c r="AG31" s="746">
        <f>0.39</f>
        <v>0.39</v>
      </c>
      <c r="AH31" s="747" t="s">
        <v>298</v>
      </c>
      <c r="AI31" s="748" t="s">
        <v>256</v>
      </c>
      <c r="AJ31" s="750" t="s">
        <v>346</v>
      </c>
      <c r="AK31" s="733">
        <f t="shared" si="10"/>
        <v>0.87118287118287119</v>
      </c>
      <c r="AL31" s="734">
        <f t="shared" si="11"/>
        <v>1333.5482484418653</v>
      </c>
      <c r="AM31" s="734">
        <f t="shared" si="12"/>
        <v>1530.7328605200944</v>
      </c>
      <c r="AN31" s="744" t="str">
        <f t="shared" si="13"/>
        <v>kWh/head</v>
      </c>
      <c r="AO31" s="746" t="s">
        <v>1571</v>
      </c>
      <c r="AP31" s="745">
        <v>0.19611003653556844</v>
      </c>
      <c r="AQ31" s="746">
        <v>0.19879647539222006</v>
      </c>
      <c r="AR31" s="747" t="str">
        <f t="shared" si="14"/>
        <v>kWh</v>
      </c>
      <c r="AS31" s="748" t="str">
        <f t="shared" si="15"/>
        <v>/</v>
      </c>
      <c r="AT31" s="749" t="str">
        <f t="shared" si="16"/>
        <v>kg</v>
      </c>
      <c r="AU31" s="745">
        <f>0.73</f>
        <v>0.73</v>
      </c>
      <c r="AV31" s="746">
        <f>0.74</f>
        <v>0.74</v>
      </c>
      <c r="AW31" s="747" t="s">
        <v>298</v>
      </c>
      <c r="AX31" s="748" t="s">
        <v>256</v>
      </c>
      <c r="AY31" s="750" t="s">
        <v>346</v>
      </c>
      <c r="AZ31" s="733" t="str">
        <f t="shared" si="17"/>
        <v/>
      </c>
      <c r="BA31" s="734" t="str">
        <f t="shared" si="18"/>
        <v/>
      </c>
      <c r="BB31" s="734" t="str">
        <f t="shared" si="19"/>
        <v/>
      </c>
      <c r="BC31" s="744" t="str">
        <f t="shared" si="20"/>
        <v/>
      </c>
      <c r="BD31" s="745" t="s">
        <v>125</v>
      </c>
      <c r="BE31" s="746" t="s">
        <v>125</v>
      </c>
      <c r="BF31" s="747" t="str">
        <f t="shared" si="21"/>
        <v/>
      </c>
      <c r="BG31" s="748" t="str">
        <f t="shared" si="22"/>
        <v/>
      </c>
      <c r="BH31" s="749" t="str">
        <f t="shared" si="23"/>
        <v/>
      </c>
      <c r="BI31" s="745"/>
      <c r="BJ31" s="746"/>
      <c r="BK31" s="747" t="s">
        <v>125</v>
      </c>
      <c r="BL31" s="748" t="s">
        <v>125</v>
      </c>
      <c r="BM31" s="750" t="s">
        <v>125</v>
      </c>
      <c r="BN31" s="1002" t="str">
        <f t="shared" si="24"/>
        <v/>
      </c>
      <c r="BO31" s="751" t="s">
        <v>125</v>
      </c>
      <c r="BP31" s="751" t="s">
        <v>125</v>
      </c>
      <c r="BQ31" s="744" t="str">
        <f t="shared" si="25"/>
        <v/>
      </c>
      <c r="BR31" s="755"/>
      <c r="BS31" s="756"/>
      <c r="BT31" s="755"/>
      <c r="BU31" s="756"/>
      <c r="BV31" s="755"/>
      <c r="BW31" s="757"/>
      <c r="BX31" s="755"/>
      <c r="BY31" s="756"/>
      <c r="BZ31" s="752" t="s">
        <v>125</v>
      </c>
      <c r="CA31" s="733"/>
      <c r="CB31" s="734"/>
      <c r="CC31" s="734"/>
      <c r="CD31" s="321"/>
    </row>
    <row r="32" spans="2:82" s="680" customFormat="1" x14ac:dyDescent="0.25">
      <c r="B32" s="729" t="str">
        <f t="shared" si="0"/>
        <v>animal-based</v>
      </c>
      <c r="C32" s="730" t="s">
        <v>347</v>
      </c>
      <c r="D32" s="730" t="s">
        <v>348</v>
      </c>
      <c r="E32" s="731" t="s">
        <v>264</v>
      </c>
      <c r="F32" s="680" t="s">
        <v>349</v>
      </c>
      <c r="G32" s="680" t="s">
        <v>291</v>
      </c>
      <c r="H32" s="680" t="s">
        <v>350</v>
      </c>
      <c r="I32" s="732" t="s">
        <v>278</v>
      </c>
      <c r="J32" s="730" t="s">
        <v>252</v>
      </c>
      <c r="K32" s="680" t="s">
        <v>307</v>
      </c>
      <c r="L32" s="732"/>
      <c r="M32" s="729" t="str">
        <f t="shared" si="1"/>
        <v>kg</v>
      </c>
      <c r="N32" s="733">
        <f t="shared" si="28"/>
        <v>0.78819001126549015</v>
      </c>
      <c r="O32" s="734">
        <f>(6275+7718)/2</f>
        <v>6996.5</v>
      </c>
      <c r="P32" s="734">
        <f>(8527+10427+7676)/3</f>
        <v>8876.6666666666661</v>
      </c>
      <c r="Q32" s="321" t="s">
        <v>254</v>
      </c>
      <c r="R32" s="733"/>
      <c r="S32" s="734"/>
      <c r="T32" s="734"/>
      <c r="U32" s="321"/>
      <c r="V32" s="733" t="str">
        <f t="shared" si="3"/>
        <v/>
      </c>
      <c r="W32" s="734" t="str">
        <f t="shared" si="4"/>
        <v/>
      </c>
      <c r="X32" s="734" t="str">
        <f t="shared" si="5"/>
        <v/>
      </c>
      <c r="Y32" s="744" t="str">
        <f t="shared" si="6"/>
        <v/>
      </c>
      <c r="Z32" s="746"/>
      <c r="AA32" s="745" t="s">
        <v>125</v>
      </c>
      <c r="AB32" s="746" t="s">
        <v>125</v>
      </c>
      <c r="AC32" s="747" t="str">
        <f t="shared" si="7"/>
        <v/>
      </c>
      <c r="AD32" s="748" t="str">
        <f t="shared" si="8"/>
        <v/>
      </c>
      <c r="AE32" s="749" t="str">
        <f t="shared" si="9"/>
        <v/>
      </c>
      <c r="AF32" s="745"/>
      <c r="AG32" s="746"/>
      <c r="AH32" s="747" t="s">
        <v>125</v>
      </c>
      <c r="AI32" s="748" t="s">
        <v>125</v>
      </c>
      <c r="AJ32" s="750" t="s">
        <v>125</v>
      </c>
      <c r="AK32" s="733" t="str">
        <f t="shared" si="10"/>
        <v/>
      </c>
      <c r="AL32" s="734" t="str">
        <f t="shared" si="11"/>
        <v/>
      </c>
      <c r="AM32" s="734" t="str">
        <f t="shared" si="12"/>
        <v/>
      </c>
      <c r="AN32" s="744" t="str">
        <f t="shared" si="13"/>
        <v/>
      </c>
      <c r="AO32" s="746"/>
      <c r="AP32" s="745" t="s">
        <v>125</v>
      </c>
      <c r="AQ32" s="746" t="s">
        <v>125</v>
      </c>
      <c r="AR32" s="747" t="str">
        <f t="shared" si="14"/>
        <v/>
      </c>
      <c r="AS32" s="748" t="str">
        <f t="shared" si="15"/>
        <v/>
      </c>
      <c r="AT32" s="749" t="str">
        <f t="shared" si="16"/>
        <v/>
      </c>
      <c r="AU32" s="745"/>
      <c r="AV32" s="746"/>
      <c r="AW32" s="747" t="s">
        <v>125</v>
      </c>
      <c r="AX32" s="748" t="s">
        <v>125</v>
      </c>
      <c r="AY32" s="750" t="s">
        <v>125</v>
      </c>
      <c r="AZ32" s="733" t="str">
        <f t="shared" si="17"/>
        <v/>
      </c>
      <c r="BA32" s="734" t="str">
        <f t="shared" si="18"/>
        <v/>
      </c>
      <c r="BB32" s="734" t="str">
        <f t="shared" si="19"/>
        <v/>
      </c>
      <c r="BC32" s="744" t="str">
        <f t="shared" si="20"/>
        <v/>
      </c>
      <c r="BD32" s="745" t="s">
        <v>125</v>
      </c>
      <c r="BE32" s="746" t="s">
        <v>125</v>
      </c>
      <c r="BF32" s="747" t="str">
        <f t="shared" si="21"/>
        <v/>
      </c>
      <c r="BG32" s="748" t="str">
        <f t="shared" si="22"/>
        <v/>
      </c>
      <c r="BH32" s="749" t="str">
        <f t="shared" si="23"/>
        <v/>
      </c>
      <c r="BI32" s="745"/>
      <c r="BJ32" s="746"/>
      <c r="BK32" s="747" t="s">
        <v>125</v>
      </c>
      <c r="BL32" s="748" t="s">
        <v>125</v>
      </c>
      <c r="BM32" s="750" t="s">
        <v>125</v>
      </c>
      <c r="BN32" s="1002" t="str">
        <f t="shared" si="24"/>
        <v/>
      </c>
      <c r="BO32" s="751" t="s">
        <v>125</v>
      </c>
      <c r="BP32" s="751" t="s">
        <v>125</v>
      </c>
      <c r="BQ32" s="744" t="str">
        <f t="shared" si="25"/>
        <v/>
      </c>
      <c r="BR32" s="755"/>
      <c r="BS32" s="756"/>
      <c r="BT32" s="755"/>
      <c r="BU32" s="756"/>
      <c r="BV32" s="755"/>
      <c r="BW32" s="757"/>
      <c r="BX32" s="755"/>
      <c r="BY32" s="756"/>
      <c r="BZ32" s="752" t="s">
        <v>125</v>
      </c>
      <c r="CA32" s="733"/>
      <c r="CB32" s="734"/>
      <c r="CC32" s="734"/>
      <c r="CD32" s="321"/>
    </row>
    <row r="33" spans="2:82" s="680" customFormat="1" x14ac:dyDescent="0.25">
      <c r="B33" s="729" t="str">
        <f t="shared" si="0"/>
        <v>animal-based</v>
      </c>
      <c r="C33" s="730" t="s">
        <v>351</v>
      </c>
      <c r="D33" s="730" t="s">
        <v>352</v>
      </c>
      <c r="E33" s="731" t="s">
        <v>264</v>
      </c>
      <c r="F33" s="680" t="s">
        <v>353</v>
      </c>
      <c r="G33" s="680" t="s">
        <v>294</v>
      </c>
      <c r="H33" s="680" t="s">
        <v>325</v>
      </c>
      <c r="I33" s="732" t="s">
        <v>278</v>
      </c>
      <c r="J33" s="730" t="s">
        <v>252</v>
      </c>
      <c r="K33" s="680" t="s">
        <v>307</v>
      </c>
      <c r="L33" s="732"/>
      <c r="M33" s="729" t="str">
        <f t="shared" si="1"/>
        <v>kg</v>
      </c>
      <c r="N33" s="733">
        <f t="shared" si="28"/>
        <v>0.78055637762651675</v>
      </c>
      <c r="O33" s="734">
        <v>5275</v>
      </c>
      <c r="P33" s="734">
        <v>6758</v>
      </c>
      <c r="Q33" s="321" t="s">
        <v>254</v>
      </c>
      <c r="R33" s="733"/>
      <c r="S33" s="734"/>
      <c r="T33" s="734"/>
      <c r="U33" s="321"/>
      <c r="V33" s="733">
        <f t="shared" si="3"/>
        <v>0.88844265952699697</v>
      </c>
      <c r="W33" s="734">
        <f t="shared" si="4"/>
        <v>82174</v>
      </c>
      <c r="X33" s="734">
        <f t="shared" si="5"/>
        <v>92492.181818181809</v>
      </c>
      <c r="Y33" s="744" t="str">
        <f t="shared" si="6"/>
        <v>kg/head</v>
      </c>
      <c r="Z33" s="998" t="s">
        <v>1571</v>
      </c>
      <c r="AA33" s="745">
        <v>82174</v>
      </c>
      <c r="AB33" s="746">
        <v>92492.181818181809</v>
      </c>
      <c r="AC33" s="747" t="str">
        <f t="shared" si="7"/>
        <v>kg</v>
      </c>
      <c r="AD33" s="748" t="str">
        <f t="shared" si="8"/>
        <v>/</v>
      </c>
      <c r="AE33" s="749" t="str">
        <f t="shared" si="9"/>
        <v>head</v>
      </c>
      <c r="AF33" s="745">
        <f>3.439/1.9</f>
        <v>1.81</v>
      </c>
      <c r="AG33" s="746">
        <f>4.482/2.2</f>
        <v>2.0372727272727271</v>
      </c>
      <c r="AH33" s="747" t="s">
        <v>298</v>
      </c>
      <c r="AI33" s="748" t="s">
        <v>256</v>
      </c>
      <c r="AJ33" s="750" t="s">
        <v>257</v>
      </c>
      <c r="AK33" s="733">
        <f t="shared" si="10"/>
        <v>0.35767429043813725</v>
      </c>
      <c r="AL33" s="734">
        <f t="shared" si="11"/>
        <v>862.57309941520475</v>
      </c>
      <c r="AM33" s="734">
        <f t="shared" si="12"/>
        <v>2411.6161616161617</v>
      </c>
      <c r="AN33" s="744" t="str">
        <f t="shared" si="13"/>
        <v>kWh/head</v>
      </c>
      <c r="AO33" s="746" t="s">
        <v>1571</v>
      </c>
      <c r="AP33" s="745">
        <v>862.57309941520475</v>
      </c>
      <c r="AQ33" s="746">
        <v>2411.6161616161617</v>
      </c>
      <c r="AR33" s="747" t="str">
        <f t="shared" si="14"/>
        <v>kWh</v>
      </c>
      <c r="AS33" s="748" t="str">
        <f t="shared" si="15"/>
        <v>/</v>
      </c>
      <c r="AT33" s="749" t="str">
        <f t="shared" si="16"/>
        <v>head</v>
      </c>
      <c r="AU33" s="745">
        <f>5.9/1.9</f>
        <v>3.1052631578947372</v>
      </c>
      <c r="AV33" s="746">
        <f>19.1/2.2</f>
        <v>8.6818181818181817</v>
      </c>
      <c r="AW33" s="747" t="s">
        <v>298</v>
      </c>
      <c r="AX33" s="748" t="s">
        <v>256</v>
      </c>
      <c r="AY33" s="750" t="s">
        <v>257</v>
      </c>
      <c r="AZ33" s="733" t="str">
        <f t="shared" si="17"/>
        <v/>
      </c>
      <c r="BA33" s="734" t="str">
        <f t="shared" si="18"/>
        <v/>
      </c>
      <c r="BB33" s="734" t="str">
        <f t="shared" si="19"/>
        <v/>
      </c>
      <c r="BC33" s="744" t="str">
        <f t="shared" si="20"/>
        <v/>
      </c>
      <c r="BD33" s="745" t="s">
        <v>125</v>
      </c>
      <c r="BE33" s="746" t="s">
        <v>125</v>
      </c>
      <c r="BF33" s="747" t="str">
        <f t="shared" si="21"/>
        <v/>
      </c>
      <c r="BG33" s="748" t="str">
        <f t="shared" si="22"/>
        <v/>
      </c>
      <c r="BH33" s="749" t="str">
        <f t="shared" si="23"/>
        <v/>
      </c>
      <c r="BI33" s="745"/>
      <c r="BJ33" s="746"/>
      <c r="BK33" s="747" t="s">
        <v>125</v>
      </c>
      <c r="BL33" s="748" t="s">
        <v>125</v>
      </c>
      <c r="BM33" s="750" t="s">
        <v>125</v>
      </c>
      <c r="BN33" s="1002">
        <f t="shared" si="24"/>
        <v>0.81249999999999989</v>
      </c>
      <c r="BO33" s="751">
        <v>28536.585365853654</v>
      </c>
      <c r="BP33" s="751">
        <v>35121.951219512193</v>
      </c>
      <c r="BQ33" s="744" t="str">
        <f t="shared" si="25"/>
        <v>kg/ha</v>
      </c>
      <c r="BR33" s="755"/>
      <c r="BS33" s="756"/>
      <c r="BT33" s="755"/>
      <c r="BU33" s="756"/>
      <c r="BV33" s="755">
        <v>117</v>
      </c>
      <c r="BW33" s="757">
        <v>144</v>
      </c>
      <c r="BX33" s="755"/>
      <c r="BY33" s="756"/>
      <c r="BZ33" s="752" t="s">
        <v>329</v>
      </c>
      <c r="CA33" s="733"/>
      <c r="CB33" s="734"/>
      <c r="CC33" s="734"/>
      <c r="CD33" s="321"/>
    </row>
    <row r="34" spans="2:82" s="680" customFormat="1" x14ac:dyDescent="0.25">
      <c r="B34" s="729" t="str">
        <f t="shared" si="0"/>
        <v>animal-based</v>
      </c>
      <c r="C34" s="730" t="s">
        <v>354</v>
      </c>
      <c r="D34" s="730" t="s">
        <v>355</v>
      </c>
      <c r="E34" s="731" t="s">
        <v>264</v>
      </c>
      <c r="F34" s="680" t="s">
        <v>356</v>
      </c>
      <c r="G34" s="680" t="s">
        <v>357</v>
      </c>
      <c r="H34" s="680" t="s">
        <v>325</v>
      </c>
      <c r="I34" s="732" t="s">
        <v>278</v>
      </c>
      <c r="J34" s="730" t="s">
        <v>252</v>
      </c>
      <c r="K34" s="680" t="s">
        <v>307</v>
      </c>
      <c r="L34" s="732"/>
      <c r="M34" s="729" t="str">
        <f t="shared" si="1"/>
        <v>kg</v>
      </c>
      <c r="N34" s="733">
        <f t="shared" si="28"/>
        <v>0.94230769230769229</v>
      </c>
      <c r="O34" s="734">
        <f>(5500+5500+6500+7000)/4</f>
        <v>6125</v>
      </c>
      <c r="P34" s="734">
        <f>(5500+5500+7000+8000)/4</f>
        <v>6500</v>
      </c>
      <c r="Q34" s="321" t="s">
        <v>254</v>
      </c>
      <c r="R34" s="733"/>
      <c r="S34" s="734"/>
      <c r="T34" s="734"/>
      <c r="U34" s="321"/>
      <c r="V34" s="733" t="str">
        <f t="shared" si="3"/>
        <v/>
      </c>
      <c r="W34" s="734" t="str">
        <f t="shared" si="4"/>
        <v/>
      </c>
      <c r="X34" s="734" t="str">
        <f t="shared" si="5"/>
        <v/>
      </c>
      <c r="Y34" s="744" t="str">
        <f t="shared" si="6"/>
        <v/>
      </c>
      <c r="Z34" s="746"/>
      <c r="AA34" s="745" t="s">
        <v>125</v>
      </c>
      <c r="AB34" s="746" t="s">
        <v>125</v>
      </c>
      <c r="AC34" s="747" t="str">
        <f t="shared" si="7"/>
        <v/>
      </c>
      <c r="AD34" s="748" t="str">
        <f t="shared" si="8"/>
        <v/>
      </c>
      <c r="AE34" s="749" t="str">
        <f t="shared" si="9"/>
        <v/>
      </c>
      <c r="AF34" s="745"/>
      <c r="AG34" s="746"/>
      <c r="AH34" s="747" t="s">
        <v>125</v>
      </c>
      <c r="AI34" s="748" t="s">
        <v>125</v>
      </c>
      <c r="AJ34" s="750" t="s">
        <v>125</v>
      </c>
      <c r="AK34" s="733" t="str">
        <f t="shared" si="10"/>
        <v/>
      </c>
      <c r="AL34" s="734" t="str">
        <f t="shared" si="11"/>
        <v/>
      </c>
      <c r="AM34" s="734" t="str">
        <f t="shared" si="12"/>
        <v/>
      </c>
      <c r="AN34" s="744" t="str">
        <f t="shared" si="13"/>
        <v/>
      </c>
      <c r="AO34" s="746"/>
      <c r="AP34" s="745" t="s">
        <v>125</v>
      </c>
      <c r="AQ34" s="746" t="s">
        <v>125</v>
      </c>
      <c r="AR34" s="747" t="str">
        <f t="shared" si="14"/>
        <v/>
      </c>
      <c r="AS34" s="748" t="str">
        <f t="shared" si="15"/>
        <v/>
      </c>
      <c r="AT34" s="749" t="str">
        <f t="shared" si="16"/>
        <v/>
      </c>
      <c r="AU34" s="745"/>
      <c r="AV34" s="746"/>
      <c r="AW34" s="747" t="s">
        <v>125</v>
      </c>
      <c r="AX34" s="748" t="s">
        <v>125</v>
      </c>
      <c r="AY34" s="750" t="s">
        <v>125</v>
      </c>
      <c r="AZ34" s="733" t="str">
        <f t="shared" si="17"/>
        <v/>
      </c>
      <c r="BA34" s="734" t="str">
        <f t="shared" si="18"/>
        <v/>
      </c>
      <c r="BB34" s="734" t="str">
        <f t="shared" si="19"/>
        <v/>
      </c>
      <c r="BC34" s="744" t="str">
        <f t="shared" si="20"/>
        <v/>
      </c>
      <c r="BD34" s="745" t="s">
        <v>125</v>
      </c>
      <c r="BE34" s="746" t="s">
        <v>125</v>
      </c>
      <c r="BF34" s="747" t="str">
        <f t="shared" si="21"/>
        <v/>
      </c>
      <c r="BG34" s="748" t="str">
        <f t="shared" si="22"/>
        <v/>
      </c>
      <c r="BH34" s="749" t="str">
        <f t="shared" si="23"/>
        <v/>
      </c>
      <c r="BI34" s="745"/>
      <c r="BJ34" s="746"/>
      <c r="BK34" s="747" t="s">
        <v>125</v>
      </c>
      <c r="BL34" s="748" t="s">
        <v>125</v>
      </c>
      <c r="BM34" s="750" t="s">
        <v>125</v>
      </c>
      <c r="BN34" s="1002" t="str">
        <f t="shared" si="24"/>
        <v/>
      </c>
      <c r="BO34" s="751" t="s">
        <v>125</v>
      </c>
      <c r="BP34" s="751" t="s">
        <v>125</v>
      </c>
      <c r="BQ34" s="744" t="str">
        <f t="shared" si="25"/>
        <v/>
      </c>
      <c r="BR34" s="755"/>
      <c r="BS34" s="756"/>
      <c r="BT34" s="755"/>
      <c r="BU34" s="756"/>
      <c r="BV34" s="755"/>
      <c r="BW34" s="757"/>
      <c r="BX34" s="755"/>
      <c r="BY34" s="756"/>
      <c r="BZ34" s="752" t="s">
        <v>125</v>
      </c>
      <c r="CA34" s="733"/>
      <c r="CB34" s="734"/>
      <c r="CC34" s="734"/>
      <c r="CD34" s="321"/>
    </row>
    <row r="35" spans="2:82" s="680" customFormat="1" x14ac:dyDescent="0.25">
      <c r="B35" s="729" t="str">
        <f t="shared" si="0"/>
        <v>animal-based</v>
      </c>
      <c r="C35" s="758" t="s">
        <v>358</v>
      </c>
      <c r="D35" s="758" t="s">
        <v>359</v>
      </c>
      <c r="E35" s="731" t="s">
        <v>264</v>
      </c>
      <c r="F35" s="323" t="s">
        <v>360</v>
      </c>
      <c r="G35" s="323" t="s">
        <v>361</v>
      </c>
      <c r="H35" s="323" t="s">
        <v>362</v>
      </c>
      <c r="I35" s="732" t="s">
        <v>278</v>
      </c>
      <c r="J35" s="730" t="s">
        <v>252</v>
      </c>
      <c r="K35" s="323" t="s">
        <v>307</v>
      </c>
      <c r="L35" s="759"/>
      <c r="M35" s="729" t="str">
        <f t="shared" si="1"/>
        <v>kg</v>
      </c>
      <c r="N35" s="733">
        <f t="shared" si="28"/>
        <v>0.87783993115318404</v>
      </c>
      <c r="O35" s="734">
        <f>(5500+8708+6193)/3</f>
        <v>6800.333333333333</v>
      </c>
      <c r="P35" s="734">
        <f>(6230+9599+7411)/3</f>
        <v>7746.666666666667</v>
      </c>
      <c r="Q35" s="321" t="s">
        <v>254</v>
      </c>
      <c r="R35" s="733"/>
      <c r="S35" s="734"/>
      <c r="T35" s="734"/>
      <c r="U35" s="321"/>
      <c r="V35" s="733">
        <f t="shared" si="3"/>
        <v>0.40447922282948101</v>
      </c>
      <c r="W35" s="734">
        <f t="shared" si="4"/>
        <v>27.672417355371902</v>
      </c>
      <c r="X35" s="734">
        <f t="shared" si="5"/>
        <v>68.414929107589657</v>
      </c>
      <c r="Y35" s="744" t="str">
        <f t="shared" si="6"/>
        <v>kg/head</v>
      </c>
      <c r="Z35" s="998" t="s">
        <v>1571</v>
      </c>
      <c r="AA35" s="745">
        <v>27.672417355371902</v>
      </c>
      <c r="AB35" s="746">
        <v>68.414929107589657</v>
      </c>
      <c r="AC35" s="747" t="str">
        <f t="shared" si="7"/>
        <v>kg</v>
      </c>
      <c r="AD35" s="748" t="str">
        <f t="shared" si="8"/>
        <v>/</v>
      </c>
      <c r="AE35" s="749" t="str">
        <f t="shared" si="9"/>
        <v>head</v>
      </c>
      <c r="AF35" s="745">
        <f>((14/1.28+42/1.2+64/1.21)/3)</f>
        <v>32.943353994490359</v>
      </c>
      <c r="AG35" s="746">
        <f>((84/0.96+92/0.88+57/1.09)/3)</f>
        <v>81.446344175701981</v>
      </c>
      <c r="AH35" s="747" t="s">
        <v>316</v>
      </c>
      <c r="AI35" s="746" t="s">
        <v>256</v>
      </c>
      <c r="AJ35" s="746" t="s">
        <v>257</v>
      </c>
      <c r="AK35" s="733">
        <f t="shared" si="10"/>
        <v>0.66882439689024387</v>
      </c>
      <c r="AL35" s="734">
        <f t="shared" si="11"/>
        <v>573.36518595041332</v>
      </c>
      <c r="AM35" s="734">
        <f t="shared" si="12"/>
        <v>857.27313270317848</v>
      </c>
      <c r="AN35" s="744" t="str">
        <f t="shared" si="13"/>
        <v>kWh/head</v>
      </c>
      <c r="AO35" s="746" t="s">
        <v>1571</v>
      </c>
      <c r="AP35" s="745">
        <v>573.36518595041332</v>
      </c>
      <c r="AQ35" s="746">
        <v>857.27313270317848</v>
      </c>
      <c r="AR35" s="747" t="str">
        <f t="shared" si="14"/>
        <v>kWh</v>
      </c>
      <c r="AS35" s="748" t="str">
        <f t="shared" si="15"/>
        <v>/</v>
      </c>
      <c r="AT35" s="749" t="str">
        <f t="shared" si="16"/>
        <v>head</v>
      </c>
      <c r="AU35" s="745">
        <f>((722/1.28+696/1.2+697/1.21)/3)</f>
        <v>573.36518595041332</v>
      </c>
      <c r="AV35" s="746">
        <f>((853/0.96+900/0.88+720/1.09)/3)</f>
        <v>857.27313270317848</v>
      </c>
      <c r="AW35" s="747" t="s">
        <v>223</v>
      </c>
      <c r="AX35" s="748" t="s">
        <v>256</v>
      </c>
      <c r="AY35" s="750" t="s">
        <v>257</v>
      </c>
      <c r="AZ35" s="733">
        <f t="shared" si="17"/>
        <v>0.95124228435084812</v>
      </c>
      <c r="BA35" s="734">
        <f t="shared" si="18"/>
        <v>6113</v>
      </c>
      <c r="BB35" s="734">
        <f t="shared" si="19"/>
        <v>6426.333333333333</v>
      </c>
      <c r="BC35" s="744" t="str">
        <f t="shared" si="20"/>
        <v>kg/head</v>
      </c>
      <c r="BD35" s="745">
        <v>6113</v>
      </c>
      <c r="BE35" s="746">
        <v>6426.333333333333</v>
      </c>
      <c r="BF35" s="747" t="str">
        <f t="shared" si="21"/>
        <v>kg</v>
      </c>
      <c r="BG35" s="748" t="str">
        <f t="shared" si="22"/>
        <v>/</v>
      </c>
      <c r="BH35" s="749" t="str">
        <f t="shared" si="23"/>
        <v>head</v>
      </c>
      <c r="BI35" s="745">
        <f>(5490+5791+7058)/3</f>
        <v>6113</v>
      </c>
      <c r="BJ35" s="746">
        <f>(5674+6272+7333)/3</f>
        <v>6426.333333333333</v>
      </c>
      <c r="BK35" s="747" t="s">
        <v>221</v>
      </c>
      <c r="BL35" s="748" t="s">
        <v>256</v>
      </c>
      <c r="BM35" s="750" t="s">
        <v>257</v>
      </c>
      <c r="BN35" s="1002">
        <f t="shared" si="24"/>
        <v>0.81265822784810138</v>
      </c>
      <c r="BO35" s="751">
        <v>26097.560975609755</v>
      </c>
      <c r="BP35" s="751">
        <v>32113.821138211377</v>
      </c>
      <c r="BQ35" s="744" t="str">
        <f t="shared" si="25"/>
        <v>kg/ha</v>
      </c>
      <c r="BR35" s="755"/>
      <c r="BS35" s="756"/>
      <c r="BT35" s="755"/>
      <c r="BU35" s="756"/>
      <c r="BV35" s="755">
        <f>(88+104+129)/3</f>
        <v>107</v>
      </c>
      <c r="BW35" s="757">
        <f>(121+104+170)/3</f>
        <v>131.66666666666666</v>
      </c>
      <c r="BX35" s="755"/>
      <c r="BY35" s="756"/>
      <c r="BZ35" s="752" t="s">
        <v>329</v>
      </c>
      <c r="CA35" s="733"/>
      <c r="CB35" s="734"/>
      <c r="CC35" s="734"/>
      <c r="CD35" s="321"/>
    </row>
    <row r="36" spans="2:82" s="680" customFormat="1" x14ac:dyDescent="0.25">
      <c r="B36" s="729" t="str">
        <f t="shared" si="0"/>
        <v>animal-based</v>
      </c>
      <c r="C36" s="730" t="s">
        <v>363</v>
      </c>
      <c r="D36" s="730" t="s">
        <v>364</v>
      </c>
      <c r="E36" s="731" t="s">
        <v>264</v>
      </c>
      <c r="F36" s="680" t="s">
        <v>365</v>
      </c>
      <c r="G36" s="680" t="s">
        <v>291</v>
      </c>
      <c r="H36" s="680" t="s">
        <v>366</v>
      </c>
      <c r="I36" s="732" t="s">
        <v>278</v>
      </c>
      <c r="J36" s="730" t="s">
        <v>252</v>
      </c>
      <c r="K36" s="680" t="s">
        <v>307</v>
      </c>
      <c r="L36" s="732"/>
      <c r="M36" s="729" t="str">
        <f t="shared" si="1"/>
        <v>kg</v>
      </c>
      <c r="N36" s="733">
        <f t="shared" si="28"/>
        <v>0.87489330569442747</v>
      </c>
      <c r="O36" s="734">
        <v>7175</v>
      </c>
      <c r="P36" s="734">
        <v>8201</v>
      </c>
      <c r="Q36" s="321" t="s">
        <v>254</v>
      </c>
      <c r="R36" s="733"/>
      <c r="S36" s="734"/>
      <c r="T36" s="734"/>
      <c r="U36" s="321"/>
      <c r="V36" s="733" t="str">
        <f t="shared" si="3"/>
        <v/>
      </c>
      <c r="W36" s="734" t="str">
        <f t="shared" si="4"/>
        <v/>
      </c>
      <c r="X36" s="734" t="str">
        <f t="shared" si="5"/>
        <v/>
      </c>
      <c r="Y36" s="744" t="str">
        <f t="shared" si="6"/>
        <v/>
      </c>
      <c r="Z36" s="746"/>
      <c r="AA36" s="745" t="s">
        <v>125</v>
      </c>
      <c r="AB36" s="746" t="s">
        <v>125</v>
      </c>
      <c r="AC36" s="747" t="str">
        <f t="shared" si="7"/>
        <v/>
      </c>
      <c r="AD36" s="748" t="str">
        <f t="shared" si="8"/>
        <v/>
      </c>
      <c r="AE36" s="749" t="str">
        <f t="shared" si="9"/>
        <v/>
      </c>
      <c r="AF36" s="745"/>
      <c r="AG36" s="746"/>
      <c r="AH36" s="747" t="s">
        <v>125</v>
      </c>
      <c r="AI36" s="748" t="s">
        <v>125</v>
      </c>
      <c r="AJ36" s="750" t="s">
        <v>125</v>
      </c>
      <c r="AK36" s="733" t="str">
        <f t="shared" si="10"/>
        <v/>
      </c>
      <c r="AL36" s="734" t="str">
        <f t="shared" si="11"/>
        <v/>
      </c>
      <c r="AM36" s="734" t="str">
        <f t="shared" si="12"/>
        <v/>
      </c>
      <c r="AN36" s="744" t="str">
        <f t="shared" si="13"/>
        <v/>
      </c>
      <c r="AO36" s="746"/>
      <c r="AP36" s="745" t="s">
        <v>125</v>
      </c>
      <c r="AQ36" s="746" t="s">
        <v>125</v>
      </c>
      <c r="AR36" s="747" t="str">
        <f t="shared" si="14"/>
        <v/>
      </c>
      <c r="AS36" s="748" t="str">
        <f t="shared" si="15"/>
        <v/>
      </c>
      <c r="AT36" s="749" t="str">
        <f t="shared" si="16"/>
        <v/>
      </c>
      <c r="AU36" s="745"/>
      <c r="AV36" s="746"/>
      <c r="AW36" s="747" t="s">
        <v>125</v>
      </c>
      <c r="AX36" s="748" t="s">
        <v>125</v>
      </c>
      <c r="AY36" s="750" t="s">
        <v>125</v>
      </c>
      <c r="AZ36" s="733">
        <f t="shared" si="17"/>
        <v>0.99622242369295855</v>
      </c>
      <c r="BA36" s="734">
        <f t="shared" si="18"/>
        <v>6593</v>
      </c>
      <c r="BB36" s="734">
        <f t="shared" si="19"/>
        <v>6618</v>
      </c>
      <c r="BC36" s="744" t="str">
        <f t="shared" si="20"/>
        <v>kg/head</v>
      </c>
      <c r="BD36" s="745">
        <v>6593</v>
      </c>
      <c r="BE36" s="746">
        <v>6618</v>
      </c>
      <c r="BF36" s="747" t="str">
        <f t="shared" si="21"/>
        <v>kg</v>
      </c>
      <c r="BG36" s="748" t="str">
        <f t="shared" si="22"/>
        <v>/</v>
      </c>
      <c r="BH36" s="749" t="str">
        <f t="shared" si="23"/>
        <v>head</v>
      </c>
      <c r="BI36" s="745">
        <v>6593</v>
      </c>
      <c r="BJ36" s="746">
        <v>6618</v>
      </c>
      <c r="BK36" s="747" t="s">
        <v>221</v>
      </c>
      <c r="BL36" s="748" t="s">
        <v>256</v>
      </c>
      <c r="BM36" s="750" t="s">
        <v>257</v>
      </c>
      <c r="BN36" s="1002">
        <f t="shared" si="24"/>
        <v>0.77380952380952384</v>
      </c>
      <c r="BO36" s="751">
        <v>31707.317073170729</v>
      </c>
      <c r="BP36" s="751">
        <v>40975.609756097554</v>
      </c>
      <c r="BQ36" s="744" t="str">
        <f t="shared" si="25"/>
        <v>kg/ha</v>
      </c>
      <c r="BR36" s="755"/>
      <c r="BS36" s="756"/>
      <c r="BT36" s="755"/>
      <c r="BU36" s="756"/>
      <c r="BV36" s="755">
        <v>130</v>
      </c>
      <c r="BW36" s="757">
        <v>168</v>
      </c>
      <c r="BX36" s="755"/>
      <c r="BY36" s="756"/>
      <c r="BZ36" s="752" t="s">
        <v>329</v>
      </c>
      <c r="CA36" s="733"/>
      <c r="CB36" s="734"/>
      <c r="CC36" s="734"/>
      <c r="CD36" s="321"/>
    </row>
    <row r="37" spans="2:82" s="680" customFormat="1" x14ac:dyDescent="0.25">
      <c r="B37" s="729" t="str">
        <f t="shared" si="0"/>
        <v>animal-based</v>
      </c>
      <c r="C37" s="730" t="s">
        <v>367</v>
      </c>
      <c r="D37" s="730" t="s">
        <v>368</v>
      </c>
      <c r="E37" s="731" t="s">
        <v>264</v>
      </c>
      <c r="F37" s="680" t="s">
        <v>369</v>
      </c>
      <c r="G37" s="680" t="s">
        <v>293</v>
      </c>
      <c r="H37" s="680" t="s">
        <v>250</v>
      </c>
      <c r="I37" s="732" t="s">
        <v>278</v>
      </c>
      <c r="J37" s="730" t="s">
        <v>261</v>
      </c>
      <c r="K37" s="680" t="s">
        <v>331</v>
      </c>
      <c r="L37" s="732"/>
      <c r="M37" s="729" t="str">
        <f t="shared" si="1"/>
        <v>p</v>
      </c>
      <c r="N37" s="733">
        <f t="shared" si="28"/>
        <v>0.92511013215859028</v>
      </c>
      <c r="O37" s="734">
        <v>280</v>
      </c>
      <c r="P37" s="734">
        <f>(315+300+293)/3</f>
        <v>302.66666666666669</v>
      </c>
      <c r="Q37" s="321" t="s">
        <v>332</v>
      </c>
      <c r="R37" s="733"/>
      <c r="S37" s="734"/>
      <c r="T37" s="734"/>
      <c r="U37" s="321"/>
      <c r="V37" s="733" t="str">
        <f t="shared" si="3"/>
        <v/>
      </c>
      <c r="W37" s="734" t="str">
        <f t="shared" si="4"/>
        <v/>
      </c>
      <c r="X37" s="734" t="str">
        <f t="shared" si="5"/>
        <v/>
      </c>
      <c r="Y37" s="744" t="str">
        <f t="shared" si="6"/>
        <v/>
      </c>
      <c r="Z37" s="746"/>
      <c r="AA37" s="745" t="s">
        <v>125</v>
      </c>
      <c r="AB37" s="746" t="s">
        <v>125</v>
      </c>
      <c r="AC37" s="747" t="str">
        <f t="shared" si="7"/>
        <v/>
      </c>
      <c r="AD37" s="748" t="str">
        <f t="shared" si="8"/>
        <v/>
      </c>
      <c r="AE37" s="749" t="str">
        <f t="shared" si="9"/>
        <v/>
      </c>
      <c r="AF37" s="745"/>
      <c r="AG37" s="746"/>
      <c r="AH37" s="747" t="s">
        <v>125</v>
      </c>
      <c r="AI37" s="748" t="s">
        <v>125</v>
      </c>
      <c r="AJ37" s="750" t="s">
        <v>125</v>
      </c>
      <c r="AK37" s="733">
        <f>BA37/BB37</f>
        <v>1.0464970244995748</v>
      </c>
      <c r="AL37" s="734" t="s">
        <v>248</v>
      </c>
      <c r="AM37" s="734" t="s">
        <v>248</v>
      </c>
      <c r="AN37" s="744" t="str">
        <f>IFERROR(IF(COUNTBLANK($AT37)=0,$AR37&amp;"/"&amp;SUBSTITUTE($Q37,LEFT($Q37,SEARCH("/",$Q37)),""),""),"")</f>
        <v>kWh/head</v>
      </c>
      <c r="AO37" s="746" t="s">
        <v>1575</v>
      </c>
      <c r="AP37" s="745">
        <v>1.9194444444444443</v>
      </c>
      <c r="AQ37" s="746">
        <v>2.0944444444444446</v>
      </c>
      <c r="AR37" s="747" t="str">
        <f t="shared" si="14"/>
        <v>kWh</v>
      </c>
      <c r="AS37" s="748" t="str">
        <f t="shared" si="15"/>
        <v>/</v>
      </c>
      <c r="AT37" s="749" t="str">
        <f t="shared" si="16"/>
        <v>kg</v>
      </c>
      <c r="AU37" s="745">
        <f>4.12+2.47+0.32</f>
        <v>6.91</v>
      </c>
      <c r="AV37" s="746">
        <f>(4.2+1.26+0.25+8.37+1.97+0.19+3.57+2.55+0.26)/3</f>
        <v>7.54</v>
      </c>
      <c r="AW37" s="747" t="s">
        <v>298</v>
      </c>
      <c r="AX37" s="748" t="s">
        <v>256</v>
      </c>
      <c r="AY37" s="750" t="s">
        <v>299</v>
      </c>
      <c r="AZ37" s="733">
        <f t="shared" si="17"/>
        <v>1.0464970244995748</v>
      </c>
      <c r="BA37" s="734">
        <f t="shared" si="18"/>
        <v>866.6</v>
      </c>
      <c r="BB37" s="734">
        <f t="shared" si="19"/>
        <v>828.09600000000012</v>
      </c>
      <c r="BC37" s="744" t="str">
        <f t="shared" si="20"/>
        <v>kg/head</v>
      </c>
      <c r="BD37" s="745">
        <v>3.0950000000000002</v>
      </c>
      <c r="BE37" s="746">
        <v>2.7360000000000002</v>
      </c>
      <c r="BF37" s="747" t="str">
        <f t="shared" si="21"/>
        <v>kg</v>
      </c>
      <c r="BG37" s="748" t="str">
        <f t="shared" si="22"/>
        <v>/</v>
      </c>
      <c r="BH37" s="749" t="str">
        <f t="shared" si="23"/>
        <v>kg</v>
      </c>
      <c r="BI37" s="745">
        <v>3095</v>
      </c>
      <c r="BJ37" s="746">
        <f>(2559+2737+2912)/3</f>
        <v>2736</v>
      </c>
      <c r="BK37" s="747" t="s">
        <v>221</v>
      </c>
      <c r="BL37" s="748" t="s">
        <v>256</v>
      </c>
      <c r="BM37" s="750" t="s">
        <v>299</v>
      </c>
      <c r="BN37" s="1002" t="str">
        <f t="shared" si="24"/>
        <v/>
      </c>
      <c r="BO37" s="751" t="s">
        <v>125</v>
      </c>
      <c r="BP37" s="751" t="s">
        <v>125</v>
      </c>
      <c r="BQ37" s="744" t="str">
        <f t="shared" si="25"/>
        <v/>
      </c>
      <c r="BR37" s="755"/>
      <c r="BS37" s="756"/>
      <c r="BT37" s="755"/>
      <c r="BU37" s="756"/>
      <c r="BV37" s="755"/>
      <c r="BW37" s="757"/>
      <c r="BX37" s="755"/>
      <c r="BY37" s="756"/>
      <c r="BZ37" s="752" t="s">
        <v>125</v>
      </c>
      <c r="CA37" s="733">
        <f>CB37/CC37</f>
        <v>1.0707456978967496</v>
      </c>
      <c r="CB37" s="734">
        <v>5.6</v>
      </c>
      <c r="CC37" s="734">
        <f>(5.11+5.23+5.35)/3</f>
        <v>5.2299999999999995</v>
      </c>
      <c r="CD37" s="321" t="s">
        <v>370</v>
      </c>
    </row>
    <row r="38" spans="2:82" s="680" customFormat="1" x14ac:dyDescent="0.25">
      <c r="B38" s="729" t="str">
        <f t="shared" si="0"/>
        <v>animal-based</v>
      </c>
      <c r="C38" s="730" t="s">
        <v>371</v>
      </c>
      <c r="D38" s="730" t="s">
        <v>372</v>
      </c>
      <c r="E38" s="731" t="s">
        <v>264</v>
      </c>
      <c r="F38" s="680" t="s">
        <v>373</v>
      </c>
      <c r="G38" s="680" t="s">
        <v>291</v>
      </c>
      <c r="H38" s="731" t="s">
        <v>248</v>
      </c>
      <c r="I38" s="760" t="s">
        <v>248</v>
      </c>
      <c r="J38" s="730" t="s">
        <v>252</v>
      </c>
      <c r="K38" s="680" t="s">
        <v>307</v>
      </c>
      <c r="L38" s="732"/>
      <c r="M38" s="729" t="str">
        <f t="shared" si="1"/>
        <v>kg</v>
      </c>
      <c r="N38" s="733">
        <f t="shared" si="28"/>
        <v>0.98233215547703179</v>
      </c>
      <c r="O38" s="734">
        <v>6950</v>
      </c>
      <c r="P38" s="734">
        <f>(7200+6950)/2</f>
        <v>7075</v>
      </c>
      <c r="Q38" s="321" t="s">
        <v>254</v>
      </c>
      <c r="R38" s="733"/>
      <c r="S38" s="734"/>
      <c r="T38" s="734"/>
      <c r="U38" s="321"/>
      <c r="V38" s="733" t="str">
        <f t="shared" si="3"/>
        <v/>
      </c>
      <c r="W38" s="734" t="str">
        <f t="shared" si="4"/>
        <v/>
      </c>
      <c r="X38" s="734" t="str">
        <f t="shared" si="5"/>
        <v/>
      </c>
      <c r="Y38" s="744" t="str">
        <f t="shared" si="6"/>
        <v/>
      </c>
      <c r="Z38" s="746"/>
      <c r="AA38" s="745" t="s">
        <v>125</v>
      </c>
      <c r="AB38" s="746" t="s">
        <v>125</v>
      </c>
      <c r="AC38" s="747" t="str">
        <f t="shared" si="7"/>
        <v/>
      </c>
      <c r="AD38" s="748" t="str">
        <f t="shared" si="8"/>
        <v/>
      </c>
      <c r="AE38" s="749" t="str">
        <f t="shared" si="9"/>
        <v/>
      </c>
      <c r="AF38" s="745"/>
      <c r="AG38" s="746"/>
      <c r="AH38" s="747" t="s">
        <v>125</v>
      </c>
      <c r="AI38" s="748" t="s">
        <v>125</v>
      </c>
      <c r="AJ38" s="750" t="s">
        <v>125</v>
      </c>
      <c r="AK38" s="733">
        <f t="shared" si="10"/>
        <v>1</v>
      </c>
      <c r="AL38" s="734">
        <f t="shared" si="11"/>
        <v>1.8333333333333333</v>
      </c>
      <c r="AM38" s="734">
        <f t="shared" si="12"/>
        <v>1.8333333333333333</v>
      </c>
      <c r="AN38" s="744" t="str">
        <f t="shared" si="13"/>
        <v>kWh/head</v>
      </c>
      <c r="AO38" s="746"/>
      <c r="AP38" s="745">
        <v>1.8333333333333333</v>
      </c>
      <c r="AQ38" s="746">
        <v>1.8333333333333333</v>
      </c>
      <c r="AR38" s="747" t="str">
        <f t="shared" si="14"/>
        <v>kWh</v>
      </c>
      <c r="AS38" s="748" t="str">
        <f t="shared" si="15"/>
        <v>/</v>
      </c>
      <c r="AT38" s="749" t="str">
        <f t="shared" si="16"/>
        <v>head</v>
      </c>
      <c r="AU38" s="745">
        <v>6.6</v>
      </c>
      <c r="AV38" s="746">
        <v>6.6</v>
      </c>
      <c r="AW38" s="747" t="s">
        <v>304</v>
      </c>
      <c r="AX38" s="748" t="s">
        <v>256</v>
      </c>
      <c r="AY38" s="750" t="s">
        <v>257</v>
      </c>
      <c r="AZ38" s="733" t="str">
        <f t="shared" si="17"/>
        <v/>
      </c>
      <c r="BA38" s="734" t="str">
        <f t="shared" si="18"/>
        <v/>
      </c>
      <c r="BB38" s="734" t="str">
        <f t="shared" si="19"/>
        <v/>
      </c>
      <c r="BC38" s="744" t="str">
        <f t="shared" si="20"/>
        <v/>
      </c>
      <c r="BD38" s="745" t="s">
        <v>125</v>
      </c>
      <c r="BE38" s="746" t="s">
        <v>125</v>
      </c>
      <c r="BF38" s="747" t="str">
        <f t="shared" si="21"/>
        <v/>
      </c>
      <c r="BG38" s="748" t="str">
        <f t="shared" si="22"/>
        <v/>
      </c>
      <c r="BH38" s="749" t="str">
        <f t="shared" si="23"/>
        <v/>
      </c>
      <c r="BI38" s="745"/>
      <c r="BJ38" s="746"/>
      <c r="BK38" s="747" t="s">
        <v>125</v>
      </c>
      <c r="BL38" s="748" t="s">
        <v>125</v>
      </c>
      <c r="BM38" s="750" t="s">
        <v>125</v>
      </c>
      <c r="BN38" s="1002" t="str">
        <f t="shared" si="24"/>
        <v/>
      </c>
      <c r="BO38" s="751" t="s">
        <v>125</v>
      </c>
      <c r="BP38" s="751" t="s">
        <v>125</v>
      </c>
      <c r="BQ38" s="744" t="str">
        <f t="shared" si="25"/>
        <v/>
      </c>
      <c r="BR38" s="755"/>
      <c r="BS38" s="756"/>
      <c r="BT38" s="755"/>
      <c r="BU38" s="756"/>
      <c r="BV38" s="755"/>
      <c r="BW38" s="757"/>
      <c r="BX38" s="755"/>
      <c r="BY38" s="756"/>
      <c r="BZ38" s="752" t="s">
        <v>125</v>
      </c>
      <c r="CA38" s="733"/>
      <c r="CB38" s="734"/>
      <c r="CC38" s="734"/>
      <c r="CD38" s="321"/>
    </row>
    <row r="39" spans="2:82" s="680" customFormat="1" x14ac:dyDescent="0.25">
      <c r="B39" s="729" t="str">
        <f t="shared" si="0"/>
        <v>animal-based</v>
      </c>
      <c r="C39" s="730" t="s">
        <v>374</v>
      </c>
      <c r="D39" s="730" t="s">
        <v>375</v>
      </c>
      <c r="E39" s="731" t="s">
        <v>264</v>
      </c>
      <c r="F39" s="680" t="s">
        <v>320</v>
      </c>
      <c r="G39" s="680" t="s">
        <v>287</v>
      </c>
      <c r="H39" s="680" t="s">
        <v>250</v>
      </c>
      <c r="I39" s="732" t="s">
        <v>278</v>
      </c>
      <c r="J39" s="730" t="s">
        <v>252</v>
      </c>
      <c r="K39" s="680" t="s">
        <v>307</v>
      </c>
      <c r="L39" s="732"/>
      <c r="M39" s="729" t="str">
        <f t="shared" si="1"/>
        <v>kg</v>
      </c>
      <c r="N39" s="733">
        <f t="shared" si="28"/>
        <v>0.76811412839444371</v>
      </c>
      <c r="O39" s="734">
        <v>6138</v>
      </c>
      <c r="P39" s="734">
        <v>7991</v>
      </c>
      <c r="Q39" s="321" t="s">
        <v>254</v>
      </c>
      <c r="R39" s="733"/>
      <c r="S39" s="734"/>
      <c r="T39" s="734"/>
      <c r="U39" s="321"/>
      <c r="V39" s="733">
        <f t="shared" si="3"/>
        <v>1.1778733204485747</v>
      </c>
      <c r="W39" s="734">
        <f t="shared" si="4"/>
        <v>59.4625352112676</v>
      </c>
      <c r="X39" s="734">
        <f t="shared" si="5"/>
        <v>50.482962962962958</v>
      </c>
      <c r="Y39" s="744" t="str">
        <f t="shared" si="6"/>
        <v>kg/head</v>
      </c>
      <c r="Z39" s="998" t="s">
        <v>1571</v>
      </c>
      <c r="AA39" s="745">
        <v>59.4625352112676</v>
      </c>
      <c r="AB39" s="746">
        <v>50.482962962962958</v>
      </c>
      <c r="AC39" s="747" t="str">
        <f t="shared" si="7"/>
        <v>kg</v>
      </c>
      <c r="AD39" s="748" t="str">
        <f t="shared" si="8"/>
        <v>/</v>
      </c>
      <c r="AE39" s="749" t="str">
        <f t="shared" si="9"/>
        <v>head</v>
      </c>
      <c r="AF39" s="745">
        <f>5026/71</f>
        <v>70.788732394366193</v>
      </c>
      <c r="AG39" s="746">
        <f>4868/81</f>
        <v>60.098765432098766</v>
      </c>
      <c r="AH39" s="747" t="s">
        <v>316</v>
      </c>
      <c r="AI39" s="748" t="s">
        <v>256</v>
      </c>
      <c r="AJ39" s="750" t="s">
        <v>257</v>
      </c>
      <c r="AK39" s="733">
        <f t="shared" si="10"/>
        <v>1.2092208768414714</v>
      </c>
      <c r="AL39" s="734">
        <f t="shared" si="11"/>
        <v>404.76056338028167</v>
      </c>
      <c r="AM39" s="734">
        <f t="shared" si="12"/>
        <v>334.72839506172841</v>
      </c>
      <c r="AN39" s="744" t="str">
        <f t="shared" si="13"/>
        <v>kWh/head</v>
      </c>
      <c r="AO39" s="746" t="s">
        <v>1571</v>
      </c>
      <c r="AP39" s="745">
        <v>404.76056338028167</v>
      </c>
      <c r="AQ39" s="746">
        <v>334.72839506172841</v>
      </c>
      <c r="AR39" s="747" t="str">
        <f t="shared" si="14"/>
        <v>kWh</v>
      </c>
      <c r="AS39" s="748" t="str">
        <f t="shared" si="15"/>
        <v>/</v>
      </c>
      <c r="AT39" s="749" t="str">
        <f t="shared" si="16"/>
        <v>head</v>
      </c>
      <c r="AU39" s="745">
        <f>(28738/71)</f>
        <v>404.76056338028167</v>
      </c>
      <c r="AV39" s="746">
        <f>(27113/81)</f>
        <v>334.72839506172841</v>
      </c>
      <c r="AW39" s="747" t="s">
        <v>223</v>
      </c>
      <c r="AX39" s="748" t="s">
        <v>256</v>
      </c>
      <c r="AY39" s="750" t="s">
        <v>257</v>
      </c>
      <c r="AZ39" s="733" t="str">
        <f t="shared" si="17"/>
        <v/>
      </c>
      <c r="BA39" s="734" t="str">
        <f t="shared" si="18"/>
        <v/>
      </c>
      <c r="BB39" s="734" t="str">
        <f t="shared" si="19"/>
        <v/>
      </c>
      <c r="BC39" s="744" t="str">
        <f t="shared" si="20"/>
        <v/>
      </c>
      <c r="BD39" s="745" t="s">
        <v>125</v>
      </c>
      <c r="BE39" s="746" t="s">
        <v>125</v>
      </c>
      <c r="BF39" s="747" t="str">
        <f t="shared" si="21"/>
        <v/>
      </c>
      <c r="BG39" s="748" t="str">
        <f t="shared" si="22"/>
        <v/>
      </c>
      <c r="BH39" s="749" t="str">
        <f t="shared" si="23"/>
        <v/>
      </c>
      <c r="BI39" s="745"/>
      <c r="BJ39" s="746"/>
      <c r="BK39" s="747" t="s">
        <v>125</v>
      </c>
      <c r="BL39" s="748" t="s">
        <v>125</v>
      </c>
      <c r="BM39" s="750" t="s">
        <v>125</v>
      </c>
      <c r="BN39" s="1002" t="str">
        <f t="shared" si="24"/>
        <v/>
      </c>
      <c r="BO39" s="751" t="s">
        <v>125</v>
      </c>
      <c r="BP39" s="751" t="s">
        <v>125</v>
      </c>
      <c r="BQ39" s="744" t="str">
        <f t="shared" si="25"/>
        <v/>
      </c>
      <c r="BR39" s="755"/>
      <c r="BS39" s="756"/>
      <c r="BT39" s="755"/>
      <c r="BU39" s="756"/>
      <c r="BV39" s="755"/>
      <c r="BW39" s="757"/>
      <c r="BX39" s="755"/>
      <c r="BY39" s="756"/>
      <c r="BZ39" s="752" t="s">
        <v>125</v>
      </c>
      <c r="CA39" s="733"/>
      <c r="CB39" s="734"/>
      <c r="CC39" s="734"/>
      <c r="CD39" s="321"/>
    </row>
    <row r="40" spans="2:82" s="680" customFormat="1" x14ac:dyDescent="0.25">
      <c r="B40" s="729" t="str">
        <f t="shared" si="0"/>
        <v>animal-based</v>
      </c>
      <c r="C40" s="730" t="s">
        <v>376</v>
      </c>
      <c r="D40" s="730" t="s">
        <v>377</v>
      </c>
      <c r="E40" s="731" t="s">
        <v>264</v>
      </c>
      <c r="F40" s="680" t="s">
        <v>378</v>
      </c>
      <c r="G40" s="680" t="s">
        <v>266</v>
      </c>
      <c r="H40" s="680" t="s">
        <v>379</v>
      </c>
      <c r="I40" s="732" t="s">
        <v>278</v>
      </c>
      <c r="J40" s="730" t="s">
        <v>252</v>
      </c>
      <c r="K40" s="680" t="s">
        <v>307</v>
      </c>
      <c r="L40" s="732"/>
      <c r="M40" s="729" t="str">
        <f t="shared" si="1"/>
        <v>kg</v>
      </c>
      <c r="N40" s="733">
        <f t="shared" si="28"/>
        <v>0.71724407397759837</v>
      </c>
      <c r="O40" s="734">
        <v>5507</v>
      </c>
      <c r="P40" s="734">
        <v>7678</v>
      </c>
      <c r="Q40" s="321" t="s">
        <v>254</v>
      </c>
      <c r="R40" s="761"/>
      <c r="S40" s="734"/>
      <c r="T40" s="734"/>
      <c r="U40" s="321"/>
      <c r="V40" s="733">
        <f t="shared" si="3"/>
        <v>0.80820276497695842</v>
      </c>
      <c r="W40" s="734">
        <f t="shared" si="4"/>
        <v>57.338709677419352</v>
      </c>
      <c r="X40" s="734">
        <f t="shared" si="5"/>
        <v>70.945945945945951</v>
      </c>
      <c r="Y40" s="744" t="str">
        <f t="shared" si="6"/>
        <v>kg/head</v>
      </c>
      <c r="Z40" s="998" t="s">
        <v>1571</v>
      </c>
      <c r="AA40" s="745">
        <v>57.338709677419352</v>
      </c>
      <c r="AB40" s="746">
        <v>70.945945945945951</v>
      </c>
      <c r="AC40" s="747" t="str">
        <f t="shared" si="7"/>
        <v>kg</v>
      </c>
      <c r="AD40" s="748" t="str">
        <f t="shared" si="8"/>
        <v>/</v>
      </c>
      <c r="AE40" s="749" t="str">
        <f t="shared" si="9"/>
        <v>head</v>
      </c>
      <c r="AF40" s="745">
        <f>71.1/1.24</f>
        <v>57.338709677419352</v>
      </c>
      <c r="AG40" s="746">
        <f>105/1.48</f>
        <v>70.945945945945951</v>
      </c>
      <c r="AH40" s="747" t="s">
        <v>221</v>
      </c>
      <c r="AI40" s="748" t="s">
        <v>256</v>
      </c>
      <c r="AJ40" s="750" t="s">
        <v>257</v>
      </c>
      <c r="AK40" s="733">
        <f t="shared" si="10"/>
        <v>0.8442257492902463</v>
      </c>
      <c r="AL40" s="734">
        <f t="shared" si="11"/>
        <v>193.14516129032259</v>
      </c>
      <c r="AM40" s="734">
        <f t="shared" si="12"/>
        <v>228.7837837837838</v>
      </c>
      <c r="AN40" s="744" t="str">
        <f t="shared" si="13"/>
        <v>kWh/head</v>
      </c>
      <c r="AO40" s="746" t="s">
        <v>1571</v>
      </c>
      <c r="AP40" s="745">
        <v>193.14516129032259</v>
      </c>
      <c r="AQ40" s="746">
        <v>228.7837837837838</v>
      </c>
      <c r="AR40" s="747" t="str">
        <f t="shared" si="14"/>
        <v>kWh</v>
      </c>
      <c r="AS40" s="748" t="str">
        <f t="shared" si="15"/>
        <v>/</v>
      </c>
      <c r="AT40" s="749" t="str">
        <f t="shared" si="16"/>
        <v>head</v>
      </c>
      <c r="AU40" s="745">
        <f>239.5/1.24</f>
        <v>193.14516129032259</v>
      </c>
      <c r="AV40" s="746">
        <f>338.6/1.48</f>
        <v>228.7837837837838</v>
      </c>
      <c r="AW40" s="747" t="s">
        <v>223</v>
      </c>
      <c r="AX40" s="748" t="s">
        <v>256</v>
      </c>
      <c r="AY40" s="750" t="s">
        <v>257</v>
      </c>
      <c r="AZ40" s="733" t="str">
        <f t="shared" si="17"/>
        <v/>
      </c>
      <c r="BA40" s="734" t="str">
        <f t="shared" si="18"/>
        <v/>
      </c>
      <c r="BB40" s="734" t="str">
        <f t="shared" si="19"/>
        <v/>
      </c>
      <c r="BC40" s="744" t="str">
        <f t="shared" si="20"/>
        <v/>
      </c>
      <c r="BD40" s="745" t="s">
        <v>125</v>
      </c>
      <c r="BE40" s="746" t="s">
        <v>125</v>
      </c>
      <c r="BF40" s="747" t="str">
        <f t="shared" si="21"/>
        <v/>
      </c>
      <c r="BG40" s="748" t="str">
        <f t="shared" si="22"/>
        <v/>
      </c>
      <c r="BH40" s="749" t="str">
        <f t="shared" si="23"/>
        <v/>
      </c>
      <c r="BI40" s="745"/>
      <c r="BJ40" s="746"/>
      <c r="BK40" s="747" t="s">
        <v>125</v>
      </c>
      <c r="BL40" s="748" t="s">
        <v>125</v>
      </c>
      <c r="BM40" s="750" t="s">
        <v>125</v>
      </c>
      <c r="BN40" s="1003" t="str">
        <f t="shared" si="24"/>
        <v/>
      </c>
      <c r="BO40" s="751" t="s">
        <v>1654</v>
      </c>
      <c r="BP40" s="751" t="s">
        <v>1655</v>
      </c>
      <c r="BQ40" s="744" t="str">
        <f t="shared" si="25"/>
        <v>kg/ha</v>
      </c>
      <c r="BR40" s="755">
        <v>0</v>
      </c>
      <c r="BS40" s="756">
        <v>25.5</v>
      </c>
      <c r="BT40" s="755"/>
      <c r="BU40" s="756"/>
      <c r="BV40" s="755"/>
      <c r="BW40" s="757"/>
      <c r="BX40" s="755"/>
      <c r="BY40" s="756"/>
      <c r="BZ40" s="752" t="s">
        <v>329</v>
      </c>
      <c r="CA40" s="733"/>
      <c r="CB40" s="734"/>
      <c r="CC40" s="734"/>
      <c r="CD40" s="321"/>
    </row>
    <row r="41" spans="2:82" s="680" customFormat="1" x14ac:dyDescent="0.25">
      <c r="B41" s="729" t="str">
        <f t="shared" si="0"/>
        <v>animal-based</v>
      </c>
      <c r="C41" s="730" t="s">
        <v>301</v>
      </c>
      <c r="D41" s="730" t="s">
        <v>302</v>
      </c>
      <c r="E41" s="731" t="s">
        <v>247</v>
      </c>
      <c r="F41" s="680" t="s">
        <v>248</v>
      </c>
      <c r="G41" s="680" t="s">
        <v>293</v>
      </c>
      <c r="H41" s="680" t="s">
        <v>250</v>
      </c>
      <c r="I41" s="732" t="s">
        <v>251</v>
      </c>
      <c r="J41" s="730" t="s">
        <v>261</v>
      </c>
      <c r="K41" s="680" t="s">
        <v>331</v>
      </c>
      <c r="L41" s="732"/>
      <c r="M41" s="729" t="str">
        <f t="shared" ref="M41:M72" si="29">IF(B41="animal","head",
IF(K41="milk","kg",
IF(K41="eggs","p","ha")))</f>
        <v>p</v>
      </c>
      <c r="N41" s="733"/>
      <c r="O41" s="734" t="s">
        <v>303</v>
      </c>
      <c r="P41" s="734"/>
      <c r="Q41" s="321"/>
      <c r="R41" s="733"/>
      <c r="S41" s="734"/>
      <c r="T41" s="734"/>
      <c r="U41" s="321"/>
      <c r="V41" s="733" t="str">
        <f t="shared" si="3"/>
        <v/>
      </c>
      <c r="W41" s="734" t="str">
        <f t="shared" si="4"/>
        <v/>
      </c>
      <c r="X41" s="734" t="str">
        <f t="shared" si="5"/>
        <v/>
      </c>
      <c r="Y41" s="744" t="str">
        <f t="shared" si="6"/>
        <v/>
      </c>
      <c r="Z41" s="746"/>
      <c r="AA41" s="745" t="s">
        <v>125</v>
      </c>
      <c r="AB41" s="746" t="s">
        <v>125</v>
      </c>
      <c r="AC41" s="747" t="str">
        <f t="shared" si="7"/>
        <v/>
      </c>
      <c r="AD41" s="748" t="str">
        <f t="shared" si="8"/>
        <v/>
      </c>
      <c r="AE41" s="749" t="str">
        <f t="shared" si="9"/>
        <v/>
      </c>
      <c r="AF41" s="745"/>
      <c r="AG41" s="746"/>
      <c r="AH41" s="747" t="s">
        <v>125</v>
      </c>
      <c r="AI41" s="748" t="s">
        <v>125</v>
      </c>
      <c r="AJ41" s="750" t="s">
        <v>125</v>
      </c>
      <c r="AK41" s="733" t="str">
        <f t="shared" si="10"/>
        <v>yield not convertible</v>
      </c>
      <c r="AL41" s="734" t="str">
        <f t="shared" si="11"/>
        <v/>
      </c>
      <c r="AM41" s="734" t="str">
        <f t="shared" si="12"/>
        <v/>
      </c>
      <c r="AN41" s="744" t="str">
        <f t="shared" si="13"/>
        <v/>
      </c>
      <c r="AO41" s="746"/>
      <c r="AP41" s="745">
        <v>4.4722222222222223</v>
      </c>
      <c r="AQ41" s="746">
        <v>3.916666666666667</v>
      </c>
      <c r="AR41" s="747" t="str">
        <f t="shared" si="14"/>
        <v>kWh</v>
      </c>
      <c r="AS41" s="748" t="str">
        <f t="shared" si="15"/>
        <v>/</v>
      </c>
      <c r="AT41" s="749" t="str">
        <f t="shared" si="16"/>
        <v>kg</v>
      </c>
      <c r="AU41" s="745">
        <v>16100</v>
      </c>
      <c r="AV41" s="746">
        <v>14100</v>
      </c>
      <c r="AW41" s="747" t="s">
        <v>304</v>
      </c>
      <c r="AX41" s="748" t="s">
        <v>256</v>
      </c>
      <c r="AY41" s="750" t="s">
        <v>299</v>
      </c>
      <c r="AZ41" s="733" t="str">
        <f t="shared" si="17"/>
        <v/>
      </c>
      <c r="BA41" s="734" t="str">
        <f t="shared" si="18"/>
        <v/>
      </c>
      <c r="BB41" s="734" t="str">
        <f t="shared" si="19"/>
        <v/>
      </c>
      <c r="BC41" s="744" t="str">
        <f t="shared" si="20"/>
        <v/>
      </c>
      <c r="BD41" s="745" t="s">
        <v>125</v>
      </c>
      <c r="BE41" s="746" t="s">
        <v>125</v>
      </c>
      <c r="BF41" s="747" t="str">
        <f t="shared" si="21"/>
        <v/>
      </c>
      <c r="BG41" s="748" t="str">
        <f t="shared" si="22"/>
        <v/>
      </c>
      <c r="BH41" s="749" t="str">
        <f t="shared" si="23"/>
        <v/>
      </c>
      <c r="BI41" s="745"/>
      <c r="BJ41" s="746"/>
      <c r="BK41" s="747" t="s">
        <v>125</v>
      </c>
      <c r="BL41" s="748" t="s">
        <v>125</v>
      </c>
      <c r="BM41" s="750" t="s">
        <v>125</v>
      </c>
      <c r="BN41" s="1002" t="str">
        <f t="shared" si="24"/>
        <v/>
      </c>
      <c r="BO41" s="751" t="s">
        <v>125</v>
      </c>
      <c r="BP41" s="751" t="s">
        <v>125</v>
      </c>
      <c r="BQ41" s="744" t="str">
        <f t="shared" si="25"/>
        <v/>
      </c>
      <c r="BR41" s="755"/>
      <c r="BS41" s="756"/>
      <c r="BT41" s="755"/>
      <c r="BU41" s="756"/>
      <c r="BV41" s="755"/>
      <c r="BW41" s="757"/>
      <c r="BX41" s="755"/>
      <c r="BY41" s="756"/>
      <c r="BZ41" s="752" t="s">
        <v>125</v>
      </c>
      <c r="CA41" s="733"/>
      <c r="CB41" s="734"/>
      <c r="CC41" s="734"/>
      <c r="CD41" s="321"/>
    </row>
    <row r="42" spans="2:82" s="680" customFormat="1" x14ac:dyDescent="0.25">
      <c r="B42" s="729" t="str">
        <f t="shared" si="0"/>
        <v>animal-based</v>
      </c>
      <c r="C42" s="730" t="s">
        <v>301</v>
      </c>
      <c r="D42" s="730" t="s">
        <v>302</v>
      </c>
      <c r="E42" s="731" t="s">
        <v>247</v>
      </c>
      <c r="F42" s="680" t="s">
        <v>248</v>
      </c>
      <c r="G42" s="680" t="s">
        <v>293</v>
      </c>
      <c r="H42" s="680" t="s">
        <v>250</v>
      </c>
      <c r="I42" s="732" t="s">
        <v>251</v>
      </c>
      <c r="J42" s="730" t="s">
        <v>252</v>
      </c>
      <c r="K42" s="680" t="s">
        <v>307</v>
      </c>
      <c r="L42" s="732"/>
      <c r="M42" s="729" t="str">
        <f t="shared" si="29"/>
        <v>kg</v>
      </c>
      <c r="N42" s="754">
        <f t="shared" ref="N42:N55" si="30">O42/P42</f>
        <v>0.76923076923076927</v>
      </c>
      <c r="O42" s="734">
        <v>5000</v>
      </c>
      <c r="P42" s="734">
        <v>6500</v>
      </c>
      <c r="Q42" s="321" t="s">
        <v>254</v>
      </c>
      <c r="R42" s="733"/>
      <c r="S42" s="734"/>
      <c r="T42" s="734"/>
      <c r="U42" s="321"/>
      <c r="V42" s="733">
        <f t="shared" si="3"/>
        <v>1</v>
      </c>
      <c r="W42" s="734">
        <f t="shared" si="4"/>
        <v>21565</v>
      </c>
      <c r="X42" s="734">
        <f t="shared" si="5"/>
        <v>21565</v>
      </c>
      <c r="Y42" s="744" t="str">
        <f t="shared" si="6"/>
        <v>kg/head</v>
      </c>
      <c r="Z42" s="998" t="s">
        <v>1571</v>
      </c>
      <c r="AA42" s="745">
        <v>21565</v>
      </c>
      <c r="AB42" s="746">
        <v>21565</v>
      </c>
      <c r="AC42" s="747" t="str">
        <f t="shared" si="7"/>
        <v>kg</v>
      </c>
      <c r="AD42" s="748" t="str">
        <f t="shared" si="8"/>
        <v>/</v>
      </c>
      <c r="AE42" s="749" t="str">
        <f t="shared" si="9"/>
        <v>head</v>
      </c>
      <c r="AF42" s="745">
        <v>475</v>
      </c>
      <c r="AG42" s="746">
        <v>475</v>
      </c>
      <c r="AH42" s="747" t="s">
        <v>304</v>
      </c>
      <c r="AI42" s="748" t="s">
        <v>256</v>
      </c>
      <c r="AJ42" s="750" t="s">
        <v>257</v>
      </c>
      <c r="AK42" s="733">
        <f t="shared" si="10"/>
        <v>0.76901924839596714</v>
      </c>
      <c r="AL42" s="734">
        <f t="shared" si="11"/>
        <v>233.05555555555557</v>
      </c>
      <c r="AM42" s="734">
        <f t="shared" si="12"/>
        <v>303.05555555555554</v>
      </c>
      <c r="AN42" s="744" t="str">
        <f t="shared" si="13"/>
        <v>kWh/head</v>
      </c>
      <c r="AO42" s="746" t="s">
        <v>1571</v>
      </c>
      <c r="AP42" s="745">
        <v>233.05555555555557</v>
      </c>
      <c r="AQ42" s="746">
        <v>303.05555555555554</v>
      </c>
      <c r="AR42" s="747" t="str">
        <f t="shared" si="14"/>
        <v>kWh</v>
      </c>
      <c r="AS42" s="748" t="str">
        <f t="shared" si="15"/>
        <v>/</v>
      </c>
      <c r="AT42" s="749" t="str">
        <f t="shared" si="16"/>
        <v>head</v>
      </c>
      <c r="AU42" s="745">
        <v>839</v>
      </c>
      <c r="AV42" s="746">
        <f>1091</f>
        <v>1091</v>
      </c>
      <c r="AW42" s="747" t="s">
        <v>304</v>
      </c>
      <c r="AX42" s="748" t="s">
        <v>256</v>
      </c>
      <c r="AY42" s="750" t="s">
        <v>257</v>
      </c>
      <c r="AZ42" s="733" t="str">
        <f t="shared" si="17"/>
        <v/>
      </c>
      <c r="BA42" s="734" t="str">
        <f t="shared" si="18"/>
        <v/>
      </c>
      <c r="BB42" s="734" t="str">
        <f t="shared" si="19"/>
        <v/>
      </c>
      <c r="BC42" s="744" t="str">
        <f t="shared" si="20"/>
        <v/>
      </c>
      <c r="BD42" s="745" t="s">
        <v>125</v>
      </c>
      <c r="BE42" s="746" t="s">
        <v>125</v>
      </c>
      <c r="BF42" s="747" t="str">
        <f t="shared" si="21"/>
        <v/>
      </c>
      <c r="BG42" s="748" t="str">
        <f t="shared" si="22"/>
        <v/>
      </c>
      <c r="BH42" s="749" t="str">
        <f t="shared" si="23"/>
        <v/>
      </c>
      <c r="BI42" s="745"/>
      <c r="BJ42" s="746"/>
      <c r="BK42" s="747" t="s">
        <v>125</v>
      </c>
      <c r="BL42" s="748" t="s">
        <v>125</v>
      </c>
      <c r="BM42" s="750" t="s">
        <v>125</v>
      </c>
      <c r="BN42" s="1002" t="str">
        <f t="shared" si="24"/>
        <v/>
      </c>
      <c r="BO42" s="751" t="s">
        <v>125</v>
      </c>
      <c r="BP42" s="751" t="s">
        <v>125</v>
      </c>
      <c r="BQ42" s="744" t="str">
        <f t="shared" si="25"/>
        <v/>
      </c>
      <c r="BR42" s="755"/>
      <c r="BS42" s="756"/>
      <c r="BT42" s="755"/>
      <c r="BU42" s="756"/>
      <c r="BV42" s="755"/>
      <c r="BW42" s="757"/>
      <c r="BX42" s="755"/>
      <c r="BY42" s="756"/>
      <c r="BZ42" s="752" t="s">
        <v>125</v>
      </c>
      <c r="CA42" s="733"/>
      <c r="CB42" s="734"/>
      <c r="CC42" s="734"/>
      <c r="CD42" s="321"/>
    </row>
    <row r="43" spans="2:82" s="680" customFormat="1" x14ac:dyDescent="0.25">
      <c r="B43" s="729" t="str">
        <f t="shared" si="0"/>
        <v>plant-based</v>
      </c>
      <c r="C43" s="730" t="s">
        <v>380</v>
      </c>
      <c r="D43" s="730" t="s">
        <v>381</v>
      </c>
      <c r="E43" s="731" t="s">
        <v>264</v>
      </c>
      <c r="F43" s="680" t="s">
        <v>382</v>
      </c>
      <c r="G43" s="680" t="s">
        <v>383</v>
      </c>
      <c r="H43" s="680" t="s">
        <v>283</v>
      </c>
      <c r="I43" s="732" t="s">
        <v>251</v>
      </c>
      <c r="J43" s="730" t="s">
        <v>384</v>
      </c>
      <c r="K43" s="680" t="s">
        <v>385</v>
      </c>
      <c r="L43" s="732" t="s">
        <v>386</v>
      </c>
      <c r="M43" s="729" t="str">
        <f t="shared" si="29"/>
        <v>ha</v>
      </c>
      <c r="N43" s="733">
        <f t="shared" si="30"/>
        <v>1.177215189873418</v>
      </c>
      <c r="O43" s="734">
        <f>(3.13+1.52)/2</f>
        <v>2.3250000000000002</v>
      </c>
      <c r="P43" s="734">
        <f>(2.8+1.15)/2</f>
        <v>1.9749999999999999</v>
      </c>
      <c r="Q43" s="321" t="s">
        <v>387</v>
      </c>
      <c r="R43" s="733"/>
      <c r="S43" s="734"/>
      <c r="T43" s="734"/>
      <c r="U43" s="321"/>
      <c r="V43" s="733">
        <f t="shared" si="3"/>
        <v>1.3352941176470587</v>
      </c>
      <c r="W43" s="734">
        <f t="shared" si="4"/>
        <v>68.099999999999994</v>
      </c>
      <c r="X43" s="734">
        <f t="shared" si="5"/>
        <v>51</v>
      </c>
      <c r="Y43" s="744" t="str">
        <f t="shared" si="6"/>
        <v>kg/ha</v>
      </c>
      <c r="Z43" s="998" t="s">
        <v>1571</v>
      </c>
      <c r="AA43" s="745">
        <v>68.099999999999994</v>
      </c>
      <c r="AB43" s="746">
        <v>51</v>
      </c>
      <c r="AC43" s="747" t="str">
        <f t="shared" si="7"/>
        <v>kg</v>
      </c>
      <c r="AD43" s="748" t="str">
        <f t="shared" si="8"/>
        <v>/</v>
      </c>
      <c r="AE43" s="749" t="str">
        <f t="shared" si="9"/>
        <v>ha</v>
      </c>
      <c r="AF43" s="745">
        <f>(87.6+48.6)/2</f>
        <v>68.099999999999994</v>
      </c>
      <c r="AG43" s="746">
        <f>(67.2+34.8)/2</f>
        <v>51</v>
      </c>
      <c r="AH43" s="747" t="s">
        <v>221</v>
      </c>
      <c r="AI43" s="748" t="s">
        <v>256</v>
      </c>
      <c r="AJ43" s="750" t="s">
        <v>188</v>
      </c>
      <c r="AK43" s="733">
        <f t="shared" si="10"/>
        <v>1.5591477064593595</v>
      </c>
      <c r="AL43" s="734">
        <f t="shared" si="11"/>
        <v>0.47883375</v>
      </c>
      <c r="AM43" s="734">
        <f t="shared" si="12"/>
        <v>0.30711249999999995</v>
      </c>
      <c r="AN43" s="744" t="str">
        <f t="shared" si="13"/>
        <v>kWh/ha</v>
      </c>
      <c r="AO43" s="746" t="s">
        <v>1571</v>
      </c>
      <c r="AP43" s="745">
        <v>0.20594999999999999</v>
      </c>
      <c r="AQ43" s="746">
        <v>0.1555</v>
      </c>
      <c r="AR43" s="747" t="str">
        <f t="shared" si="14"/>
        <v>kWh</v>
      </c>
      <c r="AS43" s="748" t="str">
        <f t="shared" si="15"/>
        <v>/</v>
      </c>
      <c r="AT43" s="749" t="str">
        <f t="shared" si="16"/>
        <v>kg</v>
      </c>
      <c r="AU43" s="745">
        <f>(266+145.9)/2</f>
        <v>205.95</v>
      </c>
      <c r="AV43" s="746">
        <f>(205.2+105.8)/2</f>
        <v>155.5</v>
      </c>
      <c r="AW43" s="747" t="s">
        <v>223</v>
      </c>
      <c r="AX43" s="748" t="s">
        <v>256</v>
      </c>
      <c r="AY43" s="750" t="s">
        <v>299</v>
      </c>
      <c r="AZ43" s="733" t="str">
        <f t="shared" si="17"/>
        <v/>
      </c>
      <c r="BA43" s="734" t="str">
        <f t="shared" si="18"/>
        <v/>
      </c>
      <c r="BB43" s="734" t="str">
        <f t="shared" si="19"/>
        <v/>
      </c>
      <c r="BC43" s="744" t="str">
        <f t="shared" si="20"/>
        <v/>
      </c>
      <c r="BD43" s="745" t="s">
        <v>125</v>
      </c>
      <c r="BE43" s="746" t="s">
        <v>125</v>
      </c>
      <c r="BF43" s="747" t="str">
        <f t="shared" si="21"/>
        <v/>
      </c>
      <c r="BG43" s="748" t="str">
        <f t="shared" si="22"/>
        <v/>
      </c>
      <c r="BH43" s="749" t="str">
        <f t="shared" si="23"/>
        <v/>
      </c>
      <c r="BI43" s="745"/>
      <c r="BJ43" s="746"/>
      <c r="BK43" s="747" t="s">
        <v>125</v>
      </c>
      <c r="BL43" s="748" t="s">
        <v>125</v>
      </c>
      <c r="BM43" s="750" t="s">
        <v>125</v>
      </c>
      <c r="BN43" s="1002">
        <f t="shared" si="24"/>
        <v>1.9643274853801165</v>
      </c>
      <c r="BO43" s="751">
        <v>16794.999999999996</v>
      </c>
      <c r="BP43" s="751">
        <v>8550</v>
      </c>
      <c r="BQ43" s="744" t="str">
        <f t="shared" si="25"/>
        <v>kg/ha</v>
      </c>
      <c r="BR43" s="755"/>
      <c r="BS43" s="756"/>
      <c r="BT43" s="755"/>
      <c r="BU43" s="756"/>
      <c r="BV43" s="755">
        <f>(5.88+3.98)/2</f>
        <v>4.93</v>
      </c>
      <c r="BW43" s="757">
        <v>0</v>
      </c>
      <c r="BX43" s="755">
        <f>(12.94+10.79)/2</f>
        <v>11.864999999999998</v>
      </c>
      <c r="BY43" s="756">
        <f>(11.37+5.73)/2</f>
        <v>8.5500000000000007</v>
      </c>
      <c r="BZ43" s="752" t="s">
        <v>387</v>
      </c>
      <c r="CA43" s="733">
        <f>CB43/CC43</f>
        <v>1.2522590361445782</v>
      </c>
      <c r="CB43" s="734">
        <v>4989</v>
      </c>
      <c r="CC43" s="734">
        <v>3984</v>
      </c>
      <c r="CD43" s="321" t="s">
        <v>387</v>
      </c>
    </row>
    <row r="44" spans="2:82" s="680" customFormat="1" x14ac:dyDescent="0.25">
      <c r="B44" s="729" t="str">
        <f t="shared" si="0"/>
        <v>plant-based</v>
      </c>
      <c r="C44" s="730" t="s">
        <v>388</v>
      </c>
      <c r="D44" s="730" t="s">
        <v>389</v>
      </c>
      <c r="E44" s="731" t="s">
        <v>264</v>
      </c>
      <c r="F44" s="680" t="s">
        <v>390</v>
      </c>
      <c r="G44" s="680" t="s">
        <v>391</v>
      </c>
      <c r="H44" s="680" t="s">
        <v>250</v>
      </c>
      <c r="I44" s="732" t="s">
        <v>278</v>
      </c>
      <c r="J44" s="730" t="s">
        <v>392</v>
      </c>
      <c r="L44" s="732"/>
      <c r="M44" s="729" t="str">
        <f t="shared" si="29"/>
        <v>ha</v>
      </c>
      <c r="N44" s="733">
        <f t="shared" si="30"/>
        <v>0.66141732283464572</v>
      </c>
      <c r="O44" s="734">
        <v>1680</v>
      </c>
      <c r="P44" s="734">
        <v>2540</v>
      </c>
      <c r="Q44" s="321" t="s">
        <v>317</v>
      </c>
      <c r="R44" s="733"/>
      <c r="S44" s="734"/>
      <c r="T44" s="734"/>
      <c r="U44" s="321"/>
      <c r="V44" s="733">
        <f t="shared" si="3"/>
        <v>0.80740740740740746</v>
      </c>
      <c r="W44" s="734">
        <f t="shared" si="4"/>
        <v>109</v>
      </c>
      <c r="X44" s="734">
        <f t="shared" si="5"/>
        <v>135</v>
      </c>
      <c r="Y44" s="744" t="str">
        <f t="shared" si="6"/>
        <v>kg/ha</v>
      </c>
      <c r="Z44" s="998" t="s">
        <v>1571</v>
      </c>
      <c r="AA44" s="745">
        <v>109</v>
      </c>
      <c r="AB44" s="746">
        <v>135</v>
      </c>
      <c r="AC44" s="747" t="str">
        <f t="shared" si="7"/>
        <v>kg</v>
      </c>
      <c r="AD44" s="748" t="str">
        <f t="shared" si="8"/>
        <v>/</v>
      </c>
      <c r="AE44" s="749" t="str">
        <f t="shared" si="9"/>
        <v>ha</v>
      </c>
      <c r="AF44" s="745">
        <f>109</f>
        <v>109</v>
      </c>
      <c r="AG44" s="746">
        <v>135</v>
      </c>
      <c r="AH44" s="747" t="s">
        <v>221</v>
      </c>
      <c r="AI44" s="748" t="s">
        <v>256</v>
      </c>
      <c r="AJ44" s="750" t="s">
        <v>188</v>
      </c>
      <c r="AK44" s="733" t="str">
        <f t="shared" si="10"/>
        <v/>
      </c>
      <c r="AL44" s="734" t="str">
        <f t="shared" si="11"/>
        <v/>
      </c>
      <c r="AM44" s="734" t="str">
        <f t="shared" si="12"/>
        <v/>
      </c>
      <c r="AN44" s="744" t="str">
        <f t="shared" si="13"/>
        <v/>
      </c>
      <c r="AO44" s="746"/>
      <c r="AP44" s="745" t="s">
        <v>125</v>
      </c>
      <c r="AQ44" s="746" t="s">
        <v>125</v>
      </c>
      <c r="AR44" s="747" t="str">
        <f t="shared" si="14"/>
        <v/>
      </c>
      <c r="AS44" s="748" t="str">
        <f t="shared" si="15"/>
        <v/>
      </c>
      <c r="AT44" s="749" t="str">
        <f t="shared" si="16"/>
        <v/>
      </c>
      <c r="AU44" s="745"/>
      <c r="AV44" s="746"/>
      <c r="AW44" s="747" t="s">
        <v>125</v>
      </c>
      <c r="AX44" s="748" t="s">
        <v>125</v>
      </c>
      <c r="AY44" s="750" t="s">
        <v>125</v>
      </c>
      <c r="AZ44" s="733" t="str">
        <f t="shared" si="17"/>
        <v/>
      </c>
      <c r="BA44" s="734" t="str">
        <f t="shared" si="18"/>
        <v/>
      </c>
      <c r="BB44" s="734" t="str">
        <f t="shared" si="19"/>
        <v/>
      </c>
      <c r="BC44" s="744" t="str">
        <f t="shared" si="20"/>
        <v/>
      </c>
      <c r="BD44" s="745" t="s">
        <v>125</v>
      </c>
      <c r="BE44" s="746" t="s">
        <v>125</v>
      </c>
      <c r="BF44" s="747" t="str">
        <f t="shared" si="21"/>
        <v/>
      </c>
      <c r="BG44" s="748" t="str">
        <f t="shared" si="22"/>
        <v/>
      </c>
      <c r="BH44" s="749" t="str">
        <f t="shared" si="23"/>
        <v/>
      </c>
      <c r="BI44" s="745"/>
      <c r="BJ44" s="746"/>
      <c r="BK44" s="747" t="s">
        <v>125</v>
      </c>
      <c r="BL44" s="748" t="s">
        <v>125</v>
      </c>
      <c r="BM44" s="750" t="s">
        <v>125</v>
      </c>
      <c r="BN44" s="1002" t="str">
        <f t="shared" si="24"/>
        <v/>
      </c>
      <c r="BO44" s="751" t="s">
        <v>125</v>
      </c>
      <c r="BP44" s="751" t="s">
        <v>125</v>
      </c>
      <c r="BQ44" s="744" t="str">
        <f t="shared" si="25"/>
        <v/>
      </c>
      <c r="BR44" s="755"/>
      <c r="BS44" s="756"/>
      <c r="BT44" s="755"/>
      <c r="BU44" s="756"/>
      <c r="BV44" s="755"/>
      <c r="BW44" s="757"/>
      <c r="BX44" s="755"/>
      <c r="BY44" s="756"/>
      <c r="BZ44" s="752" t="s">
        <v>125</v>
      </c>
      <c r="CA44" s="733"/>
      <c r="CB44" s="734"/>
      <c r="CC44" s="734"/>
      <c r="CD44" s="321"/>
    </row>
    <row r="45" spans="2:82" s="680" customFormat="1" x14ac:dyDescent="0.25">
      <c r="B45" s="729" t="str">
        <f t="shared" si="0"/>
        <v>plant-based</v>
      </c>
      <c r="C45" s="730" t="s">
        <v>388</v>
      </c>
      <c r="D45" s="730" t="s">
        <v>389</v>
      </c>
      <c r="E45" s="731" t="s">
        <v>264</v>
      </c>
      <c r="F45" s="680" t="s">
        <v>393</v>
      </c>
      <c r="G45" s="680" t="s">
        <v>391</v>
      </c>
      <c r="H45" s="680" t="s">
        <v>250</v>
      </c>
      <c r="I45" s="732" t="s">
        <v>278</v>
      </c>
      <c r="J45" s="730" t="s">
        <v>384</v>
      </c>
      <c r="L45" s="732"/>
      <c r="M45" s="729" t="str">
        <f t="shared" si="29"/>
        <v>ha</v>
      </c>
      <c r="N45" s="733">
        <f t="shared" si="30"/>
        <v>0.56783919597989951</v>
      </c>
      <c r="O45" s="734">
        <v>1130</v>
      </c>
      <c r="P45" s="734">
        <v>1990</v>
      </c>
      <c r="Q45" s="321" t="s">
        <v>317</v>
      </c>
      <c r="R45" s="733"/>
      <c r="S45" s="734"/>
      <c r="T45" s="734"/>
      <c r="U45" s="321"/>
      <c r="V45" s="733">
        <f t="shared" si="3"/>
        <v>0.86111111111111116</v>
      </c>
      <c r="W45" s="734">
        <f t="shared" si="4"/>
        <v>93</v>
      </c>
      <c r="X45" s="734">
        <f t="shared" si="5"/>
        <v>108</v>
      </c>
      <c r="Y45" s="744" t="str">
        <f t="shared" si="6"/>
        <v>kg/ha</v>
      </c>
      <c r="Z45" s="998" t="s">
        <v>1571</v>
      </c>
      <c r="AA45" s="745">
        <v>93</v>
      </c>
      <c r="AB45" s="746">
        <v>108</v>
      </c>
      <c r="AC45" s="747" t="str">
        <f t="shared" si="7"/>
        <v>kg</v>
      </c>
      <c r="AD45" s="748" t="str">
        <f t="shared" si="8"/>
        <v>/</v>
      </c>
      <c r="AE45" s="749" t="str">
        <f t="shared" si="9"/>
        <v>ha</v>
      </c>
      <c r="AF45" s="745">
        <v>93</v>
      </c>
      <c r="AG45" s="746">
        <v>108</v>
      </c>
      <c r="AH45" s="747" t="s">
        <v>221</v>
      </c>
      <c r="AI45" s="748" t="s">
        <v>256</v>
      </c>
      <c r="AJ45" s="750" t="s">
        <v>188</v>
      </c>
      <c r="AK45" s="733" t="str">
        <f t="shared" si="10"/>
        <v/>
      </c>
      <c r="AL45" s="734" t="str">
        <f t="shared" si="11"/>
        <v/>
      </c>
      <c r="AM45" s="734" t="str">
        <f t="shared" si="12"/>
        <v/>
      </c>
      <c r="AN45" s="744" t="str">
        <f t="shared" si="13"/>
        <v/>
      </c>
      <c r="AO45" s="746"/>
      <c r="AP45" s="745" t="s">
        <v>125</v>
      </c>
      <c r="AQ45" s="746" t="s">
        <v>125</v>
      </c>
      <c r="AR45" s="747" t="str">
        <f t="shared" si="14"/>
        <v/>
      </c>
      <c r="AS45" s="748" t="str">
        <f t="shared" si="15"/>
        <v/>
      </c>
      <c r="AT45" s="749" t="str">
        <f t="shared" si="16"/>
        <v/>
      </c>
      <c r="AU45" s="745"/>
      <c r="AV45" s="746"/>
      <c r="AW45" s="747" t="s">
        <v>125</v>
      </c>
      <c r="AX45" s="748" t="s">
        <v>125</v>
      </c>
      <c r="AY45" s="750" t="s">
        <v>125</v>
      </c>
      <c r="AZ45" s="733" t="str">
        <f t="shared" si="17"/>
        <v/>
      </c>
      <c r="BA45" s="734" t="str">
        <f t="shared" si="18"/>
        <v/>
      </c>
      <c r="BB45" s="734" t="str">
        <f t="shared" si="19"/>
        <v/>
      </c>
      <c r="BC45" s="744" t="str">
        <f t="shared" si="20"/>
        <v/>
      </c>
      <c r="BD45" s="745" t="s">
        <v>125</v>
      </c>
      <c r="BE45" s="746" t="s">
        <v>125</v>
      </c>
      <c r="BF45" s="747" t="str">
        <f t="shared" si="21"/>
        <v/>
      </c>
      <c r="BG45" s="748" t="str">
        <f t="shared" si="22"/>
        <v/>
      </c>
      <c r="BH45" s="749" t="str">
        <f t="shared" si="23"/>
        <v/>
      </c>
      <c r="BI45" s="745"/>
      <c r="BJ45" s="746"/>
      <c r="BK45" s="747" t="s">
        <v>125</v>
      </c>
      <c r="BL45" s="748" t="s">
        <v>125</v>
      </c>
      <c r="BM45" s="750" t="s">
        <v>125</v>
      </c>
      <c r="BN45" s="1002" t="str">
        <f t="shared" si="24"/>
        <v/>
      </c>
      <c r="BO45" s="751">
        <v>720</v>
      </c>
      <c r="BP45" s="751">
        <v>0</v>
      </c>
      <c r="BQ45" s="744" t="str">
        <f t="shared" si="25"/>
        <v>kg/ha</v>
      </c>
      <c r="BR45" s="755">
        <v>0.72</v>
      </c>
      <c r="BS45" s="756">
        <v>0</v>
      </c>
      <c r="BT45" s="755"/>
      <c r="BU45" s="756"/>
      <c r="BV45" s="755"/>
      <c r="BW45" s="757"/>
      <c r="BX45" s="755"/>
      <c r="BY45" s="756"/>
      <c r="BZ45" s="752" t="s">
        <v>387</v>
      </c>
      <c r="CA45" s="733"/>
      <c r="CB45" s="734"/>
      <c r="CC45" s="734"/>
      <c r="CD45" s="321"/>
    </row>
    <row r="46" spans="2:82" s="680" customFormat="1" x14ac:dyDescent="0.25">
      <c r="B46" s="729" t="str">
        <f t="shared" si="0"/>
        <v>plant-based</v>
      </c>
      <c r="C46" s="730" t="s">
        <v>394</v>
      </c>
      <c r="D46" s="730" t="s">
        <v>395</v>
      </c>
      <c r="E46" s="731" t="s">
        <v>264</v>
      </c>
      <c r="F46" s="680" t="s">
        <v>396</v>
      </c>
      <c r="G46" s="680" t="s">
        <v>249</v>
      </c>
      <c r="H46" s="731" t="s">
        <v>248</v>
      </c>
      <c r="I46" s="760" t="s">
        <v>248</v>
      </c>
      <c r="J46" s="730" t="s">
        <v>392</v>
      </c>
      <c r="K46" s="680" t="s">
        <v>397</v>
      </c>
      <c r="L46" s="732"/>
      <c r="M46" s="729" t="str">
        <f t="shared" si="29"/>
        <v>ha</v>
      </c>
      <c r="N46" s="733">
        <f t="shared" si="30"/>
        <v>0.59512195121951217</v>
      </c>
      <c r="O46" s="734">
        <f>3.66*1000</f>
        <v>3660</v>
      </c>
      <c r="P46" s="734">
        <f>6.15*1000</f>
        <v>6150</v>
      </c>
      <c r="Q46" s="321" t="s">
        <v>317</v>
      </c>
      <c r="R46" s="733"/>
      <c r="S46" s="734"/>
      <c r="T46" s="734"/>
      <c r="U46" s="321"/>
      <c r="V46" s="733" t="str">
        <f t="shared" si="3"/>
        <v/>
      </c>
      <c r="W46" s="734" t="str">
        <f t="shared" si="4"/>
        <v/>
      </c>
      <c r="X46" s="734" t="str">
        <f t="shared" si="5"/>
        <v/>
      </c>
      <c r="Y46" s="744" t="str">
        <f t="shared" si="6"/>
        <v/>
      </c>
      <c r="Z46" s="746"/>
      <c r="AA46" s="745" t="s">
        <v>125</v>
      </c>
      <c r="AB46" s="746" t="s">
        <v>125</v>
      </c>
      <c r="AC46" s="747" t="str">
        <f t="shared" si="7"/>
        <v/>
      </c>
      <c r="AD46" s="748" t="str">
        <f t="shared" si="8"/>
        <v/>
      </c>
      <c r="AE46" s="749" t="str">
        <f t="shared" si="9"/>
        <v/>
      </c>
      <c r="AF46" s="745"/>
      <c r="AG46" s="746"/>
      <c r="AH46" s="747" t="s">
        <v>125</v>
      </c>
      <c r="AI46" s="748" t="s">
        <v>125</v>
      </c>
      <c r="AJ46" s="750" t="s">
        <v>125</v>
      </c>
      <c r="AK46" s="733" t="str">
        <f t="shared" si="10"/>
        <v/>
      </c>
      <c r="AL46" s="734" t="str">
        <f t="shared" si="11"/>
        <v/>
      </c>
      <c r="AM46" s="734" t="str">
        <f t="shared" si="12"/>
        <v/>
      </c>
      <c r="AN46" s="744" t="str">
        <f t="shared" si="13"/>
        <v/>
      </c>
      <c r="AO46" s="746"/>
      <c r="AP46" s="745" t="s">
        <v>125</v>
      </c>
      <c r="AQ46" s="746" t="s">
        <v>125</v>
      </c>
      <c r="AR46" s="747" t="str">
        <f t="shared" si="14"/>
        <v/>
      </c>
      <c r="AS46" s="748" t="str">
        <f t="shared" si="15"/>
        <v/>
      </c>
      <c r="AT46" s="749" t="str">
        <f t="shared" si="16"/>
        <v/>
      </c>
      <c r="AU46" s="745"/>
      <c r="AV46" s="746"/>
      <c r="AW46" s="747" t="s">
        <v>125</v>
      </c>
      <c r="AX46" s="748" t="s">
        <v>125</v>
      </c>
      <c r="AY46" s="750" t="s">
        <v>125</v>
      </c>
      <c r="AZ46" s="733" t="str">
        <f t="shared" si="17"/>
        <v/>
      </c>
      <c r="BA46" s="734" t="str">
        <f t="shared" si="18"/>
        <v/>
      </c>
      <c r="BB46" s="734" t="str">
        <f t="shared" si="19"/>
        <v/>
      </c>
      <c r="BC46" s="744" t="str">
        <f t="shared" si="20"/>
        <v/>
      </c>
      <c r="BD46" s="745" t="s">
        <v>125</v>
      </c>
      <c r="BE46" s="746" t="s">
        <v>125</v>
      </c>
      <c r="BF46" s="747" t="str">
        <f t="shared" si="21"/>
        <v/>
      </c>
      <c r="BG46" s="748" t="str">
        <f t="shared" si="22"/>
        <v/>
      </c>
      <c r="BH46" s="749" t="str">
        <f t="shared" si="23"/>
        <v/>
      </c>
      <c r="BI46" s="745"/>
      <c r="BJ46" s="746"/>
      <c r="BK46" s="747" t="s">
        <v>125</v>
      </c>
      <c r="BL46" s="748" t="s">
        <v>125</v>
      </c>
      <c r="BM46" s="750" t="s">
        <v>125</v>
      </c>
      <c r="BN46" s="1002" t="str">
        <f t="shared" si="24"/>
        <v/>
      </c>
      <c r="BO46" s="751" t="s">
        <v>125</v>
      </c>
      <c r="BP46" s="751" t="s">
        <v>125</v>
      </c>
      <c r="BQ46" s="744" t="str">
        <f t="shared" si="25"/>
        <v/>
      </c>
      <c r="BR46" s="755"/>
      <c r="BS46" s="756"/>
      <c r="BT46" s="755"/>
      <c r="BU46" s="756"/>
      <c r="BV46" s="755"/>
      <c r="BW46" s="757"/>
      <c r="BX46" s="755"/>
      <c r="BY46" s="756"/>
      <c r="BZ46" s="752" t="s">
        <v>125</v>
      </c>
      <c r="CA46" s="733"/>
      <c r="CB46" s="734"/>
      <c r="CC46" s="734"/>
      <c r="CD46" s="321"/>
    </row>
    <row r="47" spans="2:82" s="680" customFormat="1" x14ac:dyDescent="0.25">
      <c r="B47" s="729" t="str">
        <f t="shared" si="0"/>
        <v>plant-based</v>
      </c>
      <c r="C47" s="730" t="s">
        <v>262</v>
      </c>
      <c r="D47" s="730" t="s">
        <v>263</v>
      </c>
      <c r="E47" s="731" t="s">
        <v>264</v>
      </c>
      <c r="F47" s="680" t="s">
        <v>398</v>
      </c>
      <c r="G47" s="680" t="s">
        <v>266</v>
      </c>
      <c r="H47" s="680" t="s">
        <v>250</v>
      </c>
      <c r="I47" s="732" t="s">
        <v>278</v>
      </c>
      <c r="J47" s="730" t="s">
        <v>392</v>
      </c>
      <c r="K47" s="680" t="s">
        <v>399</v>
      </c>
      <c r="L47" s="732" t="s">
        <v>400</v>
      </c>
      <c r="M47" s="729" t="str">
        <f t="shared" si="29"/>
        <v>ha</v>
      </c>
      <c r="N47" s="733">
        <f t="shared" si="30"/>
        <v>0.59992193598750976</v>
      </c>
      <c r="O47" s="734">
        <v>3074</v>
      </c>
      <c r="P47" s="734">
        <v>5124</v>
      </c>
      <c r="Q47" s="321" t="s">
        <v>317</v>
      </c>
      <c r="R47" s="733"/>
      <c r="S47" s="734"/>
      <c r="T47" s="734"/>
      <c r="U47" s="321"/>
      <c r="V47" s="733">
        <f t="shared" si="3"/>
        <v>1.0458715596330275</v>
      </c>
      <c r="W47" s="734">
        <f t="shared" si="4"/>
        <v>114</v>
      </c>
      <c r="X47" s="734">
        <f t="shared" si="5"/>
        <v>109</v>
      </c>
      <c r="Y47" s="744" t="str">
        <f t="shared" si="6"/>
        <v>kg/ha</v>
      </c>
      <c r="Z47" s="998" t="s">
        <v>1571</v>
      </c>
      <c r="AA47" s="745">
        <v>114</v>
      </c>
      <c r="AB47" s="746">
        <v>109</v>
      </c>
      <c r="AC47" s="747" t="str">
        <f t="shared" si="7"/>
        <v>kg</v>
      </c>
      <c r="AD47" s="748" t="str">
        <f t="shared" si="8"/>
        <v>/</v>
      </c>
      <c r="AE47" s="749" t="str">
        <f t="shared" si="9"/>
        <v>ha</v>
      </c>
      <c r="AF47" s="745">
        <v>114</v>
      </c>
      <c r="AG47" s="746">
        <v>109</v>
      </c>
      <c r="AH47" s="747" t="s">
        <v>221</v>
      </c>
      <c r="AI47" s="748" t="s">
        <v>256</v>
      </c>
      <c r="AJ47" s="750" t="s">
        <v>188</v>
      </c>
      <c r="AK47" s="733" t="str">
        <f t="shared" si="10"/>
        <v/>
      </c>
      <c r="AL47" s="734" t="str">
        <f t="shared" si="11"/>
        <v/>
      </c>
      <c r="AM47" s="734" t="str">
        <f t="shared" si="12"/>
        <v/>
      </c>
      <c r="AN47" s="744" t="str">
        <f t="shared" si="13"/>
        <v/>
      </c>
      <c r="AO47" s="746"/>
      <c r="AP47" s="745" t="s">
        <v>125</v>
      </c>
      <c r="AQ47" s="746" t="s">
        <v>125</v>
      </c>
      <c r="AR47" s="747" t="str">
        <f t="shared" si="14"/>
        <v/>
      </c>
      <c r="AS47" s="748" t="str">
        <f t="shared" si="15"/>
        <v/>
      </c>
      <c r="AT47" s="749" t="str">
        <f t="shared" si="16"/>
        <v/>
      </c>
      <c r="AU47" s="745"/>
      <c r="AV47" s="746"/>
      <c r="AW47" s="747" t="s">
        <v>125</v>
      </c>
      <c r="AX47" s="748" t="s">
        <v>125</v>
      </c>
      <c r="AY47" s="750" t="s">
        <v>125</v>
      </c>
      <c r="AZ47" s="733" t="str">
        <f t="shared" si="17"/>
        <v/>
      </c>
      <c r="BA47" s="734" t="str">
        <f t="shared" si="18"/>
        <v/>
      </c>
      <c r="BB47" s="734" t="str">
        <f t="shared" si="19"/>
        <v/>
      </c>
      <c r="BC47" s="744" t="str">
        <f t="shared" si="20"/>
        <v/>
      </c>
      <c r="BD47" s="745" t="s">
        <v>125</v>
      </c>
      <c r="BE47" s="746" t="s">
        <v>125</v>
      </c>
      <c r="BF47" s="747" t="str">
        <f t="shared" si="21"/>
        <v/>
      </c>
      <c r="BG47" s="748" t="str">
        <f t="shared" si="22"/>
        <v/>
      </c>
      <c r="BH47" s="749" t="str">
        <f t="shared" si="23"/>
        <v/>
      </c>
      <c r="BI47" s="745"/>
      <c r="BJ47" s="746"/>
      <c r="BK47" s="747" t="s">
        <v>125</v>
      </c>
      <c r="BL47" s="748" t="s">
        <v>125</v>
      </c>
      <c r="BM47" s="750" t="s">
        <v>125</v>
      </c>
      <c r="BN47" s="1002" t="str">
        <f t="shared" si="24"/>
        <v/>
      </c>
      <c r="BO47" s="751" t="s">
        <v>125</v>
      </c>
      <c r="BP47" s="751" t="s">
        <v>125</v>
      </c>
      <c r="BQ47" s="744" t="str">
        <f t="shared" si="25"/>
        <v/>
      </c>
      <c r="BR47" s="755"/>
      <c r="BS47" s="756"/>
      <c r="BT47" s="755"/>
      <c r="BU47" s="756"/>
      <c r="BV47" s="755"/>
      <c r="BW47" s="757"/>
      <c r="BX47" s="755"/>
      <c r="BY47" s="756"/>
      <c r="BZ47" s="752" t="s">
        <v>125</v>
      </c>
      <c r="CA47" s="733"/>
      <c r="CB47" s="734"/>
      <c r="CC47" s="734"/>
      <c r="CD47" s="321"/>
    </row>
    <row r="48" spans="2:82" s="680" customFormat="1" x14ac:dyDescent="0.25">
      <c r="B48" s="729" t="str">
        <f t="shared" si="0"/>
        <v>plant-based</v>
      </c>
      <c r="C48" s="730" t="s">
        <v>262</v>
      </c>
      <c r="D48" s="730" t="s">
        <v>263</v>
      </c>
      <c r="E48" s="731" t="s">
        <v>264</v>
      </c>
      <c r="F48" s="680" t="s">
        <v>401</v>
      </c>
      <c r="G48" s="680" t="s">
        <v>266</v>
      </c>
      <c r="H48" s="680" t="s">
        <v>250</v>
      </c>
      <c r="I48" s="732" t="s">
        <v>278</v>
      </c>
      <c r="J48" s="730" t="s">
        <v>392</v>
      </c>
      <c r="K48" s="680" t="s">
        <v>402</v>
      </c>
      <c r="L48" s="732" t="s">
        <v>400</v>
      </c>
      <c r="M48" s="729" t="str">
        <f t="shared" si="29"/>
        <v>ha</v>
      </c>
      <c r="N48" s="733">
        <f t="shared" si="30"/>
        <v>0.91598074235129678</v>
      </c>
      <c r="O48" s="734">
        <v>5898</v>
      </c>
      <c r="P48" s="734">
        <v>6439</v>
      </c>
      <c r="Q48" s="321" t="s">
        <v>317</v>
      </c>
      <c r="R48" s="733"/>
      <c r="S48" s="734"/>
      <c r="T48" s="734"/>
      <c r="U48" s="321"/>
      <c r="V48" s="733">
        <f t="shared" si="3"/>
        <v>1.0990990990990992</v>
      </c>
      <c r="W48" s="734">
        <f t="shared" si="4"/>
        <v>122</v>
      </c>
      <c r="X48" s="734">
        <f t="shared" si="5"/>
        <v>111</v>
      </c>
      <c r="Y48" s="744" t="str">
        <f t="shared" si="6"/>
        <v>kg/ha</v>
      </c>
      <c r="Z48" s="998" t="s">
        <v>1571</v>
      </c>
      <c r="AA48" s="745">
        <v>122</v>
      </c>
      <c r="AB48" s="746">
        <v>111</v>
      </c>
      <c r="AC48" s="747" t="str">
        <f t="shared" si="7"/>
        <v>kg</v>
      </c>
      <c r="AD48" s="748" t="str">
        <f t="shared" si="8"/>
        <v>/</v>
      </c>
      <c r="AE48" s="749" t="str">
        <f t="shared" si="9"/>
        <v>ha</v>
      </c>
      <c r="AF48" s="745">
        <v>122</v>
      </c>
      <c r="AG48" s="746">
        <v>111</v>
      </c>
      <c r="AH48" s="747" t="s">
        <v>221</v>
      </c>
      <c r="AI48" s="748" t="s">
        <v>256</v>
      </c>
      <c r="AJ48" s="750" t="s">
        <v>188</v>
      </c>
      <c r="AK48" s="733" t="str">
        <f t="shared" si="10"/>
        <v/>
      </c>
      <c r="AL48" s="734" t="str">
        <f t="shared" si="11"/>
        <v/>
      </c>
      <c r="AM48" s="734" t="str">
        <f t="shared" si="12"/>
        <v/>
      </c>
      <c r="AN48" s="744" t="str">
        <f t="shared" si="13"/>
        <v/>
      </c>
      <c r="AO48" s="746"/>
      <c r="AP48" s="745" t="s">
        <v>125</v>
      </c>
      <c r="AQ48" s="746" t="s">
        <v>125</v>
      </c>
      <c r="AR48" s="747" t="str">
        <f t="shared" si="14"/>
        <v/>
      </c>
      <c r="AS48" s="748" t="str">
        <f t="shared" si="15"/>
        <v/>
      </c>
      <c r="AT48" s="749" t="str">
        <f t="shared" si="16"/>
        <v/>
      </c>
      <c r="AU48" s="745"/>
      <c r="AV48" s="746"/>
      <c r="AW48" s="747" t="s">
        <v>125</v>
      </c>
      <c r="AX48" s="748" t="s">
        <v>125</v>
      </c>
      <c r="AY48" s="750" t="s">
        <v>125</v>
      </c>
      <c r="AZ48" s="733" t="str">
        <f t="shared" si="17"/>
        <v/>
      </c>
      <c r="BA48" s="734" t="str">
        <f t="shared" si="18"/>
        <v/>
      </c>
      <c r="BB48" s="734" t="str">
        <f t="shared" si="19"/>
        <v/>
      </c>
      <c r="BC48" s="744" t="str">
        <f t="shared" si="20"/>
        <v/>
      </c>
      <c r="BD48" s="745" t="s">
        <v>125</v>
      </c>
      <c r="BE48" s="746" t="s">
        <v>125</v>
      </c>
      <c r="BF48" s="747" t="str">
        <f t="shared" si="21"/>
        <v/>
      </c>
      <c r="BG48" s="748" t="str">
        <f t="shared" si="22"/>
        <v/>
      </c>
      <c r="BH48" s="749" t="str">
        <f t="shared" si="23"/>
        <v/>
      </c>
      <c r="BI48" s="745"/>
      <c r="BJ48" s="746"/>
      <c r="BK48" s="747" t="s">
        <v>125</v>
      </c>
      <c r="BL48" s="748" t="s">
        <v>125</v>
      </c>
      <c r="BM48" s="750" t="s">
        <v>125</v>
      </c>
      <c r="BN48" s="1002" t="str">
        <f t="shared" si="24"/>
        <v/>
      </c>
      <c r="BO48" s="751" t="s">
        <v>125</v>
      </c>
      <c r="BP48" s="751" t="s">
        <v>125</v>
      </c>
      <c r="BQ48" s="744" t="str">
        <f t="shared" si="25"/>
        <v/>
      </c>
      <c r="BR48" s="755"/>
      <c r="BS48" s="756"/>
      <c r="BT48" s="755"/>
      <c r="BU48" s="756"/>
      <c r="BV48" s="755"/>
      <c r="BW48" s="757"/>
      <c r="BX48" s="755"/>
      <c r="BY48" s="756"/>
      <c r="BZ48" s="752" t="s">
        <v>125</v>
      </c>
      <c r="CA48" s="733"/>
      <c r="CB48" s="734"/>
      <c r="CC48" s="734"/>
      <c r="CD48" s="321"/>
    </row>
    <row r="49" spans="2:82" s="680" customFormat="1" x14ac:dyDescent="0.25">
      <c r="B49" s="729" t="str">
        <f t="shared" si="0"/>
        <v>plant-based</v>
      </c>
      <c r="C49" s="730" t="s">
        <v>262</v>
      </c>
      <c r="D49" s="730" t="s">
        <v>263</v>
      </c>
      <c r="E49" s="731" t="s">
        <v>264</v>
      </c>
      <c r="F49" s="680" t="s">
        <v>403</v>
      </c>
      <c r="G49" s="680" t="s">
        <v>266</v>
      </c>
      <c r="H49" s="680" t="s">
        <v>250</v>
      </c>
      <c r="I49" s="732" t="s">
        <v>278</v>
      </c>
      <c r="J49" s="730" t="s">
        <v>384</v>
      </c>
      <c r="K49" s="680" t="s">
        <v>404</v>
      </c>
      <c r="L49" s="732" t="s">
        <v>400</v>
      </c>
      <c r="M49" s="729" t="str">
        <f t="shared" si="29"/>
        <v>ha</v>
      </c>
      <c r="N49" s="733">
        <f t="shared" si="30"/>
        <v>0.62758452931160302</v>
      </c>
      <c r="O49" s="734">
        <v>2580</v>
      </c>
      <c r="P49" s="734">
        <v>4111</v>
      </c>
      <c r="Q49" s="321" t="s">
        <v>317</v>
      </c>
      <c r="R49" s="733"/>
      <c r="S49" s="734"/>
      <c r="T49" s="734"/>
      <c r="U49" s="321"/>
      <c r="V49" s="733">
        <f t="shared" si="3"/>
        <v>1.2873563218390804</v>
      </c>
      <c r="W49" s="734">
        <f t="shared" si="4"/>
        <v>112</v>
      </c>
      <c r="X49" s="734">
        <f t="shared" si="5"/>
        <v>87</v>
      </c>
      <c r="Y49" s="744" t="str">
        <f t="shared" si="6"/>
        <v>kg/ha</v>
      </c>
      <c r="Z49" s="998" t="s">
        <v>1571</v>
      </c>
      <c r="AA49" s="745">
        <v>112</v>
      </c>
      <c r="AB49" s="746">
        <v>87</v>
      </c>
      <c r="AC49" s="747" t="str">
        <f t="shared" si="7"/>
        <v>kg</v>
      </c>
      <c r="AD49" s="748" t="str">
        <f t="shared" si="8"/>
        <v>/</v>
      </c>
      <c r="AE49" s="749" t="str">
        <f t="shared" si="9"/>
        <v>ha</v>
      </c>
      <c r="AF49" s="745">
        <v>112</v>
      </c>
      <c r="AG49" s="746">
        <v>87</v>
      </c>
      <c r="AH49" s="747" t="s">
        <v>221</v>
      </c>
      <c r="AI49" s="748" t="s">
        <v>256</v>
      </c>
      <c r="AJ49" s="750" t="s">
        <v>188</v>
      </c>
      <c r="AK49" s="733" t="str">
        <f t="shared" si="10"/>
        <v/>
      </c>
      <c r="AL49" s="734" t="str">
        <f t="shared" si="11"/>
        <v/>
      </c>
      <c r="AM49" s="734" t="str">
        <f t="shared" si="12"/>
        <v/>
      </c>
      <c r="AN49" s="744" t="str">
        <f t="shared" si="13"/>
        <v/>
      </c>
      <c r="AO49" s="746"/>
      <c r="AP49" s="745" t="s">
        <v>125</v>
      </c>
      <c r="AQ49" s="746" t="s">
        <v>125</v>
      </c>
      <c r="AR49" s="747" t="str">
        <f t="shared" si="14"/>
        <v/>
      </c>
      <c r="AS49" s="748" t="str">
        <f t="shared" si="15"/>
        <v/>
      </c>
      <c r="AT49" s="749" t="str">
        <f t="shared" si="16"/>
        <v/>
      </c>
      <c r="AU49" s="745"/>
      <c r="AV49" s="746"/>
      <c r="AW49" s="747" t="s">
        <v>125</v>
      </c>
      <c r="AX49" s="748" t="s">
        <v>125</v>
      </c>
      <c r="AY49" s="750" t="s">
        <v>125</v>
      </c>
      <c r="AZ49" s="733" t="str">
        <f t="shared" si="17"/>
        <v/>
      </c>
      <c r="BA49" s="734" t="str">
        <f t="shared" si="18"/>
        <v/>
      </c>
      <c r="BB49" s="734" t="str">
        <f t="shared" si="19"/>
        <v/>
      </c>
      <c r="BC49" s="744" t="str">
        <f t="shared" si="20"/>
        <v/>
      </c>
      <c r="BD49" s="745" t="s">
        <v>125</v>
      </c>
      <c r="BE49" s="746" t="s">
        <v>125</v>
      </c>
      <c r="BF49" s="747" t="str">
        <f t="shared" si="21"/>
        <v/>
      </c>
      <c r="BG49" s="748" t="str">
        <f t="shared" si="22"/>
        <v/>
      </c>
      <c r="BH49" s="749" t="str">
        <f t="shared" si="23"/>
        <v/>
      </c>
      <c r="BI49" s="745"/>
      <c r="BJ49" s="746"/>
      <c r="BK49" s="747" t="s">
        <v>125</v>
      </c>
      <c r="BL49" s="748" t="s">
        <v>125</v>
      </c>
      <c r="BM49" s="750" t="s">
        <v>125</v>
      </c>
      <c r="BN49" s="1002" t="str">
        <f t="shared" si="24"/>
        <v/>
      </c>
      <c r="BO49" s="751" t="s">
        <v>125</v>
      </c>
      <c r="BP49" s="751" t="s">
        <v>125</v>
      </c>
      <c r="BQ49" s="744" t="str">
        <f t="shared" si="25"/>
        <v/>
      </c>
      <c r="BR49" s="755"/>
      <c r="BS49" s="756"/>
      <c r="BT49" s="755"/>
      <c r="BU49" s="756"/>
      <c r="BV49" s="755"/>
      <c r="BW49" s="757"/>
      <c r="BX49" s="755"/>
      <c r="BY49" s="756"/>
      <c r="BZ49" s="752" t="s">
        <v>125</v>
      </c>
      <c r="CA49" s="733"/>
      <c r="CB49" s="734"/>
      <c r="CC49" s="734"/>
      <c r="CD49" s="321"/>
    </row>
    <row r="50" spans="2:82" s="680" customFormat="1" x14ac:dyDescent="0.25">
      <c r="B50" s="729" t="str">
        <f t="shared" si="0"/>
        <v>plant-based</v>
      </c>
      <c r="C50" s="730" t="s">
        <v>262</v>
      </c>
      <c r="D50" s="730" t="s">
        <v>263</v>
      </c>
      <c r="E50" s="731" t="s">
        <v>264</v>
      </c>
      <c r="F50" s="680" t="s">
        <v>405</v>
      </c>
      <c r="G50" s="680" t="s">
        <v>266</v>
      </c>
      <c r="H50" s="680" t="s">
        <v>250</v>
      </c>
      <c r="I50" s="732" t="s">
        <v>278</v>
      </c>
      <c r="J50" s="730" t="s">
        <v>384</v>
      </c>
      <c r="K50" s="680" t="s">
        <v>406</v>
      </c>
      <c r="L50" s="732" t="s">
        <v>400</v>
      </c>
      <c r="M50" s="729" t="str">
        <f t="shared" si="29"/>
        <v>ha</v>
      </c>
      <c r="N50" s="733">
        <f t="shared" si="30"/>
        <v>1.1429282868525896</v>
      </c>
      <c r="O50" s="734">
        <v>2295</v>
      </c>
      <c r="P50" s="734">
        <v>2008</v>
      </c>
      <c r="Q50" s="321" t="s">
        <v>317</v>
      </c>
      <c r="R50" s="733"/>
      <c r="S50" s="734"/>
      <c r="T50" s="734"/>
      <c r="U50" s="321"/>
      <c r="V50" s="733">
        <f t="shared" si="3"/>
        <v>1.3291139240506329</v>
      </c>
      <c r="W50" s="734">
        <f t="shared" si="4"/>
        <v>105</v>
      </c>
      <c r="X50" s="734">
        <f t="shared" si="5"/>
        <v>79</v>
      </c>
      <c r="Y50" s="744" t="str">
        <f t="shared" si="6"/>
        <v>kg/ha</v>
      </c>
      <c r="Z50" s="998" t="s">
        <v>1571</v>
      </c>
      <c r="AA50" s="745">
        <v>105</v>
      </c>
      <c r="AB50" s="746">
        <v>79</v>
      </c>
      <c r="AC50" s="747" t="str">
        <f t="shared" si="7"/>
        <v>kg</v>
      </c>
      <c r="AD50" s="748" t="str">
        <f t="shared" si="8"/>
        <v>/</v>
      </c>
      <c r="AE50" s="749" t="str">
        <f t="shared" si="9"/>
        <v>ha</v>
      </c>
      <c r="AF50" s="745">
        <f>105</f>
        <v>105</v>
      </c>
      <c r="AG50" s="746">
        <v>79</v>
      </c>
      <c r="AH50" s="747" t="s">
        <v>221</v>
      </c>
      <c r="AI50" s="748" t="s">
        <v>256</v>
      </c>
      <c r="AJ50" s="750" t="s">
        <v>188</v>
      </c>
      <c r="AK50" s="733" t="str">
        <f t="shared" si="10"/>
        <v/>
      </c>
      <c r="AL50" s="734" t="str">
        <f t="shared" si="11"/>
        <v/>
      </c>
      <c r="AM50" s="734" t="str">
        <f t="shared" si="12"/>
        <v/>
      </c>
      <c r="AN50" s="744" t="str">
        <f t="shared" si="13"/>
        <v/>
      </c>
      <c r="AO50" s="746"/>
      <c r="AP50" s="745" t="s">
        <v>125</v>
      </c>
      <c r="AQ50" s="746" t="s">
        <v>125</v>
      </c>
      <c r="AR50" s="747" t="str">
        <f t="shared" si="14"/>
        <v/>
      </c>
      <c r="AS50" s="748" t="str">
        <f t="shared" si="15"/>
        <v/>
      </c>
      <c r="AT50" s="749" t="str">
        <f t="shared" si="16"/>
        <v/>
      </c>
      <c r="AU50" s="745"/>
      <c r="AV50" s="746"/>
      <c r="AW50" s="747" t="s">
        <v>125</v>
      </c>
      <c r="AX50" s="748" t="s">
        <v>125</v>
      </c>
      <c r="AY50" s="750" t="s">
        <v>125</v>
      </c>
      <c r="AZ50" s="733" t="str">
        <f t="shared" si="17"/>
        <v/>
      </c>
      <c r="BA50" s="734" t="str">
        <f t="shared" si="18"/>
        <v/>
      </c>
      <c r="BB50" s="734" t="str">
        <f t="shared" si="19"/>
        <v/>
      </c>
      <c r="BC50" s="744" t="str">
        <f t="shared" si="20"/>
        <v/>
      </c>
      <c r="BD50" s="745" t="s">
        <v>125</v>
      </c>
      <c r="BE50" s="746" t="s">
        <v>125</v>
      </c>
      <c r="BF50" s="747" t="str">
        <f t="shared" si="21"/>
        <v/>
      </c>
      <c r="BG50" s="748" t="str">
        <f t="shared" si="22"/>
        <v/>
      </c>
      <c r="BH50" s="749" t="str">
        <f t="shared" si="23"/>
        <v/>
      </c>
      <c r="BI50" s="745"/>
      <c r="BJ50" s="746"/>
      <c r="BK50" s="747" t="s">
        <v>125</v>
      </c>
      <c r="BL50" s="748" t="s">
        <v>125</v>
      </c>
      <c r="BM50" s="750" t="s">
        <v>125</v>
      </c>
      <c r="BN50" s="1002" t="str">
        <f t="shared" si="24"/>
        <v/>
      </c>
      <c r="BO50" s="751" t="s">
        <v>125</v>
      </c>
      <c r="BP50" s="751" t="s">
        <v>125</v>
      </c>
      <c r="BQ50" s="744" t="str">
        <f t="shared" si="25"/>
        <v/>
      </c>
      <c r="BR50" s="755"/>
      <c r="BS50" s="756"/>
      <c r="BT50" s="755"/>
      <c r="BU50" s="756"/>
      <c r="BV50" s="755"/>
      <c r="BW50" s="757"/>
      <c r="BX50" s="755"/>
      <c r="BY50" s="756"/>
      <c r="BZ50" s="752" t="s">
        <v>125</v>
      </c>
      <c r="CA50" s="733"/>
      <c r="CB50" s="734"/>
      <c r="CC50" s="734"/>
      <c r="CD50" s="321"/>
    </row>
    <row r="51" spans="2:82" s="680" customFormat="1" x14ac:dyDescent="0.25">
      <c r="B51" s="729" t="str">
        <f t="shared" si="0"/>
        <v>plant-based</v>
      </c>
      <c r="C51" s="730" t="s">
        <v>262</v>
      </c>
      <c r="D51" s="730" t="s">
        <v>263</v>
      </c>
      <c r="E51" s="731" t="s">
        <v>264</v>
      </c>
      <c r="F51" s="680" t="s">
        <v>265</v>
      </c>
      <c r="G51" s="680" t="s">
        <v>266</v>
      </c>
      <c r="H51" s="680" t="s">
        <v>250</v>
      </c>
      <c r="I51" s="732" t="s">
        <v>278</v>
      </c>
      <c r="J51" s="730" t="s">
        <v>392</v>
      </c>
      <c r="K51" s="680" t="s">
        <v>397</v>
      </c>
      <c r="L51" s="732" t="s">
        <v>400</v>
      </c>
      <c r="M51" s="729" t="str">
        <f t="shared" si="29"/>
        <v>ha</v>
      </c>
      <c r="N51" s="733">
        <f t="shared" si="30"/>
        <v>0.59993236388231319</v>
      </c>
      <c r="O51" s="734">
        <v>3548</v>
      </c>
      <c r="P51" s="734">
        <v>5914</v>
      </c>
      <c r="Q51" s="321" t="s">
        <v>317</v>
      </c>
      <c r="R51" s="733"/>
      <c r="S51" s="734"/>
      <c r="T51" s="734"/>
      <c r="U51" s="321"/>
      <c r="V51" s="733">
        <f t="shared" si="3"/>
        <v>0.9</v>
      </c>
      <c r="W51" s="734">
        <f t="shared" si="4"/>
        <v>99</v>
      </c>
      <c r="X51" s="734">
        <f t="shared" si="5"/>
        <v>110</v>
      </c>
      <c r="Y51" s="744" t="str">
        <f t="shared" si="6"/>
        <v>kg/ha</v>
      </c>
      <c r="Z51" s="998" t="s">
        <v>1571</v>
      </c>
      <c r="AA51" s="745">
        <v>99</v>
      </c>
      <c r="AB51" s="746">
        <v>110</v>
      </c>
      <c r="AC51" s="747" t="str">
        <f t="shared" si="7"/>
        <v>kg</v>
      </c>
      <c r="AD51" s="748" t="str">
        <f t="shared" si="8"/>
        <v>/</v>
      </c>
      <c r="AE51" s="749" t="str">
        <f t="shared" si="9"/>
        <v>ha</v>
      </c>
      <c r="AF51" s="745">
        <v>99</v>
      </c>
      <c r="AG51" s="746">
        <v>110</v>
      </c>
      <c r="AH51" s="747" t="s">
        <v>221</v>
      </c>
      <c r="AI51" s="748" t="s">
        <v>256</v>
      </c>
      <c r="AJ51" s="750" t="s">
        <v>188</v>
      </c>
      <c r="AK51" s="733" t="str">
        <f t="shared" si="10"/>
        <v/>
      </c>
      <c r="AL51" s="734" t="str">
        <f t="shared" si="11"/>
        <v/>
      </c>
      <c r="AM51" s="734" t="str">
        <f t="shared" si="12"/>
        <v/>
      </c>
      <c r="AN51" s="744" t="str">
        <f t="shared" si="13"/>
        <v/>
      </c>
      <c r="AO51" s="746"/>
      <c r="AP51" s="745" t="s">
        <v>125</v>
      </c>
      <c r="AQ51" s="746" t="s">
        <v>125</v>
      </c>
      <c r="AR51" s="747" t="str">
        <f t="shared" si="14"/>
        <v/>
      </c>
      <c r="AS51" s="748" t="str">
        <f t="shared" si="15"/>
        <v/>
      </c>
      <c r="AT51" s="749" t="str">
        <f t="shared" si="16"/>
        <v/>
      </c>
      <c r="AU51" s="745"/>
      <c r="AV51" s="746"/>
      <c r="AW51" s="747" t="s">
        <v>125</v>
      </c>
      <c r="AX51" s="748" t="s">
        <v>125</v>
      </c>
      <c r="AY51" s="750" t="s">
        <v>125</v>
      </c>
      <c r="AZ51" s="733" t="str">
        <f t="shared" si="17"/>
        <v/>
      </c>
      <c r="BA51" s="734" t="str">
        <f t="shared" si="18"/>
        <v/>
      </c>
      <c r="BB51" s="734" t="str">
        <f t="shared" si="19"/>
        <v/>
      </c>
      <c r="BC51" s="744" t="str">
        <f t="shared" si="20"/>
        <v/>
      </c>
      <c r="BD51" s="745" t="s">
        <v>125</v>
      </c>
      <c r="BE51" s="746" t="s">
        <v>125</v>
      </c>
      <c r="BF51" s="747" t="str">
        <f t="shared" si="21"/>
        <v/>
      </c>
      <c r="BG51" s="748" t="str">
        <f t="shared" si="22"/>
        <v/>
      </c>
      <c r="BH51" s="749" t="str">
        <f t="shared" si="23"/>
        <v/>
      </c>
      <c r="BI51" s="745"/>
      <c r="BJ51" s="746"/>
      <c r="BK51" s="747" t="s">
        <v>125</v>
      </c>
      <c r="BL51" s="748" t="s">
        <v>125</v>
      </c>
      <c r="BM51" s="750" t="s">
        <v>125</v>
      </c>
      <c r="BN51" s="1002" t="str">
        <f t="shared" si="24"/>
        <v/>
      </c>
      <c r="BO51" s="751" t="s">
        <v>125</v>
      </c>
      <c r="BP51" s="751" t="s">
        <v>125</v>
      </c>
      <c r="BQ51" s="744" t="str">
        <f t="shared" si="25"/>
        <v/>
      </c>
      <c r="BR51" s="755"/>
      <c r="BS51" s="756"/>
      <c r="BT51" s="755"/>
      <c r="BU51" s="756"/>
      <c r="BV51" s="755"/>
      <c r="BW51" s="757"/>
      <c r="BX51" s="755"/>
      <c r="BY51" s="756"/>
      <c r="BZ51" s="752" t="s">
        <v>125</v>
      </c>
      <c r="CA51" s="733"/>
      <c r="CB51" s="734"/>
      <c r="CC51" s="734"/>
      <c r="CD51" s="321"/>
    </row>
    <row r="52" spans="2:82" s="680" customFormat="1" x14ac:dyDescent="0.25">
      <c r="B52" s="729" t="str">
        <f t="shared" si="0"/>
        <v>plant-based</v>
      </c>
      <c r="C52" s="730" t="s">
        <v>407</v>
      </c>
      <c r="D52" s="730" t="s">
        <v>408</v>
      </c>
      <c r="E52" s="731" t="s">
        <v>264</v>
      </c>
      <c r="F52" s="323" t="s">
        <v>409</v>
      </c>
      <c r="G52" s="680" t="s">
        <v>315</v>
      </c>
      <c r="H52" s="731" t="s">
        <v>248</v>
      </c>
      <c r="I52" s="760" t="s">
        <v>248</v>
      </c>
      <c r="J52" s="730" t="s">
        <v>392</v>
      </c>
      <c r="K52" s="680" t="s">
        <v>399</v>
      </c>
      <c r="L52" s="732" t="s">
        <v>400</v>
      </c>
      <c r="M52" s="729" t="str">
        <f t="shared" si="29"/>
        <v>ha</v>
      </c>
      <c r="N52" s="754">
        <f t="shared" si="30"/>
        <v>0.83682008368200833</v>
      </c>
      <c r="O52" s="734">
        <v>2000</v>
      </c>
      <c r="P52" s="734">
        <v>2390</v>
      </c>
      <c r="Q52" s="321" t="s">
        <v>317</v>
      </c>
      <c r="R52" s="733"/>
      <c r="S52" s="734"/>
      <c r="T52" s="734"/>
      <c r="U52" s="321"/>
      <c r="V52" s="733" t="str">
        <f t="shared" si="3"/>
        <v/>
      </c>
      <c r="W52" s="734" t="str">
        <f t="shared" si="4"/>
        <v/>
      </c>
      <c r="X52" s="734" t="str">
        <f t="shared" si="5"/>
        <v/>
      </c>
      <c r="Y52" s="744" t="str">
        <f t="shared" si="6"/>
        <v/>
      </c>
      <c r="Z52" s="746"/>
      <c r="AA52" s="745" t="s">
        <v>125</v>
      </c>
      <c r="AB52" s="746" t="s">
        <v>125</v>
      </c>
      <c r="AC52" s="747" t="str">
        <f t="shared" si="7"/>
        <v/>
      </c>
      <c r="AD52" s="748" t="str">
        <f t="shared" si="8"/>
        <v/>
      </c>
      <c r="AE52" s="749" t="str">
        <f t="shared" si="9"/>
        <v/>
      </c>
      <c r="AF52" s="745"/>
      <c r="AG52" s="746"/>
      <c r="AH52" s="747" t="s">
        <v>125</v>
      </c>
      <c r="AI52" s="748" t="s">
        <v>125</v>
      </c>
      <c r="AJ52" s="750" t="s">
        <v>125</v>
      </c>
      <c r="AK52" s="733" t="str">
        <f t="shared" si="10"/>
        <v/>
      </c>
      <c r="AL52" s="734" t="str">
        <f t="shared" si="11"/>
        <v/>
      </c>
      <c r="AM52" s="734" t="str">
        <f t="shared" si="12"/>
        <v/>
      </c>
      <c r="AN52" s="744" t="str">
        <f t="shared" si="13"/>
        <v/>
      </c>
      <c r="AO52" s="746"/>
      <c r="AP52" s="745" t="s">
        <v>125</v>
      </c>
      <c r="AQ52" s="746" t="s">
        <v>125</v>
      </c>
      <c r="AR52" s="747" t="str">
        <f t="shared" si="14"/>
        <v/>
      </c>
      <c r="AS52" s="748" t="str">
        <f t="shared" si="15"/>
        <v/>
      </c>
      <c r="AT52" s="749" t="str">
        <f t="shared" si="16"/>
        <v/>
      </c>
      <c r="AU52" s="745"/>
      <c r="AV52" s="746"/>
      <c r="AW52" s="747" t="s">
        <v>125</v>
      </c>
      <c r="AX52" s="748" t="s">
        <v>125</v>
      </c>
      <c r="AY52" s="750" t="s">
        <v>125</v>
      </c>
      <c r="AZ52" s="733" t="str">
        <f t="shared" si="17"/>
        <v/>
      </c>
      <c r="BA52" s="734" t="str">
        <f t="shared" si="18"/>
        <v/>
      </c>
      <c r="BB52" s="734" t="str">
        <f t="shared" si="19"/>
        <v/>
      </c>
      <c r="BC52" s="744" t="str">
        <f t="shared" si="20"/>
        <v/>
      </c>
      <c r="BD52" s="745" t="s">
        <v>125</v>
      </c>
      <c r="BE52" s="746" t="s">
        <v>125</v>
      </c>
      <c r="BF52" s="747" t="str">
        <f t="shared" si="21"/>
        <v/>
      </c>
      <c r="BG52" s="748" t="str">
        <f t="shared" si="22"/>
        <v/>
      </c>
      <c r="BH52" s="749" t="str">
        <f t="shared" si="23"/>
        <v/>
      </c>
      <c r="BI52" s="745"/>
      <c r="BJ52" s="746"/>
      <c r="BK52" s="747" t="s">
        <v>125</v>
      </c>
      <c r="BL52" s="748" t="s">
        <v>125</v>
      </c>
      <c r="BM52" s="750" t="s">
        <v>125</v>
      </c>
      <c r="BN52" s="1002">
        <f t="shared" si="24"/>
        <v>0.85016835016835013</v>
      </c>
      <c r="BO52" s="751">
        <v>5050</v>
      </c>
      <c r="BP52" s="751">
        <v>5940</v>
      </c>
      <c r="BQ52" s="744" t="str">
        <f t="shared" si="25"/>
        <v>kg/ha</v>
      </c>
      <c r="BR52" s="755">
        <f>5050</f>
        <v>5050</v>
      </c>
      <c r="BS52" s="756">
        <f>5940</f>
        <v>5940</v>
      </c>
      <c r="BT52" s="755"/>
      <c r="BU52" s="756"/>
      <c r="BV52" s="755"/>
      <c r="BW52" s="757"/>
      <c r="BX52" s="755"/>
      <c r="BY52" s="756"/>
      <c r="BZ52" s="752" t="s">
        <v>317</v>
      </c>
      <c r="CA52" s="733"/>
      <c r="CB52" s="734"/>
      <c r="CC52" s="734"/>
      <c r="CD52" s="321"/>
    </row>
    <row r="53" spans="2:82" s="680" customFormat="1" x14ac:dyDescent="0.25">
      <c r="B53" s="729" t="str">
        <f t="shared" si="0"/>
        <v>plant-based</v>
      </c>
      <c r="C53" s="730" t="s">
        <v>407</v>
      </c>
      <c r="D53" s="730" t="s">
        <v>408</v>
      </c>
      <c r="E53" s="731" t="s">
        <v>264</v>
      </c>
      <c r="F53" s="323" t="s">
        <v>410</v>
      </c>
      <c r="G53" s="680" t="s">
        <v>315</v>
      </c>
      <c r="H53" s="731" t="s">
        <v>248</v>
      </c>
      <c r="I53" s="760" t="s">
        <v>248</v>
      </c>
      <c r="J53" s="730" t="s">
        <v>392</v>
      </c>
      <c r="K53" s="680" t="s">
        <v>411</v>
      </c>
      <c r="L53" s="732" t="s">
        <v>400</v>
      </c>
      <c r="M53" s="729" t="str">
        <f t="shared" si="29"/>
        <v>ha</v>
      </c>
      <c r="N53" s="754">
        <f t="shared" si="30"/>
        <v>0.92742927429274291</v>
      </c>
      <c r="O53" s="734">
        <v>30160</v>
      </c>
      <c r="P53" s="734">
        <v>32520</v>
      </c>
      <c r="Q53" s="321" t="s">
        <v>317</v>
      </c>
      <c r="R53" s="733"/>
      <c r="S53" s="734"/>
      <c r="T53" s="734"/>
      <c r="U53" s="321"/>
      <c r="V53" s="733" t="str">
        <f t="shared" si="3"/>
        <v/>
      </c>
      <c r="W53" s="734" t="str">
        <f t="shared" si="4"/>
        <v/>
      </c>
      <c r="X53" s="734" t="str">
        <f t="shared" si="5"/>
        <v/>
      </c>
      <c r="Y53" s="744" t="str">
        <f t="shared" si="6"/>
        <v/>
      </c>
      <c r="Z53" s="746"/>
      <c r="AA53" s="745" t="s">
        <v>125</v>
      </c>
      <c r="AB53" s="746" t="s">
        <v>125</v>
      </c>
      <c r="AC53" s="747" t="str">
        <f t="shared" si="7"/>
        <v/>
      </c>
      <c r="AD53" s="748" t="str">
        <f t="shared" si="8"/>
        <v/>
      </c>
      <c r="AE53" s="749" t="str">
        <f t="shared" si="9"/>
        <v/>
      </c>
      <c r="AF53" s="745"/>
      <c r="AG53" s="746"/>
      <c r="AH53" s="747" t="s">
        <v>125</v>
      </c>
      <c r="AI53" s="748" t="s">
        <v>125</v>
      </c>
      <c r="AJ53" s="750" t="s">
        <v>125</v>
      </c>
      <c r="AK53" s="733" t="str">
        <f t="shared" si="10"/>
        <v/>
      </c>
      <c r="AL53" s="734" t="str">
        <f t="shared" si="11"/>
        <v/>
      </c>
      <c r="AM53" s="734" t="str">
        <f t="shared" si="12"/>
        <v/>
      </c>
      <c r="AN53" s="744" t="str">
        <f t="shared" si="13"/>
        <v/>
      </c>
      <c r="AO53" s="746"/>
      <c r="AP53" s="745" t="s">
        <v>125</v>
      </c>
      <c r="AQ53" s="746" t="s">
        <v>125</v>
      </c>
      <c r="AR53" s="747" t="str">
        <f t="shared" si="14"/>
        <v/>
      </c>
      <c r="AS53" s="748" t="str">
        <f t="shared" si="15"/>
        <v/>
      </c>
      <c r="AT53" s="749" t="str">
        <f t="shared" si="16"/>
        <v/>
      </c>
      <c r="AU53" s="745"/>
      <c r="AV53" s="746"/>
      <c r="AW53" s="747" t="s">
        <v>125</v>
      </c>
      <c r="AX53" s="748" t="s">
        <v>125</v>
      </c>
      <c r="AY53" s="750" t="s">
        <v>125</v>
      </c>
      <c r="AZ53" s="733" t="str">
        <f t="shared" si="17"/>
        <v/>
      </c>
      <c r="BA53" s="734" t="str">
        <f t="shared" si="18"/>
        <v/>
      </c>
      <c r="BB53" s="734" t="str">
        <f t="shared" si="19"/>
        <v/>
      </c>
      <c r="BC53" s="744" t="str">
        <f t="shared" si="20"/>
        <v/>
      </c>
      <c r="BD53" s="745" t="s">
        <v>125</v>
      </c>
      <c r="BE53" s="746" t="s">
        <v>125</v>
      </c>
      <c r="BF53" s="747" t="str">
        <f t="shared" si="21"/>
        <v/>
      </c>
      <c r="BG53" s="748" t="str">
        <f t="shared" si="22"/>
        <v/>
      </c>
      <c r="BH53" s="749" t="str">
        <f t="shared" si="23"/>
        <v/>
      </c>
      <c r="BI53" s="745"/>
      <c r="BJ53" s="746"/>
      <c r="BK53" s="747" t="s">
        <v>125</v>
      </c>
      <c r="BL53" s="748" t="s">
        <v>125</v>
      </c>
      <c r="BM53" s="750" t="s">
        <v>125</v>
      </c>
      <c r="BN53" s="1002">
        <f t="shared" si="24"/>
        <v>0.80692817116658178</v>
      </c>
      <c r="BO53" s="751">
        <v>15840</v>
      </c>
      <c r="BP53" s="751">
        <v>19630</v>
      </c>
      <c r="BQ53" s="744" t="str">
        <f t="shared" si="25"/>
        <v>kg/ha</v>
      </c>
      <c r="BR53" s="755"/>
      <c r="BS53" s="756"/>
      <c r="BT53" s="755"/>
      <c r="BU53" s="756"/>
      <c r="BV53" s="755">
        <f>15840</f>
        <v>15840</v>
      </c>
      <c r="BW53" s="757">
        <f>19630</f>
        <v>19630</v>
      </c>
      <c r="BX53" s="755"/>
      <c r="BY53" s="756"/>
      <c r="BZ53" s="752" t="s">
        <v>317</v>
      </c>
      <c r="CA53" s="733"/>
      <c r="CB53" s="734"/>
      <c r="CC53" s="734"/>
      <c r="CD53" s="321"/>
    </row>
    <row r="54" spans="2:82" s="680" customFormat="1" x14ac:dyDescent="0.25">
      <c r="B54" s="729" t="str">
        <f t="shared" si="0"/>
        <v>plant-based</v>
      </c>
      <c r="C54" s="730" t="s">
        <v>407</v>
      </c>
      <c r="D54" s="730" t="s">
        <v>408</v>
      </c>
      <c r="E54" s="731" t="s">
        <v>264</v>
      </c>
      <c r="F54" s="323" t="s">
        <v>412</v>
      </c>
      <c r="G54" s="680" t="s">
        <v>315</v>
      </c>
      <c r="H54" s="731" t="s">
        <v>248</v>
      </c>
      <c r="I54" s="760" t="s">
        <v>248</v>
      </c>
      <c r="J54" s="730" t="s">
        <v>413</v>
      </c>
      <c r="K54" s="680" t="s">
        <v>414</v>
      </c>
      <c r="L54" s="732" t="s">
        <v>400</v>
      </c>
      <c r="M54" s="729" t="str">
        <f t="shared" si="29"/>
        <v>ha</v>
      </c>
      <c r="N54" s="754">
        <f t="shared" si="30"/>
        <v>1.3245033112582782</v>
      </c>
      <c r="O54" s="734">
        <v>4000</v>
      </c>
      <c r="P54" s="734">
        <v>3020</v>
      </c>
      <c r="Q54" s="321" t="s">
        <v>317</v>
      </c>
      <c r="R54" s="733"/>
      <c r="S54" s="734"/>
      <c r="T54" s="734"/>
      <c r="U54" s="321"/>
      <c r="V54" s="733" t="str">
        <f t="shared" si="3"/>
        <v/>
      </c>
      <c r="W54" s="734" t="str">
        <f t="shared" si="4"/>
        <v/>
      </c>
      <c r="X54" s="734" t="str">
        <f t="shared" si="5"/>
        <v/>
      </c>
      <c r="Y54" s="744" t="str">
        <f t="shared" si="6"/>
        <v/>
      </c>
      <c r="Z54" s="746"/>
      <c r="AA54" s="745" t="s">
        <v>125</v>
      </c>
      <c r="AB54" s="746" t="s">
        <v>125</v>
      </c>
      <c r="AC54" s="747" t="str">
        <f t="shared" si="7"/>
        <v/>
      </c>
      <c r="AD54" s="748" t="str">
        <f t="shared" si="8"/>
        <v/>
      </c>
      <c r="AE54" s="749" t="str">
        <f t="shared" si="9"/>
        <v/>
      </c>
      <c r="AF54" s="745"/>
      <c r="AG54" s="746"/>
      <c r="AH54" s="747" t="s">
        <v>125</v>
      </c>
      <c r="AI54" s="748" t="s">
        <v>125</v>
      </c>
      <c r="AJ54" s="750" t="s">
        <v>125</v>
      </c>
      <c r="AK54" s="733" t="str">
        <f t="shared" si="10"/>
        <v/>
      </c>
      <c r="AL54" s="734" t="str">
        <f t="shared" si="11"/>
        <v/>
      </c>
      <c r="AM54" s="734" t="str">
        <f t="shared" si="12"/>
        <v/>
      </c>
      <c r="AN54" s="744" t="str">
        <f t="shared" si="13"/>
        <v/>
      </c>
      <c r="AO54" s="746"/>
      <c r="AP54" s="745" t="s">
        <v>125</v>
      </c>
      <c r="AQ54" s="746" t="s">
        <v>125</v>
      </c>
      <c r="AR54" s="747" t="str">
        <f t="shared" si="14"/>
        <v/>
      </c>
      <c r="AS54" s="748" t="str">
        <f t="shared" si="15"/>
        <v/>
      </c>
      <c r="AT54" s="749" t="str">
        <f t="shared" si="16"/>
        <v/>
      </c>
      <c r="AU54" s="745"/>
      <c r="AV54" s="746"/>
      <c r="AW54" s="747" t="s">
        <v>125</v>
      </c>
      <c r="AX54" s="748" t="s">
        <v>125</v>
      </c>
      <c r="AY54" s="750" t="s">
        <v>125</v>
      </c>
      <c r="AZ54" s="733" t="str">
        <f t="shared" si="17"/>
        <v/>
      </c>
      <c r="BA54" s="734" t="str">
        <f t="shared" si="18"/>
        <v/>
      </c>
      <c r="BB54" s="734" t="str">
        <f t="shared" si="19"/>
        <v/>
      </c>
      <c r="BC54" s="744" t="str">
        <f t="shared" si="20"/>
        <v/>
      </c>
      <c r="BD54" s="745" t="s">
        <v>125</v>
      </c>
      <c r="BE54" s="746" t="s">
        <v>125</v>
      </c>
      <c r="BF54" s="747" t="str">
        <f t="shared" si="21"/>
        <v/>
      </c>
      <c r="BG54" s="748" t="str">
        <f t="shared" si="22"/>
        <v/>
      </c>
      <c r="BH54" s="749" t="str">
        <f t="shared" si="23"/>
        <v/>
      </c>
      <c r="BI54" s="745"/>
      <c r="BJ54" s="746"/>
      <c r="BK54" s="747" t="s">
        <v>125</v>
      </c>
      <c r="BL54" s="748" t="s">
        <v>125</v>
      </c>
      <c r="BM54" s="750" t="s">
        <v>125</v>
      </c>
      <c r="BN54" s="1002">
        <f t="shared" si="24"/>
        <v>1.2778561354019746</v>
      </c>
      <c r="BO54" s="751">
        <v>9060</v>
      </c>
      <c r="BP54" s="751">
        <v>7090</v>
      </c>
      <c r="BQ54" s="744" t="str">
        <f t="shared" si="25"/>
        <v>kg/ha</v>
      </c>
      <c r="BR54" s="755">
        <f>9060</f>
        <v>9060</v>
      </c>
      <c r="BS54" s="756">
        <f>7090</f>
        <v>7090</v>
      </c>
      <c r="BT54" s="755"/>
      <c r="BU54" s="756"/>
      <c r="BV54" s="755"/>
      <c r="BW54" s="757"/>
      <c r="BX54" s="755"/>
      <c r="BY54" s="756"/>
      <c r="BZ54" s="752" t="s">
        <v>317</v>
      </c>
      <c r="CA54" s="733"/>
      <c r="CB54" s="734"/>
      <c r="CC54" s="734"/>
      <c r="CD54" s="321"/>
    </row>
    <row r="55" spans="2:82" s="680" customFormat="1" x14ac:dyDescent="0.25">
      <c r="B55" s="729" t="str">
        <f t="shared" si="0"/>
        <v>plant-based</v>
      </c>
      <c r="C55" s="730" t="s">
        <v>415</v>
      </c>
      <c r="D55" s="730" t="s">
        <v>416</v>
      </c>
      <c r="E55" s="731" t="s">
        <v>264</v>
      </c>
      <c r="F55" s="680" t="s">
        <v>417</v>
      </c>
      <c r="G55" s="680" t="s">
        <v>272</v>
      </c>
      <c r="H55" s="731" t="s">
        <v>248</v>
      </c>
      <c r="I55" s="760" t="s">
        <v>248</v>
      </c>
      <c r="J55" s="730" t="s">
        <v>384</v>
      </c>
      <c r="K55" s="680" t="s">
        <v>385</v>
      </c>
      <c r="L55" s="732" t="s">
        <v>418</v>
      </c>
      <c r="M55" s="729" t="str">
        <f t="shared" si="29"/>
        <v>ha</v>
      </c>
      <c r="N55" s="733">
        <f t="shared" si="30"/>
        <v>0.70161290322580649</v>
      </c>
      <c r="O55" s="734">
        <f>1.74*1000</f>
        <v>1740</v>
      </c>
      <c r="P55" s="734">
        <f>2.48*1000</f>
        <v>2480</v>
      </c>
      <c r="Q55" s="321" t="s">
        <v>317</v>
      </c>
      <c r="R55" s="733"/>
      <c r="S55" s="734"/>
      <c r="T55" s="734"/>
      <c r="U55" s="321"/>
      <c r="V55" s="733" t="str">
        <f t="shared" si="3"/>
        <v/>
      </c>
      <c r="W55" s="734" t="str">
        <f t="shared" si="4"/>
        <v/>
      </c>
      <c r="X55" s="734" t="str">
        <f t="shared" si="5"/>
        <v/>
      </c>
      <c r="Y55" s="744" t="str">
        <f t="shared" si="6"/>
        <v/>
      </c>
      <c r="Z55" s="746"/>
      <c r="AA55" s="745" t="s">
        <v>125</v>
      </c>
      <c r="AB55" s="746" t="s">
        <v>125</v>
      </c>
      <c r="AC55" s="747" t="str">
        <f t="shared" si="7"/>
        <v/>
      </c>
      <c r="AD55" s="748" t="str">
        <f t="shared" si="8"/>
        <v/>
      </c>
      <c r="AE55" s="749" t="str">
        <f t="shared" si="9"/>
        <v/>
      </c>
      <c r="AF55" s="745"/>
      <c r="AG55" s="746"/>
      <c r="AH55" s="747" t="s">
        <v>125</v>
      </c>
      <c r="AI55" s="748" t="s">
        <v>125</v>
      </c>
      <c r="AJ55" s="750" t="s">
        <v>125</v>
      </c>
      <c r="AK55" s="733" t="str">
        <f t="shared" si="10"/>
        <v/>
      </c>
      <c r="AL55" s="734" t="str">
        <f t="shared" si="11"/>
        <v/>
      </c>
      <c r="AM55" s="734" t="str">
        <f t="shared" si="12"/>
        <v/>
      </c>
      <c r="AN55" s="744" t="str">
        <f t="shared" si="13"/>
        <v/>
      </c>
      <c r="AO55" s="746"/>
      <c r="AP55" s="745" t="s">
        <v>125</v>
      </c>
      <c r="AQ55" s="746" t="s">
        <v>125</v>
      </c>
      <c r="AR55" s="747" t="str">
        <f t="shared" si="14"/>
        <v/>
      </c>
      <c r="AS55" s="748" t="str">
        <f t="shared" si="15"/>
        <v/>
      </c>
      <c r="AT55" s="749" t="str">
        <f t="shared" si="16"/>
        <v/>
      </c>
      <c r="AU55" s="745"/>
      <c r="AV55" s="746"/>
      <c r="AW55" s="747" t="s">
        <v>125</v>
      </c>
      <c r="AX55" s="748" t="s">
        <v>125</v>
      </c>
      <c r="AY55" s="750" t="s">
        <v>125</v>
      </c>
      <c r="AZ55" s="733" t="str">
        <f t="shared" si="17"/>
        <v/>
      </c>
      <c r="BA55" s="734" t="str">
        <f t="shared" si="18"/>
        <v/>
      </c>
      <c r="BB55" s="734" t="str">
        <f t="shared" si="19"/>
        <v/>
      </c>
      <c r="BC55" s="744" t="str">
        <f t="shared" si="20"/>
        <v/>
      </c>
      <c r="BD55" s="745" t="s">
        <v>125</v>
      </c>
      <c r="BE55" s="746" t="s">
        <v>125</v>
      </c>
      <c r="BF55" s="747" t="str">
        <f t="shared" si="21"/>
        <v/>
      </c>
      <c r="BG55" s="748" t="str">
        <f t="shared" si="22"/>
        <v/>
      </c>
      <c r="BH55" s="749" t="str">
        <f t="shared" si="23"/>
        <v/>
      </c>
      <c r="BI55" s="745"/>
      <c r="BJ55" s="746"/>
      <c r="BK55" s="747" t="s">
        <v>125</v>
      </c>
      <c r="BL55" s="748" t="s">
        <v>125</v>
      </c>
      <c r="BM55" s="750" t="s">
        <v>125</v>
      </c>
      <c r="BN55" s="1002" t="str">
        <f t="shared" si="24"/>
        <v/>
      </c>
      <c r="BO55" s="751" t="s">
        <v>125</v>
      </c>
      <c r="BP55" s="751" t="s">
        <v>125</v>
      </c>
      <c r="BQ55" s="744" t="str">
        <f t="shared" si="25"/>
        <v/>
      </c>
      <c r="BR55" s="755"/>
      <c r="BS55" s="756"/>
      <c r="BT55" s="755"/>
      <c r="BU55" s="756"/>
      <c r="BV55" s="755"/>
      <c r="BW55" s="757"/>
      <c r="BX55" s="755"/>
      <c r="BY55" s="756"/>
      <c r="BZ55" s="752" t="s">
        <v>125</v>
      </c>
      <c r="CA55" s="733"/>
      <c r="CB55" s="734"/>
      <c r="CC55" s="734"/>
      <c r="CD55" s="321"/>
    </row>
    <row r="56" spans="2:82" s="680" customFormat="1" x14ac:dyDescent="0.25">
      <c r="B56" s="729" t="str">
        <f t="shared" si="0"/>
        <v>plant-based</v>
      </c>
      <c r="C56" s="730" t="s">
        <v>313</v>
      </c>
      <c r="D56" s="730" t="s">
        <v>314</v>
      </c>
      <c r="E56" s="731" t="s">
        <v>247</v>
      </c>
      <c r="F56" s="680" t="s">
        <v>419</v>
      </c>
      <c r="G56" s="680" t="s">
        <v>315</v>
      </c>
      <c r="H56" s="680" t="s">
        <v>250</v>
      </c>
      <c r="I56" s="732" t="s">
        <v>278</v>
      </c>
      <c r="J56" s="730" t="s">
        <v>413</v>
      </c>
      <c r="K56" s="680" t="s">
        <v>420</v>
      </c>
      <c r="L56" s="732" t="s">
        <v>421</v>
      </c>
      <c r="M56" s="729" t="str">
        <f t="shared" si="29"/>
        <v>ha</v>
      </c>
      <c r="N56" s="743" t="s">
        <v>422</v>
      </c>
      <c r="O56" s="734">
        <v>3700</v>
      </c>
      <c r="P56" s="734">
        <v>4600</v>
      </c>
      <c r="Q56" s="321" t="s">
        <v>317</v>
      </c>
      <c r="R56" s="733"/>
      <c r="S56" s="734"/>
      <c r="T56" s="734"/>
      <c r="U56" s="321"/>
      <c r="V56" s="733">
        <f t="shared" si="3"/>
        <v>1.1000000000000001</v>
      </c>
      <c r="W56" s="734">
        <f t="shared" si="4"/>
        <v>184.79999999999998</v>
      </c>
      <c r="X56" s="734">
        <f t="shared" si="5"/>
        <v>167.99999999999997</v>
      </c>
      <c r="Y56" s="744" t="str">
        <f t="shared" si="6"/>
        <v>kg/ha</v>
      </c>
      <c r="Z56" s="998" t="s">
        <v>1571</v>
      </c>
      <c r="AA56" s="745">
        <v>184.79999999999998</v>
      </c>
      <c r="AB56" s="746">
        <v>167.99999999999997</v>
      </c>
      <c r="AC56" s="747" t="str">
        <f t="shared" si="7"/>
        <v>kg</v>
      </c>
      <c r="AD56" s="748" t="str">
        <f t="shared" si="8"/>
        <v>/</v>
      </c>
      <c r="AE56" s="749" t="str">
        <f t="shared" si="9"/>
        <v>ha</v>
      </c>
      <c r="AF56" s="745">
        <v>220</v>
      </c>
      <c r="AG56" s="746">
        <f>(AF56/1.1)</f>
        <v>199.99999999999997</v>
      </c>
      <c r="AH56" s="747" t="s">
        <v>316</v>
      </c>
      <c r="AI56" s="748" t="s">
        <v>256</v>
      </c>
      <c r="AJ56" s="750" t="s">
        <v>188</v>
      </c>
      <c r="AK56" s="733" t="str">
        <f t="shared" si="10"/>
        <v/>
      </c>
      <c r="AL56" s="734" t="str">
        <f t="shared" si="11"/>
        <v/>
      </c>
      <c r="AM56" s="734" t="str">
        <f t="shared" si="12"/>
        <v/>
      </c>
      <c r="AN56" s="744" t="str">
        <f t="shared" si="13"/>
        <v/>
      </c>
      <c r="AO56" s="746"/>
      <c r="AP56" s="745" t="s">
        <v>125</v>
      </c>
      <c r="AQ56" s="746" t="s">
        <v>125</v>
      </c>
      <c r="AR56" s="747" t="str">
        <f t="shared" si="14"/>
        <v/>
      </c>
      <c r="AS56" s="748" t="str">
        <f t="shared" si="15"/>
        <v/>
      </c>
      <c r="AT56" s="749" t="str">
        <f t="shared" si="16"/>
        <v/>
      </c>
      <c r="AU56" s="745"/>
      <c r="AV56" s="746"/>
      <c r="AW56" s="747" t="s">
        <v>125</v>
      </c>
      <c r="AX56" s="748" t="s">
        <v>125</v>
      </c>
      <c r="AY56" s="750" t="s">
        <v>125</v>
      </c>
      <c r="AZ56" s="999" t="str">
        <f t="shared" si="17"/>
        <v/>
      </c>
      <c r="BA56" s="734" t="str">
        <f t="shared" si="18"/>
        <v/>
      </c>
      <c r="BB56" s="734" t="str">
        <f t="shared" si="19"/>
        <v/>
      </c>
      <c r="BC56" s="744" t="str">
        <f t="shared" si="20"/>
        <v/>
      </c>
      <c r="BD56" s="745" t="s">
        <v>125</v>
      </c>
      <c r="BE56" s="746" t="s">
        <v>125</v>
      </c>
      <c r="BF56" s="747" t="str">
        <f t="shared" si="21"/>
        <v/>
      </c>
      <c r="BG56" s="748" t="str">
        <f t="shared" si="22"/>
        <v/>
      </c>
      <c r="BH56" s="749" t="str">
        <f t="shared" si="23"/>
        <v/>
      </c>
      <c r="BI56" s="745"/>
      <c r="BJ56" s="746"/>
      <c r="BK56" s="747" t="s">
        <v>125</v>
      </c>
      <c r="BL56" s="748" t="s">
        <v>125</v>
      </c>
      <c r="BM56" s="750" t="s">
        <v>125</v>
      </c>
      <c r="BN56" s="1002" t="str">
        <f t="shared" si="24"/>
        <v/>
      </c>
      <c r="BO56" s="751" t="s">
        <v>125</v>
      </c>
      <c r="BP56" s="751" t="s">
        <v>125</v>
      </c>
      <c r="BQ56" s="744" t="str">
        <f t="shared" si="25"/>
        <v/>
      </c>
      <c r="BR56" s="755"/>
      <c r="BS56" s="756"/>
      <c r="BT56" s="755"/>
      <c r="BU56" s="756"/>
      <c r="BV56" s="755"/>
      <c r="BW56" s="757"/>
      <c r="BX56" s="755"/>
      <c r="BY56" s="756"/>
      <c r="BZ56" s="752" t="s">
        <v>125</v>
      </c>
      <c r="CA56" s="733"/>
      <c r="CB56" s="734"/>
      <c r="CC56" s="734"/>
      <c r="CD56" s="321"/>
    </row>
    <row r="57" spans="2:82" s="680" customFormat="1" x14ac:dyDescent="0.25">
      <c r="B57" s="729" t="str">
        <f t="shared" si="0"/>
        <v>plant-based</v>
      </c>
      <c r="C57" s="730" t="s">
        <v>313</v>
      </c>
      <c r="D57" s="730" t="s">
        <v>314</v>
      </c>
      <c r="E57" s="731" t="s">
        <v>247</v>
      </c>
      <c r="F57" s="680" t="s">
        <v>419</v>
      </c>
      <c r="G57" s="680" t="s">
        <v>315</v>
      </c>
      <c r="H57" s="680" t="s">
        <v>250</v>
      </c>
      <c r="I57" s="732" t="s">
        <v>278</v>
      </c>
      <c r="J57" s="730" t="s">
        <v>423</v>
      </c>
      <c r="K57" s="680" t="s">
        <v>424</v>
      </c>
      <c r="L57" s="732" t="s">
        <v>400</v>
      </c>
      <c r="M57" s="729" t="str">
        <f t="shared" si="29"/>
        <v>ha</v>
      </c>
      <c r="N57" s="743" t="s">
        <v>422</v>
      </c>
      <c r="O57" s="734">
        <v>2000</v>
      </c>
      <c r="P57" s="734">
        <v>3200</v>
      </c>
      <c r="Q57" s="321" t="s">
        <v>317</v>
      </c>
      <c r="R57" s="733"/>
      <c r="S57" s="734"/>
      <c r="T57" s="734"/>
      <c r="U57" s="321"/>
      <c r="V57" s="733">
        <f t="shared" si="3"/>
        <v>1.1834319526627219</v>
      </c>
      <c r="W57" s="734">
        <f t="shared" si="4"/>
        <v>100</v>
      </c>
      <c r="X57" s="734">
        <f t="shared" si="5"/>
        <v>84.5</v>
      </c>
      <c r="Y57" s="744" t="str">
        <f t="shared" si="6"/>
        <v>kg/ha</v>
      </c>
      <c r="Z57" s="998" t="s">
        <v>1571</v>
      </c>
      <c r="AA57" s="745">
        <v>100</v>
      </c>
      <c r="AB57" s="746">
        <v>84.5</v>
      </c>
      <c r="AC57" s="747" t="str">
        <f t="shared" si="7"/>
        <v>kg</v>
      </c>
      <c r="AD57" s="748" t="str">
        <f t="shared" si="8"/>
        <v>/</v>
      </c>
      <c r="AE57" s="749" t="str">
        <f t="shared" si="9"/>
        <v>ha</v>
      </c>
      <c r="AF57" s="745">
        <v>100</v>
      </c>
      <c r="AG57" s="746">
        <f>(86+83)/2</f>
        <v>84.5</v>
      </c>
      <c r="AH57" s="747" t="s">
        <v>221</v>
      </c>
      <c r="AI57" s="748" t="s">
        <v>256</v>
      </c>
      <c r="AJ57" s="750" t="s">
        <v>188</v>
      </c>
      <c r="AK57" s="733" t="str">
        <f t="shared" si="10"/>
        <v/>
      </c>
      <c r="AL57" s="734" t="str">
        <f t="shared" si="11"/>
        <v/>
      </c>
      <c r="AM57" s="734" t="str">
        <f t="shared" si="12"/>
        <v/>
      </c>
      <c r="AN57" s="744" t="str">
        <f t="shared" si="13"/>
        <v/>
      </c>
      <c r="AO57" s="746"/>
      <c r="AP57" s="745" t="s">
        <v>125</v>
      </c>
      <c r="AQ57" s="746" t="s">
        <v>125</v>
      </c>
      <c r="AR57" s="747" t="str">
        <f t="shared" si="14"/>
        <v/>
      </c>
      <c r="AS57" s="748" t="str">
        <f t="shared" si="15"/>
        <v/>
      </c>
      <c r="AT57" s="749" t="str">
        <f t="shared" si="16"/>
        <v/>
      </c>
      <c r="AU57" s="745"/>
      <c r="AV57" s="746"/>
      <c r="AW57" s="747" t="s">
        <v>125</v>
      </c>
      <c r="AX57" s="748" t="s">
        <v>125</v>
      </c>
      <c r="AY57" s="750" t="s">
        <v>125</v>
      </c>
      <c r="AZ57" s="733" t="str">
        <f t="shared" si="17"/>
        <v/>
      </c>
      <c r="BA57" s="734" t="str">
        <f t="shared" si="18"/>
        <v/>
      </c>
      <c r="BB57" s="734" t="str">
        <f t="shared" si="19"/>
        <v/>
      </c>
      <c r="BC57" s="744" t="str">
        <f t="shared" si="20"/>
        <v/>
      </c>
      <c r="BD57" s="745" t="s">
        <v>125</v>
      </c>
      <c r="BE57" s="746" t="s">
        <v>125</v>
      </c>
      <c r="BF57" s="747" t="str">
        <f t="shared" si="21"/>
        <v/>
      </c>
      <c r="BG57" s="748" t="str">
        <f t="shared" si="22"/>
        <v/>
      </c>
      <c r="BH57" s="749" t="str">
        <f t="shared" si="23"/>
        <v/>
      </c>
      <c r="BI57" s="745"/>
      <c r="BJ57" s="746"/>
      <c r="BK57" s="747" t="s">
        <v>125</v>
      </c>
      <c r="BL57" s="748" t="s">
        <v>125</v>
      </c>
      <c r="BM57" s="750" t="s">
        <v>125</v>
      </c>
      <c r="BN57" s="1002" t="str">
        <f t="shared" si="24"/>
        <v/>
      </c>
      <c r="BO57" s="751">
        <v>35000</v>
      </c>
      <c r="BP57" s="751" t="s">
        <v>125</v>
      </c>
      <c r="BQ57" s="744" t="str">
        <f t="shared" si="25"/>
        <v>kg/ha</v>
      </c>
      <c r="BR57" s="755"/>
      <c r="BS57" s="756"/>
      <c r="BT57" s="755"/>
      <c r="BU57" s="756"/>
      <c r="BV57" s="755">
        <f>35000</f>
        <v>35000</v>
      </c>
      <c r="BW57" s="757" t="s">
        <v>425</v>
      </c>
      <c r="BX57" s="755"/>
      <c r="BY57" s="756"/>
      <c r="BZ57" s="752" t="s">
        <v>317</v>
      </c>
      <c r="CA57" s="733"/>
      <c r="CB57" s="734"/>
      <c r="CC57" s="734"/>
      <c r="CD57" s="321"/>
    </row>
    <row r="58" spans="2:82" s="680" customFormat="1" x14ac:dyDescent="0.25">
      <c r="B58" s="729" t="str">
        <f t="shared" si="0"/>
        <v>plant-based</v>
      </c>
      <c r="C58" s="730" t="s">
        <v>313</v>
      </c>
      <c r="D58" s="730" t="s">
        <v>314</v>
      </c>
      <c r="E58" s="731" t="s">
        <v>247</v>
      </c>
      <c r="F58" s="680" t="s">
        <v>419</v>
      </c>
      <c r="G58" s="680" t="s">
        <v>315</v>
      </c>
      <c r="H58" s="680" t="s">
        <v>250</v>
      </c>
      <c r="I58" s="732" t="s">
        <v>278</v>
      </c>
      <c r="J58" s="730" t="s">
        <v>384</v>
      </c>
      <c r="K58" s="680" t="s">
        <v>406</v>
      </c>
      <c r="L58" s="732" t="s">
        <v>400</v>
      </c>
      <c r="M58" s="729" t="str">
        <f t="shared" si="29"/>
        <v>ha</v>
      </c>
      <c r="N58" s="743" t="s">
        <v>422</v>
      </c>
      <c r="O58" s="734">
        <v>1800</v>
      </c>
      <c r="P58" s="734">
        <v>2500</v>
      </c>
      <c r="Q58" s="321" t="s">
        <v>317</v>
      </c>
      <c r="R58" s="733"/>
      <c r="S58" s="734"/>
      <c r="T58" s="734"/>
      <c r="U58" s="321"/>
      <c r="V58" s="733">
        <f t="shared" si="3"/>
        <v>1.5384615384615383</v>
      </c>
      <c r="W58" s="734">
        <f t="shared" si="4"/>
        <v>84</v>
      </c>
      <c r="X58" s="734">
        <f t="shared" si="5"/>
        <v>54.6</v>
      </c>
      <c r="Y58" s="744" t="str">
        <f t="shared" si="6"/>
        <v>kg/ha</v>
      </c>
      <c r="Z58" s="998" t="s">
        <v>1571</v>
      </c>
      <c r="AA58" s="745">
        <v>84</v>
      </c>
      <c r="AB58" s="746">
        <v>54.6</v>
      </c>
      <c r="AC58" s="747" t="str">
        <f t="shared" si="7"/>
        <v>kg</v>
      </c>
      <c r="AD58" s="748" t="str">
        <f t="shared" si="8"/>
        <v>/</v>
      </c>
      <c r="AE58" s="749" t="str">
        <f t="shared" si="9"/>
        <v>ha</v>
      </c>
      <c r="AF58" s="745">
        <v>100</v>
      </c>
      <c r="AG58" s="746">
        <f>65</f>
        <v>65</v>
      </c>
      <c r="AH58" s="747" t="s">
        <v>316</v>
      </c>
      <c r="AI58" s="748" t="s">
        <v>256</v>
      </c>
      <c r="AJ58" s="750" t="s">
        <v>188</v>
      </c>
      <c r="AK58" s="733" t="str">
        <f t="shared" si="10"/>
        <v/>
      </c>
      <c r="AL58" s="734" t="str">
        <f t="shared" si="11"/>
        <v/>
      </c>
      <c r="AM58" s="734" t="str">
        <f t="shared" si="12"/>
        <v/>
      </c>
      <c r="AN58" s="744" t="str">
        <f t="shared" si="13"/>
        <v/>
      </c>
      <c r="AO58" s="746"/>
      <c r="AP58" s="745" t="s">
        <v>125</v>
      </c>
      <c r="AQ58" s="746" t="s">
        <v>125</v>
      </c>
      <c r="AR58" s="747" t="str">
        <f t="shared" si="14"/>
        <v/>
      </c>
      <c r="AS58" s="748" t="str">
        <f t="shared" si="15"/>
        <v/>
      </c>
      <c r="AT58" s="749" t="str">
        <f t="shared" si="16"/>
        <v/>
      </c>
      <c r="AU58" s="745"/>
      <c r="AV58" s="746"/>
      <c r="AW58" s="747" t="s">
        <v>125</v>
      </c>
      <c r="AX58" s="748" t="s">
        <v>125</v>
      </c>
      <c r="AY58" s="750" t="s">
        <v>125</v>
      </c>
      <c r="AZ58" s="999" t="str">
        <f t="shared" si="17"/>
        <v/>
      </c>
      <c r="BA58" s="734" t="str">
        <f t="shared" si="18"/>
        <v/>
      </c>
      <c r="BB58" s="734" t="str">
        <f t="shared" si="19"/>
        <v/>
      </c>
      <c r="BC58" s="744" t="str">
        <f t="shared" si="20"/>
        <v/>
      </c>
      <c r="BD58" s="745" t="s">
        <v>125</v>
      </c>
      <c r="BE58" s="746" t="s">
        <v>125</v>
      </c>
      <c r="BF58" s="747" t="str">
        <f t="shared" si="21"/>
        <v/>
      </c>
      <c r="BG58" s="748" t="str">
        <f t="shared" si="22"/>
        <v/>
      </c>
      <c r="BH58" s="749" t="str">
        <f t="shared" si="23"/>
        <v/>
      </c>
      <c r="BI58" s="745"/>
      <c r="BJ58" s="746"/>
      <c r="BK58" s="747" t="s">
        <v>125</v>
      </c>
      <c r="BL58" s="748" t="s">
        <v>125</v>
      </c>
      <c r="BM58" s="750" t="s">
        <v>125</v>
      </c>
      <c r="BN58" s="1002" t="str">
        <f t="shared" si="24"/>
        <v/>
      </c>
      <c r="BO58" s="751" t="s">
        <v>125</v>
      </c>
      <c r="BP58" s="751" t="s">
        <v>125</v>
      </c>
      <c r="BQ58" s="744" t="str">
        <f t="shared" si="25"/>
        <v/>
      </c>
      <c r="BR58" s="755"/>
      <c r="BS58" s="756"/>
      <c r="BT58" s="755"/>
      <c r="BU58" s="756"/>
      <c r="BV58" s="755"/>
      <c r="BW58" s="757"/>
      <c r="BX58" s="755"/>
      <c r="BY58" s="756"/>
      <c r="BZ58" s="752" t="s">
        <v>125</v>
      </c>
      <c r="CA58" s="733"/>
      <c r="CB58" s="734"/>
      <c r="CC58" s="734"/>
      <c r="CD58" s="321"/>
    </row>
    <row r="59" spans="2:82" s="680" customFormat="1" x14ac:dyDescent="0.25">
      <c r="B59" s="729" t="str">
        <f t="shared" si="0"/>
        <v>plant-based</v>
      </c>
      <c r="C59" s="730" t="s">
        <v>313</v>
      </c>
      <c r="D59" s="730" t="s">
        <v>314</v>
      </c>
      <c r="E59" s="731" t="s">
        <v>247</v>
      </c>
      <c r="F59" s="680" t="s">
        <v>419</v>
      </c>
      <c r="G59" s="680" t="s">
        <v>315</v>
      </c>
      <c r="H59" s="680" t="s">
        <v>250</v>
      </c>
      <c r="I59" s="732" t="s">
        <v>278</v>
      </c>
      <c r="J59" s="730" t="s">
        <v>392</v>
      </c>
      <c r="K59" s="680" t="s">
        <v>397</v>
      </c>
      <c r="L59" s="732" t="s">
        <v>400</v>
      </c>
      <c r="M59" s="729" t="str">
        <f t="shared" si="29"/>
        <v>ha</v>
      </c>
      <c r="N59" s="743" t="s">
        <v>422</v>
      </c>
      <c r="O59" s="734">
        <v>3215</v>
      </c>
      <c r="P59" s="734">
        <v>6100</v>
      </c>
      <c r="Q59" s="321" t="s">
        <v>317</v>
      </c>
      <c r="R59" s="733"/>
      <c r="S59" s="734"/>
      <c r="T59" s="734"/>
      <c r="U59" s="321"/>
      <c r="V59" s="733">
        <f t="shared" si="3"/>
        <v>1.1624999999999999</v>
      </c>
      <c r="W59" s="734">
        <f t="shared" si="4"/>
        <v>78.11999999999999</v>
      </c>
      <c r="X59" s="734">
        <f t="shared" si="5"/>
        <v>67.2</v>
      </c>
      <c r="Y59" s="744" t="str">
        <f t="shared" si="6"/>
        <v>kg/ha</v>
      </c>
      <c r="Z59" s="998" t="s">
        <v>1571</v>
      </c>
      <c r="AA59" s="745">
        <v>78.11999999999999</v>
      </c>
      <c r="AB59" s="746">
        <v>67.2</v>
      </c>
      <c r="AC59" s="747" t="str">
        <f t="shared" si="7"/>
        <v>kg</v>
      </c>
      <c r="AD59" s="748" t="str">
        <f t="shared" si="8"/>
        <v>/</v>
      </c>
      <c r="AE59" s="749" t="str">
        <f t="shared" si="9"/>
        <v>ha</v>
      </c>
      <c r="AF59" s="745">
        <v>93</v>
      </c>
      <c r="AG59" s="746">
        <f>80</f>
        <v>80</v>
      </c>
      <c r="AH59" s="747" t="s">
        <v>316</v>
      </c>
      <c r="AI59" s="748" t="s">
        <v>256</v>
      </c>
      <c r="AJ59" s="750" t="s">
        <v>188</v>
      </c>
      <c r="AK59" s="733" t="str">
        <f t="shared" si="10"/>
        <v/>
      </c>
      <c r="AL59" s="734" t="str">
        <f t="shared" si="11"/>
        <v/>
      </c>
      <c r="AM59" s="734" t="str">
        <f t="shared" si="12"/>
        <v/>
      </c>
      <c r="AN59" s="744" t="str">
        <f t="shared" si="13"/>
        <v/>
      </c>
      <c r="AO59" s="746"/>
      <c r="AP59" s="745" t="s">
        <v>125</v>
      </c>
      <c r="AQ59" s="746" t="s">
        <v>125</v>
      </c>
      <c r="AR59" s="747" t="str">
        <f t="shared" si="14"/>
        <v/>
      </c>
      <c r="AS59" s="748" t="str">
        <f t="shared" si="15"/>
        <v/>
      </c>
      <c r="AT59" s="749" t="str">
        <f t="shared" si="16"/>
        <v/>
      </c>
      <c r="AU59" s="745"/>
      <c r="AV59" s="746"/>
      <c r="AW59" s="747" t="s">
        <v>125</v>
      </c>
      <c r="AX59" s="748" t="s">
        <v>125</v>
      </c>
      <c r="AY59" s="750" t="s">
        <v>125</v>
      </c>
      <c r="AZ59" s="999" t="str">
        <f t="shared" si="17"/>
        <v/>
      </c>
      <c r="BA59" s="734" t="str">
        <f t="shared" si="18"/>
        <v/>
      </c>
      <c r="BB59" s="734" t="str">
        <f t="shared" si="19"/>
        <v/>
      </c>
      <c r="BC59" s="744" t="str">
        <f t="shared" si="20"/>
        <v/>
      </c>
      <c r="BD59" s="745" t="s">
        <v>125</v>
      </c>
      <c r="BE59" s="746" t="s">
        <v>125</v>
      </c>
      <c r="BF59" s="747" t="str">
        <f t="shared" si="21"/>
        <v/>
      </c>
      <c r="BG59" s="748" t="str">
        <f t="shared" si="22"/>
        <v/>
      </c>
      <c r="BH59" s="749" t="str">
        <f t="shared" si="23"/>
        <v/>
      </c>
      <c r="BI59" s="745"/>
      <c r="BJ59" s="746"/>
      <c r="BK59" s="747" t="s">
        <v>125</v>
      </c>
      <c r="BL59" s="748" t="s">
        <v>125</v>
      </c>
      <c r="BM59" s="750" t="s">
        <v>125</v>
      </c>
      <c r="BN59" s="1002" t="str">
        <f t="shared" si="24"/>
        <v/>
      </c>
      <c r="BO59" s="751">
        <v>20000</v>
      </c>
      <c r="BP59" s="751" t="s">
        <v>125</v>
      </c>
      <c r="BQ59" s="744" t="str">
        <f t="shared" si="25"/>
        <v>kg/ha</v>
      </c>
      <c r="BR59" s="755"/>
      <c r="BS59" s="756"/>
      <c r="BT59" s="755"/>
      <c r="BU59" s="756"/>
      <c r="BV59" s="755">
        <v>20</v>
      </c>
      <c r="BW59" s="757" t="s">
        <v>425</v>
      </c>
      <c r="BX59" s="755"/>
      <c r="BY59" s="756"/>
      <c r="BZ59" s="752" t="s">
        <v>387</v>
      </c>
      <c r="CA59" s="733"/>
      <c r="CB59" s="734"/>
      <c r="CC59" s="734"/>
      <c r="CD59" s="321"/>
    </row>
    <row r="60" spans="2:82" s="680" customFormat="1" x14ac:dyDescent="0.25">
      <c r="B60" s="729" t="str">
        <f t="shared" si="0"/>
        <v>plant-based</v>
      </c>
      <c r="C60" s="730" t="s">
        <v>326</v>
      </c>
      <c r="D60" s="730" t="s">
        <v>327</v>
      </c>
      <c r="E60" s="731" t="s">
        <v>264</v>
      </c>
      <c r="F60" s="680" t="s">
        <v>426</v>
      </c>
      <c r="G60" s="680" t="s">
        <v>291</v>
      </c>
      <c r="H60" s="731" t="s">
        <v>248</v>
      </c>
      <c r="I60" s="732" t="s">
        <v>278</v>
      </c>
      <c r="J60" s="730" t="s">
        <v>392</v>
      </c>
      <c r="K60" s="680" t="s">
        <v>399</v>
      </c>
      <c r="L60" s="732" t="s">
        <v>400</v>
      </c>
      <c r="M60" s="729" t="str">
        <f t="shared" si="29"/>
        <v>ha</v>
      </c>
      <c r="N60" s="733">
        <f>O60/P60</f>
        <v>0.65275390784843279</v>
      </c>
      <c r="O60" s="734">
        <f>(3650+3920+2400)/3</f>
        <v>3323.3333333333335</v>
      </c>
      <c r="P60" s="734">
        <f>(4790+4970+4710+4550+5370+5580+5390+5370)/8</f>
        <v>5091.25</v>
      </c>
      <c r="Q60" s="321" t="s">
        <v>317</v>
      </c>
      <c r="R60" s="733"/>
      <c r="S60" s="734"/>
      <c r="T60" s="734"/>
      <c r="U60" s="321"/>
      <c r="V60" s="733" t="str">
        <f t="shared" si="3"/>
        <v/>
      </c>
      <c r="W60" s="734" t="str">
        <f t="shared" si="4"/>
        <v/>
      </c>
      <c r="X60" s="734" t="str">
        <f t="shared" si="5"/>
        <v/>
      </c>
      <c r="Y60" s="744" t="str">
        <f t="shared" si="6"/>
        <v/>
      </c>
      <c r="Z60" s="746"/>
      <c r="AA60" s="745" t="s">
        <v>125</v>
      </c>
      <c r="AB60" s="746" t="s">
        <v>125</v>
      </c>
      <c r="AC60" s="747" t="str">
        <f t="shared" si="7"/>
        <v/>
      </c>
      <c r="AD60" s="748" t="str">
        <f t="shared" si="8"/>
        <v/>
      </c>
      <c r="AE60" s="749" t="str">
        <f t="shared" si="9"/>
        <v/>
      </c>
      <c r="AF60" s="745"/>
      <c r="AG60" s="746"/>
      <c r="AH60" s="747" t="s">
        <v>125</v>
      </c>
      <c r="AI60" s="748" t="s">
        <v>125</v>
      </c>
      <c r="AJ60" s="750" t="s">
        <v>125</v>
      </c>
      <c r="AK60" s="733" t="str">
        <f t="shared" si="10"/>
        <v/>
      </c>
      <c r="AL60" s="734" t="str">
        <f t="shared" si="11"/>
        <v/>
      </c>
      <c r="AM60" s="734" t="str">
        <f t="shared" si="12"/>
        <v/>
      </c>
      <c r="AN60" s="744" t="str">
        <f t="shared" si="13"/>
        <v/>
      </c>
      <c r="AO60" s="746"/>
      <c r="AP60" s="745" t="s">
        <v>125</v>
      </c>
      <c r="AQ60" s="746" t="s">
        <v>125</v>
      </c>
      <c r="AR60" s="747" t="str">
        <f t="shared" si="14"/>
        <v/>
      </c>
      <c r="AS60" s="748" t="str">
        <f t="shared" si="15"/>
        <v/>
      </c>
      <c r="AT60" s="749" t="str">
        <f t="shared" si="16"/>
        <v/>
      </c>
      <c r="AU60" s="745"/>
      <c r="AV60" s="746"/>
      <c r="AW60" s="747" t="s">
        <v>125</v>
      </c>
      <c r="AX60" s="748" t="s">
        <v>125</v>
      </c>
      <c r="AY60" s="750" t="s">
        <v>125</v>
      </c>
      <c r="AZ60" s="733" t="str">
        <f t="shared" si="17"/>
        <v/>
      </c>
      <c r="BA60" s="734" t="str">
        <f t="shared" si="18"/>
        <v/>
      </c>
      <c r="BB60" s="734" t="str">
        <f t="shared" si="19"/>
        <v/>
      </c>
      <c r="BC60" s="744" t="str">
        <f t="shared" si="20"/>
        <v/>
      </c>
      <c r="BD60" s="745" t="s">
        <v>125</v>
      </c>
      <c r="BE60" s="746" t="s">
        <v>125</v>
      </c>
      <c r="BF60" s="747" t="str">
        <f t="shared" si="21"/>
        <v/>
      </c>
      <c r="BG60" s="748" t="str">
        <f t="shared" si="22"/>
        <v/>
      </c>
      <c r="BH60" s="749" t="str">
        <f t="shared" si="23"/>
        <v/>
      </c>
      <c r="BI60" s="745"/>
      <c r="BJ60" s="746"/>
      <c r="BK60" s="747" t="s">
        <v>125</v>
      </c>
      <c r="BL60" s="748" t="s">
        <v>125</v>
      </c>
      <c r="BM60" s="750" t="s">
        <v>125</v>
      </c>
      <c r="BN60" s="1003" t="str">
        <f t="shared" si="24"/>
        <v/>
      </c>
      <c r="BO60" s="751" t="s">
        <v>1654</v>
      </c>
      <c r="BP60" s="751" t="s">
        <v>1655</v>
      </c>
      <c r="BQ60" s="744" t="str">
        <f t="shared" si="25"/>
        <v>kg/ha</v>
      </c>
      <c r="BR60" s="755">
        <f>(20+22)/2</f>
        <v>21</v>
      </c>
      <c r="BS60" s="756">
        <f>(6+0+8+0)/4</f>
        <v>3.5</v>
      </c>
      <c r="BT60" s="755"/>
      <c r="BU60" s="756"/>
      <c r="BV60" s="755"/>
      <c r="BW60" s="757"/>
      <c r="BX60" s="755"/>
      <c r="BY60" s="756"/>
      <c r="BZ60" s="752" t="s">
        <v>329</v>
      </c>
      <c r="CA60" s="733"/>
      <c r="CB60" s="734"/>
      <c r="CC60" s="734"/>
      <c r="CD60" s="321"/>
    </row>
    <row r="61" spans="2:82" s="680" customFormat="1" x14ac:dyDescent="0.25">
      <c r="B61" s="729" t="str">
        <f t="shared" si="0"/>
        <v>plant-based</v>
      </c>
      <c r="C61" s="730" t="s">
        <v>326</v>
      </c>
      <c r="D61" s="730" t="s">
        <v>327</v>
      </c>
      <c r="E61" s="731" t="s">
        <v>264</v>
      </c>
      <c r="F61" s="680" t="s">
        <v>427</v>
      </c>
      <c r="G61" s="680" t="s">
        <v>291</v>
      </c>
      <c r="H61" s="731" t="s">
        <v>248</v>
      </c>
      <c r="I61" s="732" t="s">
        <v>278</v>
      </c>
      <c r="J61" s="730" t="s">
        <v>423</v>
      </c>
      <c r="K61" s="680" t="s">
        <v>424</v>
      </c>
      <c r="L61" s="732" t="s">
        <v>400</v>
      </c>
      <c r="M61" s="729" t="str">
        <f t="shared" si="29"/>
        <v>ha</v>
      </c>
      <c r="N61" s="733">
        <f>O61/P61</f>
        <v>0.86872586872586877</v>
      </c>
      <c r="O61" s="734">
        <f>(3000+1500)/2</f>
        <v>2250</v>
      </c>
      <c r="P61" s="734">
        <f>(3040+2710+2200+2410)/4</f>
        <v>2590</v>
      </c>
      <c r="Q61" s="321" t="s">
        <v>317</v>
      </c>
      <c r="R61" s="733"/>
      <c r="S61" s="734"/>
      <c r="T61" s="734"/>
      <c r="U61" s="321"/>
      <c r="V61" s="733" t="str">
        <f t="shared" si="3"/>
        <v/>
      </c>
      <c r="W61" s="734" t="str">
        <f t="shared" si="4"/>
        <v/>
      </c>
      <c r="X61" s="734" t="str">
        <f t="shared" si="5"/>
        <v/>
      </c>
      <c r="Y61" s="744" t="str">
        <f t="shared" si="6"/>
        <v/>
      </c>
      <c r="Z61" s="746"/>
      <c r="AA61" s="745" t="s">
        <v>125</v>
      </c>
      <c r="AB61" s="746" t="s">
        <v>125</v>
      </c>
      <c r="AC61" s="747" t="str">
        <f t="shared" si="7"/>
        <v/>
      </c>
      <c r="AD61" s="748" t="str">
        <f t="shared" si="8"/>
        <v/>
      </c>
      <c r="AE61" s="749" t="str">
        <f t="shared" si="9"/>
        <v/>
      </c>
      <c r="AF61" s="745"/>
      <c r="AG61" s="746"/>
      <c r="AH61" s="747" t="s">
        <v>125</v>
      </c>
      <c r="AI61" s="748" t="s">
        <v>125</v>
      </c>
      <c r="AJ61" s="750" t="s">
        <v>125</v>
      </c>
      <c r="AK61" s="733" t="str">
        <f t="shared" si="10"/>
        <v/>
      </c>
      <c r="AL61" s="734" t="str">
        <f t="shared" si="11"/>
        <v/>
      </c>
      <c r="AM61" s="734" t="str">
        <f t="shared" si="12"/>
        <v/>
      </c>
      <c r="AN61" s="744" t="str">
        <f t="shared" si="13"/>
        <v/>
      </c>
      <c r="AO61" s="746"/>
      <c r="AP61" s="745" t="s">
        <v>125</v>
      </c>
      <c r="AQ61" s="746" t="s">
        <v>125</v>
      </c>
      <c r="AR61" s="747" t="str">
        <f t="shared" si="14"/>
        <v/>
      </c>
      <c r="AS61" s="748" t="str">
        <f t="shared" si="15"/>
        <v/>
      </c>
      <c r="AT61" s="749" t="str">
        <f t="shared" si="16"/>
        <v/>
      </c>
      <c r="AU61" s="745"/>
      <c r="AV61" s="746"/>
      <c r="AW61" s="747" t="s">
        <v>125</v>
      </c>
      <c r="AX61" s="748" t="s">
        <v>125</v>
      </c>
      <c r="AY61" s="750" t="s">
        <v>125</v>
      </c>
      <c r="AZ61" s="733" t="str">
        <f t="shared" si="17"/>
        <v/>
      </c>
      <c r="BA61" s="734" t="str">
        <f t="shared" si="18"/>
        <v/>
      </c>
      <c r="BB61" s="734" t="str">
        <f t="shared" si="19"/>
        <v/>
      </c>
      <c r="BC61" s="744" t="str">
        <f t="shared" si="20"/>
        <v/>
      </c>
      <c r="BD61" s="745" t="s">
        <v>125</v>
      </c>
      <c r="BE61" s="746" t="s">
        <v>125</v>
      </c>
      <c r="BF61" s="747" t="str">
        <f t="shared" si="21"/>
        <v/>
      </c>
      <c r="BG61" s="748" t="str">
        <f t="shared" si="22"/>
        <v/>
      </c>
      <c r="BH61" s="749" t="str">
        <f t="shared" si="23"/>
        <v/>
      </c>
      <c r="BI61" s="745"/>
      <c r="BJ61" s="746"/>
      <c r="BK61" s="747" t="s">
        <v>125</v>
      </c>
      <c r="BL61" s="748" t="s">
        <v>125</v>
      </c>
      <c r="BM61" s="750" t="s">
        <v>125</v>
      </c>
      <c r="BN61" s="1003" t="str">
        <f t="shared" si="24"/>
        <v/>
      </c>
      <c r="BO61" s="751" t="s">
        <v>1654</v>
      </c>
      <c r="BP61" s="751" t="s">
        <v>1655</v>
      </c>
      <c r="BQ61" s="744" t="str">
        <f t="shared" si="25"/>
        <v>kg/ha</v>
      </c>
      <c r="BR61" s="755">
        <f>(20+22)/2</f>
        <v>21</v>
      </c>
      <c r="BS61" s="756">
        <f>(6+0+8+0)/4</f>
        <v>3.5</v>
      </c>
      <c r="BT61" s="755"/>
      <c r="BU61" s="756"/>
      <c r="BV61" s="755"/>
      <c r="BW61" s="757"/>
      <c r="BX61" s="755"/>
      <c r="BY61" s="756"/>
      <c r="BZ61" s="752" t="s">
        <v>329</v>
      </c>
      <c r="CA61" s="733"/>
      <c r="CB61" s="734"/>
      <c r="CC61" s="734"/>
      <c r="CD61" s="321"/>
    </row>
    <row r="62" spans="2:82" s="680" customFormat="1" x14ac:dyDescent="0.25">
      <c r="B62" s="729" t="str">
        <f t="shared" si="0"/>
        <v>plant-based</v>
      </c>
      <c r="C62" s="730" t="s">
        <v>326</v>
      </c>
      <c r="D62" s="730" t="s">
        <v>327</v>
      </c>
      <c r="E62" s="731" t="s">
        <v>264</v>
      </c>
      <c r="F62" s="680" t="s">
        <v>428</v>
      </c>
      <c r="G62" s="680" t="s">
        <v>291</v>
      </c>
      <c r="H62" s="731" t="s">
        <v>248</v>
      </c>
      <c r="I62" s="732" t="s">
        <v>278</v>
      </c>
      <c r="J62" s="730" t="s">
        <v>392</v>
      </c>
      <c r="K62" s="680" t="s">
        <v>397</v>
      </c>
      <c r="L62" s="732" t="s">
        <v>400</v>
      </c>
      <c r="M62" s="729" t="str">
        <f t="shared" si="29"/>
        <v>ha</v>
      </c>
      <c r="N62" s="733">
        <f>O62/P62</f>
        <v>0.84896037661828172</v>
      </c>
      <c r="O62" s="734">
        <f>(5850+4970)/2</f>
        <v>5410</v>
      </c>
      <c r="P62" s="734">
        <f>(6700+6830+6470+5490)/4</f>
        <v>6372.5</v>
      </c>
      <c r="Q62" s="321" t="s">
        <v>317</v>
      </c>
      <c r="R62" s="733"/>
      <c r="S62" s="734"/>
      <c r="T62" s="734"/>
      <c r="U62" s="321"/>
      <c r="V62" s="733" t="str">
        <f t="shared" si="3"/>
        <v/>
      </c>
      <c r="W62" s="734" t="str">
        <f t="shared" si="4"/>
        <v/>
      </c>
      <c r="X62" s="734" t="str">
        <f t="shared" si="5"/>
        <v/>
      </c>
      <c r="Y62" s="744" t="str">
        <f t="shared" si="6"/>
        <v/>
      </c>
      <c r="Z62" s="746"/>
      <c r="AA62" s="745" t="s">
        <v>125</v>
      </c>
      <c r="AB62" s="746" t="s">
        <v>125</v>
      </c>
      <c r="AC62" s="747" t="str">
        <f t="shared" si="7"/>
        <v/>
      </c>
      <c r="AD62" s="748" t="str">
        <f t="shared" si="8"/>
        <v/>
      </c>
      <c r="AE62" s="749" t="str">
        <f t="shared" si="9"/>
        <v/>
      </c>
      <c r="AF62" s="745"/>
      <c r="AG62" s="746"/>
      <c r="AH62" s="747" t="s">
        <v>125</v>
      </c>
      <c r="AI62" s="748" t="s">
        <v>125</v>
      </c>
      <c r="AJ62" s="750" t="s">
        <v>125</v>
      </c>
      <c r="AK62" s="733" t="str">
        <f t="shared" si="10"/>
        <v/>
      </c>
      <c r="AL62" s="734" t="str">
        <f t="shared" si="11"/>
        <v/>
      </c>
      <c r="AM62" s="734" t="str">
        <f t="shared" si="12"/>
        <v/>
      </c>
      <c r="AN62" s="744" t="str">
        <f t="shared" si="13"/>
        <v/>
      </c>
      <c r="AO62" s="746"/>
      <c r="AP62" s="745" t="s">
        <v>125</v>
      </c>
      <c r="AQ62" s="746" t="s">
        <v>125</v>
      </c>
      <c r="AR62" s="747" t="str">
        <f t="shared" si="14"/>
        <v/>
      </c>
      <c r="AS62" s="748" t="str">
        <f t="shared" si="15"/>
        <v/>
      </c>
      <c r="AT62" s="749" t="str">
        <f t="shared" si="16"/>
        <v/>
      </c>
      <c r="AU62" s="745"/>
      <c r="AV62" s="746"/>
      <c r="AW62" s="747" t="s">
        <v>125</v>
      </c>
      <c r="AX62" s="748" t="s">
        <v>125</v>
      </c>
      <c r="AY62" s="750" t="s">
        <v>125</v>
      </c>
      <c r="AZ62" s="733" t="str">
        <f t="shared" si="17"/>
        <v/>
      </c>
      <c r="BA62" s="734" t="str">
        <f t="shared" si="18"/>
        <v/>
      </c>
      <c r="BB62" s="734" t="str">
        <f t="shared" si="19"/>
        <v/>
      </c>
      <c r="BC62" s="744" t="str">
        <f t="shared" si="20"/>
        <v/>
      </c>
      <c r="BD62" s="745" t="s">
        <v>125</v>
      </c>
      <c r="BE62" s="746" t="s">
        <v>125</v>
      </c>
      <c r="BF62" s="747" t="str">
        <f t="shared" si="21"/>
        <v/>
      </c>
      <c r="BG62" s="748" t="str">
        <f t="shared" si="22"/>
        <v/>
      </c>
      <c r="BH62" s="749" t="str">
        <f t="shared" si="23"/>
        <v/>
      </c>
      <c r="BI62" s="745"/>
      <c r="BJ62" s="746"/>
      <c r="BK62" s="747" t="s">
        <v>125</v>
      </c>
      <c r="BL62" s="748" t="s">
        <v>125</v>
      </c>
      <c r="BM62" s="750" t="s">
        <v>125</v>
      </c>
      <c r="BN62" s="1003" t="str">
        <f t="shared" si="24"/>
        <v/>
      </c>
      <c r="BO62" s="751" t="s">
        <v>1654</v>
      </c>
      <c r="BP62" s="751" t="s">
        <v>1655</v>
      </c>
      <c r="BQ62" s="744" t="str">
        <f t="shared" si="25"/>
        <v>kg/ha</v>
      </c>
      <c r="BR62" s="755">
        <f>(20+22)/2</f>
        <v>21</v>
      </c>
      <c r="BS62" s="756">
        <f>(6+0+8+0)/4</f>
        <v>3.5</v>
      </c>
      <c r="BT62" s="755"/>
      <c r="BU62" s="756"/>
      <c r="BV62" s="755"/>
      <c r="BW62" s="757"/>
      <c r="BX62" s="755"/>
      <c r="BY62" s="756"/>
      <c r="BZ62" s="752" t="s">
        <v>329</v>
      </c>
      <c r="CA62" s="733"/>
      <c r="CB62" s="734"/>
      <c r="CC62" s="734"/>
      <c r="CD62" s="321"/>
    </row>
    <row r="63" spans="2:82" s="680" customFormat="1" x14ac:dyDescent="0.25">
      <c r="B63" s="729" t="str">
        <f t="shared" si="0"/>
        <v>plant-based</v>
      </c>
      <c r="C63" s="730" t="s">
        <v>429</v>
      </c>
      <c r="D63" s="730" t="s">
        <v>430</v>
      </c>
      <c r="E63" s="731" t="s">
        <v>264</v>
      </c>
      <c r="F63" s="680" t="s">
        <v>431</v>
      </c>
      <c r="G63" s="680" t="s">
        <v>291</v>
      </c>
      <c r="H63" s="731" t="s">
        <v>248</v>
      </c>
      <c r="I63" s="760" t="s">
        <v>248</v>
      </c>
      <c r="J63" s="730" t="s">
        <v>392</v>
      </c>
      <c r="K63" s="680" t="s">
        <v>399</v>
      </c>
      <c r="L63" s="732"/>
      <c r="M63" s="729" t="str">
        <f t="shared" si="29"/>
        <v>ha</v>
      </c>
      <c r="N63" s="733">
        <f>O63/P63</f>
        <v>0.73626553302812281</v>
      </c>
      <c r="O63" s="734">
        <f>(3.93+5.02+3.88+4.97+3.01+3.56+2.44+3.66+3.23+4.26+2.4+4.67)/12</f>
        <v>3.7524999999999995</v>
      </c>
      <c r="P63" s="734">
        <f>(5.47+5.03+4.79)/3</f>
        <v>5.0966666666666667</v>
      </c>
      <c r="Q63" s="321" t="s">
        <v>432</v>
      </c>
      <c r="R63" s="733"/>
      <c r="S63" s="734"/>
      <c r="T63" s="734"/>
      <c r="U63" s="321"/>
      <c r="V63" s="733" t="str">
        <f t="shared" si="3"/>
        <v/>
      </c>
      <c r="W63" s="734" t="str">
        <f t="shared" si="4"/>
        <v/>
      </c>
      <c r="X63" s="734" t="str">
        <f t="shared" si="5"/>
        <v/>
      </c>
      <c r="Y63" s="744" t="str">
        <f t="shared" si="6"/>
        <v/>
      </c>
      <c r="Z63" s="746"/>
      <c r="AA63" s="745" t="s">
        <v>125</v>
      </c>
      <c r="AB63" s="746" t="s">
        <v>125</v>
      </c>
      <c r="AC63" s="747" t="str">
        <f t="shared" si="7"/>
        <v/>
      </c>
      <c r="AD63" s="748" t="str">
        <f t="shared" si="8"/>
        <v/>
      </c>
      <c r="AE63" s="749" t="str">
        <f t="shared" si="9"/>
        <v/>
      </c>
      <c r="AF63" s="745"/>
      <c r="AG63" s="746"/>
      <c r="AH63" s="747" t="s">
        <v>125</v>
      </c>
      <c r="AI63" s="748" t="s">
        <v>125</v>
      </c>
      <c r="AJ63" s="750" t="s">
        <v>125</v>
      </c>
      <c r="AK63" s="733" t="str">
        <f t="shared" si="10"/>
        <v/>
      </c>
      <c r="AL63" s="734" t="str">
        <f t="shared" si="11"/>
        <v/>
      </c>
      <c r="AM63" s="734" t="str">
        <f t="shared" si="12"/>
        <v/>
      </c>
      <c r="AN63" s="744" t="str">
        <f t="shared" si="13"/>
        <v/>
      </c>
      <c r="AO63" s="746"/>
      <c r="AP63" s="745" t="s">
        <v>125</v>
      </c>
      <c r="AQ63" s="746" t="s">
        <v>125</v>
      </c>
      <c r="AR63" s="747" t="str">
        <f t="shared" si="14"/>
        <v/>
      </c>
      <c r="AS63" s="748" t="str">
        <f t="shared" si="15"/>
        <v/>
      </c>
      <c r="AT63" s="749" t="str">
        <f t="shared" si="16"/>
        <v/>
      </c>
      <c r="AU63" s="745"/>
      <c r="AV63" s="746"/>
      <c r="AW63" s="747" t="s">
        <v>125</v>
      </c>
      <c r="AX63" s="748" t="s">
        <v>125</v>
      </c>
      <c r="AY63" s="750" t="s">
        <v>125</v>
      </c>
      <c r="AZ63" s="733" t="str">
        <f t="shared" si="17"/>
        <v/>
      </c>
      <c r="BA63" s="734" t="str">
        <f t="shared" si="18"/>
        <v/>
      </c>
      <c r="BB63" s="734" t="str">
        <f t="shared" si="19"/>
        <v/>
      </c>
      <c r="BC63" s="744" t="str">
        <f t="shared" si="20"/>
        <v/>
      </c>
      <c r="BD63" s="745" t="s">
        <v>125</v>
      </c>
      <c r="BE63" s="746" t="s">
        <v>125</v>
      </c>
      <c r="BF63" s="747" t="str">
        <f t="shared" si="21"/>
        <v/>
      </c>
      <c r="BG63" s="748" t="str">
        <f t="shared" si="22"/>
        <v/>
      </c>
      <c r="BH63" s="749" t="str">
        <f t="shared" si="23"/>
        <v/>
      </c>
      <c r="BI63" s="745"/>
      <c r="BJ63" s="746"/>
      <c r="BK63" s="747" t="s">
        <v>125</v>
      </c>
      <c r="BL63" s="748" t="s">
        <v>125</v>
      </c>
      <c r="BM63" s="750" t="s">
        <v>125</v>
      </c>
      <c r="BN63" s="1002" t="str">
        <f t="shared" si="24"/>
        <v/>
      </c>
      <c r="BO63" s="751" t="s">
        <v>125</v>
      </c>
      <c r="BP63" s="751" t="s">
        <v>125</v>
      </c>
      <c r="BQ63" s="744" t="str">
        <f t="shared" si="25"/>
        <v/>
      </c>
      <c r="BR63" s="755"/>
      <c r="BS63" s="756"/>
      <c r="BT63" s="755"/>
      <c r="BU63" s="756"/>
      <c r="BV63" s="755"/>
      <c r="BW63" s="757"/>
      <c r="BX63" s="755"/>
      <c r="BY63" s="756"/>
      <c r="BZ63" s="752" t="s">
        <v>125</v>
      </c>
      <c r="CA63" s="733"/>
      <c r="CB63" s="734"/>
      <c r="CC63" s="734"/>
      <c r="CD63" s="321"/>
    </row>
    <row r="64" spans="2:82" s="680" customFormat="1" x14ac:dyDescent="0.25">
      <c r="B64" s="729" t="str">
        <f t="shared" si="0"/>
        <v>plant-based</v>
      </c>
      <c r="C64" s="730" t="s">
        <v>429</v>
      </c>
      <c r="D64" s="730" t="s">
        <v>430</v>
      </c>
      <c r="E64" s="731" t="s">
        <v>264</v>
      </c>
      <c r="F64" s="680" t="s">
        <v>431</v>
      </c>
      <c r="G64" s="680" t="s">
        <v>291</v>
      </c>
      <c r="H64" s="731" t="s">
        <v>248</v>
      </c>
      <c r="I64" s="760" t="s">
        <v>248</v>
      </c>
      <c r="J64" s="730" t="s">
        <v>392</v>
      </c>
      <c r="K64" s="680" t="s">
        <v>397</v>
      </c>
      <c r="L64" s="732"/>
      <c r="M64" s="729" t="str">
        <f t="shared" si="29"/>
        <v>ha</v>
      </c>
      <c r="N64" s="733">
        <f>O64/P64</f>
        <v>0.50745573159366253</v>
      </c>
      <c r="O64" s="734">
        <f>(4.56+5.26+2.33+5.39+4.13+4.59+2.8+5.07+3.06+2.25+0.86+3.26)/12</f>
        <v>3.6299999999999994</v>
      </c>
      <c r="P64" s="734">
        <f>(7.4+8.37+5.69)/3</f>
        <v>7.1533333333333333</v>
      </c>
      <c r="Q64" s="321" t="s">
        <v>432</v>
      </c>
      <c r="R64" s="733"/>
      <c r="S64" s="734"/>
      <c r="T64" s="734"/>
      <c r="U64" s="321"/>
      <c r="V64" s="733" t="str">
        <f t="shared" si="3"/>
        <v/>
      </c>
      <c r="W64" s="734" t="str">
        <f t="shared" si="4"/>
        <v/>
      </c>
      <c r="X64" s="734" t="str">
        <f t="shared" si="5"/>
        <v/>
      </c>
      <c r="Y64" s="744" t="str">
        <f t="shared" si="6"/>
        <v/>
      </c>
      <c r="Z64" s="746"/>
      <c r="AA64" s="745" t="s">
        <v>125</v>
      </c>
      <c r="AB64" s="746" t="s">
        <v>125</v>
      </c>
      <c r="AC64" s="747" t="str">
        <f t="shared" si="7"/>
        <v/>
      </c>
      <c r="AD64" s="748" t="str">
        <f t="shared" si="8"/>
        <v/>
      </c>
      <c r="AE64" s="749" t="str">
        <f t="shared" si="9"/>
        <v/>
      </c>
      <c r="AF64" s="745"/>
      <c r="AG64" s="746"/>
      <c r="AH64" s="747" t="s">
        <v>125</v>
      </c>
      <c r="AI64" s="748" t="s">
        <v>125</v>
      </c>
      <c r="AJ64" s="750" t="s">
        <v>125</v>
      </c>
      <c r="AK64" s="733" t="str">
        <f t="shared" si="10"/>
        <v/>
      </c>
      <c r="AL64" s="734" t="str">
        <f t="shared" si="11"/>
        <v/>
      </c>
      <c r="AM64" s="734" t="str">
        <f t="shared" si="12"/>
        <v/>
      </c>
      <c r="AN64" s="744" t="str">
        <f t="shared" si="13"/>
        <v/>
      </c>
      <c r="AO64" s="746"/>
      <c r="AP64" s="745" t="s">
        <v>125</v>
      </c>
      <c r="AQ64" s="746" t="s">
        <v>125</v>
      </c>
      <c r="AR64" s="747" t="str">
        <f t="shared" si="14"/>
        <v/>
      </c>
      <c r="AS64" s="748" t="str">
        <f t="shared" si="15"/>
        <v/>
      </c>
      <c r="AT64" s="749" t="str">
        <f t="shared" si="16"/>
        <v/>
      </c>
      <c r="AU64" s="745"/>
      <c r="AV64" s="746"/>
      <c r="AW64" s="747" t="s">
        <v>125</v>
      </c>
      <c r="AX64" s="748" t="s">
        <v>125</v>
      </c>
      <c r="AY64" s="750" t="s">
        <v>125</v>
      </c>
      <c r="AZ64" s="733" t="str">
        <f t="shared" si="17"/>
        <v/>
      </c>
      <c r="BA64" s="734" t="str">
        <f t="shared" si="18"/>
        <v/>
      </c>
      <c r="BB64" s="734" t="str">
        <f t="shared" si="19"/>
        <v/>
      </c>
      <c r="BC64" s="744" t="str">
        <f t="shared" si="20"/>
        <v/>
      </c>
      <c r="BD64" s="745" t="s">
        <v>125</v>
      </c>
      <c r="BE64" s="746" t="s">
        <v>125</v>
      </c>
      <c r="BF64" s="747" t="str">
        <f t="shared" si="21"/>
        <v/>
      </c>
      <c r="BG64" s="748" t="str">
        <f t="shared" si="22"/>
        <v/>
      </c>
      <c r="BH64" s="749" t="str">
        <f t="shared" si="23"/>
        <v/>
      </c>
      <c r="BI64" s="745"/>
      <c r="BJ64" s="746"/>
      <c r="BK64" s="747" t="s">
        <v>125</v>
      </c>
      <c r="BL64" s="748" t="s">
        <v>125</v>
      </c>
      <c r="BM64" s="750" t="s">
        <v>125</v>
      </c>
      <c r="BN64" s="1002" t="str">
        <f t="shared" si="24"/>
        <v/>
      </c>
      <c r="BO64" s="751" t="s">
        <v>125</v>
      </c>
      <c r="BP64" s="751" t="s">
        <v>125</v>
      </c>
      <c r="BQ64" s="744" t="str">
        <f t="shared" si="25"/>
        <v/>
      </c>
      <c r="BR64" s="755"/>
      <c r="BS64" s="756"/>
      <c r="BT64" s="755"/>
      <c r="BU64" s="756"/>
      <c r="BV64" s="755"/>
      <c r="BW64" s="757"/>
      <c r="BX64" s="755"/>
      <c r="BY64" s="756"/>
      <c r="BZ64" s="752" t="s">
        <v>125</v>
      </c>
      <c r="CA64" s="733"/>
      <c r="CB64" s="734"/>
      <c r="CC64" s="734"/>
      <c r="CD64" s="321"/>
    </row>
    <row r="65" spans="2:82" s="680" customFormat="1" x14ac:dyDescent="0.25">
      <c r="B65" s="729" t="str">
        <f t="shared" si="0"/>
        <v>plant-based</v>
      </c>
      <c r="C65" s="730" t="s">
        <v>433</v>
      </c>
      <c r="D65" s="730" t="s">
        <v>434</v>
      </c>
      <c r="E65" s="731" t="s">
        <v>264</v>
      </c>
      <c r="F65" s="680" t="s">
        <v>435</v>
      </c>
      <c r="G65" s="680" t="s">
        <v>436</v>
      </c>
      <c r="H65" s="731" t="s">
        <v>248</v>
      </c>
      <c r="I65" s="760" t="s">
        <v>248</v>
      </c>
      <c r="J65" s="730" t="s">
        <v>384</v>
      </c>
      <c r="K65" s="680" t="s">
        <v>404</v>
      </c>
      <c r="L65" s="732"/>
      <c r="M65" s="729" t="str">
        <f t="shared" si="29"/>
        <v>ha</v>
      </c>
      <c r="N65" s="733">
        <v>0.86185044359949303</v>
      </c>
      <c r="O65" s="734">
        <v>2040</v>
      </c>
      <c r="P65" s="734">
        <v>2367</v>
      </c>
      <c r="Q65" s="321" t="s">
        <v>317</v>
      </c>
      <c r="R65" s="733"/>
      <c r="S65" s="734"/>
      <c r="T65" s="734"/>
      <c r="U65" s="321"/>
      <c r="V65" s="733" t="str">
        <f t="shared" si="3"/>
        <v/>
      </c>
      <c r="W65" s="734" t="str">
        <f t="shared" si="4"/>
        <v/>
      </c>
      <c r="X65" s="734" t="str">
        <f t="shared" si="5"/>
        <v/>
      </c>
      <c r="Y65" s="744" t="str">
        <f t="shared" si="6"/>
        <v/>
      </c>
      <c r="Z65" s="746"/>
      <c r="AA65" s="745" t="s">
        <v>125</v>
      </c>
      <c r="AB65" s="746" t="s">
        <v>125</v>
      </c>
      <c r="AC65" s="747" t="str">
        <f t="shared" si="7"/>
        <v/>
      </c>
      <c r="AD65" s="748" t="str">
        <f t="shared" si="8"/>
        <v/>
      </c>
      <c r="AE65" s="749" t="str">
        <f t="shared" si="9"/>
        <v/>
      </c>
      <c r="AF65" s="745"/>
      <c r="AG65" s="746"/>
      <c r="AH65" s="747" t="s">
        <v>125</v>
      </c>
      <c r="AI65" s="748" t="s">
        <v>125</v>
      </c>
      <c r="AJ65" s="750" t="s">
        <v>125</v>
      </c>
      <c r="AK65" s="733" t="str">
        <f t="shared" si="10"/>
        <v/>
      </c>
      <c r="AL65" s="734" t="str">
        <f t="shared" si="11"/>
        <v/>
      </c>
      <c r="AM65" s="734" t="str">
        <f t="shared" si="12"/>
        <v/>
      </c>
      <c r="AN65" s="744" t="str">
        <f t="shared" si="13"/>
        <v/>
      </c>
      <c r="AO65" s="746"/>
      <c r="AP65" s="745" t="s">
        <v>125</v>
      </c>
      <c r="AQ65" s="746" t="s">
        <v>125</v>
      </c>
      <c r="AR65" s="747" t="str">
        <f t="shared" si="14"/>
        <v/>
      </c>
      <c r="AS65" s="748" t="str">
        <f t="shared" si="15"/>
        <v/>
      </c>
      <c r="AT65" s="749" t="str">
        <f t="shared" si="16"/>
        <v/>
      </c>
      <c r="AU65" s="745"/>
      <c r="AV65" s="746"/>
      <c r="AW65" s="747" t="s">
        <v>125</v>
      </c>
      <c r="AX65" s="748" t="s">
        <v>125</v>
      </c>
      <c r="AY65" s="750" t="s">
        <v>125</v>
      </c>
      <c r="AZ65" s="733" t="str">
        <f t="shared" si="17"/>
        <v/>
      </c>
      <c r="BA65" s="734" t="str">
        <f t="shared" si="18"/>
        <v/>
      </c>
      <c r="BB65" s="734" t="str">
        <f t="shared" si="19"/>
        <v/>
      </c>
      <c r="BC65" s="744" t="str">
        <f t="shared" si="20"/>
        <v/>
      </c>
      <c r="BD65" s="745" t="s">
        <v>125</v>
      </c>
      <c r="BE65" s="746" t="s">
        <v>125</v>
      </c>
      <c r="BF65" s="747" t="str">
        <f t="shared" si="21"/>
        <v/>
      </c>
      <c r="BG65" s="748" t="str">
        <f t="shared" si="22"/>
        <v/>
      </c>
      <c r="BH65" s="749" t="str">
        <f t="shared" si="23"/>
        <v/>
      </c>
      <c r="BI65" s="745"/>
      <c r="BJ65" s="746"/>
      <c r="BK65" s="747" t="s">
        <v>125</v>
      </c>
      <c r="BL65" s="748" t="s">
        <v>125</v>
      </c>
      <c r="BM65" s="750" t="s">
        <v>125</v>
      </c>
      <c r="BN65" s="1002" t="str">
        <f t="shared" si="24"/>
        <v/>
      </c>
      <c r="BO65" s="751" t="s">
        <v>125</v>
      </c>
      <c r="BP65" s="751" t="s">
        <v>125</v>
      </c>
      <c r="BQ65" s="744" t="str">
        <f t="shared" si="25"/>
        <v/>
      </c>
      <c r="BR65" s="755"/>
      <c r="BS65" s="756"/>
      <c r="BT65" s="755"/>
      <c r="BU65" s="756"/>
      <c r="BV65" s="755"/>
      <c r="BW65" s="757"/>
      <c r="BX65" s="755"/>
      <c r="BY65" s="756"/>
      <c r="BZ65" s="752" t="s">
        <v>125</v>
      </c>
      <c r="CA65" s="733"/>
      <c r="CB65" s="734"/>
      <c r="CC65" s="734"/>
      <c r="CD65" s="321"/>
    </row>
    <row r="66" spans="2:82" s="680" customFormat="1" x14ac:dyDescent="0.25">
      <c r="B66" s="729" t="str">
        <f t="shared" si="0"/>
        <v>plant-based</v>
      </c>
      <c r="C66" s="730" t="s">
        <v>340</v>
      </c>
      <c r="D66" s="730" t="s">
        <v>341</v>
      </c>
      <c r="E66" s="731" t="s">
        <v>264</v>
      </c>
      <c r="F66" s="680" t="s">
        <v>342</v>
      </c>
      <c r="G66" s="680" t="s">
        <v>343</v>
      </c>
      <c r="H66" s="680" t="s">
        <v>344</v>
      </c>
      <c r="I66" s="732" t="s">
        <v>278</v>
      </c>
      <c r="J66" s="730" t="s">
        <v>392</v>
      </c>
      <c r="K66" s="680" t="s">
        <v>437</v>
      </c>
      <c r="L66" s="732"/>
      <c r="M66" s="729" t="str">
        <f t="shared" si="29"/>
        <v>ha</v>
      </c>
      <c r="N66" s="733">
        <f t="shared" ref="N66:N75" si="31">O66/P66</f>
        <v>0.73333333333333328</v>
      </c>
      <c r="O66" s="734">
        <v>2200</v>
      </c>
      <c r="P66" s="734">
        <v>3000</v>
      </c>
      <c r="Q66" s="321" t="s">
        <v>317</v>
      </c>
      <c r="R66" s="733"/>
      <c r="S66" s="734"/>
      <c r="T66" s="734"/>
      <c r="U66" s="321"/>
      <c r="V66" s="733">
        <f t="shared" si="3"/>
        <v>0.88870056497175143</v>
      </c>
      <c r="W66" s="734">
        <f t="shared" si="4"/>
        <v>142828.4</v>
      </c>
      <c r="X66" s="734">
        <f t="shared" si="5"/>
        <v>160716</v>
      </c>
      <c r="Y66" s="744" t="str">
        <f t="shared" si="6"/>
        <v>kg/ha</v>
      </c>
      <c r="Z66" s="998" t="s">
        <v>1571</v>
      </c>
      <c r="AA66" s="745">
        <v>64.921999999999997</v>
      </c>
      <c r="AB66" s="746">
        <v>53.572000000000003</v>
      </c>
      <c r="AC66" s="747" t="str">
        <f t="shared" si="7"/>
        <v>kg</v>
      </c>
      <c r="AD66" s="748" t="str">
        <f t="shared" si="8"/>
        <v>/</v>
      </c>
      <c r="AE66" s="749" t="str">
        <f t="shared" si="9"/>
        <v>kg</v>
      </c>
      <c r="AF66" s="745">
        <v>1.43</v>
      </c>
      <c r="AG66" s="746">
        <v>1.18</v>
      </c>
      <c r="AH66" s="747" t="s">
        <v>298</v>
      </c>
      <c r="AI66" s="748" t="s">
        <v>256</v>
      </c>
      <c r="AJ66" s="750" t="s">
        <v>299</v>
      </c>
      <c r="AK66" s="733">
        <f t="shared" si="10"/>
        <v>0.73333333333333339</v>
      </c>
      <c r="AL66" s="734">
        <f t="shared" si="11"/>
        <v>48.888888888888893</v>
      </c>
      <c r="AM66" s="734">
        <f t="shared" si="12"/>
        <v>66.666666666666671</v>
      </c>
      <c r="AN66" s="744" t="str">
        <f t="shared" si="13"/>
        <v>kWh/ha</v>
      </c>
      <c r="AO66" s="746" t="s">
        <v>1571</v>
      </c>
      <c r="AP66" s="745">
        <v>2.2222222222222223E-2</v>
      </c>
      <c r="AQ66" s="746">
        <v>2.2222222222222223E-2</v>
      </c>
      <c r="AR66" s="747" t="str">
        <f t="shared" si="14"/>
        <v>kWh</v>
      </c>
      <c r="AS66" s="748" t="str">
        <f t="shared" si="15"/>
        <v>/</v>
      </c>
      <c r="AT66" s="749" t="str">
        <f t="shared" si="16"/>
        <v>kg</v>
      </c>
      <c r="AU66" s="745">
        <v>0.08</v>
      </c>
      <c r="AV66" s="746">
        <v>0.08</v>
      </c>
      <c r="AW66" s="747" t="s">
        <v>298</v>
      </c>
      <c r="AX66" s="748" t="s">
        <v>256</v>
      </c>
      <c r="AY66" s="750" t="s">
        <v>299</v>
      </c>
      <c r="AZ66" s="733" t="str">
        <f t="shared" si="17"/>
        <v/>
      </c>
      <c r="BA66" s="734" t="str">
        <f t="shared" si="18"/>
        <v/>
      </c>
      <c r="BB66" s="734" t="str">
        <f t="shared" si="19"/>
        <v/>
      </c>
      <c r="BC66" s="744" t="str">
        <f t="shared" si="20"/>
        <v/>
      </c>
      <c r="BD66" s="745" t="s">
        <v>125</v>
      </c>
      <c r="BE66" s="746" t="s">
        <v>125</v>
      </c>
      <c r="BF66" s="747" t="str">
        <f t="shared" si="21"/>
        <v/>
      </c>
      <c r="BG66" s="748" t="str">
        <f t="shared" si="22"/>
        <v/>
      </c>
      <c r="BH66" s="749" t="str">
        <f t="shared" si="23"/>
        <v/>
      </c>
      <c r="BI66" s="745"/>
      <c r="BJ66" s="746"/>
      <c r="BK66" s="747" t="s">
        <v>125</v>
      </c>
      <c r="BL66" s="748" t="s">
        <v>125</v>
      </c>
      <c r="BM66" s="750" t="s">
        <v>125</v>
      </c>
      <c r="BN66" s="1002" t="str">
        <f t="shared" si="24"/>
        <v/>
      </c>
      <c r="BO66" s="751" t="s">
        <v>125</v>
      </c>
      <c r="BP66" s="751" t="s">
        <v>125</v>
      </c>
      <c r="BQ66" s="744" t="str">
        <f t="shared" si="25"/>
        <v/>
      </c>
      <c r="BR66" s="755"/>
      <c r="BS66" s="756"/>
      <c r="BT66" s="755"/>
      <c r="BU66" s="756"/>
      <c r="BV66" s="755"/>
      <c r="BW66" s="757"/>
      <c r="BX66" s="755"/>
      <c r="BY66" s="756"/>
      <c r="BZ66" s="752" t="s">
        <v>125</v>
      </c>
      <c r="CA66" s="733"/>
      <c r="CB66" s="734"/>
      <c r="CC66" s="734"/>
      <c r="CD66" s="321"/>
    </row>
    <row r="67" spans="2:82" s="680" customFormat="1" x14ac:dyDescent="0.25">
      <c r="B67" s="729" t="str">
        <f t="shared" si="0"/>
        <v>plant-based</v>
      </c>
      <c r="C67" s="730" t="s">
        <v>438</v>
      </c>
      <c r="D67" s="730" t="s">
        <v>439</v>
      </c>
      <c r="E67" s="731" t="s">
        <v>247</v>
      </c>
      <c r="F67" s="680" t="s">
        <v>248</v>
      </c>
      <c r="G67" s="680" t="s">
        <v>440</v>
      </c>
      <c r="H67" s="731" t="s">
        <v>248</v>
      </c>
      <c r="I67" s="760" t="s">
        <v>248</v>
      </c>
      <c r="J67" s="730" t="s">
        <v>392</v>
      </c>
      <c r="K67" s="680" t="s">
        <v>399</v>
      </c>
      <c r="L67" s="732"/>
      <c r="M67" s="729" t="str">
        <f t="shared" si="29"/>
        <v>ha</v>
      </c>
      <c r="N67" s="733">
        <f t="shared" si="31"/>
        <v>0.74357429718875501</v>
      </c>
      <c r="O67" s="734">
        <v>3703</v>
      </c>
      <c r="P67" s="734">
        <v>4980</v>
      </c>
      <c r="Q67" s="321" t="s">
        <v>317</v>
      </c>
      <c r="R67" s="733"/>
      <c r="S67" s="734"/>
      <c r="T67" s="734"/>
      <c r="U67" s="321"/>
      <c r="V67" s="733" t="str">
        <f t="shared" si="3"/>
        <v/>
      </c>
      <c r="W67" s="734" t="str">
        <f t="shared" si="4"/>
        <v/>
      </c>
      <c r="X67" s="734" t="str">
        <f t="shared" si="5"/>
        <v/>
      </c>
      <c r="Y67" s="744" t="str">
        <f t="shared" si="6"/>
        <v/>
      </c>
      <c r="Z67" s="746"/>
      <c r="AA67" s="745" t="s">
        <v>125</v>
      </c>
      <c r="AB67" s="746" t="s">
        <v>125</v>
      </c>
      <c r="AC67" s="747" t="str">
        <f t="shared" si="7"/>
        <v/>
      </c>
      <c r="AD67" s="748" t="str">
        <f t="shared" si="8"/>
        <v/>
      </c>
      <c r="AE67" s="749" t="str">
        <f t="shared" si="9"/>
        <v/>
      </c>
      <c r="AF67" s="745"/>
      <c r="AG67" s="746"/>
      <c r="AH67" s="747" t="s">
        <v>125</v>
      </c>
      <c r="AI67" s="748" t="s">
        <v>125</v>
      </c>
      <c r="AJ67" s="750" t="s">
        <v>125</v>
      </c>
      <c r="AK67" s="733" t="str">
        <f t="shared" si="10"/>
        <v/>
      </c>
      <c r="AL67" s="734" t="str">
        <f t="shared" si="11"/>
        <v/>
      </c>
      <c r="AM67" s="734" t="str">
        <f t="shared" si="12"/>
        <v/>
      </c>
      <c r="AN67" s="744" t="str">
        <f t="shared" si="13"/>
        <v/>
      </c>
      <c r="AO67" s="746"/>
      <c r="AP67" s="745" t="s">
        <v>125</v>
      </c>
      <c r="AQ67" s="746" t="s">
        <v>125</v>
      </c>
      <c r="AR67" s="747" t="str">
        <f t="shared" si="14"/>
        <v/>
      </c>
      <c r="AS67" s="748" t="str">
        <f t="shared" si="15"/>
        <v/>
      </c>
      <c r="AT67" s="749" t="str">
        <f t="shared" si="16"/>
        <v/>
      </c>
      <c r="AU67" s="745"/>
      <c r="AV67" s="746"/>
      <c r="AW67" s="747" t="s">
        <v>125</v>
      </c>
      <c r="AX67" s="748" t="s">
        <v>125</v>
      </c>
      <c r="AY67" s="750" t="s">
        <v>125</v>
      </c>
      <c r="AZ67" s="733" t="str">
        <f t="shared" si="17"/>
        <v/>
      </c>
      <c r="BA67" s="734" t="str">
        <f t="shared" si="18"/>
        <v/>
      </c>
      <c r="BB67" s="734" t="str">
        <f t="shared" si="19"/>
        <v/>
      </c>
      <c r="BC67" s="744" t="str">
        <f t="shared" si="20"/>
        <v/>
      </c>
      <c r="BD67" s="745" t="s">
        <v>125</v>
      </c>
      <c r="BE67" s="746" t="s">
        <v>125</v>
      </c>
      <c r="BF67" s="747" t="str">
        <f t="shared" si="21"/>
        <v/>
      </c>
      <c r="BG67" s="748" t="str">
        <f t="shared" si="22"/>
        <v/>
      </c>
      <c r="BH67" s="749" t="str">
        <f t="shared" si="23"/>
        <v/>
      </c>
      <c r="BI67" s="745"/>
      <c r="BJ67" s="746"/>
      <c r="BK67" s="747" t="s">
        <v>125</v>
      </c>
      <c r="BL67" s="748" t="s">
        <v>125</v>
      </c>
      <c r="BM67" s="750" t="s">
        <v>125</v>
      </c>
      <c r="BN67" s="1002" t="str">
        <f t="shared" si="24"/>
        <v/>
      </c>
      <c r="BO67" s="751" t="s">
        <v>125</v>
      </c>
      <c r="BP67" s="751" t="s">
        <v>125</v>
      </c>
      <c r="BQ67" s="744" t="str">
        <f t="shared" si="25"/>
        <v/>
      </c>
      <c r="BR67" s="755"/>
      <c r="BS67" s="756"/>
      <c r="BT67" s="755"/>
      <c r="BU67" s="756"/>
      <c r="BV67" s="755"/>
      <c r="BW67" s="757"/>
      <c r="BX67" s="755"/>
      <c r="BY67" s="756"/>
      <c r="BZ67" s="752" t="s">
        <v>125</v>
      </c>
      <c r="CA67" s="733"/>
      <c r="CB67" s="734"/>
      <c r="CC67" s="734"/>
      <c r="CD67" s="321"/>
    </row>
    <row r="68" spans="2:82" s="680" customFormat="1" x14ac:dyDescent="0.25">
      <c r="B68" s="729" t="str">
        <f t="shared" si="0"/>
        <v>plant-based</v>
      </c>
      <c r="C68" s="730" t="s">
        <v>438</v>
      </c>
      <c r="D68" s="730" t="s">
        <v>439</v>
      </c>
      <c r="E68" s="731" t="s">
        <v>247</v>
      </c>
      <c r="F68" s="680" t="s">
        <v>248</v>
      </c>
      <c r="G68" s="680" t="s">
        <v>440</v>
      </c>
      <c r="H68" s="731" t="s">
        <v>248</v>
      </c>
      <c r="I68" s="760" t="s">
        <v>248</v>
      </c>
      <c r="J68" s="730" t="s">
        <v>392</v>
      </c>
      <c r="K68" s="680" t="s">
        <v>441</v>
      </c>
      <c r="L68" s="732"/>
      <c r="M68" s="729" t="str">
        <f t="shared" si="29"/>
        <v>ha</v>
      </c>
      <c r="N68" s="733">
        <f t="shared" si="31"/>
        <v>1.0206185567010309</v>
      </c>
      <c r="O68" s="734">
        <v>4059</v>
      </c>
      <c r="P68" s="734">
        <v>3977</v>
      </c>
      <c r="Q68" s="321" t="s">
        <v>317</v>
      </c>
      <c r="R68" s="733"/>
      <c r="S68" s="734"/>
      <c r="T68" s="734"/>
      <c r="U68" s="321"/>
      <c r="V68" s="733" t="str">
        <f t="shared" si="3"/>
        <v/>
      </c>
      <c r="W68" s="734" t="str">
        <f t="shared" si="4"/>
        <v/>
      </c>
      <c r="X68" s="734" t="str">
        <f t="shared" si="5"/>
        <v/>
      </c>
      <c r="Y68" s="744" t="str">
        <f t="shared" si="6"/>
        <v/>
      </c>
      <c r="Z68" s="746"/>
      <c r="AA68" s="745" t="s">
        <v>125</v>
      </c>
      <c r="AB68" s="746" t="s">
        <v>125</v>
      </c>
      <c r="AC68" s="747" t="str">
        <f t="shared" si="7"/>
        <v/>
      </c>
      <c r="AD68" s="748" t="str">
        <f t="shared" si="8"/>
        <v/>
      </c>
      <c r="AE68" s="749" t="str">
        <f t="shared" si="9"/>
        <v/>
      </c>
      <c r="AF68" s="745"/>
      <c r="AG68" s="746"/>
      <c r="AH68" s="747" t="s">
        <v>125</v>
      </c>
      <c r="AI68" s="748" t="s">
        <v>125</v>
      </c>
      <c r="AJ68" s="750" t="s">
        <v>125</v>
      </c>
      <c r="AK68" s="733" t="str">
        <f t="shared" si="10"/>
        <v/>
      </c>
      <c r="AL68" s="734" t="str">
        <f t="shared" si="11"/>
        <v/>
      </c>
      <c r="AM68" s="734" t="str">
        <f t="shared" si="12"/>
        <v/>
      </c>
      <c r="AN68" s="744" t="str">
        <f t="shared" si="13"/>
        <v/>
      </c>
      <c r="AO68" s="746"/>
      <c r="AP68" s="745" t="s">
        <v>125</v>
      </c>
      <c r="AQ68" s="746" t="s">
        <v>125</v>
      </c>
      <c r="AR68" s="747" t="str">
        <f t="shared" si="14"/>
        <v/>
      </c>
      <c r="AS68" s="748" t="str">
        <f t="shared" si="15"/>
        <v/>
      </c>
      <c r="AT68" s="749" t="str">
        <f t="shared" si="16"/>
        <v/>
      </c>
      <c r="AU68" s="745"/>
      <c r="AV68" s="746"/>
      <c r="AW68" s="747" t="s">
        <v>125</v>
      </c>
      <c r="AX68" s="748" t="s">
        <v>125</v>
      </c>
      <c r="AY68" s="750" t="s">
        <v>125</v>
      </c>
      <c r="AZ68" s="733" t="str">
        <f t="shared" si="17"/>
        <v/>
      </c>
      <c r="BA68" s="734" t="str">
        <f t="shared" si="18"/>
        <v/>
      </c>
      <c r="BB68" s="734" t="str">
        <f t="shared" si="19"/>
        <v/>
      </c>
      <c r="BC68" s="744" t="str">
        <f t="shared" si="20"/>
        <v/>
      </c>
      <c r="BD68" s="745" t="s">
        <v>125</v>
      </c>
      <c r="BE68" s="746" t="s">
        <v>125</v>
      </c>
      <c r="BF68" s="747" t="str">
        <f t="shared" si="21"/>
        <v/>
      </c>
      <c r="BG68" s="748" t="str">
        <f t="shared" si="22"/>
        <v/>
      </c>
      <c r="BH68" s="749" t="str">
        <f t="shared" si="23"/>
        <v/>
      </c>
      <c r="BI68" s="745"/>
      <c r="BJ68" s="746"/>
      <c r="BK68" s="747" t="s">
        <v>125</v>
      </c>
      <c r="BL68" s="748" t="s">
        <v>125</v>
      </c>
      <c r="BM68" s="750" t="s">
        <v>125</v>
      </c>
      <c r="BN68" s="1002" t="str">
        <f t="shared" si="24"/>
        <v/>
      </c>
      <c r="BO68" s="751" t="s">
        <v>125</v>
      </c>
      <c r="BP68" s="751" t="s">
        <v>125</v>
      </c>
      <c r="BQ68" s="744" t="str">
        <f t="shared" si="25"/>
        <v/>
      </c>
      <c r="BR68" s="755"/>
      <c r="BS68" s="756"/>
      <c r="BT68" s="755"/>
      <c r="BU68" s="756"/>
      <c r="BV68" s="755"/>
      <c r="BW68" s="757"/>
      <c r="BX68" s="755"/>
      <c r="BY68" s="756"/>
      <c r="BZ68" s="752" t="s">
        <v>125</v>
      </c>
      <c r="CA68" s="733"/>
      <c r="CB68" s="734"/>
      <c r="CC68" s="734"/>
      <c r="CD68" s="321"/>
    </row>
    <row r="69" spans="2:82" s="680" customFormat="1" x14ac:dyDescent="0.25">
      <c r="B69" s="729" t="str">
        <f t="shared" ref="B69:B104" si="32">IF(OR(K69="beef",K69="pork",K69="poultry"),"animal",
IF(OR(K69="milk",K69="eggs"),"animal-based",
"plant-based"))</f>
        <v>plant-based</v>
      </c>
      <c r="C69" s="730" t="s">
        <v>438</v>
      </c>
      <c r="D69" s="730" t="s">
        <v>439</v>
      </c>
      <c r="E69" s="731" t="s">
        <v>247</v>
      </c>
      <c r="F69" s="680" t="s">
        <v>248</v>
      </c>
      <c r="G69" s="680" t="s">
        <v>440</v>
      </c>
      <c r="H69" s="731" t="s">
        <v>248</v>
      </c>
      <c r="I69" s="760" t="s">
        <v>248</v>
      </c>
      <c r="J69" s="730" t="s">
        <v>392</v>
      </c>
      <c r="K69" s="680" t="s">
        <v>397</v>
      </c>
      <c r="L69" s="732"/>
      <c r="M69" s="729" t="str">
        <f t="shared" si="29"/>
        <v>ha</v>
      </c>
      <c r="N69" s="733">
        <f t="shared" si="31"/>
        <v>0.65766550522648082</v>
      </c>
      <c r="O69" s="734">
        <v>3020</v>
      </c>
      <c r="P69" s="734">
        <v>4592</v>
      </c>
      <c r="Q69" s="321" t="s">
        <v>317</v>
      </c>
      <c r="R69" s="733"/>
      <c r="S69" s="734"/>
      <c r="T69" s="734"/>
      <c r="U69" s="321"/>
      <c r="V69" s="733" t="str">
        <f t="shared" ref="V69:V85" si="33">IF(COUNTBLANK(W69:X69)=0,W69/X69,
IF(AND(COUNTBLANK(AJ69)=0,AJ69="ha"),"hectar not convertible",IF(AND(COUNTBLANK(AJ69)=0,COUNTBLANK($Q69)=1),"yield not convertible","")))</f>
        <v/>
      </c>
      <c r="W69" s="734" t="str">
        <f t="shared" ref="W69:W85" si="34">IF(COUNTBLANK($Y69)=0,
IF($Y69=$AC69&amp;"/"&amp;$AE69,AA69,
IF($AE69="kg",AA69*$O69,"")),"")</f>
        <v/>
      </c>
      <c r="X69" s="734" t="str">
        <f t="shared" ref="X69:X85" si="35">IF(COUNTBLANK($Y69)=0,
IF($Y69=$AC69&amp;"/"&amp;$AE69,AB69,
IF($AE69="kg",AB69*$P69,"")),"")</f>
        <v/>
      </c>
      <c r="Y69" s="744" t="str">
        <f t="shared" ref="Y69:Y85" si="36">IFERROR(IF(COUNTBLANK($AE69)=0,$AC69&amp;"/"&amp;SUBSTITUTE($Q69,LEFT($Q69,SEARCH("/",$Q69)),""),""),"")</f>
        <v/>
      </c>
      <c r="Z69" s="746"/>
      <c r="AA69" s="745" t="s">
        <v>125</v>
      </c>
      <c r="AB69" s="746" t="s">
        <v>125</v>
      </c>
      <c r="AC69" s="747" t="str">
        <f t="shared" ref="AC69:AC85" si="37">IF(COUNTBLANK(AE69)=0,$Y$7,"")</f>
        <v/>
      </c>
      <c r="AD69" s="748" t="str">
        <f t="shared" ref="AD69:AD85" si="38">IF(COUNTBLANK(AE69)=0,"/","")</f>
        <v/>
      </c>
      <c r="AE69" s="749" t="str">
        <f t="shared" ref="AE69:AE85" si="39">IF(COUNTBLANK(AJ69)=0,IF(OR(AJ69="head",AJ69="ha"),AJ69,"kg"),"")</f>
        <v/>
      </c>
      <c r="AF69" s="745"/>
      <c r="AG69" s="746"/>
      <c r="AH69" s="747" t="s">
        <v>125</v>
      </c>
      <c r="AI69" s="748" t="s">
        <v>125</v>
      </c>
      <c r="AJ69" s="750" t="s">
        <v>125</v>
      </c>
      <c r="AK69" s="733" t="str">
        <f t="shared" ref="AK69:AK85" si="40">IF(COUNTBLANK(AL69:AM69)=0,AL69/AM69,
IF(AND(COUNTBLANK(AY69)=0,AY69="ha"),"hectar not convertible",IF(AND(COUNTBLANK(AY69)=0,COUNTBLANK($Q69)=1),"yield not convertible","")))</f>
        <v/>
      </c>
      <c r="AL69" s="734" t="str">
        <f t="shared" ref="AL69:AL85" si="41">IF(COUNTBLANK($AN69)=0,
IF($AN69=$AR69&amp;"/"&amp;$AT69,AP69,
IF($AT69="kg",AP69*$O69,"")),"")</f>
        <v/>
      </c>
      <c r="AM69" s="734" t="str">
        <f t="shared" ref="AM69:AM85" si="42">IF(COUNTBLANK($AN69)=0,
IF($AN69=$AR69&amp;"/"&amp;$AT69,AQ69,
IF($AT69="kg",AQ69*$P69,"")),"")</f>
        <v/>
      </c>
      <c r="AN69" s="744" t="str">
        <f t="shared" ref="AN69:AN85" si="43">IFERROR(IF(COUNTBLANK($AT69)=0,$AR69&amp;"/"&amp;SUBSTITUTE($Q69,LEFT($Q69,SEARCH("/",$Q69)),""),""),"")</f>
        <v/>
      </c>
      <c r="AO69" s="746"/>
      <c r="AP69" s="745" t="s">
        <v>125</v>
      </c>
      <c r="AQ69" s="746" t="s">
        <v>125</v>
      </c>
      <c r="AR69" s="747" t="str">
        <f t="shared" ref="AR69:AR85" si="44">IF(COUNTBLANK(AT69)=0,$AN$7,"")</f>
        <v/>
      </c>
      <c r="AS69" s="748" t="str">
        <f t="shared" ref="AS69:AS85" si="45">IF(COUNTBLANK(AT69)=0,"/","")</f>
        <v/>
      </c>
      <c r="AT69" s="749" t="str">
        <f t="shared" ref="AT69:AT85" si="46">IF(COUNTBLANK(AY69)=0,IF(OR(AY69="head",AY69="ha"),AY69,"kg"),"")</f>
        <v/>
      </c>
      <c r="AU69" s="745"/>
      <c r="AV69" s="746"/>
      <c r="AW69" s="747" t="s">
        <v>125</v>
      </c>
      <c r="AX69" s="748" t="s">
        <v>125</v>
      </c>
      <c r="AY69" s="750" t="s">
        <v>125</v>
      </c>
      <c r="AZ69" s="733" t="str">
        <f t="shared" ref="AZ69:AZ85" si="47">IF(COUNTBLANK(BA69:BB69)=0,BA69/BB69,
IF(AND(COUNTBLANK(BM69)=0,BM69="ha"),"hectar not convertible",IF(AND(COUNTBLANK(BM69)=0,COUNTBLANK($Q69)=1),"yield not convertible","")))</f>
        <v/>
      </c>
      <c r="BA69" s="734" t="str">
        <f t="shared" ref="BA69:BA85" si="48">IF(COUNTBLANK($BC69)=0,
IF($BC69=$BF69&amp;"/"&amp;$BH69,BD69,
IF($BH69="kg",BD69*$O69,"")),"")</f>
        <v/>
      </c>
      <c r="BB69" s="734" t="str">
        <f t="shared" ref="BB69:BB85" si="49">IF(COUNTBLANK($BC69)=0,
IF($BC69=$BF69&amp;"/"&amp;$BH69,BE69,
IF($BH69="kg",BE69*$P69,"")),"")</f>
        <v/>
      </c>
      <c r="BC69" s="744" t="str">
        <f t="shared" ref="BC69:BC85" si="50">IFERROR(IF(COUNTBLANK($BH69)=0,$BF69&amp;"/"&amp;SUBSTITUTE($Q69,LEFT($Q69,SEARCH("/",$Q69)),""),""),"")</f>
        <v/>
      </c>
      <c r="BD69" s="745" t="s">
        <v>125</v>
      </c>
      <c r="BE69" s="746" t="s">
        <v>125</v>
      </c>
      <c r="BF69" s="747" t="str">
        <f t="shared" ref="BF69:BF85" si="51">IF(COUNTBLANK(BH69)=0,$BC$7,"")</f>
        <v/>
      </c>
      <c r="BG69" s="748" t="str">
        <f t="shared" ref="BG69:BG85" si="52">IF(COUNTBLANK(BH69)=0,"/","")</f>
        <v/>
      </c>
      <c r="BH69" s="749" t="str">
        <f t="shared" ref="BH69:BH85" si="53">IF(COUNTBLANK(BM69)=0,IF(OR(BM69="head",BM69="ha"),BM69,"kg"),"")</f>
        <v/>
      </c>
      <c r="BI69" s="745"/>
      <c r="BJ69" s="746"/>
      <c r="BK69" s="747" t="s">
        <v>125</v>
      </c>
      <c r="BL69" s="748" t="s">
        <v>125</v>
      </c>
      <c r="BM69" s="750" t="s">
        <v>125</v>
      </c>
      <c r="BN69" s="1002" t="str">
        <f t="shared" ref="BN69:BN104" si="54">IFERROR(BO69/BP69,"")</f>
        <v/>
      </c>
      <c r="BO69" s="751" t="s">
        <v>125</v>
      </c>
      <c r="BP69" s="751" t="s">
        <v>125</v>
      </c>
      <c r="BQ69" s="744" t="str">
        <f t="shared" ref="BQ69:BQ85" si="55">IF(COUNTBLANK(BZ69)=0,"kg/ha","")</f>
        <v/>
      </c>
      <c r="BR69" s="755"/>
      <c r="BS69" s="756"/>
      <c r="BT69" s="755"/>
      <c r="BU69" s="756"/>
      <c r="BV69" s="755"/>
      <c r="BW69" s="757"/>
      <c r="BX69" s="755"/>
      <c r="BY69" s="756"/>
      <c r="BZ69" s="752" t="s">
        <v>125</v>
      </c>
      <c r="CA69" s="733"/>
      <c r="CB69" s="734"/>
      <c r="CC69" s="734"/>
      <c r="CD69" s="321"/>
    </row>
    <row r="70" spans="2:82" s="680" customFormat="1" x14ac:dyDescent="0.25">
      <c r="B70" s="729" t="str">
        <f t="shared" si="32"/>
        <v>plant-based</v>
      </c>
      <c r="C70" s="730" t="s">
        <v>442</v>
      </c>
      <c r="D70" s="730" t="s">
        <v>443</v>
      </c>
      <c r="E70" s="731" t="s">
        <v>264</v>
      </c>
      <c r="F70" s="680" t="s">
        <v>444</v>
      </c>
      <c r="G70" s="680" t="s">
        <v>440</v>
      </c>
      <c r="H70" s="731" t="s">
        <v>248</v>
      </c>
      <c r="I70" s="760" t="s">
        <v>248</v>
      </c>
      <c r="J70" s="730" t="s">
        <v>413</v>
      </c>
      <c r="K70" s="323" t="s">
        <v>414</v>
      </c>
      <c r="L70" s="759"/>
      <c r="M70" s="729" t="str">
        <f t="shared" si="29"/>
        <v>ha</v>
      </c>
      <c r="N70" s="754">
        <f t="shared" si="31"/>
        <v>0.60121969358917149</v>
      </c>
      <c r="O70" s="734">
        <v>40420</v>
      </c>
      <c r="P70" s="734">
        <v>67230</v>
      </c>
      <c r="Q70" s="321" t="s">
        <v>317</v>
      </c>
      <c r="R70" s="733"/>
      <c r="S70" s="734"/>
      <c r="T70" s="734"/>
      <c r="U70" s="321"/>
      <c r="V70" s="733" t="str">
        <f t="shared" si="33"/>
        <v/>
      </c>
      <c r="W70" s="734" t="str">
        <f t="shared" si="34"/>
        <v/>
      </c>
      <c r="X70" s="734" t="str">
        <f t="shared" si="35"/>
        <v/>
      </c>
      <c r="Y70" s="744" t="str">
        <f t="shared" si="36"/>
        <v/>
      </c>
      <c r="Z70" s="746"/>
      <c r="AA70" s="745" t="s">
        <v>125</v>
      </c>
      <c r="AB70" s="746" t="s">
        <v>125</v>
      </c>
      <c r="AC70" s="747" t="str">
        <f t="shared" si="37"/>
        <v/>
      </c>
      <c r="AD70" s="748" t="str">
        <f t="shared" si="38"/>
        <v/>
      </c>
      <c r="AE70" s="749" t="str">
        <f t="shared" si="39"/>
        <v/>
      </c>
      <c r="AF70" s="745"/>
      <c r="AG70" s="746"/>
      <c r="AH70" s="747" t="s">
        <v>125</v>
      </c>
      <c r="AI70" s="748" t="s">
        <v>125</v>
      </c>
      <c r="AJ70" s="750" t="s">
        <v>125</v>
      </c>
      <c r="AK70" s="733" t="str">
        <f t="shared" si="40"/>
        <v/>
      </c>
      <c r="AL70" s="734" t="str">
        <f t="shared" si="41"/>
        <v/>
      </c>
      <c r="AM70" s="734" t="str">
        <f t="shared" si="42"/>
        <v/>
      </c>
      <c r="AN70" s="744" t="str">
        <f t="shared" si="43"/>
        <v/>
      </c>
      <c r="AO70" s="746"/>
      <c r="AP70" s="745" t="s">
        <v>125</v>
      </c>
      <c r="AQ70" s="746" t="s">
        <v>125</v>
      </c>
      <c r="AR70" s="747" t="str">
        <f t="shared" si="44"/>
        <v/>
      </c>
      <c r="AS70" s="748" t="str">
        <f t="shared" si="45"/>
        <v/>
      </c>
      <c r="AT70" s="749" t="str">
        <f t="shared" si="46"/>
        <v/>
      </c>
      <c r="AU70" s="745"/>
      <c r="AV70" s="746"/>
      <c r="AW70" s="747" t="s">
        <v>125</v>
      </c>
      <c r="AX70" s="748" t="s">
        <v>125</v>
      </c>
      <c r="AY70" s="750" t="s">
        <v>125</v>
      </c>
      <c r="AZ70" s="733" t="str">
        <f t="shared" si="47"/>
        <v/>
      </c>
      <c r="BA70" s="734" t="str">
        <f t="shared" si="48"/>
        <v/>
      </c>
      <c r="BB70" s="734" t="str">
        <f t="shared" si="49"/>
        <v/>
      </c>
      <c r="BC70" s="744" t="str">
        <f t="shared" si="50"/>
        <v/>
      </c>
      <c r="BD70" s="745" t="s">
        <v>125</v>
      </c>
      <c r="BE70" s="746" t="s">
        <v>125</v>
      </c>
      <c r="BF70" s="747" t="str">
        <f t="shared" si="51"/>
        <v/>
      </c>
      <c r="BG70" s="748" t="str">
        <f t="shared" si="52"/>
        <v/>
      </c>
      <c r="BH70" s="749" t="str">
        <f t="shared" si="53"/>
        <v/>
      </c>
      <c r="BI70" s="745"/>
      <c r="BJ70" s="746"/>
      <c r="BK70" s="747" t="s">
        <v>125</v>
      </c>
      <c r="BL70" s="748" t="s">
        <v>125</v>
      </c>
      <c r="BM70" s="750" t="s">
        <v>125</v>
      </c>
      <c r="BN70" s="1002" t="str">
        <f t="shared" si="54"/>
        <v/>
      </c>
      <c r="BO70" s="751" t="s">
        <v>125</v>
      </c>
      <c r="BP70" s="751" t="s">
        <v>125</v>
      </c>
      <c r="BQ70" s="744" t="str">
        <f t="shared" si="55"/>
        <v/>
      </c>
      <c r="BR70" s="755"/>
      <c r="BS70" s="756"/>
      <c r="BT70" s="755"/>
      <c r="BU70" s="756"/>
      <c r="BV70" s="755"/>
      <c r="BW70" s="757"/>
      <c r="BX70" s="755"/>
      <c r="BY70" s="756"/>
      <c r="BZ70" s="752" t="s">
        <v>125</v>
      </c>
      <c r="CA70" s="733"/>
      <c r="CB70" s="734"/>
      <c r="CC70" s="734"/>
      <c r="CD70" s="321"/>
    </row>
    <row r="71" spans="2:82" s="680" customFormat="1" x14ac:dyDescent="0.25">
      <c r="B71" s="729" t="str">
        <f t="shared" si="32"/>
        <v>plant-based</v>
      </c>
      <c r="C71" s="730" t="s">
        <v>445</v>
      </c>
      <c r="D71" s="730" t="s">
        <v>446</v>
      </c>
      <c r="E71" s="731" t="s">
        <v>264</v>
      </c>
      <c r="F71" s="680" t="s">
        <v>447</v>
      </c>
      <c r="G71" s="680" t="s">
        <v>315</v>
      </c>
      <c r="H71" s="731" t="s">
        <v>248</v>
      </c>
      <c r="I71" s="760" t="s">
        <v>248</v>
      </c>
      <c r="J71" s="730" t="s">
        <v>392</v>
      </c>
      <c r="K71" s="680" t="s">
        <v>399</v>
      </c>
      <c r="L71" s="732"/>
      <c r="M71" s="729" t="str">
        <f t="shared" si="29"/>
        <v>ha</v>
      </c>
      <c r="N71" s="754">
        <f t="shared" si="31"/>
        <v>0.56208277703604803</v>
      </c>
      <c r="O71" s="734">
        <v>2105</v>
      </c>
      <c r="P71" s="734">
        <v>3745</v>
      </c>
      <c r="Q71" s="321" t="s">
        <v>317</v>
      </c>
      <c r="R71" s="733"/>
      <c r="S71" s="734"/>
      <c r="T71" s="734"/>
      <c r="U71" s="321"/>
      <c r="V71" s="733" t="str">
        <f t="shared" si="33"/>
        <v/>
      </c>
      <c r="W71" s="734" t="str">
        <f t="shared" si="34"/>
        <v/>
      </c>
      <c r="X71" s="734" t="str">
        <f t="shared" si="35"/>
        <v/>
      </c>
      <c r="Y71" s="744" t="str">
        <f t="shared" si="36"/>
        <v/>
      </c>
      <c r="Z71" s="746"/>
      <c r="AA71" s="745" t="s">
        <v>125</v>
      </c>
      <c r="AB71" s="746" t="s">
        <v>125</v>
      </c>
      <c r="AC71" s="747" t="str">
        <f t="shared" si="37"/>
        <v/>
      </c>
      <c r="AD71" s="748" t="str">
        <f t="shared" si="38"/>
        <v/>
      </c>
      <c r="AE71" s="749" t="str">
        <f t="shared" si="39"/>
        <v/>
      </c>
      <c r="AF71" s="745"/>
      <c r="AG71" s="746"/>
      <c r="AH71" s="747" t="s">
        <v>125</v>
      </c>
      <c r="AI71" s="748" t="s">
        <v>125</v>
      </c>
      <c r="AJ71" s="750" t="s">
        <v>125</v>
      </c>
      <c r="AK71" s="733" t="str">
        <f t="shared" si="40"/>
        <v/>
      </c>
      <c r="AL71" s="734" t="str">
        <f t="shared" si="41"/>
        <v/>
      </c>
      <c r="AM71" s="734" t="str">
        <f t="shared" si="42"/>
        <v/>
      </c>
      <c r="AN71" s="744" t="str">
        <f t="shared" si="43"/>
        <v/>
      </c>
      <c r="AO71" s="746"/>
      <c r="AP71" s="745" t="s">
        <v>125</v>
      </c>
      <c r="AQ71" s="746" t="s">
        <v>125</v>
      </c>
      <c r="AR71" s="747" t="str">
        <f t="shared" si="44"/>
        <v/>
      </c>
      <c r="AS71" s="748" t="str">
        <f t="shared" si="45"/>
        <v/>
      </c>
      <c r="AT71" s="749" t="str">
        <f t="shared" si="46"/>
        <v/>
      </c>
      <c r="AU71" s="745"/>
      <c r="AV71" s="746"/>
      <c r="AW71" s="747" t="s">
        <v>125</v>
      </c>
      <c r="AX71" s="748" t="s">
        <v>125</v>
      </c>
      <c r="AY71" s="750" t="s">
        <v>125</v>
      </c>
      <c r="AZ71" s="733" t="str">
        <f t="shared" si="47"/>
        <v/>
      </c>
      <c r="BA71" s="734" t="str">
        <f t="shared" si="48"/>
        <v/>
      </c>
      <c r="BB71" s="734" t="str">
        <f t="shared" si="49"/>
        <v/>
      </c>
      <c r="BC71" s="744" t="str">
        <f t="shared" si="50"/>
        <v/>
      </c>
      <c r="BD71" s="745" t="s">
        <v>125</v>
      </c>
      <c r="BE71" s="746" t="s">
        <v>125</v>
      </c>
      <c r="BF71" s="747" t="str">
        <f t="shared" si="51"/>
        <v/>
      </c>
      <c r="BG71" s="748" t="str">
        <f t="shared" si="52"/>
        <v/>
      </c>
      <c r="BH71" s="749" t="str">
        <f t="shared" si="53"/>
        <v/>
      </c>
      <c r="BI71" s="745"/>
      <c r="BJ71" s="746"/>
      <c r="BK71" s="747" t="s">
        <v>125</v>
      </c>
      <c r="BL71" s="748" t="s">
        <v>125</v>
      </c>
      <c r="BM71" s="750" t="s">
        <v>125</v>
      </c>
      <c r="BN71" s="1002" t="str">
        <f t="shared" si="54"/>
        <v/>
      </c>
      <c r="BO71" s="751" t="s">
        <v>125</v>
      </c>
      <c r="BP71" s="751" t="s">
        <v>125</v>
      </c>
      <c r="BQ71" s="744" t="str">
        <f t="shared" si="55"/>
        <v/>
      </c>
      <c r="BR71" s="755"/>
      <c r="BS71" s="756"/>
      <c r="BT71" s="755"/>
      <c r="BU71" s="756"/>
      <c r="BV71" s="755"/>
      <c r="BW71" s="757"/>
      <c r="BX71" s="755"/>
      <c r="BY71" s="756"/>
      <c r="BZ71" s="752" t="s">
        <v>125</v>
      </c>
      <c r="CA71" s="733"/>
      <c r="CB71" s="734"/>
      <c r="CC71" s="734"/>
      <c r="CD71" s="321"/>
    </row>
    <row r="72" spans="2:82" s="680" customFormat="1" x14ac:dyDescent="0.25">
      <c r="B72" s="729" t="str">
        <f t="shared" si="32"/>
        <v>plant-based</v>
      </c>
      <c r="C72" s="730" t="s">
        <v>445</v>
      </c>
      <c r="D72" s="730" t="s">
        <v>446</v>
      </c>
      <c r="E72" s="731" t="s">
        <v>264</v>
      </c>
      <c r="F72" s="680" t="s">
        <v>448</v>
      </c>
      <c r="G72" s="680" t="s">
        <v>315</v>
      </c>
      <c r="H72" s="731" t="s">
        <v>248</v>
      </c>
      <c r="I72" s="760" t="s">
        <v>248</v>
      </c>
      <c r="J72" s="730" t="s">
        <v>392</v>
      </c>
      <c r="K72" s="680" t="s">
        <v>397</v>
      </c>
      <c r="L72" s="732"/>
      <c r="M72" s="729" t="str">
        <f t="shared" si="29"/>
        <v>ha</v>
      </c>
      <c r="N72" s="733">
        <f t="shared" si="31"/>
        <v>0.69135802469135799</v>
      </c>
      <c r="O72" s="734">
        <v>4200</v>
      </c>
      <c r="P72" s="734">
        <v>6075</v>
      </c>
      <c r="Q72" s="321" t="s">
        <v>317</v>
      </c>
      <c r="R72" s="733"/>
      <c r="S72" s="734"/>
      <c r="T72" s="734"/>
      <c r="U72" s="321"/>
      <c r="V72" s="733" t="str">
        <f t="shared" si="33"/>
        <v/>
      </c>
      <c r="W72" s="734" t="str">
        <f t="shared" si="34"/>
        <v/>
      </c>
      <c r="X72" s="734" t="str">
        <f t="shared" si="35"/>
        <v/>
      </c>
      <c r="Y72" s="744" t="str">
        <f t="shared" si="36"/>
        <v/>
      </c>
      <c r="Z72" s="746"/>
      <c r="AA72" s="745" t="s">
        <v>125</v>
      </c>
      <c r="AB72" s="746" t="s">
        <v>125</v>
      </c>
      <c r="AC72" s="747" t="str">
        <f t="shared" si="37"/>
        <v/>
      </c>
      <c r="AD72" s="748" t="str">
        <f t="shared" si="38"/>
        <v/>
      </c>
      <c r="AE72" s="749" t="str">
        <f t="shared" si="39"/>
        <v/>
      </c>
      <c r="AF72" s="745"/>
      <c r="AG72" s="746"/>
      <c r="AH72" s="747" t="s">
        <v>125</v>
      </c>
      <c r="AI72" s="748" t="s">
        <v>125</v>
      </c>
      <c r="AJ72" s="750" t="s">
        <v>125</v>
      </c>
      <c r="AK72" s="733" t="str">
        <f t="shared" si="40"/>
        <v/>
      </c>
      <c r="AL72" s="734" t="str">
        <f t="shared" si="41"/>
        <v/>
      </c>
      <c r="AM72" s="734" t="str">
        <f t="shared" si="42"/>
        <v/>
      </c>
      <c r="AN72" s="744" t="str">
        <f t="shared" si="43"/>
        <v/>
      </c>
      <c r="AO72" s="746"/>
      <c r="AP72" s="745" t="s">
        <v>125</v>
      </c>
      <c r="AQ72" s="746" t="s">
        <v>125</v>
      </c>
      <c r="AR72" s="747" t="str">
        <f t="shared" si="44"/>
        <v/>
      </c>
      <c r="AS72" s="748" t="str">
        <f t="shared" si="45"/>
        <v/>
      </c>
      <c r="AT72" s="749" t="str">
        <f t="shared" si="46"/>
        <v/>
      </c>
      <c r="AU72" s="745"/>
      <c r="AV72" s="746"/>
      <c r="AW72" s="747" t="s">
        <v>125</v>
      </c>
      <c r="AX72" s="748" t="s">
        <v>125</v>
      </c>
      <c r="AY72" s="750" t="s">
        <v>125</v>
      </c>
      <c r="AZ72" s="733" t="str">
        <f t="shared" si="47"/>
        <v/>
      </c>
      <c r="BA72" s="734" t="str">
        <f t="shared" si="48"/>
        <v/>
      </c>
      <c r="BB72" s="734" t="str">
        <f t="shared" si="49"/>
        <v/>
      </c>
      <c r="BC72" s="744" t="str">
        <f t="shared" si="50"/>
        <v/>
      </c>
      <c r="BD72" s="745" t="s">
        <v>125</v>
      </c>
      <c r="BE72" s="746" t="s">
        <v>125</v>
      </c>
      <c r="BF72" s="747" t="str">
        <f t="shared" si="51"/>
        <v/>
      </c>
      <c r="BG72" s="748" t="str">
        <f t="shared" si="52"/>
        <v/>
      </c>
      <c r="BH72" s="749" t="str">
        <f t="shared" si="53"/>
        <v/>
      </c>
      <c r="BI72" s="745"/>
      <c r="BJ72" s="746"/>
      <c r="BK72" s="747" t="s">
        <v>125</v>
      </c>
      <c r="BL72" s="748" t="s">
        <v>125</v>
      </c>
      <c r="BM72" s="750" t="s">
        <v>125</v>
      </c>
      <c r="BN72" s="1002" t="str">
        <f t="shared" si="54"/>
        <v/>
      </c>
      <c r="BO72" s="751" t="s">
        <v>125</v>
      </c>
      <c r="BP72" s="751" t="s">
        <v>125</v>
      </c>
      <c r="BQ72" s="744" t="str">
        <f t="shared" si="55"/>
        <v/>
      </c>
      <c r="BR72" s="755"/>
      <c r="BS72" s="756"/>
      <c r="BT72" s="755"/>
      <c r="BU72" s="756"/>
      <c r="BV72" s="755"/>
      <c r="BW72" s="757"/>
      <c r="BX72" s="755"/>
      <c r="BY72" s="756"/>
      <c r="BZ72" s="752" t="s">
        <v>125</v>
      </c>
      <c r="CA72" s="733"/>
      <c r="CB72" s="734"/>
      <c r="CC72" s="734"/>
      <c r="CD72" s="321"/>
    </row>
    <row r="73" spans="2:82" s="680" customFormat="1" x14ac:dyDescent="0.25">
      <c r="B73" s="729" t="str">
        <f t="shared" si="32"/>
        <v>plant-based</v>
      </c>
      <c r="C73" s="730" t="s">
        <v>358</v>
      </c>
      <c r="D73" s="730" t="s">
        <v>359</v>
      </c>
      <c r="E73" s="731" t="s">
        <v>264</v>
      </c>
      <c r="F73" s="680" t="s">
        <v>449</v>
      </c>
      <c r="G73" s="680" t="s">
        <v>291</v>
      </c>
      <c r="H73" s="731" t="s">
        <v>362</v>
      </c>
      <c r="I73" s="760" t="s">
        <v>278</v>
      </c>
      <c r="J73" s="730" t="s">
        <v>392</v>
      </c>
      <c r="K73" s="680" t="s">
        <v>402</v>
      </c>
      <c r="L73" s="732" t="s">
        <v>400</v>
      </c>
      <c r="M73" s="729" t="str">
        <f t="shared" ref="M73:M85" si="56">IF(B73="animal","head",
IF(K73="milk","kg",
IF(K73="eggs","p","ha")))</f>
        <v>ha</v>
      </c>
      <c r="N73" s="733">
        <f t="shared" si="31"/>
        <v>0.68449008498583575</v>
      </c>
      <c r="O73" s="734">
        <v>7732</v>
      </c>
      <c r="P73" s="734">
        <v>11296</v>
      </c>
      <c r="Q73" s="321" t="s">
        <v>317</v>
      </c>
      <c r="R73" s="733"/>
      <c r="S73" s="734"/>
      <c r="T73" s="734"/>
      <c r="U73" s="321"/>
      <c r="V73" s="733" t="str">
        <f t="shared" si="33"/>
        <v/>
      </c>
      <c r="W73" s="734" t="str">
        <f t="shared" si="34"/>
        <v/>
      </c>
      <c r="X73" s="734" t="str">
        <f t="shared" si="35"/>
        <v/>
      </c>
      <c r="Y73" s="744" t="str">
        <f t="shared" si="36"/>
        <v/>
      </c>
      <c r="Z73" s="746"/>
      <c r="AA73" s="745" t="s">
        <v>125</v>
      </c>
      <c r="AB73" s="746" t="s">
        <v>125</v>
      </c>
      <c r="AC73" s="747" t="str">
        <f t="shared" si="37"/>
        <v/>
      </c>
      <c r="AD73" s="748" t="str">
        <f t="shared" si="38"/>
        <v/>
      </c>
      <c r="AE73" s="749" t="str">
        <f t="shared" si="39"/>
        <v/>
      </c>
      <c r="AF73" s="745"/>
      <c r="AG73" s="746"/>
      <c r="AH73" s="747" t="s">
        <v>125</v>
      </c>
      <c r="AI73" s="748" t="s">
        <v>125</v>
      </c>
      <c r="AJ73" s="750" t="s">
        <v>125</v>
      </c>
      <c r="AK73" s="733" t="str">
        <f t="shared" si="40"/>
        <v/>
      </c>
      <c r="AL73" s="734" t="str">
        <f t="shared" si="41"/>
        <v/>
      </c>
      <c r="AM73" s="734" t="str">
        <f t="shared" si="42"/>
        <v/>
      </c>
      <c r="AN73" s="744" t="str">
        <f t="shared" si="43"/>
        <v/>
      </c>
      <c r="AO73" s="746"/>
      <c r="AP73" s="745" t="s">
        <v>125</v>
      </c>
      <c r="AQ73" s="746" t="s">
        <v>125</v>
      </c>
      <c r="AR73" s="747" t="str">
        <f t="shared" si="44"/>
        <v/>
      </c>
      <c r="AS73" s="748" t="str">
        <f t="shared" si="45"/>
        <v/>
      </c>
      <c r="AT73" s="749" t="str">
        <f t="shared" si="46"/>
        <v/>
      </c>
      <c r="AU73" s="745"/>
      <c r="AV73" s="746"/>
      <c r="AW73" s="747" t="s">
        <v>125</v>
      </c>
      <c r="AX73" s="748" t="s">
        <v>125</v>
      </c>
      <c r="AY73" s="750" t="s">
        <v>125</v>
      </c>
      <c r="AZ73" s="733" t="str">
        <f t="shared" si="47"/>
        <v/>
      </c>
      <c r="BA73" s="734" t="str">
        <f t="shared" si="48"/>
        <v/>
      </c>
      <c r="BB73" s="734" t="str">
        <f t="shared" si="49"/>
        <v/>
      </c>
      <c r="BC73" s="744" t="str">
        <f t="shared" si="50"/>
        <v/>
      </c>
      <c r="BD73" s="745" t="s">
        <v>125</v>
      </c>
      <c r="BE73" s="746" t="s">
        <v>125</v>
      </c>
      <c r="BF73" s="747" t="str">
        <f t="shared" si="51"/>
        <v/>
      </c>
      <c r="BG73" s="748" t="str">
        <f t="shared" si="52"/>
        <v/>
      </c>
      <c r="BH73" s="749" t="str">
        <f t="shared" si="53"/>
        <v/>
      </c>
      <c r="BI73" s="745"/>
      <c r="BJ73" s="746"/>
      <c r="BK73" s="747" t="s">
        <v>125</v>
      </c>
      <c r="BL73" s="748" t="s">
        <v>125</v>
      </c>
      <c r="BM73" s="750" t="s">
        <v>125</v>
      </c>
      <c r="BN73" s="1002" t="str">
        <f t="shared" si="54"/>
        <v/>
      </c>
      <c r="BO73" s="751" t="s">
        <v>125</v>
      </c>
      <c r="BP73" s="751" t="s">
        <v>125</v>
      </c>
      <c r="BQ73" s="744" t="str">
        <f t="shared" si="55"/>
        <v/>
      </c>
      <c r="BR73" s="755"/>
      <c r="BS73" s="756"/>
      <c r="BT73" s="755"/>
      <c r="BU73" s="756"/>
      <c r="BV73" s="755"/>
      <c r="BW73" s="757"/>
      <c r="BX73" s="755"/>
      <c r="BY73" s="756"/>
      <c r="BZ73" s="752" t="s">
        <v>125</v>
      </c>
      <c r="CA73" s="733"/>
      <c r="CB73" s="734"/>
      <c r="CC73" s="734"/>
      <c r="CD73" s="321"/>
    </row>
    <row r="74" spans="2:82" s="680" customFormat="1" x14ac:dyDescent="0.25">
      <c r="B74" s="729" t="str">
        <f t="shared" si="32"/>
        <v>plant-based</v>
      </c>
      <c r="C74" s="730" t="s">
        <v>358</v>
      </c>
      <c r="D74" s="730" t="s">
        <v>359</v>
      </c>
      <c r="E74" s="731" t="s">
        <v>264</v>
      </c>
      <c r="F74" s="680" t="s">
        <v>360</v>
      </c>
      <c r="G74" s="680" t="s">
        <v>361</v>
      </c>
      <c r="H74" s="731" t="s">
        <v>362</v>
      </c>
      <c r="I74" s="760" t="s">
        <v>278</v>
      </c>
      <c r="J74" s="730" t="s">
        <v>392</v>
      </c>
      <c r="L74" s="732" t="s">
        <v>400</v>
      </c>
      <c r="M74" s="729" t="str">
        <f t="shared" si="56"/>
        <v>ha</v>
      </c>
      <c r="N74" s="733">
        <f t="shared" si="31"/>
        <v>0.61238158450491764</v>
      </c>
      <c r="O74" s="734">
        <f>(3511+3088+3550)/3</f>
        <v>3383</v>
      </c>
      <c r="P74" s="734">
        <f>(5081+5935+5557)/3</f>
        <v>5524.333333333333</v>
      </c>
      <c r="Q74" s="321" t="s">
        <v>317</v>
      </c>
      <c r="R74" s="733"/>
      <c r="S74" s="734"/>
      <c r="T74" s="734"/>
      <c r="U74" s="321"/>
      <c r="V74" s="733" t="str">
        <f t="shared" si="33"/>
        <v/>
      </c>
      <c r="W74" s="734" t="str">
        <f t="shared" si="34"/>
        <v/>
      </c>
      <c r="X74" s="734" t="str">
        <f t="shared" si="35"/>
        <v/>
      </c>
      <c r="Y74" s="744" t="str">
        <f t="shared" si="36"/>
        <v/>
      </c>
      <c r="Z74" s="746"/>
      <c r="AA74" s="745" t="s">
        <v>125</v>
      </c>
      <c r="AB74" s="746" t="s">
        <v>125</v>
      </c>
      <c r="AC74" s="747" t="str">
        <f t="shared" si="37"/>
        <v/>
      </c>
      <c r="AD74" s="748" t="str">
        <f t="shared" si="38"/>
        <v/>
      </c>
      <c r="AE74" s="749" t="str">
        <f t="shared" si="39"/>
        <v/>
      </c>
      <c r="AF74" s="745"/>
      <c r="AG74" s="746"/>
      <c r="AH74" s="747" t="s">
        <v>125</v>
      </c>
      <c r="AI74" s="748" t="s">
        <v>125</v>
      </c>
      <c r="AJ74" s="750" t="s">
        <v>125</v>
      </c>
      <c r="AK74" s="733" t="str">
        <f t="shared" si="40"/>
        <v/>
      </c>
      <c r="AL74" s="734" t="str">
        <f t="shared" si="41"/>
        <v/>
      </c>
      <c r="AM74" s="734" t="str">
        <f t="shared" si="42"/>
        <v/>
      </c>
      <c r="AN74" s="744" t="str">
        <f t="shared" si="43"/>
        <v/>
      </c>
      <c r="AO74" s="746"/>
      <c r="AP74" s="745" t="s">
        <v>125</v>
      </c>
      <c r="AQ74" s="746" t="s">
        <v>125</v>
      </c>
      <c r="AR74" s="747" t="str">
        <f t="shared" si="44"/>
        <v/>
      </c>
      <c r="AS74" s="748" t="str">
        <f t="shared" si="45"/>
        <v/>
      </c>
      <c r="AT74" s="749" t="str">
        <f t="shared" si="46"/>
        <v/>
      </c>
      <c r="AU74" s="745"/>
      <c r="AV74" s="746"/>
      <c r="AW74" s="747" t="s">
        <v>125</v>
      </c>
      <c r="AX74" s="748" t="s">
        <v>125</v>
      </c>
      <c r="AY74" s="750" t="s">
        <v>125</v>
      </c>
      <c r="AZ74" s="733" t="str">
        <f t="shared" si="47"/>
        <v/>
      </c>
      <c r="BA74" s="734" t="str">
        <f t="shared" si="48"/>
        <v/>
      </c>
      <c r="BB74" s="734" t="str">
        <f t="shared" si="49"/>
        <v/>
      </c>
      <c r="BC74" s="744" t="str">
        <f t="shared" si="50"/>
        <v/>
      </c>
      <c r="BD74" s="745" t="s">
        <v>125</v>
      </c>
      <c r="BE74" s="746" t="s">
        <v>125</v>
      </c>
      <c r="BF74" s="747" t="str">
        <f t="shared" si="51"/>
        <v/>
      </c>
      <c r="BG74" s="748" t="str">
        <f t="shared" si="52"/>
        <v/>
      </c>
      <c r="BH74" s="749" t="str">
        <f t="shared" si="53"/>
        <v/>
      </c>
      <c r="BI74" s="745"/>
      <c r="BJ74" s="746"/>
      <c r="BK74" s="747" t="s">
        <v>125</v>
      </c>
      <c r="BL74" s="748" t="s">
        <v>125</v>
      </c>
      <c r="BM74" s="750" t="s">
        <v>125</v>
      </c>
      <c r="BN74" s="1002" t="str">
        <f t="shared" si="54"/>
        <v/>
      </c>
      <c r="BO74" s="751" t="s">
        <v>125</v>
      </c>
      <c r="BP74" s="751" t="s">
        <v>125</v>
      </c>
      <c r="BQ74" s="744" t="str">
        <f t="shared" si="55"/>
        <v/>
      </c>
      <c r="BR74" s="755"/>
      <c r="BS74" s="756"/>
      <c r="BT74" s="755"/>
      <c r="BU74" s="756"/>
      <c r="BV74" s="755"/>
      <c r="BW74" s="757"/>
      <c r="BX74" s="755"/>
      <c r="BY74" s="756"/>
      <c r="BZ74" s="752" t="s">
        <v>125</v>
      </c>
      <c r="CA74" s="733"/>
      <c r="CB74" s="734"/>
      <c r="CC74" s="734"/>
      <c r="CD74" s="321"/>
    </row>
    <row r="75" spans="2:82" s="680" customFormat="1" x14ac:dyDescent="0.25">
      <c r="B75" s="729" t="str">
        <f t="shared" si="32"/>
        <v>plant-based</v>
      </c>
      <c r="C75" s="730" t="s">
        <v>450</v>
      </c>
      <c r="D75" s="730" t="s">
        <v>451</v>
      </c>
      <c r="E75" s="731" t="s">
        <v>264</v>
      </c>
      <c r="F75" s="680" t="s">
        <v>452</v>
      </c>
      <c r="G75" s="680" t="s">
        <v>453</v>
      </c>
      <c r="H75" s="680" t="s">
        <v>248</v>
      </c>
      <c r="I75" s="732" t="s">
        <v>248</v>
      </c>
      <c r="J75" s="730" t="s">
        <v>392</v>
      </c>
      <c r="K75" s="680" t="s">
        <v>399</v>
      </c>
      <c r="L75" s="732"/>
      <c r="M75" s="729" t="str">
        <f t="shared" si="56"/>
        <v>ha</v>
      </c>
      <c r="N75" s="733">
        <f t="shared" si="31"/>
        <v>0.65974912983516121</v>
      </c>
      <c r="O75" s="734">
        <f>(3881+4017+2148)/3</f>
        <v>3348.6666666666665</v>
      </c>
      <c r="P75" s="734">
        <f>(4865+5181+5181)/3</f>
        <v>5075.666666666667</v>
      </c>
      <c r="Q75" s="321" t="s">
        <v>317</v>
      </c>
      <c r="R75" s="733"/>
      <c r="S75" s="734"/>
      <c r="T75" s="734"/>
      <c r="U75" s="321"/>
      <c r="V75" s="733" t="str">
        <f t="shared" si="33"/>
        <v/>
      </c>
      <c r="W75" s="734" t="str">
        <f t="shared" si="34"/>
        <v/>
      </c>
      <c r="X75" s="734" t="str">
        <f t="shared" si="35"/>
        <v/>
      </c>
      <c r="Y75" s="744" t="str">
        <f t="shared" si="36"/>
        <v/>
      </c>
      <c r="Z75" s="746"/>
      <c r="AA75" s="745" t="s">
        <v>125</v>
      </c>
      <c r="AB75" s="746" t="s">
        <v>125</v>
      </c>
      <c r="AC75" s="747" t="str">
        <f t="shared" si="37"/>
        <v/>
      </c>
      <c r="AD75" s="748" t="str">
        <f t="shared" si="38"/>
        <v/>
      </c>
      <c r="AE75" s="749" t="str">
        <f t="shared" si="39"/>
        <v/>
      </c>
      <c r="AF75" s="745"/>
      <c r="AG75" s="746"/>
      <c r="AH75" s="747" t="s">
        <v>125</v>
      </c>
      <c r="AI75" s="748" t="s">
        <v>125</v>
      </c>
      <c r="AJ75" s="750" t="s">
        <v>125</v>
      </c>
      <c r="AK75" s="733" t="str">
        <f t="shared" si="40"/>
        <v/>
      </c>
      <c r="AL75" s="734" t="str">
        <f t="shared" si="41"/>
        <v/>
      </c>
      <c r="AM75" s="734" t="str">
        <f t="shared" si="42"/>
        <v/>
      </c>
      <c r="AN75" s="744" t="str">
        <f t="shared" si="43"/>
        <v/>
      </c>
      <c r="AO75" s="746"/>
      <c r="AP75" s="745" t="s">
        <v>125</v>
      </c>
      <c r="AQ75" s="746" t="s">
        <v>125</v>
      </c>
      <c r="AR75" s="747" t="str">
        <f t="shared" si="44"/>
        <v/>
      </c>
      <c r="AS75" s="748" t="str">
        <f t="shared" si="45"/>
        <v/>
      </c>
      <c r="AT75" s="749" t="str">
        <f t="shared" si="46"/>
        <v/>
      </c>
      <c r="AU75" s="745"/>
      <c r="AV75" s="746"/>
      <c r="AW75" s="747" t="s">
        <v>125</v>
      </c>
      <c r="AX75" s="748" t="s">
        <v>125</v>
      </c>
      <c r="AY75" s="750" t="s">
        <v>125</v>
      </c>
      <c r="AZ75" s="733" t="str">
        <f t="shared" si="47"/>
        <v/>
      </c>
      <c r="BA75" s="734" t="str">
        <f t="shared" si="48"/>
        <v/>
      </c>
      <c r="BB75" s="734" t="str">
        <f t="shared" si="49"/>
        <v/>
      </c>
      <c r="BC75" s="744" t="str">
        <f t="shared" si="50"/>
        <v/>
      </c>
      <c r="BD75" s="745" t="s">
        <v>125</v>
      </c>
      <c r="BE75" s="746" t="s">
        <v>125</v>
      </c>
      <c r="BF75" s="747" t="str">
        <f t="shared" si="51"/>
        <v/>
      </c>
      <c r="BG75" s="748" t="str">
        <f t="shared" si="52"/>
        <v/>
      </c>
      <c r="BH75" s="749" t="str">
        <f t="shared" si="53"/>
        <v/>
      </c>
      <c r="BI75" s="745"/>
      <c r="BJ75" s="746"/>
      <c r="BK75" s="747" t="s">
        <v>125</v>
      </c>
      <c r="BL75" s="748" t="s">
        <v>125</v>
      </c>
      <c r="BM75" s="750" t="s">
        <v>125</v>
      </c>
      <c r="BN75" s="1002" t="str">
        <f t="shared" si="54"/>
        <v/>
      </c>
      <c r="BO75" s="751" t="s">
        <v>125</v>
      </c>
      <c r="BP75" s="751" t="s">
        <v>125</v>
      </c>
      <c r="BQ75" s="744" t="str">
        <f t="shared" si="55"/>
        <v/>
      </c>
      <c r="BR75" s="755"/>
      <c r="BS75" s="756"/>
      <c r="BT75" s="755"/>
      <c r="BU75" s="756"/>
      <c r="BV75" s="755"/>
      <c r="BW75" s="757"/>
      <c r="BX75" s="755"/>
      <c r="BY75" s="756"/>
      <c r="BZ75" s="752" t="s">
        <v>125</v>
      </c>
      <c r="CA75" s="733"/>
      <c r="CB75" s="734"/>
      <c r="CC75" s="734"/>
      <c r="CD75" s="321"/>
    </row>
    <row r="76" spans="2:82" s="680" customFormat="1" x14ac:dyDescent="0.25">
      <c r="B76" s="729" t="str">
        <f t="shared" si="32"/>
        <v>plant-based</v>
      </c>
      <c r="C76" s="730" t="s">
        <v>450</v>
      </c>
      <c r="D76" s="730" t="s">
        <v>451</v>
      </c>
      <c r="E76" s="731" t="s">
        <v>264</v>
      </c>
      <c r="F76" s="680" t="s">
        <v>454</v>
      </c>
      <c r="G76" s="680" t="s">
        <v>453</v>
      </c>
      <c r="H76" s="731" t="s">
        <v>248</v>
      </c>
      <c r="I76" s="760" t="s">
        <v>248</v>
      </c>
      <c r="J76" s="730" t="s">
        <v>392</v>
      </c>
      <c r="K76" s="680" t="s">
        <v>441</v>
      </c>
      <c r="L76" s="732"/>
      <c r="M76" s="729" t="str">
        <f t="shared" si="56"/>
        <v>ha</v>
      </c>
      <c r="N76" s="743" t="s">
        <v>455</v>
      </c>
      <c r="O76" s="734">
        <v>2618</v>
      </c>
      <c r="P76" s="734">
        <v>5264</v>
      </c>
      <c r="Q76" s="321" t="s">
        <v>317</v>
      </c>
      <c r="R76" s="733"/>
      <c r="S76" s="734"/>
      <c r="T76" s="734"/>
      <c r="U76" s="321"/>
      <c r="V76" s="733" t="str">
        <f t="shared" si="33"/>
        <v/>
      </c>
      <c r="W76" s="734" t="str">
        <f t="shared" si="34"/>
        <v/>
      </c>
      <c r="X76" s="734" t="str">
        <f t="shared" si="35"/>
        <v/>
      </c>
      <c r="Y76" s="744" t="str">
        <f t="shared" si="36"/>
        <v/>
      </c>
      <c r="Z76" s="746"/>
      <c r="AA76" s="745" t="s">
        <v>125</v>
      </c>
      <c r="AB76" s="746" t="s">
        <v>125</v>
      </c>
      <c r="AC76" s="747" t="str">
        <f t="shared" si="37"/>
        <v/>
      </c>
      <c r="AD76" s="748" t="str">
        <f t="shared" si="38"/>
        <v/>
      </c>
      <c r="AE76" s="749" t="str">
        <f t="shared" si="39"/>
        <v/>
      </c>
      <c r="AF76" s="745"/>
      <c r="AG76" s="746"/>
      <c r="AH76" s="747" t="s">
        <v>125</v>
      </c>
      <c r="AI76" s="748" t="s">
        <v>125</v>
      </c>
      <c r="AJ76" s="750" t="s">
        <v>125</v>
      </c>
      <c r="AK76" s="733" t="str">
        <f t="shared" si="40"/>
        <v/>
      </c>
      <c r="AL76" s="734" t="str">
        <f t="shared" si="41"/>
        <v/>
      </c>
      <c r="AM76" s="734" t="str">
        <f t="shared" si="42"/>
        <v/>
      </c>
      <c r="AN76" s="744" t="str">
        <f t="shared" si="43"/>
        <v/>
      </c>
      <c r="AO76" s="746"/>
      <c r="AP76" s="745" t="s">
        <v>125</v>
      </c>
      <c r="AQ76" s="746" t="s">
        <v>125</v>
      </c>
      <c r="AR76" s="747" t="str">
        <f t="shared" si="44"/>
        <v/>
      </c>
      <c r="AS76" s="748" t="str">
        <f t="shared" si="45"/>
        <v/>
      </c>
      <c r="AT76" s="749" t="str">
        <f t="shared" si="46"/>
        <v/>
      </c>
      <c r="AU76" s="745"/>
      <c r="AV76" s="746"/>
      <c r="AW76" s="747" t="s">
        <v>125</v>
      </c>
      <c r="AX76" s="748" t="s">
        <v>125</v>
      </c>
      <c r="AY76" s="750" t="s">
        <v>125</v>
      </c>
      <c r="AZ76" s="733" t="str">
        <f t="shared" si="47"/>
        <v/>
      </c>
      <c r="BA76" s="734" t="str">
        <f t="shared" si="48"/>
        <v/>
      </c>
      <c r="BB76" s="734" t="str">
        <f t="shared" si="49"/>
        <v/>
      </c>
      <c r="BC76" s="744" t="str">
        <f t="shared" si="50"/>
        <v/>
      </c>
      <c r="BD76" s="745" t="s">
        <v>125</v>
      </c>
      <c r="BE76" s="746" t="s">
        <v>125</v>
      </c>
      <c r="BF76" s="747" t="str">
        <f t="shared" si="51"/>
        <v/>
      </c>
      <c r="BG76" s="748" t="str">
        <f t="shared" si="52"/>
        <v/>
      </c>
      <c r="BH76" s="749" t="str">
        <f t="shared" si="53"/>
        <v/>
      </c>
      <c r="BI76" s="745"/>
      <c r="BJ76" s="746"/>
      <c r="BK76" s="747" t="s">
        <v>125</v>
      </c>
      <c r="BL76" s="748" t="s">
        <v>125</v>
      </c>
      <c r="BM76" s="750" t="s">
        <v>125</v>
      </c>
      <c r="BN76" s="1002" t="str">
        <f t="shared" si="54"/>
        <v/>
      </c>
      <c r="BO76" s="751" t="s">
        <v>125</v>
      </c>
      <c r="BP76" s="751" t="s">
        <v>125</v>
      </c>
      <c r="BQ76" s="744" t="str">
        <f t="shared" si="55"/>
        <v/>
      </c>
      <c r="BR76" s="755"/>
      <c r="BS76" s="756"/>
      <c r="BT76" s="755"/>
      <c r="BU76" s="756"/>
      <c r="BV76" s="755"/>
      <c r="BW76" s="757"/>
      <c r="BX76" s="755"/>
      <c r="BY76" s="756"/>
      <c r="BZ76" s="752" t="s">
        <v>125</v>
      </c>
      <c r="CA76" s="733"/>
      <c r="CB76" s="734"/>
      <c r="CC76" s="734"/>
      <c r="CD76" s="321"/>
    </row>
    <row r="77" spans="2:82" s="680" customFormat="1" x14ac:dyDescent="0.25">
      <c r="B77" s="729" t="str">
        <f t="shared" si="32"/>
        <v>plant-based</v>
      </c>
      <c r="C77" s="730" t="s">
        <v>450</v>
      </c>
      <c r="D77" s="730" t="s">
        <v>451</v>
      </c>
      <c r="E77" s="731" t="s">
        <v>264</v>
      </c>
      <c r="F77" s="680" t="s">
        <v>456</v>
      </c>
      <c r="G77" s="680" t="s">
        <v>453</v>
      </c>
      <c r="H77" s="731" t="s">
        <v>248</v>
      </c>
      <c r="I77" s="760" t="s">
        <v>248</v>
      </c>
      <c r="J77" s="730" t="s">
        <v>392</v>
      </c>
      <c r="K77" s="680" t="s">
        <v>397</v>
      </c>
      <c r="L77" s="732"/>
      <c r="M77" s="729" t="str">
        <f t="shared" si="56"/>
        <v>ha</v>
      </c>
      <c r="N77" s="733">
        <v>0.75897959183673469</v>
      </c>
      <c r="O77" s="734">
        <f>(3719+2494)/2</f>
        <v>3106.5</v>
      </c>
      <c r="P77" s="734">
        <f>(4900+5606+5606)/3</f>
        <v>5370.666666666667</v>
      </c>
      <c r="Q77" s="321" t="s">
        <v>317</v>
      </c>
      <c r="R77" s="733"/>
      <c r="S77" s="734"/>
      <c r="T77" s="734"/>
      <c r="U77" s="321"/>
      <c r="V77" s="733" t="str">
        <f t="shared" si="33"/>
        <v/>
      </c>
      <c r="W77" s="734" t="str">
        <f t="shared" si="34"/>
        <v/>
      </c>
      <c r="X77" s="734" t="str">
        <f t="shared" si="35"/>
        <v/>
      </c>
      <c r="Y77" s="744" t="str">
        <f t="shared" si="36"/>
        <v/>
      </c>
      <c r="Z77" s="746"/>
      <c r="AA77" s="745" t="s">
        <v>125</v>
      </c>
      <c r="AB77" s="746" t="s">
        <v>125</v>
      </c>
      <c r="AC77" s="747" t="str">
        <f t="shared" si="37"/>
        <v/>
      </c>
      <c r="AD77" s="748" t="str">
        <f t="shared" si="38"/>
        <v/>
      </c>
      <c r="AE77" s="749" t="str">
        <f t="shared" si="39"/>
        <v/>
      </c>
      <c r="AF77" s="745"/>
      <c r="AG77" s="746"/>
      <c r="AH77" s="747" t="s">
        <v>125</v>
      </c>
      <c r="AI77" s="748" t="s">
        <v>125</v>
      </c>
      <c r="AJ77" s="750" t="s">
        <v>125</v>
      </c>
      <c r="AK77" s="733" t="str">
        <f t="shared" si="40"/>
        <v/>
      </c>
      <c r="AL77" s="734" t="str">
        <f t="shared" si="41"/>
        <v/>
      </c>
      <c r="AM77" s="734" t="str">
        <f t="shared" si="42"/>
        <v/>
      </c>
      <c r="AN77" s="744" t="str">
        <f t="shared" si="43"/>
        <v/>
      </c>
      <c r="AO77" s="746"/>
      <c r="AP77" s="745" t="s">
        <v>125</v>
      </c>
      <c r="AQ77" s="746" t="s">
        <v>125</v>
      </c>
      <c r="AR77" s="747" t="str">
        <f t="shared" si="44"/>
        <v/>
      </c>
      <c r="AS77" s="748" t="str">
        <f t="shared" si="45"/>
        <v/>
      </c>
      <c r="AT77" s="749" t="str">
        <f t="shared" si="46"/>
        <v/>
      </c>
      <c r="AU77" s="745"/>
      <c r="AV77" s="746"/>
      <c r="AW77" s="747" t="s">
        <v>125</v>
      </c>
      <c r="AX77" s="748" t="s">
        <v>125</v>
      </c>
      <c r="AY77" s="750" t="s">
        <v>125</v>
      </c>
      <c r="AZ77" s="733" t="str">
        <f t="shared" si="47"/>
        <v/>
      </c>
      <c r="BA77" s="734" t="str">
        <f t="shared" si="48"/>
        <v/>
      </c>
      <c r="BB77" s="734" t="str">
        <f t="shared" si="49"/>
        <v/>
      </c>
      <c r="BC77" s="744" t="str">
        <f t="shared" si="50"/>
        <v/>
      </c>
      <c r="BD77" s="745" t="s">
        <v>125</v>
      </c>
      <c r="BE77" s="746" t="s">
        <v>125</v>
      </c>
      <c r="BF77" s="747" t="str">
        <f t="shared" si="51"/>
        <v/>
      </c>
      <c r="BG77" s="748" t="str">
        <f t="shared" si="52"/>
        <v/>
      </c>
      <c r="BH77" s="749" t="str">
        <f t="shared" si="53"/>
        <v/>
      </c>
      <c r="BI77" s="745"/>
      <c r="BJ77" s="746"/>
      <c r="BK77" s="747" t="s">
        <v>125</v>
      </c>
      <c r="BL77" s="748" t="s">
        <v>125</v>
      </c>
      <c r="BM77" s="750" t="s">
        <v>125</v>
      </c>
      <c r="BN77" s="1002" t="str">
        <f t="shared" si="54"/>
        <v/>
      </c>
      <c r="BO77" s="751" t="s">
        <v>125</v>
      </c>
      <c r="BP77" s="751" t="s">
        <v>125</v>
      </c>
      <c r="BQ77" s="744" t="str">
        <f t="shared" si="55"/>
        <v/>
      </c>
      <c r="BR77" s="755"/>
      <c r="BS77" s="756"/>
      <c r="BT77" s="755"/>
      <c r="BU77" s="756"/>
      <c r="BV77" s="755"/>
      <c r="BW77" s="757"/>
      <c r="BX77" s="755"/>
      <c r="BY77" s="756"/>
      <c r="BZ77" s="752" t="s">
        <v>125</v>
      </c>
      <c r="CA77" s="733"/>
      <c r="CB77" s="734"/>
      <c r="CC77" s="734"/>
      <c r="CD77" s="321"/>
    </row>
    <row r="78" spans="2:82" s="680" customFormat="1" x14ac:dyDescent="0.25">
      <c r="B78" s="729" t="str">
        <f t="shared" si="32"/>
        <v>plant-based</v>
      </c>
      <c r="C78" s="730" t="s">
        <v>457</v>
      </c>
      <c r="D78" s="730" t="s">
        <v>458</v>
      </c>
      <c r="E78" s="731" t="s">
        <v>264</v>
      </c>
      <c r="F78" s="680" t="s">
        <v>459</v>
      </c>
      <c r="G78" s="680" t="s">
        <v>249</v>
      </c>
      <c r="H78" s="731" t="s">
        <v>248</v>
      </c>
      <c r="I78" s="760" t="s">
        <v>248</v>
      </c>
      <c r="J78" s="730" t="s">
        <v>413</v>
      </c>
      <c r="K78" s="680" t="s">
        <v>414</v>
      </c>
      <c r="L78" s="732"/>
      <c r="M78" s="729" t="str">
        <f t="shared" si="56"/>
        <v>ha</v>
      </c>
      <c r="N78" s="733">
        <f>(0.58+0.66)/2</f>
        <v>0.62</v>
      </c>
      <c r="O78" s="734"/>
      <c r="P78" s="734"/>
      <c r="Q78" s="321" t="s">
        <v>317</v>
      </c>
      <c r="R78" s="733"/>
      <c r="S78" s="734"/>
      <c r="T78" s="734"/>
      <c r="U78" s="321"/>
      <c r="V78" s="733" t="str">
        <f t="shared" si="33"/>
        <v/>
      </c>
      <c r="W78" s="734" t="str">
        <f t="shared" si="34"/>
        <v/>
      </c>
      <c r="X78" s="734" t="str">
        <f t="shared" si="35"/>
        <v/>
      </c>
      <c r="Y78" s="744" t="str">
        <f t="shared" si="36"/>
        <v/>
      </c>
      <c r="Z78" s="746"/>
      <c r="AA78" s="745" t="s">
        <v>125</v>
      </c>
      <c r="AB78" s="746" t="s">
        <v>125</v>
      </c>
      <c r="AC78" s="747" t="str">
        <f t="shared" si="37"/>
        <v/>
      </c>
      <c r="AD78" s="748" t="str">
        <f t="shared" si="38"/>
        <v/>
      </c>
      <c r="AE78" s="749" t="str">
        <f t="shared" si="39"/>
        <v/>
      </c>
      <c r="AF78" s="745"/>
      <c r="AG78" s="746"/>
      <c r="AH78" s="747" t="s">
        <v>125</v>
      </c>
      <c r="AI78" s="748" t="s">
        <v>125</v>
      </c>
      <c r="AJ78" s="750" t="s">
        <v>125</v>
      </c>
      <c r="AK78" s="733" t="str">
        <f t="shared" si="40"/>
        <v/>
      </c>
      <c r="AL78" s="734" t="str">
        <f t="shared" si="41"/>
        <v/>
      </c>
      <c r="AM78" s="734" t="str">
        <f t="shared" si="42"/>
        <v/>
      </c>
      <c r="AN78" s="744" t="str">
        <f t="shared" si="43"/>
        <v/>
      </c>
      <c r="AO78" s="746"/>
      <c r="AP78" s="745" t="s">
        <v>125</v>
      </c>
      <c r="AQ78" s="746" t="s">
        <v>125</v>
      </c>
      <c r="AR78" s="747" t="str">
        <f t="shared" si="44"/>
        <v/>
      </c>
      <c r="AS78" s="748" t="str">
        <f t="shared" si="45"/>
        <v/>
      </c>
      <c r="AT78" s="749" t="str">
        <f t="shared" si="46"/>
        <v/>
      </c>
      <c r="AU78" s="745"/>
      <c r="AV78" s="746"/>
      <c r="AW78" s="747" t="s">
        <v>125</v>
      </c>
      <c r="AX78" s="748" t="s">
        <v>125</v>
      </c>
      <c r="AY78" s="750" t="s">
        <v>125</v>
      </c>
      <c r="AZ78" s="733" t="str">
        <f t="shared" si="47"/>
        <v/>
      </c>
      <c r="BA78" s="734" t="str">
        <f t="shared" si="48"/>
        <v/>
      </c>
      <c r="BB78" s="734" t="str">
        <f t="shared" si="49"/>
        <v/>
      </c>
      <c r="BC78" s="744" t="str">
        <f t="shared" si="50"/>
        <v/>
      </c>
      <c r="BD78" s="745" t="s">
        <v>125</v>
      </c>
      <c r="BE78" s="746" t="s">
        <v>125</v>
      </c>
      <c r="BF78" s="747" t="str">
        <f t="shared" si="51"/>
        <v/>
      </c>
      <c r="BG78" s="748" t="str">
        <f t="shared" si="52"/>
        <v/>
      </c>
      <c r="BH78" s="749" t="str">
        <f t="shared" si="53"/>
        <v/>
      </c>
      <c r="BI78" s="745"/>
      <c r="BJ78" s="746"/>
      <c r="BK78" s="747" t="s">
        <v>125</v>
      </c>
      <c r="BL78" s="748" t="s">
        <v>125</v>
      </c>
      <c r="BM78" s="750" t="s">
        <v>125</v>
      </c>
      <c r="BN78" s="1002" t="str">
        <f t="shared" si="54"/>
        <v/>
      </c>
      <c r="BO78" s="751" t="s">
        <v>125</v>
      </c>
      <c r="BP78" s="751" t="s">
        <v>125</v>
      </c>
      <c r="BQ78" s="744" t="str">
        <f t="shared" si="55"/>
        <v/>
      </c>
      <c r="BR78" s="755"/>
      <c r="BS78" s="756"/>
      <c r="BT78" s="755"/>
      <c r="BU78" s="756"/>
      <c r="BV78" s="755"/>
      <c r="BW78" s="757"/>
      <c r="BX78" s="755"/>
      <c r="BY78" s="756"/>
      <c r="BZ78" s="752" t="s">
        <v>125</v>
      </c>
      <c r="CA78" s="733"/>
      <c r="CB78" s="734"/>
      <c r="CC78" s="734"/>
      <c r="CD78" s="321"/>
    </row>
    <row r="79" spans="2:82" s="680" customFormat="1" x14ac:dyDescent="0.25">
      <c r="B79" s="729" t="str">
        <f t="shared" si="32"/>
        <v>plant-based</v>
      </c>
      <c r="C79" s="730" t="s">
        <v>457</v>
      </c>
      <c r="D79" s="730" t="s">
        <v>458</v>
      </c>
      <c r="E79" s="731" t="s">
        <v>264</v>
      </c>
      <c r="F79" s="680" t="s">
        <v>460</v>
      </c>
      <c r="G79" s="680" t="s">
        <v>249</v>
      </c>
      <c r="H79" s="731" t="s">
        <v>248</v>
      </c>
      <c r="I79" s="760" t="s">
        <v>248</v>
      </c>
      <c r="J79" s="730" t="s">
        <v>392</v>
      </c>
      <c r="K79" s="680" t="s">
        <v>397</v>
      </c>
      <c r="L79" s="732"/>
      <c r="M79" s="729" t="str">
        <f t="shared" si="56"/>
        <v>ha</v>
      </c>
      <c r="N79" s="754">
        <v>0.9</v>
      </c>
      <c r="O79" s="734"/>
      <c r="P79" s="734"/>
      <c r="Q79" s="321" t="s">
        <v>317</v>
      </c>
      <c r="R79" s="733"/>
      <c r="S79" s="734"/>
      <c r="T79" s="734"/>
      <c r="U79" s="321"/>
      <c r="V79" s="733" t="str">
        <f t="shared" si="33"/>
        <v/>
      </c>
      <c r="W79" s="734" t="str">
        <f t="shared" si="34"/>
        <v/>
      </c>
      <c r="X79" s="734" t="str">
        <f t="shared" si="35"/>
        <v/>
      </c>
      <c r="Y79" s="744" t="str">
        <f t="shared" si="36"/>
        <v/>
      </c>
      <c r="Z79" s="746"/>
      <c r="AA79" s="745" t="s">
        <v>125</v>
      </c>
      <c r="AB79" s="746" t="s">
        <v>125</v>
      </c>
      <c r="AC79" s="747" t="str">
        <f t="shared" si="37"/>
        <v/>
      </c>
      <c r="AD79" s="748" t="str">
        <f t="shared" si="38"/>
        <v/>
      </c>
      <c r="AE79" s="749" t="str">
        <f t="shared" si="39"/>
        <v/>
      </c>
      <c r="AF79" s="745"/>
      <c r="AG79" s="746"/>
      <c r="AH79" s="747" t="s">
        <v>125</v>
      </c>
      <c r="AI79" s="748" t="s">
        <v>125</v>
      </c>
      <c r="AJ79" s="750" t="s">
        <v>125</v>
      </c>
      <c r="AK79" s="733" t="str">
        <f t="shared" si="40"/>
        <v/>
      </c>
      <c r="AL79" s="734" t="str">
        <f t="shared" si="41"/>
        <v/>
      </c>
      <c r="AM79" s="734" t="str">
        <f t="shared" si="42"/>
        <v/>
      </c>
      <c r="AN79" s="744" t="str">
        <f t="shared" si="43"/>
        <v/>
      </c>
      <c r="AO79" s="746"/>
      <c r="AP79" s="745" t="s">
        <v>125</v>
      </c>
      <c r="AQ79" s="746" t="s">
        <v>125</v>
      </c>
      <c r="AR79" s="747" t="str">
        <f t="shared" si="44"/>
        <v/>
      </c>
      <c r="AS79" s="748" t="str">
        <f t="shared" si="45"/>
        <v/>
      </c>
      <c r="AT79" s="749" t="str">
        <f t="shared" si="46"/>
        <v/>
      </c>
      <c r="AU79" s="745"/>
      <c r="AV79" s="746"/>
      <c r="AW79" s="747" t="s">
        <v>125</v>
      </c>
      <c r="AX79" s="748" t="s">
        <v>125</v>
      </c>
      <c r="AY79" s="750" t="s">
        <v>125</v>
      </c>
      <c r="AZ79" s="733" t="str">
        <f t="shared" si="47"/>
        <v/>
      </c>
      <c r="BA79" s="734" t="str">
        <f t="shared" si="48"/>
        <v/>
      </c>
      <c r="BB79" s="734" t="str">
        <f t="shared" si="49"/>
        <v/>
      </c>
      <c r="BC79" s="744" t="str">
        <f t="shared" si="50"/>
        <v/>
      </c>
      <c r="BD79" s="745" t="s">
        <v>125</v>
      </c>
      <c r="BE79" s="746" t="s">
        <v>125</v>
      </c>
      <c r="BF79" s="747" t="str">
        <f t="shared" si="51"/>
        <v/>
      </c>
      <c r="BG79" s="748" t="str">
        <f t="shared" si="52"/>
        <v/>
      </c>
      <c r="BH79" s="749" t="str">
        <f t="shared" si="53"/>
        <v/>
      </c>
      <c r="BI79" s="745"/>
      <c r="BJ79" s="746"/>
      <c r="BK79" s="747" t="s">
        <v>125</v>
      </c>
      <c r="BL79" s="748" t="s">
        <v>125</v>
      </c>
      <c r="BM79" s="750" t="s">
        <v>125</v>
      </c>
      <c r="BN79" s="1002" t="str">
        <f t="shared" si="54"/>
        <v/>
      </c>
      <c r="BO79" s="751" t="s">
        <v>125</v>
      </c>
      <c r="BP79" s="751" t="s">
        <v>125</v>
      </c>
      <c r="BQ79" s="744" t="str">
        <f t="shared" si="55"/>
        <v/>
      </c>
      <c r="BR79" s="755"/>
      <c r="BS79" s="756"/>
      <c r="BT79" s="755"/>
      <c r="BU79" s="756"/>
      <c r="BV79" s="755"/>
      <c r="BW79" s="757"/>
      <c r="BX79" s="755"/>
      <c r="BY79" s="756"/>
      <c r="BZ79" s="752" t="s">
        <v>125</v>
      </c>
      <c r="CA79" s="733"/>
      <c r="CB79" s="734"/>
      <c r="CC79" s="734"/>
      <c r="CD79" s="321"/>
    </row>
    <row r="80" spans="2:82" s="680" customFormat="1" x14ac:dyDescent="0.25">
      <c r="B80" s="729" t="str">
        <f t="shared" si="32"/>
        <v>plant-based</v>
      </c>
      <c r="C80" s="730" t="s">
        <v>461</v>
      </c>
      <c r="D80" s="730" t="s">
        <v>462</v>
      </c>
      <c r="E80" s="731" t="s">
        <v>264</v>
      </c>
      <c r="F80" s="680" t="s">
        <v>463</v>
      </c>
      <c r="G80" s="680" t="s">
        <v>272</v>
      </c>
      <c r="H80" s="731" t="s">
        <v>248</v>
      </c>
      <c r="I80" s="760" t="s">
        <v>248</v>
      </c>
      <c r="J80" s="730" t="s">
        <v>413</v>
      </c>
      <c r="K80" s="680" t="s">
        <v>414</v>
      </c>
      <c r="L80" s="732"/>
      <c r="M80" s="729" t="str">
        <f t="shared" si="56"/>
        <v>ha</v>
      </c>
      <c r="N80" s="754">
        <f t="shared" ref="N80:N85" si="57">O80/P80</f>
        <v>0.80102040816326525</v>
      </c>
      <c r="O80" s="734">
        <v>15700</v>
      </c>
      <c r="P80" s="734">
        <v>19600</v>
      </c>
      <c r="Q80" s="321" t="s">
        <v>317</v>
      </c>
      <c r="R80" s="733"/>
      <c r="S80" s="734"/>
      <c r="T80" s="734"/>
      <c r="U80" s="321"/>
      <c r="V80" s="733" t="str">
        <f t="shared" si="33"/>
        <v/>
      </c>
      <c r="W80" s="734" t="str">
        <f t="shared" si="34"/>
        <v/>
      </c>
      <c r="X80" s="734" t="str">
        <f t="shared" si="35"/>
        <v/>
      </c>
      <c r="Y80" s="744" t="str">
        <f t="shared" si="36"/>
        <v/>
      </c>
      <c r="Z80" s="746"/>
      <c r="AA80" s="745" t="s">
        <v>125</v>
      </c>
      <c r="AB80" s="746" t="s">
        <v>125</v>
      </c>
      <c r="AC80" s="747" t="str">
        <f t="shared" si="37"/>
        <v/>
      </c>
      <c r="AD80" s="748" t="str">
        <f t="shared" si="38"/>
        <v/>
      </c>
      <c r="AE80" s="749" t="str">
        <f t="shared" si="39"/>
        <v/>
      </c>
      <c r="AF80" s="745"/>
      <c r="AG80" s="746"/>
      <c r="AH80" s="747" t="s">
        <v>125</v>
      </c>
      <c r="AI80" s="748" t="s">
        <v>125</v>
      </c>
      <c r="AJ80" s="750" t="s">
        <v>125</v>
      </c>
      <c r="AK80" s="733" t="str">
        <f t="shared" si="40"/>
        <v/>
      </c>
      <c r="AL80" s="734" t="str">
        <f t="shared" si="41"/>
        <v/>
      </c>
      <c r="AM80" s="734" t="str">
        <f t="shared" si="42"/>
        <v/>
      </c>
      <c r="AN80" s="744" t="str">
        <f t="shared" si="43"/>
        <v/>
      </c>
      <c r="AO80" s="746"/>
      <c r="AP80" s="745" t="s">
        <v>125</v>
      </c>
      <c r="AQ80" s="746" t="s">
        <v>125</v>
      </c>
      <c r="AR80" s="747" t="str">
        <f t="shared" si="44"/>
        <v/>
      </c>
      <c r="AS80" s="748" t="str">
        <f t="shared" si="45"/>
        <v/>
      </c>
      <c r="AT80" s="749" t="str">
        <f t="shared" si="46"/>
        <v/>
      </c>
      <c r="AU80" s="745"/>
      <c r="AV80" s="746"/>
      <c r="AW80" s="747" t="s">
        <v>125</v>
      </c>
      <c r="AX80" s="748" t="s">
        <v>125</v>
      </c>
      <c r="AY80" s="750" t="s">
        <v>125</v>
      </c>
      <c r="AZ80" s="733" t="str">
        <f t="shared" si="47"/>
        <v/>
      </c>
      <c r="BA80" s="734" t="str">
        <f t="shared" si="48"/>
        <v/>
      </c>
      <c r="BB80" s="734" t="str">
        <f t="shared" si="49"/>
        <v/>
      </c>
      <c r="BC80" s="744" t="str">
        <f t="shared" si="50"/>
        <v/>
      </c>
      <c r="BD80" s="745" t="s">
        <v>125</v>
      </c>
      <c r="BE80" s="746" t="s">
        <v>125</v>
      </c>
      <c r="BF80" s="747" t="str">
        <f t="shared" si="51"/>
        <v/>
      </c>
      <c r="BG80" s="748" t="str">
        <f t="shared" si="52"/>
        <v/>
      </c>
      <c r="BH80" s="749" t="str">
        <f t="shared" si="53"/>
        <v/>
      </c>
      <c r="BI80" s="745"/>
      <c r="BJ80" s="746"/>
      <c r="BK80" s="747" t="s">
        <v>125</v>
      </c>
      <c r="BL80" s="748" t="s">
        <v>125</v>
      </c>
      <c r="BM80" s="750" t="s">
        <v>125</v>
      </c>
      <c r="BN80" s="1002" t="str">
        <f t="shared" si="54"/>
        <v/>
      </c>
      <c r="BO80" s="751" t="s">
        <v>125</v>
      </c>
      <c r="BP80" s="751" t="s">
        <v>125</v>
      </c>
      <c r="BQ80" s="744" t="str">
        <f t="shared" si="55"/>
        <v/>
      </c>
      <c r="BR80" s="755"/>
      <c r="BS80" s="756"/>
      <c r="BT80" s="755"/>
      <c r="BU80" s="756"/>
      <c r="BV80" s="755"/>
      <c r="BW80" s="757"/>
      <c r="BX80" s="755"/>
      <c r="BY80" s="756"/>
      <c r="BZ80" s="752" t="s">
        <v>125</v>
      </c>
      <c r="CA80" s="733"/>
      <c r="CB80" s="734"/>
      <c r="CC80" s="734"/>
      <c r="CD80" s="321"/>
    </row>
    <row r="81" spans="2:82" s="680" customFormat="1" x14ac:dyDescent="0.25">
      <c r="B81" s="729" t="str">
        <f t="shared" si="32"/>
        <v>plant-based</v>
      </c>
      <c r="C81" s="730" t="s">
        <v>464</v>
      </c>
      <c r="D81" s="730" t="s">
        <v>465</v>
      </c>
      <c r="E81" s="731" t="s">
        <v>264</v>
      </c>
      <c r="F81" s="680" t="s">
        <v>248</v>
      </c>
      <c r="G81" s="680" t="s">
        <v>272</v>
      </c>
      <c r="H81" s="731" t="s">
        <v>248</v>
      </c>
      <c r="I81" s="760" t="s">
        <v>248</v>
      </c>
      <c r="J81" s="730" t="s">
        <v>423</v>
      </c>
      <c r="K81" s="680" t="s">
        <v>466</v>
      </c>
      <c r="L81" s="732"/>
      <c r="M81" s="729" t="str">
        <f t="shared" si="56"/>
        <v>ha</v>
      </c>
      <c r="N81" s="733">
        <f t="shared" si="57"/>
        <v>0.67333333333333334</v>
      </c>
      <c r="O81" s="734">
        <f>(9+5.5+5.7)/3</f>
        <v>6.7333333333333334</v>
      </c>
      <c r="P81" s="734">
        <f>(14+6.3+9.7)/3</f>
        <v>10</v>
      </c>
      <c r="Q81" s="321" t="s">
        <v>387</v>
      </c>
      <c r="R81" s="733"/>
      <c r="S81" s="734"/>
      <c r="T81" s="734"/>
      <c r="U81" s="321"/>
      <c r="V81" s="733" t="str">
        <f t="shared" si="33"/>
        <v/>
      </c>
      <c r="W81" s="734" t="str">
        <f t="shared" si="34"/>
        <v/>
      </c>
      <c r="X81" s="734" t="str">
        <f t="shared" si="35"/>
        <v/>
      </c>
      <c r="Y81" s="744" t="str">
        <f t="shared" si="36"/>
        <v/>
      </c>
      <c r="Z81" s="746"/>
      <c r="AA81" s="745" t="s">
        <v>125</v>
      </c>
      <c r="AB81" s="746" t="s">
        <v>125</v>
      </c>
      <c r="AC81" s="747" t="str">
        <f t="shared" si="37"/>
        <v/>
      </c>
      <c r="AD81" s="748" t="str">
        <f t="shared" si="38"/>
        <v/>
      </c>
      <c r="AE81" s="749" t="str">
        <f t="shared" si="39"/>
        <v/>
      </c>
      <c r="AF81" s="745"/>
      <c r="AG81" s="746"/>
      <c r="AH81" s="747" t="s">
        <v>125</v>
      </c>
      <c r="AI81" s="748" t="s">
        <v>125</v>
      </c>
      <c r="AJ81" s="750" t="s">
        <v>125</v>
      </c>
      <c r="AK81" s="733" t="str">
        <f t="shared" si="40"/>
        <v/>
      </c>
      <c r="AL81" s="734" t="str">
        <f t="shared" si="41"/>
        <v/>
      </c>
      <c r="AM81" s="734" t="str">
        <f t="shared" si="42"/>
        <v/>
      </c>
      <c r="AN81" s="744" t="str">
        <f t="shared" si="43"/>
        <v/>
      </c>
      <c r="AO81" s="746"/>
      <c r="AP81" s="745" t="s">
        <v>125</v>
      </c>
      <c r="AQ81" s="746" t="s">
        <v>125</v>
      </c>
      <c r="AR81" s="747" t="str">
        <f t="shared" si="44"/>
        <v/>
      </c>
      <c r="AS81" s="748" t="str">
        <f t="shared" si="45"/>
        <v/>
      </c>
      <c r="AT81" s="749" t="str">
        <f t="shared" si="46"/>
        <v/>
      </c>
      <c r="AU81" s="745"/>
      <c r="AV81" s="746"/>
      <c r="AW81" s="747" t="s">
        <v>125</v>
      </c>
      <c r="AX81" s="748" t="s">
        <v>125</v>
      </c>
      <c r="AY81" s="750" t="s">
        <v>125</v>
      </c>
      <c r="AZ81" s="733" t="str">
        <f t="shared" si="47"/>
        <v/>
      </c>
      <c r="BA81" s="734" t="str">
        <f t="shared" si="48"/>
        <v/>
      </c>
      <c r="BB81" s="734" t="str">
        <f t="shared" si="49"/>
        <v/>
      </c>
      <c r="BC81" s="744" t="str">
        <f t="shared" si="50"/>
        <v/>
      </c>
      <c r="BD81" s="745" t="s">
        <v>125</v>
      </c>
      <c r="BE81" s="746" t="s">
        <v>125</v>
      </c>
      <c r="BF81" s="747" t="str">
        <f t="shared" si="51"/>
        <v/>
      </c>
      <c r="BG81" s="748" t="str">
        <f t="shared" si="52"/>
        <v/>
      </c>
      <c r="BH81" s="749" t="str">
        <f t="shared" si="53"/>
        <v/>
      </c>
      <c r="BI81" s="745"/>
      <c r="BJ81" s="746"/>
      <c r="BK81" s="747" t="s">
        <v>125</v>
      </c>
      <c r="BL81" s="748" t="s">
        <v>125</v>
      </c>
      <c r="BM81" s="750" t="s">
        <v>125</v>
      </c>
      <c r="BN81" s="1002" t="str">
        <f t="shared" si="54"/>
        <v/>
      </c>
      <c r="BO81" s="751" t="s">
        <v>125</v>
      </c>
      <c r="BP81" s="751" t="s">
        <v>125</v>
      </c>
      <c r="BQ81" s="744" t="str">
        <f t="shared" si="55"/>
        <v/>
      </c>
      <c r="BR81" s="755"/>
      <c r="BS81" s="756"/>
      <c r="BT81" s="755"/>
      <c r="BU81" s="756"/>
      <c r="BV81" s="755"/>
      <c r="BW81" s="757"/>
      <c r="BX81" s="755"/>
      <c r="BY81" s="756"/>
      <c r="BZ81" s="752" t="s">
        <v>125</v>
      </c>
      <c r="CA81" s="733"/>
      <c r="CB81" s="734"/>
      <c r="CC81" s="734"/>
      <c r="CD81" s="321"/>
    </row>
    <row r="82" spans="2:82" s="680" customFormat="1" x14ac:dyDescent="0.25">
      <c r="B82" s="729" t="str">
        <f t="shared" si="32"/>
        <v>plant-based</v>
      </c>
      <c r="C82" s="730" t="s">
        <v>467</v>
      </c>
      <c r="D82" s="730" t="s">
        <v>468</v>
      </c>
      <c r="E82" s="731" t="s">
        <v>92</v>
      </c>
      <c r="F82" s="680" t="s">
        <v>248</v>
      </c>
      <c r="G82" s="680" t="s">
        <v>272</v>
      </c>
      <c r="H82" s="731" t="s">
        <v>248</v>
      </c>
      <c r="I82" s="760" t="s">
        <v>248</v>
      </c>
      <c r="J82" s="730" t="s">
        <v>392</v>
      </c>
      <c r="K82" s="680" t="s">
        <v>397</v>
      </c>
      <c r="L82" s="732"/>
      <c r="M82" s="729" t="str">
        <f t="shared" si="56"/>
        <v>ha</v>
      </c>
      <c r="N82" s="733">
        <f t="shared" si="57"/>
        <v>0.44394618834080712</v>
      </c>
      <c r="O82" s="734">
        <f>(2.38+2.57)/2</f>
        <v>2.4749999999999996</v>
      </c>
      <c r="P82" s="734">
        <f>(5.46+5.69)/2</f>
        <v>5.5750000000000002</v>
      </c>
      <c r="Q82" s="321" t="s">
        <v>387</v>
      </c>
      <c r="R82" s="733"/>
      <c r="S82" s="734"/>
      <c r="T82" s="734"/>
      <c r="U82" s="321"/>
      <c r="V82" s="733" t="str">
        <f t="shared" si="33"/>
        <v/>
      </c>
      <c r="W82" s="734" t="str">
        <f t="shared" si="34"/>
        <v/>
      </c>
      <c r="X82" s="734" t="str">
        <f t="shared" si="35"/>
        <v/>
      </c>
      <c r="Y82" s="744" t="str">
        <f t="shared" si="36"/>
        <v/>
      </c>
      <c r="Z82" s="746"/>
      <c r="AA82" s="745" t="s">
        <v>125</v>
      </c>
      <c r="AB82" s="746" t="s">
        <v>125</v>
      </c>
      <c r="AC82" s="747" t="str">
        <f t="shared" si="37"/>
        <v/>
      </c>
      <c r="AD82" s="748" t="str">
        <f t="shared" si="38"/>
        <v/>
      </c>
      <c r="AE82" s="749" t="str">
        <f t="shared" si="39"/>
        <v/>
      </c>
      <c r="AF82" s="745"/>
      <c r="AG82" s="746"/>
      <c r="AH82" s="747" t="s">
        <v>125</v>
      </c>
      <c r="AI82" s="748" t="s">
        <v>125</v>
      </c>
      <c r="AJ82" s="750" t="s">
        <v>125</v>
      </c>
      <c r="AK82" s="733" t="str">
        <f t="shared" si="40"/>
        <v/>
      </c>
      <c r="AL82" s="734" t="str">
        <f t="shared" si="41"/>
        <v/>
      </c>
      <c r="AM82" s="734" t="str">
        <f t="shared" si="42"/>
        <v/>
      </c>
      <c r="AN82" s="744" t="str">
        <f t="shared" si="43"/>
        <v/>
      </c>
      <c r="AO82" s="746"/>
      <c r="AP82" s="745" t="s">
        <v>125</v>
      </c>
      <c r="AQ82" s="746" t="s">
        <v>125</v>
      </c>
      <c r="AR82" s="747" t="str">
        <f t="shared" si="44"/>
        <v/>
      </c>
      <c r="AS82" s="748" t="str">
        <f t="shared" si="45"/>
        <v/>
      </c>
      <c r="AT82" s="749" t="str">
        <f t="shared" si="46"/>
        <v/>
      </c>
      <c r="AU82" s="745"/>
      <c r="AV82" s="746"/>
      <c r="AW82" s="747" t="s">
        <v>125</v>
      </c>
      <c r="AX82" s="748" t="s">
        <v>125</v>
      </c>
      <c r="AY82" s="750" t="s">
        <v>125</v>
      </c>
      <c r="AZ82" s="733" t="str">
        <f t="shared" si="47"/>
        <v/>
      </c>
      <c r="BA82" s="734" t="str">
        <f t="shared" si="48"/>
        <v/>
      </c>
      <c r="BB82" s="734" t="str">
        <f t="shared" si="49"/>
        <v/>
      </c>
      <c r="BC82" s="744" t="str">
        <f t="shared" si="50"/>
        <v/>
      </c>
      <c r="BD82" s="745" t="s">
        <v>125</v>
      </c>
      <c r="BE82" s="746" t="s">
        <v>125</v>
      </c>
      <c r="BF82" s="747" t="str">
        <f t="shared" si="51"/>
        <v/>
      </c>
      <c r="BG82" s="748" t="str">
        <f t="shared" si="52"/>
        <v/>
      </c>
      <c r="BH82" s="749" t="str">
        <f t="shared" si="53"/>
        <v/>
      </c>
      <c r="BI82" s="745"/>
      <c r="BJ82" s="746"/>
      <c r="BK82" s="747" t="s">
        <v>125</v>
      </c>
      <c r="BL82" s="748" t="s">
        <v>125</v>
      </c>
      <c r="BM82" s="750" t="s">
        <v>125</v>
      </c>
      <c r="BN82" s="1002" t="str">
        <f t="shared" si="54"/>
        <v/>
      </c>
      <c r="BO82" s="751" t="s">
        <v>125</v>
      </c>
      <c r="BP82" s="751" t="s">
        <v>125</v>
      </c>
      <c r="BQ82" s="744" t="str">
        <f t="shared" si="55"/>
        <v/>
      </c>
      <c r="BR82" s="755"/>
      <c r="BS82" s="756"/>
      <c r="BT82" s="755"/>
      <c r="BU82" s="756"/>
      <c r="BV82" s="755"/>
      <c r="BW82" s="757"/>
      <c r="BX82" s="755"/>
      <c r="BY82" s="756"/>
      <c r="BZ82" s="752" t="s">
        <v>125</v>
      </c>
      <c r="CA82" s="733"/>
      <c r="CB82" s="734"/>
      <c r="CC82" s="734"/>
      <c r="CD82" s="321"/>
    </row>
    <row r="83" spans="2:82" s="680" customFormat="1" x14ac:dyDescent="0.25">
      <c r="B83" s="729" t="str">
        <f t="shared" si="32"/>
        <v>plant-based</v>
      </c>
      <c r="C83" s="730" t="s">
        <v>469</v>
      </c>
      <c r="D83" s="730" t="s">
        <v>470</v>
      </c>
      <c r="E83" s="731" t="s">
        <v>264</v>
      </c>
      <c r="F83" s="680" t="s">
        <v>248</v>
      </c>
      <c r="G83" s="680" t="s">
        <v>272</v>
      </c>
      <c r="H83" s="731" t="s">
        <v>248</v>
      </c>
      <c r="I83" s="760" t="s">
        <v>248</v>
      </c>
      <c r="J83" s="730" t="s">
        <v>392</v>
      </c>
      <c r="K83" s="680" t="s">
        <v>402</v>
      </c>
      <c r="L83" s="732"/>
      <c r="M83" s="729" t="str">
        <f t="shared" si="56"/>
        <v>ha</v>
      </c>
      <c r="N83" s="733">
        <f t="shared" si="57"/>
        <v>0.89814814814814803</v>
      </c>
      <c r="O83" s="734">
        <f>(10+9.4)/2</f>
        <v>9.6999999999999993</v>
      </c>
      <c r="P83" s="734">
        <f>(10.5+11.1)/2</f>
        <v>10.8</v>
      </c>
      <c r="Q83" s="321" t="s">
        <v>387</v>
      </c>
      <c r="R83" s="733"/>
      <c r="S83" s="734"/>
      <c r="T83" s="734"/>
      <c r="U83" s="321"/>
      <c r="V83" s="733" t="str">
        <f t="shared" si="33"/>
        <v/>
      </c>
      <c r="W83" s="734" t="str">
        <f t="shared" si="34"/>
        <v/>
      </c>
      <c r="X83" s="734" t="str">
        <f t="shared" si="35"/>
        <v/>
      </c>
      <c r="Y83" s="744" t="str">
        <f t="shared" si="36"/>
        <v/>
      </c>
      <c r="Z83" s="746"/>
      <c r="AA83" s="745" t="s">
        <v>125</v>
      </c>
      <c r="AB83" s="746" t="s">
        <v>125</v>
      </c>
      <c r="AC83" s="747" t="str">
        <f t="shared" si="37"/>
        <v/>
      </c>
      <c r="AD83" s="748" t="str">
        <f t="shared" si="38"/>
        <v/>
      </c>
      <c r="AE83" s="749" t="str">
        <f t="shared" si="39"/>
        <v/>
      </c>
      <c r="AF83" s="745"/>
      <c r="AG83" s="746"/>
      <c r="AH83" s="747" t="s">
        <v>125</v>
      </c>
      <c r="AI83" s="748" t="s">
        <v>125</v>
      </c>
      <c r="AJ83" s="750" t="s">
        <v>125</v>
      </c>
      <c r="AK83" s="733" t="str">
        <f t="shared" si="40"/>
        <v/>
      </c>
      <c r="AL83" s="734" t="str">
        <f t="shared" si="41"/>
        <v/>
      </c>
      <c r="AM83" s="734" t="str">
        <f t="shared" si="42"/>
        <v/>
      </c>
      <c r="AN83" s="744" t="str">
        <f t="shared" si="43"/>
        <v/>
      </c>
      <c r="AO83" s="746"/>
      <c r="AP83" s="745" t="s">
        <v>125</v>
      </c>
      <c r="AQ83" s="746" t="s">
        <v>125</v>
      </c>
      <c r="AR83" s="747" t="str">
        <f t="shared" si="44"/>
        <v/>
      </c>
      <c r="AS83" s="748" t="str">
        <f t="shared" si="45"/>
        <v/>
      </c>
      <c r="AT83" s="749" t="str">
        <f t="shared" si="46"/>
        <v/>
      </c>
      <c r="AU83" s="745"/>
      <c r="AV83" s="746"/>
      <c r="AW83" s="747" t="s">
        <v>125</v>
      </c>
      <c r="AX83" s="748" t="s">
        <v>125</v>
      </c>
      <c r="AY83" s="750" t="s">
        <v>125</v>
      </c>
      <c r="AZ83" s="733" t="str">
        <f t="shared" si="47"/>
        <v/>
      </c>
      <c r="BA83" s="734" t="str">
        <f t="shared" si="48"/>
        <v/>
      </c>
      <c r="BB83" s="734" t="str">
        <f t="shared" si="49"/>
        <v/>
      </c>
      <c r="BC83" s="744" t="str">
        <f t="shared" si="50"/>
        <v/>
      </c>
      <c r="BD83" s="745" t="s">
        <v>125</v>
      </c>
      <c r="BE83" s="746" t="s">
        <v>125</v>
      </c>
      <c r="BF83" s="747" t="str">
        <f t="shared" si="51"/>
        <v/>
      </c>
      <c r="BG83" s="748" t="str">
        <f t="shared" si="52"/>
        <v/>
      </c>
      <c r="BH83" s="749" t="str">
        <f t="shared" si="53"/>
        <v/>
      </c>
      <c r="BI83" s="745"/>
      <c r="BJ83" s="746"/>
      <c r="BK83" s="747" t="s">
        <v>125</v>
      </c>
      <c r="BL83" s="748" t="s">
        <v>125</v>
      </c>
      <c r="BM83" s="750" t="s">
        <v>125</v>
      </c>
      <c r="BN83" s="1002" t="str">
        <f t="shared" si="54"/>
        <v/>
      </c>
      <c r="BO83" s="751" t="s">
        <v>125</v>
      </c>
      <c r="BP83" s="751" t="s">
        <v>125</v>
      </c>
      <c r="BQ83" s="744" t="str">
        <f t="shared" si="55"/>
        <v/>
      </c>
      <c r="BR83" s="755"/>
      <c r="BS83" s="756"/>
      <c r="BT83" s="755"/>
      <c r="BU83" s="756"/>
      <c r="BV83" s="755"/>
      <c r="BW83" s="757"/>
      <c r="BX83" s="755"/>
      <c r="BY83" s="756"/>
      <c r="BZ83" s="752" t="s">
        <v>125</v>
      </c>
      <c r="CA83" s="733"/>
      <c r="CB83" s="734"/>
      <c r="CC83" s="734"/>
      <c r="CD83" s="321"/>
    </row>
    <row r="84" spans="2:82" s="680" customFormat="1" x14ac:dyDescent="0.25">
      <c r="B84" s="729" t="str">
        <f t="shared" si="32"/>
        <v>plant-based</v>
      </c>
      <c r="C84" s="730" t="s">
        <v>371</v>
      </c>
      <c r="D84" s="730" t="s">
        <v>471</v>
      </c>
      <c r="E84" s="731" t="s">
        <v>264</v>
      </c>
      <c r="F84" s="680" t="s">
        <v>373</v>
      </c>
      <c r="G84" s="680" t="s">
        <v>291</v>
      </c>
      <c r="H84" s="731" t="s">
        <v>248</v>
      </c>
      <c r="I84" s="760" t="s">
        <v>248</v>
      </c>
      <c r="J84" s="730" t="s">
        <v>413</v>
      </c>
      <c r="K84" s="680" t="s">
        <v>420</v>
      </c>
      <c r="L84" s="732" t="s">
        <v>400</v>
      </c>
      <c r="M84" s="729" t="str">
        <f t="shared" si="56"/>
        <v>ha</v>
      </c>
      <c r="N84" s="733">
        <f t="shared" si="57"/>
        <v>0.8661323834965865</v>
      </c>
      <c r="O84" s="734">
        <f>(9030+9660+10490)/3</f>
        <v>9726.6666666666661</v>
      </c>
      <c r="P84" s="734">
        <f>(10240+11270+12180)/3</f>
        <v>11230</v>
      </c>
      <c r="Q84" s="762" t="s">
        <v>472</v>
      </c>
      <c r="R84" s="733"/>
      <c r="S84" s="734"/>
      <c r="T84" s="734"/>
      <c r="U84" s="321"/>
      <c r="V84" s="733">
        <f t="shared" si="33"/>
        <v>1.0731257208765859</v>
      </c>
      <c r="W84" s="734">
        <f t="shared" si="34"/>
        <v>422401.6</v>
      </c>
      <c r="X84" s="734">
        <f t="shared" si="35"/>
        <v>393618</v>
      </c>
      <c r="Y84" s="744" t="str">
        <f t="shared" si="36"/>
        <v>kg/ha</v>
      </c>
      <c r="Z84" s="998" t="s">
        <v>1571</v>
      </c>
      <c r="AA84" s="745">
        <v>422401.6</v>
      </c>
      <c r="AB84" s="746">
        <v>393618</v>
      </c>
      <c r="AC84" s="747" t="str">
        <f t="shared" si="37"/>
        <v>kg</v>
      </c>
      <c r="AD84" s="748" t="str">
        <f t="shared" si="38"/>
        <v>/</v>
      </c>
      <c r="AE84" s="749" t="str">
        <f t="shared" si="39"/>
        <v>ha</v>
      </c>
      <c r="AF84" s="745">
        <f>498+1043+1890+831+553+1019+1207+2263</f>
        <v>9304</v>
      </c>
      <c r="AG84" s="746">
        <f>1112+150+1738+831+553+1019+1207+2060</f>
        <v>8670</v>
      </c>
      <c r="AH84" s="747" t="s">
        <v>304</v>
      </c>
      <c r="AI84" s="748" t="s">
        <v>256</v>
      </c>
      <c r="AJ84" s="750" t="s">
        <v>188</v>
      </c>
      <c r="AK84" s="733">
        <f t="shared" si="40"/>
        <v>1</v>
      </c>
      <c r="AL84" s="734">
        <f t="shared" si="41"/>
        <v>912.22222222222229</v>
      </c>
      <c r="AM84" s="734">
        <f t="shared" si="42"/>
        <v>912.22222222222229</v>
      </c>
      <c r="AN84" s="744" t="str">
        <f t="shared" si="43"/>
        <v>kWh/ha</v>
      </c>
      <c r="AO84" s="746" t="s">
        <v>1571</v>
      </c>
      <c r="AP84" s="745">
        <v>912.22222222222229</v>
      </c>
      <c r="AQ84" s="746">
        <v>912.22222222222229</v>
      </c>
      <c r="AR84" s="747" t="str">
        <f t="shared" si="44"/>
        <v>kWh</v>
      </c>
      <c r="AS84" s="748" t="str">
        <f t="shared" si="45"/>
        <v>/</v>
      </c>
      <c r="AT84" s="749" t="str">
        <f t="shared" si="46"/>
        <v>ha</v>
      </c>
      <c r="AU84" s="745">
        <v>3284</v>
      </c>
      <c r="AV84" s="746">
        <v>3284</v>
      </c>
      <c r="AW84" s="747" t="s">
        <v>304</v>
      </c>
      <c r="AX84" s="748" t="s">
        <v>256</v>
      </c>
      <c r="AY84" s="750" t="s">
        <v>188</v>
      </c>
      <c r="AZ84" s="733" t="str">
        <f t="shared" si="47"/>
        <v/>
      </c>
      <c r="BA84" s="734" t="str">
        <f t="shared" si="48"/>
        <v/>
      </c>
      <c r="BB84" s="734" t="str">
        <f t="shared" si="49"/>
        <v/>
      </c>
      <c r="BC84" s="744" t="str">
        <f t="shared" si="50"/>
        <v/>
      </c>
      <c r="BD84" s="745" t="s">
        <v>125</v>
      </c>
      <c r="BE84" s="746" t="s">
        <v>125</v>
      </c>
      <c r="BF84" s="747" t="str">
        <f t="shared" si="51"/>
        <v/>
      </c>
      <c r="BG84" s="748" t="str">
        <f t="shared" si="52"/>
        <v/>
      </c>
      <c r="BH84" s="749" t="str">
        <f t="shared" si="53"/>
        <v/>
      </c>
      <c r="BI84" s="745"/>
      <c r="BJ84" s="746"/>
      <c r="BK84" s="747" t="s">
        <v>125</v>
      </c>
      <c r="BL84" s="748" t="s">
        <v>125</v>
      </c>
      <c r="BM84" s="750" t="s">
        <v>125</v>
      </c>
      <c r="BN84" s="1002" t="str">
        <f t="shared" si="54"/>
        <v/>
      </c>
      <c r="BO84" s="751" t="s">
        <v>125</v>
      </c>
      <c r="BP84" s="751" t="s">
        <v>125</v>
      </c>
      <c r="BQ84" s="744" t="str">
        <f t="shared" si="55"/>
        <v/>
      </c>
      <c r="BR84" s="755"/>
      <c r="BS84" s="756"/>
      <c r="BT84" s="755"/>
      <c r="BU84" s="756"/>
      <c r="BV84" s="755"/>
      <c r="BW84" s="757"/>
      <c r="BX84" s="755"/>
      <c r="BY84" s="756"/>
      <c r="BZ84" s="752" t="s">
        <v>125</v>
      </c>
      <c r="CA84" s="733"/>
      <c r="CB84" s="734"/>
      <c r="CC84" s="734"/>
      <c r="CD84" s="321"/>
    </row>
    <row r="85" spans="2:82" s="680" customFormat="1" x14ac:dyDescent="0.25">
      <c r="B85" s="729" t="str">
        <f t="shared" si="32"/>
        <v>plant-based</v>
      </c>
      <c r="C85" s="730" t="s">
        <v>371</v>
      </c>
      <c r="D85" s="730" t="s">
        <v>471</v>
      </c>
      <c r="E85" s="731" t="s">
        <v>264</v>
      </c>
      <c r="F85" s="680" t="s">
        <v>373</v>
      </c>
      <c r="G85" s="680" t="s">
        <v>291</v>
      </c>
      <c r="H85" s="731" t="s">
        <v>248</v>
      </c>
      <c r="I85" s="760" t="s">
        <v>248</v>
      </c>
      <c r="J85" s="730" t="s">
        <v>392</v>
      </c>
      <c r="L85" s="732" t="s">
        <v>400</v>
      </c>
      <c r="M85" s="729" t="str">
        <f t="shared" si="56"/>
        <v>ha</v>
      </c>
      <c r="N85" s="733">
        <f t="shared" si="57"/>
        <v>0.76859504132231404</v>
      </c>
      <c r="O85" s="734">
        <f>(2700+3300+3300)/3</f>
        <v>3100</v>
      </c>
      <c r="P85" s="734">
        <f>(3400+4400+4300)/3</f>
        <v>4033.3333333333335</v>
      </c>
      <c r="Q85" s="321" t="s">
        <v>317</v>
      </c>
      <c r="R85" s="733"/>
      <c r="S85" s="734"/>
      <c r="T85" s="734"/>
      <c r="U85" s="321"/>
      <c r="V85" s="733">
        <f t="shared" si="33"/>
        <v>0.96979865771812068</v>
      </c>
      <c r="W85" s="734">
        <f t="shared" si="34"/>
        <v>170567.8</v>
      </c>
      <c r="X85" s="734">
        <f t="shared" si="35"/>
        <v>175879.6</v>
      </c>
      <c r="Y85" s="744" t="str">
        <f t="shared" si="36"/>
        <v>kg/ha</v>
      </c>
      <c r="Z85" s="998" t="s">
        <v>1571</v>
      </c>
      <c r="AA85" s="745">
        <v>170567.8</v>
      </c>
      <c r="AB85" s="746">
        <v>175879.6</v>
      </c>
      <c r="AC85" s="747" t="str">
        <f t="shared" si="37"/>
        <v>kg</v>
      </c>
      <c r="AD85" s="748" t="str">
        <f t="shared" si="38"/>
        <v>/</v>
      </c>
      <c r="AE85" s="749" t="str">
        <f t="shared" si="39"/>
        <v>ha</v>
      </c>
      <c r="AF85" s="745">
        <f>197+414+1399+481+96+1170</f>
        <v>3757</v>
      </c>
      <c r="AG85" s="746">
        <f>459+62+1568+481+96+1208</f>
        <v>3874</v>
      </c>
      <c r="AH85" s="747" t="s">
        <v>304</v>
      </c>
      <c r="AI85" s="748" t="s">
        <v>256</v>
      </c>
      <c r="AJ85" s="750" t="s">
        <v>188</v>
      </c>
      <c r="AK85" s="733">
        <f t="shared" si="40"/>
        <v>0.92902319044272663</v>
      </c>
      <c r="AL85" s="734">
        <f t="shared" si="41"/>
        <v>244.81481481481484</v>
      </c>
      <c r="AM85" s="734">
        <f t="shared" si="42"/>
        <v>263.51851851851853</v>
      </c>
      <c r="AN85" s="744" t="str">
        <f t="shared" si="43"/>
        <v>kWh/ha</v>
      </c>
      <c r="AO85" s="746" t="s">
        <v>1571</v>
      </c>
      <c r="AP85" s="745">
        <v>244.81481481481484</v>
      </c>
      <c r="AQ85" s="746">
        <v>263.51851851851853</v>
      </c>
      <c r="AR85" s="747" t="str">
        <f t="shared" si="44"/>
        <v>kWh</v>
      </c>
      <c r="AS85" s="748" t="str">
        <f t="shared" si="45"/>
        <v>/</v>
      </c>
      <c r="AT85" s="749" t="str">
        <f t="shared" si="46"/>
        <v>ha</v>
      </c>
      <c r="AU85" s="745">
        <f>(195+(1971+239)+239)/3</f>
        <v>881.33333333333337</v>
      </c>
      <c r="AV85" s="746">
        <f>(246+(1971+318)+311)/3</f>
        <v>948.66666666666663</v>
      </c>
      <c r="AW85" s="747" t="s">
        <v>304</v>
      </c>
      <c r="AX85" s="748" t="s">
        <v>256</v>
      </c>
      <c r="AY85" s="750" t="s">
        <v>188</v>
      </c>
      <c r="AZ85" s="733" t="str">
        <f t="shared" si="47"/>
        <v/>
      </c>
      <c r="BA85" s="734" t="str">
        <f t="shared" si="48"/>
        <v/>
      </c>
      <c r="BB85" s="734" t="str">
        <f t="shared" si="49"/>
        <v/>
      </c>
      <c r="BC85" s="744" t="str">
        <f t="shared" si="50"/>
        <v/>
      </c>
      <c r="BD85" s="745" t="s">
        <v>125</v>
      </c>
      <c r="BE85" s="746" t="s">
        <v>125</v>
      </c>
      <c r="BF85" s="747" t="str">
        <f t="shared" si="51"/>
        <v/>
      </c>
      <c r="BG85" s="748" t="str">
        <f t="shared" si="52"/>
        <v/>
      </c>
      <c r="BH85" s="749" t="str">
        <f t="shared" si="53"/>
        <v/>
      </c>
      <c r="BI85" s="745"/>
      <c r="BJ85" s="746"/>
      <c r="BK85" s="747" t="s">
        <v>125</v>
      </c>
      <c r="BL85" s="748" t="s">
        <v>125</v>
      </c>
      <c r="BM85" s="750" t="s">
        <v>125</v>
      </c>
      <c r="BN85" s="1002" t="str">
        <f t="shared" si="54"/>
        <v/>
      </c>
      <c r="BO85" s="751" t="s">
        <v>125</v>
      </c>
      <c r="BP85" s="751" t="s">
        <v>125</v>
      </c>
      <c r="BQ85" s="744" t="str">
        <f t="shared" si="55"/>
        <v/>
      </c>
      <c r="BR85" s="755"/>
      <c r="BS85" s="756"/>
      <c r="BT85" s="755"/>
      <c r="BU85" s="756"/>
      <c r="BV85" s="755"/>
      <c r="BW85" s="757"/>
      <c r="BX85" s="755"/>
      <c r="BY85" s="756"/>
      <c r="BZ85" s="752" t="s">
        <v>125</v>
      </c>
      <c r="CA85" s="733"/>
      <c r="CB85" s="734"/>
      <c r="CC85" s="734"/>
      <c r="CD85" s="321"/>
    </row>
    <row r="86" spans="2:82" s="680" customFormat="1" x14ac:dyDescent="0.25">
      <c r="B86" s="729" t="str">
        <f t="shared" si="32"/>
        <v>plant-based</v>
      </c>
      <c r="C86" s="730" t="s">
        <v>473</v>
      </c>
      <c r="D86" s="730" t="s">
        <v>474</v>
      </c>
      <c r="E86" s="731" t="s">
        <v>264</v>
      </c>
      <c r="F86" s="680" t="s">
        <v>248</v>
      </c>
      <c r="G86" s="680" t="s">
        <v>475</v>
      </c>
      <c r="H86" s="731" t="s">
        <v>248</v>
      </c>
      <c r="I86" s="760" t="s">
        <v>248</v>
      </c>
      <c r="J86" s="730" t="s">
        <v>413</v>
      </c>
      <c r="K86" s="323" t="s">
        <v>414</v>
      </c>
      <c r="L86" s="732"/>
      <c r="M86" s="729" t="s">
        <v>188</v>
      </c>
      <c r="N86" s="743" t="s">
        <v>476</v>
      </c>
      <c r="O86" s="763">
        <f>(16.1+24.6)/2</f>
        <v>20.350000000000001</v>
      </c>
      <c r="P86" s="763">
        <f>(23.1+44.8)/2</f>
        <v>33.950000000000003</v>
      </c>
      <c r="Q86" s="764" t="s">
        <v>387</v>
      </c>
      <c r="R86" s="733"/>
      <c r="S86" s="734"/>
      <c r="T86" s="734"/>
      <c r="U86" s="321"/>
      <c r="V86" s="733"/>
      <c r="W86" s="734"/>
      <c r="X86" s="734"/>
      <c r="Y86" s="744"/>
      <c r="Z86" s="746"/>
      <c r="AA86" s="745"/>
      <c r="AB86" s="746"/>
      <c r="AC86" s="747"/>
      <c r="AD86" s="748"/>
      <c r="AE86" s="749"/>
      <c r="AF86" s="745"/>
      <c r="AG86" s="746"/>
      <c r="AH86" s="747"/>
      <c r="AI86" s="748"/>
      <c r="AJ86" s="750"/>
      <c r="AK86" s="733"/>
      <c r="AL86" s="734"/>
      <c r="AM86" s="734"/>
      <c r="AN86" s="744"/>
      <c r="AO86" s="746"/>
      <c r="AP86" s="745"/>
      <c r="AQ86" s="746"/>
      <c r="AR86" s="747"/>
      <c r="AS86" s="748"/>
      <c r="AT86" s="749"/>
      <c r="AU86" s="745"/>
      <c r="AV86" s="746"/>
      <c r="AW86" s="747"/>
      <c r="AX86" s="748"/>
      <c r="AY86" s="750"/>
      <c r="AZ86" s="733"/>
      <c r="BA86" s="734"/>
      <c r="BB86" s="734"/>
      <c r="BC86" s="744"/>
      <c r="BD86" s="745"/>
      <c r="BE86" s="746"/>
      <c r="BF86" s="747"/>
      <c r="BG86" s="748"/>
      <c r="BH86" s="749"/>
      <c r="BI86" s="745"/>
      <c r="BJ86" s="746"/>
      <c r="BK86" s="747"/>
      <c r="BL86" s="748"/>
      <c r="BM86" s="750"/>
      <c r="BN86" s="1002" t="str">
        <f t="shared" si="54"/>
        <v/>
      </c>
      <c r="BO86" s="751" t="s">
        <v>125</v>
      </c>
      <c r="BP86" s="751" t="s">
        <v>125</v>
      </c>
      <c r="BQ86" s="744"/>
      <c r="BR86" s="755"/>
      <c r="BS86" s="756"/>
      <c r="BT86" s="755"/>
      <c r="BU86" s="756"/>
      <c r="BV86" s="755"/>
      <c r="BW86" s="757"/>
      <c r="BX86" s="755"/>
      <c r="BY86" s="756"/>
      <c r="BZ86" s="752"/>
      <c r="CA86" s="733"/>
      <c r="CB86" s="734"/>
      <c r="CC86" s="734"/>
      <c r="CD86" s="321"/>
    </row>
    <row r="87" spans="2:82" s="680" customFormat="1" x14ac:dyDescent="0.25">
      <c r="B87" s="729" t="str">
        <f t="shared" si="32"/>
        <v>plant-based</v>
      </c>
      <c r="C87" s="730" t="s">
        <v>477</v>
      </c>
      <c r="D87" s="730" t="s">
        <v>478</v>
      </c>
      <c r="E87" s="731" t="s">
        <v>264</v>
      </c>
      <c r="F87" s="680" t="s">
        <v>444</v>
      </c>
      <c r="G87" s="680" t="s">
        <v>440</v>
      </c>
      <c r="H87" s="731" t="s">
        <v>248</v>
      </c>
      <c r="I87" s="760" t="s">
        <v>248</v>
      </c>
      <c r="J87" s="730" t="s">
        <v>392</v>
      </c>
      <c r="K87" s="680" t="s">
        <v>399</v>
      </c>
      <c r="L87" s="732"/>
      <c r="M87" s="729" t="str">
        <f t="shared" ref="M87:M104" si="58">IF(B87="animal","head",
IF(K87="milk","kg",
IF(K87="eggs","p","ha")))</f>
        <v>ha</v>
      </c>
      <c r="N87" s="733">
        <f>O87/P87</f>
        <v>0.66</v>
      </c>
      <c r="O87" s="734">
        <v>2990</v>
      </c>
      <c r="P87" s="734">
        <f>O87/0.66</f>
        <v>4530.30303030303</v>
      </c>
      <c r="Q87" s="321" t="s">
        <v>317</v>
      </c>
      <c r="R87" s="733"/>
      <c r="S87" s="734"/>
      <c r="T87" s="734"/>
      <c r="U87" s="321"/>
      <c r="V87" s="733" t="str">
        <f t="shared" ref="V87:V104" si="59">IF(COUNTBLANK(W87:X87)=0,W87/X87,
IF(AND(COUNTBLANK(AJ87)=0,AJ87="ha"),"hectar not convertible",IF(AND(COUNTBLANK(AJ87)=0,COUNTBLANK($Q87)=1),"yield not convertible","")))</f>
        <v/>
      </c>
      <c r="W87" s="734" t="str">
        <f t="shared" ref="W87:W104" si="60">IF(COUNTBLANK($Y87)=0,
IF($Y87=$AC87&amp;"/"&amp;$AE87,AA87,
IF($AE87="kg",AA87*$O87,"")),"")</f>
        <v/>
      </c>
      <c r="X87" s="734" t="str">
        <f t="shared" ref="X87:X104" si="61">IF(COUNTBLANK($Y87)=0,
IF($Y87=$AC87&amp;"/"&amp;$AE87,AB87,
IF($AE87="kg",AB87*$P87,"")),"")</f>
        <v/>
      </c>
      <c r="Y87" s="744" t="str">
        <f t="shared" ref="Y87:Y104" si="62">IFERROR(IF(COUNTBLANK($AE87)=0,$AC87&amp;"/"&amp;SUBSTITUTE($Q87,LEFT($Q87,SEARCH("/",$Q87)),""),""),"")</f>
        <v/>
      </c>
      <c r="Z87" s="746"/>
      <c r="AA87" s="745" t="s">
        <v>125</v>
      </c>
      <c r="AB87" s="746" t="s">
        <v>125</v>
      </c>
      <c r="AC87" s="747" t="str">
        <f t="shared" ref="AC87:AC104" si="63">IF(COUNTBLANK(AE87)=0,$Y$7,"")</f>
        <v/>
      </c>
      <c r="AD87" s="748" t="str">
        <f t="shared" ref="AD87:AD104" si="64">IF(COUNTBLANK(AE87)=0,"/","")</f>
        <v/>
      </c>
      <c r="AE87" s="749" t="str">
        <f t="shared" ref="AE87:AE104" si="65">IF(COUNTBLANK(AJ87)=0,IF(OR(AJ87="head",AJ87="ha"),AJ87,"kg"),"")</f>
        <v/>
      </c>
      <c r="AF87" s="745"/>
      <c r="AG87" s="746"/>
      <c r="AH87" s="747" t="s">
        <v>125</v>
      </c>
      <c r="AI87" s="748" t="s">
        <v>125</v>
      </c>
      <c r="AJ87" s="750" t="s">
        <v>125</v>
      </c>
      <c r="AK87" s="733" t="str">
        <f t="shared" ref="AK87:AK103" si="66">IF(COUNTBLANK(AL87:AM87)=0,AL87/AM87,
IF(AND(COUNTBLANK(AY87)=0,AY87="ha"),"hectar not convertible",IF(AND(COUNTBLANK(AY87)=0,COUNTBLANK($Q87)=1),"yield not convertible","")))</f>
        <v/>
      </c>
      <c r="AL87" s="734" t="str">
        <f t="shared" ref="AL87:AL103" si="67">IF(COUNTBLANK($AN87)=0,
IF($AN87=$AR87&amp;"/"&amp;$AT87,AP87,
IF($AT87="kg",AP87*$O87,"")),"")</f>
        <v/>
      </c>
      <c r="AM87" s="734" t="str">
        <f t="shared" ref="AM87:AM103" si="68">IF(COUNTBLANK($AN87)=0,
IF($AN87=$AR87&amp;"/"&amp;$AT87,AQ87,
IF($AT87="kg",AQ87*$P87,"")),"")</f>
        <v/>
      </c>
      <c r="AN87" s="744" t="str">
        <f t="shared" ref="AN87:AN104" si="69">IFERROR(IF(COUNTBLANK($AT87)=0,$AR87&amp;"/"&amp;SUBSTITUTE($Q87,LEFT($Q87,SEARCH("/",$Q87)),""),""),"")</f>
        <v/>
      </c>
      <c r="AO87" s="746"/>
      <c r="AP87" s="745" t="s">
        <v>125</v>
      </c>
      <c r="AQ87" s="746" t="s">
        <v>125</v>
      </c>
      <c r="AR87" s="747" t="str">
        <f t="shared" ref="AR87:AR104" si="70">IF(COUNTBLANK(AT87)=0,$AN$7,"")</f>
        <v/>
      </c>
      <c r="AS87" s="748" t="str">
        <f t="shared" ref="AS87:AS104" si="71">IF(COUNTBLANK(AT87)=0,"/","")</f>
        <v/>
      </c>
      <c r="AT87" s="749" t="str">
        <f t="shared" ref="AT87:AT104" si="72">IF(COUNTBLANK(AY87)=0,IF(OR(AY87="head",AY87="ha"),AY87,"kg"),"")</f>
        <v/>
      </c>
      <c r="AU87" s="745"/>
      <c r="AV87" s="746"/>
      <c r="AW87" s="747" t="s">
        <v>125</v>
      </c>
      <c r="AX87" s="748" t="s">
        <v>125</v>
      </c>
      <c r="AY87" s="750" t="s">
        <v>125</v>
      </c>
      <c r="AZ87" s="733" t="str">
        <f t="shared" ref="AZ87:AZ104" si="73">IF(COUNTBLANK(BA87:BB87)=0,BA87/BB87,
IF(AND(COUNTBLANK(BM87)=0,BM87="ha"),"hectar not convertible",IF(AND(COUNTBLANK(BM87)=0,COUNTBLANK($Q87)=1),"yield not convertible","")))</f>
        <v/>
      </c>
      <c r="BA87" s="734" t="str">
        <f t="shared" ref="BA87:BA104" si="74">IF(COUNTBLANK($BC87)=0,
IF($BC87=$BF87&amp;"/"&amp;$BH87,BD87,
IF($BH87="kg",BD87*$O87,"")),"")</f>
        <v/>
      </c>
      <c r="BB87" s="734" t="str">
        <f t="shared" ref="BB87:BB104" si="75">IF(COUNTBLANK($BC87)=0,
IF($BC87=$BF87&amp;"/"&amp;$BH87,BE87,
IF($BH87="kg",BE87*$P87,"")),"")</f>
        <v/>
      </c>
      <c r="BC87" s="744" t="str">
        <f t="shared" ref="BC87:BC104" si="76">IFERROR(IF(COUNTBLANK($BH87)=0,$BF87&amp;"/"&amp;SUBSTITUTE($Q87,LEFT($Q87,SEARCH("/",$Q87)),""),""),"")</f>
        <v/>
      </c>
      <c r="BD87" s="745" t="s">
        <v>125</v>
      </c>
      <c r="BE87" s="746" t="s">
        <v>125</v>
      </c>
      <c r="BF87" s="747" t="str">
        <f t="shared" ref="BF87:BF104" si="77">IF(COUNTBLANK(BH87)=0,$BC$7,"")</f>
        <v/>
      </c>
      <c r="BG87" s="748" t="str">
        <f t="shared" ref="BG87:BG104" si="78">IF(COUNTBLANK(BH87)=0,"/","")</f>
        <v/>
      </c>
      <c r="BH87" s="749" t="str">
        <f t="shared" ref="BH87:BH104" si="79">IF(COUNTBLANK(BM87)=0,IF(OR(BM87="head",BM87="ha"),BM87,"kg"),"")</f>
        <v/>
      </c>
      <c r="BI87" s="745"/>
      <c r="BJ87" s="746"/>
      <c r="BK87" s="747" t="s">
        <v>125</v>
      </c>
      <c r="BL87" s="748" t="s">
        <v>125</v>
      </c>
      <c r="BM87" s="750" t="s">
        <v>125</v>
      </c>
      <c r="BN87" s="1002" t="str">
        <f t="shared" si="54"/>
        <v/>
      </c>
      <c r="BO87" s="751" t="s">
        <v>125</v>
      </c>
      <c r="BP87" s="751" t="s">
        <v>125</v>
      </c>
      <c r="BQ87" s="744" t="str">
        <f t="shared" ref="BQ87:BQ104" si="80">IF(COUNTBLANK(BZ87)=0,"kg/ha","")</f>
        <v/>
      </c>
      <c r="BR87" s="755"/>
      <c r="BS87" s="756"/>
      <c r="BT87" s="755"/>
      <c r="BU87" s="756"/>
      <c r="BV87" s="755"/>
      <c r="BW87" s="757"/>
      <c r="BX87" s="755"/>
      <c r="BY87" s="756"/>
      <c r="BZ87" s="752" t="s">
        <v>125</v>
      </c>
      <c r="CA87" s="733"/>
      <c r="CB87" s="734"/>
      <c r="CC87" s="734"/>
      <c r="CD87" s="321"/>
    </row>
    <row r="88" spans="2:82" s="680" customFormat="1" x14ac:dyDescent="0.25">
      <c r="B88" s="729" t="str">
        <f t="shared" si="32"/>
        <v>plant-based</v>
      </c>
      <c r="C88" s="730" t="s">
        <v>477</v>
      </c>
      <c r="D88" s="730" t="s">
        <v>478</v>
      </c>
      <c r="E88" s="731" t="s">
        <v>264</v>
      </c>
      <c r="F88" s="680" t="s">
        <v>444</v>
      </c>
      <c r="G88" s="680" t="s">
        <v>440</v>
      </c>
      <c r="H88" s="731" t="s">
        <v>248</v>
      </c>
      <c r="I88" s="760" t="s">
        <v>248</v>
      </c>
      <c r="J88" s="730" t="s">
        <v>392</v>
      </c>
      <c r="K88" s="680" t="s">
        <v>441</v>
      </c>
      <c r="L88" s="732"/>
      <c r="M88" s="729" t="str">
        <f t="shared" si="58"/>
        <v>ha</v>
      </c>
      <c r="N88" s="733">
        <f>O88/P88</f>
        <v>0.9</v>
      </c>
      <c r="O88" s="734">
        <v>4050</v>
      </c>
      <c r="P88" s="734">
        <v>4500</v>
      </c>
      <c r="Q88" s="321" t="s">
        <v>317</v>
      </c>
      <c r="R88" s="733"/>
      <c r="S88" s="734"/>
      <c r="T88" s="734"/>
      <c r="U88" s="321"/>
      <c r="V88" s="733" t="str">
        <f t="shared" si="59"/>
        <v/>
      </c>
      <c r="W88" s="734" t="str">
        <f t="shared" si="60"/>
        <v/>
      </c>
      <c r="X88" s="734" t="str">
        <f t="shared" si="61"/>
        <v/>
      </c>
      <c r="Y88" s="744" t="str">
        <f t="shared" si="62"/>
        <v/>
      </c>
      <c r="Z88" s="746"/>
      <c r="AA88" s="745" t="s">
        <v>125</v>
      </c>
      <c r="AB88" s="746" t="s">
        <v>125</v>
      </c>
      <c r="AC88" s="747" t="str">
        <f t="shared" si="63"/>
        <v/>
      </c>
      <c r="AD88" s="748" t="str">
        <f t="shared" si="64"/>
        <v/>
      </c>
      <c r="AE88" s="749" t="str">
        <f t="shared" si="65"/>
        <v/>
      </c>
      <c r="AF88" s="745"/>
      <c r="AG88" s="746"/>
      <c r="AH88" s="747" t="s">
        <v>125</v>
      </c>
      <c r="AI88" s="748" t="s">
        <v>125</v>
      </c>
      <c r="AJ88" s="750" t="s">
        <v>125</v>
      </c>
      <c r="AK88" s="733" t="str">
        <f t="shared" si="66"/>
        <v/>
      </c>
      <c r="AL88" s="734" t="str">
        <f t="shared" si="67"/>
        <v/>
      </c>
      <c r="AM88" s="734" t="str">
        <f t="shared" si="68"/>
        <v/>
      </c>
      <c r="AN88" s="744" t="str">
        <f t="shared" si="69"/>
        <v/>
      </c>
      <c r="AO88" s="746"/>
      <c r="AP88" s="745" t="s">
        <v>125</v>
      </c>
      <c r="AQ88" s="746" t="s">
        <v>125</v>
      </c>
      <c r="AR88" s="747" t="str">
        <f t="shared" si="70"/>
        <v/>
      </c>
      <c r="AS88" s="748" t="str">
        <f t="shared" si="71"/>
        <v/>
      </c>
      <c r="AT88" s="749" t="str">
        <f t="shared" si="72"/>
        <v/>
      </c>
      <c r="AU88" s="745"/>
      <c r="AV88" s="746"/>
      <c r="AW88" s="747" t="s">
        <v>125</v>
      </c>
      <c r="AX88" s="748" t="s">
        <v>125</v>
      </c>
      <c r="AY88" s="750" t="s">
        <v>125</v>
      </c>
      <c r="AZ88" s="733" t="str">
        <f t="shared" si="73"/>
        <v/>
      </c>
      <c r="BA88" s="734" t="str">
        <f t="shared" si="74"/>
        <v/>
      </c>
      <c r="BB88" s="734" t="str">
        <f t="shared" si="75"/>
        <v/>
      </c>
      <c r="BC88" s="744" t="str">
        <f t="shared" si="76"/>
        <v/>
      </c>
      <c r="BD88" s="745" t="s">
        <v>125</v>
      </c>
      <c r="BE88" s="746" t="s">
        <v>125</v>
      </c>
      <c r="BF88" s="747" t="str">
        <f t="shared" si="77"/>
        <v/>
      </c>
      <c r="BG88" s="748" t="str">
        <f t="shared" si="78"/>
        <v/>
      </c>
      <c r="BH88" s="749" t="str">
        <f t="shared" si="79"/>
        <v/>
      </c>
      <c r="BI88" s="745"/>
      <c r="BJ88" s="746"/>
      <c r="BK88" s="747" t="s">
        <v>125</v>
      </c>
      <c r="BL88" s="748" t="s">
        <v>125</v>
      </c>
      <c r="BM88" s="750" t="s">
        <v>125</v>
      </c>
      <c r="BN88" s="1002" t="str">
        <f t="shared" si="54"/>
        <v/>
      </c>
      <c r="BO88" s="751" t="s">
        <v>125</v>
      </c>
      <c r="BP88" s="751" t="s">
        <v>125</v>
      </c>
      <c r="BQ88" s="744" t="str">
        <f t="shared" si="80"/>
        <v/>
      </c>
      <c r="BR88" s="755"/>
      <c r="BS88" s="756"/>
      <c r="BT88" s="755"/>
      <c r="BU88" s="756"/>
      <c r="BV88" s="755"/>
      <c r="BW88" s="757"/>
      <c r="BX88" s="755"/>
      <c r="BY88" s="756"/>
      <c r="BZ88" s="752" t="s">
        <v>125</v>
      </c>
      <c r="CA88" s="733"/>
      <c r="CB88" s="734"/>
      <c r="CC88" s="734"/>
      <c r="CD88" s="321"/>
    </row>
    <row r="89" spans="2:82" s="680" customFormat="1" x14ac:dyDescent="0.25">
      <c r="B89" s="729" t="str">
        <f t="shared" si="32"/>
        <v>plant-based</v>
      </c>
      <c r="C89" s="730" t="s">
        <v>477</v>
      </c>
      <c r="D89" s="730" t="s">
        <v>478</v>
      </c>
      <c r="E89" s="731" t="s">
        <v>264</v>
      </c>
      <c r="F89" s="680" t="s">
        <v>444</v>
      </c>
      <c r="G89" s="680" t="s">
        <v>440</v>
      </c>
      <c r="H89" s="680" t="s">
        <v>248</v>
      </c>
      <c r="I89" s="732" t="s">
        <v>248</v>
      </c>
      <c r="J89" s="730" t="s">
        <v>392</v>
      </c>
      <c r="K89" s="680" t="s">
        <v>397</v>
      </c>
      <c r="L89" s="732"/>
      <c r="M89" s="729" t="str">
        <f t="shared" si="58"/>
        <v>ha</v>
      </c>
      <c r="N89" s="733">
        <f>O89/P89</f>
        <v>0.64</v>
      </c>
      <c r="O89" s="734">
        <v>3450</v>
      </c>
      <c r="P89" s="734">
        <v>5390.625</v>
      </c>
      <c r="Q89" s="321" t="s">
        <v>317</v>
      </c>
      <c r="R89" s="733"/>
      <c r="S89" s="734"/>
      <c r="T89" s="734"/>
      <c r="U89" s="321"/>
      <c r="V89" s="733" t="str">
        <f t="shared" si="59"/>
        <v/>
      </c>
      <c r="W89" s="734" t="str">
        <f t="shared" si="60"/>
        <v/>
      </c>
      <c r="X89" s="734" t="str">
        <f t="shared" si="61"/>
        <v/>
      </c>
      <c r="Y89" s="744" t="str">
        <f t="shared" si="62"/>
        <v/>
      </c>
      <c r="Z89" s="746"/>
      <c r="AA89" s="745" t="s">
        <v>125</v>
      </c>
      <c r="AB89" s="746" t="s">
        <v>125</v>
      </c>
      <c r="AC89" s="747" t="str">
        <f t="shared" si="63"/>
        <v/>
      </c>
      <c r="AD89" s="748" t="str">
        <f t="shared" si="64"/>
        <v/>
      </c>
      <c r="AE89" s="749" t="str">
        <f t="shared" si="65"/>
        <v/>
      </c>
      <c r="AF89" s="745"/>
      <c r="AG89" s="746"/>
      <c r="AH89" s="747" t="s">
        <v>125</v>
      </c>
      <c r="AI89" s="748" t="s">
        <v>125</v>
      </c>
      <c r="AJ89" s="750" t="s">
        <v>125</v>
      </c>
      <c r="AK89" s="733" t="str">
        <f t="shared" si="66"/>
        <v/>
      </c>
      <c r="AL89" s="734" t="str">
        <f t="shared" si="67"/>
        <v/>
      </c>
      <c r="AM89" s="734" t="str">
        <f t="shared" si="68"/>
        <v/>
      </c>
      <c r="AN89" s="744" t="str">
        <f t="shared" si="69"/>
        <v/>
      </c>
      <c r="AO89" s="746"/>
      <c r="AP89" s="745" t="s">
        <v>125</v>
      </c>
      <c r="AQ89" s="746" t="s">
        <v>125</v>
      </c>
      <c r="AR89" s="747" t="str">
        <f t="shared" si="70"/>
        <v/>
      </c>
      <c r="AS89" s="748" t="str">
        <f t="shared" si="71"/>
        <v/>
      </c>
      <c r="AT89" s="749" t="str">
        <f t="shared" si="72"/>
        <v/>
      </c>
      <c r="AU89" s="745"/>
      <c r="AV89" s="746"/>
      <c r="AW89" s="747" t="s">
        <v>125</v>
      </c>
      <c r="AX89" s="748" t="s">
        <v>125</v>
      </c>
      <c r="AY89" s="750" t="s">
        <v>125</v>
      </c>
      <c r="AZ89" s="733" t="str">
        <f t="shared" si="73"/>
        <v/>
      </c>
      <c r="BA89" s="734" t="str">
        <f t="shared" si="74"/>
        <v/>
      </c>
      <c r="BB89" s="734" t="str">
        <f t="shared" si="75"/>
        <v/>
      </c>
      <c r="BC89" s="744" t="str">
        <f t="shared" si="76"/>
        <v/>
      </c>
      <c r="BD89" s="745" t="s">
        <v>125</v>
      </c>
      <c r="BE89" s="746" t="s">
        <v>125</v>
      </c>
      <c r="BF89" s="747" t="str">
        <f t="shared" si="77"/>
        <v/>
      </c>
      <c r="BG89" s="748" t="str">
        <f t="shared" si="78"/>
        <v/>
      </c>
      <c r="BH89" s="749" t="str">
        <f t="shared" si="79"/>
        <v/>
      </c>
      <c r="BI89" s="745"/>
      <c r="BJ89" s="746"/>
      <c r="BK89" s="747" t="s">
        <v>125</v>
      </c>
      <c r="BL89" s="748" t="s">
        <v>125</v>
      </c>
      <c r="BM89" s="750" t="s">
        <v>125</v>
      </c>
      <c r="BN89" s="1002" t="str">
        <f t="shared" si="54"/>
        <v/>
      </c>
      <c r="BO89" s="751" t="s">
        <v>125</v>
      </c>
      <c r="BP89" s="751" t="s">
        <v>125</v>
      </c>
      <c r="BQ89" s="744" t="str">
        <f t="shared" si="80"/>
        <v/>
      </c>
      <c r="BR89" s="755"/>
      <c r="BS89" s="756"/>
      <c r="BT89" s="755"/>
      <c r="BU89" s="756"/>
      <c r="BV89" s="755"/>
      <c r="BW89" s="757"/>
      <c r="BX89" s="755"/>
      <c r="BY89" s="756"/>
      <c r="BZ89" s="752" t="s">
        <v>125</v>
      </c>
      <c r="CA89" s="733"/>
      <c r="CB89" s="734"/>
      <c r="CC89" s="734"/>
      <c r="CD89" s="321"/>
    </row>
    <row r="90" spans="2:82" s="680" customFormat="1" x14ac:dyDescent="0.25">
      <c r="B90" s="729" t="str">
        <f t="shared" si="32"/>
        <v>plant-based</v>
      </c>
      <c r="C90" s="730" t="s">
        <v>479</v>
      </c>
      <c r="D90" s="730" t="s">
        <v>480</v>
      </c>
      <c r="E90" s="731" t="s">
        <v>264</v>
      </c>
      <c r="F90" s="680" t="s">
        <v>481</v>
      </c>
      <c r="G90" s="680" t="s">
        <v>291</v>
      </c>
      <c r="H90" s="680" t="s">
        <v>248</v>
      </c>
      <c r="I90" s="732" t="s">
        <v>248</v>
      </c>
      <c r="J90" s="730" t="s">
        <v>392</v>
      </c>
      <c r="K90" s="680" t="s">
        <v>441</v>
      </c>
      <c r="L90" s="732"/>
      <c r="M90" s="729" t="str">
        <f t="shared" si="58"/>
        <v>ha</v>
      </c>
      <c r="N90" s="754">
        <f>O90/P90</f>
        <v>1.0185185185185186</v>
      </c>
      <c r="O90" s="734">
        <f>(4.6+4.6+4.8+4.3+4.4+4.8)/6</f>
        <v>4.5833333333333339</v>
      </c>
      <c r="P90" s="734">
        <f>4.5</f>
        <v>4.5</v>
      </c>
      <c r="Q90" s="321" t="s">
        <v>387</v>
      </c>
      <c r="R90" s="733"/>
      <c r="S90" s="734"/>
      <c r="T90" s="734"/>
      <c r="U90" s="321"/>
      <c r="V90" s="733" t="str">
        <f t="shared" si="59"/>
        <v/>
      </c>
      <c r="W90" s="734" t="str">
        <f t="shared" si="60"/>
        <v/>
      </c>
      <c r="X90" s="734" t="str">
        <f t="shared" si="61"/>
        <v/>
      </c>
      <c r="Y90" s="744" t="str">
        <f t="shared" si="62"/>
        <v/>
      </c>
      <c r="Z90" s="746"/>
      <c r="AA90" s="745" t="s">
        <v>125</v>
      </c>
      <c r="AB90" s="746" t="s">
        <v>125</v>
      </c>
      <c r="AC90" s="747" t="str">
        <f t="shared" si="63"/>
        <v/>
      </c>
      <c r="AD90" s="748" t="str">
        <f t="shared" si="64"/>
        <v/>
      </c>
      <c r="AE90" s="749" t="str">
        <f t="shared" si="65"/>
        <v/>
      </c>
      <c r="AF90" s="745"/>
      <c r="AG90" s="746"/>
      <c r="AH90" s="747" t="s">
        <v>125</v>
      </c>
      <c r="AI90" s="748" t="s">
        <v>125</v>
      </c>
      <c r="AJ90" s="750" t="s">
        <v>125</v>
      </c>
      <c r="AK90" s="733" t="str">
        <f t="shared" si="66"/>
        <v/>
      </c>
      <c r="AL90" s="734" t="str">
        <f t="shared" si="67"/>
        <v/>
      </c>
      <c r="AM90" s="734" t="str">
        <f t="shared" si="68"/>
        <v/>
      </c>
      <c r="AN90" s="744" t="str">
        <f t="shared" si="69"/>
        <v/>
      </c>
      <c r="AO90" s="746"/>
      <c r="AP90" s="745" t="s">
        <v>125</v>
      </c>
      <c r="AQ90" s="746" t="s">
        <v>125</v>
      </c>
      <c r="AR90" s="747" t="str">
        <f t="shared" si="70"/>
        <v/>
      </c>
      <c r="AS90" s="748" t="str">
        <f t="shared" si="71"/>
        <v/>
      </c>
      <c r="AT90" s="749" t="str">
        <f t="shared" si="72"/>
        <v/>
      </c>
      <c r="AU90" s="745"/>
      <c r="AV90" s="746"/>
      <c r="AW90" s="747" t="s">
        <v>125</v>
      </c>
      <c r="AX90" s="748" t="s">
        <v>125</v>
      </c>
      <c r="AY90" s="750" t="s">
        <v>125</v>
      </c>
      <c r="AZ90" s="733" t="str">
        <f t="shared" si="73"/>
        <v/>
      </c>
      <c r="BA90" s="734" t="str">
        <f t="shared" si="74"/>
        <v/>
      </c>
      <c r="BB90" s="734" t="str">
        <f t="shared" si="75"/>
        <v/>
      </c>
      <c r="BC90" s="744" t="str">
        <f t="shared" si="76"/>
        <v/>
      </c>
      <c r="BD90" s="745" t="s">
        <v>125</v>
      </c>
      <c r="BE90" s="746" t="s">
        <v>125</v>
      </c>
      <c r="BF90" s="747" t="str">
        <f t="shared" si="77"/>
        <v/>
      </c>
      <c r="BG90" s="748" t="str">
        <f t="shared" si="78"/>
        <v/>
      </c>
      <c r="BH90" s="749" t="str">
        <f t="shared" si="79"/>
        <v/>
      </c>
      <c r="BI90" s="745"/>
      <c r="BJ90" s="746"/>
      <c r="BK90" s="747" t="s">
        <v>125</v>
      </c>
      <c r="BL90" s="748" t="s">
        <v>125</v>
      </c>
      <c r="BM90" s="750" t="s">
        <v>125</v>
      </c>
      <c r="BN90" s="1002" t="str">
        <f t="shared" si="54"/>
        <v/>
      </c>
      <c r="BO90" s="751" t="s">
        <v>125</v>
      </c>
      <c r="BP90" s="751" t="s">
        <v>125</v>
      </c>
      <c r="BQ90" s="744" t="str">
        <f t="shared" si="80"/>
        <v/>
      </c>
      <c r="BR90" s="755"/>
      <c r="BS90" s="756"/>
      <c r="BT90" s="755"/>
      <c r="BU90" s="756"/>
      <c r="BV90" s="755"/>
      <c r="BW90" s="757"/>
      <c r="BX90" s="755"/>
      <c r="BY90" s="756"/>
      <c r="BZ90" s="752" t="s">
        <v>125</v>
      </c>
      <c r="CA90" s="733"/>
      <c r="CB90" s="734"/>
      <c r="CC90" s="734"/>
      <c r="CD90" s="321"/>
    </row>
    <row r="91" spans="2:82" s="680" customFormat="1" x14ac:dyDescent="0.25">
      <c r="B91" s="729" t="str">
        <f t="shared" si="32"/>
        <v>plant-based</v>
      </c>
      <c r="C91" s="730" t="s">
        <v>479</v>
      </c>
      <c r="D91" s="730" t="s">
        <v>480</v>
      </c>
      <c r="E91" s="731" t="s">
        <v>264</v>
      </c>
      <c r="F91" s="680" t="s">
        <v>482</v>
      </c>
      <c r="G91" s="680" t="s">
        <v>291</v>
      </c>
      <c r="H91" s="680" t="s">
        <v>248</v>
      </c>
      <c r="I91" s="732" t="s">
        <v>248</v>
      </c>
      <c r="J91" s="730" t="s">
        <v>392</v>
      </c>
      <c r="K91" s="680" t="s">
        <v>437</v>
      </c>
      <c r="L91" s="732"/>
      <c r="M91" s="729" t="str">
        <f t="shared" si="58"/>
        <v>ha</v>
      </c>
      <c r="N91" s="733">
        <f>O91/P91</f>
        <v>0.66460905349794241</v>
      </c>
      <c r="O91" s="734">
        <f>(4.9+4.5+4.6+6.6+6+5.7)/6</f>
        <v>5.3833333333333337</v>
      </c>
      <c r="P91" s="734">
        <f>(7.8+8.4)/2</f>
        <v>8.1</v>
      </c>
      <c r="Q91" s="321" t="s">
        <v>387</v>
      </c>
      <c r="R91" s="733"/>
      <c r="S91" s="734"/>
      <c r="T91" s="734"/>
      <c r="U91" s="321"/>
      <c r="V91" s="733" t="str">
        <f t="shared" si="59"/>
        <v/>
      </c>
      <c r="W91" s="734" t="str">
        <f t="shared" si="60"/>
        <v/>
      </c>
      <c r="X91" s="734" t="str">
        <f t="shared" si="61"/>
        <v/>
      </c>
      <c r="Y91" s="744" t="str">
        <f t="shared" si="62"/>
        <v/>
      </c>
      <c r="Z91" s="746"/>
      <c r="AA91" s="745" t="s">
        <v>125</v>
      </c>
      <c r="AB91" s="746" t="s">
        <v>125</v>
      </c>
      <c r="AC91" s="747" t="str">
        <f t="shared" si="63"/>
        <v/>
      </c>
      <c r="AD91" s="748" t="str">
        <f t="shared" si="64"/>
        <v/>
      </c>
      <c r="AE91" s="749" t="str">
        <f t="shared" si="65"/>
        <v/>
      </c>
      <c r="AF91" s="745"/>
      <c r="AG91" s="746"/>
      <c r="AH91" s="747" t="s">
        <v>125</v>
      </c>
      <c r="AI91" s="748" t="s">
        <v>125</v>
      </c>
      <c r="AJ91" s="750" t="s">
        <v>125</v>
      </c>
      <c r="AK91" s="733" t="str">
        <f t="shared" si="66"/>
        <v/>
      </c>
      <c r="AL91" s="734" t="str">
        <f t="shared" si="67"/>
        <v/>
      </c>
      <c r="AM91" s="734" t="str">
        <f t="shared" si="68"/>
        <v/>
      </c>
      <c r="AN91" s="744" t="str">
        <f t="shared" si="69"/>
        <v/>
      </c>
      <c r="AO91" s="746"/>
      <c r="AP91" s="745" t="s">
        <v>125</v>
      </c>
      <c r="AQ91" s="746" t="s">
        <v>125</v>
      </c>
      <c r="AR91" s="747" t="str">
        <f t="shared" si="70"/>
        <v/>
      </c>
      <c r="AS91" s="748" t="str">
        <f t="shared" si="71"/>
        <v/>
      </c>
      <c r="AT91" s="749" t="str">
        <f t="shared" si="72"/>
        <v/>
      </c>
      <c r="AU91" s="745"/>
      <c r="AV91" s="746"/>
      <c r="AW91" s="747" t="s">
        <v>125</v>
      </c>
      <c r="AX91" s="748" t="s">
        <v>125</v>
      </c>
      <c r="AY91" s="750" t="s">
        <v>125</v>
      </c>
      <c r="AZ91" s="733" t="str">
        <f t="shared" si="73"/>
        <v/>
      </c>
      <c r="BA91" s="734" t="str">
        <f t="shared" si="74"/>
        <v/>
      </c>
      <c r="BB91" s="734" t="str">
        <f t="shared" si="75"/>
        <v/>
      </c>
      <c r="BC91" s="744" t="str">
        <f t="shared" si="76"/>
        <v/>
      </c>
      <c r="BD91" s="745" t="s">
        <v>125</v>
      </c>
      <c r="BE91" s="746" t="s">
        <v>125</v>
      </c>
      <c r="BF91" s="747" t="str">
        <f t="shared" si="77"/>
        <v/>
      </c>
      <c r="BG91" s="748" t="str">
        <f t="shared" si="78"/>
        <v/>
      </c>
      <c r="BH91" s="749" t="str">
        <f t="shared" si="79"/>
        <v/>
      </c>
      <c r="BI91" s="745"/>
      <c r="BJ91" s="746"/>
      <c r="BK91" s="747" t="s">
        <v>125</v>
      </c>
      <c r="BL91" s="748" t="s">
        <v>125</v>
      </c>
      <c r="BM91" s="750" t="s">
        <v>125</v>
      </c>
      <c r="BN91" s="1002" t="str">
        <f t="shared" si="54"/>
        <v/>
      </c>
      <c r="BO91" s="751" t="s">
        <v>125</v>
      </c>
      <c r="BP91" s="751" t="s">
        <v>125</v>
      </c>
      <c r="BQ91" s="744" t="str">
        <f t="shared" si="80"/>
        <v/>
      </c>
      <c r="BR91" s="755"/>
      <c r="BS91" s="756"/>
      <c r="BT91" s="755"/>
      <c r="BU91" s="756"/>
      <c r="BV91" s="755"/>
      <c r="BW91" s="757"/>
      <c r="BX91" s="755"/>
      <c r="BY91" s="756"/>
      <c r="BZ91" s="752" t="s">
        <v>125</v>
      </c>
      <c r="CA91" s="733"/>
      <c r="CB91" s="734"/>
      <c r="CC91" s="734"/>
      <c r="CD91" s="321"/>
    </row>
    <row r="92" spans="2:82" s="680" customFormat="1" x14ac:dyDescent="0.25">
      <c r="B92" s="729" t="str">
        <f t="shared" si="32"/>
        <v>plant-based</v>
      </c>
      <c r="C92" s="730" t="s">
        <v>483</v>
      </c>
      <c r="D92" s="730" t="s">
        <v>484</v>
      </c>
      <c r="E92" s="731" t="s">
        <v>264</v>
      </c>
      <c r="F92" s="680" t="s">
        <v>485</v>
      </c>
      <c r="G92" s="680" t="s">
        <v>315</v>
      </c>
      <c r="H92" s="680" t="s">
        <v>248</v>
      </c>
      <c r="I92" s="732" t="s">
        <v>248</v>
      </c>
      <c r="J92" s="730" t="s">
        <v>392</v>
      </c>
      <c r="K92" s="680" t="s">
        <v>399</v>
      </c>
      <c r="L92" s="732"/>
      <c r="M92" s="729" t="str">
        <f t="shared" si="58"/>
        <v>ha</v>
      </c>
      <c r="N92" s="743" t="s">
        <v>486</v>
      </c>
      <c r="O92" s="734">
        <v>2133</v>
      </c>
      <c r="P92" s="734">
        <f>(4060+4480)/2</f>
        <v>4270</v>
      </c>
      <c r="Q92" s="321" t="s">
        <v>317</v>
      </c>
      <c r="R92" s="733"/>
      <c r="S92" s="734"/>
      <c r="T92" s="734"/>
      <c r="U92" s="321"/>
      <c r="V92" s="733" t="str">
        <f t="shared" si="59"/>
        <v/>
      </c>
      <c r="W92" s="734" t="str">
        <f t="shared" si="60"/>
        <v/>
      </c>
      <c r="X92" s="734" t="str">
        <f t="shared" si="61"/>
        <v/>
      </c>
      <c r="Y92" s="744" t="str">
        <f t="shared" si="62"/>
        <v/>
      </c>
      <c r="Z92" s="746"/>
      <c r="AA92" s="745" t="s">
        <v>125</v>
      </c>
      <c r="AB92" s="746" t="s">
        <v>125</v>
      </c>
      <c r="AC92" s="747" t="str">
        <f t="shared" si="63"/>
        <v/>
      </c>
      <c r="AD92" s="748" t="str">
        <f t="shared" si="64"/>
        <v/>
      </c>
      <c r="AE92" s="749" t="str">
        <f t="shared" si="65"/>
        <v/>
      </c>
      <c r="AF92" s="745"/>
      <c r="AG92" s="746"/>
      <c r="AH92" s="747" t="s">
        <v>125</v>
      </c>
      <c r="AI92" s="748" t="s">
        <v>125</v>
      </c>
      <c r="AJ92" s="750" t="s">
        <v>125</v>
      </c>
      <c r="AK92" s="733" t="str">
        <f t="shared" si="66"/>
        <v/>
      </c>
      <c r="AL92" s="734" t="str">
        <f t="shared" si="67"/>
        <v/>
      </c>
      <c r="AM92" s="734" t="str">
        <f t="shared" si="68"/>
        <v/>
      </c>
      <c r="AN92" s="744" t="str">
        <f t="shared" si="69"/>
        <v/>
      </c>
      <c r="AO92" s="746"/>
      <c r="AP92" s="745" t="s">
        <v>125</v>
      </c>
      <c r="AQ92" s="746" t="s">
        <v>125</v>
      </c>
      <c r="AR92" s="747" t="str">
        <f t="shared" si="70"/>
        <v/>
      </c>
      <c r="AS92" s="748" t="str">
        <f t="shared" si="71"/>
        <v/>
      </c>
      <c r="AT92" s="749" t="str">
        <f t="shared" si="72"/>
        <v/>
      </c>
      <c r="AU92" s="745"/>
      <c r="AV92" s="746"/>
      <c r="AW92" s="747" t="s">
        <v>125</v>
      </c>
      <c r="AX92" s="748" t="s">
        <v>125</v>
      </c>
      <c r="AY92" s="750" t="s">
        <v>125</v>
      </c>
      <c r="AZ92" s="733" t="str">
        <f t="shared" si="73"/>
        <v/>
      </c>
      <c r="BA92" s="734" t="str">
        <f t="shared" si="74"/>
        <v/>
      </c>
      <c r="BB92" s="734" t="str">
        <f t="shared" si="75"/>
        <v/>
      </c>
      <c r="BC92" s="744" t="str">
        <f t="shared" si="76"/>
        <v/>
      </c>
      <c r="BD92" s="745" t="s">
        <v>125</v>
      </c>
      <c r="BE92" s="746" t="s">
        <v>125</v>
      </c>
      <c r="BF92" s="747" t="str">
        <f t="shared" si="77"/>
        <v/>
      </c>
      <c r="BG92" s="748" t="str">
        <f t="shared" si="78"/>
        <v/>
      </c>
      <c r="BH92" s="749" t="str">
        <f t="shared" si="79"/>
        <v/>
      </c>
      <c r="BI92" s="745"/>
      <c r="BJ92" s="746"/>
      <c r="BK92" s="747" t="s">
        <v>125</v>
      </c>
      <c r="BL92" s="748" t="s">
        <v>125</v>
      </c>
      <c r="BM92" s="750" t="s">
        <v>125</v>
      </c>
      <c r="BN92" s="1002" t="str">
        <f t="shared" si="54"/>
        <v/>
      </c>
      <c r="BO92" s="751" t="s">
        <v>125</v>
      </c>
      <c r="BP92" s="751" t="s">
        <v>125</v>
      </c>
      <c r="BQ92" s="744" t="str">
        <f t="shared" si="80"/>
        <v/>
      </c>
      <c r="BR92" s="755"/>
      <c r="BS92" s="756"/>
      <c r="BT92" s="755"/>
      <c r="BU92" s="756"/>
      <c r="BV92" s="755"/>
      <c r="BW92" s="757"/>
      <c r="BX92" s="755"/>
      <c r="BY92" s="756"/>
      <c r="BZ92" s="752" t="s">
        <v>125</v>
      </c>
      <c r="CA92" s="733"/>
      <c r="CB92" s="734"/>
      <c r="CC92" s="734"/>
      <c r="CD92" s="321"/>
    </row>
    <row r="93" spans="2:82" s="680" customFormat="1" x14ac:dyDescent="0.25">
      <c r="B93" s="729" t="str">
        <f t="shared" si="32"/>
        <v>plant-based</v>
      </c>
      <c r="C93" s="730" t="s">
        <v>483</v>
      </c>
      <c r="D93" s="730" t="s">
        <v>484</v>
      </c>
      <c r="E93" s="731" t="s">
        <v>264</v>
      </c>
      <c r="F93" s="680" t="s">
        <v>487</v>
      </c>
      <c r="G93" s="680" t="s">
        <v>315</v>
      </c>
      <c r="H93" s="680" t="s">
        <v>248</v>
      </c>
      <c r="I93" s="732" t="s">
        <v>248</v>
      </c>
      <c r="J93" s="730" t="s">
        <v>413</v>
      </c>
      <c r="K93" s="680" t="s">
        <v>414</v>
      </c>
      <c r="L93" s="732"/>
      <c r="M93" s="729" t="str">
        <f t="shared" si="58"/>
        <v>ha</v>
      </c>
      <c r="N93" s="743" t="s">
        <v>486</v>
      </c>
      <c r="O93" s="734">
        <f>(1410+1560)/2</f>
        <v>1485</v>
      </c>
      <c r="P93" s="734">
        <f>(8496+9118)/2</f>
        <v>8807</v>
      </c>
      <c r="Q93" s="321" t="s">
        <v>317</v>
      </c>
      <c r="R93" s="733"/>
      <c r="S93" s="734"/>
      <c r="T93" s="734"/>
      <c r="U93" s="321"/>
      <c r="V93" s="733" t="str">
        <f t="shared" si="59"/>
        <v/>
      </c>
      <c r="W93" s="734" t="str">
        <f t="shared" si="60"/>
        <v/>
      </c>
      <c r="X93" s="734" t="str">
        <f t="shared" si="61"/>
        <v/>
      </c>
      <c r="Y93" s="744" t="str">
        <f t="shared" si="62"/>
        <v/>
      </c>
      <c r="Z93" s="746"/>
      <c r="AA93" s="745" t="s">
        <v>125</v>
      </c>
      <c r="AB93" s="746" t="s">
        <v>125</v>
      </c>
      <c r="AC93" s="747" t="str">
        <f t="shared" si="63"/>
        <v/>
      </c>
      <c r="AD93" s="748" t="str">
        <f t="shared" si="64"/>
        <v/>
      </c>
      <c r="AE93" s="749" t="str">
        <f t="shared" si="65"/>
        <v/>
      </c>
      <c r="AF93" s="745"/>
      <c r="AG93" s="746"/>
      <c r="AH93" s="747" t="s">
        <v>125</v>
      </c>
      <c r="AI93" s="748" t="s">
        <v>125</v>
      </c>
      <c r="AJ93" s="750" t="s">
        <v>125</v>
      </c>
      <c r="AK93" s="733" t="str">
        <f t="shared" si="66"/>
        <v/>
      </c>
      <c r="AL93" s="734" t="str">
        <f t="shared" si="67"/>
        <v/>
      </c>
      <c r="AM93" s="734" t="str">
        <f t="shared" si="68"/>
        <v/>
      </c>
      <c r="AN93" s="744" t="str">
        <f t="shared" si="69"/>
        <v/>
      </c>
      <c r="AO93" s="746"/>
      <c r="AP93" s="745" t="s">
        <v>125</v>
      </c>
      <c r="AQ93" s="746" t="s">
        <v>125</v>
      </c>
      <c r="AR93" s="747" t="str">
        <f t="shared" si="70"/>
        <v/>
      </c>
      <c r="AS93" s="748" t="str">
        <f t="shared" si="71"/>
        <v/>
      </c>
      <c r="AT93" s="749" t="str">
        <f t="shared" si="72"/>
        <v/>
      </c>
      <c r="AU93" s="745"/>
      <c r="AV93" s="746"/>
      <c r="AW93" s="747" t="s">
        <v>125</v>
      </c>
      <c r="AX93" s="748" t="s">
        <v>125</v>
      </c>
      <c r="AY93" s="750" t="s">
        <v>125</v>
      </c>
      <c r="AZ93" s="733" t="str">
        <f t="shared" si="73"/>
        <v/>
      </c>
      <c r="BA93" s="734" t="str">
        <f t="shared" si="74"/>
        <v/>
      </c>
      <c r="BB93" s="734" t="str">
        <f t="shared" si="75"/>
        <v/>
      </c>
      <c r="BC93" s="744" t="str">
        <f t="shared" si="76"/>
        <v/>
      </c>
      <c r="BD93" s="745" t="s">
        <v>125</v>
      </c>
      <c r="BE93" s="746" t="s">
        <v>125</v>
      </c>
      <c r="BF93" s="747" t="str">
        <f t="shared" si="77"/>
        <v/>
      </c>
      <c r="BG93" s="748" t="str">
        <f t="shared" si="78"/>
        <v/>
      </c>
      <c r="BH93" s="749" t="str">
        <f t="shared" si="79"/>
        <v/>
      </c>
      <c r="BI93" s="745"/>
      <c r="BJ93" s="746"/>
      <c r="BK93" s="747" t="s">
        <v>125</v>
      </c>
      <c r="BL93" s="748" t="s">
        <v>125</v>
      </c>
      <c r="BM93" s="750" t="s">
        <v>125</v>
      </c>
      <c r="BN93" s="1002" t="str">
        <f t="shared" si="54"/>
        <v/>
      </c>
      <c r="BO93" s="751" t="s">
        <v>125</v>
      </c>
      <c r="BP93" s="751" t="s">
        <v>125</v>
      </c>
      <c r="BQ93" s="744" t="str">
        <f t="shared" si="80"/>
        <v/>
      </c>
      <c r="BR93" s="755"/>
      <c r="BS93" s="756"/>
      <c r="BT93" s="755"/>
      <c r="BU93" s="756"/>
      <c r="BV93" s="755"/>
      <c r="BW93" s="757"/>
      <c r="BX93" s="755"/>
      <c r="BY93" s="756"/>
      <c r="BZ93" s="752" t="s">
        <v>125</v>
      </c>
      <c r="CA93" s="733"/>
      <c r="CB93" s="734"/>
      <c r="CC93" s="734"/>
      <c r="CD93" s="321"/>
    </row>
    <row r="94" spans="2:82" s="680" customFormat="1" x14ac:dyDescent="0.25">
      <c r="B94" s="729" t="str">
        <f t="shared" si="32"/>
        <v>plant-based</v>
      </c>
      <c r="C94" s="730" t="s">
        <v>483</v>
      </c>
      <c r="D94" s="730" t="s">
        <v>484</v>
      </c>
      <c r="E94" s="731" t="s">
        <v>264</v>
      </c>
      <c r="F94" s="680" t="s">
        <v>488</v>
      </c>
      <c r="G94" s="680" t="s">
        <v>315</v>
      </c>
      <c r="H94" s="680" t="s">
        <v>248</v>
      </c>
      <c r="I94" s="732" t="s">
        <v>248</v>
      </c>
      <c r="J94" s="730" t="s">
        <v>392</v>
      </c>
      <c r="K94" s="680" t="s">
        <v>397</v>
      </c>
      <c r="L94" s="732"/>
      <c r="M94" s="729" t="str">
        <f t="shared" si="58"/>
        <v>ha</v>
      </c>
      <c r="N94" s="753" t="s">
        <v>486</v>
      </c>
      <c r="O94" s="734">
        <v>4615</v>
      </c>
      <c r="P94" s="734">
        <f>(5990+5780)/2</f>
        <v>5885</v>
      </c>
      <c r="Q94" s="321" t="s">
        <v>317</v>
      </c>
      <c r="R94" s="733"/>
      <c r="S94" s="734"/>
      <c r="T94" s="734"/>
      <c r="U94" s="321"/>
      <c r="V94" s="733" t="str">
        <f t="shared" si="59"/>
        <v/>
      </c>
      <c r="W94" s="734" t="str">
        <f t="shared" si="60"/>
        <v/>
      </c>
      <c r="X94" s="734" t="str">
        <f t="shared" si="61"/>
        <v/>
      </c>
      <c r="Y94" s="744" t="str">
        <f t="shared" si="62"/>
        <v/>
      </c>
      <c r="Z94" s="746"/>
      <c r="AA94" s="745" t="s">
        <v>125</v>
      </c>
      <c r="AB94" s="746" t="s">
        <v>125</v>
      </c>
      <c r="AC94" s="747" t="str">
        <f t="shared" si="63"/>
        <v/>
      </c>
      <c r="AD94" s="748" t="str">
        <f t="shared" si="64"/>
        <v/>
      </c>
      <c r="AE94" s="749" t="str">
        <f t="shared" si="65"/>
        <v/>
      </c>
      <c r="AF94" s="745"/>
      <c r="AG94" s="746"/>
      <c r="AH94" s="747" t="s">
        <v>125</v>
      </c>
      <c r="AI94" s="748" t="s">
        <v>125</v>
      </c>
      <c r="AJ94" s="750" t="s">
        <v>125</v>
      </c>
      <c r="AK94" s="733" t="str">
        <f t="shared" si="66"/>
        <v/>
      </c>
      <c r="AL94" s="734" t="str">
        <f t="shared" si="67"/>
        <v/>
      </c>
      <c r="AM94" s="734" t="str">
        <f t="shared" si="68"/>
        <v/>
      </c>
      <c r="AN94" s="744" t="str">
        <f t="shared" si="69"/>
        <v/>
      </c>
      <c r="AO94" s="746"/>
      <c r="AP94" s="745" t="s">
        <v>125</v>
      </c>
      <c r="AQ94" s="746" t="s">
        <v>125</v>
      </c>
      <c r="AR94" s="747" t="str">
        <f t="shared" si="70"/>
        <v/>
      </c>
      <c r="AS94" s="748" t="str">
        <f t="shared" si="71"/>
        <v/>
      </c>
      <c r="AT94" s="749" t="str">
        <f t="shared" si="72"/>
        <v/>
      </c>
      <c r="AU94" s="745"/>
      <c r="AV94" s="746"/>
      <c r="AW94" s="747" t="s">
        <v>125</v>
      </c>
      <c r="AX94" s="748" t="s">
        <v>125</v>
      </c>
      <c r="AY94" s="750" t="s">
        <v>125</v>
      </c>
      <c r="AZ94" s="733" t="str">
        <f t="shared" si="73"/>
        <v/>
      </c>
      <c r="BA94" s="734" t="str">
        <f t="shared" si="74"/>
        <v/>
      </c>
      <c r="BB94" s="734" t="str">
        <f t="shared" si="75"/>
        <v/>
      </c>
      <c r="BC94" s="744" t="str">
        <f t="shared" si="76"/>
        <v/>
      </c>
      <c r="BD94" s="745" t="s">
        <v>125</v>
      </c>
      <c r="BE94" s="746" t="s">
        <v>125</v>
      </c>
      <c r="BF94" s="747" t="str">
        <f t="shared" si="77"/>
        <v/>
      </c>
      <c r="BG94" s="748" t="str">
        <f t="shared" si="78"/>
        <v/>
      </c>
      <c r="BH94" s="749" t="str">
        <f t="shared" si="79"/>
        <v/>
      </c>
      <c r="BI94" s="745"/>
      <c r="BJ94" s="746"/>
      <c r="BK94" s="747" t="s">
        <v>125</v>
      </c>
      <c r="BL94" s="748" t="s">
        <v>125</v>
      </c>
      <c r="BM94" s="750" t="s">
        <v>125</v>
      </c>
      <c r="BN94" s="1002" t="str">
        <f t="shared" si="54"/>
        <v/>
      </c>
      <c r="BO94" s="751" t="s">
        <v>125</v>
      </c>
      <c r="BP94" s="751" t="s">
        <v>125</v>
      </c>
      <c r="BQ94" s="744" t="str">
        <f t="shared" si="80"/>
        <v/>
      </c>
      <c r="BR94" s="755"/>
      <c r="BS94" s="756"/>
      <c r="BT94" s="755"/>
      <c r="BU94" s="756"/>
      <c r="BV94" s="755"/>
      <c r="BW94" s="757"/>
      <c r="BX94" s="755"/>
      <c r="BY94" s="756"/>
      <c r="BZ94" s="752" t="s">
        <v>125</v>
      </c>
      <c r="CA94" s="733"/>
      <c r="CB94" s="734"/>
      <c r="CC94" s="734"/>
      <c r="CD94" s="321"/>
    </row>
    <row r="95" spans="2:82" s="680" customFormat="1" x14ac:dyDescent="0.25">
      <c r="B95" s="729" t="str">
        <f t="shared" si="32"/>
        <v>plant-based</v>
      </c>
      <c r="C95" s="730" t="s">
        <v>301</v>
      </c>
      <c r="D95" s="730" t="s">
        <v>302</v>
      </c>
      <c r="E95" s="731" t="s">
        <v>247</v>
      </c>
      <c r="G95" s="680" t="s">
        <v>293</v>
      </c>
      <c r="H95" s="680" t="s">
        <v>250</v>
      </c>
      <c r="I95" s="732" t="s">
        <v>251</v>
      </c>
      <c r="J95" s="730" t="s">
        <v>392</v>
      </c>
      <c r="K95" s="680" t="s">
        <v>399</v>
      </c>
      <c r="L95" s="732" t="s">
        <v>400</v>
      </c>
      <c r="M95" s="729" t="str">
        <f t="shared" si="58"/>
        <v>ha</v>
      </c>
      <c r="N95" s="733">
        <f>O95/P95</f>
        <v>0.56557377049180324</v>
      </c>
      <c r="O95" s="734">
        <f>(3.1+3.8)/2*1000</f>
        <v>3450</v>
      </c>
      <c r="P95" s="734">
        <f>(6.5+5.7)/2*1000</f>
        <v>6100</v>
      </c>
      <c r="Q95" s="321" t="s">
        <v>317</v>
      </c>
      <c r="R95" s="733"/>
      <c r="S95" s="734"/>
      <c r="T95" s="734"/>
      <c r="U95" s="321"/>
      <c r="V95" s="733" t="str">
        <f t="shared" si="59"/>
        <v/>
      </c>
      <c r="W95" s="734" t="str">
        <f t="shared" si="60"/>
        <v/>
      </c>
      <c r="X95" s="734" t="str">
        <f t="shared" si="61"/>
        <v/>
      </c>
      <c r="Y95" s="744" t="str">
        <f t="shared" si="62"/>
        <v/>
      </c>
      <c r="Z95" s="746"/>
      <c r="AA95" s="745" t="s">
        <v>125</v>
      </c>
      <c r="AB95" s="746" t="s">
        <v>125</v>
      </c>
      <c r="AC95" s="747" t="str">
        <f t="shared" si="63"/>
        <v/>
      </c>
      <c r="AD95" s="748" t="str">
        <f t="shared" si="64"/>
        <v/>
      </c>
      <c r="AE95" s="749" t="str">
        <f t="shared" si="65"/>
        <v/>
      </c>
      <c r="AF95" s="745"/>
      <c r="AG95" s="746"/>
      <c r="AH95" s="747" t="s">
        <v>125</v>
      </c>
      <c r="AI95" s="748" t="s">
        <v>125</v>
      </c>
      <c r="AJ95" s="750" t="s">
        <v>125</v>
      </c>
      <c r="AK95" s="733" t="str">
        <f t="shared" si="66"/>
        <v/>
      </c>
      <c r="AL95" s="734" t="str">
        <f t="shared" si="67"/>
        <v/>
      </c>
      <c r="AM95" s="734" t="str">
        <f t="shared" si="68"/>
        <v/>
      </c>
      <c r="AN95" s="744" t="str">
        <f t="shared" si="69"/>
        <v/>
      </c>
      <c r="AO95" s="746"/>
      <c r="AP95" s="745" t="s">
        <v>125</v>
      </c>
      <c r="AQ95" s="746" t="s">
        <v>125</v>
      </c>
      <c r="AR95" s="747" t="str">
        <f t="shared" si="70"/>
        <v/>
      </c>
      <c r="AS95" s="748" t="str">
        <f t="shared" si="71"/>
        <v/>
      </c>
      <c r="AT95" s="749" t="str">
        <f t="shared" si="72"/>
        <v/>
      </c>
      <c r="AU95" s="745"/>
      <c r="AV95" s="746"/>
      <c r="AW95" s="747" t="s">
        <v>125</v>
      </c>
      <c r="AX95" s="748" t="s">
        <v>125</v>
      </c>
      <c r="AY95" s="750" t="s">
        <v>125</v>
      </c>
      <c r="AZ95" s="733" t="str">
        <f t="shared" si="73"/>
        <v/>
      </c>
      <c r="BA95" s="734" t="str">
        <f t="shared" si="74"/>
        <v/>
      </c>
      <c r="BB95" s="734" t="str">
        <f t="shared" si="75"/>
        <v/>
      </c>
      <c r="BC95" s="744" t="str">
        <f t="shared" si="76"/>
        <v/>
      </c>
      <c r="BD95" s="745" t="s">
        <v>125</v>
      </c>
      <c r="BE95" s="746" t="s">
        <v>125</v>
      </c>
      <c r="BF95" s="747" t="str">
        <f t="shared" si="77"/>
        <v/>
      </c>
      <c r="BG95" s="748" t="str">
        <f t="shared" si="78"/>
        <v/>
      </c>
      <c r="BH95" s="749" t="str">
        <f t="shared" si="79"/>
        <v/>
      </c>
      <c r="BI95" s="745"/>
      <c r="BJ95" s="746"/>
      <c r="BK95" s="747" t="s">
        <v>125</v>
      </c>
      <c r="BL95" s="748" t="s">
        <v>125</v>
      </c>
      <c r="BM95" s="750" t="s">
        <v>125</v>
      </c>
      <c r="BN95" s="1002" t="str">
        <f t="shared" si="54"/>
        <v/>
      </c>
      <c r="BO95" s="751" t="s">
        <v>125</v>
      </c>
      <c r="BP95" s="751" t="s">
        <v>125</v>
      </c>
      <c r="BQ95" s="744" t="str">
        <f t="shared" si="80"/>
        <v/>
      </c>
      <c r="BR95" s="755"/>
      <c r="BS95" s="756"/>
      <c r="BT95" s="755"/>
      <c r="BU95" s="756"/>
      <c r="BV95" s="755"/>
      <c r="BW95" s="757"/>
      <c r="BX95" s="755"/>
      <c r="BY95" s="756"/>
      <c r="BZ95" s="752" t="s">
        <v>125</v>
      </c>
      <c r="CA95" s="733"/>
      <c r="CB95" s="734"/>
      <c r="CC95" s="734"/>
      <c r="CD95" s="321"/>
    </row>
    <row r="96" spans="2:82" s="680" customFormat="1" x14ac:dyDescent="0.25">
      <c r="B96" s="729" t="str">
        <f t="shared" si="32"/>
        <v>plant-based</v>
      </c>
      <c r="C96" s="730" t="s">
        <v>301</v>
      </c>
      <c r="D96" s="730" t="s">
        <v>302</v>
      </c>
      <c r="E96" s="731" t="s">
        <v>247</v>
      </c>
      <c r="F96" s="680" t="s">
        <v>248</v>
      </c>
      <c r="G96" s="680" t="s">
        <v>293</v>
      </c>
      <c r="H96" s="680" t="s">
        <v>250</v>
      </c>
      <c r="I96" s="732" t="s">
        <v>251</v>
      </c>
      <c r="J96" s="730" t="s">
        <v>384</v>
      </c>
      <c r="K96" s="680" t="s">
        <v>385</v>
      </c>
      <c r="L96" s="732" t="s">
        <v>489</v>
      </c>
      <c r="M96" s="729" t="str">
        <f t="shared" si="58"/>
        <v>ha</v>
      </c>
      <c r="N96" s="754">
        <f>O96/P96</f>
        <v>0.94285714285714284</v>
      </c>
      <c r="O96" s="734">
        <v>3300</v>
      </c>
      <c r="P96" s="734">
        <v>3500</v>
      </c>
      <c r="Q96" s="321" t="s">
        <v>317</v>
      </c>
      <c r="R96" s="733"/>
      <c r="S96" s="734"/>
      <c r="T96" s="734"/>
      <c r="U96" s="321"/>
      <c r="V96" s="733" t="str">
        <f t="shared" si="59"/>
        <v/>
      </c>
      <c r="W96" s="734" t="str">
        <f t="shared" si="60"/>
        <v/>
      </c>
      <c r="X96" s="734" t="str">
        <f t="shared" si="61"/>
        <v/>
      </c>
      <c r="Y96" s="744" t="str">
        <f t="shared" si="62"/>
        <v/>
      </c>
      <c r="Z96" s="746"/>
      <c r="AA96" s="745" t="s">
        <v>125</v>
      </c>
      <c r="AB96" s="746" t="s">
        <v>125</v>
      </c>
      <c r="AC96" s="747" t="str">
        <f t="shared" si="63"/>
        <v/>
      </c>
      <c r="AD96" s="748" t="str">
        <f t="shared" si="64"/>
        <v/>
      </c>
      <c r="AE96" s="749" t="str">
        <f t="shared" si="65"/>
        <v/>
      </c>
      <c r="AF96" s="745"/>
      <c r="AG96" s="746"/>
      <c r="AH96" s="747" t="s">
        <v>125</v>
      </c>
      <c r="AI96" s="748" t="s">
        <v>125</v>
      </c>
      <c r="AJ96" s="750" t="s">
        <v>125</v>
      </c>
      <c r="AK96" s="733" t="str">
        <f t="shared" si="66"/>
        <v/>
      </c>
      <c r="AL96" s="734" t="str">
        <f t="shared" si="67"/>
        <v/>
      </c>
      <c r="AM96" s="734" t="str">
        <f t="shared" si="68"/>
        <v/>
      </c>
      <c r="AN96" s="744" t="str">
        <f t="shared" si="69"/>
        <v/>
      </c>
      <c r="AO96" s="746"/>
      <c r="AP96" s="745" t="s">
        <v>125</v>
      </c>
      <c r="AQ96" s="746" t="s">
        <v>125</v>
      </c>
      <c r="AR96" s="747" t="str">
        <f t="shared" si="70"/>
        <v/>
      </c>
      <c r="AS96" s="748" t="str">
        <f t="shared" si="71"/>
        <v/>
      </c>
      <c r="AT96" s="749" t="str">
        <f t="shared" si="72"/>
        <v/>
      </c>
      <c r="AU96" s="745"/>
      <c r="AV96" s="746"/>
      <c r="AW96" s="747" t="s">
        <v>125</v>
      </c>
      <c r="AX96" s="748" t="s">
        <v>125</v>
      </c>
      <c r="AY96" s="750" t="s">
        <v>125</v>
      </c>
      <c r="AZ96" s="733" t="str">
        <f t="shared" si="73"/>
        <v/>
      </c>
      <c r="BA96" s="734" t="str">
        <f t="shared" si="74"/>
        <v/>
      </c>
      <c r="BB96" s="734" t="str">
        <f t="shared" si="75"/>
        <v/>
      </c>
      <c r="BC96" s="744" t="str">
        <f t="shared" si="76"/>
        <v/>
      </c>
      <c r="BD96" s="745" t="s">
        <v>125</v>
      </c>
      <c r="BE96" s="746" t="s">
        <v>125</v>
      </c>
      <c r="BF96" s="747" t="str">
        <f t="shared" si="77"/>
        <v/>
      </c>
      <c r="BG96" s="748" t="str">
        <f t="shared" si="78"/>
        <v/>
      </c>
      <c r="BH96" s="749" t="str">
        <f t="shared" si="79"/>
        <v/>
      </c>
      <c r="BI96" s="745"/>
      <c r="BJ96" s="746"/>
      <c r="BK96" s="747" t="s">
        <v>125</v>
      </c>
      <c r="BL96" s="748" t="s">
        <v>125</v>
      </c>
      <c r="BM96" s="750" t="s">
        <v>125</v>
      </c>
      <c r="BN96" s="1002" t="str">
        <f t="shared" si="54"/>
        <v/>
      </c>
      <c r="BO96" s="751" t="s">
        <v>125</v>
      </c>
      <c r="BP96" s="751" t="s">
        <v>125</v>
      </c>
      <c r="BQ96" s="744" t="str">
        <f t="shared" si="80"/>
        <v/>
      </c>
      <c r="BR96" s="755"/>
      <c r="BS96" s="756"/>
      <c r="BT96" s="755"/>
      <c r="BU96" s="756"/>
      <c r="BV96" s="755"/>
      <c r="BW96" s="757"/>
      <c r="BX96" s="755"/>
      <c r="BY96" s="756"/>
      <c r="BZ96" s="752" t="s">
        <v>125</v>
      </c>
      <c r="CA96" s="733"/>
      <c r="CB96" s="734"/>
      <c r="CC96" s="734"/>
      <c r="CD96" s="321"/>
    </row>
    <row r="97" spans="2:82" s="680" customFormat="1" x14ac:dyDescent="0.25">
      <c r="B97" s="729" t="str">
        <f t="shared" si="32"/>
        <v>plant-based</v>
      </c>
      <c r="C97" s="730" t="s">
        <v>301</v>
      </c>
      <c r="D97" s="730" t="s">
        <v>302</v>
      </c>
      <c r="E97" s="731" t="s">
        <v>247</v>
      </c>
      <c r="F97" s="680" t="s">
        <v>248</v>
      </c>
      <c r="G97" s="680" t="s">
        <v>293</v>
      </c>
      <c r="H97" s="680" t="s">
        <v>250</v>
      </c>
      <c r="I97" s="732" t="s">
        <v>251</v>
      </c>
      <c r="J97" s="730" t="s">
        <v>392</v>
      </c>
      <c r="K97" s="680" t="s">
        <v>402</v>
      </c>
      <c r="L97" s="732" t="s">
        <v>400</v>
      </c>
      <c r="M97" s="729" t="str">
        <f t="shared" si="58"/>
        <v>ha</v>
      </c>
      <c r="N97" s="733">
        <f>O97/P97</f>
        <v>0.55555555555555558</v>
      </c>
      <c r="O97" s="734">
        <f>1000*4</f>
        <v>4000</v>
      </c>
      <c r="P97" s="734">
        <f>1000*7.2</f>
        <v>7200</v>
      </c>
      <c r="Q97" s="321" t="s">
        <v>317</v>
      </c>
      <c r="R97" s="733"/>
      <c r="S97" s="734"/>
      <c r="T97" s="734"/>
      <c r="U97" s="321"/>
      <c r="V97" s="733" t="str">
        <f t="shared" si="59"/>
        <v/>
      </c>
      <c r="W97" s="734" t="str">
        <f t="shared" si="60"/>
        <v/>
      </c>
      <c r="X97" s="734" t="str">
        <f t="shared" si="61"/>
        <v/>
      </c>
      <c r="Y97" s="744" t="str">
        <f t="shared" si="62"/>
        <v/>
      </c>
      <c r="Z97" s="746"/>
      <c r="AA97" s="745" t="s">
        <v>125</v>
      </c>
      <c r="AB97" s="746" t="s">
        <v>125</v>
      </c>
      <c r="AC97" s="747" t="str">
        <f t="shared" si="63"/>
        <v/>
      </c>
      <c r="AD97" s="748" t="str">
        <f t="shared" si="64"/>
        <v/>
      </c>
      <c r="AE97" s="749" t="str">
        <f t="shared" si="65"/>
        <v/>
      </c>
      <c r="AF97" s="745"/>
      <c r="AG97" s="746"/>
      <c r="AH97" s="747" t="s">
        <v>125</v>
      </c>
      <c r="AI97" s="748" t="s">
        <v>125</v>
      </c>
      <c r="AJ97" s="750" t="s">
        <v>125</v>
      </c>
      <c r="AK97" s="733" t="str">
        <f t="shared" si="66"/>
        <v/>
      </c>
      <c r="AL97" s="734" t="str">
        <f t="shared" si="67"/>
        <v/>
      </c>
      <c r="AM97" s="734" t="str">
        <f t="shared" si="68"/>
        <v/>
      </c>
      <c r="AN97" s="744" t="str">
        <f t="shared" si="69"/>
        <v/>
      </c>
      <c r="AO97" s="746"/>
      <c r="AP97" s="745" t="s">
        <v>125</v>
      </c>
      <c r="AQ97" s="746" t="s">
        <v>125</v>
      </c>
      <c r="AR97" s="747" t="str">
        <f t="shared" si="70"/>
        <v/>
      </c>
      <c r="AS97" s="748" t="str">
        <f t="shared" si="71"/>
        <v/>
      </c>
      <c r="AT97" s="749" t="str">
        <f t="shared" si="72"/>
        <v/>
      </c>
      <c r="AU97" s="745"/>
      <c r="AV97" s="746"/>
      <c r="AW97" s="747" t="s">
        <v>125</v>
      </c>
      <c r="AX97" s="748" t="s">
        <v>125</v>
      </c>
      <c r="AY97" s="750" t="s">
        <v>125</v>
      </c>
      <c r="AZ97" s="733" t="str">
        <f t="shared" si="73"/>
        <v/>
      </c>
      <c r="BA97" s="734" t="str">
        <f t="shared" si="74"/>
        <v/>
      </c>
      <c r="BB97" s="734" t="str">
        <f t="shared" si="75"/>
        <v/>
      </c>
      <c r="BC97" s="744" t="str">
        <f t="shared" si="76"/>
        <v/>
      </c>
      <c r="BD97" s="745" t="s">
        <v>125</v>
      </c>
      <c r="BE97" s="746" t="s">
        <v>125</v>
      </c>
      <c r="BF97" s="747" t="str">
        <f t="shared" si="77"/>
        <v/>
      </c>
      <c r="BG97" s="748" t="str">
        <f t="shared" si="78"/>
        <v/>
      </c>
      <c r="BH97" s="749" t="str">
        <f t="shared" si="79"/>
        <v/>
      </c>
      <c r="BI97" s="745"/>
      <c r="BJ97" s="746"/>
      <c r="BK97" s="747" t="s">
        <v>125</v>
      </c>
      <c r="BL97" s="748" t="s">
        <v>125</v>
      </c>
      <c r="BM97" s="750" t="s">
        <v>125</v>
      </c>
      <c r="BN97" s="1002" t="str">
        <f t="shared" si="54"/>
        <v/>
      </c>
      <c r="BO97" s="751" t="s">
        <v>125</v>
      </c>
      <c r="BP97" s="751" t="s">
        <v>125</v>
      </c>
      <c r="BQ97" s="744" t="str">
        <f t="shared" si="80"/>
        <v/>
      </c>
      <c r="BR97" s="755"/>
      <c r="BS97" s="756"/>
      <c r="BT97" s="755"/>
      <c r="BU97" s="756"/>
      <c r="BV97" s="755"/>
      <c r="BW97" s="757"/>
      <c r="BX97" s="755"/>
      <c r="BY97" s="756"/>
      <c r="BZ97" s="752" t="s">
        <v>125</v>
      </c>
      <c r="CA97" s="733"/>
      <c r="CB97" s="734"/>
      <c r="CC97" s="734"/>
      <c r="CD97" s="321"/>
    </row>
    <row r="98" spans="2:82" s="680" customFormat="1" x14ac:dyDescent="0.25">
      <c r="B98" s="729" t="str">
        <f t="shared" si="32"/>
        <v>plant-based</v>
      </c>
      <c r="C98" s="730" t="s">
        <v>301</v>
      </c>
      <c r="D98" s="730" t="s">
        <v>302</v>
      </c>
      <c r="E98" s="731" t="s">
        <v>247</v>
      </c>
      <c r="F98" s="680" t="s">
        <v>248</v>
      </c>
      <c r="G98" s="680" t="s">
        <v>293</v>
      </c>
      <c r="H98" s="680" t="s">
        <v>250</v>
      </c>
      <c r="I98" s="732" t="s">
        <v>251</v>
      </c>
      <c r="J98" s="730" t="s">
        <v>413</v>
      </c>
      <c r="K98" s="680" t="s">
        <v>414</v>
      </c>
      <c r="L98" s="732"/>
      <c r="M98" s="729" t="str">
        <f t="shared" si="58"/>
        <v>ha</v>
      </c>
      <c r="N98" s="754">
        <f>O98/P98</f>
        <v>0.65384615384615374</v>
      </c>
      <c r="O98" s="734">
        <f>1000*32.3</f>
        <v>32299.999999999996</v>
      </c>
      <c r="P98" s="734">
        <f>1000*49.4</f>
        <v>49400</v>
      </c>
      <c r="Q98" s="321" t="s">
        <v>317</v>
      </c>
      <c r="R98" s="733"/>
      <c r="S98" s="734"/>
      <c r="T98" s="734"/>
      <c r="U98" s="321"/>
      <c r="V98" s="733" t="str">
        <f t="shared" si="59"/>
        <v/>
      </c>
      <c r="W98" s="734" t="str">
        <f t="shared" si="60"/>
        <v/>
      </c>
      <c r="X98" s="734" t="str">
        <f t="shared" si="61"/>
        <v/>
      </c>
      <c r="Y98" s="744" t="str">
        <f t="shared" si="62"/>
        <v/>
      </c>
      <c r="Z98" s="746"/>
      <c r="AA98" s="745" t="s">
        <v>125</v>
      </c>
      <c r="AB98" s="746" t="s">
        <v>125</v>
      </c>
      <c r="AC98" s="747" t="str">
        <f t="shared" si="63"/>
        <v/>
      </c>
      <c r="AD98" s="748" t="str">
        <f t="shared" si="64"/>
        <v/>
      </c>
      <c r="AE98" s="749" t="str">
        <f t="shared" si="65"/>
        <v/>
      </c>
      <c r="AF98" s="745"/>
      <c r="AG98" s="746"/>
      <c r="AH98" s="747" t="s">
        <v>125</v>
      </c>
      <c r="AI98" s="748" t="s">
        <v>125</v>
      </c>
      <c r="AJ98" s="750" t="s">
        <v>125</v>
      </c>
      <c r="AK98" s="733" t="str">
        <f t="shared" si="66"/>
        <v/>
      </c>
      <c r="AL98" s="734" t="str">
        <f t="shared" si="67"/>
        <v/>
      </c>
      <c r="AM98" s="734" t="str">
        <f t="shared" si="68"/>
        <v/>
      </c>
      <c r="AN98" s="744" t="str">
        <f t="shared" si="69"/>
        <v/>
      </c>
      <c r="AO98" s="746"/>
      <c r="AP98" s="745" t="s">
        <v>125</v>
      </c>
      <c r="AQ98" s="746" t="s">
        <v>125</v>
      </c>
      <c r="AR98" s="747" t="str">
        <f t="shared" si="70"/>
        <v/>
      </c>
      <c r="AS98" s="748" t="str">
        <f t="shared" si="71"/>
        <v/>
      </c>
      <c r="AT98" s="749" t="str">
        <f t="shared" si="72"/>
        <v/>
      </c>
      <c r="AU98" s="745"/>
      <c r="AV98" s="746"/>
      <c r="AW98" s="747" t="s">
        <v>125</v>
      </c>
      <c r="AX98" s="748" t="s">
        <v>125</v>
      </c>
      <c r="AY98" s="750" t="s">
        <v>125</v>
      </c>
      <c r="AZ98" s="733" t="str">
        <f t="shared" si="73"/>
        <v/>
      </c>
      <c r="BA98" s="734" t="str">
        <f t="shared" si="74"/>
        <v/>
      </c>
      <c r="BB98" s="734" t="str">
        <f t="shared" si="75"/>
        <v/>
      </c>
      <c r="BC98" s="744" t="str">
        <f t="shared" si="76"/>
        <v/>
      </c>
      <c r="BD98" s="745" t="s">
        <v>125</v>
      </c>
      <c r="BE98" s="746" t="s">
        <v>125</v>
      </c>
      <c r="BF98" s="747" t="str">
        <f t="shared" si="77"/>
        <v/>
      </c>
      <c r="BG98" s="748" t="str">
        <f t="shared" si="78"/>
        <v/>
      </c>
      <c r="BH98" s="749" t="str">
        <f t="shared" si="79"/>
        <v/>
      </c>
      <c r="BI98" s="745"/>
      <c r="BJ98" s="746"/>
      <c r="BK98" s="747" t="s">
        <v>125</v>
      </c>
      <c r="BL98" s="748" t="s">
        <v>125</v>
      </c>
      <c r="BM98" s="750" t="s">
        <v>125</v>
      </c>
      <c r="BN98" s="1002" t="str">
        <f t="shared" si="54"/>
        <v/>
      </c>
      <c r="BO98" s="751" t="s">
        <v>125</v>
      </c>
      <c r="BP98" s="751" t="s">
        <v>125</v>
      </c>
      <c r="BQ98" s="744" t="str">
        <f t="shared" si="80"/>
        <v/>
      </c>
      <c r="BR98" s="755"/>
      <c r="BS98" s="756"/>
      <c r="BT98" s="755"/>
      <c r="BU98" s="756"/>
      <c r="BV98" s="755"/>
      <c r="BW98" s="757"/>
      <c r="BX98" s="755"/>
      <c r="BY98" s="756"/>
      <c r="BZ98" s="752" t="s">
        <v>125</v>
      </c>
      <c r="CA98" s="733"/>
      <c r="CB98" s="734"/>
      <c r="CC98" s="734"/>
      <c r="CD98" s="321"/>
    </row>
    <row r="99" spans="2:82" s="680" customFormat="1" x14ac:dyDescent="0.25">
      <c r="B99" s="729" t="str">
        <f t="shared" si="32"/>
        <v>plant-based</v>
      </c>
      <c r="C99" s="730" t="s">
        <v>301</v>
      </c>
      <c r="D99" s="730" t="s">
        <v>302</v>
      </c>
      <c r="E99" s="731" t="s">
        <v>247</v>
      </c>
      <c r="F99" s="680" t="s">
        <v>248</v>
      </c>
      <c r="G99" s="680" t="s">
        <v>293</v>
      </c>
      <c r="H99" s="680" t="s">
        <v>250</v>
      </c>
      <c r="I99" s="732" t="s">
        <v>251</v>
      </c>
      <c r="J99" s="730" t="s">
        <v>423</v>
      </c>
      <c r="K99" s="680" t="s">
        <v>424</v>
      </c>
      <c r="L99" s="732"/>
      <c r="M99" s="729" t="str">
        <f t="shared" si="58"/>
        <v>ha</v>
      </c>
      <c r="N99" s="743" t="s">
        <v>490</v>
      </c>
      <c r="O99" s="734">
        <f>1000*1.9</f>
        <v>1900</v>
      </c>
      <c r="P99" s="734">
        <f>1000*3.3</f>
        <v>3300</v>
      </c>
      <c r="Q99" s="321" t="s">
        <v>317</v>
      </c>
      <c r="R99" s="733"/>
      <c r="S99" s="734"/>
      <c r="T99" s="734"/>
      <c r="U99" s="321"/>
      <c r="V99" s="733" t="str">
        <f t="shared" si="59"/>
        <v/>
      </c>
      <c r="W99" s="734" t="str">
        <f t="shared" si="60"/>
        <v/>
      </c>
      <c r="X99" s="734" t="str">
        <f t="shared" si="61"/>
        <v/>
      </c>
      <c r="Y99" s="744" t="str">
        <f t="shared" si="62"/>
        <v/>
      </c>
      <c r="Z99" s="746"/>
      <c r="AA99" s="745" t="s">
        <v>125</v>
      </c>
      <c r="AB99" s="746" t="s">
        <v>125</v>
      </c>
      <c r="AC99" s="747" t="str">
        <f t="shared" si="63"/>
        <v/>
      </c>
      <c r="AD99" s="748" t="str">
        <f t="shared" si="64"/>
        <v/>
      </c>
      <c r="AE99" s="749" t="str">
        <f t="shared" si="65"/>
        <v/>
      </c>
      <c r="AF99" s="745"/>
      <c r="AG99" s="746"/>
      <c r="AH99" s="747" t="s">
        <v>125</v>
      </c>
      <c r="AI99" s="748" t="s">
        <v>125</v>
      </c>
      <c r="AJ99" s="750" t="s">
        <v>125</v>
      </c>
      <c r="AK99" s="733">
        <f>AP99/AQ99</f>
        <v>0.74582560296846001</v>
      </c>
      <c r="AL99" s="734" t="s">
        <v>248</v>
      </c>
      <c r="AM99" s="734" t="s">
        <v>248</v>
      </c>
      <c r="AN99" s="744" t="str">
        <f t="shared" si="69"/>
        <v>kWh/ha</v>
      </c>
      <c r="AO99" s="746" t="s">
        <v>1575</v>
      </c>
      <c r="AP99" s="745">
        <v>1.1166666666666667</v>
      </c>
      <c r="AQ99" s="746">
        <v>1.4972222222222225</v>
      </c>
      <c r="AR99" s="747" t="str">
        <f t="shared" si="70"/>
        <v>kWh</v>
      </c>
      <c r="AS99" s="748" t="str">
        <f t="shared" si="71"/>
        <v>/</v>
      </c>
      <c r="AT99" s="749" t="str">
        <f t="shared" si="72"/>
        <v>kg</v>
      </c>
      <c r="AU99" s="745">
        <v>4020</v>
      </c>
      <c r="AV99" s="746">
        <v>5390</v>
      </c>
      <c r="AW99" s="747" t="s">
        <v>304</v>
      </c>
      <c r="AX99" s="748" t="s">
        <v>256</v>
      </c>
      <c r="AY99" s="750" t="s">
        <v>299</v>
      </c>
      <c r="AZ99" s="733" t="str">
        <f t="shared" si="73"/>
        <v/>
      </c>
      <c r="BA99" s="734" t="str">
        <f t="shared" si="74"/>
        <v/>
      </c>
      <c r="BB99" s="734" t="str">
        <f t="shared" si="75"/>
        <v/>
      </c>
      <c r="BC99" s="744" t="str">
        <f t="shared" si="76"/>
        <v/>
      </c>
      <c r="BD99" s="745" t="s">
        <v>125</v>
      </c>
      <c r="BE99" s="746" t="s">
        <v>125</v>
      </c>
      <c r="BF99" s="747" t="str">
        <f t="shared" si="77"/>
        <v/>
      </c>
      <c r="BG99" s="748" t="str">
        <f t="shared" si="78"/>
        <v/>
      </c>
      <c r="BH99" s="749" t="str">
        <f t="shared" si="79"/>
        <v/>
      </c>
      <c r="BI99" s="745"/>
      <c r="BJ99" s="746"/>
      <c r="BK99" s="747" t="s">
        <v>125</v>
      </c>
      <c r="BL99" s="748" t="s">
        <v>125</v>
      </c>
      <c r="BM99" s="750" t="s">
        <v>125</v>
      </c>
      <c r="BN99" s="1002" t="str">
        <f t="shared" si="54"/>
        <v/>
      </c>
      <c r="BO99" s="751" t="s">
        <v>125</v>
      </c>
      <c r="BP99" s="751" t="s">
        <v>125</v>
      </c>
      <c r="BQ99" s="744" t="str">
        <f t="shared" si="80"/>
        <v/>
      </c>
      <c r="BR99" s="755"/>
      <c r="BS99" s="756"/>
      <c r="BT99" s="755"/>
      <c r="BU99" s="756"/>
      <c r="BV99" s="755"/>
      <c r="BW99" s="757"/>
      <c r="BX99" s="755"/>
      <c r="BY99" s="756"/>
      <c r="BZ99" s="752" t="s">
        <v>125</v>
      </c>
      <c r="CA99" s="733"/>
      <c r="CB99" s="734"/>
      <c r="CC99" s="734"/>
      <c r="CD99" s="321"/>
    </row>
    <row r="100" spans="2:82" s="680" customFormat="1" x14ac:dyDescent="0.25">
      <c r="B100" s="729" t="str">
        <f t="shared" si="32"/>
        <v>plant-based</v>
      </c>
      <c r="C100" s="730" t="s">
        <v>301</v>
      </c>
      <c r="D100" s="730" t="s">
        <v>302</v>
      </c>
      <c r="E100" s="731" t="s">
        <v>247</v>
      </c>
      <c r="F100" s="680" t="s">
        <v>248</v>
      </c>
      <c r="G100" s="680" t="s">
        <v>293</v>
      </c>
      <c r="H100" s="680" t="s">
        <v>250</v>
      </c>
      <c r="I100" s="732" t="s">
        <v>251</v>
      </c>
      <c r="J100" s="730" t="s">
        <v>384</v>
      </c>
      <c r="K100" s="680" t="s">
        <v>406</v>
      </c>
      <c r="L100" s="732" t="s">
        <v>400</v>
      </c>
      <c r="M100" s="729" t="str">
        <f t="shared" si="58"/>
        <v>ha</v>
      </c>
      <c r="N100" s="733">
        <f>O100/P100</f>
        <v>1</v>
      </c>
      <c r="O100" s="734">
        <f>1000*2.6</f>
        <v>2600</v>
      </c>
      <c r="P100" s="734">
        <f>1000*2.6</f>
        <v>2600</v>
      </c>
      <c r="Q100" s="321" t="s">
        <v>317</v>
      </c>
      <c r="R100" s="733"/>
      <c r="S100" s="734"/>
      <c r="T100" s="734"/>
      <c r="U100" s="321"/>
      <c r="V100" s="733" t="str">
        <f t="shared" si="59"/>
        <v/>
      </c>
      <c r="W100" s="734" t="str">
        <f t="shared" si="60"/>
        <v/>
      </c>
      <c r="X100" s="734" t="str">
        <f t="shared" si="61"/>
        <v/>
      </c>
      <c r="Y100" s="744" t="str">
        <f t="shared" si="62"/>
        <v/>
      </c>
      <c r="Z100" s="746"/>
      <c r="AA100" s="745" t="s">
        <v>125</v>
      </c>
      <c r="AB100" s="746" t="s">
        <v>125</v>
      </c>
      <c r="AC100" s="747" t="str">
        <f t="shared" si="63"/>
        <v/>
      </c>
      <c r="AD100" s="748" t="str">
        <f t="shared" si="64"/>
        <v/>
      </c>
      <c r="AE100" s="749" t="str">
        <f t="shared" si="65"/>
        <v/>
      </c>
      <c r="AF100" s="745"/>
      <c r="AG100" s="746"/>
      <c r="AH100" s="747" t="s">
        <v>125</v>
      </c>
      <c r="AI100" s="748" t="s">
        <v>125</v>
      </c>
      <c r="AJ100" s="750" t="s">
        <v>125</v>
      </c>
      <c r="AK100" s="733" t="str">
        <f t="shared" si="66"/>
        <v/>
      </c>
      <c r="AL100" s="734" t="str">
        <f t="shared" si="67"/>
        <v/>
      </c>
      <c r="AM100" s="734" t="str">
        <f t="shared" si="68"/>
        <v/>
      </c>
      <c r="AN100" s="744" t="str">
        <f t="shared" si="69"/>
        <v/>
      </c>
      <c r="AO100" s="746"/>
      <c r="AP100" s="745" t="s">
        <v>125</v>
      </c>
      <c r="AQ100" s="746" t="s">
        <v>125</v>
      </c>
      <c r="AR100" s="747" t="str">
        <f t="shared" si="70"/>
        <v/>
      </c>
      <c r="AS100" s="748" t="str">
        <f t="shared" si="71"/>
        <v/>
      </c>
      <c r="AT100" s="749" t="str">
        <f t="shared" si="72"/>
        <v/>
      </c>
      <c r="AU100" s="745"/>
      <c r="AV100" s="746"/>
      <c r="AW100" s="747" t="s">
        <v>125</v>
      </c>
      <c r="AX100" s="748" t="s">
        <v>125</v>
      </c>
      <c r="AY100" s="750" t="s">
        <v>125</v>
      </c>
      <c r="AZ100" s="733" t="str">
        <f t="shared" si="73"/>
        <v/>
      </c>
      <c r="BA100" s="734" t="str">
        <f t="shared" si="74"/>
        <v/>
      </c>
      <c r="BB100" s="734" t="str">
        <f t="shared" si="75"/>
        <v/>
      </c>
      <c r="BC100" s="744" t="str">
        <f t="shared" si="76"/>
        <v/>
      </c>
      <c r="BD100" s="745" t="s">
        <v>125</v>
      </c>
      <c r="BE100" s="746" t="s">
        <v>125</v>
      </c>
      <c r="BF100" s="747" t="str">
        <f t="shared" si="77"/>
        <v/>
      </c>
      <c r="BG100" s="748" t="str">
        <f t="shared" si="78"/>
        <v/>
      </c>
      <c r="BH100" s="749" t="str">
        <f t="shared" si="79"/>
        <v/>
      </c>
      <c r="BI100" s="745"/>
      <c r="BJ100" s="746"/>
      <c r="BK100" s="747" t="s">
        <v>125</v>
      </c>
      <c r="BL100" s="748" t="s">
        <v>125</v>
      </c>
      <c r="BM100" s="750" t="s">
        <v>125</v>
      </c>
      <c r="BN100" s="1002" t="str">
        <f t="shared" si="54"/>
        <v/>
      </c>
      <c r="BO100" s="751" t="s">
        <v>125</v>
      </c>
      <c r="BP100" s="751" t="s">
        <v>125</v>
      </c>
      <c r="BQ100" s="744" t="str">
        <f t="shared" si="80"/>
        <v/>
      </c>
      <c r="BR100" s="755"/>
      <c r="BS100" s="756"/>
      <c r="BT100" s="755"/>
      <c r="BU100" s="756"/>
      <c r="BV100" s="755"/>
      <c r="BW100" s="757"/>
      <c r="BX100" s="755"/>
      <c r="BY100" s="756"/>
      <c r="BZ100" s="752" t="s">
        <v>125</v>
      </c>
      <c r="CA100" s="733"/>
      <c r="CB100" s="734"/>
      <c r="CC100" s="734"/>
      <c r="CD100" s="321"/>
    </row>
    <row r="101" spans="2:82" s="680" customFormat="1" x14ac:dyDescent="0.25">
      <c r="B101" s="729" t="str">
        <f t="shared" si="32"/>
        <v>plant-based</v>
      </c>
      <c r="C101" s="730" t="s">
        <v>301</v>
      </c>
      <c r="D101" s="730" t="s">
        <v>302</v>
      </c>
      <c r="E101" s="731" t="s">
        <v>247</v>
      </c>
      <c r="F101" s="680" t="s">
        <v>248</v>
      </c>
      <c r="G101" s="680" t="s">
        <v>293</v>
      </c>
      <c r="H101" s="680" t="s">
        <v>250</v>
      </c>
      <c r="I101" s="732" t="s">
        <v>251</v>
      </c>
      <c r="J101" s="730" t="s">
        <v>392</v>
      </c>
      <c r="K101" s="680" t="s">
        <v>397</v>
      </c>
      <c r="L101" s="732"/>
      <c r="M101" s="729" t="str">
        <f t="shared" si="58"/>
        <v>ha</v>
      </c>
      <c r="N101" s="733">
        <f>O101/P101</f>
        <v>0.57746478873239437</v>
      </c>
      <c r="O101" s="734">
        <f>1000*4.1</f>
        <v>4100</v>
      </c>
      <c r="P101" s="734">
        <f>1000*7.1</f>
        <v>7100</v>
      </c>
      <c r="Q101" s="321" t="s">
        <v>317</v>
      </c>
      <c r="R101" s="733"/>
      <c r="S101" s="734"/>
      <c r="T101" s="734"/>
      <c r="U101" s="321"/>
      <c r="V101" s="733" t="str">
        <f t="shared" si="59"/>
        <v/>
      </c>
      <c r="W101" s="734" t="str">
        <f t="shared" si="60"/>
        <v/>
      </c>
      <c r="X101" s="734" t="str">
        <f t="shared" si="61"/>
        <v/>
      </c>
      <c r="Y101" s="744" t="str">
        <f t="shared" si="62"/>
        <v/>
      </c>
      <c r="Z101" s="746"/>
      <c r="AA101" s="745" t="s">
        <v>125</v>
      </c>
      <c r="AB101" s="746" t="s">
        <v>125</v>
      </c>
      <c r="AC101" s="747" t="str">
        <f t="shared" si="63"/>
        <v/>
      </c>
      <c r="AD101" s="748" t="str">
        <f t="shared" si="64"/>
        <v/>
      </c>
      <c r="AE101" s="749" t="str">
        <f t="shared" si="65"/>
        <v/>
      </c>
      <c r="AF101" s="745"/>
      <c r="AG101" s="746"/>
      <c r="AH101" s="747" t="s">
        <v>125</v>
      </c>
      <c r="AI101" s="748" t="s">
        <v>125</v>
      </c>
      <c r="AJ101" s="750" t="s">
        <v>125</v>
      </c>
      <c r="AK101" s="733">
        <f>AP101/AQ101</f>
        <v>0.70731707317073178</v>
      </c>
      <c r="AL101" s="734" t="s">
        <v>248</v>
      </c>
      <c r="AM101" s="734" t="s">
        <v>248</v>
      </c>
      <c r="AN101" s="744" t="str">
        <f t="shared" si="69"/>
        <v>kWh/ha</v>
      </c>
      <c r="AO101" s="746" t="s">
        <v>1575</v>
      </c>
      <c r="AP101" s="745">
        <v>0.48333333333333339</v>
      </c>
      <c r="AQ101" s="746">
        <v>0.68333333333333335</v>
      </c>
      <c r="AR101" s="747" t="str">
        <f t="shared" si="70"/>
        <v>kWh</v>
      </c>
      <c r="AS101" s="748" t="str">
        <f t="shared" si="71"/>
        <v>/</v>
      </c>
      <c r="AT101" s="749" t="str">
        <f t="shared" si="72"/>
        <v>kg</v>
      </c>
      <c r="AU101" s="745">
        <v>1740</v>
      </c>
      <c r="AV101" s="746">
        <v>2460</v>
      </c>
      <c r="AW101" s="747" t="s">
        <v>304</v>
      </c>
      <c r="AX101" s="748" t="s">
        <v>256</v>
      </c>
      <c r="AY101" s="750" t="s">
        <v>299</v>
      </c>
      <c r="AZ101" s="733" t="str">
        <f t="shared" si="73"/>
        <v/>
      </c>
      <c r="BA101" s="734" t="str">
        <f t="shared" si="74"/>
        <v/>
      </c>
      <c r="BB101" s="734" t="str">
        <f t="shared" si="75"/>
        <v/>
      </c>
      <c r="BC101" s="744" t="str">
        <f t="shared" si="76"/>
        <v/>
      </c>
      <c r="BD101" s="745" t="s">
        <v>125</v>
      </c>
      <c r="BE101" s="746" t="s">
        <v>125</v>
      </c>
      <c r="BF101" s="747" t="str">
        <f t="shared" si="77"/>
        <v/>
      </c>
      <c r="BG101" s="748" t="str">
        <f t="shared" si="78"/>
        <v/>
      </c>
      <c r="BH101" s="749" t="str">
        <f t="shared" si="79"/>
        <v/>
      </c>
      <c r="BI101" s="745"/>
      <c r="BJ101" s="746"/>
      <c r="BK101" s="747" t="s">
        <v>125</v>
      </c>
      <c r="BL101" s="748" t="s">
        <v>125</v>
      </c>
      <c r="BM101" s="750" t="s">
        <v>125</v>
      </c>
      <c r="BN101" s="1002" t="str">
        <f t="shared" si="54"/>
        <v/>
      </c>
      <c r="BO101" s="751" t="s">
        <v>125</v>
      </c>
      <c r="BP101" s="751" t="s">
        <v>125</v>
      </c>
      <c r="BQ101" s="744" t="str">
        <f t="shared" si="80"/>
        <v/>
      </c>
      <c r="BR101" s="755"/>
      <c r="BS101" s="756"/>
      <c r="BT101" s="755"/>
      <c r="BU101" s="756"/>
      <c r="BV101" s="755"/>
      <c r="BW101" s="757"/>
      <c r="BX101" s="755"/>
      <c r="BY101" s="756"/>
      <c r="BZ101" s="752" t="s">
        <v>125</v>
      </c>
      <c r="CA101" s="733"/>
      <c r="CB101" s="734"/>
      <c r="CC101" s="734"/>
      <c r="CD101" s="321"/>
    </row>
    <row r="102" spans="2:82" s="680" customFormat="1" x14ac:dyDescent="0.25">
      <c r="B102" s="729" t="str">
        <f t="shared" si="32"/>
        <v>plant-based</v>
      </c>
      <c r="C102" s="730" t="s">
        <v>491</v>
      </c>
      <c r="D102" s="730" t="s">
        <v>492</v>
      </c>
      <c r="E102" s="731" t="s">
        <v>264</v>
      </c>
      <c r="F102" s="680" t="s">
        <v>493</v>
      </c>
      <c r="G102" s="680" t="s">
        <v>293</v>
      </c>
      <c r="H102" s="680" t="s">
        <v>273</v>
      </c>
      <c r="I102" s="732" t="s">
        <v>251</v>
      </c>
      <c r="J102" s="730" t="s">
        <v>413</v>
      </c>
      <c r="K102" s="680" t="s">
        <v>414</v>
      </c>
      <c r="L102" s="732"/>
      <c r="M102" s="729" t="str">
        <f t="shared" si="58"/>
        <v>ha</v>
      </c>
      <c r="N102" s="754">
        <f>O102/P102</f>
        <v>0.69841269841269837</v>
      </c>
      <c r="O102" s="734">
        <f>((35+19+34)/3)*1000</f>
        <v>29333.333333333332</v>
      </c>
      <c r="P102" s="734">
        <f>1000*(52+26+48)/3</f>
        <v>42000</v>
      </c>
      <c r="Q102" s="321" t="s">
        <v>317</v>
      </c>
      <c r="R102" s="733"/>
      <c r="S102" s="734"/>
      <c r="T102" s="734"/>
      <c r="U102" s="321"/>
      <c r="V102" s="733" t="str">
        <f t="shared" si="59"/>
        <v/>
      </c>
      <c r="W102" s="734" t="str">
        <f t="shared" si="60"/>
        <v/>
      </c>
      <c r="X102" s="734" t="str">
        <f t="shared" si="61"/>
        <v/>
      </c>
      <c r="Y102" s="744" t="str">
        <f t="shared" si="62"/>
        <v/>
      </c>
      <c r="Z102" s="746"/>
      <c r="AA102" s="745" t="s">
        <v>125</v>
      </c>
      <c r="AB102" s="746" t="s">
        <v>125</v>
      </c>
      <c r="AC102" s="747" t="str">
        <f t="shared" si="63"/>
        <v/>
      </c>
      <c r="AD102" s="748" t="str">
        <f t="shared" si="64"/>
        <v/>
      </c>
      <c r="AE102" s="749" t="str">
        <f t="shared" si="65"/>
        <v/>
      </c>
      <c r="AF102" s="745"/>
      <c r="AG102" s="746"/>
      <c r="AH102" s="747" t="s">
        <v>125</v>
      </c>
      <c r="AI102" s="748" t="s">
        <v>125</v>
      </c>
      <c r="AJ102" s="750" t="s">
        <v>125</v>
      </c>
      <c r="AK102" s="733">
        <f>AP102/AQ102</f>
        <v>1.1428571428571428</v>
      </c>
      <c r="AL102" s="734" t="s">
        <v>248</v>
      </c>
      <c r="AM102" s="734" t="s">
        <v>248</v>
      </c>
      <c r="AN102" s="744" t="str">
        <f t="shared" si="69"/>
        <v>kWh/ha</v>
      </c>
      <c r="AO102" s="746" t="s">
        <v>1575</v>
      </c>
      <c r="AP102" s="745">
        <v>4.4444444444444447E-4</v>
      </c>
      <c r="AQ102" s="746">
        <v>3.8888888888888892E-4</v>
      </c>
      <c r="AR102" s="747" t="str">
        <f t="shared" si="70"/>
        <v>kWh</v>
      </c>
      <c r="AS102" s="748" t="str">
        <f t="shared" si="71"/>
        <v>/</v>
      </c>
      <c r="AT102" s="749" t="str">
        <f t="shared" si="72"/>
        <v>kg</v>
      </c>
      <c r="AU102" s="745">
        <v>1.6</v>
      </c>
      <c r="AV102" s="746">
        <v>1.4</v>
      </c>
      <c r="AW102" s="747" t="s">
        <v>304</v>
      </c>
      <c r="AX102" s="748" t="s">
        <v>256</v>
      </c>
      <c r="AY102" s="750" t="s">
        <v>299</v>
      </c>
      <c r="AZ102" s="733" t="str">
        <f t="shared" si="73"/>
        <v/>
      </c>
      <c r="BA102" s="734" t="str">
        <f t="shared" si="74"/>
        <v/>
      </c>
      <c r="BB102" s="734" t="str">
        <f t="shared" si="75"/>
        <v/>
      </c>
      <c r="BC102" s="744" t="str">
        <f t="shared" si="76"/>
        <v/>
      </c>
      <c r="BD102" s="745" t="s">
        <v>125</v>
      </c>
      <c r="BE102" s="746" t="s">
        <v>125</v>
      </c>
      <c r="BF102" s="747" t="str">
        <f t="shared" si="77"/>
        <v/>
      </c>
      <c r="BG102" s="748" t="str">
        <f t="shared" si="78"/>
        <v/>
      </c>
      <c r="BH102" s="749" t="str">
        <f t="shared" si="79"/>
        <v/>
      </c>
      <c r="BI102" s="745"/>
      <c r="BJ102" s="746"/>
      <c r="BK102" s="747" t="s">
        <v>125</v>
      </c>
      <c r="BL102" s="748" t="s">
        <v>125</v>
      </c>
      <c r="BM102" s="750" t="s">
        <v>125</v>
      </c>
      <c r="BN102" s="1002" t="str">
        <f t="shared" si="54"/>
        <v/>
      </c>
      <c r="BO102" s="751" t="s">
        <v>125</v>
      </c>
      <c r="BP102" s="751" t="s">
        <v>125</v>
      </c>
      <c r="BQ102" s="744" t="str">
        <f t="shared" si="80"/>
        <v/>
      </c>
      <c r="BR102" s="755"/>
      <c r="BS102" s="756"/>
      <c r="BT102" s="755"/>
      <c r="BU102" s="756"/>
      <c r="BV102" s="755"/>
      <c r="BW102" s="757"/>
      <c r="BX102" s="755"/>
      <c r="BY102" s="756"/>
      <c r="BZ102" s="752" t="s">
        <v>125</v>
      </c>
      <c r="CA102" s="733"/>
      <c r="CB102" s="734"/>
      <c r="CC102" s="734"/>
      <c r="CD102" s="321"/>
    </row>
    <row r="103" spans="2:82" s="680" customFormat="1" x14ac:dyDescent="0.25">
      <c r="B103" s="729" t="str">
        <f t="shared" si="32"/>
        <v>plant-based</v>
      </c>
      <c r="C103" s="730" t="s">
        <v>491</v>
      </c>
      <c r="D103" s="730" t="s">
        <v>492</v>
      </c>
      <c r="E103" s="731" t="s">
        <v>264</v>
      </c>
      <c r="F103" s="680" t="s">
        <v>493</v>
      </c>
      <c r="G103" s="680" t="s">
        <v>293</v>
      </c>
      <c r="H103" s="680" t="s">
        <v>273</v>
      </c>
      <c r="I103" s="732" t="s">
        <v>251</v>
      </c>
      <c r="J103" s="730" t="s">
        <v>423</v>
      </c>
      <c r="K103" s="680" t="s">
        <v>424</v>
      </c>
      <c r="L103" s="732"/>
      <c r="M103" s="729" t="str">
        <f t="shared" si="58"/>
        <v>ha</v>
      </c>
      <c r="N103" s="733">
        <f>O103/P103</f>
        <v>0.54545454545454541</v>
      </c>
      <c r="O103" s="734">
        <f>1000*1.8</f>
        <v>1800</v>
      </c>
      <c r="P103" s="734">
        <f>1000*3.3</f>
        <v>3300</v>
      </c>
      <c r="Q103" s="321" t="s">
        <v>317</v>
      </c>
      <c r="R103" s="733"/>
      <c r="S103" s="734"/>
      <c r="T103" s="734"/>
      <c r="U103" s="321"/>
      <c r="V103" s="733" t="str">
        <f t="shared" si="59"/>
        <v/>
      </c>
      <c r="W103" s="734" t="str">
        <f t="shared" si="60"/>
        <v/>
      </c>
      <c r="X103" s="734" t="str">
        <f t="shared" si="61"/>
        <v/>
      </c>
      <c r="Y103" s="744" t="str">
        <f t="shared" si="62"/>
        <v/>
      </c>
      <c r="Z103" s="746"/>
      <c r="AA103" s="745" t="s">
        <v>125</v>
      </c>
      <c r="AB103" s="746" t="s">
        <v>125</v>
      </c>
      <c r="AC103" s="747" t="str">
        <f t="shared" si="63"/>
        <v/>
      </c>
      <c r="AD103" s="748" t="str">
        <f t="shared" si="64"/>
        <v/>
      </c>
      <c r="AE103" s="749" t="str">
        <f t="shared" si="65"/>
        <v/>
      </c>
      <c r="AF103" s="745"/>
      <c r="AG103" s="746"/>
      <c r="AH103" s="747" t="s">
        <v>125</v>
      </c>
      <c r="AI103" s="748" t="s">
        <v>125</v>
      </c>
      <c r="AJ103" s="750" t="s">
        <v>125</v>
      </c>
      <c r="AK103" s="733" t="str">
        <f t="shared" si="66"/>
        <v/>
      </c>
      <c r="AL103" s="734" t="str">
        <f t="shared" si="67"/>
        <v/>
      </c>
      <c r="AM103" s="734" t="str">
        <f t="shared" si="68"/>
        <v/>
      </c>
      <c r="AN103" s="744" t="str">
        <f t="shared" si="69"/>
        <v/>
      </c>
      <c r="AO103" s="746"/>
      <c r="AP103" s="745" t="s">
        <v>125</v>
      </c>
      <c r="AQ103" s="746" t="s">
        <v>125</v>
      </c>
      <c r="AR103" s="747" t="str">
        <f t="shared" si="70"/>
        <v/>
      </c>
      <c r="AS103" s="748" t="str">
        <f t="shared" si="71"/>
        <v/>
      </c>
      <c r="AT103" s="749" t="str">
        <f t="shared" si="72"/>
        <v/>
      </c>
      <c r="AU103" s="745"/>
      <c r="AV103" s="746"/>
      <c r="AW103" s="747" t="s">
        <v>125</v>
      </c>
      <c r="AX103" s="748" t="s">
        <v>125</v>
      </c>
      <c r="AY103" s="750" t="s">
        <v>125</v>
      </c>
      <c r="AZ103" s="733" t="str">
        <f t="shared" si="73"/>
        <v/>
      </c>
      <c r="BA103" s="734" t="str">
        <f t="shared" si="74"/>
        <v/>
      </c>
      <c r="BB103" s="734" t="str">
        <f t="shared" si="75"/>
        <v/>
      </c>
      <c r="BC103" s="744" t="str">
        <f t="shared" si="76"/>
        <v/>
      </c>
      <c r="BD103" s="745" t="s">
        <v>125</v>
      </c>
      <c r="BE103" s="746" t="s">
        <v>125</v>
      </c>
      <c r="BF103" s="747" t="str">
        <f t="shared" si="77"/>
        <v/>
      </c>
      <c r="BG103" s="748" t="str">
        <f t="shared" si="78"/>
        <v/>
      </c>
      <c r="BH103" s="749" t="str">
        <f t="shared" si="79"/>
        <v/>
      </c>
      <c r="BI103" s="745"/>
      <c r="BJ103" s="746"/>
      <c r="BK103" s="747" t="s">
        <v>125</v>
      </c>
      <c r="BL103" s="748" t="s">
        <v>125</v>
      </c>
      <c r="BM103" s="750" t="s">
        <v>125</v>
      </c>
      <c r="BN103" s="1002" t="str">
        <f t="shared" si="54"/>
        <v/>
      </c>
      <c r="BO103" s="751" t="s">
        <v>125</v>
      </c>
      <c r="BP103" s="751" t="s">
        <v>125</v>
      </c>
      <c r="BQ103" s="744" t="str">
        <f t="shared" si="80"/>
        <v/>
      </c>
      <c r="BR103" s="755"/>
      <c r="BS103" s="756"/>
      <c r="BT103" s="755"/>
      <c r="BU103" s="756"/>
      <c r="BV103" s="755"/>
      <c r="BW103" s="757"/>
      <c r="BX103" s="755"/>
      <c r="BY103" s="756"/>
      <c r="BZ103" s="752" t="s">
        <v>125</v>
      </c>
      <c r="CA103" s="733"/>
      <c r="CB103" s="734"/>
      <c r="CC103" s="734"/>
      <c r="CD103" s="321"/>
    </row>
    <row r="104" spans="2:82" s="680" customFormat="1" x14ac:dyDescent="0.25">
      <c r="B104" s="765" t="str">
        <f t="shared" si="32"/>
        <v>plant-based</v>
      </c>
      <c r="C104" s="766" t="s">
        <v>491</v>
      </c>
      <c r="D104" s="766" t="s">
        <v>492</v>
      </c>
      <c r="E104" s="767" t="s">
        <v>264</v>
      </c>
      <c r="F104" s="768" t="s">
        <v>494</v>
      </c>
      <c r="G104" s="768" t="s">
        <v>293</v>
      </c>
      <c r="H104" s="768" t="s">
        <v>273</v>
      </c>
      <c r="I104" s="769" t="s">
        <v>251</v>
      </c>
      <c r="J104" s="766" t="s">
        <v>392</v>
      </c>
      <c r="K104" s="768" t="s">
        <v>397</v>
      </c>
      <c r="L104" s="769"/>
      <c r="M104" s="765" t="str">
        <f t="shared" si="58"/>
        <v>ha</v>
      </c>
      <c r="N104" s="770">
        <f>O104/P104</f>
        <v>0.53246753246753242</v>
      </c>
      <c r="O104" s="771">
        <f>1000*4.1</f>
        <v>4100</v>
      </c>
      <c r="P104" s="771">
        <f>1000*7.7</f>
        <v>7700</v>
      </c>
      <c r="Q104" s="772" t="s">
        <v>317</v>
      </c>
      <c r="R104" s="770"/>
      <c r="S104" s="771"/>
      <c r="T104" s="771"/>
      <c r="U104" s="772"/>
      <c r="V104" s="770" t="str">
        <f t="shared" si="59"/>
        <v/>
      </c>
      <c r="W104" s="771" t="str">
        <f t="shared" si="60"/>
        <v/>
      </c>
      <c r="X104" s="771" t="str">
        <f t="shared" si="61"/>
        <v/>
      </c>
      <c r="Y104" s="773" t="str">
        <f t="shared" si="62"/>
        <v/>
      </c>
      <c r="Z104" s="775"/>
      <c r="AA104" s="774" t="s">
        <v>125</v>
      </c>
      <c r="AB104" s="775" t="s">
        <v>125</v>
      </c>
      <c r="AC104" s="776" t="str">
        <f t="shared" si="63"/>
        <v/>
      </c>
      <c r="AD104" s="777" t="str">
        <f t="shared" si="64"/>
        <v/>
      </c>
      <c r="AE104" s="778" t="str">
        <f t="shared" si="65"/>
        <v/>
      </c>
      <c r="AF104" s="774"/>
      <c r="AG104" s="775"/>
      <c r="AH104" s="776" t="s">
        <v>125</v>
      </c>
      <c r="AI104" s="777" t="s">
        <v>125</v>
      </c>
      <c r="AJ104" s="779" t="s">
        <v>125</v>
      </c>
      <c r="AK104" s="770">
        <f>AP104/AQ104</f>
        <v>0.83333333333333337</v>
      </c>
      <c r="AL104" s="771" t="s">
        <v>248</v>
      </c>
      <c r="AM104" s="771" t="s">
        <v>248</v>
      </c>
      <c r="AN104" s="773" t="str">
        <f t="shared" si="69"/>
        <v>kWh/ha</v>
      </c>
      <c r="AO104" s="775" t="s">
        <v>1575</v>
      </c>
      <c r="AP104" s="774">
        <v>0.55555555555555558</v>
      </c>
      <c r="AQ104" s="775">
        <v>0.66666666666666663</v>
      </c>
      <c r="AR104" s="776" t="str">
        <f t="shared" si="70"/>
        <v>kWh</v>
      </c>
      <c r="AS104" s="777" t="str">
        <f t="shared" si="71"/>
        <v>/</v>
      </c>
      <c r="AT104" s="778" t="str">
        <f t="shared" si="72"/>
        <v>kg</v>
      </c>
      <c r="AU104" s="774">
        <v>2</v>
      </c>
      <c r="AV104" s="775">
        <v>2.4</v>
      </c>
      <c r="AW104" s="776" t="s">
        <v>298</v>
      </c>
      <c r="AX104" s="777" t="s">
        <v>256</v>
      </c>
      <c r="AY104" s="779" t="s">
        <v>299</v>
      </c>
      <c r="AZ104" s="770" t="str">
        <f t="shared" si="73"/>
        <v/>
      </c>
      <c r="BA104" s="771" t="str">
        <f t="shared" si="74"/>
        <v/>
      </c>
      <c r="BB104" s="771" t="str">
        <f t="shared" si="75"/>
        <v/>
      </c>
      <c r="BC104" s="773" t="str">
        <f t="shared" si="76"/>
        <v/>
      </c>
      <c r="BD104" s="774" t="s">
        <v>125</v>
      </c>
      <c r="BE104" s="775" t="s">
        <v>125</v>
      </c>
      <c r="BF104" s="776" t="str">
        <f t="shared" si="77"/>
        <v/>
      </c>
      <c r="BG104" s="777" t="str">
        <f t="shared" si="78"/>
        <v/>
      </c>
      <c r="BH104" s="778" t="str">
        <f t="shared" si="79"/>
        <v/>
      </c>
      <c r="BI104" s="774"/>
      <c r="BJ104" s="775"/>
      <c r="BK104" s="776" t="s">
        <v>125</v>
      </c>
      <c r="BL104" s="777" t="s">
        <v>125</v>
      </c>
      <c r="BM104" s="779" t="s">
        <v>125</v>
      </c>
      <c r="BN104" s="1004" t="str">
        <f t="shared" si="54"/>
        <v/>
      </c>
      <c r="BO104" s="780" t="s">
        <v>125</v>
      </c>
      <c r="BP104" s="780" t="s">
        <v>125</v>
      </c>
      <c r="BQ104" s="773" t="str">
        <f t="shared" si="80"/>
        <v/>
      </c>
      <c r="BR104" s="781"/>
      <c r="BS104" s="782"/>
      <c r="BT104" s="781"/>
      <c r="BU104" s="782"/>
      <c r="BV104" s="781"/>
      <c r="BW104" s="783"/>
      <c r="BX104" s="781"/>
      <c r="BY104" s="782"/>
      <c r="BZ104" s="784" t="s">
        <v>125</v>
      </c>
      <c r="CA104" s="770"/>
      <c r="CB104" s="771"/>
      <c r="CC104" s="771"/>
      <c r="CD104" s="772"/>
    </row>
    <row r="105" spans="2:82" x14ac:dyDescent="0.25">
      <c r="Q105" s="684"/>
      <c r="W105" s="682"/>
      <c r="X105" s="682"/>
      <c r="Y105" s="682"/>
      <c r="Z105" s="682"/>
      <c r="AA105" s="682"/>
      <c r="AB105" s="682"/>
      <c r="AF105" s="682"/>
      <c r="AG105" s="682"/>
      <c r="AL105" s="682"/>
      <c r="AM105" s="682"/>
      <c r="AN105" s="682"/>
      <c r="AO105" s="682"/>
      <c r="AP105" s="682"/>
      <c r="AQ105" s="682"/>
      <c r="BA105" s="682"/>
      <c r="BB105" s="682"/>
      <c r="BC105" s="682"/>
      <c r="BD105" s="682"/>
      <c r="BE105" s="682"/>
    </row>
    <row r="106" spans="2:82" x14ac:dyDescent="0.25">
      <c r="Q106" s="684"/>
      <c r="W106" s="682"/>
      <c r="X106" s="682"/>
      <c r="Y106" s="682"/>
      <c r="Z106" s="682"/>
      <c r="AA106" s="682"/>
      <c r="AB106" s="682"/>
      <c r="AF106" s="682"/>
      <c r="AG106" s="682"/>
      <c r="AL106" s="682"/>
      <c r="AM106" s="682"/>
      <c r="AN106" s="682"/>
      <c r="AO106" s="682"/>
      <c r="AP106" s="682"/>
      <c r="AQ106" s="682"/>
      <c r="BA106" s="682"/>
      <c r="BB106" s="682"/>
      <c r="BC106" s="682"/>
      <c r="BD106" s="682"/>
      <c r="BE106" s="682"/>
    </row>
  </sheetData>
  <autoFilter ref="B8:CD104" xr:uid="{EA4D3476-85D4-4659-8B39-E7DEC82C1AAC}"/>
  <pageMargins left="0.7" right="0.7" top="0.75" bottom="0.75" header="0.3" footer="0.3"/>
  <pageSetup paperSize="9" orientation="portrait" horizontalDpi="1200" verticalDpi="12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3A08-B7F4-4743-B9D6-FC47B2B1DA1D}">
  <dimension ref="A2:BV101"/>
  <sheetViews>
    <sheetView zoomScaleNormal="100" workbookViewId="0"/>
  </sheetViews>
  <sheetFormatPr baseColWidth="10" defaultColWidth="11.28515625" defaultRowHeight="15" x14ac:dyDescent="0.25"/>
  <cols>
    <col min="1" max="1" width="3.7109375" style="1" customWidth="1"/>
    <col min="2" max="2" width="31.7109375" style="1" bestFit="1" customWidth="1"/>
    <col min="3" max="3" width="19" style="1" customWidth="1"/>
    <col min="4" max="4" width="12.28515625" style="1" customWidth="1"/>
    <col min="5" max="5" width="11.28515625" style="215" customWidth="1"/>
    <col min="6" max="6" width="11.7109375" style="215" customWidth="1"/>
    <col min="7" max="7" width="10.7109375" style="1" customWidth="1"/>
    <col min="8" max="8" width="12.140625" style="216" customWidth="1"/>
    <col min="9" max="9" width="22.7109375" style="1" customWidth="1"/>
    <col min="10" max="10" width="19.28515625" style="1" customWidth="1"/>
    <col min="11" max="14" width="12.140625" style="215" customWidth="1"/>
    <col min="15" max="16" width="12.140625" style="1" customWidth="1"/>
    <col min="17" max="17" width="18.7109375" style="1" customWidth="1"/>
    <col min="18" max="26" width="11.28515625" style="1" customWidth="1"/>
    <col min="27" max="16384" width="11.28515625" style="1"/>
  </cols>
  <sheetData>
    <row r="2" spans="1:74" x14ac:dyDescent="0.25">
      <c r="B2" s="217" t="s">
        <v>608</v>
      </c>
    </row>
    <row r="3" spans="1:74" s="682" customFormat="1" x14ac:dyDescent="0.25">
      <c r="B3" s="1" t="s">
        <v>614</v>
      </c>
      <c r="K3" s="684"/>
      <c r="O3" s="684"/>
      <c r="S3" s="685"/>
      <c r="T3" s="686"/>
      <c r="U3" s="686"/>
      <c r="V3" s="686"/>
      <c r="W3" s="686"/>
      <c r="X3" s="686"/>
      <c r="Y3" s="687"/>
      <c r="Z3" s="687"/>
      <c r="AA3" s="688"/>
      <c r="AB3" s="686"/>
      <c r="AC3" s="686"/>
      <c r="AD3" s="687"/>
      <c r="AE3" s="687"/>
      <c r="AF3" s="688"/>
      <c r="AG3" s="684"/>
      <c r="AH3" s="686"/>
      <c r="AI3" s="686"/>
      <c r="AJ3" s="686"/>
      <c r="AK3" s="686"/>
      <c r="AL3" s="686"/>
      <c r="AM3" s="687"/>
      <c r="AN3" s="687"/>
      <c r="AO3" s="688"/>
      <c r="AR3" s="687"/>
      <c r="AS3" s="687"/>
      <c r="AT3" s="688"/>
      <c r="AU3" s="684"/>
      <c r="AV3" s="686"/>
      <c r="AW3" s="686"/>
      <c r="AX3" s="686"/>
      <c r="AY3" s="686"/>
      <c r="AZ3" s="686"/>
      <c r="BA3" s="687"/>
      <c r="BB3" s="687"/>
      <c r="BC3" s="688"/>
      <c r="BF3" s="687"/>
      <c r="BG3" s="687"/>
      <c r="BH3" s="688"/>
      <c r="BI3" s="687"/>
      <c r="BJ3" s="687"/>
      <c r="BK3" s="687"/>
      <c r="BM3" s="689"/>
      <c r="BN3" s="689"/>
      <c r="BO3" s="689"/>
      <c r="BP3" s="689"/>
      <c r="BQ3" s="689"/>
      <c r="BR3" s="690"/>
      <c r="BS3" s="689"/>
      <c r="BT3" s="689"/>
      <c r="BV3" s="684"/>
    </row>
    <row r="4" spans="1:74" s="682" customFormat="1" x14ac:dyDescent="0.25">
      <c r="B4" s="1" t="s">
        <v>1479</v>
      </c>
      <c r="K4" s="684"/>
      <c r="O4" s="684"/>
      <c r="S4" s="685"/>
      <c r="T4" s="686"/>
      <c r="U4" s="686"/>
      <c r="V4" s="686"/>
      <c r="W4" s="686"/>
      <c r="X4" s="686"/>
      <c r="Y4" s="687"/>
      <c r="Z4" s="687"/>
      <c r="AA4" s="688"/>
      <c r="AB4" s="686"/>
      <c r="AC4" s="686"/>
      <c r="AD4" s="687"/>
      <c r="AE4" s="687"/>
      <c r="AF4" s="688"/>
      <c r="AG4" s="684"/>
      <c r="AH4" s="686"/>
      <c r="AI4" s="686"/>
      <c r="AJ4" s="686"/>
      <c r="AK4" s="686"/>
      <c r="AL4" s="686"/>
      <c r="AM4" s="687"/>
      <c r="AN4" s="687"/>
      <c r="AO4" s="688"/>
      <c r="AR4" s="687"/>
      <c r="AS4" s="687"/>
      <c r="AT4" s="688"/>
      <c r="AU4" s="684"/>
      <c r="AV4" s="686"/>
      <c r="AW4" s="686"/>
      <c r="AX4" s="686"/>
      <c r="AY4" s="686"/>
      <c r="AZ4" s="686"/>
      <c r="BA4" s="687"/>
      <c r="BB4" s="687"/>
      <c r="BC4" s="688"/>
      <c r="BF4" s="687"/>
      <c r="BG4" s="687"/>
      <c r="BH4" s="688"/>
      <c r="BI4" s="687"/>
      <c r="BJ4" s="687"/>
      <c r="BK4" s="687"/>
      <c r="BM4" s="689"/>
      <c r="BN4" s="689"/>
      <c r="BO4" s="689"/>
      <c r="BP4" s="689"/>
      <c r="BQ4" s="689"/>
      <c r="BR4" s="690"/>
      <c r="BS4" s="689"/>
      <c r="BT4" s="689"/>
      <c r="BV4" s="684"/>
    </row>
    <row r="5" spans="1:74" s="682" customFormat="1" x14ac:dyDescent="0.25">
      <c r="B5" s="1" t="s">
        <v>1480</v>
      </c>
      <c r="K5" s="684"/>
      <c r="O5" s="684"/>
      <c r="S5" s="685"/>
      <c r="T5" s="686"/>
      <c r="U5" s="686"/>
      <c r="V5" s="686"/>
      <c r="W5" s="686"/>
      <c r="X5" s="686"/>
      <c r="Y5" s="687"/>
      <c r="Z5" s="687"/>
      <c r="AA5" s="688"/>
      <c r="AB5" s="686"/>
      <c r="AC5" s="686"/>
      <c r="AD5" s="687"/>
      <c r="AE5" s="687"/>
      <c r="AF5" s="688"/>
      <c r="AG5" s="684"/>
      <c r="AH5" s="686"/>
      <c r="AI5" s="686"/>
      <c r="AJ5" s="686"/>
      <c r="AK5" s="686"/>
      <c r="AL5" s="686"/>
      <c r="AM5" s="687"/>
      <c r="AN5" s="687"/>
      <c r="AO5" s="688"/>
      <c r="AR5" s="687"/>
      <c r="AS5" s="687"/>
      <c r="AT5" s="688"/>
      <c r="AU5" s="684"/>
      <c r="AV5" s="686"/>
      <c r="AW5" s="686"/>
      <c r="AX5" s="686"/>
      <c r="AY5" s="686"/>
      <c r="AZ5" s="686"/>
      <c r="BA5" s="687"/>
      <c r="BB5" s="687"/>
      <c r="BC5" s="688"/>
      <c r="BF5" s="687"/>
      <c r="BG5" s="687"/>
      <c r="BH5" s="688"/>
      <c r="BI5" s="687"/>
      <c r="BJ5" s="687"/>
      <c r="BK5" s="687"/>
      <c r="BM5" s="689"/>
      <c r="BN5" s="689"/>
      <c r="BO5" s="689"/>
      <c r="BP5" s="689"/>
      <c r="BQ5" s="689"/>
      <c r="BR5" s="690"/>
      <c r="BS5" s="689"/>
      <c r="BT5" s="689"/>
      <c r="BV5" s="684"/>
    </row>
    <row r="6" spans="1:74" s="682" customFormat="1" x14ac:dyDescent="0.25">
      <c r="B6" s="1" t="s">
        <v>1483</v>
      </c>
      <c r="K6" s="684"/>
      <c r="O6" s="684"/>
      <c r="S6" s="685"/>
      <c r="T6" s="686"/>
      <c r="U6" s="686"/>
      <c r="V6" s="686"/>
      <c r="W6" s="686"/>
      <c r="X6" s="686"/>
      <c r="Y6" s="687"/>
      <c r="Z6" s="687"/>
      <c r="AA6" s="688"/>
      <c r="AB6" s="686"/>
      <c r="AC6" s="686"/>
      <c r="AD6" s="687"/>
      <c r="AE6" s="687"/>
      <c r="AF6" s="688"/>
      <c r="AG6" s="684"/>
      <c r="AH6" s="686"/>
      <c r="AI6" s="686"/>
      <c r="AJ6" s="686"/>
      <c r="AK6" s="686"/>
      <c r="AL6" s="686"/>
      <c r="AM6" s="687"/>
      <c r="AN6" s="687"/>
      <c r="AO6" s="688"/>
      <c r="AR6" s="687"/>
      <c r="AS6" s="687"/>
      <c r="AT6" s="688"/>
      <c r="AU6" s="684"/>
      <c r="AV6" s="686"/>
      <c r="AW6" s="686"/>
      <c r="AX6" s="686"/>
      <c r="AY6" s="686"/>
      <c r="AZ6" s="686"/>
      <c r="BA6" s="687"/>
      <c r="BB6" s="687"/>
      <c r="BC6" s="688"/>
      <c r="BF6" s="687"/>
      <c r="BG6" s="687"/>
      <c r="BH6" s="688"/>
      <c r="BI6" s="687"/>
      <c r="BJ6" s="687"/>
      <c r="BK6" s="687"/>
      <c r="BM6" s="689"/>
      <c r="BN6" s="689"/>
      <c r="BO6" s="689"/>
      <c r="BP6" s="689"/>
      <c r="BQ6" s="689"/>
      <c r="BR6" s="690"/>
      <c r="BS6" s="689"/>
      <c r="BT6" s="689"/>
      <c r="BV6" s="684"/>
    </row>
    <row r="7" spans="1:74" s="682" customFormat="1" x14ac:dyDescent="0.25">
      <c r="B7" s="1"/>
      <c r="K7" s="684"/>
      <c r="O7" s="684"/>
      <c r="S7" s="685"/>
      <c r="T7" s="686"/>
      <c r="U7" s="686"/>
      <c r="V7" s="686"/>
      <c r="W7" s="686"/>
      <c r="X7" s="686"/>
      <c r="Y7" s="687"/>
      <c r="Z7" s="687"/>
      <c r="AA7" s="688"/>
      <c r="AB7" s="686"/>
      <c r="AC7" s="686"/>
      <c r="AD7" s="687"/>
      <c r="AE7" s="687"/>
      <c r="AF7" s="688"/>
      <c r="AG7" s="684"/>
      <c r="AH7" s="686"/>
      <c r="AI7" s="686"/>
      <c r="AJ7" s="686"/>
      <c r="AK7" s="686"/>
      <c r="AL7" s="686"/>
      <c r="AM7" s="687"/>
      <c r="AN7" s="687"/>
      <c r="AO7" s="688"/>
      <c r="AR7" s="687"/>
      <c r="AS7" s="687"/>
      <c r="AT7" s="688"/>
      <c r="AU7" s="684"/>
      <c r="AV7" s="686"/>
      <c r="AW7" s="686"/>
      <c r="AX7" s="686"/>
      <c r="AY7" s="686"/>
      <c r="AZ7" s="686"/>
      <c r="BA7" s="687"/>
      <c r="BB7" s="687"/>
      <c r="BC7" s="688"/>
      <c r="BF7" s="687"/>
      <c r="BG7" s="687"/>
      <c r="BH7" s="688"/>
      <c r="BI7" s="687"/>
      <c r="BJ7" s="687"/>
      <c r="BK7" s="687"/>
      <c r="BM7" s="689"/>
      <c r="BN7" s="689"/>
      <c r="BO7" s="689"/>
      <c r="BP7" s="689"/>
      <c r="BQ7" s="689"/>
      <c r="BR7" s="690"/>
      <c r="BS7" s="689"/>
      <c r="BT7" s="689"/>
      <c r="BV7" s="684"/>
    </row>
    <row r="8" spans="1:74" s="676" customFormat="1" ht="18.75" customHeight="1" x14ac:dyDescent="0.25">
      <c r="A8" s="1199"/>
      <c r="B8" s="674"/>
      <c r="C8" s="674"/>
      <c r="D8" s="674"/>
      <c r="E8" s="1338" t="s">
        <v>512</v>
      </c>
      <c r="F8" s="1338"/>
      <c r="G8" s="1338"/>
      <c r="H8" s="675"/>
      <c r="I8" s="1336" t="s">
        <v>513</v>
      </c>
      <c r="J8" s="1336" t="s">
        <v>514</v>
      </c>
      <c r="K8" s="1336" t="s">
        <v>515</v>
      </c>
      <c r="L8" s="1336" t="s">
        <v>516</v>
      </c>
      <c r="M8" s="1336" t="s">
        <v>517</v>
      </c>
      <c r="N8" s="1336" t="s">
        <v>518</v>
      </c>
      <c r="O8" s="675"/>
      <c r="P8" s="675"/>
    </row>
    <row r="9" spans="1:74" s="819" customFormat="1" ht="30" x14ac:dyDescent="0.25">
      <c r="A9" s="1200"/>
      <c r="B9" s="816" t="s">
        <v>519</v>
      </c>
      <c r="C9" s="816" t="s">
        <v>520</v>
      </c>
      <c r="D9" s="816" t="s">
        <v>235</v>
      </c>
      <c r="E9" s="816" t="s">
        <v>521</v>
      </c>
      <c r="F9" s="816" t="s">
        <v>522</v>
      </c>
      <c r="G9" s="816" t="s">
        <v>523</v>
      </c>
      <c r="H9" s="817" t="s">
        <v>524</v>
      </c>
      <c r="I9" s="1337"/>
      <c r="J9" s="1337"/>
      <c r="K9" s="1337"/>
      <c r="L9" s="1337"/>
      <c r="M9" s="1337"/>
      <c r="N9" s="1337"/>
      <c r="O9" s="818" t="s">
        <v>525</v>
      </c>
      <c r="P9" s="818" t="s">
        <v>526</v>
      </c>
      <c r="Q9" s="818" t="s">
        <v>527</v>
      </c>
    </row>
    <row r="10" spans="1:74" s="323" customFormat="1" x14ac:dyDescent="0.25">
      <c r="B10" s="323" t="s">
        <v>380</v>
      </c>
      <c r="C10" s="323" t="s">
        <v>528</v>
      </c>
      <c r="D10" s="323" t="s">
        <v>383</v>
      </c>
      <c r="E10" s="820">
        <v>3.13</v>
      </c>
      <c r="F10" s="820">
        <v>2.8</v>
      </c>
      <c r="G10" s="680" t="s">
        <v>387</v>
      </c>
      <c r="H10" s="677">
        <f>E10/F10</f>
        <v>1.1178571428571429</v>
      </c>
      <c r="I10" s="821" t="s">
        <v>529</v>
      </c>
      <c r="J10" s="821" t="s">
        <v>248</v>
      </c>
      <c r="K10" s="820">
        <v>6</v>
      </c>
      <c r="L10" s="820">
        <v>3.5</v>
      </c>
      <c r="M10" s="678">
        <v>1</v>
      </c>
      <c r="N10" s="678">
        <v>2008</v>
      </c>
      <c r="O10" s="821" t="s">
        <v>530</v>
      </c>
      <c r="P10" s="821"/>
      <c r="Q10" s="323" t="s">
        <v>531</v>
      </c>
      <c r="Z10" s="323" t="s">
        <v>125</v>
      </c>
    </row>
    <row r="11" spans="1:74" s="323" customFormat="1" x14ac:dyDescent="0.25">
      <c r="B11" s="323" t="s">
        <v>380</v>
      </c>
      <c r="C11" s="323" t="s">
        <v>532</v>
      </c>
      <c r="D11" s="323" t="s">
        <v>383</v>
      </c>
      <c r="E11" s="820">
        <v>1.52</v>
      </c>
      <c r="F11" s="820">
        <v>1.1499999999999999</v>
      </c>
      <c r="G11" s="680" t="s">
        <v>387</v>
      </c>
      <c r="H11" s="677">
        <f>E11/F11</f>
        <v>1.3217391304347827</v>
      </c>
      <c r="I11" s="821" t="s">
        <v>529</v>
      </c>
      <c r="J11" s="821" t="s">
        <v>248</v>
      </c>
      <c r="K11" s="820">
        <v>9.5</v>
      </c>
      <c r="L11" s="820">
        <v>2.6</v>
      </c>
      <c r="M11" s="678">
        <v>1</v>
      </c>
      <c r="N11" s="678">
        <v>2008</v>
      </c>
      <c r="O11" s="821" t="s">
        <v>530</v>
      </c>
      <c r="P11" s="821"/>
      <c r="Q11" s="323" t="s">
        <v>531</v>
      </c>
      <c r="Z11" s="323" t="s">
        <v>125</v>
      </c>
    </row>
    <row r="12" spans="1:74" s="323" customFormat="1" x14ac:dyDescent="0.25">
      <c r="B12" s="323" t="s">
        <v>388</v>
      </c>
      <c r="C12" s="323" t="s">
        <v>392</v>
      </c>
      <c r="D12" s="323" t="s">
        <v>391</v>
      </c>
      <c r="E12" s="678">
        <v>1680</v>
      </c>
      <c r="F12" s="678">
        <v>2540</v>
      </c>
      <c r="G12" s="323" t="s">
        <v>317</v>
      </c>
      <c r="H12" s="679">
        <f t="shared" ref="H12:H30" si="0">E12/F12</f>
        <v>0.66141732283464572</v>
      </c>
      <c r="I12" s="821" t="s">
        <v>533</v>
      </c>
      <c r="J12" s="821" t="s">
        <v>534</v>
      </c>
      <c r="K12" s="822" t="s">
        <v>248</v>
      </c>
      <c r="L12" s="822" t="s">
        <v>248</v>
      </c>
      <c r="M12" s="678" t="s">
        <v>248</v>
      </c>
      <c r="N12" s="678">
        <v>2006</v>
      </c>
      <c r="O12" s="821" t="s">
        <v>530</v>
      </c>
      <c r="P12" s="821"/>
      <c r="Q12" s="323" t="s">
        <v>535</v>
      </c>
      <c r="Z12" s="323" t="s">
        <v>125</v>
      </c>
    </row>
    <row r="13" spans="1:74" s="323" customFormat="1" x14ac:dyDescent="0.25">
      <c r="B13" s="323" t="s">
        <v>388</v>
      </c>
      <c r="C13" s="323" t="s">
        <v>384</v>
      </c>
      <c r="D13" s="323" t="s">
        <v>391</v>
      </c>
      <c r="E13" s="678">
        <v>1130</v>
      </c>
      <c r="F13" s="678">
        <v>1990</v>
      </c>
      <c r="G13" s="323" t="s">
        <v>317</v>
      </c>
      <c r="H13" s="679">
        <f t="shared" si="0"/>
        <v>0.56783919597989951</v>
      </c>
      <c r="I13" s="821" t="s">
        <v>533</v>
      </c>
      <c r="J13" s="821" t="s">
        <v>534</v>
      </c>
      <c r="K13" s="822" t="s">
        <v>248</v>
      </c>
      <c r="L13" s="822" t="s">
        <v>248</v>
      </c>
      <c r="M13" s="678" t="s">
        <v>248</v>
      </c>
      <c r="N13" s="678">
        <v>2007</v>
      </c>
      <c r="O13" s="821" t="s">
        <v>530</v>
      </c>
      <c r="P13" s="821"/>
      <c r="Q13" s="323" t="s">
        <v>535</v>
      </c>
      <c r="Z13" s="323" t="s">
        <v>125</v>
      </c>
    </row>
    <row r="14" spans="1:74" s="323" customFormat="1" x14ac:dyDescent="0.25">
      <c r="B14" s="680" t="s">
        <v>394</v>
      </c>
      <c r="C14" s="680" t="s">
        <v>397</v>
      </c>
      <c r="D14" s="680" t="s">
        <v>249</v>
      </c>
      <c r="E14" s="678">
        <f>(3.73+3.59)/2</f>
        <v>3.66</v>
      </c>
      <c r="F14" s="678">
        <v>6.15</v>
      </c>
      <c r="G14" s="680" t="s">
        <v>387</v>
      </c>
      <c r="H14" s="679">
        <f t="shared" si="0"/>
        <v>0.59512195121951217</v>
      </c>
      <c r="I14" s="821" t="s">
        <v>536</v>
      </c>
      <c r="J14" s="821" t="s">
        <v>537</v>
      </c>
      <c r="K14" s="822" t="s">
        <v>248</v>
      </c>
      <c r="L14" s="822" t="s">
        <v>248</v>
      </c>
      <c r="M14" s="678">
        <v>3</v>
      </c>
      <c r="N14" s="678" t="s">
        <v>538</v>
      </c>
      <c r="O14" s="821" t="s">
        <v>530</v>
      </c>
      <c r="P14" s="821"/>
      <c r="Q14" s="323" t="s">
        <v>539</v>
      </c>
    </row>
    <row r="15" spans="1:74" s="323" customFormat="1" x14ac:dyDescent="0.25">
      <c r="B15" s="323" t="s">
        <v>262</v>
      </c>
      <c r="C15" s="323" t="s">
        <v>399</v>
      </c>
      <c r="D15" s="323" t="s">
        <v>266</v>
      </c>
      <c r="E15" s="678">
        <v>3074</v>
      </c>
      <c r="F15" s="678">
        <v>5124</v>
      </c>
      <c r="G15" s="323" t="s">
        <v>317</v>
      </c>
      <c r="H15" s="679">
        <f t="shared" si="0"/>
        <v>0.59992193598750976</v>
      </c>
      <c r="I15" s="821" t="s">
        <v>540</v>
      </c>
      <c r="J15" s="821" t="s">
        <v>534</v>
      </c>
      <c r="K15" s="822" t="s">
        <v>248</v>
      </c>
      <c r="L15" s="822" t="s">
        <v>248</v>
      </c>
      <c r="M15" s="678">
        <v>5</v>
      </c>
      <c r="N15" s="678">
        <v>1996</v>
      </c>
      <c r="O15" s="821" t="s">
        <v>530</v>
      </c>
      <c r="P15" s="821"/>
      <c r="Q15" s="323" t="s">
        <v>541</v>
      </c>
      <c r="Z15" s="323" t="s">
        <v>125</v>
      </c>
    </row>
    <row r="16" spans="1:74" s="323" customFormat="1" x14ac:dyDescent="0.25">
      <c r="B16" s="323" t="s">
        <v>262</v>
      </c>
      <c r="C16" s="323" t="s">
        <v>402</v>
      </c>
      <c r="D16" s="323" t="s">
        <v>266</v>
      </c>
      <c r="E16" s="678">
        <v>5898</v>
      </c>
      <c r="F16" s="678">
        <v>6439</v>
      </c>
      <c r="G16" s="323" t="s">
        <v>317</v>
      </c>
      <c r="H16" s="679">
        <f t="shared" si="0"/>
        <v>0.91598074235129678</v>
      </c>
      <c r="I16" s="821" t="s">
        <v>540</v>
      </c>
      <c r="J16" s="821" t="s">
        <v>534</v>
      </c>
      <c r="K16" s="822" t="s">
        <v>248</v>
      </c>
      <c r="L16" s="822" t="s">
        <v>248</v>
      </c>
      <c r="M16" s="678">
        <v>5</v>
      </c>
      <c r="N16" s="678">
        <v>1996</v>
      </c>
      <c r="O16" s="821" t="s">
        <v>530</v>
      </c>
      <c r="P16" s="821"/>
      <c r="Q16" s="323" t="s">
        <v>541</v>
      </c>
      <c r="Z16" s="323" t="s">
        <v>125</v>
      </c>
    </row>
    <row r="17" spans="2:26" s="323" customFormat="1" x14ac:dyDescent="0.25">
      <c r="B17" s="323" t="s">
        <v>262</v>
      </c>
      <c r="C17" s="323" t="s">
        <v>397</v>
      </c>
      <c r="D17" s="323" t="s">
        <v>266</v>
      </c>
      <c r="E17" s="678">
        <v>3548</v>
      </c>
      <c r="F17" s="678">
        <v>5914</v>
      </c>
      <c r="G17" s="323" t="s">
        <v>317</v>
      </c>
      <c r="H17" s="679">
        <f t="shared" si="0"/>
        <v>0.59993236388231319</v>
      </c>
      <c r="I17" s="821" t="s">
        <v>540</v>
      </c>
      <c r="J17" s="821" t="s">
        <v>534</v>
      </c>
      <c r="K17" s="822" t="s">
        <v>248</v>
      </c>
      <c r="L17" s="822" t="s">
        <v>248</v>
      </c>
      <c r="M17" s="678">
        <v>5</v>
      </c>
      <c r="N17" s="678">
        <v>1996</v>
      </c>
      <c r="O17" s="821" t="s">
        <v>530</v>
      </c>
      <c r="P17" s="821"/>
      <c r="Q17" s="323" t="s">
        <v>541</v>
      </c>
      <c r="Z17" s="323" t="s">
        <v>125</v>
      </c>
    </row>
    <row r="18" spans="2:26" s="323" customFormat="1" x14ac:dyDescent="0.25">
      <c r="B18" s="323" t="s">
        <v>262</v>
      </c>
      <c r="C18" s="323" t="s">
        <v>404</v>
      </c>
      <c r="D18" s="323" t="s">
        <v>266</v>
      </c>
      <c r="E18" s="678">
        <v>2580</v>
      </c>
      <c r="F18" s="678">
        <v>4111</v>
      </c>
      <c r="G18" s="323" t="s">
        <v>317</v>
      </c>
      <c r="H18" s="679">
        <f t="shared" si="0"/>
        <v>0.62758452931160302</v>
      </c>
      <c r="I18" s="821" t="s">
        <v>540</v>
      </c>
      <c r="J18" s="821" t="s">
        <v>534</v>
      </c>
      <c r="K18" s="822" t="s">
        <v>248</v>
      </c>
      <c r="L18" s="822" t="s">
        <v>248</v>
      </c>
      <c r="M18" s="678">
        <v>5</v>
      </c>
      <c r="N18" s="678">
        <v>1996</v>
      </c>
      <c r="O18" s="821" t="s">
        <v>530</v>
      </c>
      <c r="P18" s="821"/>
      <c r="Q18" s="323" t="s">
        <v>541</v>
      </c>
      <c r="Z18" s="323" t="s">
        <v>125</v>
      </c>
    </row>
    <row r="19" spans="2:26" s="323" customFormat="1" x14ac:dyDescent="0.25">
      <c r="B19" s="323" t="s">
        <v>262</v>
      </c>
      <c r="C19" s="323" t="s">
        <v>406</v>
      </c>
      <c r="D19" s="323" t="s">
        <v>266</v>
      </c>
      <c r="E19" s="678">
        <v>2295</v>
      </c>
      <c r="F19" s="678">
        <v>2008</v>
      </c>
      <c r="G19" s="323" t="s">
        <v>317</v>
      </c>
      <c r="H19" s="679">
        <f t="shared" si="0"/>
        <v>1.1429282868525896</v>
      </c>
      <c r="I19" s="821" t="s">
        <v>540</v>
      </c>
      <c r="J19" s="821" t="s">
        <v>534</v>
      </c>
      <c r="K19" s="822" t="s">
        <v>248</v>
      </c>
      <c r="L19" s="822" t="s">
        <v>248</v>
      </c>
      <c r="M19" s="678">
        <v>5</v>
      </c>
      <c r="N19" s="678">
        <v>1996</v>
      </c>
      <c r="O19" s="821" t="s">
        <v>530</v>
      </c>
      <c r="P19" s="821"/>
      <c r="Q19" s="323" t="s">
        <v>541</v>
      </c>
      <c r="Z19" s="323" t="s">
        <v>125</v>
      </c>
    </row>
    <row r="20" spans="2:26" s="323" customFormat="1" x14ac:dyDescent="0.25">
      <c r="B20" s="323" t="s">
        <v>407</v>
      </c>
      <c r="C20" s="323" t="s">
        <v>399</v>
      </c>
      <c r="D20" s="323" t="s">
        <v>315</v>
      </c>
      <c r="E20" s="678">
        <v>2000</v>
      </c>
      <c r="F20" s="678">
        <v>2390</v>
      </c>
      <c r="G20" s="323" t="s">
        <v>317</v>
      </c>
      <c r="H20" s="679">
        <f t="shared" si="0"/>
        <v>0.83682008368200833</v>
      </c>
      <c r="I20" s="821" t="s">
        <v>536</v>
      </c>
      <c r="J20" s="821" t="s">
        <v>542</v>
      </c>
      <c r="K20" s="822">
        <v>50</v>
      </c>
      <c r="L20" s="822">
        <v>39</v>
      </c>
      <c r="M20" s="678">
        <v>1</v>
      </c>
      <c r="N20" s="678" t="s">
        <v>543</v>
      </c>
      <c r="O20" s="821" t="s">
        <v>530</v>
      </c>
      <c r="P20" s="821"/>
      <c r="Q20" s="323" t="s">
        <v>544</v>
      </c>
      <c r="Z20" s="323" t="s">
        <v>125</v>
      </c>
    </row>
    <row r="21" spans="2:26" s="323" customFormat="1" x14ac:dyDescent="0.25">
      <c r="B21" s="323" t="s">
        <v>407</v>
      </c>
      <c r="C21" s="323" t="s">
        <v>411</v>
      </c>
      <c r="D21" s="323" t="s">
        <v>315</v>
      </c>
      <c r="E21" s="678">
        <v>30160</v>
      </c>
      <c r="F21" s="678">
        <v>32520</v>
      </c>
      <c r="G21" s="323" t="s">
        <v>317</v>
      </c>
      <c r="H21" s="679">
        <f t="shared" si="0"/>
        <v>0.92742927429274291</v>
      </c>
      <c r="I21" s="821" t="s">
        <v>536</v>
      </c>
      <c r="J21" s="821" t="s">
        <v>542</v>
      </c>
      <c r="K21" s="822">
        <v>50</v>
      </c>
      <c r="L21" s="822">
        <v>39</v>
      </c>
      <c r="M21" s="678">
        <v>1</v>
      </c>
      <c r="N21" s="678" t="s">
        <v>543</v>
      </c>
      <c r="O21" s="821" t="s">
        <v>530</v>
      </c>
      <c r="P21" s="821"/>
      <c r="Q21" s="323" t="s">
        <v>544</v>
      </c>
      <c r="Z21" s="323" t="s">
        <v>125</v>
      </c>
    </row>
    <row r="22" spans="2:26" s="323" customFormat="1" x14ac:dyDescent="0.25">
      <c r="B22" s="323" t="s">
        <v>407</v>
      </c>
      <c r="C22" s="323" t="s">
        <v>414</v>
      </c>
      <c r="D22" s="323" t="s">
        <v>315</v>
      </c>
      <c r="E22" s="678">
        <v>4000</v>
      </c>
      <c r="F22" s="678">
        <v>3020</v>
      </c>
      <c r="G22" s="323" t="s">
        <v>317</v>
      </c>
      <c r="H22" s="679">
        <f>E22/F22</f>
        <v>1.3245033112582782</v>
      </c>
      <c r="I22" s="821" t="s">
        <v>536</v>
      </c>
      <c r="J22" s="821" t="s">
        <v>542</v>
      </c>
      <c r="K22" s="822">
        <v>50</v>
      </c>
      <c r="L22" s="822">
        <v>39</v>
      </c>
      <c r="M22" s="678">
        <v>1</v>
      </c>
      <c r="N22" s="678" t="s">
        <v>543</v>
      </c>
      <c r="O22" s="821" t="s">
        <v>530</v>
      </c>
      <c r="P22" s="821"/>
      <c r="Q22" s="323" t="s">
        <v>544</v>
      </c>
      <c r="Z22" s="323" t="s">
        <v>125</v>
      </c>
    </row>
    <row r="23" spans="2:26" s="323" customFormat="1" x14ac:dyDescent="0.25">
      <c r="B23" s="323" t="s">
        <v>415</v>
      </c>
      <c r="C23" s="323" t="s">
        <v>545</v>
      </c>
      <c r="D23" s="323" t="s">
        <v>272</v>
      </c>
      <c r="E23" s="678">
        <v>1.74</v>
      </c>
      <c r="F23" s="678">
        <v>2.48</v>
      </c>
      <c r="G23" s="323" t="s">
        <v>387</v>
      </c>
      <c r="H23" s="679">
        <f>E23/F23</f>
        <v>0.70161290322580649</v>
      </c>
      <c r="I23" s="821" t="s">
        <v>536</v>
      </c>
      <c r="J23" s="821" t="s">
        <v>537</v>
      </c>
      <c r="K23" s="822">
        <v>0.22</v>
      </c>
      <c r="L23" s="822">
        <v>0.22</v>
      </c>
      <c r="M23" s="678">
        <v>3</v>
      </c>
      <c r="N23" s="678">
        <v>2007</v>
      </c>
      <c r="O23" s="821" t="s">
        <v>530</v>
      </c>
      <c r="P23" s="821"/>
      <c r="Q23" s="323" t="s">
        <v>546</v>
      </c>
    </row>
    <row r="24" spans="2:26" s="323" customFormat="1" x14ac:dyDescent="0.25">
      <c r="B24" s="323" t="s">
        <v>313</v>
      </c>
      <c r="C24" s="323" t="s">
        <v>397</v>
      </c>
      <c r="D24" s="323" t="s">
        <v>315</v>
      </c>
      <c r="E24" s="678">
        <v>3215</v>
      </c>
      <c r="F24" s="678">
        <v>6100</v>
      </c>
      <c r="G24" s="323" t="s">
        <v>317</v>
      </c>
      <c r="H24" s="679">
        <f t="shared" si="0"/>
        <v>0.52704918032786885</v>
      </c>
      <c r="I24" s="821" t="s">
        <v>547</v>
      </c>
      <c r="J24" s="821" t="s">
        <v>248</v>
      </c>
      <c r="K24" s="822">
        <v>63</v>
      </c>
      <c r="L24" s="822">
        <f>(9*70+8*90)/17</f>
        <v>79.411764705882348</v>
      </c>
      <c r="M24" s="678" t="s">
        <v>248</v>
      </c>
      <c r="N24" s="678" t="s">
        <v>248</v>
      </c>
      <c r="O24" s="821"/>
      <c r="P24" s="821" t="s">
        <v>530</v>
      </c>
      <c r="Q24" s="323" t="s">
        <v>548</v>
      </c>
      <c r="Z24" s="323" t="s">
        <v>125</v>
      </c>
    </row>
    <row r="25" spans="2:26" s="323" customFormat="1" x14ac:dyDescent="0.25">
      <c r="B25" s="323" t="s">
        <v>313</v>
      </c>
      <c r="C25" s="323" t="s">
        <v>424</v>
      </c>
      <c r="D25" s="323" t="s">
        <v>315</v>
      </c>
      <c r="E25" s="678">
        <v>2000</v>
      </c>
      <c r="F25" s="678">
        <v>3200</v>
      </c>
      <c r="G25" s="323" t="s">
        <v>317</v>
      </c>
      <c r="H25" s="679">
        <f t="shared" si="0"/>
        <v>0.625</v>
      </c>
      <c r="I25" s="821" t="s">
        <v>248</v>
      </c>
      <c r="J25" s="821" t="s">
        <v>248</v>
      </c>
      <c r="K25" s="822">
        <v>64</v>
      </c>
      <c r="L25" s="822">
        <f>(9*70+8*90)/17</f>
        <v>79.411764705882348</v>
      </c>
      <c r="M25" s="678" t="s">
        <v>248</v>
      </c>
      <c r="N25" s="678" t="s">
        <v>248</v>
      </c>
      <c r="O25" s="821"/>
      <c r="P25" s="821" t="s">
        <v>530</v>
      </c>
      <c r="Q25" s="323" t="s">
        <v>549</v>
      </c>
      <c r="Z25" s="323" t="s">
        <v>125</v>
      </c>
    </row>
    <row r="26" spans="2:26" s="323" customFormat="1" x14ac:dyDescent="0.25">
      <c r="B26" s="323" t="s">
        <v>313</v>
      </c>
      <c r="C26" s="323" t="s">
        <v>420</v>
      </c>
      <c r="D26" s="323" t="s">
        <v>315</v>
      </c>
      <c r="E26" s="678">
        <v>3700</v>
      </c>
      <c r="F26" s="678">
        <v>4600</v>
      </c>
      <c r="G26" s="323" t="s">
        <v>317</v>
      </c>
      <c r="H26" s="679">
        <f t="shared" si="0"/>
        <v>0.80434782608695654</v>
      </c>
      <c r="I26" s="821" t="s">
        <v>248</v>
      </c>
      <c r="J26" s="821" t="s">
        <v>248</v>
      </c>
      <c r="K26" s="822">
        <v>66</v>
      </c>
      <c r="L26" s="822">
        <f>(9*70+8*90)/17</f>
        <v>79.411764705882348</v>
      </c>
      <c r="M26" s="678" t="s">
        <v>248</v>
      </c>
      <c r="N26" s="678" t="s">
        <v>248</v>
      </c>
      <c r="O26" s="821"/>
      <c r="P26" s="821" t="s">
        <v>530</v>
      </c>
      <c r="Q26" s="323" t="s">
        <v>550</v>
      </c>
      <c r="Z26" s="323" t="s">
        <v>125</v>
      </c>
    </row>
    <row r="27" spans="2:26" s="323" customFormat="1" x14ac:dyDescent="0.25">
      <c r="B27" s="323" t="s">
        <v>313</v>
      </c>
      <c r="C27" s="323" t="s">
        <v>406</v>
      </c>
      <c r="D27" s="323" t="s">
        <v>315</v>
      </c>
      <c r="E27" s="678">
        <v>1800</v>
      </c>
      <c r="F27" s="678">
        <v>2500</v>
      </c>
      <c r="G27" s="323" t="s">
        <v>317</v>
      </c>
      <c r="H27" s="679">
        <f t="shared" si="0"/>
        <v>0.72</v>
      </c>
      <c r="I27" s="821" t="s">
        <v>248</v>
      </c>
      <c r="J27" s="821" t="s">
        <v>248</v>
      </c>
      <c r="K27" s="822">
        <v>66</v>
      </c>
      <c r="L27" s="822">
        <f>(9*70+8*90)/17</f>
        <v>79.411764705882348</v>
      </c>
      <c r="M27" s="678" t="s">
        <v>248</v>
      </c>
      <c r="N27" s="678" t="s">
        <v>248</v>
      </c>
      <c r="O27" s="821"/>
      <c r="P27" s="821" t="s">
        <v>530</v>
      </c>
      <c r="Q27" s="323" t="s">
        <v>551</v>
      </c>
      <c r="Z27" s="323" t="s">
        <v>125</v>
      </c>
    </row>
    <row r="28" spans="2:26" s="323" customFormat="1" x14ac:dyDescent="0.25">
      <c r="B28" s="323" t="s">
        <v>326</v>
      </c>
      <c r="C28" s="323" t="s">
        <v>399</v>
      </c>
      <c r="D28" s="323" t="s">
        <v>291</v>
      </c>
      <c r="E28" s="678">
        <v>3323.3333333333335</v>
      </c>
      <c r="F28" s="678">
        <v>5091.25</v>
      </c>
      <c r="G28" s="323" t="s">
        <v>317</v>
      </c>
      <c r="H28" s="679">
        <f t="shared" si="0"/>
        <v>0.65275390784843279</v>
      </c>
      <c r="I28" s="821" t="s">
        <v>533</v>
      </c>
      <c r="J28" s="821" t="s">
        <v>537</v>
      </c>
      <c r="K28" s="822" t="s">
        <v>248</v>
      </c>
      <c r="L28" s="822" t="s">
        <v>248</v>
      </c>
      <c r="M28" s="678">
        <v>1</v>
      </c>
      <c r="N28" s="678">
        <v>1999</v>
      </c>
      <c r="O28" s="821" t="s">
        <v>530</v>
      </c>
      <c r="P28" s="821"/>
      <c r="Q28" s="323" t="s">
        <v>552</v>
      </c>
      <c r="Z28" s="323" t="s">
        <v>125</v>
      </c>
    </row>
    <row r="29" spans="2:26" s="323" customFormat="1" x14ac:dyDescent="0.25">
      <c r="B29" s="323" t="s">
        <v>326</v>
      </c>
      <c r="C29" s="323" t="s">
        <v>397</v>
      </c>
      <c r="D29" s="323" t="s">
        <v>291</v>
      </c>
      <c r="E29" s="678">
        <v>5410</v>
      </c>
      <c r="F29" s="678">
        <v>6372.5</v>
      </c>
      <c r="G29" s="323" t="s">
        <v>317</v>
      </c>
      <c r="H29" s="679">
        <f t="shared" si="0"/>
        <v>0.84896037661828172</v>
      </c>
      <c r="I29" s="821" t="s">
        <v>533</v>
      </c>
      <c r="J29" s="821" t="s">
        <v>537</v>
      </c>
      <c r="K29" s="822" t="s">
        <v>248</v>
      </c>
      <c r="L29" s="822" t="s">
        <v>248</v>
      </c>
      <c r="M29" s="678">
        <v>1</v>
      </c>
      <c r="N29" s="678">
        <v>1999</v>
      </c>
      <c r="O29" s="821" t="s">
        <v>530</v>
      </c>
      <c r="P29" s="821"/>
      <c r="Q29" s="323" t="s">
        <v>552</v>
      </c>
      <c r="Z29" s="323" t="s">
        <v>125</v>
      </c>
    </row>
    <row r="30" spans="2:26" s="323" customFormat="1" x14ac:dyDescent="0.25">
      <c r="B30" s="323" t="s">
        <v>326</v>
      </c>
      <c r="C30" s="323" t="s">
        <v>424</v>
      </c>
      <c r="D30" s="323" t="s">
        <v>291</v>
      </c>
      <c r="E30" s="678">
        <v>2250</v>
      </c>
      <c r="F30" s="678">
        <v>2590</v>
      </c>
      <c r="G30" s="323" t="s">
        <v>317</v>
      </c>
      <c r="H30" s="679">
        <f t="shared" si="0"/>
        <v>0.86872586872586877</v>
      </c>
      <c r="I30" s="821" t="s">
        <v>533</v>
      </c>
      <c r="J30" s="821" t="s">
        <v>537</v>
      </c>
      <c r="K30" s="822" t="s">
        <v>248</v>
      </c>
      <c r="L30" s="822" t="s">
        <v>248</v>
      </c>
      <c r="M30" s="678">
        <v>1</v>
      </c>
      <c r="N30" s="678">
        <v>1999</v>
      </c>
      <c r="O30" s="821" t="s">
        <v>530</v>
      </c>
      <c r="P30" s="821"/>
      <c r="Q30" s="323" t="s">
        <v>552</v>
      </c>
      <c r="Z30" s="323" t="s">
        <v>125</v>
      </c>
    </row>
    <row r="31" spans="2:26" s="323" customFormat="1" x14ac:dyDescent="0.25">
      <c r="B31" s="323" t="s">
        <v>429</v>
      </c>
      <c r="C31" s="323" t="s">
        <v>397</v>
      </c>
      <c r="D31" s="323" t="s">
        <v>291</v>
      </c>
      <c r="E31" s="678">
        <f>(4.56+5.26+2.33+5.39+4.13+4.59+2.8+5.07+3.06+2.25+0.86+3.26)/12</f>
        <v>3.6299999999999994</v>
      </c>
      <c r="F31" s="678">
        <f>(7.4+8.37+5.69)/3</f>
        <v>7.1533333333333333</v>
      </c>
      <c r="G31" s="323" t="s">
        <v>432</v>
      </c>
      <c r="H31" s="679">
        <f>E31/F31</f>
        <v>0.50745573159366253</v>
      </c>
      <c r="I31" s="821" t="s">
        <v>536</v>
      </c>
      <c r="J31" s="821" t="s">
        <v>534</v>
      </c>
      <c r="K31" s="822" t="s">
        <v>248</v>
      </c>
      <c r="L31" s="822" t="s">
        <v>248</v>
      </c>
      <c r="M31" s="678">
        <v>4</v>
      </c>
      <c r="N31" s="678">
        <v>2005</v>
      </c>
      <c r="O31" s="821" t="s">
        <v>530</v>
      </c>
      <c r="P31" s="821"/>
      <c r="Q31" s="323" t="s">
        <v>553</v>
      </c>
    </row>
    <row r="32" spans="2:26" s="323" customFormat="1" x14ac:dyDescent="0.25">
      <c r="B32" s="323" t="s">
        <v>429</v>
      </c>
      <c r="C32" s="323" t="s">
        <v>399</v>
      </c>
      <c r="D32" s="323" t="s">
        <v>291</v>
      </c>
      <c r="E32" s="678">
        <f>(3.93+5.02+3.88+4.97+3.01+3.56+2.44+3.66+3.23+4.26+2.4+4.67)/12</f>
        <v>3.7524999999999995</v>
      </c>
      <c r="F32" s="678">
        <f>(5.47+5.03+4.79)/3</f>
        <v>5.0966666666666667</v>
      </c>
      <c r="G32" s="323" t="s">
        <v>432</v>
      </c>
      <c r="H32" s="679">
        <f>E32/F32</f>
        <v>0.73626553302812281</v>
      </c>
      <c r="I32" s="821" t="s">
        <v>536</v>
      </c>
      <c r="J32" s="821" t="s">
        <v>534</v>
      </c>
      <c r="K32" s="822" t="s">
        <v>248</v>
      </c>
      <c r="L32" s="822" t="s">
        <v>248</v>
      </c>
      <c r="M32" s="678">
        <v>4</v>
      </c>
      <c r="N32" s="678">
        <v>2005</v>
      </c>
      <c r="O32" s="821" t="s">
        <v>530</v>
      </c>
      <c r="P32" s="821"/>
      <c r="Q32" s="323" t="s">
        <v>553</v>
      </c>
    </row>
    <row r="33" spans="2:26" s="323" customFormat="1" x14ac:dyDescent="0.25">
      <c r="B33" s="323" t="s">
        <v>433</v>
      </c>
      <c r="C33" s="323" t="s">
        <v>404</v>
      </c>
      <c r="D33" s="323" t="s">
        <v>436</v>
      </c>
      <c r="E33" s="678">
        <v>2040</v>
      </c>
      <c r="F33" s="678">
        <v>2367</v>
      </c>
      <c r="G33" s="323" t="s">
        <v>317</v>
      </c>
      <c r="H33" s="679">
        <f>E33/F33</f>
        <v>0.86185044359949303</v>
      </c>
      <c r="I33" s="821" t="s">
        <v>536</v>
      </c>
      <c r="J33" s="821" t="s">
        <v>534</v>
      </c>
      <c r="K33" s="822">
        <f>0.0112</f>
        <v>1.12E-2</v>
      </c>
      <c r="L33" s="822">
        <f>0.0112</f>
        <v>1.12E-2</v>
      </c>
      <c r="M33" s="678">
        <v>3</v>
      </c>
      <c r="N33" s="678">
        <v>2005</v>
      </c>
      <c r="O33" s="821" t="s">
        <v>530</v>
      </c>
      <c r="P33" s="821"/>
      <c r="Q33" s="323" t="s">
        <v>554</v>
      </c>
    </row>
    <row r="34" spans="2:26" s="323" customFormat="1" x14ac:dyDescent="0.25">
      <c r="B34" s="323" t="s">
        <v>340</v>
      </c>
      <c r="C34" s="323" t="s">
        <v>437</v>
      </c>
      <c r="D34" s="323" t="s">
        <v>343</v>
      </c>
      <c r="E34" s="678">
        <v>2200</v>
      </c>
      <c r="F34" s="678">
        <v>3000</v>
      </c>
      <c r="G34" s="323" t="s">
        <v>555</v>
      </c>
      <c r="H34" s="679">
        <f>E34/F34</f>
        <v>0.73333333333333328</v>
      </c>
      <c r="I34" s="821" t="s">
        <v>540</v>
      </c>
      <c r="J34" s="821" t="s">
        <v>534</v>
      </c>
      <c r="K34" s="822">
        <v>40</v>
      </c>
      <c r="L34" s="822">
        <v>40</v>
      </c>
      <c r="M34" s="678">
        <v>1</v>
      </c>
      <c r="N34" s="678">
        <v>2002</v>
      </c>
      <c r="O34" s="821" t="s">
        <v>530</v>
      </c>
      <c r="P34" s="821"/>
      <c r="Q34" s="323" t="s">
        <v>556</v>
      </c>
      <c r="Z34" s="323" t="s">
        <v>125</v>
      </c>
    </row>
    <row r="35" spans="2:26" s="323" customFormat="1" x14ac:dyDescent="0.25">
      <c r="B35" s="323" t="s">
        <v>438</v>
      </c>
      <c r="C35" s="323" t="s">
        <v>397</v>
      </c>
      <c r="D35" s="323" t="s">
        <v>440</v>
      </c>
      <c r="E35" s="678">
        <v>3020</v>
      </c>
      <c r="F35" s="678">
        <v>4592</v>
      </c>
      <c r="G35" s="323" t="s">
        <v>317</v>
      </c>
      <c r="H35" s="679">
        <f t="shared" ref="H35:H41" si="1">E35/F35</f>
        <v>0.65766550522648082</v>
      </c>
      <c r="I35" s="821" t="s">
        <v>536</v>
      </c>
      <c r="J35" s="821" t="s">
        <v>534</v>
      </c>
      <c r="K35" s="822" t="s">
        <v>248</v>
      </c>
      <c r="L35" s="822" t="s">
        <v>248</v>
      </c>
      <c r="M35" s="678">
        <v>3</v>
      </c>
      <c r="N35" s="678">
        <v>2005</v>
      </c>
      <c r="O35" s="821" t="s">
        <v>530</v>
      </c>
      <c r="P35" s="821"/>
      <c r="Q35" s="323" t="s">
        <v>557</v>
      </c>
    </row>
    <row r="36" spans="2:26" s="323" customFormat="1" x14ac:dyDescent="0.25">
      <c r="B36" s="323" t="s">
        <v>438</v>
      </c>
      <c r="C36" s="323" t="s">
        <v>399</v>
      </c>
      <c r="D36" s="323" t="s">
        <v>440</v>
      </c>
      <c r="E36" s="678">
        <v>3703</v>
      </c>
      <c r="F36" s="678">
        <v>4980</v>
      </c>
      <c r="G36" s="323" t="s">
        <v>317</v>
      </c>
      <c r="H36" s="679">
        <f t="shared" si="1"/>
        <v>0.74357429718875501</v>
      </c>
      <c r="I36" s="821" t="s">
        <v>536</v>
      </c>
      <c r="J36" s="821" t="s">
        <v>534</v>
      </c>
      <c r="K36" s="822" t="s">
        <v>248</v>
      </c>
      <c r="L36" s="822" t="s">
        <v>248</v>
      </c>
      <c r="M36" s="678">
        <v>3</v>
      </c>
      <c r="N36" s="678">
        <v>2005</v>
      </c>
      <c r="O36" s="821" t="s">
        <v>530</v>
      </c>
      <c r="P36" s="821"/>
      <c r="Q36" s="323" t="s">
        <v>557</v>
      </c>
    </row>
    <row r="37" spans="2:26" s="323" customFormat="1" x14ac:dyDescent="0.25">
      <c r="B37" s="323" t="s">
        <v>438</v>
      </c>
      <c r="C37" s="323" t="s">
        <v>441</v>
      </c>
      <c r="D37" s="323" t="s">
        <v>440</v>
      </c>
      <c r="E37" s="678">
        <v>4059</v>
      </c>
      <c r="F37" s="678">
        <v>3977</v>
      </c>
      <c r="G37" s="323" t="s">
        <v>317</v>
      </c>
      <c r="H37" s="679">
        <f t="shared" si="1"/>
        <v>1.0206185567010309</v>
      </c>
      <c r="I37" s="821" t="s">
        <v>536</v>
      </c>
      <c r="J37" s="821" t="s">
        <v>534</v>
      </c>
      <c r="K37" s="822" t="s">
        <v>248</v>
      </c>
      <c r="L37" s="822" t="s">
        <v>248</v>
      </c>
      <c r="M37" s="678">
        <v>3</v>
      </c>
      <c r="N37" s="678">
        <v>2005</v>
      </c>
      <c r="O37" s="821" t="s">
        <v>530</v>
      </c>
      <c r="P37" s="821"/>
      <c r="Q37" s="323" t="s">
        <v>558</v>
      </c>
    </row>
    <row r="38" spans="2:26" s="323" customFormat="1" x14ac:dyDescent="0.25">
      <c r="B38" s="323" t="s">
        <v>442</v>
      </c>
      <c r="C38" s="323" t="s">
        <v>414</v>
      </c>
      <c r="D38" s="323" t="s">
        <v>440</v>
      </c>
      <c r="E38" s="678">
        <f>(11.53+18.85)/2</f>
        <v>15.190000000000001</v>
      </c>
      <c r="F38" s="678">
        <f>(29.97+64.03)/2</f>
        <v>47</v>
      </c>
      <c r="G38" s="323" t="s">
        <v>387</v>
      </c>
      <c r="H38" s="679">
        <f t="shared" si="1"/>
        <v>0.32319148936170217</v>
      </c>
      <c r="I38" s="821" t="s">
        <v>536</v>
      </c>
      <c r="J38" s="821" t="s">
        <v>537</v>
      </c>
      <c r="K38" s="822">
        <f>1.2/3</f>
        <v>0.39999999999999997</v>
      </c>
      <c r="L38" s="822">
        <f>1.2/3</f>
        <v>0.39999999999999997</v>
      </c>
      <c r="M38" s="678">
        <v>2</v>
      </c>
      <c r="N38" s="678" t="s">
        <v>559</v>
      </c>
      <c r="O38" s="821"/>
      <c r="P38" s="821" t="s">
        <v>530</v>
      </c>
      <c r="Q38" s="323" t="s">
        <v>560</v>
      </c>
    </row>
    <row r="39" spans="2:26" s="323" customFormat="1" x14ac:dyDescent="0.25">
      <c r="B39" s="323" t="s">
        <v>442</v>
      </c>
      <c r="C39" s="323" t="s">
        <v>414</v>
      </c>
      <c r="D39" s="323" t="s">
        <v>440</v>
      </c>
      <c r="E39" s="678">
        <v>40.42</v>
      </c>
      <c r="F39" s="678">
        <v>67.23</v>
      </c>
      <c r="G39" s="323" t="s">
        <v>387</v>
      </c>
      <c r="H39" s="679">
        <f t="shared" si="1"/>
        <v>0.60121969358917149</v>
      </c>
      <c r="I39" s="821" t="s">
        <v>536</v>
      </c>
      <c r="J39" s="821" t="s">
        <v>537</v>
      </c>
      <c r="K39" s="822">
        <f>1.2/3</f>
        <v>0.39999999999999997</v>
      </c>
      <c r="L39" s="822">
        <f>1.2/3</f>
        <v>0.39999999999999997</v>
      </c>
      <c r="M39" s="678">
        <v>2</v>
      </c>
      <c r="N39" s="678" t="s">
        <v>559</v>
      </c>
      <c r="O39" s="821" t="s">
        <v>530</v>
      </c>
      <c r="P39" s="821"/>
      <c r="Q39" s="323" t="s">
        <v>561</v>
      </c>
    </row>
    <row r="40" spans="2:26" s="323" customFormat="1" x14ac:dyDescent="0.25">
      <c r="B40" s="323" t="s">
        <v>445</v>
      </c>
      <c r="C40" s="323" t="s">
        <v>399</v>
      </c>
      <c r="D40" s="323" t="s">
        <v>315</v>
      </c>
      <c r="E40" s="678">
        <v>2105</v>
      </c>
      <c r="F40" s="678">
        <v>3745</v>
      </c>
      <c r="G40" s="323" t="s">
        <v>317</v>
      </c>
      <c r="H40" s="679">
        <f t="shared" si="1"/>
        <v>0.56208277703604803</v>
      </c>
      <c r="I40" s="821" t="s">
        <v>536</v>
      </c>
      <c r="J40" s="821" t="s">
        <v>562</v>
      </c>
      <c r="K40" s="822">
        <v>0.315</v>
      </c>
      <c r="L40" s="822">
        <v>0.315</v>
      </c>
      <c r="M40" s="678">
        <v>18</v>
      </c>
      <c r="N40" s="678">
        <v>1980</v>
      </c>
      <c r="O40" s="821" t="s">
        <v>530</v>
      </c>
      <c r="P40" s="821"/>
      <c r="Q40" s="323" t="s">
        <v>563</v>
      </c>
    </row>
    <row r="41" spans="2:26" s="323" customFormat="1" x14ac:dyDescent="0.25">
      <c r="B41" s="323" t="s">
        <v>445</v>
      </c>
      <c r="C41" s="323" t="s">
        <v>397</v>
      </c>
      <c r="D41" s="323" t="s">
        <v>315</v>
      </c>
      <c r="E41" s="678">
        <v>4200</v>
      </c>
      <c r="F41" s="678">
        <v>6075</v>
      </c>
      <c r="G41" s="323" t="s">
        <v>317</v>
      </c>
      <c r="H41" s="679">
        <f t="shared" si="1"/>
        <v>0.69135802469135799</v>
      </c>
      <c r="I41" s="821" t="s">
        <v>536</v>
      </c>
      <c r="J41" s="821" t="s">
        <v>562</v>
      </c>
      <c r="K41" s="822">
        <v>0.315</v>
      </c>
      <c r="L41" s="822">
        <v>0.315</v>
      </c>
      <c r="M41" s="678">
        <v>18</v>
      </c>
      <c r="N41" s="678">
        <v>1980</v>
      </c>
      <c r="O41" s="821" t="s">
        <v>530</v>
      </c>
      <c r="P41" s="821"/>
      <c r="Q41" s="323" t="s">
        <v>563</v>
      </c>
    </row>
    <row r="42" spans="2:26" s="323" customFormat="1" x14ac:dyDescent="0.25">
      <c r="B42" s="323" t="s">
        <v>450</v>
      </c>
      <c r="C42" s="323" t="s">
        <v>399</v>
      </c>
      <c r="D42" s="323" t="s">
        <v>453</v>
      </c>
      <c r="E42" s="678">
        <f>(3881+4017+2148)/3</f>
        <v>3348.6666666666665</v>
      </c>
      <c r="F42" s="678">
        <f>(4865+5450+5181)/3</f>
        <v>5165.333333333333</v>
      </c>
      <c r="G42" s="323" t="s">
        <v>317</v>
      </c>
      <c r="H42" s="679">
        <f>E42/F42</f>
        <v>0.64829633453794533</v>
      </c>
      <c r="I42" s="821" t="s">
        <v>536</v>
      </c>
      <c r="J42" s="821" t="s">
        <v>537</v>
      </c>
      <c r="K42" s="822">
        <f>30*60*0.0001</f>
        <v>0.18000000000000002</v>
      </c>
      <c r="L42" s="822">
        <f>30*60*0.0001</f>
        <v>0.18000000000000002</v>
      </c>
      <c r="M42" s="678">
        <v>10</v>
      </c>
      <c r="N42" s="678">
        <v>1989</v>
      </c>
      <c r="O42" s="821" t="s">
        <v>530</v>
      </c>
      <c r="P42" s="821"/>
      <c r="Q42" s="323" t="s">
        <v>564</v>
      </c>
    </row>
    <row r="43" spans="2:26" s="323" customFormat="1" x14ac:dyDescent="0.25">
      <c r="B43" s="323" t="s">
        <v>450</v>
      </c>
      <c r="C43" s="323" t="s">
        <v>397</v>
      </c>
      <c r="D43" s="323" t="s">
        <v>453</v>
      </c>
      <c r="E43" s="820">
        <f>(3719+2494)/2</f>
        <v>3106.5</v>
      </c>
      <c r="F43" s="820">
        <f>(4900+5696+5606)/3</f>
        <v>5400.666666666667</v>
      </c>
      <c r="G43" s="680" t="s">
        <v>317</v>
      </c>
      <c r="H43" s="679">
        <v>0.75897959183673469</v>
      </c>
      <c r="I43" s="821" t="s">
        <v>536</v>
      </c>
      <c r="J43" s="821" t="s">
        <v>537</v>
      </c>
      <c r="K43" s="822">
        <f>30*60*0.0001</f>
        <v>0.18000000000000002</v>
      </c>
      <c r="L43" s="822">
        <f>30*60*0.0001</f>
        <v>0.18000000000000002</v>
      </c>
      <c r="M43" s="678">
        <v>10</v>
      </c>
      <c r="N43" s="678">
        <v>1989</v>
      </c>
      <c r="O43" s="821" t="s">
        <v>530</v>
      </c>
      <c r="P43" s="821"/>
      <c r="Q43" s="323" t="s">
        <v>564</v>
      </c>
    </row>
    <row r="44" spans="2:26" s="323" customFormat="1" x14ac:dyDescent="0.25">
      <c r="B44" s="323" t="s">
        <v>450</v>
      </c>
      <c r="C44" s="323" t="s">
        <v>441</v>
      </c>
      <c r="D44" s="323" t="s">
        <v>453</v>
      </c>
      <c r="E44" s="678">
        <v>2618</v>
      </c>
      <c r="F44" s="678">
        <f>(5866+5264)/2</f>
        <v>5565</v>
      </c>
      <c r="G44" s="323" t="s">
        <v>317</v>
      </c>
      <c r="H44" s="679">
        <f>E44/F44</f>
        <v>0.47044025157232705</v>
      </c>
      <c r="I44" s="821"/>
      <c r="J44" s="821"/>
      <c r="K44" s="822"/>
      <c r="L44" s="822"/>
      <c r="M44" s="678"/>
      <c r="N44" s="678"/>
      <c r="O44" s="821"/>
      <c r="P44" s="821"/>
      <c r="Q44" s="323" t="s">
        <v>565</v>
      </c>
    </row>
    <row r="45" spans="2:26" s="323" customFormat="1" x14ac:dyDescent="0.25">
      <c r="B45" s="323" t="s">
        <v>358</v>
      </c>
      <c r="C45" s="323" t="s">
        <v>392</v>
      </c>
      <c r="E45" s="678">
        <v>3383</v>
      </c>
      <c r="F45" s="678">
        <v>5524.33</v>
      </c>
      <c r="G45" s="323" t="s">
        <v>317</v>
      </c>
      <c r="H45" s="679">
        <f>E45/F45</f>
        <v>0.6123819540107126</v>
      </c>
      <c r="I45" s="821"/>
      <c r="J45" s="821"/>
      <c r="K45" s="822"/>
      <c r="L45" s="822"/>
      <c r="M45" s="678"/>
      <c r="N45" s="678"/>
      <c r="O45" s="821" t="s">
        <v>530</v>
      </c>
      <c r="P45" s="821"/>
    </row>
    <row r="46" spans="2:26" s="323" customFormat="1" x14ac:dyDescent="0.25">
      <c r="B46" s="323" t="s">
        <v>358</v>
      </c>
      <c r="C46" s="323" t="s">
        <v>402</v>
      </c>
      <c r="E46" s="678">
        <v>7732</v>
      </c>
      <c r="F46" s="678">
        <v>11296</v>
      </c>
      <c r="G46" s="323" t="s">
        <v>317</v>
      </c>
      <c r="H46" s="679">
        <f>E46/F46</f>
        <v>0.68449008498583575</v>
      </c>
      <c r="I46" s="821"/>
      <c r="J46" s="821"/>
      <c r="K46" s="822"/>
      <c r="L46" s="822"/>
      <c r="M46" s="678"/>
      <c r="N46" s="678"/>
      <c r="O46" s="821" t="s">
        <v>530</v>
      </c>
      <c r="P46" s="821"/>
    </row>
    <row r="47" spans="2:26" s="323" customFormat="1" x14ac:dyDescent="0.25">
      <c r="B47" s="323" t="s">
        <v>457</v>
      </c>
      <c r="C47" s="323" t="s">
        <v>414</v>
      </c>
      <c r="D47" s="323" t="s">
        <v>249</v>
      </c>
      <c r="E47" s="678"/>
      <c r="F47" s="678"/>
      <c r="H47" s="679">
        <f>(0.58+0.66)/2</f>
        <v>0.62</v>
      </c>
      <c r="I47" s="821" t="s">
        <v>536</v>
      </c>
      <c r="J47" s="821" t="s">
        <v>537</v>
      </c>
      <c r="K47" s="822">
        <f>5*20*3*2*0.0001</f>
        <v>6.0000000000000005E-2</v>
      </c>
      <c r="L47" s="822">
        <f>5*20*3*2*0.0001</f>
        <v>6.0000000000000005E-2</v>
      </c>
      <c r="M47" s="678">
        <v>21</v>
      </c>
      <c r="N47" s="678">
        <v>1978</v>
      </c>
      <c r="O47" s="821" t="s">
        <v>530</v>
      </c>
      <c r="P47" s="821"/>
      <c r="Q47" s="323" t="s">
        <v>566</v>
      </c>
    </row>
    <row r="48" spans="2:26" s="323" customFormat="1" x14ac:dyDescent="0.25">
      <c r="B48" s="323" t="s">
        <v>457</v>
      </c>
      <c r="C48" s="323" t="s">
        <v>397</v>
      </c>
      <c r="D48" s="323" t="s">
        <v>249</v>
      </c>
      <c r="E48" s="678"/>
      <c r="F48" s="678"/>
      <c r="H48" s="679">
        <v>0.9</v>
      </c>
      <c r="I48" s="821" t="s">
        <v>536</v>
      </c>
      <c r="J48" s="821" t="s">
        <v>537</v>
      </c>
      <c r="K48" s="822">
        <f>5*20*3*2*0.0001</f>
        <v>6.0000000000000005E-2</v>
      </c>
      <c r="L48" s="822">
        <f>5*20*3*2*0.0001</f>
        <v>6.0000000000000005E-2</v>
      </c>
      <c r="M48" s="678">
        <v>21</v>
      </c>
      <c r="N48" s="678">
        <v>1978</v>
      </c>
      <c r="O48" s="821" t="s">
        <v>530</v>
      </c>
      <c r="P48" s="821"/>
      <c r="Q48" s="323" t="s">
        <v>566</v>
      </c>
    </row>
    <row r="49" spans="2:26" s="323" customFormat="1" x14ac:dyDescent="0.25">
      <c r="B49" s="323" t="s">
        <v>461</v>
      </c>
      <c r="C49" s="323" t="s">
        <v>414</v>
      </c>
      <c r="D49" s="323" t="s">
        <v>272</v>
      </c>
      <c r="E49" s="678">
        <v>15.7</v>
      </c>
      <c r="F49" s="678">
        <v>19.600000000000001</v>
      </c>
      <c r="G49" s="323" t="s">
        <v>387</v>
      </c>
      <c r="H49" s="679">
        <f>E49/F49</f>
        <v>0.80102040816326525</v>
      </c>
      <c r="I49" s="821" t="s">
        <v>536</v>
      </c>
      <c r="J49" s="821" t="s">
        <v>537</v>
      </c>
      <c r="K49" s="822" t="s">
        <v>248</v>
      </c>
      <c r="L49" s="822" t="s">
        <v>248</v>
      </c>
      <c r="M49" s="678">
        <v>1</v>
      </c>
      <c r="N49" s="678">
        <v>2003</v>
      </c>
      <c r="O49" s="821" t="s">
        <v>530</v>
      </c>
      <c r="P49" s="821"/>
      <c r="Q49" s="323" t="s">
        <v>567</v>
      </c>
    </row>
    <row r="50" spans="2:26" s="323" customFormat="1" x14ac:dyDescent="0.25">
      <c r="B50" s="323" t="s">
        <v>464</v>
      </c>
      <c r="C50" s="323" t="s">
        <v>568</v>
      </c>
      <c r="D50" s="323" t="s">
        <v>272</v>
      </c>
      <c r="E50" s="678">
        <f>(9+5.5+5.7)/3</f>
        <v>6.7333333333333334</v>
      </c>
      <c r="F50" s="678">
        <f>(14+6.3+9.7)/3</f>
        <v>10</v>
      </c>
      <c r="G50" s="323" t="s">
        <v>387</v>
      </c>
      <c r="H50" s="679">
        <f>E50/F50</f>
        <v>0.67333333333333334</v>
      </c>
      <c r="I50" s="821" t="s">
        <v>536</v>
      </c>
      <c r="J50" s="821" t="s">
        <v>534</v>
      </c>
      <c r="K50" s="822" t="s">
        <v>248</v>
      </c>
      <c r="L50" s="822" t="s">
        <v>248</v>
      </c>
      <c r="M50" s="678">
        <v>3</v>
      </c>
      <c r="N50" s="678">
        <v>2002</v>
      </c>
      <c r="O50" s="821" t="s">
        <v>530</v>
      </c>
      <c r="P50" s="821"/>
      <c r="Q50" s="323" t="s">
        <v>569</v>
      </c>
    </row>
    <row r="51" spans="2:26" s="323" customFormat="1" x14ac:dyDescent="0.25">
      <c r="B51" s="323" t="s">
        <v>467</v>
      </c>
      <c r="C51" s="323" t="s">
        <v>397</v>
      </c>
      <c r="D51" s="323" t="s">
        <v>272</v>
      </c>
      <c r="E51" s="678">
        <f>(2.38+2.57)/2</f>
        <v>2.4749999999999996</v>
      </c>
      <c r="F51" s="678">
        <f>(5.46+5.69)/2</f>
        <v>5.5750000000000002</v>
      </c>
      <c r="G51" s="323" t="s">
        <v>387</v>
      </c>
      <c r="H51" s="679">
        <f>E51/F51</f>
        <v>0.44394618834080712</v>
      </c>
      <c r="I51" s="821" t="s">
        <v>536</v>
      </c>
      <c r="J51" s="821" t="s">
        <v>570</v>
      </c>
      <c r="K51" s="822" t="s">
        <v>248</v>
      </c>
      <c r="L51" s="822" t="s">
        <v>248</v>
      </c>
      <c r="M51" s="678">
        <v>2</v>
      </c>
      <c r="N51" s="678" t="s">
        <v>571</v>
      </c>
      <c r="O51" s="821" t="s">
        <v>530</v>
      </c>
      <c r="P51" s="821"/>
      <c r="Q51" s="323" t="s">
        <v>572</v>
      </c>
    </row>
    <row r="52" spans="2:26" s="323" customFormat="1" x14ac:dyDescent="0.25">
      <c r="B52" s="323" t="s">
        <v>469</v>
      </c>
      <c r="C52" s="323" t="s">
        <v>402</v>
      </c>
      <c r="D52" s="323" t="s">
        <v>272</v>
      </c>
      <c r="E52" s="678">
        <f>(10+9.4)/2</f>
        <v>9.6999999999999993</v>
      </c>
      <c r="F52" s="678">
        <f>(10.5+11.1)/2</f>
        <v>10.8</v>
      </c>
      <c r="G52" s="323" t="s">
        <v>387</v>
      </c>
      <c r="H52" s="679">
        <v>0.89814814814814803</v>
      </c>
      <c r="I52" s="821" t="s">
        <v>573</v>
      </c>
      <c r="J52" s="821"/>
      <c r="K52" s="822">
        <f>120*14*0.0001</f>
        <v>0.16800000000000001</v>
      </c>
      <c r="L52" s="822">
        <f>120*14*0.0001</f>
        <v>0.16800000000000001</v>
      </c>
      <c r="M52" s="678">
        <v>3</v>
      </c>
      <c r="N52" s="678">
        <v>1991</v>
      </c>
      <c r="O52" s="821" t="s">
        <v>530</v>
      </c>
      <c r="P52" s="821"/>
      <c r="Q52" s="323" t="s">
        <v>574</v>
      </c>
    </row>
    <row r="53" spans="2:26" s="323" customFormat="1" x14ac:dyDescent="0.25">
      <c r="B53" s="323" t="s">
        <v>575</v>
      </c>
      <c r="C53" s="323" t="s">
        <v>414</v>
      </c>
      <c r="D53" s="323" t="s">
        <v>315</v>
      </c>
      <c r="E53" s="678"/>
      <c r="F53" s="678"/>
      <c r="G53" s="323" t="s">
        <v>387</v>
      </c>
      <c r="H53" s="679">
        <v>0.76859504132231404</v>
      </c>
      <c r="I53" s="821" t="s">
        <v>248</v>
      </c>
      <c r="J53" s="821" t="s">
        <v>125</v>
      </c>
      <c r="K53" s="822"/>
      <c r="L53" s="822"/>
      <c r="M53" s="678"/>
      <c r="N53" s="678"/>
      <c r="O53" s="821"/>
      <c r="P53" s="821" t="s">
        <v>530</v>
      </c>
      <c r="Q53" s="323" t="s">
        <v>576</v>
      </c>
    </row>
    <row r="54" spans="2:26" s="323" customFormat="1" x14ac:dyDescent="0.25">
      <c r="B54" s="323" t="s">
        <v>371</v>
      </c>
      <c r="C54" s="323" t="s">
        <v>577</v>
      </c>
      <c r="D54" s="323" t="s">
        <v>291</v>
      </c>
      <c r="E54" s="678">
        <v>3100</v>
      </c>
      <c r="F54" s="678">
        <v>4033.3333333333335</v>
      </c>
      <c r="G54" s="323" t="s">
        <v>317</v>
      </c>
      <c r="H54" s="679">
        <f t="shared" ref="H54:H75" si="2">E54/F54</f>
        <v>0.76859504132231404</v>
      </c>
      <c r="I54" s="821" t="s">
        <v>533</v>
      </c>
      <c r="J54" s="821" t="s">
        <v>534</v>
      </c>
      <c r="K54" s="822">
        <v>71</v>
      </c>
      <c r="L54" s="822">
        <v>56</v>
      </c>
      <c r="M54" s="678">
        <v>4</v>
      </c>
      <c r="N54" s="678">
        <v>1989</v>
      </c>
      <c r="O54" s="821" t="s">
        <v>530</v>
      </c>
      <c r="P54" s="821"/>
      <c r="Q54" s="323" t="s">
        <v>578</v>
      </c>
      <c r="Z54" s="323" t="s">
        <v>125</v>
      </c>
    </row>
    <row r="55" spans="2:26" s="323" customFormat="1" x14ac:dyDescent="0.25">
      <c r="B55" s="323" t="s">
        <v>371</v>
      </c>
      <c r="C55" s="323" t="s">
        <v>420</v>
      </c>
      <c r="D55" s="323" t="s">
        <v>291</v>
      </c>
      <c r="E55" s="678">
        <v>9726.6666666666661</v>
      </c>
      <c r="F55" s="678">
        <v>11230</v>
      </c>
      <c r="G55" s="323" t="s">
        <v>317</v>
      </c>
      <c r="H55" s="679">
        <f t="shared" si="2"/>
        <v>0.8661323834965865</v>
      </c>
      <c r="I55" s="821" t="s">
        <v>533</v>
      </c>
      <c r="J55" s="821" t="s">
        <v>534</v>
      </c>
      <c r="K55" s="822">
        <v>71</v>
      </c>
      <c r="L55" s="822">
        <v>56</v>
      </c>
      <c r="M55" s="678">
        <v>4</v>
      </c>
      <c r="N55" s="678">
        <v>1989</v>
      </c>
      <c r="O55" s="821" t="s">
        <v>530</v>
      </c>
      <c r="P55" s="821"/>
      <c r="Q55" s="323" t="s">
        <v>578</v>
      </c>
      <c r="Z55" s="323" t="s">
        <v>125</v>
      </c>
    </row>
    <row r="56" spans="2:26" s="323" customFormat="1" x14ac:dyDescent="0.25">
      <c r="B56" s="323" t="s">
        <v>473</v>
      </c>
      <c r="C56" s="323" t="s">
        <v>414</v>
      </c>
      <c r="D56" s="323" t="s">
        <v>475</v>
      </c>
      <c r="E56" s="678">
        <f>(16.1+24.6)/2</f>
        <v>20.350000000000001</v>
      </c>
      <c r="F56" s="678">
        <f>(23.1+44.8)/2</f>
        <v>33.950000000000003</v>
      </c>
      <c r="G56" s="323" t="s">
        <v>387</v>
      </c>
      <c r="H56" s="679">
        <f t="shared" si="2"/>
        <v>0.59941089837997052</v>
      </c>
      <c r="I56" s="821" t="s">
        <v>536</v>
      </c>
      <c r="J56" s="821" t="s">
        <v>534</v>
      </c>
      <c r="K56" s="822">
        <f>10*4*0.0001</f>
        <v>4.0000000000000001E-3</v>
      </c>
      <c r="L56" s="822">
        <f>10*4*0.0001</f>
        <v>4.0000000000000001E-3</v>
      </c>
      <c r="M56" s="678">
        <v>2</v>
      </c>
      <c r="N56" s="678">
        <v>2006</v>
      </c>
      <c r="O56" s="821"/>
      <c r="P56" s="821" t="s">
        <v>530</v>
      </c>
      <c r="Q56" s="323" t="s">
        <v>579</v>
      </c>
    </row>
    <row r="57" spans="2:26" s="323" customFormat="1" x14ac:dyDescent="0.25">
      <c r="B57" s="323" t="s">
        <v>580</v>
      </c>
      <c r="C57" s="323" t="s">
        <v>397</v>
      </c>
      <c r="D57" s="323" t="s">
        <v>249</v>
      </c>
      <c r="E57" s="678">
        <f>(35.4+34.1+36.8+36.1)/4</f>
        <v>35.6</v>
      </c>
      <c r="F57" s="678">
        <f>(36.7+31.6+42.1+41.39)/4</f>
        <v>37.947500000000005</v>
      </c>
      <c r="G57" s="323" t="s">
        <v>387</v>
      </c>
      <c r="H57" s="679">
        <f t="shared" si="2"/>
        <v>0.93813821727386515</v>
      </c>
      <c r="I57" s="821"/>
      <c r="J57" s="821"/>
      <c r="K57" s="822"/>
      <c r="L57" s="822"/>
      <c r="M57" s="678"/>
      <c r="N57" s="678"/>
      <c r="O57" s="821"/>
      <c r="P57" s="821"/>
    </row>
    <row r="58" spans="2:26" s="323" customFormat="1" x14ac:dyDescent="0.25">
      <c r="B58" s="323" t="s">
        <v>477</v>
      </c>
      <c r="C58" s="323" t="s">
        <v>441</v>
      </c>
      <c r="D58" s="323" t="s">
        <v>440</v>
      </c>
      <c r="E58" s="678">
        <v>4050</v>
      </c>
      <c r="F58" s="678">
        <f>E58/0.9</f>
        <v>4500</v>
      </c>
      <c r="G58" s="323" t="s">
        <v>317</v>
      </c>
      <c r="H58" s="679">
        <f t="shared" si="2"/>
        <v>0.9</v>
      </c>
      <c r="I58" s="821" t="s">
        <v>536</v>
      </c>
      <c r="J58" s="821" t="s">
        <v>534</v>
      </c>
      <c r="K58" s="822">
        <v>2E-3</v>
      </c>
      <c r="L58" s="822">
        <v>2E-3</v>
      </c>
      <c r="M58" s="678">
        <v>4</v>
      </c>
      <c r="N58" s="678" t="s">
        <v>581</v>
      </c>
      <c r="O58" s="821" t="s">
        <v>530</v>
      </c>
      <c r="P58" s="821"/>
      <c r="Q58" s="323" t="s">
        <v>582</v>
      </c>
    </row>
    <row r="59" spans="2:26" s="323" customFormat="1" x14ac:dyDescent="0.25">
      <c r="B59" s="323" t="s">
        <v>477</v>
      </c>
      <c r="C59" s="323" t="s">
        <v>399</v>
      </c>
      <c r="D59" s="323" t="s">
        <v>440</v>
      </c>
      <c r="E59" s="678">
        <v>2990</v>
      </c>
      <c r="F59" s="678">
        <f>E59/0.66</f>
        <v>4530.30303030303</v>
      </c>
      <c r="G59" s="323" t="s">
        <v>317</v>
      </c>
      <c r="H59" s="679">
        <f t="shared" si="2"/>
        <v>0.66</v>
      </c>
      <c r="I59" s="821" t="s">
        <v>536</v>
      </c>
      <c r="J59" s="821" t="s">
        <v>534</v>
      </c>
      <c r="K59" s="822">
        <v>2E-3</v>
      </c>
      <c r="L59" s="822">
        <v>2E-3</v>
      </c>
      <c r="M59" s="678">
        <v>4</v>
      </c>
      <c r="N59" s="678" t="s">
        <v>583</v>
      </c>
      <c r="O59" s="821" t="s">
        <v>530</v>
      </c>
      <c r="P59" s="821"/>
      <c r="Q59" s="323" t="s">
        <v>582</v>
      </c>
    </row>
    <row r="60" spans="2:26" s="323" customFormat="1" x14ac:dyDescent="0.25">
      <c r="B60" s="323" t="s">
        <v>477</v>
      </c>
      <c r="C60" s="323" t="s">
        <v>397</v>
      </c>
      <c r="D60" s="323" t="s">
        <v>440</v>
      </c>
      <c r="E60" s="678">
        <v>3450</v>
      </c>
      <c r="F60" s="678">
        <f>E60/0.64</f>
        <v>5390.625</v>
      </c>
      <c r="G60" s="323" t="s">
        <v>317</v>
      </c>
      <c r="H60" s="679">
        <f t="shared" si="2"/>
        <v>0.64</v>
      </c>
      <c r="I60" s="821" t="s">
        <v>536</v>
      </c>
      <c r="J60" s="821" t="s">
        <v>534</v>
      </c>
      <c r="K60" s="822">
        <v>2E-3</v>
      </c>
      <c r="L60" s="822">
        <v>2E-3</v>
      </c>
      <c r="M60" s="678">
        <v>4</v>
      </c>
      <c r="N60" s="678" t="s">
        <v>584</v>
      </c>
      <c r="O60" s="821" t="s">
        <v>530</v>
      </c>
      <c r="P60" s="821"/>
      <c r="Q60" s="323" t="s">
        <v>582</v>
      </c>
    </row>
    <row r="61" spans="2:26" s="323" customFormat="1" x14ac:dyDescent="0.25">
      <c r="B61" s="323" t="s">
        <v>479</v>
      </c>
      <c r="C61" s="323" t="s">
        <v>441</v>
      </c>
      <c r="D61" s="323" t="s">
        <v>291</v>
      </c>
      <c r="E61" s="678">
        <f>(4.6+4.6+4.8+4.3+4.4+4.8)/6</f>
        <v>4.5833333333333339</v>
      </c>
      <c r="F61" s="678">
        <f>(4.5+4.5)/2</f>
        <v>4.5</v>
      </c>
      <c r="G61" s="323" t="s">
        <v>387</v>
      </c>
      <c r="H61" s="679">
        <f t="shared" si="2"/>
        <v>1.0185185185185186</v>
      </c>
      <c r="I61" s="821" t="s">
        <v>536</v>
      </c>
      <c r="J61" s="821" t="s">
        <v>534</v>
      </c>
      <c r="K61" s="822">
        <f>L61*3</f>
        <v>1.17</v>
      </c>
      <c r="L61" s="822">
        <f>3*10*130*0.0001</f>
        <v>0.39</v>
      </c>
      <c r="M61" s="678">
        <v>3</v>
      </c>
      <c r="N61" s="678">
        <v>2006</v>
      </c>
      <c r="O61" s="821" t="s">
        <v>530</v>
      </c>
      <c r="P61" s="821"/>
      <c r="Q61" s="323" t="s">
        <v>585</v>
      </c>
    </row>
    <row r="62" spans="2:26" s="323" customFormat="1" x14ac:dyDescent="0.25">
      <c r="B62" s="323" t="s">
        <v>479</v>
      </c>
      <c r="C62" s="323" t="s">
        <v>437</v>
      </c>
      <c r="D62" s="323" t="s">
        <v>291</v>
      </c>
      <c r="E62" s="678">
        <f>(4.9+4.5+4.6+6.6+6+5.7)/6</f>
        <v>5.3833333333333337</v>
      </c>
      <c r="F62" s="678">
        <f>(7.8+8.4)/2</f>
        <v>8.1</v>
      </c>
      <c r="G62" s="323" t="s">
        <v>387</v>
      </c>
      <c r="H62" s="679">
        <f t="shared" si="2"/>
        <v>0.66460905349794241</v>
      </c>
      <c r="I62" s="821" t="s">
        <v>536</v>
      </c>
      <c r="J62" s="821" t="s">
        <v>534</v>
      </c>
      <c r="K62" s="822">
        <f>L61*3</f>
        <v>1.17</v>
      </c>
      <c r="L62" s="822">
        <f>L61</f>
        <v>0.39</v>
      </c>
      <c r="M62" s="678">
        <v>3</v>
      </c>
      <c r="N62" s="678">
        <v>2006</v>
      </c>
      <c r="O62" s="821" t="s">
        <v>530</v>
      </c>
      <c r="P62" s="821"/>
      <c r="Q62" s="323" t="s">
        <v>586</v>
      </c>
    </row>
    <row r="63" spans="2:26" s="323" customFormat="1" x14ac:dyDescent="0.25">
      <c r="B63" s="323" t="s">
        <v>587</v>
      </c>
      <c r="C63" s="323" t="s">
        <v>399</v>
      </c>
      <c r="D63" s="323" t="s">
        <v>315</v>
      </c>
      <c r="E63" s="678">
        <v>2133</v>
      </c>
      <c r="F63" s="678">
        <f>(4060+4480)/2</f>
        <v>4270</v>
      </c>
      <c r="G63" s="323" t="s">
        <v>317</v>
      </c>
      <c r="H63" s="679">
        <f t="shared" si="2"/>
        <v>0.49953161592505857</v>
      </c>
      <c r="I63" s="821" t="s">
        <v>536</v>
      </c>
      <c r="J63" s="821" t="s">
        <v>562</v>
      </c>
      <c r="K63" s="822">
        <f>13*(0.09+0.16)/2</f>
        <v>1.625</v>
      </c>
      <c r="L63" s="822">
        <f>31*(0.09+0.16)/2</f>
        <v>3.875</v>
      </c>
      <c r="M63" s="678">
        <v>6</v>
      </c>
      <c r="N63" s="678" t="s">
        <v>588</v>
      </c>
      <c r="O63" s="821"/>
      <c r="P63" s="821" t="s">
        <v>530</v>
      </c>
      <c r="Q63" s="323" t="s">
        <v>589</v>
      </c>
    </row>
    <row r="64" spans="2:26" s="323" customFormat="1" x14ac:dyDescent="0.25">
      <c r="B64" s="323" t="s">
        <v>587</v>
      </c>
      <c r="C64" s="323" t="s">
        <v>397</v>
      </c>
      <c r="D64" s="323" t="s">
        <v>315</v>
      </c>
      <c r="E64" s="678">
        <v>4615</v>
      </c>
      <c r="F64" s="678">
        <f>(5990+5780)/2</f>
        <v>5885</v>
      </c>
      <c r="G64" s="323" t="s">
        <v>317</v>
      </c>
      <c r="H64" s="679">
        <f t="shared" si="2"/>
        <v>0.78419711129991498</v>
      </c>
      <c r="I64" s="821" t="s">
        <v>536</v>
      </c>
      <c r="J64" s="821" t="s">
        <v>562</v>
      </c>
      <c r="K64" s="822">
        <f>13*(0.09+0.16)/2</f>
        <v>1.625</v>
      </c>
      <c r="L64" s="822">
        <f>31*(0.09+0.16)/2</f>
        <v>3.875</v>
      </c>
      <c r="M64" s="678">
        <v>6</v>
      </c>
      <c r="N64" s="678" t="s">
        <v>590</v>
      </c>
      <c r="O64" s="821"/>
      <c r="P64" s="821" t="s">
        <v>530</v>
      </c>
      <c r="Q64" s="323" t="s">
        <v>589</v>
      </c>
    </row>
    <row r="65" spans="2:26" s="323" customFormat="1" x14ac:dyDescent="0.25">
      <c r="B65" s="323" t="s">
        <v>587</v>
      </c>
      <c r="C65" s="323" t="s">
        <v>414</v>
      </c>
      <c r="D65" s="323" t="s">
        <v>315</v>
      </c>
      <c r="E65" s="678">
        <f>(1410+1560)/2</f>
        <v>1485</v>
      </c>
      <c r="F65" s="678">
        <f>(8496+9118)/2</f>
        <v>8807</v>
      </c>
      <c r="G65" s="323" t="s">
        <v>317</v>
      </c>
      <c r="H65" s="679">
        <f t="shared" si="2"/>
        <v>0.16861587373680026</v>
      </c>
      <c r="I65" s="821" t="s">
        <v>536</v>
      </c>
      <c r="J65" s="821" t="s">
        <v>562</v>
      </c>
      <c r="K65" s="822">
        <f>13*(0.09+0.16)/2</f>
        <v>1.625</v>
      </c>
      <c r="L65" s="822">
        <f>31*(0.09+0.16)/2</f>
        <v>3.875</v>
      </c>
      <c r="M65" s="678">
        <v>6</v>
      </c>
      <c r="N65" s="678" t="s">
        <v>591</v>
      </c>
      <c r="O65" s="821"/>
      <c r="P65" s="821" t="s">
        <v>530</v>
      </c>
      <c r="Q65" s="323" t="s">
        <v>589</v>
      </c>
    </row>
    <row r="66" spans="2:26" s="323" customFormat="1" x14ac:dyDescent="0.25">
      <c r="B66" s="323" t="s">
        <v>301</v>
      </c>
      <c r="C66" s="323" t="s">
        <v>399</v>
      </c>
      <c r="D66" s="323" t="s">
        <v>293</v>
      </c>
      <c r="E66" s="678">
        <v>3450</v>
      </c>
      <c r="F66" s="678">
        <v>6100</v>
      </c>
      <c r="G66" s="323" t="s">
        <v>317</v>
      </c>
      <c r="H66" s="679">
        <f t="shared" si="2"/>
        <v>0.56557377049180324</v>
      </c>
      <c r="I66" s="821" t="s">
        <v>592</v>
      </c>
      <c r="J66" s="821" t="s">
        <v>248</v>
      </c>
      <c r="K66" s="822" t="s">
        <v>248</v>
      </c>
      <c r="L66" s="822" t="s">
        <v>248</v>
      </c>
      <c r="M66" s="678" t="s">
        <v>248</v>
      </c>
      <c r="N66" s="678" t="s">
        <v>248</v>
      </c>
      <c r="O66" s="821" t="s">
        <v>530</v>
      </c>
      <c r="P66" s="821"/>
      <c r="Q66" s="323" t="s">
        <v>593</v>
      </c>
      <c r="Z66" s="323" t="s">
        <v>125</v>
      </c>
    </row>
    <row r="67" spans="2:26" s="323" customFormat="1" x14ac:dyDescent="0.25">
      <c r="B67" s="323" t="s">
        <v>301</v>
      </c>
      <c r="C67" s="323" t="s">
        <v>402</v>
      </c>
      <c r="D67" s="323" t="s">
        <v>293</v>
      </c>
      <c r="E67" s="678">
        <v>4000</v>
      </c>
      <c r="F67" s="678">
        <v>7200</v>
      </c>
      <c r="G67" s="323" t="s">
        <v>317</v>
      </c>
      <c r="H67" s="679">
        <f t="shared" si="2"/>
        <v>0.55555555555555558</v>
      </c>
      <c r="I67" s="821" t="s">
        <v>592</v>
      </c>
      <c r="J67" s="821" t="s">
        <v>248</v>
      </c>
      <c r="K67" s="822" t="s">
        <v>248</v>
      </c>
      <c r="L67" s="822" t="s">
        <v>248</v>
      </c>
      <c r="M67" s="678" t="s">
        <v>248</v>
      </c>
      <c r="N67" s="678" t="s">
        <v>248</v>
      </c>
      <c r="O67" s="821" t="s">
        <v>530</v>
      </c>
      <c r="P67" s="821"/>
      <c r="Q67" s="323" t="s">
        <v>594</v>
      </c>
      <c r="Z67" s="323" t="s">
        <v>125</v>
      </c>
    </row>
    <row r="68" spans="2:26" s="323" customFormat="1" x14ac:dyDescent="0.25">
      <c r="B68" s="323" t="s">
        <v>301</v>
      </c>
      <c r="C68" s="323" t="s">
        <v>397</v>
      </c>
      <c r="D68" s="323" t="s">
        <v>293</v>
      </c>
      <c r="E68" s="678">
        <v>4100</v>
      </c>
      <c r="F68" s="678">
        <v>7100</v>
      </c>
      <c r="G68" s="323" t="s">
        <v>317</v>
      </c>
      <c r="H68" s="679">
        <f t="shared" si="2"/>
        <v>0.57746478873239437</v>
      </c>
      <c r="I68" s="821" t="s">
        <v>592</v>
      </c>
      <c r="J68" s="821" t="s">
        <v>248</v>
      </c>
      <c r="K68" s="822" t="s">
        <v>248</v>
      </c>
      <c r="L68" s="822" t="s">
        <v>248</v>
      </c>
      <c r="M68" s="678" t="s">
        <v>248</v>
      </c>
      <c r="N68" s="678" t="s">
        <v>248</v>
      </c>
      <c r="O68" s="821" t="s">
        <v>530</v>
      </c>
      <c r="P68" s="821"/>
      <c r="Q68" s="323" t="s">
        <v>595</v>
      </c>
      <c r="Z68" s="323" t="s">
        <v>125</v>
      </c>
    </row>
    <row r="69" spans="2:26" s="323" customFormat="1" x14ac:dyDescent="0.25">
      <c r="B69" s="323" t="s">
        <v>301</v>
      </c>
      <c r="C69" s="323" t="s">
        <v>424</v>
      </c>
      <c r="D69" s="323" t="s">
        <v>293</v>
      </c>
      <c r="E69" s="678">
        <v>1900</v>
      </c>
      <c r="F69" s="678">
        <v>3300</v>
      </c>
      <c r="G69" s="323" t="s">
        <v>317</v>
      </c>
      <c r="H69" s="679">
        <f t="shared" si="2"/>
        <v>0.5757575757575758</v>
      </c>
      <c r="I69" s="821" t="s">
        <v>592</v>
      </c>
      <c r="J69" s="821" t="s">
        <v>248</v>
      </c>
      <c r="K69" s="822" t="s">
        <v>248</v>
      </c>
      <c r="L69" s="822" t="s">
        <v>248</v>
      </c>
      <c r="M69" s="678" t="s">
        <v>248</v>
      </c>
      <c r="N69" s="678" t="s">
        <v>248</v>
      </c>
      <c r="O69" s="821" t="s">
        <v>530</v>
      </c>
      <c r="P69" s="821"/>
      <c r="Q69" s="323" t="s">
        <v>593</v>
      </c>
      <c r="Z69" s="323" t="s">
        <v>125</v>
      </c>
    </row>
    <row r="70" spans="2:26" s="323" customFormat="1" x14ac:dyDescent="0.25">
      <c r="B70" s="323" t="s">
        <v>301</v>
      </c>
      <c r="C70" s="323" t="s">
        <v>385</v>
      </c>
      <c r="D70" s="323" t="s">
        <v>293</v>
      </c>
      <c r="E70" s="678">
        <v>3300</v>
      </c>
      <c r="F70" s="678">
        <v>3500</v>
      </c>
      <c r="G70" s="323" t="s">
        <v>317</v>
      </c>
      <c r="H70" s="679">
        <f t="shared" si="2"/>
        <v>0.94285714285714284</v>
      </c>
      <c r="I70" s="821" t="s">
        <v>592</v>
      </c>
      <c r="J70" s="821" t="s">
        <v>248</v>
      </c>
      <c r="K70" s="822" t="s">
        <v>248</v>
      </c>
      <c r="L70" s="822" t="s">
        <v>248</v>
      </c>
      <c r="M70" s="678" t="s">
        <v>248</v>
      </c>
      <c r="N70" s="678" t="s">
        <v>248</v>
      </c>
      <c r="O70" s="821" t="s">
        <v>530</v>
      </c>
      <c r="P70" s="821"/>
      <c r="Q70" s="323" t="s">
        <v>596</v>
      </c>
      <c r="Z70" s="323" t="s">
        <v>125</v>
      </c>
    </row>
    <row r="71" spans="2:26" s="323" customFormat="1" x14ac:dyDescent="0.25">
      <c r="B71" s="323" t="s">
        <v>301</v>
      </c>
      <c r="C71" s="323" t="s">
        <v>406</v>
      </c>
      <c r="D71" s="323" t="s">
        <v>293</v>
      </c>
      <c r="E71" s="678">
        <v>2600</v>
      </c>
      <c r="F71" s="678">
        <v>2600</v>
      </c>
      <c r="G71" s="323" t="s">
        <v>317</v>
      </c>
      <c r="H71" s="679">
        <f t="shared" si="2"/>
        <v>1</v>
      </c>
      <c r="I71" s="821" t="s">
        <v>592</v>
      </c>
      <c r="J71" s="821" t="s">
        <v>248</v>
      </c>
      <c r="K71" s="822" t="s">
        <v>248</v>
      </c>
      <c r="L71" s="822" t="s">
        <v>248</v>
      </c>
      <c r="M71" s="678" t="s">
        <v>248</v>
      </c>
      <c r="N71" s="678" t="s">
        <v>248</v>
      </c>
      <c r="O71" s="821" t="s">
        <v>530</v>
      </c>
      <c r="P71" s="821"/>
      <c r="Q71" s="323" t="s">
        <v>597</v>
      </c>
      <c r="Z71" s="323" t="s">
        <v>125</v>
      </c>
    </row>
    <row r="72" spans="2:26" s="323" customFormat="1" x14ac:dyDescent="0.25">
      <c r="B72" s="323" t="s">
        <v>301</v>
      </c>
      <c r="C72" s="323" t="s">
        <v>414</v>
      </c>
      <c r="D72" s="323" t="s">
        <v>293</v>
      </c>
      <c r="E72" s="678">
        <v>32299.999999999996</v>
      </c>
      <c r="F72" s="678">
        <v>49400</v>
      </c>
      <c r="G72" s="323" t="s">
        <v>317</v>
      </c>
      <c r="H72" s="679">
        <f t="shared" si="2"/>
        <v>0.65384615384615374</v>
      </c>
      <c r="I72" s="821" t="s">
        <v>592</v>
      </c>
      <c r="J72" s="821" t="s">
        <v>248</v>
      </c>
      <c r="K72" s="822" t="s">
        <v>248</v>
      </c>
      <c r="L72" s="822" t="s">
        <v>248</v>
      </c>
      <c r="M72" s="678" t="s">
        <v>248</v>
      </c>
      <c r="N72" s="678" t="s">
        <v>248</v>
      </c>
      <c r="O72" s="821" t="s">
        <v>530</v>
      </c>
      <c r="P72" s="821"/>
      <c r="Q72" s="323" t="s">
        <v>593</v>
      </c>
      <c r="Z72" s="323" t="s">
        <v>125</v>
      </c>
    </row>
    <row r="73" spans="2:26" s="323" customFormat="1" x14ac:dyDescent="0.25">
      <c r="B73" s="323" t="s">
        <v>491</v>
      </c>
      <c r="C73" s="323" t="s">
        <v>397</v>
      </c>
      <c r="D73" s="323" t="s">
        <v>293</v>
      </c>
      <c r="E73" s="678">
        <v>4100</v>
      </c>
      <c r="F73" s="678">
        <v>7700</v>
      </c>
      <c r="G73" s="323" t="s">
        <v>317</v>
      </c>
      <c r="H73" s="679">
        <f t="shared" si="2"/>
        <v>0.53246753246753242</v>
      </c>
      <c r="I73" s="821" t="s">
        <v>598</v>
      </c>
      <c r="J73" s="821" t="s">
        <v>534</v>
      </c>
      <c r="K73" s="822" t="s">
        <v>248</v>
      </c>
      <c r="L73" s="822" t="s">
        <v>248</v>
      </c>
      <c r="M73" s="678" t="s">
        <v>248</v>
      </c>
      <c r="N73" s="678" t="s">
        <v>248</v>
      </c>
      <c r="O73" s="821" t="s">
        <v>530</v>
      </c>
      <c r="P73" s="821"/>
      <c r="Q73" s="323" t="s">
        <v>599</v>
      </c>
      <c r="Z73" s="323" t="s">
        <v>125</v>
      </c>
    </row>
    <row r="74" spans="2:26" s="323" customFormat="1" x14ac:dyDescent="0.25">
      <c r="B74" s="323" t="s">
        <v>491</v>
      </c>
      <c r="C74" s="323" t="s">
        <v>424</v>
      </c>
      <c r="D74" s="323" t="s">
        <v>293</v>
      </c>
      <c r="E74" s="678">
        <v>1800</v>
      </c>
      <c r="F74" s="678">
        <v>3300</v>
      </c>
      <c r="G74" s="323" t="s">
        <v>317</v>
      </c>
      <c r="H74" s="679">
        <f t="shared" si="2"/>
        <v>0.54545454545454541</v>
      </c>
      <c r="I74" s="821" t="s">
        <v>598</v>
      </c>
      <c r="J74" s="821" t="s">
        <v>534</v>
      </c>
      <c r="K74" s="822" t="s">
        <v>248</v>
      </c>
      <c r="L74" s="822" t="s">
        <v>248</v>
      </c>
      <c r="M74" s="678" t="s">
        <v>248</v>
      </c>
      <c r="N74" s="678" t="s">
        <v>248</v>
      </c>
      <c r="O74" s="821"/>
      <c r="P74" s="821" t="s">
        <v>530</v>
      </c>
      <c r="Q74" s="323" t="s">
        <v>600</v>
      </c>
      <c r="Z74" s="323" t="s">
        <v>125</v>
      </c>
    </row>
    <row r="75" spans="2:26" s="323" customFormat="1" x14ac:dyDescent="0.25">
      <c r="B75" s="323" t="s">
        <v>491</v>
      </c>
      <c r="C75" s="323" t="s">
        <v>414</v>
      </c>
      <c r="D75" s="323" t="s">
        <v>293</v>
      </c>
      <c r="E75" s="678">
        <f>(35000+19000+34000)/3</f>
        <v>29333.333333333332</v>
      </c>
      <c r="F75" s="678">
        <f>(52000+26000+48000)/3</f>
        <v>42000</v>
      </c>
      <c r="G75" s="323" t="s">
        <v>317</v>
      </c>
      <c r="H75" s="679">
        <f t="shared" si="2"/>
        <v>0.69841269841269837</v>
      </c>
      <c r="I75" s="821" t="s">
        <v>598</v>
      </c>
      <c r="J75" s="821" t="s">
        <v>534</v>
      </c>
      <c r="K75" s="822" t="s">
        <v>248</v>
      </c>
      <c r="L75" s="822" t="s">
        <v>248</v>
      </c>
      <c r="M75" s="678" t="s">
        <v>248</v>
      </c>
      <c r="N75" s="678" t="s">
        <v>248</v>
      </c>
      <c r="O75" s="821" t="s">
        <v>530</v>
      </c>
      <c r="P75" s="821"/>
      <c r="Q75" s="323" t="s">
        <v>599</v>
      </c>
      <c r="Z75" s="323" t="s">
        <v>125</v>
      </c>
    </row>
    <row r="76" spans="2:26" s="323" customFormat="1" x14ac:dyDescent="0.25">
      <c r="E76" s="335"/>
      <c r="F76" s="335"/>
      <c r="H76" s="681"/>
      <c r="K76" s="335"/>
      <c r="L76" s="335"/>
      <c r="M76" s="678"/>
      <c r="N76" s="678"/>
    </row>
    <row r="77" spans="2:26" s="323" customFormat="1" x14ac:dyDescent="0.25">
      <c r="B77" s="535" t="s">
        <v>601</v>
      </c>
      <c r="E77" s="335"/>
      <c r="F77" s="335"/>
      <c r="H77" s="681"/>
      <c r="K77" s="335"/>
      <c r="L77" s="335"/>
      <c r="M77" s="678"/>
      <c r="N77" s="678"/>
    </row>
    <row r="78" spans="2:26" s="323" customFormat="1" x14ac:dyDescent="0.25">
      <c r="B78" s="323" t="s">
        <v>602</v>
      </c>
      <c r="C78" s="323" t="s">
        <v>392</v>
      </c>
      <c r="E78" s="335"/>
      <c r="F78" s="335"/>
      <c r="H78" s="681">
        <v>0.79</v>
      </c>
      <c r="K78" s="335"/>
      <c r="L78" s="335"/>
      <c r="M78" s="678"/>
      <c r="N78" s="678"/>
    </row>
    <row r="79" spans="2:26" s="323" customFormat="1" x14ac:dyDescent="0.25">
      <c r="B79" s="323" t="s">
        <v>602</v>
      </c>
      <c r="C79" s="323" t="s">
        <v>397</v>
      </c>
      <c r="E79" s="335"/>
      <c r="F79" s="335"/>
      <c r="H79" s="681">
        <v>0.73</v>
      </c>
      <c r="K79" s="335"/>
      <c r="L79" s="335"/>
      <c r="M79" s="678"/>
      <c r="N79" s="678"/>
    </row>
    <row r="80" spans="2:26" s="323" customFormat="1" x14ac:dyDescent="0.25">
      <c r="B80" s="323" t="s">
        <v>602</v>
      </c>
      <c r="C80" s="323" t="s">
        <v>437</v>
      </c>
      <c r="E80" s="335"/>
      <c r="F80" s="335"/>
      <c r="H80" s="681">
        <v>0.76</v>
      </c>
      <c r="K80" s="335"/>
      <c r="L80" s="335"/>
      <c r="M80" s="678"/>
      <c r="N80" s="678"/>
    </row>
    <row r="81" spans="2:14" s="323" customFormat="1" x14ac:dyDescent="0.25">
      <c r="B81" s="323" t="s">
        <v>602</v>
      </c>
      <c r="C81" s="323" t="s">
        <v>399</v>
      </c>
      <c r="E81" s="335"/>
      <c r="F81" s="335"/>
      <c r="H81" s="681">
        <v>0.69</v>
      </c>
      <c r="K81" s="335"/>
      <c r="L81" s="335"/>
      <c r="M81" s="678"/>
      <c r="N81" s="678"/>
    </row>
    <row r="82" spans="2:14" s="323" customFormat="1" x14ac:dyDescent="0.25">
      <c r="B82" s="323" t="s">
        <v>602</v>
      </c>
      <c r="C82" s="323" t="s">
        <v>603</v>
      </c>
      <c r="E82" s="335"/>
      <c r="F82" s="335"/>
      <c r="H82" s="681">
        <v>0.89</v>
      </c>
      <c r="K82" s="335"/>
      <c r="L82" s="335"/>
      <c r="M82" s="678"/>
      <c r="N82" s="678"/>
    </row>
    <row r="83" spans="2:14" s="323" customFormat="1" x14ac:dyDescent="0.25">
      <c r="B83" s="323" t="s">
        <v>604</v>
      </c>
      <c r="C83" s="323" t="s">
        <v>392</v>
      </c>
      <c r="E83" s="335"/>
      <c r="F83" s="335"/>
      <c r="H83" s="681">
        <v>0.74</v>
      </c>
      <c r="K83" s="335"/>
      <c r="L83" s="335"/>
      <c r="M83" s="678"/>
      <c r="N83" s="678"/>
    </row>
    <row r="84" spans="2:14" s="323" customFormat="1" x14ac:dyDescent="0.25">
      <c r="B84" s="323" t="s">
        <v>604</v>
      </c>
      <c r="C84" s="323" t="s">
        <v>397</v>
      </c>
      <c r="E84" s="335"/>
      <c r="F84" s="335"/>
      <c r="H84" s="681">
        <v>0.63</v>
      </c>
      <c r="K84" s="335"/>
      <c r="L84" s="335"/>
      <c r="M84" s="678"/>
      <c r="N84" s="678"/>
    </row>
    <row r="85" spans="2:14" s="323" customFormat="1" x14ac:dyDescent="0.25">
      <c r="B85" s="323" t="s">
        <v>604</v>
      </c>
      <c r="C85" s="323" t="s">
        <v>399</v>
      </c>
      <c r="E85" s="335"/>
      <c r="F85" s="335"/>
      <c r="H85" s="681">
        <v>0.71</v>
      </c>
      <c r="K85" s="335"/>
      <c r="L85" s="335"/>
      <c r="M85" s="678"/>
      <c r="N85" s="678"/>
    </row>
    <row r="86" spans="2:14" s="323" customFormat="1" x14ac:dyDescent="0.25">
      <c r="B86" s="323" t="s">
        <v>604</v>
      </c>
      <c r="C86" s="323" t="s">
        <v>402</v>
      </c>
      <c r="E86" s="335"/>
      <c r="F86" s="335"/>
      <c r="H86" s="681">
        <v>0.9</v>
      </c>
      <c r="K86" s="335"/>
      <c r="L86" s="335"/>
      <c r="M86" s="678"/>
      <c r="N86" s="678"/>
    </row>
    <row r="87" spans="2:14" s="323" customFormat="1" x14ac:dyDescent="0.25">
      <c r="B87" s="323" t="s">
        <v>605</v>
      </c>
      <c r="C87" s="323" t="s">
        <v>392</v>
      </c>
      <c r="E87" s="335"/>
      <c r="F87" s="335"/>
      <c r="H87" s="681">
        <v>0.79</v>
      </c>
      <c r="K87" s="335"/>
      <c r="L87" s="335"/>
      <c r="M87" s="678"/>
      <c r="N87" s="678"/>
    </row>
    <row r="88" spans="2:14" s="323" customFormat="1" x14ac:dyDescent="0.25">
      <c r="B88" s="323" t="s">
        <v>602</v>
      </c>
      <c r="C88" s="323" t="s">
        <v>423</v>
      </c>
      <c r="E88" s="335"/>
      <c r="F88" s="335"/>
      <c r="H88" s="681">
        <v>0.74</v>
      </c>
      <c r="K88" s="335"/>
      <c r="L88" s="335"/>
      <c r="M88" s="678"/>
      <c r="N88" s="678"/>
    </row>
    <row r="89" spans="2:14" s="323" customFormat="1" x14ac:dyDescent="0.25">
      <c r="B89" s="323" t="s">
        <v>602</v>
      </c>
      <c r="C89" s="323" t="s">
        <v>568</v>
      </c>
      <c r="E89" s="335"/>
      <c r="F89" s="335"/>
      <c r="H89" s="681">
        <v>0.77</v>
      </c>
      <c r="K89" s="335"/>
      <c r="L89" s="335"/>
      <c r="M89" s="678"/>
      <c r="N89" s="678"/>
    </row>
    <row r="90" spans="2:14" s="323" customFormat="1" x14ac:dyDescent="0.25">
      <c r="B90" s="323" t="s">
        <v>604</v>
      </c>
      <c r="C90" s="323" t="s">
        <v>423</v>
      </c>
      <c r="E90" s="335"/>
      <c r="F90" s="335"/>
      <c r="H90" s="681">
        <v>0.89</v>
      </c>
      <c r="K90" s="335"/>
      <c r="L90" s="335"/>
      <c r="M90" s="335"/>
      <c r="N90" s="335"/>
    </row>
    <row r="91" spans="2:14" s="323" customFormat="1" x14ac:dyDescent="0.25">
      <c r="B91" s="323" t="s">
        <v>605</v>
      </c>
      <c r="C91" s="323" t="s">
        <v>423</v>
      </c>
      <c r="E91" s="335"/>
      <c r="F91" s="335"/>
      <c r="H91" s="681">
        <v>0.87</v>
      </c>
      <c r="K91" s="335"/>
      <c r="L91" s="335"/>
      <c r="M91" s="335"/>
      <c r="N91" s="335"/>
    </row>
    <row r="92" spans="2:14" s="323" customFormat="1" x14ac:dyDescent="0.25">
      <c r="B92" s="323" t="s">
        <v>602</v>
      </c>
      <c r="C92" s="323" t="s">
        <v>384</v>
      </c>
      <c r="E92" s="335"/>
      <c r="F92" s="335"/>
      <c r="H92" s="681">
        <v>0.88</v>
      </c>
      <c r="K92" s="335"/>
      <c r="L92" s="335"/>
      <c r="M92" s="335"/>
      <c r="N92" s="335"/>
    </row>
    <row r="93" spans="2:14" s="323" customFormat="1" x14ac:dyDescent="0.25">
      <c r="B93" s="323" t="s">
        <v>602</v>
      </c>
      <c r="C93" s="323" t="s">
        <v>404</v>
      </c>
      <c r="E93" s="335"/>
      <c r="F93" s="335"/>
      <c r="H93" s="681">
        <v>0.85</v>
      </c>
      <c r="K93" s="335"/>
      <c r="L93" s="335"/>
      <c r="M93" s="335"/>
      <c r="N93" s="335"/>
    </row>
    <row r="94" spans="2:14" s="323" customFormat="1" x14ac:dyDescent="0.25">
      <c r="B94" s="323" t="s">
        <v>602</v>
      </c>
      <c r="C94" s="323" t="s">
        <v>406</v>
      </c>
      <c r="E94" s="335"/>
      <c r="F94" s="335"/>
      <c r="H94" s="681">
        <v>0.92</v>
      </c>
      <c r="K94" s="335"/>
      <c r="L94" s="335"/>
      <c r="M94" s="335"/>
      <c r="N94" s="335"/>
    </row>
    <row r="95" spans="2:14" s="323" customFormat="1" x14ac:dyDescent="0.25">
      <c r="B95" s="323" t="s">
        <v>604</v>
      </c>
      <c r="C95" s="323" t="s">
        <v>384</v>
      </c>
      <c r="E95" s="335"/>
      <c r="F95" s="335"/>
      <c r="H95" s="681">
        <v>0.9</v>
      </c>
      <c r="K95" s="335"/>
      <c r="L95" s="335"/>
      <c r="M95" s="335"/>
      <c r="N95" s="335"/>
    </row>
    <row r="96" spans="2:14" s="323" customFormat="1" x14ac:dyDescent="0.25">
      <c r="B96" s="323" t="s">
        <v>604</v>
      </c>
      <c r="C96" s="323" t="s">
        <v>406</v>
      </c>
      <c r="E96" s="335"/>
      <c r="F96" s="335"/>
      <c r="H96" s="681">
        <v>0.9</v>
      </c>
      <c r="K96" s="335"/>
      <c r="L96" s="335"/>
      <c r="M96" s="335"/>
      <c r="N96" s="335"/>
    </row>
    <row r="97" spans="2:14" s="323" customFormat="1" x14ac:dyDescent="0.25">
      <c r="B97" s="323" t="s">
        <v>605</v>
      </c>
      <c r="C97" s="323" t="s">
        <v>384</v>
      </c>
      <c r="E97" s="335"/>
      <c r="F97" s="335"/>
      <c r="H97" s="681">
        <v>0.92</v>
      </c>
      <c r="K97" s="335"/>
      <c r="L97" s="335"/>
      <c r="M97" s="335"/>
      <c r="N97" s="335"/>
    </row>
    <row r="98" spans="2:14" x14ac:dyDescent="0.25">
      <c r="B98" s="1" t="s">
        <v>602</v>
      </c>
      <c r="C98" s="1" t="s">
        <v>413</v>
      </c>
      <c r="H98" s="216">
        <v>0.74</v>
      </c>
    </row>
    <row r="99" spans="2:14" x14ac:dyDescent="0.25">
      <c r="B99" s="1" t="s">
        <v>602</v>
      </c>
      <c r="C99" s="1" t="s">
        <v>414</v>
      </c>
      <c r="H99" s="216">
        <v>0.7</v>
      </c>
    </row>
    <row r="100" spans="2:14" x14ac:dyDescent="0.25">
      <c r="B100" s="1" t="s">
        <v>602</v>
      </c>
      <c r="C100" s="1" t="s">
        <v>606</v>
      </c>
      <c r="H100" s="216">
        <v>1.05</v>
      </c>
    </row>
    <row r="101" spans="2:14" x14ac:dyDescent="0.25">
      <c r="B101" s="1" t="s">
        <v>605</v>
      </c>
      <c r="C101" s="1" t="s">
        <v>413</v>
      </c>
      <c r="H101" s="216">
        <v>0.71</v>
      </c>
    </row>
  </sheetData>
  <autoFilter ref="B9:Z75" xr:uid="{43357533-1206-4B83-B7B0-C825FD024FD0}">
    <sortState xmlns:xlrd2="http://schemas.microsoft.com/office/spreadsheetml/2017/richdata2" ref="B9:Z75">
      <sortCondition ref="B9:B75"/>
    </sortState>
  </autoFilter>
  <mergeCells count="7">
    <mergeCell ref="N8:N9"/>
    <mergeCell ref="E8:G8"/>
    <mergeCell ref="I8:I9"/>
    <mergeCell ref="J8:J9"/>
    <mergeCell ref="K8:K9"/>
    <mergeCell ref="L8:L9"/>
    <mergeCell ref="M8:M9"/>
  </mergeCells>
  <pageMargins left="0.7" right="0.7" top="0.78740157499999996" bottom="0.78740157499999996"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13D7C-BFCC-49E1-97A0-8AD56B2FD1BA}">
  <sheetPr>
    <outlinePr summaryBelow="0" summaryRight="0"/>
  </sheetPr>
  <dimension ref="B2:O39"/>
  <sheetViews>
    <sheetView zoomScaleNormal="100" workbookViewId="0"/>
  </sheetViews>
  <sheetFormatPr baseColWidth="10" defaultColWidth="11.7109375" defaultRowHeight="15" outlineLevelCol="1" x14ac:dyDescent="0.25"/>
  <cols>
    <col min="1" max="1" width="3.7109375" style="1" customWidth="1"/>
    <col min="2" max="2" width="11.7109375" style="1" customWidth="1"/>
    <col min="3" max="3" width="12.28515625" style="1" customWidth="1"/>
    <col min="4" max="4" width="11.7109375" style="1" customWidth="1"/>
    <col min="5" max="5" width="8.7109375" style="1" customWidth="1"/>
    <col min="6" max="6" width="8.7109375" style="323" customWidth="1"/>
    <col min="7" max="8" width="8.7109375" style="1" customWidth="1"/>
    <col min="9" max="9" width="8.7109375" style="323" customWidth="1"/>
    <col min="10" max="12" width="8.7109375" style="1" customWidth="1"/>
    <col min="13" max="13" width="11.42578125" style="1" bestFit="1" customWidth="1"/>
    <col min="14" max="15" width="11.7109375" style="1" customWidth="1" outlineLevel="1"/>
    <col min="16" max="16384" width="11.7109375" style="1"/>
  </cols>
  <sheetData>
    <row r="2" spans="2:13" x14ac:dyDescent="0.25">
      <c r="B2" s="217" t="s">
        <v>607</v>
      </c>
    </row>
    <row r="3" spans="2:13" ht="18" x14ac:dyDescent="0.35">
      <c r="B3" s="1" t="s">
        <v>1481</v>
      </c>
    </row>
    <row r="4" spans="2:13" x14ac:dyDescent="0.25">
      <c r="B4" s="1" t="s">
        <v>611</v>
      </c>
    </row>
    <row r="6" spans="2:13" ht="18" x14ac:dyDescent="0.35">
      <c r="B6" s="785" t="s">
        <v>28</v>
      </c>
      <c r="C6" s="786" t="s">
        <v>495</v>
      </c>
      <c r="D6" s="785" t="s">
        <v>239</v>
      </c>
      <c r="E6" s="786"/>
      <c r="F6" s="1339" t="s">
        <v>1482</v>
      </c>
      <c r="G6" s="1340"/>
      <c r="H6" s="1339" t="s">
        <v>496</v>
      </c>
      <c r="I6" s="1341"/>
      <c r="J6" s="787" t="s">
        <v>497</v>
      </c>
      <c r="K6" s="788" t="s">
        <v>35</v>
      </c>
      <c r="L6" s="789" t="s">
        <v>498</v>
      </c>
      <c r="M6" s="789" t="s">
        <v>499</v>
      </c>
    </row>
    <row r="7" spans="2:13" x14ac:dyDescent="0.25">
      <c r="B7" s="790"/>
      <c r="C7" s="791"/>
      <c r="D7" s="792"/>
      <c r="E7" s="793" t="s">
        <v>610</v>
      </c>
      <c r="F7" s="662" t="s">
        <v>500</v>
      </c>
      <c r="G7" s="664" t="s">
        <v>612</v>
      </c>
      <c r="H7" s="662" t="s">
        <v>500</v>
      </c>
      <c r="I7" s="663" t="s">
        <v>612</v>
      </c>
      <c r="J7" s="662" t="s">
        <v>500</v>
      </c>
      <c r="K7" s="664" t="s">
        <v>500</v>
      </c>
      <c r="L7" s="663" t="s">
        <v>500</v>
      </c>
      <c r="M7" s="663" t="s">
        <v>500</v>
      </c>
    </row>
    <row r="8" spans="2:13" x14ac:dyDescent="0.25">
      <c r="B8" s="823" t="s">
        <v>501</v>
      </c>
      <c r="C8" s="829" t="s">
        <v>392</v>
      </c>
      <c r="D8" s="758" t="s">
        <v>91</v>
      </c>
      <c r="E8" s="794">
        <v>9</v>
      </c>
      <c r="F8" s="795">
        <v>0.66852682612198233</v>
      </c>
      <c r="G8" s="796">
        <v>8.5360746725259007E-2</v>
      </c>
      <c r="H8" s="798" t="s">
        <v>248</v>
      </c>
      <c r="I8" s="797" t="s">
        <v>248</v>
      </c>
      <c r="J8" s="798" t="s">
        <v>248</v>
      </c>
      <c r="K8" s="1251" t="s">
        <v>248</v>
      </c>
      <c r="L8" s="797" t="s">
        <v>248</v>
      </c>
      <c r="M8" s="797" t="s">
        <v>248</v>
      </c>
    </row>
    <row r="9" spans="2:13" x14ac:dyDescent="0.25">
      <c r="B9" s="823" t="s">
        <v>501</v>
      </c>
      <c r="C9" s="824" t="s">
        <v>392</v>
      </c>
      <c r="D9" s="758" t="s">
        <v>97</v>
      </c>
      <c r="E9" s="794">
        <v>4</v>
      </c>
      <c r="F9" s="795">
        <v>0.76354363276020898</v>
      </c>
      <c r="G9" s="796">
        <v>0.15071824011903087</v>
      </c>
      <c r="H9" s="798" t="s">
        <v>248</v>
      </c>
      <c r="I9" s="797" t="s">
        <v>248</v>
      </c>
      <c r="J9" s="798" t="s">
        <v>248</v>
      </c>
      <c r="K9" s="1251" t="s">
        <v>248</v>
      </c>
      <c r="L9" s="797" t="s">
        <v>248</v>
      </c>
      <c r="M9" s="797" t="s">
        <v>248</v>
      </c>
    </row>
    <row r="10" spans="2:13" x14ac:dyDescent="0.25">
      <c r="B10" s="823" t="s">
        <v>501</v>
      </c>
      <c r="C10" s="824" t="s">
        <v>392</v>
      </c>
      <c r="D10" s="758" t="s">
        <v>628</v>
      </c>
      <c r="E10" s="794">
        <v>0</v>
      </c>
      <c r="F10" s="1249">
        <f>F9</f>
        <v>0.76354363276020898</v>
      </c>
      <c r="G10" s="1250">
        <f>G9</f>
        <v>0.15071824011903087</v>
      </c>
      <c r="H10" s="798" t="s">
        <v>248</v>
      </c>
      <c r="I10" s="797" t="s">
        <v>248</v>
      </c>
      <c r="J10" s="798" t="s">
        <v>248</v>
      </c>
      <c r="K10" s="1251" t="s">
        <v>248</v>
      </c>
      <c r="L10" s="797" t="s">
        <v>248</v>
      </c>
      <c r="M10" s="797" t="s">
        <v>248</v>
      </c>
    </row>
    <row r="11" spans="2:13" x14ac:dyDescent="0.25">
      <c r="B11" s="823" t="s">
        <v>501</v>
      </c>
      <c r="C11" s="824" t="s">
        <v>392</v>
      </c>
      <c r="D11" s="758" t="s">
        <v>98</v>
      </c>
      <c r="E11" s="794">
        <v>3</v>
      </c>
      <c r="F11" s="795">
        <v>0.97971235840651649</v>
      </c>
      <c r="G11" s="796">
        <v>5.6371669019929418E-2</v>
      </c>
      <c r="H11" s="798" t="s">
        <v>248</v>
      </c>
      <c r="I11" s="797" t="s">
        <v>248</v>
      </c>
      <c r="J11" s="798" t="s">
        <v>248</v>
      </c>
      <c r="K11" s="1251" t="s">
        <v>248</v>
      </c>
      <c r="L11" s="797" t="s">
        <v>248</v>
      </c>
      <c r="M11" s="797" t="s">
        <v>248</v>
      </c>
    </row>
    <row r="12" spans="2:13" x14ac:dyDescent="0.25">
      <c r="B12" s="823" t="s">
        <v>501</v>
      </c>
      <c r="C12" s="824" t="s">
        <v>392</v>
      </c>
      <c r="D12" s="758" t="s">
        <v>99</v>
      </c>
      <c r="E12" s="794">
        <v>2</v>
      </c>
      <c r="F12" s="1249">
        <f t="shared" ref="F12:G13" si="0">F$32</f>
        <v>0.70974031487509404</v>
      </c>
      <c r="G12" s="1250">
        <f>G$32</f>
        <v>0.1463635631562937</v>
      </c>
      <c r="H12" s="798" t="s">
        <v>248</v>
      </c>
      <c r="I12" s="797" t="s">
        <v>248</v>
      </c>
      <c r="J12" s="798" t="s">
        <v>248</v>
      </c>
      <c r="K12" s="1251" t="s">
        <v>248</v>
      </c>
      <c r="L12" s="797" t="s">
        <v>248</v>
      </c>
      <c r="M12" s="797" t="s">
        <v>248</v>
      </c>
    </row>
    <row r="13" spans="2:13" x14ac:dyDescent="0.25">
      <c r="B13" s="823" t="s">
        <v>501</v>
      </c>
      <c r="C13" s="824" t="s">
        <v>392</v>
      </c>
      <c r="D13" s="758" t="s">
        <v>100</v>
      </c>
      <c r="E13" s="794">
        <v>0</v>
      </c>
      <c r="F13" s="1249">
        <f t="shared" si="0"/>
        <v>0.70974031487509404</v>
      </c>
      <c r="G13" s="1250">
        <f t="shared" si="0"/>
        <v>0.1463635631562937</v>
      </c>
      <c r="H13" s="798" t="s">
        <v>248</v>
      </c>
      <c r="I13" s="797" t="s">
        <v>248</v>
      </c>
      <c r="J13" s="798" t="s">
        <v>248</v>
      </c>
      <c r="K13" s="1251" t="s">
        <v>248</v>
      </c>
      <c r="L13" s="797" t="s">
        <v>248</v>
      </c>
      <c r="M13" s="797" t="s">
        <v>248</v>
      </c>
    </row>
    <row r="14" spans="2:13" x14ac:dyDescent="0.25">
      <c r="B14" s="823" t="s">
        <v>501</v>
      </c>
      <c r="C14" s="824" t="s">
        <v>392</v>
      </c>
      <c r="D14" s="758" t="s">
        <v>101</v>
      </c>
      <c r="E14" s="794">
        <v>12</v>
      </c>
      <c r="F14" s="795">
        <v>0.64611267121742311</v>
      </c>
      <c r="G14" s="796">
        <v>0.13007060299251069</v>
      </c>
      <c r="H14" s="798" t="s">
        <v>248</v>
      </c>
      <c r="I14" s="797" t="s">
        <v>248</v>
      </c>
      <c r="J14" s="798" t="s">
        <v>248</v>
      </c>
      <c r="K14" s="1251" t="s">
        <v>248</v>
      </c>
      <c r="L14" s="797" t="s">
        <v>248</v>
      </c>
      <c r="M14" s="797" t="s">
        <v>248</v>
      </c>
    </row>
    <row r="15" spans="2:13" x14ac:dyDescent="0.25">
      <c r="B15" s="823" t="s">
        <v>501</v>
      </c>
      <c r="C15" s="824" t="s">
        <v>384</v>
      </c>
      <c r="D15" s="758" t="s">
        <v>102</v>
      </c>
      <c r="E15" s="794">
        <v>1</v>
      </c>
      <c r="F15" s="1249">
        <f>F$33</f>
        <v>0.87773596146249411</v>
      </c>
      <c r="G15" s="1250">
        <f t="shared" ref="G15:G17" si="1">G$33</f>
        <v>0.21479276834465333</v>
      </c>
      <c r="H15" s="798" t="s">
        <v>248</v>
      </c>
      <c r="I15" s="797" t="s">
        <v>248</v>
      </c>
      <c r="J15" s="798" t="s">
        <v>248</v>
      </c>
      <c r="K15" s="1251" t="s">
        <v>248</v>
      </c>
      <c r="L15" s="797" t="s">
        <v>248</v>
      </c>
      <c r="M15" s="797" t="s">
        <v>248</v>
      </c>
    </row>
    <row r="16" spans="2:13" x14ac:dyDescent="0.25">
      <c r="B16" s="823" t="s">
        <v>501</v>
      </c>
      <c r="C16" s="824" t="s">
        <v>384</v>
      </c>
      <c r="D16" s="758" t="s">
        <v>103</v>
      </c>
      <c r="E16" s="794">
        <v>1</v>
      </c>
      <c r="F16" s="1249">
        <f t="shared" ref="F16:F17" si="2">F$33</f>
        <v>0.87773596146249411</v>
      </c>
      <c r="G16" s="1250">
        <f t="shared" si="1"/>
        <v>0.21479276834465333</v>
      </c>
      <c r="H16" s="798" t="s">
        <v>248</v>
      </c>
      <c r="I16" s="797" t="s">
        <v>248</v>
      </c>
      <c r="J16" s="798" t="s">
        <v>248</v>
      </c>
      <c r="K16" s="1251" t="s">
        <v>248</v>
      </c>
      <c r="L16" s="797" t="s">
        <v>248</v>
      </c>
      <c r="M16" s="797" t="s">
        <v>248</v>
      </c>
    </row>
    <row r="17" spans="2:13" x14ac:dyDescent="0.25">
      <c r="B17" s="823" t="s">
        <v>501</v>
      </c>
      <c r="C17" s="824" t="s">
        <v>384</v>
      </c>
      <c r="D17" s="758" t="s">
        <v>503</v>
      </c>
      <c r="E17" s="794">
        <v>0</v>
      </c>
      <c r="F17" s="1249">
        <f t="shared" si="2"/>
        <v>0.87773596146249411</v>
      </c>
      <c r="G17" s="1250">
        <f t="shared" si="1"/>
        <v>0.21479276834465333</v>
      </c>
      <c r="H17" s="798" t="s">
        <v>248</v>
      </c>
      <c r="I17" s="797" t="s">
        <v>248</v>
      </c>
      <c r="J17" s="798" t="s">
        <v>248</v>
      </c>
      <c r="K17" s="1251" t="s">
        <v>248</v>
      </c>
      <c r="L17" s="797" t="s">
        <v>248</v>
      </c>
      <c r="M17" s="797" t="s">
        <v>248</v>
      </c>
    </row>
    <row r="18" spans="2:13" x14ac:dyDescent="0.25">
      <c r="B18" s="823" t="s">
        <v>501</v>
      </c>
      <c r="C18" s="824" t="s">
        <v>423</v>
      </c>
      <c r="D18" s="758" t="s">
        <v>108</v>
      </c>
      <c r="E18" s="794">
        <v>0</v>
      </c>
      <c r="F18" s="1249">
        <f>F$34</f>
        <v>0.69583791583791577</v>
      </c>
      <c r="G18" s="1250">
        <f>G$34</f>
        <v>0.13293088251086829</v>
      </c>
      <c r="H18" s="798" t="s">
        <v>248</v>
      </c>
      <c r="I18" s="797" t="s">
        <v>248</v>
      </c>
      <c r="J18" s="798" t="s">
        <v>248</v>
      </c>
      <c r="K18" s="1251" t="s">
        <v>248</v>
      </c>
      <c r="L18" s="797" t="s">
        <v>248</v>
      </c>
      <c r="M18" s="797" t="s">
        <v>248</v>
      </c>
    </row>
    <row r="19" spans="2:13" x14ac:dyDescent="0.25">
      <c r="B19" s="823" t="s">
        <v>501</v>
      </c>
      <c r="C19" s="824" t="s">
        <v>384</v>
      </c>
      <c r="D19" s="758" t="s">
        <v>629</v>
      </c>
      <c r="E19" s="794">
        <v>2</v>
      </c>
      <c r="F19" s="1249">
        <f t="shared" ref="F19:G20" si="3">F$33</f>
        <v>0.87773596146249411</v>
      </c>
      <c r="G19" s="1250">
        <f t="shared" si="3"/>
        <v>0.21479276834465333</v>
      </c>
      <c r="H19" s="798" t="s">
        <v>248</v>
      </c>
      <c r="I19" s="797" t="s">
        <v>248</v>
      </c>
      <c r="J19" s="798" t="s">
        <v>248</v>
      </c>
      <c r="K19" s="1251" t="s">
        <v>248</v>
      </c>
      <c r="L19" s="797" t="s">
        <v>248</v>
      </c>
      <c r="M19" s="797" t="s">
        <v>248</v>
      </c>
    </row>
    <row r="20" spans="2:13" x14ac:dyDescent="0.25">
      <c r="B20" s="823" t="s">
        <v>501</v>
      </c>
      <c r="C20" s="824" t="s">
        <v>384</v>
      </c>
      <c r="D20" s="758" t="s">
        <v>105</v>
      </c>
      <c r="E20" s="794">
        <v>2</v>
      </c>
      <c r="F20" s="1249">
        <f t="shared" si="3"/>
        <v>0.87773596146249411</v>
      </c>
      <c r="G20" s="1250">
        <f t="shared" si="3"/>
        <v>0.21479276834465333</v>
      </c>
      <c r="H20" s="798" t="s">
        <v>248</v>
      </c>
      <c r="I20" s="797" t="s">
        <v>248</v>
      </c>
      <c r="J20" s="798" t="s">
        <v>248</v>
      </c>
      <c r="K20" s="1251" t="s">
        <v>248</v>
      </c>
      <c r="L20" s="797" t="s">
        <v>248</v>
      </c>
      <c r="M20" s="797" t="s">
        <v>248</v>
      </c>
    </row>
    <row r="21" spans="2:13" x14ac:dyDescent="0.25">
      <c r="B21" s="823" t="s">
        <v>501</v>
      </c>
      <c r="C21" s="824" t="s">
        <v>423</v>
      </c>
      <c r="D21" s="758" t="s">
        <v>107</v>
      </c>
      <c r="E21" s="794">
        <v>0</v>
      </c>
      <c r="F21" s="1249">
        <f t="shared" ref="F21:G23" si="4">F$34</f>
        <v>0.69583791583791577</v>
      </c>
      <c r="G21" s="1250">
        <f t="shared" si="4"/>
        <v>0.13293088251086829</v>
      </c>
      <c r="H21" s="798" t="s">
        <v>248</v>
      </c>
      <c r="I21" s="797" t="s">
        <v>248</v>
      </c>
      <c r="J21" s="798" t="s">
        <v>248</v>
      </c>
      <c r="K21" s="1251" t="s">
        <v>248</v>
      </c>
      <c r="L21" s="797" t="s">
        <v>248</v>
      </c>
      <c r="M21" s="797" t="s">
        <v>248</v>
      </c>
    </row>
    <row r="22" spans="2:13" x14ac:dyDescent="0.25">
      <c r="B22" s="823" t="s">
        <v>501</v>
      </c>
      <c r="C22" s="824" t="s">
        <v>423</v>
      </c>
      <c r="D22" s="758" t="s">
        <v>109</v>
      </c>
      <c r="E22" s="794">
        <v>2</v>
      </c>
      <c r="F22" s="1249">
        <f t="shared" si="4"/>
        <v>0.69583791583791577</v>
      </c>
      <c r="G22" s="1250">
        <f t="shared" si="4"/>
        <v>0.13293088251086829</v>
      </c>
      <c r="H22" s="798" t="s">
        <v>248</v>
      </c>
      <c r="I22" s="797" t="s">
        <v>248</v>
      </c>
      <c r="J22" s="798" t="s">
        <v>248</v>
      </c>
      <c r="K22" s="1251" t="s">
        <v>248</v>
      </c>
      <c r="L22" s="797" t="s">
        <v>248</v>
      </c>
      <c r="M22" s="797" t="s">
        <v>248</v>
      </c>
    </row>
    <row r="23" spans="2:13" x14ac:dyDescent="0.25">
      <c r="B23" s="823" t="s">
        <v>501</v>
      </c>
      <c r="C23" s="824" t="s">
        <v>423</v>
      </c>
      <c r="D23" s="758" t="s">
        <v>110</v>
      </c>
      <c r="E23" s="794">
        <v>1</v>
      </c>
      <c r="F23" s="1249">
        <f t="shared" si="4"/>
        <v>0.69583791583791577</v>
      </c>
      <c r="G23" s="1250">
        <f t="shared" si="4"/>
        <v>0.13293088251086829</v>
      </c>
      <c r="H23" s="798" t="s">
        <v>248</v>
      </c>
      <c r="I23" s="797" t="s">
        <v>248</v>
      </c>
      <c r="J23" s="798" t="s">
        <v>248</v>
      </c>
      <c r="K23" s="1251" t="s">
        <v>248</v>
      </c>
      <c r="L23" s="797" t="s">
        <v>248</v>
      </c>
      <c r="M23" s="797" t="s">
        <v>248</v>
      </c>
    </row>
    <row r="24" spans="2:13" x14ac:dyDescent="0.25">
      <c r="B24" s="823" t="s">
        <v>501</v>
      </c>
      <c r="C24" s="824" t="s">
        <v>384</v>
      </c>
      <c r="D24" s="758" t="s">
        <v>502</v>
      </c>
      <c r="E24" s="794">
        <v>2</v>
      </c>
      <c r="F24" s="1249">
        <f t="shared" ref="F24:G24" si="5">F$33</f>
        <v>0.87773596146249411</v>
      </c>
      <c r="G24" s="1250">
        <f t="shared" si="5"/>
        <v>0.21479276834465333</v>
      </c>
      <c r="H24" s="798" t="s">
        <v>248</v>
      </c>
      <c r="I24" s="797" t="s">
        <v>248</v>
      </c>
      <c r="J24" s="798" t="s">
        <v>248</v>
      </c>
      <c r="K24" s="1251" t="s">
        <v>248</v>
      </c>
      <c r="L24" s="797" t="s">
        <v>248</v>
      </c>
      <c r="M24" s="797" t="s">
        <v>248</v>
      </c>
    </row>
    <row r="25" spans="2:13" x14ac:dyDescent="0.25">
      <c r="B25" s="823" t="s">
        <v>501</v>
      </c>
      <c r="C25" s="824" t="s">
        <v>413</v>
      </c>
      <c r="D25" s="758" t="s">
        <v>504</v>
      </c>
      <c r="E25" s="794">
        <v>6</v>
      </c>
      <c r="F25" s="795">
        <v>0.78316704421159455</v>
      </c>
      <c r="G25" s="796">
        <v>0.25066551789067631</v>
      </c>
      <c r="H25" s="798" t="s">
        <v>248</v>
      </c>
      <c r="I25" s="797" t="s">
        <v>248</v>
      </c>
      <c r="J25" s="798" t="s">
        <v>248</v>
      </c>
      <c r="K25" s="1251" t="s">
        <v>248</v>
      </c>
      <c r="L25" s="797" t="s">
        <v>248</v>
      </c>
      <c r="M25" s="797" t="s">
        <v>248</v>
      </c>
    </row>
    <row r="26" spans="2:13" x14ac:dyDescent="0.25">
      <c r="B26" s="823" t="s">
        <v>501</v>
      </c>
      <c r="C26" s="824" t="s">
        <v>413</v>
      </c>
      <c r="D26" s="758" t="s">
        <v>112</v>
      </c>
      <c r="E26" s="794">
        <v>1</v>
      </c>
      <c r="F26" s="1249">
        <f>F$35</f>
        <v>0.7950192355380219</v>
      </c>
      <c r="G26" s="1250">
        <f>G$35</f>
        <v>0.23388004788914843</v>
      </c>
      <c r="H26" s="798" t="s">
        <v>248</v>
      </c>
      <c r="I26" s="797" t="s">
        <v>248</v>
      </c>
      <c r="J26" s="798" t="s">
        <v>248</v>
      </c>
      <c r="K26" s="1251" t="s">
        <v>248</v>
      </c>
      <c r="L26" s="797" t="s">
        <v>248</v>
      </c>
      <c r="M26" s="797" t="s">
        <v>248</v>
      </c>
    </row>
    <row r="27" spans="2:13" x14ac:dyDescent="0.25">
      <c r="B27" s="825" t="s">
        <v>505</v>
      </c>
      <c r="C27" s="824" t="s">
        <v>258</v>
      </c>
      <c r="D27" s="758" t="s">
        <v>113</v>
      </c>
      <c r="E27" s="794">
        <v>3</v>
      </c>
      <c r="F27" s="795">
        <v>1.0189162942842958</v>
      </c>
      <c r="G27" s="796">
        <v>3.5501448796465315E-2</v>
      </c>
      <c r="H27" s="795">
        <v>1.0834586466165415</v>
      </c>
      <c r="I27" s="799">
        <v>3.0827067669172981E-2</v>
      </c>
      <c r="J27" s="798" t="s">
        <v>248</v>
      </c>
      <c r="K27" s="1251" t="s">
        <v>248</v>
      </c>
      <c r="L27" s="1252">
        <v>1.0957444797669045</v>
      </c>
      <c r="M27" s="797" t="s">
        <v>248</v>
      </c>
    </row>
    <row r="28" spans="2:13" x14ac:dyDescent="0.25">
      <c r="B28" s="825" t="s">
        <v>505</v>
      </c>
      <c r="C28" s="824" t="s">
        <v>261</v>
      </c>
      <c r="D28" s="758" t="s">
        <v>114</v>
      </c>
      <c r="E28" s="794">
        <v>4</v>
      </c>
      <c r="F28" s="795">
        <v>1.0542084541432855</v>
      </c>
      <c r="G28" s="796">
        <v>8.1474518291851553E-2</v>
      </c>
      <c r="H28" s="795">
        <v>1.4442141917087079</v>
      </c>
      <c r="I28" s="799">
        <v>0.33257714460173193</v>
      </c>
      <c r="J28" s="798" t="s">
        <v>248</v>
      </c>
      <c r="K28" s="1251" t="s">
        <v>248</v>
      </c>
      <c r="L28" s="1252">
        <v>1.339525266258164</v>
      </c>
      <c r="M28" s="797" t="s">
        <v>248</v>
      </c>
    </row>
    <row r="29" spans="2:13" x14ac:dyDescent="0.25">
      <c r="B29" s="825" t="s">
        <v>505</v>
      </c>
      <c r="C29" s="824" t="s">
        <v>252</v>
      </c>
      <c r="D29" s="758" t="s">
        <v>2366</v>
      </c>
      <c r="E29" s="794">
        <v>3</v>
      </c>
      <c r="F29" s="795">
        <v>0.99800746185133227</v>
      </c>
      <c r="G29" s="796">
        <v>7.3352120767446988E-2</v>
      </c>
      <c r="H29" s="795">
        <v>1.3333333333333333</v>
      </c>
      <c r="I29" s="799">
        <v>0.1333333333333333</v>
      </c>
      <c r="J29" s="798" t="s">
        <v>248</v>
      </c>
      <c r="K29" s="1251" t="s">
        <v>248</v>
      </c>
      <c r="L29" s="1252">
        <v>0.84700850935273531</v>
      </c>
      <c r="M29" s="797" t="s">
        <v>248</v>
      </c>
    </row>
    <row r="30" spans="2:13" x14ac:dyDescent="0.25">
      <c r="B30" s="825" t="s">
        <v>508</v>
      </c>
      <c r="C30" s="824" t="s">
        <v>252</v>
      </c>
      <c r="D30" s="758" t="s">
        <v>115</v>
      </c>
      <c r="E30" s="794">
        <v>16</v>
      </c>
      <c r="F30" s="795">
        <v>0.85614044645762133</v>
      </c>
      <c r="G30" s="796">
        <v>7.2079066629269717E-2</v>
      </c>
      <c r="H30" s="795">
        <v>1.0633116883116882</v>
      </c>
      <c r="I30" s="799">
        <v>0</v>
      </c>
      <c r="J30" s="798" t="s">
        <v>248</v>
      </c>
      <c r="K30" s="1251" t="s">
        <v>248</v>
      </c>
      <c r="L30" s="1252">
        <v>0.96412260529986116</v>
      </c>
      <c r="M30" s="797" t="s">
        <v>248</v>
      </c>
    </row>
    <row r="31" spans="2:13" x14ac:dyDescent="0.25">
      <c r="B31" s="825" t="s">
        <v>508</v>
      </c>
      <c r="C31" s="824" t="s">
        <v>261</v>
      </c>
      <c r="D31" s="758" t="s">
        <v>116</v>
      </c>
      <c r="E31" s="794">
        <v>3</v>
      </c>
      <c r="F31" s="795">
        <v>0.89470537923169602</v>
      </c>
      <c r="G31" s="796">
        <v>3.0404752926894263E-2</v>
      </c>
      <c r="H31" s="795">
        <v>1.4442141917087079</v>
      </c>
      <c r="I31" s="799">
        <v>0.33257714460173193</v>
      </c>
      <c r="J31" s="798" t="s">
        <v>248</v>
      </c>
      <c r="K31" s="1251" t="s">
        <v>248</v>
      </c>
      <c r="L31" s="1252">
        <v>1.0464970244995748</v>
      </c>
      <c r="M31" s="797" t="s">
        <v>248</v>
      </c>
    </row>
    <row r="32" spans="2:13" x14ac:dyDescent="0.25">
      <c r="B32" s="826" t="s">
        <v>501</v>
      </c>
      <c r="C32" s="827" t="s">
        <v>392</v>
      </c>
      <c r="D32" s="801" t="s">
        <v>509</v>
      </c>
      <c r="E32" s="802">
        <v>34</v>
      </c>
      <c r="F32" s="803">
        <v>0.70974031487509404</v>
      </c>
      <c r="G32" s="804">
        <v>0.1463635631562937</v>
      </c>
      <c r="H32" s="807" t="s">
        <v>248</v>
      </c>
      <c r="I32" s="806" t="s">
        <v>248</v>
      </c>
      <c r="J32" s="807" t="s">
        <v>248</v>
      </c>
      <c r="K32" s="805" t="s">
        <v>248</v>
      </c>
      <c r="L32" s="806" t="s">
        <v>248</v>
      </c>
      <c r="M32" s="806" t="s">
        <v>248</v>
      </c>
    </row>
    <row r="33" spans="2:14" x14ac:dyDescent="0.25">
      <c r="B33" s="823" t="s">
        <v>501</v>
      </c>
      <c r="C33" s="824" t="s">
        <v>384</v>
      </c>
      <c r="D33" s="808" t="s">
        <v>509</v>
      </c>
      <c r="E33" s="323">
        <v>8</v>
      </c>
      <c r="F33" s="795">
        <v>0.87773596146249411</v>
      </c>
      <c r="G33" s="796">
        <v>0.21479276834465333</v>
      </c>
      <c r="H33" s="798" t="s">
        <v>248</v>
      </c>
      <c r="I33" s="797" t="s">
        <v>248</v>
      </c>
      <c r="J33" s="798" t="s">
        <v>248</v>
      </c>
      <c r="K33" s="1251" t="s">
        <v>248</v>
      </c>
      <c r="L33" s="797" t="s">
        <v>248</v>
      </c>
      <c r="M33" s="797" t="s">
        <v>248</v>
      </c>
    </row>
    <row r="34" spans="2:14" x14ac:dyDescent="0.25">
      <c r="B34" s="823" t="s">
        <v>501</v>
      </c>
      <c r="C34" s="824" t="s">
        <v>423</v>
      </c>
      <c r="D34" s="808" t="s">
        <v>509</v>
      </c>
      <c r="E34" s="323">
        <v>3</v>
      </c>
      <c r="F34" s="795">
        <v>0.69583791583791577</v>
      </c>
      <c r="G34" s="796">
        <v>0.13293088251086829</v>
      </c>
      <c r="H34" s="798" t="s">
        <v>248</v>
      </c>
      <c r="I34" s="797" t="s">
        <v>248</v>
      </c>
      <c r="J34" s="798" t="s">
        <v>248</v>
      </c>
      <c r="K34" s="1251" t="s">
        <v>248</v>
      </c>
      <c r="L34" s="797" t="s">
        <v>248</v>
      </c>
      <c r="M34" s="797" t="s">
        <v>248</v>
      </c>
    </row>
    <row r="35" spans="2:14" x14ac:dyDescent="0.25">
      <c r="B35" s="823" t="s">
        <v>501</v>
      </c>
      <c r="C35" s="824" t="s">
        <v>413</v>
      </c>
      <c r="D35" s="808" t="s">
        <v>509</v>
      </c>
      <c r="E35" s="323">
        <v>7</v>
      </c>
      <c r="F35" s="795">
        <v>0.7950192355380219</v>
      </c>
      <c r="G35" s="796">
        <v>0.23388004788914843</v>
      </c>
      <c r="H35" s="798" t="s">
        <v>248</v>
      </c>
      <c r="I35" s="797" t="s">
        <v>248</v>
      </c>
      <c r="J35" s="798" t="s">
        <v>248</v>
      </c>
      <c r="K35" s="1251" t="s">
        <v>248</v>
      </c>
      <c r="L35" s="797" t="s">
        <v>248</v>
      </c>
      <c r="M35" s="797" t="s">
        <v>248</v>
      </c>
    </row>
    <row r="36" spans="2:14" x14ac:dyDescent="0.25">
      <c r="B36" s="826" t="s">
        <v>501</v>
      </c>
      <c r="C36" s="828" t="s">
        <v>509</v>
      </c>
      <c r="D36" s="801" t="s">
        <v>509</v>
      </c>
      <c r="E36" s="800">
        <v>52</v>
      </c>
      <c r="F36" s="809" t="s">
        <v>248</v>
      </c>
      <c r="G36" s="809" t="s">
        <v>248</v>
      </c>
      <c r="H36" s="807" t="s">
        <v>248</v>
      </c>
      <c r="I36" s="806" t="s">
        <v>248</v>
      </c>
      <c r="J36" s="990">
        <v>1.1054181316985423</v>
      </c>
      <c r="K36" s="991">
        <v>0.95635467282063591</v>
      </c>
      <c r="L36" s="992" t="s">
        <v>248</v>
      </c>
      <c r="M36" s="992">
        <v>1.5665743221996231</v>
      </c>
      <c r="N36" s="1" t="s">
        <v>2387</v>
      </c>
    </row>
    <row r="37" spans="2:14" x14ac:dyDescent="0.25">
      <c r="B37" s="1005" t="s">
        <v>510</v>
      </c>
      <c r="C37" s="1006" t="s">
        <v>509</v>
      </c>
      <c r="D37" s="810" t="s">
        <v>509</v>
      </c>
      <c r="E37" s="811">
        <v>28</v>
      </c>
      <c r="F37" s="812" t="s">
        <v>248</v>
      </c>
      <c r="G37" s="812" t="s">
        <v>248</v>
      </c>
      <c r="H37" s="1253" t="s">
        <v>248</v>
      </c>
      <c r="I37" s="813" t="s">
        <v>248</v>
      </c>
      <c r="J37" s="993">
        <v>0.95992196589332923</v>
      </c>
      <c r="K37" s="994">
        <v>0.8941141413572069</v>
      </c>
      <c r="L37" s="995" t="s">
        <v>248</v>
      </c>
      <c r="M37" s="995" t="s">
        <v>248</v>
      </c>
    </row>
    <row r="38" spans="2:14" x14ac:dyDescent="0.25">
      <c r="H38" s="814"/>
      <c r="M38" s="814"/>
    </row>
    <row r="39" spans="2:14" x14ac:dyDescent="0.25">
      <c r="D39" s="215" t="s">
        <v>511</v>
      </c>
      <c r="E39" s="815">
        <v>3</v>
      </c>
    </row>
  </sheetData>
  <mergeCells count="2">
    <mergeCell ref="F6:G6"/>
    <mergeCell ref="H6:I6"/>
  </mergeCells>
  <conditionalFormatting sqref="B25:C38 C2:C4 B5:C22 B40:C1048576">
    <cfRule type="expression" dxfId="98" priority="28">
      <formula>$B2="animal-based"</formula>
    </cfRule>
    <cfRule type="expression" dxfId="97" priority="29">
      <formula>$B2="plant-based"</formula>
    </cfRule>
    <cfRule type="expression" dxfId="96" priority="30">
      <formula>$B2="animal"</formula>
    </cfRule>
  </conditionalFormatting>
  <conditionalFormatting sqref="I8:I14 J2:M14 F2:H14 F25:H25 H24:M24 F15:M22 G26:H26 F42:M1048576 I25:M41 F27:H41">
    <cfRule type="expression" dxfId="95" priority="27">
      <formula>F2="-"</formula>
    </cfRule>
  </conditionalFormatting>
  <conditionalFormatting sqref="E39">
    <cfRule type="expression" dxfId="94" priority="31">
      <formula>$E39="animal-based"</formula>
    </cfRule>
    <cfRule type="expression" dxfId="93" priority="32">
      <formula>$E39="plant-based"</formula>
    </cfRule>
    <cfRule type="expression" dxfId="92" priority="33">
      <formula>$E39="meat"</formula>
    </cfRule>
  </conditionalFormatting>
  <conditionalFormatting sqref="I2:I5">
    <cfRule type="expression" dxfId="91" priority="26">
      <formula>I2="-"</formula>
    </cfRule>
  </conditionalFormatting>
  <conditionalFormatting sqref="I7">
    <cfRule type="expression" dxfId="90" priority="25">
      <formula>I7="-"</formula>
    </cfRule>
  </conditionalFormatting>
  <conditionalFormatting sqref="I27:I31">
    <cfRule type="expression" dxfId="89" priority="24">
      <formula>I27="-"</formula>
    </cfRule>
  </conditionalFormatting>
  <conditionalFormatting sqref="B23:C23">
    <cfRule type="expression" dxfId="88" priority="17">
      <formula>$B23="animal-based"</formula>
    </cfRule>
    <cfRule type="expression" dxfId="87" priority="18">
      <formula>$B23="plant-based"</formula>
    </cfRule>
    <cfRule type="expression" dxfId="86" priority="19">
      <formula>$B23="animal"</formula>
    </cfRule>
  </conditionalFormatting>
  <conditionalFormatting sqref="F23:M23">
    <cfRule type="expression" dxfId="85" priority="16">
      <formula>F23="-"</formula>
    </cfRule>
  </conditionalFormatting>
  <conditionalFormatting sqref="F18:M18">
    <cfRule type="expression" dxfId="84" priority="15">
      <formula>F18="-"</formula>
    </cfRule>
  </conditionalFormatting>
  <conditionalFormatting sqref="B24">
    <cfRule type="expression" dxfId="83" priority="9">
      <formula>$B24="animal-based"</formula>
    </cfRule>
    <cfRule type="expression" dxfId="82" priority="10">
      <formula>$B24="plant-based"</formula>
    </cfRule>
    <cfRule type="expression" dxfId="81" priority="11">
      <formula>$B24="animal"</formula>
    </cfRule>
  </conditionalFormatting>
  <conditionalFormatting sqref="F24:G24">
    <cfRule type="expression" dxfId="80" priority="8">
      <formula>F24="-"</formula>
    </cfRule>
  </conditionalFormatting>
  <conditionalFormatting sqref="C24">
    <cfRule type="expression" dxfId="79" priority="5">
      <formula>$B24="animal-based"</formula>
    </cfRule>
    <cfRule type="expression" dxfId="78" priority="6">
      <formula>$B24="plant-based"</formula>
    </cfRule>
    <cfRule type="expression" dxfId="77" priority="7">
      <formula>$B24="animal"</formula>
    </cfRule>
  </conditionalFormatting>
  <conditionalFormatting sqref="E2:E38 E40:E1048576">
    <cfRule type="expression" dxfId="76" priority="50">
      <formula>AND($E2&lt;E$39,ISNUMBER($E2))</formula>
    </cfRule>
  </conditionalFormatting>
  <conditionalFormatting sqref="F26">
    <cfRule type="expression" dxfId="75" priority="4">
      <formula>F26="-"</formula>
    </cfRule>
  </conditionalFormatting>
  <pageMargins left="0.7" right="0.7" top="0.78740157499999996" bottom="0.78740157499999996"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3541-2A21-43C8-B0F2-12F0A21F9E1C}">
  <sheetPr>
    <outlinePr summaryBelow="0" summaryRight="0"/>
  </sheetPr>
  <dimension ref="A1:CG504"/>
  <sheetViews>
    <sheetView zoomScale="85" zoomScaleNormal="85" workbookViewId="0">
      <pane xSplit="8" ySplit="8" topLeftCell="I9" activePane="bottomRight" state="frozen"/>
      <selection activeCell="BU188" sqref="BU188"/>
      <selection pane="topRight" activeCell="BU188" sqref="BU188"/>
      <selection pane="bottomLeft" activeCell="BU188" sqref="BU188"/>
      <selection pane="bottomRight"/>
    </sheetView>
  </sheetViews>
  <sheetFormatPr baseColWidth="10" defaultColWidth="12.7109375" defaultRowHeight="15" outlineLevelRow="1" outlineLevelCol="1" x14ac:dyDescent="0.25"/>
  <cols>
    <col min="1" max="5" width="3.7109375" style="1" customWidth="1"/>
    <col min="6" max="6" width="43.140625" style="1" bestFit="1" customWidth="1"/>
    <col min="7" max="7" width="41.7109375" style="1" customWidth="1"/>
    <col min="8" max="8" width="3.7109375" style="1" customWidth="1"/>
    <col min="9" max="15" width="12.7109375" style="220"/>
    <col min="16" max="17" width="12.7109375" style="220" outlineLevel="1"/>
    <col min="18" max="20" width="12.7109375" style="1" outlineLevel="1"/>
    <col min="21" max="21" width="12.7109375" style="220"/>
    <col min="22" max="26" width="12.7109375" style="220" outlineLevel="1"/>
    <col min="27" max="27" width="12.7109375" style="220"/>
    <col min="28" max="29" width="12.7109375" style="220" outlineLevel="1"/>
    <col min="30" max="32" width="12.7109375" style="1" outlineLevel="1"/>
    <col min="33" max="33" width="12.7109375" style="220"/>
    <col min="34" max="38" width="12.7109375" style="220" outlineLevel="1"/>
    <col min="39" max="39" width="12.7109375" style="220"/>
    <col min="40" max="41" width="12.7109375" style="220" outlineLevel="1"/>
    <col min="42" max="44" width="12.7109375" style="1" outlineLevel="1"/>
    <col min="45" max="45" width="12.7109375" style="220"/>
    <col min="46" max="46" width="12.7109375" style="220" outlineLevel="1" collapsed="1"/>
    <col min="47" max="47" width="12.7109375" style="220" customWidth="1" outlineLevel="1" collapsed="1"/>
    <col min="48" max="50" width="12.7109375" style="220" customWidth="1" outlineLevel="1"/>
    <col min="51" max="53" width="3.7109375" style="220" customWidth="1"/>
    <col min="54" max="54" width="12.7109375" style="220" customWidth="1"/>
    <col min="55" max="58" width="12.7109375" style="220" outlineLevel="1"/>
    <col min="59" max="75" width="12.7109375" style="1" outlineLevel="1"/>
    <col min="76" max="76" width="12.7109375" style="1" customWidth="1" outlineLevel="1"/>
    <col min="77" max="77" width="2.7109375" style="1" customWidth="1" outlineLevel="1"/>
    <col min="78" max="80" width="12.7109375" style="1" outlineLevel="1"/>
    <col min="81" max="81" width="3.7109375" style="1" customWidth="1" outlineLevel="1"/>
    <col min="82" max="82" width="78.7109375" style="1" customWidth="1" outlineLevel="1"/>
    <col min="83" max="84" width="12.7109375" style="1" outlineLevel="1"/>
    <col min="85" max="16384" width="12.7109375" style="1"/>
  </cols>
  <sheetData>
    <row r="1" spans="1:84" x14ac:dyDescent="0.25">
      <c r="A1" s="936"/>
    </row>
    <row r="2" spans="1:84" x14ac:dyDescent="0.25">
      <c r="B2" s="936" t="s">
        <v>2379</v>
      </c>
    </row>
    <row r="3" spans="1:84" x14ac:dyDescent="0.25">
      <c r="I3" s="1007" t="s">
        <v>706</v>
      </c>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1008"/>
      <c r="AO3" s="1008"/>
      <c r="AP3" s="1008"/>
      <c r="AQ3" s="1008"/>
      <c r="AR3" s="1008"/>
      <c r="AS3" s="1008"/>
      <c r="AT3" s="1008"/>
      <c r="AU3" s="1008"/>
      <c r="AV3" s="1008"/>
      <c r="AW3" s="1008"/>
      <c r="AX3" s="1009"/>
      <c r="AY3" s="409"/>
      <c r="BB3" s="1372" t="s">
        <v>759</v>
      </c>
      <c r="BC3" s="1373"/>
      <c r="BD3" s="1373"/>
      <c r="BE3" s="1373"/>
      <c r="BF3" s="1373"/>
      <c r="BG3" s="1373"/>
      <c r="BH3" s="1373"/>
      <c r="BI3" s="1373"/>
      <c r="BJ3" s="1373"/>
      <c r="BK3" s="1373"/>
      <c r="BL3" s="1373"/>
      <c r="BM3" s="1373"/>
      <c r="BN3" s="1373"/>
      <c r="BO3" s="1373"/>
      <c r="BP3" s="1373"/>
      <c r="BQ3" s="1373"/>
      <c r="BR3" s="1373"/>
      <c r="BS3" s="1373"/>
      <c r="BT3" s="1373"/>
      <c r="BU3" s="1373"/>
      <c r="BV3" s="1373"/>
      <c r="BW3" s="1373"/>
      <c r="BX3" s="1373"/>
      <c r="BY3" s="1373"/>
      <c r="BZ3" s="1373"/>
      <c r="CA3" s="1373"/>
      <c r="CB3" s="1373"/>
      <c r="CC3" s="1373"/>
      <c r="CD3" s="1373"/>
      <c r="CE3" s="1373"/>
      <c r="CF3" s="1374"/>
    </row>
    <row r="4" spans="1:84" x14ac:dyDescent="0.25">
      <c r="R4" s="220"/>
      <c r="S4" s="220"/>
      <c r="T4" s="220"/>
      <c r="AD4" s="220"/>
      <c r="AE4" s="220"/>
      <c r="AF4" s="220"/>
      <c r="AP4" s="220"/>
      <c r="AQ4" s="220"/>
      <c r="AR4" s="220"/>
      <c r="AY4" s="1"/>
      <c r="AZ4" s="1"/>
      <c r="BA4" s="1"/>
      <c r="BB4" s="1"/>
    </row>
    <row r="5" spans="1:84" x14ac:dyDescent="0.25">
      <c r="I5" s="221" t="s">
        <v>92</v>
      </c>
      <c r="J5" s="222" t="s">
        <v>122</v>
      </c>
      <c r="K5" s="222" t="s">
        <v>93</v>
      </c>
      <c r="L5" s="222" t="s">
        <v>94</v>
      </c>
      <c r="M5" s="222" t="s">
        <v>95</v>
      </c>
      <c r="N5" s="222" t="s">
        <v>96</v>
      </c>
      <c r="O5" s="221" t="s">
        <v>92</v>
      </c>
      <c r="P5" s="222" t="s">
        <v>122</v>
      </c>
      <c r="Q5" s="222" t="s">
        <v>93</v>
      </c>
      <c r="R5" s="222" t="s">
        <v>94</v>
      </c>
      <c r="S5" s="222" t="s">
        <v>95</v>
      </c>
      <c r="T5" s="222" t="s">
        <v>96</v>
      </c>
      <c r="U5" s="221" t="s">
        <v>92</v>
      </c>
      <c r="V5" s="222" t="s">
        <v>122</v>
      </c>
      <c r="W5" s="222" t="s">
        <v>93</v>
      </c>
      <c r="X5" s="222" t="s">
        <v>94</v>
      </c>
      <c r="Y5" s="222" t="s">
        <v>95</v>
      </c>
      <c r="Z5" s="222" t="s">
        <v>96</v>
      </c>
      <c r="AA5" s="221" t="s">
        <v>92</v>
      </c>
      <c r="AB5" s="222" t="s">
        <v>122</v>
      </c>
      <c r="AC5" s="222" t="s">
        <v>93</v>
      </c>
      <c r="AD5" s="222" t="s">
        <v>94</v>
      </c>
      <c r="AE5" s="222" t="s">
        <v>95</v>
      </c>
      <c r="AF5" s="222" t="s">
        <v>96</v>
      </c>
      <c r="AG5" s="221" t="s">
        <v>92</v>
      </c>
      <c r="AH5" s="222" t="s">
        <v>122</v>
      </c>
      <c r="AI5" s="222" t="s">
        <v>93</v>
      </c>
      <c r="AJ5" s="222" t="s">
        <v>94</v>
      </c>
      <c r="AK5" s="222" t="s">
        <v>95</v>
      </c>
      <c r="AL5" s="222" t="s">
        <v>96</v>
      </c>
      <c r="AM5" s="221" t="s">
        <v>92</v>
      </c>
      <c r="AN5" s="222" t="s">
        <v>122</v>
      </c>
      <c r="AO5" s="222" t="s">
        <v>93</v>
      </c>
      <c r="AP5" s="222" t="s">
        <v>94</v>
      </c>
      <c r="AQ5" s="222" t="s">
        <v>95</v>
      </c>
      <c r="AR5" s="222" t="s">
        <v>96</v>
      </c>
      <c r="AS5" s="221" t="s">
        <v>92</v>
      </c>
      <c r="AT5" s="222" t="s">
        <v>122</v>
      </c>
      <c r="AU5" s="222" t="s">
        <v>93</v>
      </c>
      <c r="AV5" s="222" t="s">
        <v>94</v>
      </c>
      <c r="AW5" s="222" t="s">
        <v>95</v>
      </c>
      <c r="AX5" s="223" t="s">
        <v>96</v>
      </c>
      <c r="AY5" s="265"/>
      <c r="AZ5" s="1"/>
      <c r="BA5" s="1"/>
      <c r="BB5" s="378" t="s">
        <v>92</v>
      </c>
      <c r="BC5" s="379" t="s">
        <v>122</v>
      </c>
      <c r="BD5" s="379" t="s">
        <v>93</v>
      </c>
      <c r="BE5" s="379" t="s">
        <v>94</v>
      </c>
      <c r="BF5" s="379" t="s">
        <v>95</v>
      </c>
      <c r="BG5" s="380" t="s">
        <v>96</v>
      </c>
      <c r="BH5" s="265"/>
    </row>
    <row r="6" spans="1:84" x14ac:dyDescent="0.25">
      <c r="F6" s="1348" t="s">
        <v>774</v>
      </c>
      <c r="G6" s="606" t="s">
        <v>512</v>
      </c>
      <c r="I6" s="225" t="s">
        <v>615</v>
      </c>
      <c r="J6" s="224" t="s">
        <v>618</v>
      </c>
      <c r="K6" s="224" t="s">
        <v>616</v>
      </c>
      <c r="L6" s="224" t="s">
        <v>617</v>
      </c>
      <c r="M6" s="224" t="s">
        <v>618</v>
      </c>
      <c r="N6" s="224" t="s">
        <v>618</v>
      </c>
      <c r="O6" s="225" t="s">
        <v>615</v>
      </c>
      <c r="P6" s="224" t="s">
        <v>618</v>
      </c>
      <c r="Q6" s="224" t="s">
        <v>616</v>
      </c>
      <c r="R6" s="224" t="s">
        <v>617</v>
      </c>
      <c r="S6" s="224" t="s">
        <v>618</v>
      </c>
      <c r="T6" s="224" t="s">
        <v>618</v>
      </c>
      <c r="U6" s="225" t="s">
        <v>615</v>
      </c>
      <c r="V6" s="224" t="s">
        <v>618</v>
      </c>
      <c r="W6" s="224" t="s">
        <v>616</v>
      </c>
      <c r="X6" s="224" t="s">
        <v>617</v>
      </c>
      <c r="Y6" s="224" t="s">
        <v>618</v>
      </c>
      <c r="Z6" s="224" t="s">
        <v>618</v>
      </c>
      <c r="AA6" s="225" t="s">
        <v>615</v>
      </c>
      <c r="AB6" s="224" t="s">
        <v>618</v>
      </c>
      <c r="AC6" s="224" t="s">
        <v>616</v>
      </c>
      <c r="AD6" s="224" t="s">
        <v>617</v>
      </c>
      <c r="AE6" s="224" t="s">
        <v>618</v>
      </c>
      <c r="AF6" s="224" t="s">
        <v>618</v>
      </c>
      <c r="AG6" s="225" t="s">
        <v>615</v>
      </c>
      <c r="AH6" s="224" t="s">
        <v>618</v>
      </c>
      <c r="AI6" s="224" t="s">
        <v>616</v>
      </c>
      <c r="AJ6" s="224" t="s">
        <v>617</v>
      </c>
      <c r="AK6" s="224" t="s">
        <v>618</v>
      </c>
      <c r="AL6" s="224" t="s">
        <v>618</v>
      </c>
      <c r="AM6" s="225" t="s">
        <v>615</v>
      </c>
      <c r="AN6" s="224" t="s">
        <v>618</v>
      </c>
      <c r="AO6" s="224" t="s">
        <v>616</v>
      </c>
      <c r="AP6" s="224" t="s">
        <v>617</v>
      </c>
      <c r="AQ6" s="224" t="s">
        <v>618</v>
      </c>
      <c r="AR6" s="224" t="s">
        <v>618</v>
      </c>
      <c r="AS6" s="225" t="s">
        <v>615</v>
      </c>
      <c r="AT6" s="224" t="s">
        <v>618</v>
      </c>
      <c r="AU6" s="224" t="s">
        <v>616</v>
      </c>
      <c r="AV6" s="224" t="s">
        <v>617</v>
      </c>
      <c r="AW6" s="224" t="s">
        <v>618</v>
      </c>
      <c r="AX6" s="226" t="s">
        <v>618</v>
      </c>
      <c r="AY6" s="265"/>
      <c r="AZ6" s="1"/>
      <c r="BA6" s="1"/>
      <c r="BB6" s="225" t="s">
        <v>615</v>
      </c>
      <c r="BC6" s="224" t="s">
        <v>618</v>
      </c>
      <c r="BD6" s="224" t="s">
        <v>616</v>
      </c>
      <c r="BE6" s="224" t="s">
        <v>617</v>
      </c>
      <c r="BF6" s="224" t="s">
        <v>618</v>
      </c>
      <c r="BG6" s="226" t="s">
        <v>618</v>
      </c>
      <c r="BH6" s="265"/>
    </row>
    <row r="7" spans="1:84" x14ac:dyDescent="0.25">
      <c r="F7" s="1349"/>
      <c r="G7" s="607" t="s">
        <v>499</v>
      </c>
      <c r="H7" s="534"/>
      <c r="I7" s="228" t="s">
        <v>615</v>
      </c>
      <c r="J7" s="227" t="s">
        <v>619</v>
      </c>
      <c r="K7" s="227" t="s">
        <v>619</v>
      </c>
      <c r="L7" s="227" t="s">
        <v>619</v>
      </c>
      <c r="M7" s="227" t="s">
        <v>615</v>
      </c>
      <c r="N7" s="227" t="s">
        <v>620</v>
      </c>
      <c r="O7" s="228" t="s">
        <v>615</v>
      </c>
      <c r="P7" s="227" t="s">
        <v>619</v>
      </c>
      <c r="Q7" s="227" t="s">
        <v>619</v>
      </c>
      <c r="R7" s="227" t="s">
        <v>619</v>
      </c>
      <c r="S7" s="227" t="s">
        <v>615</v>
      </c>
      <c r="T7" s="227" t="s">
        <v>620</v>
      </c>
      <c r="U7" s="228" t="s">
        <v>615</v>
      </c>
      <c r="V7" s="227" t="s">
        <v>619</v>
      </c>
      <c r="W7" s="227" t="s">
        <v>619</v>
      </c>
      <c r="X7" s="227" t="s">
        <v>619</v>
      </c>
      <c r="Y7" s="227" t="s">
        <v>615</v>
      </c>
      <c r="Z7" s="227" t="s">
        <v>620</v>
      </c>
      <c r="AA7" s="228" t="s">
        <v>615</v>
      </c>
      <c r="AB7" s="227" t="s">
        <v>619</v>
      </c>
      <c r="AC7" s="227" t="s">
        <v>619</v>
      </c>
      <c r="AD7" s="227" t="s">
        <v>619</v>
      </c>
      <c r="AE7" s="227" t="s">
        <v>615</v>
      </c>
      <c r="AF7" s="227" t="s">
        <v>620</v>
      </c>
      <c r="AG7" s="228" t="s">
        <v>615</v>
      </c>
      <c r="AH7" s="227" t="s">
        <v>619</v>
      </c>
      <c r="AI7" s="227" t="s">
        <v>619</v>
      </c>
      <c r="AJ7" s="227" t="s">
        <v>619</v>
      </c>
      <c r="AK7" s="227" t="s">
        <v>615</v>
      </c>
      <c r="AL7" s="227" t="s">
        <v>620</v>
      </c>
      <c r="AM7" s="228" t="s">
        <v>615</v>
      </c>
      <c r="AN7" s="227" t="s">
        <v>619</v>
      </c>
      <c r="AO7" s="227" t="s">
        <v>619</v>
      </c>
      <c r="AP7" s="227" t="s">
        <v>619</v>
      </c>
      <c r="AQ7" s="227" t="s">
        <v>615</v>
      </c>
      <c r="AR7" s="227" t="s">
        <v>620</v>
      </c>
      <c r="AS7" s="228" t="s">
        <v>615</v>
      </c>
      <c r="AT7" s="227" t="s">
        <v>619</v>
      </c>
      <c r="AU7" s="227" t="s">
        <v>619</v>
      </c>
      <c r="AV7" s="227" t="s">
        <v>619</v>
      </c>
      <c r="AW7" s="227" t="s">
        <v>615</v>
      </c>
      <c r="AX7" s="229" t="s">
        <v>620</v>
      </c>
      <c r="AY7" s="265"/>
      <c r="AZ7" s="1"/>
      <c r="BA7" s="1"/>
      <c r="BB7" s="228" t="s">
        <v>615</v>
      </c>
      <c r="BC7" s="227" t="s">
        <v>619</v>
      </c>
      <c r="BD7" s="227" t="s">
        <v>619</v>
      </c>
      <c r="BE7" s="227" t="s">
        <v>619</v>
      </c>
      <c r="BF7" s="227" t="s">
        <v>615</v>
      </c>
      <c r="BG7" s="229" t="s">
        <v>620</v>
      </c>
      <c r="BH7" s="265"/>
    </row>
    <row r="8" spans="1:84" x14ac:dyDescent="0.25">
      <c r="F8" s="1350"/>
      <c r="G8" s="608" t="s">
        <v>775</v>
      </c>
      <c r="H8" s="605"/>
      <c r="I8" s="231" t="s">
        <v>621</v>
      </c>
      <c r="J8" s="230" t="s">
        <v>621</v>
      </c>
      <c r="K8" s="230" t="s">
        <v>621</v>
      </c>
      <c r="L8" s="230" t="s">
        <v>621</v>
      </c>
      <c r="M8" s="230" t="s">
        <v>621</v>
      </c>
      <c r="N8" s="230" t="s">
        <v>621</v>
      </c>
      <c r="O8" s="231" t="s">
        <v>622</v>
      </c>
      <c r="P8" s="230" t="s">
        <v>622</v>
      </c>
      <c r="Q8" s="230" t="s">
        <v>622</v>
      </c>
      <c r="R8" s="230" t="s">
        <v>622</v>
      </c>
      <c r="S8" s="230" t="s">
        <v>622</v>
      </c>
      <c r="T8" s="230" t="s">
        <v>622</v>
      </c>
      <c r="U8" s="231" t="s">
        <v>623</v>
      </c>
      <c r="V8" s="230" t="s">
        <v>623</v>
      </c>
      <c r="W8" s="230" t="s">
        <v>623</v>
      </c>
      <c r="X8" s="230" t="s">
        <v>623</v>
      </c>
      <c r="Y8" s="230" t="s">
        <v>623</v>
      </c>
      <c r="Z8" s="230" t="s">
        <v>623</v>
      </c>
      <c r="AA8" s="231" t="s">
        <v>624</v>
      </c>
      <c r="AB8" s="230" t="s">
        <v>624</v>
      </c>
      <c r="AC8" s="230" t="s">
        <v>624</v>
      </c>
      <c r="AD8" s="230" t="s">
        <v>624</v>
      </c>
      <c r="AE8" s="230" t="s">
        <v>624</v>
      </c>
      <c r="AF8" s="230" t="s">
        <v>624</v>
      </c>
      <c r="AG8" s="231" t="s">
        <v>625</v>
      </c>
      <c r="AH8" s="230" t="s">
        <v>625</v>
      </c>
      <c r="AI8" s="230" t="s">
        <v>625</v>
      </c>
      <c r="AJ8" s="230" t="s">
        <v>625</v>
      </c>
      <c r="AK8" s="230" t="s">
        <v>625</v>
      </c>
      <c r="AL8" s="230" t="s">
        <v>625</v>
      </c>
      <c r="AM8" s="231" t="s">
        <v>626</v>
      </c>
      <c r="AN8" s="230" t="s">
        <v>626</v>
      </c>
      <c r="AO8" s="230" t="s">
        <v>626</v>
      </c>
      <c r="AP8" s="230" t="s">
        <v>626</v>
      </c>
      <c r="AQ8" s="230" t="s">
        <v>626</v>
      </c>
      <c r="AR8" s="230" t="s">
        <v>626</v>
      </c>
      <c r="AS8" s="231" t="s">
        <v>627</v>
      </c>
      <c r="AT8" s="230" t="s">
        <v>627</v>
      </c>
      <c r="AU8" s="230" t="s">
        <v>627</v>
      </c>
      <c r="AV8" s="230" t="s">
        <v>627</v>
      </c>
      <c r="AW8" s="230" t="s">
        <v>627</v>
      </c>
      <c r="AX8" s="232" t="s">
        <v>627</v>
      </c>
      <c r="AY8" s="265"/>
      <c r="AZ8" s="1"/>
      <c r="BA8" s="1"/>
      <c r="BB8" s="231"/>
      <c r="BC8" s="230"/>
      <c r="BD8" s="230"/>
      <c r="BE8" s="230"/>
      <c r="BF8" s="230"/>
      <c r="BG8" s="232"/>
      <c r="BH8" s="268"/>
      <c r="BI8" s="210"/>
      <c r="BJ8" s="210"/>
      <c r="BK8" s="210"/>
      <c r="BL8" s="210"/>
      <c r="BM8" s="210"/>
      <c r="BN8" s="210"/>
      <c r="BO8" s="210"/>
      <c r="BP8" s="210"/>
      <c r="BQ8" s="210"/>
      <c r="BR8" s="210"/>
      <c r="BS8" s="210"/>
      <c r="BT8" s="210"/>
      <c r="BU8" s="210"/>
      <c r="BV8" s="210"/>
      <c r="BW8" s="210"/>
      <c r="BX8" s="210"/>
      <c r="BY8" s="210"/>
      <c r="BZ8" s="210"/>
      <c r="CA8" s="210"/>
      <c r="CB8" s="210"/>
    </row>
    <row r="9" spans="1:84" ht="14.65" customHeight="1" x14ac:dyDescent="0.25">
      <c r="B9" s="1362" t="s">
        <v>769</v>
      </c>
      <c r="D9" s="1351" t="s">
        <v>772</v>
      </c>
      <c r="F9" s="233" t="str">
        <f>"S_[HM]_"&amp;$G9</f>
        <v>S_[HM]_Barley</v>
      </c>
      <c r="G9" s="381" t="s">
        <v>91</v>
      </c>
      <c r="H9" s="534"/>
      <c r="I9" s="452">
        <f t="shared" ref="I9:AX9" ca="1" si="0">I214/INDEX(OFFSET($I$214,0,MATCH(I$8,$I$8:$AY$8,0)-1,COUNTA($G$9:$G$29),1),MATCH($G9,$G$214:$G$234,0),1)</f>
        <v>1</v>
      </c>
      <c r="J9" s="453">
        <f t="shared" ca="1" si="0"/>
        <v>0.11744635368230359</v>
      </c>
      <c r="K9" s="453">
        <f t="shared" ca="1" si="0"/>
        <v>0.11833755038308703</v>
      </c>
      <c r="L9" s="453">
        <f t="shared" ca="1" si="0"/>
        <v>0.11655515698152014</v>
      </c>
      <c r="M9" s="453">
        <f t="shared" ca="1" si="0"/>
        <v>0.25574829139563454</v>
      </c>
      <c r="N9" s="453">
        <f t="shared" ca="1" si="0"/>
        <v>0.38112544864470482</v>
      </c>
      <c r="O9" s="452">
        <f t="shared" ca="1" si="0"/>
        <v>1</v>
      </c>
      <c r="P9" s="453">
        <f t="shared" ca="1" si="0"/>
        <v>4.8576168489302249</v>
      </c>
      <c r="Q9" s="453">
        <f t="shared" ca="1" si="0"/>
        <v>4.6464987642385216</v>
      </c>
      <c r="R9" s="453">
        <f t="shared" ca="1" si="0"/>
        <v>5.0687349336219274</v>
      </c>
      <c r="S9" s="453">
        <f t="shared" ca="1" si="0"/>
        <v>5.0318708907422138</v>
      </c>
      <c r="T9" s="453">
        <f t="shared" ca="1" si="0"/>
        <v>4.5724158238657884</v>
      </c>
      <c r="U9" s="452">
        <f t="shared" ca="1" si="0"/>
        <v>1</v>
      </c>
      <c r="V9" s="453">
        <f t="shared" ca="1" si="0"/>
        <v>2.2370147081688906E-2</v>
      </c>
      <c r="W9" s="453">
        <f t="shared" ca="1" si="0"/>
        <v>3.5088229028931106E-2</v>
      </c>
      <c r="X9" s="453">
        <f t="shared" ca="1" si="0"/>
        <v>9.6520651344466912E-3</v>
      </c>
      <c r="Y9" s="453">
        <f t="shared" ca="1" si="0"/>
        <v>1.0097022251481842</v>
      </c>
      <c r="Z9" s="453">
        <f t="shared" ca="1" si="0"/>
        <v>1.6727169102639106</v>
      </c>
      <c r="AA9" s="452">
        <f t="shared" ca="1" si="0"/>
        <v>1</v>
      </c>
      <c r="AB9" s="453">
        <f t="shared" ca="1" si="0"/>
        <v>0.23732260695021842</v>
      </c>
      <c r="AC9" s="453">
        <f t="shared" ca="1" si="0"/>
        <v>0.27892241905483101</v>
      </c>
      <c r="AD9" s="453">
        <f t="shared" ca="1" si="0"/>
        <v>0.19572279484560587</v>
      </c>
      <c r="AE9" s="453">
        <f t="shared" ca="1" si="0"/>
        <v>0.78549372611984958</v>
      </c>
      <c r="AF9" s="453">
        <f t="shared" ca="1" si="0"/>
        <v>1.2915096214441557</v>
      </c>
      <c r="AG9" s="452">
        <f t="shared" ca="1" si="0"/>
        <v>1</v>
      </c>
      <c r="AH9" s="453">
        <f t="shared" ca="1" si="0"/>
        <v>0.27710968164218713</v>
      </c>
      <c r="AI9" s="453">
        <f t="shared" ca="1" si="0"/>
        <v>0.27998287827170659</v>
      </c>
      <c r="AJ9" s="453">
        <f t="shared" ca="1" si="0"/>
        <v>0.27423648501266773</v>
      </c>
      <c r="AK9" s="453">
        <f t="shared" ca="1" si="0"/>
        <v>0.69422140407915156</v>
      </c>
      <c r="AL9" s="453">
        <f t="shared" ca="1" si="0"/>
        <v>1.025050017548973</v>
      </c>
      <c r="AM9" s="452">
        <f t="shared" ca="1" si="0"/>
        <v>1</v>
      </c>
      <c r="AN9" s="453">
        <f t="shared" ca="1" si="0"/>
        <v>0.20946616817589134</v>
      </c>
      <c r="AO9" s="453">
        <f t="shared" ca="1" si="0"/>
        <v>0.21588976103400201</v>
      </c>
      <c r="AP9" s="453">
        <f t="shared" ca="1" si="0"/>
        <v>0.20304257531778069</v>
      </c>
      <c r="AQ9" s="453">
        <f t="shared" ca="1" si="0"/>
        <v>0.50121885392509968</v>
      </c>
      <c r="AR9" s="453">
        <f t="shared" ca="1" si="0"/>
        <v>0.74705647485765525</v>
      </c>
      <c r="AS9" s="452">
        <f t="shared" ca="1" si="0"/>
        <v>1</v>
      </c>
      <c r="AT9" s="453">
        <f t="shared" ca="1" si="0"/>
        <v>1.906370322362776E-2</v>
      </c>
      <c r="AU9" s="453">
        <f t="shared" ca="1" si="0"/>
        <v>4.0244823771482884E-2</v>
      </c>
      <c r="AV9" s="453">
        <f t="shared" ca="1" si="0"/>
        <v>-2.117417324227417E-3</v>
      </c>
      <c r="AW9" s="453">
        <f t="shared" ca="1" si="0"/>
        <v>0.97880260373547479</v>
      </c>
      <c r="AX9" s="434">
        <f t="shared" ca="1" si="0"/>
        <v>1.7479062774844469</v>
      </c>
      <c r="AY9" s="265"/>
      <c r="AZ9" s="1"/>
      <c r="BA9" s="1"/>
      <c r="BB9" s="265"/>
      <c r="BG9" s="209"/>
      <c r="BH9" s="263"/>
      <c r="BI9" s="207"/>
      <c r="BJ9" s="207"/>
      <c r="BK9" s="207"/>
      <c r="BL9" s="207"/>
      <c r="BM9" s="207"/>
      <c r="BN9" s="207"/>
      <c r="BO9" s="207"/>
      <c r="BP9" s="207"/>
      <c r="BQ9" s="207"/>
      <c r="BR9" s="207"/>
      <c r="BS9" s="207"/>
      <c r="BT9" s="207"/>
      <c r="BU9" s="207"/>
      <c r="BV9" s="207"/>
      <c r="BW9" s="207"/>
      <c r="BX9" s="207"/>
      <c r="BY9" s="207"/>
      <c r="BZ9" s="207"/>
      <c r="CA9" s="207"/>
      <c r="CB9" s="207"/>
    </row>
    <row r="10" spans="1:84" outlineLevel="1" x14ac:dyDescent="0.25">
      <c r="B10" s="1363"/>
      <c r="D10" s="1352"/>
      <c r="F10" s="237" t="str">
        <f t="shared" ref="F10:F29" si="1">"S_[HM]_"&amp;$G10</f>
        <v>S_[HM]_Broad beans</v>
      </c>
      <c r="G10" s="609" t="s">
        <v>102</v>
      </c>
      <c r="I10" s="488">
        <f t="shared" ref="I10:AX10" ca="1" si="2">I215/INDEX(OFFSET($I$214,0,MATCH(I$8,$I$8:$AY$8,0)-1,COUNTA($G$9:$G$29),1),MATCH($G10,$G$214:$G$234,0),1)</f>
        <v>1</v>
      </c>
      <c r="J10" s="553">
        <f t="shared" ca="1" si="2"/>
        <v>0.1706152456366046</v>
      </c>
      <c r="K10" s="553">
        <f t="shared" ca="1" si="2"/>
        <v>0.17342308104120824</v>
      </c>
      <c r="L10" s="553">
        <f t="shared" ca="1" si="2"/>
        <v>0.16780741023200096</v>
      </c>
      <c r="M10" s="553">
        <f t="shared" ca="1" si="2"/>
        <v>0.37052598541139309</v>
      </c>
      <c r="N10" s="553">
        <f t="shared" ca="1" si="2"/>
        <v>0.55130361265738947</v>
      </c>
      <c r="O10" s="488">
        <f t="shared" ca="1" si="2"/>
        <v>1</v>
      </c>
      <c r="P10" s="553">
        <f t="shared" ca="1" si="2"/>
        <v>-43.136318997582251</v>
      </c>
      <c r="Q10" s="553">
        <f t="shared" ca="1" si="2"/>
        <v>-40.662285427007497</v>
      </c>
      <c r="R10" s="553">
        <f t="shared" ca="1" si="2"/>
        <v>-45.610352568157005</v>
      </c>
      <c r="S10" s="553">
        <f t="shared" ca="1" si="2"/>
        <v>-40.38337769910207</v>
      </c>
      <c r="T10" s="553">
        <f t="shared" ca="1" si="2"/>
        <v>-32.097022101426958</v>
      </c>
      <c r="U10" s="488">
        <f t="shared" ca="1" si="2"/>
        <v>1</v>
      </c>
      <c r="V10" s="553">
        <f t="shared" ca="1" si="2"/>
        <v>-6.1172041708233563E-4</v>
      </c>
      <c r="W10" s="553">
        <f t="shared" ca="1" si="2"/>
        <v>3.7427310862547664E-2</v>
      </c>
      <c r="X10" s="553">
        <f t="shared" ca="1" si="2"/>
        <v>-3.8650751696712331E-2</v>
      </c>
      <c r="Y10" s="553">
        <f t="shared" ca="1" si="2"/>
        <v>1.0026447976242885</v>
      </c>
      <c r="Z10" s="553">
        <f t="shared" ca="1" si="2"/>
        <v>1.6773159125775849</v>
      </c>
      <c r="AA10" s="488">
        <f t="shared" ca="1" si="2"/>
        <v>1</v>
      </c>
      <c r="AB10" s="553">
        <f t="shared" ca="1" si="2"/>
        <v>0.30771358441467711</v>
      </c>
      <c r="AC10" s="553">
        <f t="shared" ca="1" si="2"/>
        <v>0.39561946292675848</v>
      </c>
      <c r="AD10" s="553">
        <f t="shared" ca="1" si="2"/>
        <v>0.21980770590259582</v>
      </c>
      <c r="AE10" s="553">
        <f t="shared" ca="1" si="2"/>
        <v>0.88600434763152225</v>
      </c>
      <c r="AF10" s="553">
        <f t="shared" ca="1" si="2"/>
        <v>1.4030678798451823</v>
      </c>
      <c r="AG10" s="488">
        <f t="shared" ca="1" si="2"/>
        <v>1</v>
      </c>
      <c r="AH10" s="553">
        <f t="shared" ca="1" si="2"/>
        <v>0.29811634046978169</v>
      </c>
      <c r="AI10" s="553">
        <f t="shared" ca="1" si="2"/>
        <v>0.32269297688945603</v>
      </c>
      <c r="AJ10" s="553">
        <f t="shared" ca="1" si="2"/>
        <v>0.27353970405010736</v>
      </c>
      <c r="AK10" s="553">
        <f t="shared" ca="1" si="2"/>
        <v>0.81771019715452775</v>
      </c>
      <c r="AL10" s="553">
        <f t="shared" ca="1" si="2"/>
        <v>1.2430510437189228</v>
      </c>
      <c r="AM10" s="488">
        <f t="shared" ca="1" si="2"/>
        <v>1</v>
      </c>
      <c r="AN10" s="553">
        <f t="shared" ca="1" si="2"/>
        <v>0.33672078281239642</v>
      </c>
      <c r="AO10" s="553">
        <f t="shared" ca="1" si="2"/>
        <v>0.34132471253760499</v>
      </c>
      <c r="AP10" s="553">
        <f t="shared" ca="1" si="2"/>
        <v>0.33211685308718786</v>
      </c>
      <c r="AQ10" s="553">
        <f t="shared" ca="1" si="2"/>
        <v>0.7726238539602055</v>
      </c>
      <c r="AR10" s="553">
        <f t="shared" ca="1" si="2"/>
        <v>1.1222652368304455</v>
      </c>
      <c r="AS10" s="488">
        <f t="shared" ca="1" si="2"/>
        <v>1</v>
      </c>
      <c r="AT10" s="553">
        <f t="shared" ca="1" si="2"/>
        <v>6.5548477972036015E-2</v>
      </c>
      <c r="AU10" s="553">
        <f t="shared" ca="1" si="2"/>
        <v>0.10400920816934887</v>
      </c>
      <c r="AV10" s="553">
        <f t="shared" ca="1" si="2"/>
        <v>2.7087747774723111E-2</v>
      </c>
      <c r="AW10" s="553">
        <f t="shared" ca="1" si="2"/>
        <v>0.96757706373737618</v>
      </c>
      <c r="AX10" s="435">
        <f t="shared" ca="1" si="2"/>
        <v>1.6727955086663622</v>
      </c>
      <c r="AY10" s="265"/>
      <c r="AZ10" s="1"/>
      <c r="BA10" s="1"/>
      <c r="BB10" s="265"/>
      <c r="BG10" s="209"/>
      <c r="BH10" s="265"/>
    </row>
    <row r="11" spans="1:84" outlineLevel="1" x14ac:dyDescent="0.25">
      <c r="B11" s="1363"/>
      <c r="D11" s="1352"/>
      <c r="F11" s="237" t="str">
        <f t="shared" si="1"/>
        <v>S_[HM]_Green beans</v>
      </c>
      <c r="G11" s="609" t="s">
        <v>103</v>
      </c>
      <c r="I11" s="488">
        <f t="shared" ref="I11:AX11" ca="1" si="3">I216/INDEX(OFFSET($I$214,0,MATCH(I$8,$I$8:$AY$8,0)-1,COUNTA($G$9:$G$29),1),MATCH($G11,$G$214:$G$234,0),1)</f>
        <v>1</v>
      </c>
      <c r="J11" s="553">
        <f t="shared" ca="1" si="3"/>
        <v>0.15090621795793899</v>
      </c>
      <c r="K11" s="553">
        <f t="shared" ca="1" si="3"/>
        <v>0.15208735151153818</v>
      </c>
      <c r="L11" s="553">
        <f t="shared" ca="1" si="3"/>
        <v>0.14972508440433979</v>
      </c>
      <c r="M11" s="553">
        <f t="shared" ca="1" si="3"/>
        <v>0.32479120730662225</v>
      </c>
      <c r="N11" s="553">
        <f t="shared" ca="1" si="3"/>
        <v>0.48068987599713442</v>
      </c>
      <c r="O11" s="488">
        <f t="shared" ca="1" si="3"/>
        <v>1</v>
      </c>
      <c r="P11" s="553">
        <f t="shared" ca="1" si="3"/>
        <v>-1.0811441096328274</v>
      </c>
      <c r="Q11" s="553">
        <f t="shared" ca="1" si="3"/>
        <v>-1.071538332289907</v>
      </c>
      <c r="R11" s="553">
        <f t="shared" ca="1" si="3"/>
        <v>-1.0907498869757479</v>
      </c>
      <c r="S11" s="553">
        <f t="shared" ca="1" si="3"/>
        <v>-0.90360072140488301</v>
      </c>
      <c r="T11" s="553">
        <f t="shared" ca="1" si="3"/>
        <v>-0.59543083207608793</v>
      </c>
      <c r="U11" s="488">
        <f t="shared" ca="1" si="3"/>
        <v>1</v>
      </c>
      <c r="V11" s="553">
        <f t="shared" ca="1" si="3"/>
        <v>0.14053508966860484</v>
      </c>
      <c r="W11" s="553">
        <f t="shared" ca="1" si="3"/>
        <v>0.14117461387391361</v>
      </c>
      <c r="X11" s="553">
        <f t="shared" ca="1" si="3"/>
        <v>0.13989556546329604</v>
      </c>
      <c r="Y11" s="553">
        <f t="shared" ca="1" si="3"/>
        <v>0.97113747981138476</v>
      </c>
      <c r="Z11" s="553">
        <f t="shared" ca="1" si="3"/>
        <v>1.5237541352315982</v>
      </c>
      <c r="AA11" s="488">
        <f t="shared" ca="1" si="3"/>
        <v>1</v>
      </c>
      <c r="AB11" s="553">
        <f t="shared" ca="1" si="3"/>
        <v>0.35366356130978654</v>
      </c>
      <c r="AC11" s="553">
        <f t="shared" ca="1" si="3"/>
        <v>0.35593581227244497</v>
      </c>
      <c r="AD11" s="553">
        <f t="shared" ca="1" si="3"/>
        <v>0.35139131034712806</v>
      </c>
      <c r="AE11" s="553">
        <f t="shared" ca="1" si="3"/>
        <v>0.75596145279349891</v>
      </c>
      <c r="AF11" s="553">
        <f t="shared" ca="1" si="3"/>
        <v>1.0715693302139728</v>
      </c>
      <c r="AG11" s="488">
        <f t="shared" ca="1" si="3"/>
        <v>1</v>
      </c>
      <c r="AH11" s="553">
        <f t="shared" ca="1" si="3"/>
        <v>0.30761847077990717</v>
      </c>
      <c r="AI11" s="553">
        <f t="shared" ca="1" si="3"/>
        <v>0.30861988692762365</v>
      </c>
      <c r="AJ11" s="553">
        <f t="shared" ca="1" si="3"/>
        <v>0.3066170546321908</v>
      </c>
      <c r="AK11" s="553">
        <f t="shared" ca="1" si="3"/>
        <v>0.74050165847157745</v>
      </c>
      <c r="AL11" s="553">
        <f t="shared" ca="1" si="3"/>
        <v>1.0779564790685388</v>
      </c>
      <c r="AM11" s="488">
        <f t="shared" ca="1" si="3"/>
        <v>1</v>
      </c>
      <c r="AN11" s="553">
        <f t="shared" ca="1" si="3"/>
        <v>0.2360475317704786</v>
      </c>
      <c r="AO11" s="553">
        <f t="shared" ca="1" si="3"/>
        <v>0.23743497796149063</v>
      </c>
      <c r="AP11" s="553">
        <f t="shared" ca="1" si="3"/>
        <v>0.23466008557946666</v>
      </c>
      <c r="AQ11" s="553">
        <f t="shared" ca="1" si="3"/>
        <v>0.53935790522931548</v>
      </c>
      <c r="AR11" s="553">
        <f t="shared" ca="1" si="3"/>
        <v>0.78079817278800223</v>
      </c>
      <c r="AS11" s="488">
        <f t="shared" ca="1" si="3"/>
        <v>1</v>
      </c>
      <c r="AT11" s="553">
        <f t="shared" ca="1" si="3"/>
        <v>0.17336261020821492</v>
      </c>
      <c r="AU11" s="553">
        <f t="shared" ca="1" si="3"/>
        <v>0.17446557338081084</v>
      </c>
      <c r="AV11" s="553">
        <f t="shared" ca="1" si="3"/>
        <v>0.17225964703561902</v>
      </c>
      <c r="AW11" s="553">
        <f t="shared" ca="1" si="3"/>
        <v>0.91707336285090191</v>
      </c>
      <c r="AX11" s="435">
        <f t="shared" ca="1" si="3"/>
        <v>1.4520724859058769</v>
      </c>
      <c r="AY11" s="265"/>
      <c r="AZ11" s="1"/>
      <c r="BA11" s="1"/>
      <c r="BB11" s="265"/>
      <c r="BG11" s="209"/>
      <c r="BH11" s="265"/>
    </row>
    <row r="12" spans="1:84" outlineLevel="1" x14ac:dyDescent="0.25">
      <c r="B12" s="1363"/>
      <c r="D12" s="1352"/>
      <c r="F12" s="237" t="str">
        <f t="shared" si="1"/>
        <v>S_[HM]_Linseed</v>
      </c>
      <c r="G12" s="609" t="s">
        <v>107</v>
      </c>
      <c r="I12" s="488">
        <f t="shared" ref="I12:AX12" ca="1" si="4">I217/INDEX(OFFSET($I$214,0,MATCH(I$8,$I$8:$AY$8,0)-1,COUNTA($G$9:$G$29),1),MATCH($G12,$G$214:$G$234,0),1)</f>
        <v>1</v>
      </c>
      <c r="J12" s="553">
        <f t="shared" ca="1" si="4"/>
        <v>0.15170212031925173</v>
      </c>
      <c r="K12" s="553">
        <f t="shared" ca="1" si="4"/>
        <v>0.15511077540434584</v>
      </c>
      <c r="L12" s="553">
        <f t="shared" ca="1" si="4"/>
        <v>0.14829346523415762</v>
      </c>
      <c r="M12" s="553">
        <f t="shared" ca="1" si="4"/>
        <v>0.33746528788088459</v>
      </c>
      <c r="N12" s="553">
        <f t="shared" ca="1" si="4"/>
        <v>0.50868157547665527</v>
      </c>
      <c r="O12" s="488">
        <f t="shared" ca="1" si="4"/>
        <v>1</v>
      </c>
      <c r="P12" s="553">
        <f t="shared" ca="1" si="4"/>
        <v>-1.4323758995799813</v>
      </c>
      <c r="Q12" s="553">
        <f t="shared" ca="1" si="4"/>
        <v>-1.4230047072117977</v>
      </c>
      <c r="R12" s="553">
        <f t="shared" ca="1" si="4"/>
        <v>-1.4417470919481647</v>
      </c>
      <c r="S12" s="553">
        <f t="shared" ca="1" si="4"/>
        <v>-1.2077663427184158</v>
      </c>
      <c r="T12" s="553">
        <f t="shared" ca="1" si="4"/>
        <v>-0.80993147033560708</v>
      </c>
      <c r="U12" s="488">
        <f t="shared" ca="1" si="4"/>
        <v>1</v>
      </c>
      <c r="V12" s="553">
        <f t="shared" ca="1" si="4"/>
        <v>5.0893741015335989E-2</v>
      </c>
      <c r="W12" s="553">
        <f t="shared" ca="1" si="4"/>
        <v>6.5029149734387157E-2</v>
      </c>
      <c r="X12" s="553">
        <f t="shared" ca="1" si="4"/>
        <v>3.6758332296284842E-2</v>
      </c>
      <c r="Y12" s="553">
        <f t="shared" ca="1" si="4"/>
        <v>1.0113845625810707</v>
      </c>
      <c r="Z12" s="553">
        <f t="shared" ca="1" si="4"/>
        <v>1.6551669233956414</v>
      </c>
      <c r="AA12" s="488">
        <f t="shared" ca="1" si="4"/>
        <v>1</v>
      </c>
      <c r="AB12" s="553">
        <f t="shared" ca="1" si="4"/>
        <v>0.38159466379991497</v>
      </c>
      <c r="AC12" s="553">
        <f t="shared" ca="1" si="4"/>
        <v>0.39086094756875472</v>
      </c>
      <c r="AD12" s="553">
        <f t="shared" ca="1" si="4"/>
        <v>0.37232838003107527</v>
      </c>
      <c r="AE12" s="553">
        <f t="shared" ca="1" si="4"/>
        <v>0.85206850375054577</v>
      </c>
      <c r="AF12" s="553">
        <f t="shared" ca="1" si="4"/>
        <v>1.2321153104842517</v>
      </c>
      <c r="AG12" s="488">
        <f t="shared" ca="1" si="4"/>
        <v>1</v>
      </c>
      <c r="AH12" s="553">
        <f t="shared" ca="1" si="4"/>
        <v>0.31823977445674895</v>
      </c>
      <c r="AI12" s="553">
        <f t="shared" ca="1" si="4"/>
        <v>0.32360376758691567</v>
      </c>
      <c r="AJ12" s="553">
        <f t="shared" ca="1" si="4"/>
        <v>0.31287578132658223</v>
      </c>
      <c r="AK12" s="553">
        <f t="shared" ca="1" si="4"/>
        <v>0.80217135116595317</v>
      </c>
      <c r="AL12" s="553">
        <f t="shared" ca="1" si="4"/>
        <v>1.1868912672456968</v>
      </c>
      <c r="AM12" s="488">
        <f t="shared" ca="1" si="4"/>
        <v>1</v>
      </c>
      <c r="AN12" s="553">
        <f t="shared" ca="1" si="4"/>
        <v>0.31017776297300531</v>
      </c>
      <c r="AO12" s="553">
        <f t="shared" ca="1" si="4"/>
        <v>0.31282462684806384</v>
      </c>
      <c r="AP12" s="553">
        <f t="shared" ca="1" si="4"/>
        <v>0.30753089909794673</v>
      </c>
      <c r="AQ12" s="553">
        <f t="shared" ca="1" si="4"/>
        <v>0.71239626413751811</v>
      </c>
      <c r="AR12" s="553">
        <f t="shared" ca="1" si="4"/>
        <v>1.035439164525171</v>
      </c>
      <c r="AS12" s="488">
        <f t="shared" ca="1" si="4"/>
        <v>1</v>
      </c>
      <c r="AT12" s="553">
        <f t="shared" ca="1" si="4"/>
        <v>0.11625393622047854</v>
      </c>
      <c r="AU12" s="553">
        <f t="shared" ca="1" si="4"/>
        <v>0.12900841219153547</v>
      </c>
      <c r="AV12" s="553">
        <f t="shared" ca="1" si="4"/>
        <v>0.10349946024942164</v>
      </c>
      <c r="AW12" s="553">
        <f t="shared" ca="1" si="4"/>
        <v>0.97305415396534811</v>
      </c>
      <c r="AX12" s="435">
        <f t="shared" ca="1" si="4"/>
        <v>1.6223807454121277</v>
      </c>
      <c r="AY12" s="265"/>
      <c r="AZ12" s="1"/>
      <c r="BA12" s="1"/>
      <c r="BB12" s="265"/>
      <c r="BG12" s="209"/>
      <c r="BH12" s="265"/>
    </row>
    <row r="13" spans="1:84" outlineLevel="1" x14ac:dyDescent="0.25">
      <c r="B13" s="1363"/>
      <c r="D13" s="1352"/>
      <c r="F13" s="237" t="str">
        <f t="shared" si="1"/>
        <v>S_[HM]_Lupins</v>
      </c>
      <c r="G13" s="609" t="s">
        <v>104</v>
      </c>
      <c r="I13" s="488">
        <f t="shared" ref="I13:AX13" ca="1" si="5">I218/INDEX(OFFSET($I$214,0,MATCH(I$8,$I$8:$AY$8,0)-1,COUNTA($G$9:$G$29),1),MATCH($G13,$G$214:$G$234,0),1)</f>
        <v>1</v>
      </c>
      <c r="J13" s="553">
        <f t="shared" ca="1" si="5"/>
        <v>0.12584942503979379</v>
      </c>
      <c r="K13" s="553">
        <f t="shared" ca="1" si="5"/>
        <v>0.12673584919878081</v>
      </c>
      <c r="L13" s="553">
        <f t="shared" ca="1" si="5"/>
        <v>0.12496300088080681</v>
      </c>
      <c r="M13" s="553">
        <f t="shared" ca="1" si="5"/>
        <v>0.2705433018759405</v>
      </c>
      <c r="N13" s="553">
        <f t="shared" ca="1" si="5"/>
        <v>0.4003252244372239</v>
      </c>
      <c r="O13" s="488">
        <f t="shared" ca="1" si="5"/>
        <v>1</v>
      </c>
      <c r="P13" s="553">
        <f t="shared" ca="1" si="5"/>
        <v>-0.82187918315669262</v>
      </c>
      <c r="Q13" s="553">
        <f t="shared" ca="1" si="5"/>
        <v>-0.79730359180135824</v>
      </c>
      <c r="R13" s="553">
        <f t="shared" ca="1" si="5"/>
        <v>-0.84645477451202678</v>
      </c>
      <c r="S13" s="553">
        <f t="shared" ca="1" si="5"/>
        <v>-0.72344044300540888</v>
      </c>
      <c r="T13" s="553">
        <f t="shared" ca="1" si="5"/>
        <v>-0.52437672300045357</v>
      </c>
      <c r="U13" s="488">
        <f t="shared" ca="1" si="5"/>
        <v>1</v>
      </c>
      <c r="V13" s="553">
        <f t="shared" ca="1" si="5"/>
        <v>8.50019538209634E-2</v>
      </c>
      <c r="W13" s="553">
        <f t="shared" ca="1" si="5"/>
        <v>0.10009308916996312</v>
      </c>
      <c r="X13" s="553">
        <f t="shared" ca="1" si="5"/>
        <v>6.9910818471963662E-2</v>
      </c>
      <c r="Y13" s="553">
        <f t="shared" ca="1" si="5"/>
        <v>0.98422228042608961</v>
      </c>
      <c r="Z13" s="553">
        <f t="shared" ca="1" si="5"/>
        <v>1.5853826915797222</v>
      </c>
      <c r="AA13" s="488">
        <f t="shared" ca="1" si="5"/>
        <v>1</v>
      </c>
      <c r="AB13" s="553">
        <f t="shared" ca="1" si="5"/>
        <v>0.35958140848400794</v>
      </c>
      <c r="AC13" s="553">
        <f t="shared" ca="1" si="5"/>
        <v>0.38617581955363789</v>
      </c>
      <c r="AD13" s="553">
        <f t="shared" ca="1" si="5"/>
        <v>0.33298699741437804</v>
      </c>
      <c r="AE13" s="553">
        <f t="shared" ca="1" si="5"/>
        <v>0.82976396191676982</v>
      </c>
      <c r="AF13" s="553">
        <f t="shared" ca="1" si="5"/>
        <v>1.2175744950273164</v>
      </c>
      <c r="AG13" s="488">
        <f t="shared" ca="1" si="5"/>
        <v>1</v>
      </c>
      <c r="AH13" s="553">
        <f t="shared" ca="1" si="5"/>
        <v>0.29991202586330229</v>
      </c>
      <c r="AI13" s="553">
        <f t="shared" ca="1" si="5"/>
        <v>0.30903377132839399</v>
      </c>
      <c r="AJ13" s="553">
        <f t="shared" ca="1" si="5"/>
        <v>0.29079028039821075</v>
      </c>
      <c r="AK13" s="553">
        <f t="shared" ca="1" si="5"/>
        <v>0.7561595063841049</v>
      </c>
      <c r="AL13" s="553">
        <f t="shared" ca="1" si="5"/>
        <v>1.1191839394404051</v>
      </c>
      <c r="AM13" s="488">
        <f t="shared" ca="1" si="5"/>
        <v>1</v>
      </c>
      <c r="AN13" s="553">
        <f t="shared" ca="1" si="5"/>
        <v>0.34203973708234364</v>
      </c>
      <c r="AO13" s="553">
        <f t="shared" ca="1" si="5"/>
        <v>0.34405492476880128</v>
      </c>
      <c r="AP13" s="553">
        <f t="shared" ca="1" si="5"/>
        <v>0.340024549395886</v>
      </c>
      <c r="AQ13" s="553">
        <f t="shared" ca="1" si="5"/>
        <v>0.78026080249979379</v>
      </c>
      <c r="AR13" s="553">
        <f t="shared" ca="1" si="5"/>
        <v>1.1294005922699639</v>
      </c>
      <c r="AS13" s="488">
        <f t="shared" ca="1" si="5"/>
        <v>1</v>
      </c>
      <c r="AT13" s="553">
        <f t="shared" ca="1" si="5"/>
        <v>0.13441631805165022</v>
      </c>
      <c r="AU13" s="553">
        <f t="shared" ca="1" si="5"/>
        <v>0.14857774311805999</v>
      </c>
      <c r="AV13" s="553">
        <f t="shared" ca="1" si="5"/>
        <v>0.12025489298524045</v>
      </c>
      <c r="AW13" s="553">
        <f t="shared" ca="1" si="5"/>
        <v>0.92979957373497546</v>
      </c>
      <c r="AX13" s="435">
        <f t="shared" ca="1" si="5"/>
        <v>1.5225719413879462</v>
      </c>
      <c r="AY13" s="265"/>
      <c r="AZ13" s="1"/>
      <c r="BA13" s="1"/>
      <c r="BB13" s="265"/>
      <c r="BG13" s="209"/>
      <c r="BH13" s="265"/>
    </row>
    <row r="14" spans="1:84" outlineLevel="1" x14ac:dyDescent="0.25">
      <c r="B14" s="1363"/>
      <c r="D14" s="1352"/>
      <c r="F14" s="237" t="str">
        <f t="shared" si="1"/>
        <v>S_[HM]_Maize</v>
      </c>
      <c r="G14" s="609" t="s">
        <v>97</v>
      </c>
      <c r="I14" s="488">
        <f t="shared" ref="I14:AX14" ca="1" si="6">I219/INDEX(OFFSET($I$214,0,MATCH(I$8,$I$8:$AY$8,0)-1,COUNTA($G$9:$G$29),1),MATCH($G14,$G$214:$G$234,0),1)</f>
        <v>1</v>
      </c>
      <c r="J14" s="553">
        <f t="shared" ca="1" si="6"/>
        <v>0.99203507198649343</v>
      </c>
      <c r="K14" s="553">
        <f t="shared" ca="1" si="6"/>
        <v>0.78066310158516528</v>
      </c>
      <c r="L14" s="553">
        <f t="shared" ca="1" si="6"/>
        <v>1.2034070423878214</v>
      </c>
      <c r="M14" s="553">
        <f t="shared" ca="1" si="6"/>
        <v>1.37518468077126</v>
      </c>
      <c r="N14" s="553">
        <f t="shared" ca="1" si="6"/>
        <v>1.4721863460726381</v>
      </c>
      <c r="O14" s="488">
        <f t="shared" ca="1" si="6"/>
        <v>1</v>
      </c>
      <c r="P14" s="553">
        <f t="shared" ca="1" si="6"/>
        <v>-0.3526777117781088</v>
      </c>
      <c r="Q14" s="553">
        <f t="shared" ca="1" si="6"/>
        <v>-0.34549147867004781</v>
      </c>
      <c r="R14" s="553">
        <f t="shared" ca="1" si="6"/>
        <v>-0.35986394488616974</v>
      </c>
      <c r="S14" s="553">
        <f t="shared" ca="1" si="6"/>
        <v>-0.3092574163805023</v>
      </c>
      <c r="T14" s="553">
        <f t="shared" ca="1" si="6"/>
        <v>-0.22143006876836155</v>
      </c>
      <c r="U14" s="488">
        <f t="shared" ca="1" si="6"/>
        <v>1</v>
      </c>
      <c r="V14" s="553">
        <f t="shared" ca="1" si="6"/>
        <v>8.325456661417667E-2</v>
      </c>
      <c r="W14" s="553">
        <f t="shared" ca="1" si="6"/>
        <v>9.463090691176039E-2</v>
      </c>
      <c r="X14" s="553">
        <f t="shared" ca="1" si="6"/>
        <v>7.1878226316592991E-2</v>
      </c>
      <c r="Y14" s="553">
        <f t="shared" ca="1" si="6"/>
        <v>0.96669440720736344</v>
      </c>
      <c r="Z14" s="553">
        <f t="shared" ca="1" si="6"/>
        <v>1.557281170550735</v>
      </c>
      <c r="AA14" s="488">
        <f t="shared" ca="1" si="6"/>
        <v>1</v>
      </c>
      <c r="AB14" s="553">
        <f t="shared" ca="1" si="6"/>
        <v>-1.2558621922449805E-2</v>
      </c>
      <c r="AC14" s="553">
        <f t="shared" ca="1" si="6"/>
        <v>0.16785860030286087</v>
      </c>
      <c r="AD14" s="553">
        <f t="shared" ca="1" si="6"/>
        <v>-0.19297584414776028</v>
      </c>
      <c r="AE14" s="553">
        <f t="shared" ca="1" si="6"/>
        <v>0.64177836963032153</v>
      </c>
      <c r="AF14" s="553">
        <f t="shared" ca="1" si="6"/>
        <v>1.3344860343464602</v>
      </c>
      <c r="AG14" s="488">
        <f t="shared" ca="1" si="6"/>
        <v>1</v>
      </c>
      <c r="AH14" s="553">
        <f t="shared" ca="1" si="6"/>
        <v>0.14137953814707624</v>
      </c>
      <c r="AI14" s="553">
        <f t="shared" ca="1" si="6"/>
        <v>0.1819107621046844</v>
      </c>
      <c r="AJ14" s="553">
        <f t="shared" ca="1" si="6"/>
        <v>0.10084831418946814</v>
      </c>
      <c r="AK14" s="553">
        <f t="shared" ca="1" si="6"/>
        <v>0.57395834976120819</v>
      </c>
      <c r="AL14" s="553">
        <f t="shared" ca="1" si="6"/>
        <v>0.95651041985025465</v>
      </c>
      <c r="AM14" s="488">
        <f t="shared" ca="1" si="6"/>
        <v>1</v>
      </c>
      <c r="AN14" s="553">
        <f t="shared" ca="1" si="6"/>
        <v>0.17141649720089103</v>
      </c>
      <c r="AO14" s="553">
        <f t="shared" ca="1" si="6"/>
        <v>0.1939441971415887</v>
      </c>
      <c r="AP14" s="553">
        <f t="shared" ca="1" si="6"/>
        <v>0.1488887972601933</v>
      </c>
      <c r="AQ14" s="553">
        <f t="shared" ca="1" si="6"/>
        <v>0.44915316197036798</v>
      </c>
      <c r="AR14" s="553">
        <f t="shared" ca="1" si="6"/>
        <v>0.6963507150891558</v>
      </c>
      <c r="AS14" s="488">
        <f t="shared" ca="1" si="6"/>
        <v>1</v>
      </c>
      <c r="AT14" s="553">
        <f t="shared" ca="1" si="6"/>
        <v>-2.1606509075138277E-2</v>
      </c>
      <c r="AU14" s="553">
        <f t="shared" ca="1" si="6"/>
        <v>2.4843341229834962E-2</v>
      </c>
      <c r="AV14" s="553">
        <f t="shared" ca="1" si="6"/>
        <v>-6.8056359380111467E-2</v>
      </c>
      <c r="AW14" s="553">
        <f t="shared" ca="1" si="6"/>
        <v>0.90812232031832729</v>
      </c>
      <c r="AX14" s="435">
        <f t="shared" ca="1" si="6"/>
        <v>1.6693930061639268</v>
      </c>
      <c r="AY14" s="265"/>
      <c r="AZ14" s="1"/>
      <c r="BA14" s="1"/>
      <c r="BB14" s="265"/>
      <c r="BG14" s="209"/>
      <c r="BH14" s="265"/>
    </row>
    <row r="15" spans="1:84" outlineLevel="1" x14ac:dyDescent="0.25">
      <c r="B15" s="1363"/>
      <c r="D15" s="1352"/>
      <c r="F15" s="237" t="str">
        <f t="shared" si="1"/>
        <v>S_[HM]_Maize silage</v>
      </c>
      <c r="G15" s="609" t="s">
        <v>628</v>
      </c>
      <c r="I15" s="488">
        <f t="shared" ref="I15:AX15" ca="1" si="7">I220/INDEX(OFFSET($I$214,0,MATCH(I$8,$I$8:$AY$8,0)-1,COUNTA($G$9:$G$29),1),MATCH($G15,$G$214:$G$234,0),1)</f>
        <v>1</v>
      </c>
      <c r="J15" s="553">
        <f t="shared" ca="1" si="7"/>
        <v>0.654060518049427</v>
      </c>
      <c r="K15" s="553">
        <f t="shared" ca="1" si="7"/>
        <v>0.3707260340809086</v>
      </c>
      <c r="L15" s="553">
        <f t="shared" ca="1" si="7"/>
        <v>0.93739500201794546</v>
      </c>
      <c r="M15" s="553">
        <f t="shared" ca="1" si="7"/>
        <v>0.66012879053843077</v>
      </c>
      <c r="N15" s="553">
        <f t="shared" ca="1" si="7"/>
        <v>0.34757898206210658</v>
      </c>
      <c r="O15" s="488">
        <f t="shared" ca="1" si="7"/>
        <v>1</v>
      </c>
      <c r="P15" s="553">
        <f t="shared" ca="1" si="7"/>
        <v>0.93807003426821933</v>
      </c>
      <c r="Q15" s="553">
        <f t="shared" ca="1" si="7"/>
        <v>0.9434250601590336</v>
      </c>
      <c r="R15" s="553">
        <f t="shared" ca="1" si="7"/>
        <v>0.93271500837740506</v>
      </c>
      <c r="S15" s="553">
        <f t="shared" ca="1" si="7"/>
        <v>0.92247559489092879</v>
      </c>
      <c r="T15" s="553">
        <f t="shared" ca="1" si="7"/>
        <v>1.5849196232709806</v>
      </c>
      <c r="U15" s="488">
        <f t="shared" ca="1" si="7"/>
        <v>1</v>
      </c>
      <c r="V15" s="553">
        <f t="shared" ca="1" si="7"/>
        <v>1.0267941762306236</v>
      </c>
      <c r="W15" s="553">
        <f t="shared" ca="1" si="7"/>
        <v>1.0402984627605776</v>
      </c>
      <c r="X15" s="553">
        <f t="shared" ca="1" si="7"/>
        <v>1.0132898897006699</v>
      </c>
      <c r="Y15" s="553">
        <f t="shared" ca="1" si="7"/>
        <v>1.0121610064996216</v>
      </c>
      <c r="Z15" s="553">
        <f t="shared" ca="1" si="7"/>
        <v>1.6324079243821608</v>
      </c>
      <c r="AA15" s="488">
        <f t="shared" ca="1" si="7"/>
        <v>1</v>
      </c>
      <c r="AB15" s="553">
        <f t="shared" ca="1" si="7"/>
        <v>1.0408127725364236</v>
      </c>
      <c r="AC15" s="553">
        <f t="shared" ca="1" si="7"/>
        <v>1.0631425246400703</v>
      </c>
      <c r="AD15" s="553">
        <f t="shared" ca="1" si="7"/>
        <v>1.0184830204327771</v>
      </c>
      <c r="AE15" s="553">
        <f t="shared" ca="1" si="7"/>
        <v>1.0256402968064944</v>
      </c>
      <c r="AF15" s="553">
        <f t="shared" ca="1" si="7"/>
        <v>1.669616795283164</v>
      </c>
      <c r="AG15" s="488">
        <f t="shared" ca="1" si="7"/>
        <v>1</v>
      </c>
      <c r="AH15" s="553">
        <f t="shared" ca="1" si="7"/>
        <v>1.0243646018168466</v>
      </c>
      <c r="AI15" s="553">
        <f t="shared" ca="1" si="7"/>
        <v>1.0438940714921765</v>
      </c>
      <c r="AJ15" s="553">
        <f t="shared" ca="1" si="7"/>
        <v>1.0048351321415165</v>
      </c>
      <c r="AK15" s="553">
        <f t="shared" ca="1" si="7"/>
        <v>1.0096137933563001</v>
      </c>
      <c r="AL15" s="553">
        <f t="shared" ca="1" si="7"/>
        <v>1.6357061685377139</v>
      </c>
      <c r="AM15" s="488">
        <f t="shared" ca="1" si="7"/>
        <v>1</v>
      </c>
      <c r="AN15" s="553">
        <f t="shared" ca="1" si="7"/>
        <v>1.0194590686893894</v>
      </c>
      <c r="AO15" s="553">
        <f t="shared" ca="1" si="7"/>
        <v>1.0546680601403173</v>
      </c>
      <c r="AP15" s="553">
        <f t="shared" ca="1" si="7"/>
        <v>0.9842500772384617</v>
      </c>
      <c r="AQ15" s="553">
        <f t="shared" ca="1" si="7"/>
        <v>1.0040494112275129</v>
      </c>
      <c r="AR15" s="553">
        <f t="shared" ca="1" si="7"/>
        <v>1.6634464629369197</v>
      </c>
      <c r="AS15" s="488">
        <f t="shared" ca="1" si="7"/>
        <v>1</v>
      </c>
      <c r="AT15" s="553">
        <f t="shared" ca="1" si="7"/>
        <v>1.0777075695203411</v>
      </c>
      <c r="AU15" s="553">
        <f t="shared" ca="1" si="7"/>
        <v>1.1289145617761387</v>
      </c>
      <c r="AV15" s="553">
        <f t="shared" ca="1" si="7"/>
        <v>1.0265005772645435</v>
      </c>
      <c r="AW15" s="553">
        <f t="shared" ca="1" si="7"/>
        <v>1.0598688943570485</v>
      </c>
      <c r="AX15" s="435">
        <f t="shared" ca="1" si="7"/>
        <v>1.8199910768633059</v>
      </c>
      <c r="AY15" s="265"/>
      <c r="AZ15" s="1"/>
      <c r="BA15" s="1"/>
      <c r="BB15" s="265"/>
      <c r="BG15" s="209"/>
      <c r="BH15" s="265"/>
    </row>
    <row r="16" spans="1:84" outlineLevel="1" x14ac:dyDescent="0.25">
      <c r="B16" s="1363"/>
      <c r="D16" s="1352"/>
      <c r="F16" s="237" t="str">
        <f t="shared" si="1"/>
        <v>S_[HM]_Mustard seed</v>
      </c>
      <c r="G16" s="609" t="s">
        <v>108</v>
      </c>
      <c r="I16" s="488">
        <f t="shared" ref="I16:AX16" ca="1" si="8">I221/INDEX(OFFSET($I$214,0,MATCH(I$8,$I$8:$AY$8,0)-1,COUNTA($G$9:$G$29),1),MATCH($G16,$G$214:$G$234,0),1)</f>
        <v>1</v>
      </c>
      <c r="J16" s="553">
        <f t="shared" ca="1" si="8"/>
        <v>5.4725688097138146E-2</v>
      </c>
      <c r="K16" s="553">
        <f t="shared" ca="1" si="8"/>
        <v>5.580241905623911E-2</v>
      </c>
      <c r="L16" s="553">
        <f t="shared" ca="1" si="8"/>
        <v>5.3648957138037176E-2</v>
      </c>
      <c r="M16" s="553">
        <f t="shared" ca="1" si="8"/>
        <v>0.11957986839256141</v>
      </c>
      <c r="N16" s="553">
        <f t="shared" ca="1" si="8"/>
        <v>0.17849388671586011</v>
      </c>
      <c r="O16" s="488">
        <f t="shared" ca="1" si="8"/>
        <v>1</v>
      </c>
      <c r="P16" s="553">
        <f t="shared" ca="1" si="8"/>
        <v>-0.16039140881989464</v>
      </c>
      <c r="Q16" s="553">
        <f t="shared" ca="1" si="8"/>
        <v>-0.15938042015185275</v>
      </c>
      <c r="R16" s="553">
        <f t="shared" ca="1" si="8"/>
        <v>-0.1614023974879365</v>
      </c>
      <c r="S16" s="553">
        <f t="shared" ca="1" si="8"/>
        <v>-0.13372086229415525</v>
      </c>
      <c r="T16" s="553">
        <f t="shared" ca="1" si="8"/>
        <v>-8.7770340383900317E-2</v>
      </c>
      <c r="U16" s="488">
        <f t="shared" ca="1" si="8"/>
        <v>1</v>
      </c>
      <c r="V16" s="553">
        <f t="shared" ca="1" si="8"/>
        <v>8.8695546031463054E-2</v>
      </c>
      <c r="W16" s="553">
        <f t="shared" ca="1" si="8"/>
        <v>0.10066657366717721</v>
      </c>
      <c r="X16" s="553">
        <f t="shared" ca="1" si="8"/>
        <v>7.6724518395748911E-2</v>
      </c>
      <c r="Y16" s="553">
        <f t="shared" ca="1" si="8"/>
        <v>0.95565470290309262</v>
      </c>
      <c r="Z16" s="553">
        <f t="shared" ca="1" si="8"/>
        <v>1.5349430119836456</v>
      </c>
      <c r="AA16" s="488">
        <f t="shared" ca="1" si="8"/>
        <v>1</v>
      </c>
      <c r="AB16" s="553">
        <f t="shared" ca="1" si="8"/>
        <v>0.27864877628565099</v>
      </c>
      <c r="AC16" s="553">
        <f t="shared" ca="1" si="8"/>
        <v>0.284540164192643</v>
      </c>
      <c r="AD16" s="553">
        <f t="shared" ca="1" si="8"/>
        <v>0.27275738837865904</v>
      </c>
      <c r="AE16" s="553">
        <f t="shared" ca="1" si="8"/>
        <v>0.60832943877960255</v>
      </c>
      <c r="AF16" s="553">
        <f t="shared" ca="1" si="8"/>
        <v>0.87079333842566464</v>
      </c>
      <c r="AG16" s="488">
        <f t="shared" ca="1" si="8"/>
        <v>1</v>
      </c>
      <c r="AH16" s="553">
        <f t="shared" ca="1" si="8"/>
        <v>0.21102005769278537</v>
      </c>
      <c r="AI16" s="553">
        <f t="shared" ca="1" si="8"/>
        <v>0.21419042786075865</v>
      </c>
      <c r="AJ16" s="553">
        <f t="shared" ca="1" si="8"/>
        <v>0.20784968752481214</v>
      </c>
      <c r="AK16" s="553">
        <f t="shared" ca="1" si="8"/>
        <v>0.52025528830978329</v>
      </c>
      <c r="AL16" s="553">
        <f t="shared" ca="1" si="8"/>
        <v>0.76385128333409347</v>
      </c>
      <c r="AM16" s="488">
        <f t="shared" ca="1" si="8"/>
        <v>1</v>
      </c>
      <c r="AN16" s="553">
        <f t="shared" ca="1" si="8"/>
        <v>0.19870798382692395</v>
      </c>
      <c r="AO16" s="553">
        <f t="shared" ca="1" si="8"/>
        <v>0.20026073822684637</v>
      </c>
      <c r="AP16" s="553">
        <f t="shared" ca="1" si="8"/>
        <v>0.1971552294270015</v>
      </c>
      <c r="AQ16" s="553">
        <f t="shared" ca="1" si="8"/>
        <v>0.45471628051433877</v>
      </c>
      <c r="AR16" s="553">
        <f t="shared" ca="1" si="8"/>
        <v>0.65915632443882888</v>
      </c>
      <c r="AS16" s="488">
        <f t="shared" ca="1" si="8"/>
        <v>1</v>
      </c>
      <c r="AT16" s="553">
        <f t="shared" ca="1" si="8"/>
        <v>0.12592716479609367</v>
      </c>
      <c r="AU16" s="553">
        <f t="shared" ca="1" si="8"/>
        <v>0.13542239814493254</v>
      </c>
      <c r="AV16" s="553">
        <f t="shared" ca="1" si="8"/>
        <v>0.11643193144725478</v>
      </c>
      <c r="AW16" s="553">
        <f t="shared" ca="1" si="8"/>
        <v>0.82658097144764597</v>
      </c>
      <c r="AX16" s="435">
        <f t="shared" ca="1" si="8"/>
        <v>1.3454830857230313</v>
      </c>
      <c r="AY16" s="265"/>
      <c r="AZ16" s="1"/>
      <c r="BA16" s="1"/>
      <c r="BB16" s="265"/>
      <c r="BG16" s="209"/>
      <c r="BH16" s="265"/>
    </row>
    <row r="17" spans="2:60" outlineLevel="1" x14ac:dyDescent="0.25">
      <c r="B17" s="1363"/>
      <c r="D17" s="1352"/>
      <c r="F17" s="237" t="str">
        <f t="shared" si="1"/>
        <v>S_[HM]_Oat</v>
      </c>
      <c r="G17" s="609" t="s">
        <v>98</v>
      </c>
      <c r="I17" s="488">
        <f t="shared" ref="I17:AX17" ca="1" si="9">I222/INDEX(OFFSET($I$214,0,MATCH(I$8,$I$8:$AY$8,0)-1,COUNTA($G$9:$G$29),1),MATCH($G17,$G$214:$G$234,0),1)</f>
        <v>1</v>
      </c>
      <c r="J17" s="553">
        <f t="shared" ca="1" si="9"/>
        <v>0.13948380078510861</v>
      </c>
      <c r="K17" s="553">
        <f t="shared" ca="1" si="9"/>
        <v>0.13998375847134192</v>
      </c>
      <c r="L17" s="553">
        <f t="shared" ca="1" si="9"/>
        <v>0.13898384309887532</v>
      </c>
      <c r="M17" s="553">
        <f t="shared" ca="1" si="9"/>
        <v>0.30270779302842415</v>
      </c>
      <c r="N17" s="553">
        <f t="shared" ca="1" si="9"/>
        <v>0.45051929579535482</v>
      </c>
      <c r="O17" s="488">
        <f t="shared" ca="1" si="9"/>
        <v>1</v>
      </c>
      <c r="P17" s="553">
        <f t="shared" ca="1" si="9"/>
        <v>5.5817014660986173</v>
      </c>
      <c r="Q17" s="553">
        <f t="shared" ca="1" si="9"/>
        <v>5.4620312947292593</v>
      </c>
      <c r="R17" s="553">
        <f t="shared" ca="1" si="9"/>
        <v>5.7013716374679744</v>
      </c>
      <c r="S17" s="553">
        <f t="shared" ca="1" si="9"/>
        <v>5.6751653562478692</v>
      </c>
      <c r="T17" s="553">
        <f t="shared" ca="1" si="9"/>
        <v>5.1015965998297386</v>
      </c>
      <c r="U17" s="488">
        <f t="shared" ca="1" si="9"/>
        <v>1</v>
      </c>
      <c r="V17" s="553">
        <f t="shared" ca="1" si="9"/>
        <v>4.1164049651300938E-2</v>
      </c>
      <c r="W17" s="553">
        <f t="shared" ca="1" si="9"/>
        <v>4.6418120312127831E-2</v>
      </c>
      <c r="X17" s="553">
        <f t="shared" ca="1" si="9"/>
        <v>3.5909978990474038E-2</v>
      </c>
      <c r="Y17" s="553">
        <f t="shared" ca="1" si="9"/>
        <v>0.97145391100946876</v>
      </c>
      <c r="Z17" s="553">
        <f t="shared" ca="1" si="9"/>
        <v>1.5953332970460983</v>
      </c>
      <c r="AA17" s="488">
        <f t="shared" ca="1" si="9"/>
        <v>1</v>
      </c>
      <c r="AB17" s="553">
        <f t="shared" ca="1" si="9"/>
        <v>0.23113863169646537</v>
      </c>
      <c r="AC17" s="553">
        <f t="shared" ca="1" si="9"/>
        <v>0.24793425346201892</v>
      </c>
      <c r="AD17" s="553">
        <f t="shared" ca="1" si="9"/>
        <v>0.21434300993091177</v>
      </c>
      <c r="AE17" s="553">
        <f t="shared" ca="1" si="9"/>
        <v>0.7038709682288592</v>
      </c>
      <c r="AF17" s="553">
        <f t="shared" ca="1" si="9"/>
        <v>1.1332386285269402</v>
      </c>
      <c r="AG17" s="488">
        <f t="shared" ca="1" si="9"/>
        <v>1</v>
      </c>
      <c r="AH17" s="553">
        <f t="shared" ca="1" si="9"/>
        <v>0.2231424506385298</v>
      </c>
      <c r="AI17" s="553">
        <f t="shared" ca="1" si="9"/>
        <v>0.23132352852820842</v>
      </c>
      <c r="AJ17" s="553">
        <f t="shared" ca="1" si="9"/>
        <v>0.21496137274885119</v>
      </c>
      <c r="AK17" s="553">
        <f t="shared" ca="1" si="9"/>
        <v>0.70249103524590661</v>
      </c>
      <c r="AL17" s="553">
        <f t="shared" ca="1" si="9"/>
        <v>1.1097089388071133</v>
      </c>
      <c r="AM17" s="488">
        <f t="shared" ca="1" si="9"/>
        <v>1</v>
      </c>
      <c r="AN17" s="553">
        <f t="shared" ca="1" si="9"/>
        <v>0.25511689902402157</v>
      </c>
      <c r="AO17" s="553">
        <f t="shared" ca="1" si="9"/>
        <v>0.25525520004578561</v>
      </c>
      <c r="AP17" s="553">
        <f t="shared" ca="1" si="9"/>
        <v>0.25497859800225742</v>
      </c>
      <c r="AQ17" s="553">
        <f t="shared" ca="1" si="9"/>
        <v>0.58097729396976117</v>
      </c>
      <c r="AR17" s="553">
        <f t="shared" ca="1" si="9"/>
        <v>0.83981620389442246</v>
      </c>
      <c r="AS17" s="488">
        <f t="shared" ca="1" si="9"/>
        <v>1</v>
      </c>
      <c r="AT17" s="553">
        <f t="shared" ca="1" si="9"/>
        <v>2.7378277343326578E-2</v>
      </c>
      <c r="AU17" s="553">
        <f t="shared" ca="1" si="9"/>
        <v>3.6825705591128077E-2</v>
      </c>
      <c r="AV17" s="553">
        <f t="shared" ca="1" si="9"/>
        <v>1.793084909552508E-2</v>
      </c>
      <c r="AW17" s="553">
        <f t="shared" ca="1" si="9"/>
        <v>0.89971661680139947</v>
      </c>
      <c r="AX17" s="435">
        <f t="shared" ca="1" si="9"/>
        <v>1.5946239911397695</v>
      </c>
      <c r="AY17" s="265"/>
      <c r="AZ17" s="1"/>
      <c r="BA17" s="1"/>
      <c r="BB17" s="265"/>
      <c r="BG17" s="209"/>
      <c r="BH17" s="265"/>
    </row>
    <row r="18" spans="2:60" outlineLevel="1" x14ac:dyDescent="0.25">
      <c r="B18" s="1363"/>
      <c r="D18" s="1352"/>
      <c r="F18" s="237" t="str">
        <f t="shared" si="1"/>
        <v>S_[HM]_Peas, dry</v>
      </c>
      <c r="G18" s="609" t="s">
        <v>629</v>
      </c>
      <c r="I18" s="488">
        <f t="shared" ref="I18:AX18" ca="1" si="10">I223/INDEX(OFFSET($I$214,0,MATCH(I$8,$I$8:$AY$8,0)-1,COUNTA($G$9:$G$29),1),MATCH($G18,$G$214:$G$234,0),1)</f>
        <v>1</v>
      </c>
      <c r="J18" s="553">
        <f t="shared" ca="1" si="10"/>
        <v>9.5030387948546013E-2</v>
      </c>
      <c r="K18" s="553">
        <f t="shared" ca="1" si="10"/>
        <v>9.6400790734509453E-2</v>
      </c>
      <c r="L18" s="553">
        <f t="shared" ca="1" si="10"/>
        <v>9.3659985162582574E-2</v>
      </c>
      <c r="M18" s="553">
        <f t="shared" ca="1" si="10"/>
        <v>0.20555698954228754</v>
      </c>
      <c r="N18" s="553">
        <f t="shared" ca="1" si="10"/>
        <v>0.30532785164243698</v>
      </c>
      <c r="O18" s="488">
        <f t="shared" ca="1" si="10"/>
        <v>1</v>
      </c>
      <c r="P18" s="553">
        <f t="shared" ca="1" si="10"/>
        <v>-0.57692116468531907</v>
      </c>
      <c r="Q18" s="553">
        <f t="shared" ca="1" si="10"/>
        <v>-0.54661074590263403</v>
      </c>
      <c r="R18" s="553">
        <f t="shared" ca="1" si="10"/>
        <v>-0.60723158346800421</v>
      </c>
      <c r="S18" s="553">
        <f t="shared" ca="1" si="10"/>
        <v>-0.53114036365416017</v>
      </c>
      <c r="T18" s="553">
        <f t="shared" ca="1" si="10"/>
        <v>-0.4144554328328891</v>
      </c>
      <c r="U18" s="488">
        <f t="shared" ca="1" si="10"/>
        <v>1</v>
      </c>
      <c r="V18" s="553">
        <f t="shared" ca="1" si="10"/>
        <v>2.0997473347380047E-2</v>
      </c>
      <c r="W18" s="553">
        <f t="shared" ca="1" si="10"/>
        <v>5.3141232482751828E-2</v>
      </c>
      <c r="X18" s="553">
        <f t="shared" ca="1" si="10"/>
        <v>-1.1146285787991737E-2</v>
      </c>
      <c r="Y18" s="553">
        <f t="shared" ca="1" si="10"/>
        <v>0.9796980700680008</v>
      </c>
      <c r="Z18" s="553">
        <f t="shared" ca="1" si="10"/>
        <v>1.6235015120914662</v>
      </c>
      <c r="AA18" s="488">
        <f t="shared" ca="1" si="10"/>
        <v>1</v>
      </c>
      <c r="AB18" s="553">
        <f t="shared" ca="1" si="10"/>
        <v>0.28039771980005257</v>
      </c>
      <c r="AC18" s="553">
        <f t="shared" ca="1" si="10"/>
        <v>0.34099086038624105</v>
      </c>
      <c r="AD18" s="553">
        <f t="shared" ca="1" si="10"/>
        <v>0.21980457921386407</v>
      </c>
      <c r="AE18" s="553">
        <f t="shared" ca="1" si="10"/>
        <v>0.74469115015170495</v>
      </c>
      <c r="AF18" s="553">
        <f t="shared" ca="1" si="10"/>
        <v>1.151147504483069</v>
      </c>
      <c r="AG18" s="488">
        <f t="shared" ca="1" si="10"/>
        <v>1</v>
      </c>
      <c r="AH18" s="553">
        <f t="shared" ca="1" si="10"/>
        <v>0.25031538825815869</v>
      </c>
      <c r="AI18" s="553">
        <f t="shared" ca="1" si="10"/>
        <v>0.26772207188465946</v>
      </c>
      <c r="AJ18" s="553">
        <f t="shared" ca="1" si="10"/>
        <v>0.23290870463165794</v>
      </c>
      <c r="AK18" s="553">
        <f t="shared" ca="1" si="10"/>
        <v>0.66931068477763511</v>
      </c>
      <c r="AL18" s="553">
        <f t="shared" ca="1" si="10"/>
        <v>1.0100925565935854</v>
      </c>
      <c r="AM18" s="488">
        <f t="shared" ca="1" si="10"/>
        <v>1</v>
      </c>
      <c r="AN18" s="553">
        <f t="shared" ca="1" si="10"/>
        <v>0.29156918146567484</v>
      </c>
      <c r="AO18" s="553">
        <f t="shared" ca="1" si="10"/>
        <v>0.29506818427067327</v>
      </c>
      <c r="AP18" s="553">
        <f t="shared" ca="1" si="10"/>
        <v>0.28807017866067641</v>
      </c>
      <c r="AQ18" s="553">
        <f t="shared" ca="1" si="10"/>
        <v>0.66649029235817192</v>
      </c>
      <c r="AR18" s="553">
        <f t="shared" ca="1" si="10"/>
        <v>0.96677955884646283</v>
      </c>
      <c r="AS18" s="488">
        <f t="shared" ca="1" si="10"/>
        <v>1</v>
      </c>
      <c r="AT18" s="553">
        <f t="shared" ca="1" si="10"/>
        <v>7.9650911258490123E-2</v>
      </c>
      <c r="AU18" s="553">
        <f t="shared" ca="1" si="10"/>
        <v>0.11031476478730405</v>
      </c>
      <c r="AV18" s="553">
        <f t="shared" ca="1" si="10"/>
        <v>4.8987057729676195E-2</v>
      </c>
      <c r="AW18" s="553">
        <f t="shared" ca="1" si="10"/>
        <v>0.89860436185771198</v>
      </c>
      <c r="AX18" s="435">
        <f t="shared" ca="1" si="10"/>
        <v>1.5314401133343065</v>
      </c>
      <c r="AY18" s="265"/>
      <c r="AZ18" s="1"/>
      <c r="BA18" s="1"/>
      <c r="BB18" s="265"/>
      <c r="BG18" s="209"/>
      <c r="BH18" s="265"/>
    </row>
    <row r="19" spans="2:60" outlineLevel="1" x14ac:dyDescent="0.25">
      <c r="B19" s="1363"/>
      <c r="D19" s="1352"/>
      <c r="F19" s="237" t="str">
        <f t="shared" si="1"/>
        <v>S_[HM]_Peas, green</v>
      </c>
      <c r="G19" s="609" t="s">
        <v>105</v>
      </c>
      <c r="I19" s="488">
        <f t="shared" ref="I19:AX19" ca="1" si="11">I224/INDEX(OFFSET($I$214,0,MATCH(I$8,$I$8:$AY$8,0)-1,COUNTA($G$9:$G$29),1),MATCH($G19,$G$214:$G$234,0),1)</f>
        <v>1</v>
      </c>
      <c r="J19" s="553">
        <f t="shared" ca="1" si="11"/>
        <v>0.17411681388104705</v>
      </c>
      <c r="K19" s="553">
        <f t="shared" ca="1" si="11"/>
        <v>0.17562374054513522</v>
      </c>
      <c r="L19" s="553">
        <f t="shared" ca="1" si="11"/>
        <v>0.17260988721695891</v>
      </c>
      <c r="M19" s="553">
        <f t="shared" ca="1" si="11"/>
        <v>0.37455540128613302</v>
      </c>
      <c r="N19" s="553">
        <f t="shared" ca="1" si="11"/>
        <v>0.55437371096018229</v>
      </c>
      <c r="O19" s="488">
        <f t="shared" ca="1" si="11"/>
        <v>1</v>
      </c>
      <c r="P19" s="553">
        <f t="shared" ca="1" si="11"/>
        <v>-1.7764563051070164</v>
      </c>
      <c r="Q19" s="553">
        <f t="shared" ca="1" si="11"/>
        <v>-1.7590955308348</v>
      </c>
      <c r="R19" s="553">
        <f t="shared" ca="1" si="11"/>
        <v>-1.793817079379233</v>
      </c>
      <c r="S19" s="553">
        <f t="shared" ca="1" si="11"/>
        <v>-1.4857610485755366</v>
      </c>
      <c r="T19" s="553">
        <f t="shared" ca="1" si="11"/>
        <v>-0.98159090016781303</v>
      </c>
      <c r="U19" s="488">
        <f t="shared" ca="1" si="11"/>
        <v>1</v>
      </c>
      <c r="V19" s="553">
        <f t="shared" ca="1" si="11"/>
        <v>0.14214225066658459</v>
      </c>
      <c r="W19" s="553">
        <f t="shared" ca="1" si="11"/>
        <v>0.14285675400659903</v>
      </c>
      <c r="X19" s="553">
        <f t="shared" ca="1" si="11"/>
        <v>0.14142774732657018</v>
      </c>
      <c r="Y19" s="553">
        <f t="shared" ca="1" si="11"/>
        <v>0.98340514192146677</v>
      </c>
      <c r="Z19" s="553">
        <f t="shared" ca="1" si="11"/>
        <v>1.5431253837513397</v>
      </c>
      <c r="AA19" s="488">
        <f t="shared" ca="1" si="11"/>
        <v>1</v>
      </c>
      <c r="AB19" s="553">
        <f t="shared" ca="1" si="11"/>
        <v>0.40450255875957447</v>
      </c>
      <c r="AC19" s="553">
        <f t="shared" ca="1" si="11"/>
        <v>0.40737501798472114</v>
      </c>
      <c r="AD19" s="553">
        <f t="shared" ca="1" si="11"/>
        <v>0.4016300995344278</v>
      </c>
      <c r="AE19" s="553">
        <f t="shared" ca="1" si="11"/>
        <v>0.86447133225013217</v>
      </c>
      <c r="AF19" s="553">
        <f t="shared" ca="1" si="11"/>
        <v>1.2255023833302816</v>
      </c>
      <c r="AG19" s="488">
        <f t="shared" ca="1" si="11"/>
        <v>1</v>
      </c>
      <c r="AH19" s="553">
        <f t="shared" ca="1" si="11"/>
        <v>0.34098643689239461</v>
      </c>
      <c r="AI19" s="553">
        <f t="shared" ca="1" si="11"/>
        <v>0.34221209716894269</v>
      </c>
      <c r="AJ19" s="553">
        <f t="shared" ca="1" si="11"/>
        <v>0.33976077661584653</v>
      </c>
      <c r="AK19" s="553">
        <f t="shared" ca="1" si="11"/>
        <v>0.82093296537854454</v>
      </c>
      <c r="AL19" s="553">
        <f t="shared" ca="1" si="11"/>
        <v>1.1951628057597772</v>
      </c>
      <c r="AM19" s="488">
        <f t="shared" ca="1" si="11"/>
        <v>1</v>
      </c>
      <c r="AN19" s="553">
        <f t="shared" ca="1" si="11"/>
        <v>0.33840434313668272</v>
      </c>
      <c r="AO19" s="553">
        <f t="shared" ca="1" si="11"/>
        <v>0.34060242560250381</v>
      </c>
      <c r="AP19" s="553">
        <f t="shared" ca="1" si="11"/>
        <v>0.33620626067086157</v>
      </c>
      <c r="AQ19" s="553">
        <f t="shared" ca="1" si="11"/>
        <v>0.772264794278538</v>
      </c>
      <c r="AR19" s="553">
        <f t="shared" ca="1" si="11"/>
        <v>1.1177879347840709</v>
      </c>
      <c r="AS19" s="488">
        <f t="shared" ca="1" si="11"/>
        <v>1</v>
      </c>
      <c r="AT19" s="553">
        <f t="shared" ca="1" si="11"/>
        <v>0.17897977942552318</v>
      </c>
      <c r="AU19" s="553">
        <f t="shared" ca="1" si="11"/>
        <v>0.18023832090651754</v>
      </c>
      <c r="AV19" s="553">
        <f t="shared" ca="1" si="11"/>
        <v>0.17772123794452879</v>
      </c>
      <c r="AW19" s="553">
        <f t="shared" ca="1" si="11"/>
        <v>0.94767626934870508</v>
      </c>
      <c r="AX19" s="435">
        <f t="shared" ca="1" si="11"/>
        <v>1.50079699692042</v>
      </c>
      <c r="AY19" s="265"/>
      <c r="AZ19" s="1"/>
      <c r="BA19" s="1"/>
      <c r="BB19" s="265"/>
      <c r="BG19" s="209"/>
      <c r="BH19" s="265"/>
    </row>
    <row r="20" spans="2:60" outlineLevel="1" x14ac:dyDescent="0.25">
      <c r="B20" s="1363"/>
      <c r="D20" s="1352"/>
      <c r="F20" s="237" t="str">
        <f t="shared" si="1"/>
        <v>S_[HM]_Potatoes</v>
      </c>
      <c r="G20" s="609" t="s">
        <v>111</v>
      </c>
      <c r="I20" s="488">
        <f t="shared" ref="I20:AX20" ca="1" si="12">I225/INDEX(OFFSET($I$214,0,MATCH(I$8,$I$8:$AY$8,0)-1,COUNTA($G$9:$G$29),1),MATCH($G20,$G$214:$G$234,0),1)</f>
        <v>1</v>
      </c>
      <c r="J20" s="553">
        <f t="shared" ca="1" si="12"/>
        <v>5.9575186497357678E-2</v>
      </c>
      <c r="K20" s="553">
        <f t="shared" ca="1" si="12"/>
        <v>6.5209558570129722E-2</v>
      </c>
      <c r="L20" s="553">
        <f t="shared" ca="1" si="12"/>
        <v>5.3940814424585627E-2</v>
      </c>
      <c r="M20" s="553">
        <f t="shared" ca="1" si="12"/>
        <v>0.13415021429109028</v>
      </c>
      <c r="N20" s="553">
        <f t="shared" ca="1" si="12"/>
        <v>0.20396886110179996</v>
      </c>
      <c r="O20" s="488">
        <f t="shared" ca="1" si="12"/>
        <v>1</v>
      </c>
      <c r="P20" s="553">
        <f t="shared" ca="1" si="12"/>
        <v>-0.2685890105512867</v>
      </c>
      <c r="Q20" s="553">
        <f t="shared" ca="1" si="12"/>
        <v>-0.25269599732954906</v>
      </c>
      <c r="R20" s="553">
        <f t="shared" ca="1" si="12"/>
        <v>-0.2844820237730244</v>
      </c>
      <c r="S20" s="553">
        <f t="shared" ca="1" si="12"/>
        <v>-0.23978912795647289</v>
      </c>
      <c r="T20" s="553">
        <f t="shared" ca="1" si="12"/>
        <v>-0.17861987109669708</v>
      </c>
      <c r="U20" s="488">
        <f t="shared" ca="1" si="12"/>
        <v>1</v>
      </c>
      <c r="V20" s="553">
        <f t="shared" ca="1" si="12"/>
        <v>0.10471326124617497</v>
      </c>
      <c r="W20" s="553">
        <f t="shared" ca="1" si="12"/>
        <v>0.11870912696592738</v>
      </c>
      <c r="X20" s="553">
        <f t="shared" ca="1" si="12"/>
        <v>9.0717395526422537E-2</v>
      </c>
      <c r="Y20" s="553">
        <f t="shared" ca="1" si="12"/>
        <v>0.94972827028347384</v>
      </c>
      <c r="Z20" s="553">
        <f t="shared" ca="1" si="12"/>
        <v>1.5136105416680963</v>
      </c>
      <c r="AA20" s="488">
        <f t="shared" ca="1" si="12"/>
        <v>1</v>
      </c>
      <c r="AB20" s="553">
        <f t="shared" ca="1" si="12"/>
        <v>0.27054804687249578</v>
      </c>
      <c r="AC20" s="553">
        <f t="shared" ca="1" si="12"/>
        <v>0.30449960035752649</v>
      </c>
      <c r="AD20" s="553">
        <f t="shared" ca="1" si="12"/>
        <v>0.23659649338746505</v>
      </c>
      <c r="AE20" s="553">
        <f t="shared" ca="1" si="12"/>
        <v>0.62499371716595786</v>
      </c>
      <c r="AF20" s="553">
        <f t="shared" ca="1" si="12"/>
        <v>0.91834864411318773</v>
      </c>
      <c r="AG20" s="488">
        <f t="shared" ca="1" si="12"/>
        <v>1</v>
      </c>
      <c r="AH20" s="553">
        <f t="shared" ca="1" si="12"/>
        <v>0.21465043106536147</v>
      </c>
      <c r="AI20" s="553">
        <f t="shared" ca="1" si="12"/>
        <v>0.22902149482279827</v>
      </c>
      <c r="AJ20" s="553">
        <f t="shared" ca="1" si="12"/>
        <v>0.2002793673079247</v>
      </c>
      <c r="AK20" s="553">
        <f t="shared" ca="1" si="12"/>
        <v>0.55069205129704601</v>
      </c>
      <c r="AL20" s="553">
        <f t="shared" ca="1" si="12"/>
        <v>0.82019259275092904</v>
      </c>
      <c r="AM20" s="488">
        <f t="shared" ca="1" si="12"/>
        <v>1</v>
      </c>
      <c r="AN20" s="553">
        <f t="shared" ca="1" si="12"/>
        <v>0.19649663111161758</v>
      </c>
      <c r="AO20" s="553">
        <f t="shared" ca="1" si="12"/>
        <v>0.19711232863132089</v>
      </c>
      <c r="AP20" s="553">
        <f t="shared" ca="1" si="12"/>
        <v>0.19588093359191425</v>
      </c>
      <c r="AQ20" s="553">
        <f t="shared" ca="1" si="12"/>
        <v>0.4472539745178763</v>
      </c>
      <c r="AR20" s="553">
        <f t="shared" ca="1" si="12"/>
        <v>0.6463124971616675</v>
      </c>
      <c r="AS20" s="488">
        <f t="shared" ca="1" si="12"/>
        <v>1</v>
      </c>
      <c r="AT20" s="553">
        <f t="shared" ca="1" si="12"/>
        <v>0.14646409799197324</v>
      </c>
      <c r="AU20" s="553">
        <f t="shared" ca="1" si="12"/>
        <v>0.15383207970282678</v>
      </c>
      <c r="AV20" s="553">
        <f t="shared" ca="1" si="12"/>
        <v>0.1390961162811197</v>
      </c>
      <c r="AW20" s="553">
        <f t="shared" ca="1" si="12"/>
        <v>0.83574638115926891</v>
      </c>
      <c r="AX20" s="435">
        <f t="shared" ca="1" si="12"/>
        <v>1.3376554965298879</v>
      </c>
      <c r="AY20" s="265"/>
      <c r="AZ20" s="1"/>
      <c r="BA20" s="1"/>
      <c r="BB20" s="265"/>
      <c r="BG20" s="209"/>
      <c r="BH20" s="265"/>
    </row>
    <row r="21" spans="2:60" outlineLevel="1" x14ac:dyDescent="0.25">
      <c r="B21" s="1363"/>
      <c r="D21" s="1352"/>
      <c r="F21" s="237" t="str">
        <f t="shared" si="1"/>
        <v>S_[HM]_Rapeseed</v>
      </c>
      <c r="G21" s="609" t="s">
        <v>109</v>
      </c>
      <c r="I21" s="488">
        <f t="shared" ref="I21:AX21" ca="1" si="13">I226/INDEX(OFFSET($I$214,0,MATCH(I$8,$I$8:$AY$8,0)-1,COUNTA($G$9:$G$29),1),MATCH($G21,$G$214:$G$234,0),1)</f>
        <v>1</v>
      </c>
      <c r="J21" s="553">
        <f t="shared" ca="1" si="13"/>
        <v>9.1468205474682249E-2</v>
      </c>
      <c r="K21" s="553">
        <f t="shared" ca="1" si="13"/>
        <v>9.2478899999187181E-2</v>
      </c>
      <c r="L21" s="553">
        <f t="shared" ca="1" si="13"/>
        <v>9.0457510950177331E-2</v>
      </c>
      <c r="M21" s="553">
        <f t="shared" ca="1" si="13"/>
        <v>0.19983088143211786</v>
      </c>
      <c r="N21" s="553">
        <f t="shared" ca="1" si="13"/>
        <v>0.29810001707798134</v>
      </c>
      <c r="O21" s="488">
        <f t="shared" ca="1" si="13"/>
        <v>1</v>
      </c>
      <c r="P21" s="553">
        <f t="shared" ca="1" si="13"/>
        <v>-0.70274808454948245</v>
      </c>
      <c r="Q21" s="553">
        <f t="shared" ca="1" si="13"/>
        <v>-0.67743481395547878</v>
      </c>
      <c r="R21" s="553">
        <f t="shared" ca="1" si="13"/>
        <v>-0.72806135514348602</v>
      </c>
      <c r="S21" s="553">
        <f t="shared" ca="1" si="13"/>
        <v>-0.67340132304883504</v>
      </c>
      <c r="T21" s="553">
        <f t="shared" ca="1" si="13"/>
        <v>-0.54870384633213054</v>
      </c>
      <c r="U21" s="488">
        <f t="shared" ca="1" si="13"/>
        <v>1</v>
      </c>
      <c r="V21" s="553">
        <f t="shared" ca="1" si="13"/>
        <v>5.456932949316097E-2</v>
      </c>
      <c r="W21" s="553">
        <f t="shared" ca="1" si="13"/>
        <v>6.7168109253036692E-2</v>
      </c>
      <c r="X21" s="553">
        <f t="shared" ca="1" si="13"/>
        <v>4.1970549733285241E-2</v>
      </c>
      <c r="Y21" s="553">
        <f t="shared" ca="1" si="13"/>
        <v>0.97690698758395556</v>
      </c>
      <c r="Z21" s="553">
        <f t="shared" ca="1" si="13"/>
        <v>1.5948687556741155</v>
      </c>
      <c r="AA21" s="488">
        <f t="shared" ca="1" si="13"/>
        <v>1</v>
      </c>
      <c r="AB21" s="553">
        <f t="shared" ca="1" si="13"/>
        <v>0.19552080535038813</v>
      </c>
      <c r="AC21" s="553">
        <f t="shared" ca="1" si="13"/>
        <v>0.24565504888835571</v>
      </c>
      <c r="AD21" s="553">
        <f t="shared" ca="1" si="13"/>
        <v>0.14538656181242077</v>
      </c>
      <c r="AE21" s="553">
        <f t="shared" ca="1" si="13"/>
        <v>0.66749204334785417</v>
      </c>
      <c r="AF21" s="553">
        <f t="shared" ca="1" si="13"/>
        <v>1.1053600326539512</v>
      </c>
      <c r="AG21" s="488">
        <f t="shared" ca="1" si="13"/>
        <v>1</v>
      </c>
      <c r="AH21" s="553">
        <f t="shared" ca="1" si="13"/>
        <v>0.20463294649742186</v>
      </c>
      <c r="AI21" s="553">
        <f t="shared" ca="1" si="13"/>
        <v>0.21990032972936818</v>
      </c>
      <c r="AJ21" s="553">
        <f t="shared" ca="1" si="13"/>
        <v>0.18936556326547552</v>
      </c>
      <c r="AK21" s="553">
        <f t="shared" ca="1" si="13"/>
        <v>0.6109762940516249</v>
      </c>
      <c r="AL21" s="553">
        <f t="shared" ca="1" si="13"/>
        <v>0.95083115844236599</v>
      </c>
      <c r="AM21" s="488">
        <f t="shared" ca="1" si="13"/>
        <v>1</v>
      </c>
      <c r="AN21" s="553">
        <f t="shared" ca="1" si="13"/>
        <v>0.19498033663054795</v>
      </c>
      <c r="AO21" s="553">
        <f t="shared" ca="1" si="13"/>
        <v>0.19676565353404638</v>
      </c>
      <c r="AP21" s="553">
        <f t="shared" ca="1" si="13"/>
        <v>0.1931950197270495</v>
      </c>
      <c r="AQ21" s="553">
        <f t="shared" ca="1" si="13"/>
        <v>0.44984067583564602</v>
      </c>
      <c r="AR21" s="553">
        <f t="shared" ca="1" si="13"/>
        <v>0.65474212127560483</v>
      </c>
      <c r="AS21" s="488">
        <f t="shared" ca="1" si="13"/>
        <v>1</v>
      </c>
      <c r="AT21" s="553">
        <f t="shared" ca="1" si="13"/>
        <v>-6.0652703793482178E-2</v>
      </c>
      <c r="AU21" s="553">
        <f t="shared" ca="1" si="13"/>
        <v>-1.8852930183520883E-2</v>
      </c>
      <c r="AV21" s="553">
        <f t="shared" ca="1" si="13"/>
        <v>-0.10245247740344343</v>
      </c>
      <c r="AW21" s="553">
        <f t="shared" ca="1" si="13"/>
        <v>0.93947150549693081</v>
      </c>
      <c r="AX21" s="435">
        <f t="shared" ca="1" si="13"/>
        <v>1.7727131162221923</v>
      </c>
      <c r="AY21" s="265"/>
      <c r="AZ21" s="1"/>
      <c r="BA21" s="1"/>
      <c r="BB21" s="265"/>
      <c r="BG21" s="209"/>
      <c r="BH21" s="265"/>
    </row>
    <row r="22" spans="2:60" outlineLevel="1" x14ac:dyDescent="0.25">
      <c r="B22" s="1363"/>
      <c r="D22" s="1352"/>
      <c r="F22" s="237" t="str">
        <f t="shared" si="1"/>
        <v>S_[HM]_Rye</v>
      </c>
      <c r="G22" s="609" t="s">
        <v>99</v>
      </c>
      <c r="I22" s="488">
        <f t="shared" ref="I22:AX22" ca="1" si="14">I227/INDEX(OFFSET($I$214,0,MATCH(I$8,$I$8:$AY$8,0)-1,COUNTA($G$9:$G$29),1),MATCH($G22,$G$214:$G$234,0),1)</f>
        <v>1</v>
      </c>
      <c r="J22" s="553">
        <f t="shared" ca="1" si="14"/>
        <v>0.14043214764711545</v>
      </c>
      <c r="K22" s="553">
        <f t="shared" ca="1" si="14"/>
        <v>0.14196893888149165</v>
      </c>
      <c r="L22" s="553">
        <f t="shared" ca="1" si="14"/>
        <v>0.13889535641273923</v>
      </c>
      <c r="M22" s="553">
        <f t="shared" ca="1" si="14"/>
        <v>0.30487465092319355</v>
      </c>
      <c r="N22" s="553">
        <f t="shared" ca="1" si="14"/>
        <v>0.45375578817018486</v>
      </c>
      <c r="O22" s="488">
        <f t="shared" ca="1" si="14"/>
        <v>1</v>
      </c>
      <c r="P22" s="553">
        <f t="shared" ca="1" si="14"/>
        <v>-3.4891496806882509</v>
      </c>
      <c r="Q22" s="553">
        <f t="shared" ca="1" si="14"/>
        <v>-3.3570199908109291</v>
      </c>
      <c r="R22" s="553">
        <f t="shared" ca="1" si="14"/>
        <v>-3.621279370565571</v>
      </c>
      <c r="S22" s="553">
        <f t="shared" ca="1" si="14"/>
        <v>-3.2776607668995466</v>
      </c>
      <c r="T22" s="553">
        <f t="shared" ca="1" si="14"/>
        <v>-2.6320629717230095</v>
      </c>
      <c r="U22" s="488">
        <f t="shared" ca="1" si="14"/>
        <v>1</v>
      </c>
      <c r="V22" s="553">
        <f t="shared" ca="1" si="14"/>
        <v>5.9175425477374755E-2</v>
      </c>
      <c r="W22" s="553">
        <f t="shared" ca="1" si="14"/>
        <v>7.3158126113448865E-2</v>
      </c>
      <c r="X22" s="553">
        <f t="shared" ca="1" si="14"/>
        <v>4.5192724841300651E-2</v>
      </c>
      <c r="Y22" s="553">
        <f t="shared" ca="1" si="14"/>
        <v>0.99881877980587985</v>
      </c>
      <c r="Z22" s="553">
        <f t="shared" ca="1" si="14"/>
        <v>1.6282442868845708</v>
      </c>
      <c r="AA22" s="488">
        <f t="shared" ca="1" si="14"/>
        <v>1</v>
      </c>
      <c r="AB22" s="553">
        <f t="shared" ca="1" si="14"/>
        <v>0.27549126114711142</v>
      </c>
      <c r="AC22" s="553">
        <f t="shared" ca="1" si="14"/>
        <v>0.3356346442972169</v>
      </c>
      <c r="AD22" s="553">
        <f t="shared" ca="1" si="14"/>
        <v>0.21534787799700592</v>
      </c>
      <c r="AE22" s="553">
        <f t="shared" ca="1" si="14"/>
        <v>0.83460352113286962</v>
      </c>
      <c r="AF22" s="553">
        <f t="shared" ca="1" si="14"/>
        <v>1.3416359876389599</v>
      </c>
      <c r="AG22" s="488">
        <f t="shared" ca="1" si="14"/>
        <v>1</v>
      </c>
      <c r="AH22" s="553">
        <f t="shared" ca="1" si="14"/>
        <v>0.24120278558618324</v>
      </c>
      <c r="AI22" s="553">
        <f t="shared" ca="1" si="14"/>
        <v>0.2679939771911613</v>
      </c>
      <c r="AJ22" s="553">
        <f t="shared" ca="1" si="14"/>
        <v>0.21441159398120524</v>
      </c>
      <c r="AK22" s="553">
        <f t="shared" ca="1" si="14"/>
        <v>0.75723640538746106</v>
      </c>
      <c r="AL22" s="553">
        <f t="shared" ca="1" si="14"/>
        <v>1.1951791807085064</v>
      </c>
      <c r="AM22" s="488">
        <f t="shared" ca="1" si="14"/>
        <v>1</v>
      </c>
      <c r="AN22" s="553">
        <f t="shared" ca="1" si="14"/>
        <v>0.25449026016603965</v>
      </c>
      <c r="AO22" s="553">
        <f t="shared" ca="1" si="14"/>
        <v>0.25718580438297522</v>
      </c>
      <c r="AP22" s="553">
        <f t="shared" ca="1" si="14"/>
        <v>0.25179471594910408</v>
      </c>
      <c r="AQ22" s="553">
        <f t="shared" ca="1" si="14"/>
        <v>0.58358438977580007</v>
      </c>
      <c r="AR22" s="553">
        <f t="shared" ca="1" si="14"/>
        <v>0.84837738002189844</v>
      </c>
      <c r="AS22" s="488">
        <f t="shared" ca="1" si="14"/>
        <v>1</v>
      </c>
      <c r="AT22" s="553">
        <f t="shared" ca="1" si="14"/>
        <v>-7.2634398964908737E-3</v>
      </c>
      <c r="AU22" s="553">
        <f t="shared" ca="1" si="14"/>
        <v>3.2535863848623559E-2</v>
      </c>
      <c r="AV22" s="553">
        <f t="shared" ca="1" si="14"/>
        <v>-4.7062743641605252E-2</v>
      </c>
      <c r="AW22" s="553">
        <f t="shared" ca="1" si="14"/>
        <v>1.0012177239206477</v>
      </c>
      <c r="AX22" s="435">
        <f t="shared" ca="1" si="14"/>
        <v>1.81853477828322</v>
      </c>
      <c r="AY22" s="265"/>
      <c r="AZ22" s="1"/>
      <c r="BA22" s="1"/>
      <c r="BB22" s="265"/>
      <c r="BG22" s="209"/>
      <c r="BH22" s="265"/>
    </row>
    <row r="23" spans="2:60" outlineLevel="1" x14ac:dyDescent="0.25">
      <c r="B23" s="1363"/>
      <c r="D23" s="1352"/>
      <c r="F23" s="237" t="str">
        <f t="shared" si="1"/>
        <v>S_[HM]_Soybeans</v>
      </c>
      <c r="G23" s="609" t="s">
        <v>106</v>
      </c>
      <c r="I23" s="488">
        <f t="shared" ref="I23:AX23" ca="1" si="15">I228/INDEX(OFFSET($I$214,0,MATCH(I$8,$I$8:$AY$8,0)-1,COUNTA($G$9:$G$29),1),MATCH($G23,$G$214:$G$234,0),1)</f>
        <v>1</v>
      </c>
      <c r="J23" s="553">
        <f t="shared" ca="1" si="15"/>
        <v>0.13713849554438856</v>
      </c>
      <c r="K23" s="553">
        <f t="shared" ca="1" si="15"/>
        <v>0.14541877952253615</v>
      </c>
      <c r="L23" s="553">
        <f t="shared" ca="1" si="15"/>
        <v>0.12885821156624097</v>
      </c>
      <c r="M23" s="553">
        <f t="shared" ca="1" si="15"/>
        <v>0.31816742146155685</v>
      </c>
      <c r="N23" s="553">
        <f t="shared" ca="1" si="15"/>
        <v>0.48984903240319377</v>
      </c>
      <c r="O23" s="488">
        <f t="shared" ca="1" si="15"/>
        <v>1</v>
      </c>
      <c r="P23" s="553">
        <f t="shared" ca="1" si="15"/>
        <v>-1.6149745292220934</v>
      </c>
      <c r="Q23" s="553">
        <f t="shared" ca="1" si="15"/>
        <v>-1.5914862542435244</v>
      </c>
      <c r="R23" s="553">
        <f t="shared" ca="1" si="15"/>
        <v>-1.6384628042006624</v>
      </c>
      <c r="S23" s="553">
        <f t="shared" ca="1" si="15"/>
        <v>-1.3883440305239199</v>
      </c>
      <c r="T23" s="553">
        <f t="shared" ca="1" si="15"/>
        <v>-0.96401426980153382</v>
      </c>
      <c r="U23" s="488">
        <f t="shared" ca="1" si="15"/>
        <v>1</v>
      </c>
      <c r="V23" s="553">
        <f t="shared" ca="1" si="15"/>
        <v>-3.984881743736237E-2</v>
      </c>
      <c r="W23" s="553">
        <f t="shared" ca="1" si="15"/>
        <v>-4.3177833879132601E-3</v>
      </c>
      <c r="X23" s="553">
        <f t="shared" ca="1" si="15"/>
        <v>-7.537985148681145E-2</v>
      </c>
      <c r="Y23" s="553">
        <f t="shared" ca="1" si="15"/>
        <v>0.99643459243180066</v>
      </c>
      <c r="Z23" s="553">
        <f t="shared" ca="1" si="15"/>
        <v>1.6949171900352797</v>
      </c>
      <c r="AA23" s="488">
        <f t="shared" ca="1" si="15"/>
        <v>1</v>
      </c>
      <c r="AB23" s="553">
        <f t="shared" ca="1" si="15"/>
        <v>0.35327425874842544</v>
      </c>
      <c r="AC23" s="553">
        <f t="shared" ca="1" si="15"/>
        <v>0.37663116592244245</v>
      </c>
      <c r="AD23" s="553">
        <f t="shared" ca="1" si="15"/>
        <v>0.32991735157440844</v>
      </c>
      <c r="AE23" s="553">
        <f t="shared" ca="1" si="15"/>
        <v>0.83149130288389239</v>
      </c>
      <c r="AF23" s="553">
        <f t="shared" ca="1" si="15"/>
        <v>1.2289249549667864</v>
      </c>
      <c r="AG23" s="488">
        <f t="shared" ca="1" si="15"/>
        <v>1</v>
      </c>
      <c r="AH23" s="553">
        <f t="shared" ca="1" si="15"/>
        <v>0.29840449588455537</v>
      </c>
      <c r="AI23" s="553">
        <f t="shared" ca="1" si="15"/>
        <v>0.31139519438618835</v>
      </c>
      <c r="AJ23" s="553">
        <f t="shared" ca="1" si="15"/>
        <v>0.28541379738292244</v>
      </c>
      <c r="AK23" s="553">
        <f t="shared" ca="1" si="15"/>
        <v>0.78846224640109308</v>
      </c>
      <c r="AL23" s="553">
        <f t="shared" ca="1" si="15"/>
        <v>1.1847980097652133</v>
      </c>
      <c r="AM23" s="488">
        <f t="shared" ca="1" si="15"/>
        <v>1</v>
      </c>
      <c r="AN23" s="553">
        <f t="shared" ca="1" si="15"/>
        <v>0.30428706041917314</v>
      </c>
      <c r="AO23" s="553">
        <f t="shared" ca="1" si="15"/>
        <v>0.31062856584021498</v>
      </c>
      <c r="AP23" s="553">
        <f t="shared" ca="1" si="15"/>
        <v>0.29794555499813119</v>
      </c>
      <c r="AQ23" s="553">
        <f t="shared" ca="1" si="15"/>
        <v>0.70487206344950581</v>
      </c>
      <c r="AR23" s="553">
        <f t="shared" ca="1" si="15"/>
        <v>1.030116575121109</v>
      </c>
      <c r="AS23" s="488">
        <f t="shared" ca="1" si="15"/>
        <v>1</v>
      </c>
      <c r="AT23" s="553">
        <f t="shared" ca="1" si="15"/>
        <v>4.1952031923483762E-2</v>
      </c>
      <c r="AU23" s="553">
        <f t="shared" ca="1" si="15"/>
        <v>7.5184284631201789E-2</v>
      </c>
      <c r="AV23" s="553">
        <f t="shared" ca="1" si="15"/>
        <v>8.7197792157657703E-3</v>
      </c>
      <c r="AW23" s="553">
        <f t="shared" ca="1" si="15"/>
        <v>0.94891414014607856</v>
      </c>
      <c r="AX23" s="435">
        <f t="shared" ca="1" si="15"/>
        <v>1.6669498930255646</v>
      </c>
      <c r="AY23" s="265"/>
      <c r="AZ23" s="1"/>
      <c r="BA23" s="1"/>
      <c r="BB23" s="265"/>
      <c r="BG23" s="209"/>
      <c r="BH23" s="265"/>
    </row>
    <row r="24" spans="2:60" outlineLevel="1" x14ac:dyDescent="0.25">
      <c r="B24" s="1363"/>
      <c r="D24" s="1352"/>
      <c r="F24" s="237" t="str">
        <f t="shared" si="1"/>
        <v>S_[HM]_Sugar beet</v>
      </c>
      <c r="G24" s="609" t="s">
        <v>112</v>
      </c>
      <c r="I24" s="488">
        <f t="shared" ref="I24:AX24" ca="1" si="16">I229/INDEX(OFFSET($I$214,0,MATCH(I$8,$I$8:$AY$8,0)-1,COUNTA($G$9:$G$29),1),MATCH($G24,$G$214:$G$234,0),1)</f>
        <v>1</v>
      </c>
      <c r="J24" s="553">
        <f t="shared" ca="1" si="16"/>
        <v>2.0734546100627877E-2</v>
      </c>
      <c r="K24" s="553">
        <f t="shared" ca="1" si="16"/>
        <v>4.2343864234247526E-2</v>
      </c>
      <c r="L24" s="553">
        <f t="shared" ca="1" si="16"/>
        <v>-8.7477203299176081E-4</v>
      </c>
      <c r="M24" s="553">
        <f t="shared" ca="1" si="16"/>
        <v>8.437107224874292E-2</v>
      </c>
      <c r="N24" s="553">
        <f t="shared" ca="1" si="16"/>
        <v>0.15598298592602119</v>
      </c>
      <c r="O24" s="488">
        <f t="shared" ca="1" si="16"/>
        <v>1</v>
      </c>
      <c r="P24" s="553">
        <f t="shared" ca="1" si="16"/>
        <v>-0.33306619257151138</v>
      </c>
      <c r="Q24" s="553">
        <f t="shared" ca="1" si="16"/>
        <v>-0.3097224957154302</v>
      </c>
      <c r="R24" s="553">
        <f t="shared" ca="1" si="16"/>
        <v>-0.35640988942759255</v>
      </c>
      <c r="S24" s="553">
        <f t="shared" ca="1" si="16"/>
        <v>-0.30976271449648496</v>
      </c>
      <c r="T24" s="553">
        <f t="shared" ca="1" si="16"/>
        <v>-0.24204356526721862</v>
      </c>
      <c r="U24" s="488">
        <f t="shared" ca="1" si="16"/>
        <v>1</v>
      </c>
      <c r="V24" s="553">
        <f t="shared" ca="1" si="16"/>
        <v>3.9128350179322993E-2</v>
      </c>
      <c r="W24" s="553">
        <f t="shared" ca="1" si="16"/>
        <v>7.5169729244261282E-2</v>
      </c>
      <c r="X24" s="553">
        <f t="shared" ca="1" si="16"/>
        <v>3.08697111438471E-3</v>
      </c>
      <c r="Y24" s="553">
        <f t="shared" ca="1" si="16"/>
        <v>0.96859694982017153</v>
      </c>
      <c r="Z24" s="553">
        <f t="shared" ca="1" si="16"/>
        <v>1.5920075211313049</v>
      </c>
      <c r="AA24" s="488">
        <f t="shared" ca="1" si="16"/>
        <v>1</v>
      </c>
      <c r="AB24" s="553">
        <f t="shared" ca="1" si="16"/>
        <v>0.27118818886771817</v>
      </c>
      <c r="AC24" s="553">
        <f t="shared" ca="1" si="16"/>
        <v>0.30003195065055921</v>
      </c>
      <c r="AD24" s="553">
        <f t="shared" ca="1" si="16"/>
        <v>0.24234442708487711</v>
      </c>
      <c r="AE24" s="553">
        <f t="shared" ca="1" si="16"/>
        <v>0.63490340956467406</v>
      </c>
      <c r="AF24" s="553">
        <f t="shared" ca="1" si="16"/>
        <v>0.93516251406438444</v>
      </c>
      <c r="AG24" s="488">
        <f t="shared" ca="1" si="16"/>
        <v>1</v>
      </c>
      <c r="AH24" s="553">
        <f t="shared" ca="1" si="16"/>
        <v>0.2190579257556777</v>
      </c>
      <c r="AI24" s="553">
        <f t="shared" ca="1" si="16"/>
        <v>0.23191627988104843</v>
      </c>
      <c r="AJ24" s="553">
        <f t="shared" ca="1" si="16"/>
        <v>0.20619957163030703</v>
      </c>
      <c r="AK24" s="553">
        <f t="shared" ca="1" si="16"/>
        <v>0.56616024110081364</v>
      </c>
      <c r="AL24" s="553">
        <f t="shared" ca="1" si="16"/>
        <v>0.8442671123922596</v>
      </c>
      <c r="AM24" s="488">
        <f t="shared" ca="1" si="16"/>
        <v>1</v>
      </c>
      <c r="AN24" s="553">
        <f t="shared" ca="1" si="16"/>
        <v>0.1947691271651881</v>
      </c>
      <c r="AO24" s="553">
        <f t="shared" ca="1" si="16"/>
        <v>0.20304732224202979</v>
      </c>
      <c r="AP24" s="553">
        <f t="shared" ca="1" si="16"/>
        <v>0.18649093208834638</v>
      </c>
      <c r="AQ24" s="553">
        <f t="shared" ca="1" si="16"/>
        <v>0.45559852155407404</v>
      </c>
      <c r="AR24" s="553">
        <f t="shared" ca="1" si="16"/>
        <v>0.6678293834859137</v>
      </c>
      <c r="AS24" s="488">
        <f t="shared" ca="1" si="16"/>
        <v>1</v>
      </c>
      <c r="AT24" s="553">
        <f t="shared" ca="1" si="16"/>
        <v>5.5774436523793644E-2</v>
      </c>
      <c r="AU24" s="553">
        <f t="shared" ca="1" si="16"/>
        <v>0.10276902772823492</v>
      </c>
      <c r="AV24" s="553">
        <f t="shared" ca="1" si="16"/>
        <v>8.7798453193523984E-3</v>
      </c>
      <c r="AW24" s="553">
        <f t="shared" ca="1" si="16"/>
        <v>0.8632125193253718</v>
      </c>
      <c r="AX24" s="435">
        <f t="shared" ca="1" si="16"/>
        <v>1.4956164027636691</v>
      </c>
      <c r="AY24" s="265"/>
      <c r="AZ24" s="1"/>
      <c r="BA24" s="1"/>
      <c r="BB24" s="265"/>
      <c r="BG24" s="209"/>
      <c r="BH24" s="265"/>
    </row>
    <row r="25" spans="2:60" outlineLevel="1" x14ac:dyDescent="0.25">
      <c r="B25" s="1363"/>
      <c r="D25" s="1352"/>
      <c r="F25" s="237" t="str">
        <f t="shared" si="1"/>
        <v>S_[HM]_Sunflower seed</v>
      </c>
      <c r="G25" s="609" t="s">
        <v>110</v>
      </c>
      <c r="I25" s="488">
        <f t="shared" ref="I25:AX25" ca="1" si="17">I230/INDEX(OFFSET($I$214,0,MATCH(I$8,$I$8:$AY$8,0)-1,COUNTA($G$9:$G$29),1),MATCH($G25,$G$214:$G$234,0),1)</f>
        <v>1</v>
      </c>
      <c r="J25" s="553">
        <f t="shared" ca="1" si="17"/>
        <v>0.15394013487350738</v>
      </c>
      <c r="K25" s="553">
        <f t="shared" ca="1" si="17"/>
        <v>0.1590698690186641</v>
      </c>
      <c r="L25" s="553">
        <f t="shared" ca="1" si="17"/>
        <v>0.14881040072835064</v>
      </c>
      <c r="M25" s="553">
        <f t="shared" ca="1" si="17"/>
        <v>0.34177947272705078</v>
      </c>
      <c r="N25" s="553">
        <f t="shared" ca="1" si="17"/>
        <v>0.51450804748445367</v>
      </c>
      <c r="O25" s="488">
        <f t="shared" ca="1" si="17"/>
        <v>1</v>
      </c>
      <c r="P25" s="553">
        <f t="shared" ca="1" si="17"/>
        <v>-1.4403329987729583</v>
      </c>
      <c r="Q25" s="553">
        <f t="shared" ca="1" si="17"/>
        <v>-1.4261503395170172</v>
      </c>
      <c r="R25" s="553">
        <f t="shared" ca="1" si="17"/>
        <v>-1.4545156580288994</v>
      </c>
      <c r="S25" s="553">
        <f t="shared" ca="1" si="17"/>
        <v>-1.2126955383626734</v>
      </c>
      <c r="T25" s="553">
        <f t="shared" ca="1" si="17"/>
        <v>-0.81073730328516491</v>
      </c>
      <c r="U25" s="488">
        <f t="shared" ca="1" si="17"/>
        <v>1</v>
      </c>
      <c r="V25" s="553">
        <f t="shared" ca="1" si="17"/>
        <v>5.865373204337291E-2</v>
      </c>
      <c r="W25" s="553">
        <f t="shared" ca="1" si="17"/>
        <v>8.0056294341659978E-2</v>
      </c>
      <c r="X25" s="553">
        <f t="shared" ca="1" si="17"/>
        <v>3.7251169745085806E-2</v>
      </c>
      <c r="Y25" s="553">
        <f t="shared" ca="1" si="17"/>
        <v>1.0289670811773797</v>
      </c>
      <c r="Z25" s="553">
        <f t="shared" ca="1" si="17"/>
        <v>1.6790278862539496</v>
      </c>
      <c r="AA25" s="488">
        <f t="shared" ca="1" si="17"/>
        <v>1</v>
      </c>
      <c r="AB25" s="553">
        <f t="shared" ca="1" si="17"/>
        <v>0.38955360269310296</v>
      </c>
      <c r="AC25" s="553">
        <f t="shared" ca="1" si="17"/>
        <v>0.40356962599945057</v>
      </c>
      <c r="AD25" s="553">
        <f t="shared" ca="1" si="17"/>
        <v>0.37553757938675542</v>
      </c>
      <c r="AE25" s="553">
        <f t="shared" ca="1" si="17"/>
        <v>0.86739414990973518</v>
      </c>
      <c r="AF25" s="553">
        <f t="shared" ca="1" si="17"/>
        <v>1.2524930558940128</v>
      </c>
      <c r="AG25" s="488">
        <f t="shared" ca="1" si="17"/>
        <v>1</v>
      </c>
      <c r="AH25" s="553">
        <f t="shared" ca="1" si="17"/>
        <v>0.3224502969074266</v>
      </c>
      <c r="AI25" s="553">
        <f t="shared" ca="1" si="17"/>
        <v>0.33053344054964579</v>
      </c>
      <c r="AJ25" s="553">
        <f t="shared" ca="1" si="17"/>
        <v>0.31436715326520742</v>
      </c>
      <c r="AK25" s="553">
        <f t="shared" ca="1" si="17"/>
        <v>0.81030137381705869</v>
      </c>
      <c r="AL25" s="553">
        <f t="shared" ca="1" si="17"/>
        <v>1.1975698614943262</v>
      </c>
      <c r="AM25" s="488">
        <f t="shared" ca="1" si="17"/>
        <v>1</v>
      </c>
      <c r="AN25" s="553">
        <f t="shared" ca="1" si="17"/>
        <v>0.3123103113640413</v>
      </c>
      <c r="AO25" s="553">
        <f t="shared" ca="1" si="17"/>
        <v>0.31629068563558294</v>
      </c>
      <c r="AP25" s="553">
        <f t="shared" ca="1" si="17"/>
        <v>0.30832993709249967</v>
      </c>
      <c r="AQ25" s="553">
        <f t="shared" ca="1" si="17"/>
        <v>0.71740980519406949</v>
      </c>
      <c r="AR25" s="553">
        <f t="shared" ca="1" si="17"/>
        <v>1.0424675540590602</v>
      </c>
      <c r="AS25" s="488">
        <f t="shared" ca="1" si="17"/>
        <v>1</v>
      </c>
      <c r="AT25" s="553">
        <f t="shared" ca="1" si="17"/>
        <v>0.12413692122569095</v>
      </c>
      <c r="AU25" s="553">
        <f t="shared" ca="1" si="17"/>
        <v>0.14348313782203143</v>
      </c>
      <c r="AV25" s="553">
        <f t="shared" ca="1" si="17"/>
        <v>0.10479070462935045</v>
      </c>
      <c r="AW25" s="553">
        <f t="shared" ca="1" si="17"/>
        <v>0.99640963207507094</v>
      </c>
      <c r="AX25" s="435">
        <f t="shared" ca="1" si="17"/>
        <v>1.6551242465662257</v>
      </c>
      <c r="AY25" s="265"/>
      <c r="AZ25" s="1"/>
      <c r="BA25" s="1"/>
      <c r="BB25" s="265"/>
      <c r="BG25" s="209"/>
      <c r="BH25" s="265"/>
    </row>
    <row r="26" spans="2:60" outlineLevel="1" x14ac:dyDescent="0.25">
      <c r="B26" s="1363"/>
      <c r="D26" s="1352"/>
      <c r="F26" s="237" t="str">
        <f t="shared" si="1"/>
        <v>S_[HM]_Triticale</v>
      </c>
      <c r="G26" s="609" t="s">
        <v>100</v>
      </c>
      <c r="I26" s="488">
        <f t="shared" ref="I26:AX26" ca="1" si="18">I231/INDEX(OFFSET($I$214,0,MATCH(I$8,$I$8:$AY$8,0)-1,COUNTA($G$9:$G$29),1),MATCH($G26,$G$214:$G$234,0),1)</f>
        <v>1</v>
      </c>
      <c r="J26" s="553">
        <f t="shared" ca="1" si="18"/>
        <v>0.13931582407472662</v>
      </c>
      <c r="K26" s="553">
        <f t="shared" ca="1" si="18"/>
        <v>0.14104946497751644</v>
      </c>
      <c r="L26" s="553">
        <f t="shared" ca="1" si="18"/>
        <v>0.13758218317193679</v>
      </c>
      <c r="M26" s="553">
        <f t="shared" ca="1" si="18"/>
        <v>0.30371770381478691</v>
      </c>
      <c r="N26" s="553">
        <f t="shared" ca="1" si="18"/>
        <v>0.45286639681986784</v>
      </c>
      <c r="O26" s="488">
        <f t="shared" ca="1" si="18"/>
        <v>1</v>
      </c>
      <c r="P26" s="553">
        <f t="shared" ca="1" si="18"/>
        <v>2.1777029122041913</v>
      </c>
      <c r="Q26" s="553">
        <f t="shared" ca="1" si="18"/>
        <v>2.0263900141127018</v>
      </c>
      <c r="R26" s="553">
        <f t="shared" ca="1" si="18"/>
        <v>2.3290158102956817</v>
      </c>
      <c r="S26" s="553">
        <f t="shared" ca="1" si="18"/>
        <v>2.2676745860866312</v>
      </c>
      <c r="T26" s="553">
        <f t="shared" ca="1" si="18"/>
        <v>2.0707705444715923</v>
      </c>
      <c r="U26" s="488">
        <f t="shared" ca="1" si="18"/>
        <v>1</v>
      </c>
      <c r="V26" s="553">
        <f t="shared" ca="1" si="18"/>
        <v>-1.696229556223864E-2</v>
      </c>
      <c r="W26" s="553">
        <f t="shared" ca="1" si="18"/>
        <v>9.4588110863563103E-3</v>
      </c>
      <c r="X26" s="553">
        <f t="shared" ca="1" si="18"/>
        <v>-4.3383402210833637E-2</v>
      </c>
      <c r="Y26" s="553">
        <f t="shared" ca="1" si="18"/>
        <v>1.0217884294235242</v>
      </c>
      <c r="Z26" s="553">
        <f t="shared" ca="1" si="18"/>
        <v>1.7209959594004112</v>
      </c>
      <c r="AA26" s="488">
        <f t="shared" ca="1" si="18"/>
        <v>1</v>
      </c>
      <c r="AB26" s="553">
        <f t="shared" ca="1" si="18"/>
        <v>0.24355295437589977</v>
      </c>
      <c r="AC26" s="553">
        <f t="shared" ca="1" si="18"/>
        <v>0.32003935025167712</v>
      </c>
      <c r="AD26" s="553">
        <f t="shared" ca="1" si="18"/>
        <v>0.16706655850012236</v>
      </c>
      <c r="AE26" s="553">
        <f t="shared" ca="1" si="18"/>
        <v>0.84957637444236678</v>
      </c>
      <c r="AF26" s="553">
        <f t="shared" ca="1" si="18"/>
        <v>1.4143475306298094</v>
      </c>
      <c r="AG26" s="488">
        <f t="shared" ca="1" si="18"/>
        <v>1</v>
      </c>
      <c r="AH26" s="553">
        <f t="shared" ca="1" si="18"/>
        <v>0.22509505582141703</v>
      </c>
      <c r="AI26" s="553">
        <f t="shared" ca="1" si="18"/>
        <v>0.25672539851295195</v>
      </c>
      <c r="AJ26" s="553">
        <f t="shared" ca="1" si="18"/>
        <v>0.19346471312988212</v>
      </c>
      <c r="AK26" s="553">
        <f t="shared" ca="1" si="18"/>
        <v>0.75784615628515428</v>
      </c>
      <c r="AL26" s="553">
        <f t="shared" ca="1" si="18"/>
        <v>1.2158302387071083</v>
      </c>
      <c r="AM26" s="488">
        <f t="shared" ca="1" si="18"/>
        <v>1</v>
      </c>
      <c r="AN26" s="553">
        <f t="shared" ca="1" si="18"/>
        <v>0.25465284493400531</v>
      </c>
      <c r="AO26" s="553">
        <f t="shared" ca="1" si="18"/>
        <v>0.2560177610615712</v>
      </c>
      <c r="AP26" s="553">
        <f t="shared" ca="1" si="18"/>
        <v>0.25328792880643941</v>
      </c>
      <c r="AQ26" s="553">
        <f t="shared" ca="1" si="18"/>
        <v>0.58246283791575337</v>
      </c>
      <c r="AR26" s="553">
        <f t="shared" ca="1" si="18"/>
        <v>0.84425718630289803</v>
      </c>
      <c r="AS26" s="488">
        <f t="shared" ca="1" si="18"/>
        <v>1</v>
      </c>
      <c r="AT26" s="553">
        <f t="shared" ca="1" si="18"/>
        <v>-0.13431695974135921</v>
      </c>
      <c r="AU26" s="553">
        <f t="shared" ca="1" si="18"/>
        <v>-6.8479642556358189E-2</v>
      </c>
      <c r="AV26" s="553">
        <f t="shared" ca="1" si="18"/>
        <v>-0.2001542769263604</v>
      </c>
      <c r="AW26" s="553">
        <f t="shared" ca="1" si="18"/>
        <v>1.0554407955276808</v>
      </c>
      <c r="AX26" s="435">
        <f t="shared" ca="1" si="18"/>
        <v>2.0659216345772586</v>
      </c>
      <c r="AY26" s="265"/>
      <c r="AZ26" s="1"/>
      <c r="BA26" s="1"/>
      <c r="BB26" s="265"/>
      <c r="BG26" s="209"/>
      <c r="BH26" s="265"/>
    </row>
    <row r="27" spans="2:60" outlineLevel="1" x14ac:dyDescent="0.25">
      <c r="B27" s="1363"/>
      <c r="D27" s="1352"/>
      <c r="F27" s="237" t="str">
        <f t="shared" si="1"/>
        <v>S_[HM]_Wheat</v>
      </c>
      <c r="G27" s="610" t="s">
        <v>101</v>
      </c>
      <c r="I27" s="488">
        <f t="shared" ref="I27:AX27" ca="1" si="19">I232/INDEX(OFFSET($I$214,0,MATCH(I$8,$I$8:$AY$8,0)-1,COUNTA($G$9:$G$29),1),MATCH($G27,$G$214:$G$234,0),1)</f>
        <v>1</v>
      </c>
      <c r="J27" s="553">
        <f t="shared" ca="1" si="19"/>
        <v>0.11149826357253804</v>
      </c>
      <c r="K27" s="553">
        <f t="shared" ca="1" si="19"/>
        <v>0.11305147267974996</v>
      </c>
      <c r="L27" s="553">
        <f t="shared" ca="1" si="19"/>
        <v>0.10994505446532613</v>
      </c>
      <c r="M27" s="553">
        <f t="shared" ca="1" si="19"/>
        <v>0.24497682408529389</v>
      </c>
      <c r="N27" s="553">
        <f t="shared" ca="1" si="19"/>
        <v>0.36672206587960821</v>
      </c>
      <c r="O27" s="488">
        <f t="shared" ca="1" si="19"/>
        <v>1</v>
      </c>
      <c r="P27" s="553">
        <f t="shared" ca="1" si="19"/>
        <v>2.3963370676020355</v>
      </c>
      <c r="Q27" s="553">
        <f t="shared" ca="1" si="19"/>
        <v>2.2387788365001766</v>
      </c>
      <c r="R27" s="553">
        <f t="shared" ca="1" si="19"/>
        <v>2.5538952987038943</v>
      </c>
      <c r="S27" s="553">
        <f t="shared" ca="1" si="19"/>
        <v>2.567878439507127</v>
      </c>
      <c r="T27" s="553">
        <f t="shared" ca="1" si="19"/>
        <v>2.410730275330502</v>
      </c>
      <c r="U27" s="488">
        <f t="shared" ca="1" si="19"/>
        <v>1</v>
      </c>
      <c r="V27" s="553">
        <f t="shared" ca="1" si="19"/>
        <v>-4.2978901921941266E-2</v>
      </c>
      <c r="W27" s="553">
        <f t="shared" ca="1" si="19"/>
        <v>-1.7099728883145038E-2</v>
      </c>
      <c r="X27" s="553">
        <f t="shared" ca="1" si="19"/>
        <v>-6.8858074960737495E-2</v>
      </c>
      <c r="Y27" s="553">
        <f t="shared" ca="1" si="19"/>
        <v>1.0264794351743411</v>
      </c>
      <c r="Z27" s="553">
        <f t="shared" ca="1" si="19"/>
        <v>1.7474300111543886</v>
      </c>
      <c r="AA27" s="488">
        <f t="shared" ca="1" si="19"/>
        <v>1</v>
      </c>
      <c r="AB27" s="553">
        <f t="shared" ca="1" si="19"/>
        <v>0.1035753666147893</v>
      </c>
      <c r="AC27" s="553">
        <f t="shared" ca="1" si="19"/>
        <v>0.21517097147415259</v>
      </c>
      <c r="AD27" s="553">
        <f t="shared" ca="1" si="19"/>
        <v>-8.0202382445741117E-3</v>
      </c>
      <c r="AE27" s="553">
        <f t="shared" ca="1" si="19"/>
        <v>0.80806571322673304</v>
      </c>
      <c r="AF27" s="553">
        <f t="shared" ca="1" si="19"/>
        <v>1.5161585490096294</v>
      </c>
      <c r="AG27" s="488">
        <f t="shared" ca="1" si="19"/>
        <v>1</v>
      </c>
      <c r="AH27" s="553">
        <f t="shared" ca="1" si="19"/>
        <v>0.16155872675306332</v>
      </c>
      <c r="AI27" s="553">
        <f t="shared" ca="1" si="19"/>
        <v>0.19715713919867589</v>
      </c>
      <c r="AJ27" s="553">
        <f t="shared" ca="1" si="19"/>
        <v>0.12596031430745078</v>
      </c>
      <c r="AK27" s="553">
        <f t="shared" ca="1" si="19"/>
        <v>0.68209794491791564</v>
      </c>
      <c r="AL27" s="553">
        <f t="shared" ca="1" si="19"/>
        <v>1.1448577900583321</v>
      </c>
      <c r="AM27" s="488">
        <f t="shared" ca="1" si="19"/>
        <v>1</v>
      </c>
      <c r="AN27" s="553">
        <f t="shared" ca="1" si="19"/>
        <v>0.21437252309692484</v>
      </c>
      <c r="AO27" s="553">
        <f t="shared" ca="1" si="19"/>
        <v>0.21526358680179225</v>
      </c>
      <c r="AP27" s="553">
        <f t="shared" ca="1" si="19"/>
        <v>0.21348145939205743</v>
      </c>
      <c r="AQ27" s="553">
        <f t="shared" ca="1" si="19"/>
        <v>0.49042828138505695</v>
      </c>
      <c r="AR27" s="553">
        <f t="shared" ca="1" si="19"/>
        <v>0.71074089263559115</v>
      </c>
      <c r="AS27" s="488">
        <f t="shared" ca="1" si="19"/>
        <v>1</v>
      </c>
      <c r="AT27" s="553">
        <f t="shared" ca="1" si="19"/>
        <v>-9.5933462951749815E-2</v>
      </c>
      <c r="AU27" s="553">
        <f t="shared" ca="1" si="19"/>
        <v>-4.8018091889065438E-2</v>
      </c>
      <c r="AV27" s="553">
        <f t="shared" ca="1" si="19"/>
        <v>-0.1438488340144341</v>
      </c>
      <c r="AW27" s="553">
        <f t="shared" ca="1" si="19"/>
        <v>1.0166853755352769</v>
      </c>
      <c r="AX27" s="435">
        <f t="shared" ca="1" si="19"/>
        <v>1.9523181634525288</v>
      </c>
      <c r="AY27" s="265"/>
      <c r="AZ27" s="1"/>
      <c r="BA27" s="1"/>
      <c r="BB27" s="265"/>
      <c r="BG27" s="209"/>
      <c r="BH27" s="265"/>
    </row>
    <row r="28" spans="2:60" outlineLevel="1" x14ac:dyDescent="0.25">
      <c r="B28" s="1363"/>
      <c r="D28" s="1352"/>
      <c r="F28" s="237" t="str">
        <f t="shared" si="1"/>
        <v>S_[HM]_Grass_dairy_NL</v>
      </c>
      <c r="G28" s="609" t="s">
        <v>630</v>
      </c>
      <c r="I28" s="452">
        <f t="shared" ref="I28:AX28" ca="1" si="20">I233/INDEX(OFFSET($I$214,0,MATCH(I$8,$I$8:$AY$8,0)-1,COUNTA($G$9:$G$29),1),MATCH($G28,$G$214:$G$234,0),1)</f>
        <v>1</v>
      </c>
      <c r="J28" s="453">
        <f t="shared" ca="1" si="20"/>
        <v>0.25646109172968712</v>
      </c>
      <c r="K28" s="453">
        <f t="shared" ca="1" si="20"/>
        <v>0.25646109172968712</v>
      </c>
      <c r="L28" s="453">
        <f t="shared" ca="1" si="20"/>
        <v>0.25646109172968712</v>
      </c>
      <c r="M28" s="453">
        <f t="shared" ca="1" si="20"/>
        <v>0.24613319741517312</v>
      </c>
      <c r="N28" s="453">
        <f t="shared" ca="1" si="20"/>
        <v>0.709966547566383</v>
      </c>
      <c r="O28" s="452">
        <f t="shared" ca="1" si="20"/>
        <v>1</v>
      </c>
      <c r="P28" s="453">
        <f t="shared" ca="1" si="20"/>
        <v>0.75037313399515149</v>
      </c>
      <c r="Q28" s="453">
        <f t="shared" ca="1" si="20"/>
        <v>0.75037313399515149</v>
      </c>
      <c r="R28" s="453">
        <f t="shared" ca="1" si="20"/>
        <v>0.75037313399515149</v>
      </c>
      <c r="S28" s="453">
        <f t="shared" ca="1" si="20"/>
        <v>0.73732594904265958</v>
      </c>
      <c r="T28" s="453">
        <f t="shared" ca="1" si="20"/>
        <v>1.2917910181830872</v>
      </c>
      <c r="U28" s="452">
        <f t="shared" ca="1" si="20"/>
        <v>1</v>
      </c>
      <c r="V28" s="453">
        <f t="shared" ca="1" si="20"/>
        <v>0.97302405052194174</v>
      </c>
      <c r="W28" s="453">
        <f t="shared" ca="1" si="20"/>
        <v>0.97302405052194174</v>
      </c>
      <c r="X28" s="453">
        <f t="shared" ca="1" si="20"/>
        <v>0.97302405052194174</v>
      </c>
      <c r="Y28" s="453">
        <f t="shared" ca="1" si="20"/>
        <v>0.95350047013295158</v>
      </c>
      <c r="Z28" s="453">
        <f t="shared" ca="1" si="20"/>
        <v>1.7817347424708534</v>
      </c>
      <c r="AA28" s="452">
        <f t="shared" ca="1" si="20"/>
        <v>1</v>
      </c>
      <c r="AB28" s="453">
        <f t="shared" ca="1" si="20"/>
        <v>0.97765483828738609</v>
      </c>
      <c r="AC28" s="453">
        <f t="shared" ca="1" si="20"/>
        <v>0.97765483828738609</v>
      </c>
      <c r="AD28" s="453">
        <f t="shared" ca="1" si="20"/>
        <v>0.97765483828738609</v>
      </c>
      <c r="AE28" s="453">
        <f t="shared" ca="1" si="20"/>
        <v>0.96188030368797206</v>
      </c>
      <c r="AF28" s="453">
        <f t="shared" ca="1" si="20"/>
        <v>1.6323873501934882</v>
      </c>
      <c r="AG28" s="452">
        <f t="shared" ca="1" si="20"/>
        <v>1</v>
      </c>
      <c r="AH28" s="453">
        <f t="shared" ca="1" si="20"/>
        <v>0.91163060523754547</v>
      </c>
      <c r="AI28" s="453">
        <f t="shared" ca="1" si="20"/>
        <v>0.91163060523754547</v>
      </c>
      <c r="AJ28" s="453">
        <f t="shared" ca="1" si="20"/>
        <v>0.91163060523754547</v>
      </c>
      <c r="AK28" s="453">
        <f t="shared" ca="1" si="20"/>
        <v>0.89173537128960634</v>
      </c>
      <c r="AL28" s="453">
        <f t="shared" ca="1" si="20"/>
        <v>1.7412271953929253</v>
      </c>
      <c r="AM28" s="452">
        <f t="shared" ca="1" si="20"/>
        <v>1</v>
      </c>
      <c r="AN28" s="453">
        <f t="shared" ca="1" si="20"/>
        <v>0.82438615656896874</v>
      </c>
      <c r="AO28" s="453">
        <f t="shared" ca="1" si="20"/>
        <v>0.82438615656896874</v>
      </c>
      <c r="AP28" s="453">
        <f t="shared" ca="1" si="20"/>
        <v>0.82438615656896874</v>
      </c>
      <c r="AQ28" s="453">
        <f t="shared" ca="1" si="20"/>
        <v>0.81032553700141319</v>
      </c>
      <c r="AR28" s="453">
        <f t="shared" ca="1" si="20"/>
        <v>1.4165497294595804</v>
      </c>
      <c r="AS28" s="452">
        <f t="shared" ca="1" si="20"/>
        <v>1</v>
      </c>
      <c r="AT28" s="453">
        <f t="shared" ca="1" si="20"/>
        <v>0.93091244603626866</v>
      </c>
      <c r="AU28" s="453">
        <f t="shared" ca="1" si="20"/>
        <v>0.93091244603626866</v>
      </c>
      <c r="AV28" s="453">
        <f t="shared" ca="1" si="20"/>
        <v>0.93091244603626866</v>
      </c>
      <c r="AW28" s="453">
        <f t="shared" ca="1" si="20"/>
        <v>0.91038931030886217</v>
      </c>
      <c r="AX28" s="434">
        <f t="shared" ca="1" si="20"/>
        <v>1.789609161336901</v>
      </c>
      <c r="AY28" s="265"/>
      <c r="AZ28" s="1"/>
      <c r="BA28" s="1"/>
      <c r="BB28" s="265"/>
      <c r="BC28" s="1"/>
      <c r="BD28" s="1"/>
      <c r="BE28" s="1"/>
      <c r="BF28" s="1"/>
      <c r="BG28" s="209"/>
      <c r="BH28" s="265"/>
    </row>
    <row r="29" spans="2:60" outlineLevel="1" x14ac:dyDescent="0.25">
      <c r="B29" s="1363"/>
      <c r="D29" s="1353"/>
      <c r="F29" s="241" t="str">
        <f t="shared" si="1"/>
        <v>S_[HM]_Grass_beef_IE</v>
      </c>
      <c r="G29" s="382" t="s">
        <v>631</v>
      </c>
      <c r="I29" s="454">
        <f t="shared" ref="I29:AX29" ca="1" si="21">I234/INDEX(OFFSET($I$214,0,MATCH(I$8,$I$8:$AY$8,0)-1,COUNTA($G$9:$G$29),1),MATCH($G29,$G$214:$G$234,0),1)</f>
        <v>1</v>
      </c>
      <c r="J29" s="455">
        <f t="shared" ca="1" si="21"/>
        <v>7.8225144780881328E-2</v>
      </c>
      <c r="K29" s="455">
        <f t="shared" ca="1" si="21"/>
        <v>7.8225144780881328E-2</v>
      </c>
      <c r="L29" s="455">
        <f t="shared" ca="1" si="21"/>
        <v>7.8225144780881328E-2</v>
      </c>
      <c r="M29" s="455">
        <f t="shared" ca="1" si="21"/>
        <v>6.9477343165928601E-2</v>
      </c>
      <c r="N29" s="455">
        <f t="shared" ca="1" si="21"/>
        <v>0.47752705649872901</v>
      </c>
      <c r="O29" s="454">
        <f t="shared" ca="1" si="21"/>
        <v>1</v>
      </c>
      <c r="P29" s="455">
        <f t="shared" ca="1" si="21"/>
        <v>0.66263499938499382</v>
      </c>
      <c r="Q29" s="455">
        <f t="shared" ca="1" si="21"/>
        <v>0.66263499938499382</v>
      </c>
      <c r="R29" s="455">
        <f t="shared" ca="1" si="21"/>
        <v>0.66263499938499382</v>
      </c>
      <c r="S29" s="455">
        <f t="shared" ca="1" si="21"/>
        <v>0.64973688467915292</v>
      </c>
      <c r="T29" s="455">
        <f t="shared" ca="1" si="21"/>
        <v>1.1991108087922393</v>
      </c>
      <c r="U29" s="454">
        <f t="shared" ca="1" si="21"/>
        <v>1</v>
      </c>
      <c r="V29" s="455">
        <f t="shared" ca="1" si="21"/>
        <v>0.95006016085199185</v>
      </c>
      <c r="W29" s="455">
        <f t="shared" ca="1" si="21"/>
        <v>0.95006016085199185</v>
      </c>
      <c r="X29" s="455">
        <f t="shared" ca="1" si="21"/>
        <v>0.95006016085199185</v>
      </c>
      <c r="Y29" s="455">
        <f t="shared" ca="1" si="21"/>
        <v>0.92670125363021805</v>
      </c>
      <c r="Z29" s="455">
        <f t="shared" ca="1" si="21"/>
        <v>1.9185314193578658</v>
      </c>
      <c r="AA29" s="454">
        <f t="shared" ca="1" si="21"/>
        <v>1</v>
      </c>
      <c r="AB29" s="455">
        <f t="shared" ca="1" si="21"/>
        <v>0.96382045804372485</v>
      </c>
      <c r="AC29" s="455">
        <f t="shared" ca="1" si="21"/>
        <v>0.96382045804372485</v>
      </c>
      <c r="AD29" s="455">
        <f t="shared" ca="1" si="21"/>
        <v>0.96382045804372485</v>
      </c>
      <c r="AE29" s="455">
        <f t="shared" ca="1" si="21"/>
        <v>0.94706012097405889</v>
      </c>
      <c r="AF29" s="455">
        <f t="shared" ca="1" si="21"/>
        <v>1.6611553613617114</v>
      </c>
      <c r="AG29" s="454">
        <f t="shared" ca="1" si="21"/>
        <v>1</v>
      </c>
      <c r="AH29" s="455">
        <f t="shared" ca="1" si="21"/>
        <v>0.85250857320270934</v>
      </c>
      <c r="AI29" s="455">
        <f t="shared" ca="1" si="21"/>
        <v>0.85250857320270934</v>
      </c>
      <c r="AJ29" s="455">
        <f t="shared" ca="1" si="21"/>
        <v>0.85250857320270934</v>
      </c>
      <c r="AK29" s="455">
        <f t="shared" ca="1" si="21"/>
        <v>0.82875954075306912</v>
      </c>
      <c r="AL29" s="455">
        <f t="shared" ca="1" si="21"/>
        <v>1.8488076414458066</v>
      </c>
      <c r="AM29" s="454">
        <f t="shared" ca="1" si="21"/>
        <v>1</v>
      </c>
      <c r="AN29" s="455">
        <f t="shared" ca="1" si="21"/>
        <v>0.76090714199732112</v>
      </c>
      <c r="AO29" s="455">
        <f t="shared" ca="1" si="21"/>
        <v>0.76090714199732112</v>
      </c>
      <c r="AP29" s="455">
        <f t="shared" ca="1" si="21"/>
        <v>0.76090714199732112</v>
      </c>
      <c r="AQ29" s="455">
        <f t="shared" ca="1" si="21"/>
        <v>0.74701664659275635</v>
      </c>
      <c r="AR29" s="455">
        <f t="shared" ca="1" si="21"/>
        <v>1.351898665715292</v>
      </c>
      <c r="AS29" s="454">
        <f t="shared" ca="1" si="21"/>
        <v>1</v>
      </c>
      <c r="AT29" s="455">
        <f t="shared" ca="1" si="21"/>
        <v>0.88043541169815687</v>
      </c>
      <c r="AU29" s="455">
        <f t="shared" ca="1" si="21"/>
        <v>0.88043541169815687</v>
      </c>
      <c r="AV29" s="455">
        <f t="shared" ca="1" si="21"/>
        <v>0.88043541169815687</v>
      </c>
      <c r="AW29" s="455">
        <f t="shared" ca="1" si="21"/>
        <v>0.85570298615896156</v>
      </c>
      <c r="AX29" s="436">
        <f t="shared" ca="1" si="21"/>
        <v>1.9240032151763653</v>
      </c>
      <c r="AY29" s="265"/>
      <c r="AZ29" s="1"/>
      <c r="BA29" s="1"/>
      <c r="BB29" s="265"/>
      <c r="BC29" s="1"/>
      <c r="BD29" s="1"/>
      <c r="BE29" s="1"/>
      <c r="BF29" s="1"/>
      <c r="BG29" s="209"/>
      <c r="BH29" s="265"/>
    </row>
    <row r="30" spans="2:60" outlineLevel="1" x14ac:dyDescent="0.25">
      <c r="B30" s="1363"/>
      <c r="D30" s="1351" t="s">
        <v>773</v>
      </c>
      <c r="F30" s="233" t="str">
        <f>"W_[HM]_"&amp;$G30</f>
        <v>W_[HM]_Barley</v>
      </c>
      <c r="G30" s="381" t="s">
        <v>91</v>
      </c>
      <c r="I30" s="452">
        <f t="shared" ref="I30:AX30" ca="1" si="22">IFERROR(I235/INDEX(OFFSET($I$235,0,MATCH(I$8,$I$8:$AY$8,0)-1,COUNTA($G$30:$G$50),1),MATCH($G30,$G$235:$G$255,0),1),1)</f>
        <v>1</v>
      </c>
      <c r="J30" s="453">
        <f t="shared" ca="1" si="22"/>
        <v>0.38596221514394141</v>
      </c>
      <c r="K30" s="453">
        <f t="shared" ca="1" si="22"/>
        <v>0.38596221514394141</v>
      </c>
      <c r="L30" s="453">
        <f t="shared" ca="1" si="22"/>
        <v>0.38596221514394141</v>
      </c>
      <c r="M30" s="453">
        <f t="shared" ca="1" si="22"/>
        <v>0.61160916705129009</v>
      </c>
      <c r="N30" s="453">
        <f t="shared" ca="1" si="22"/>
        <v>0.73498708666672308</v>
      </c>
      <c r="O30" s="452">
        <f t="shared" ca="1" si="22"/>
        <v>1</v>
      </c>
      <c r="P30" s="453">
        <f t="shared" ca="1" si="22"/>
        <v>0.6415334613653717</v>
      </c>
      <c r="Q30" s="453">
        <f t="shared" ca="1" si="22"/>
        <v>0.6415334613653717</v>
      </c>
      <c r="R30" s="453">
        <f t="shared" ca="1" si="22"/>
        <v>0.6415334613653717</v>
      </c>
      <c r="S30" s="453">
        <f t="shared" ca="1" si="22"/>
        <v>0.80736807192552906</v>
      </c>
      <c r="T30" s="453">
        <f t="shared" ca="1" si="22"/>
        <v>0.86959346352012212</v>
      </c>
      <c r="U30" s="452">
        <f t="shared" ca="1" si="22"/>
        <v>1</v>
      </c>
      <c r="V30" s="453">
        <f t="shared" ca="1" si="22"/>
        <v>0.93466679684981191</v>
      </c>
      <c r="W30" s="453">
        <f t="shared" ca="1" si="22"/>
        <v>0.93466679684981191</v>
      </c>
      <c r="X30" s="453">
        <f t="shared" ca="1" si="22"/>
        <v>0.93466679684981191</v>
      </c>
      <c r="Y30" s="453">
        <f t="shared" ca="1" si="22"/>
        <v>0.99951865871318668</v>
      </c>
      <c r="Z30" s="453">
        <f t="shared" ca="1" si="22"/>
        <v>1.0044702577383247</v>
      </c>
      <c r="AA30" s="452">
        <f t="shared" ca="1" si="22"/>
        <v>1</v>
      </c>
      <c r="AB30" s="453">
        <f t="shared" ca="1" si="22"/>
        <v>0.58651753731375067</v>
      </c>
      <c r="AC30" s="453">
        <f t="shared" ca="1" si="22"/>
        <v>0.58651753731375067</v>
      </c>
      <c r="AD30" s="453">
        <f t="shared" ca="1" si="22"/>
        <v>0.58651753731375067</v>
      </c>
      <c r="AE30" s="453">
        <f t="shared" ca="1" si="22"/>
        <v>0.87181392331279417</v>
      </c>
      <c r="AF30" s="453">
        <f t="shared" ca="1" si="22"/>
        <v>1.0033219287401556</v>
      </c>
      <c r="AG30" s="452">
        <f t="shared" ca="1" si="22"/>
        <v>1</v>
      </c>
      <c r="AH30" s="453">
        <f t="shared" ca="1" si="22"/>
        <v>1</v>
      </c>
      <c r="AI30" s="453">
        <f t="shared" ca="1" si="22"/>
        <v>1</v>
      </c>
      <c r="AJ30" s="453">
        <f t="shared" ca="1" si="22"/>
        <v>1</v>
      </c>
      <c r="AK30" s="453">
        <f t="shared" ca="1" si="22"/>
        <v>1</v>
      </c>
      <c r="AL30" s="453">
        <f t="shared" ca="1" si="22"/>
        <v>1</v>
      </c>
      <c r="AM30" s="452">
        <f t="shared" ca="1" si="22"/>
        <v>1</v>
      </c>
      <c r="AN30" s="453">
        <f t="shared" ca="1" si="22"/>
        <v>0.37658800211492427</v>
      </c>
      <c r="AO30" s="453">
        <f t="shared" ca="1" si="22"/>
        <v>0.37658800211492427</v>
      </c>
      <c r="AP30" s="453">
        <f t="shared" ca="1" si="22"/>
        <v>0.37658800211492427</v>
      </c>
      <c r="AQ30" s="453">
        <f t="shared" ca="1" si="22"/>
        <v>0.67721889129988788</v>
      </c>
      <c r="AR30" s="453">
        <f t="shared" ca="1" si="22"/>
        <v>0.8440707244568102</v>
      </c>
      <c r="AS30" s="452">
        <f t="shared" ca="1" si="22"/>
        <v>1</v>
      </c>
      <c r="AT30" s="453">
        <f t="shared" ca="1" si="22"/>
        <v>0.62135658952147921</v>
      </c>
      <c r="AU30" s="453">
        <f t="shared" ca="1" si="22"/>
        <v>0.62135658952147921</v>
      </c>
      <c r="AV30" s="453">
        <f t="shared" ca="1" si="22"/>
        <v>0.62135658952147921</v>
      </c>
      <c r="AW30" s="453">
        <f t="shared" ca="1" si="22"/>
        <v>0.98321518104273353</v>
      </c>
      <c r="AX30" s="434">
        <f t="shared" ca="1" si="22"/>
        <v>1.0455923075562907</v>
      </c>
      <c r="AY30" s="265"/>
      <c r="AZ30" s="1"/>
      <c r="BA30" s="1"/>
      <c r="BB30" s="265"/>
      <c r="BG30" s="209"/>
      <c r="BH30" s="265"/>
    </row>
    <row r="31" spans="2:60" outlineLevel="1" x14ac:dyDescent="0.25">
      <c r="B31" s="1363"/>
      <c r="D31" s="1352"/>
      <c r="F31" s="237" t="str">
        <f t="shared" ref="F31:F50" si="23">"W_[HM]_"&amp;$G31</f>
        <v>W_[HM]_Broad beans</v>
      </c>
      <c r="G31" s="609" t="s">
        <v>102</v>
      </c>
      <c r="I31" s="488">
        <f t="shared" ref="I31:AX31" ca="1" si="24">IFERROR(I236/INDEX(OFFSET($I$235,0,MATCH(I$8,$I$8:$AY$8,0)-1,COUNTA($G$30:$G$50),1),MATCH($G31,$G$235:$G$255,0),1),1)</f>
        <v>1</v>
      </c>
      <c r="J31" s="553">
        <f t="shared" ca="1" si="24"/>
        <v>0.42445116983331466</v>
      </c>
      <c r="K31" s="553">
        <f t="shared" ca="1" si="24"/>
        <v>0.42445116983331466</v>
      </c>
      <c r="L31" s="553">
        <f t="shared" ca="1" si="24"/>
        <v>0.42445116983331466</v>
      </c>
      <c r="M31" s="553">
        <f t="shared" ca="1" si="24"/>
        <v>0.67302451791013962</v>
      </c>
      <c r="N31" s="553">
        <f t="shared" ca="1" si="24"/>
        <v>0.80891666974144183</v>
      </c>
      <c r="O31" s="488">
        <f t="shared" ca="1" si="24"/>
        <v>1</v>
      </c>
      <c r="P31" s="553">
        <f t="shared" ca="1" si="24"/>
        <v>0.65380896868840443</v>
      </c>
      <c r="Q31" s="553">
        <f t="shared" ca="1" si="24"/>
        <v>0.65380896868840443</v>
      </c>
      <c r="R31" s="553">
        <f t="shared" ca="1" si="24"/>
        <v>0.65380896868840443</v>
      </c>
      <c r="S31" s="553">
        <f t="shared" ca="1" si="24"/>
        <v>0.83434554442523245</v>
      </c>
      <c r="T31" s="553">
        <f t="shared" ca="1" si="24"/>
        <v>0.90118421666089543</v>
      </c>
      <c r="U31" s="488">
        <f t="shared" ca="1" si="24"/>
        <v>1</v>
      </c>
      <c r="V31" s="553">
        <f t="shared" ca="1" si="24"/>
        <v>0.93498435918449052</v>
      </c>
      <c r="W31" s="553">
        <f t="shared" ca="1" si="24"/>
        <v>0.93498435918449052</v>
      </c>
      <c r="X31" s="553">
        <f t="shared" ca="1" si="24"/>
        <v>0.93498435918449052</v>
      </c>
      <c r="Y31" s="553">
        <f t="shared" ca="1" si="24"/>
        <v>0.99977086420633221</v>
      </c>
      <c r="Z31" s="553">
        <f t="shared" ca="1" si="24"/>
        <v>1.0047221507798603</v>
      </c>
      <c r="AA31" s="488">
        <f t="shared" ca="1" si="24"/>
        <v>1</v>
      </c>
      <c r="AB31" s="553">
        <f t="shared" ca="1" si="24"/>
        <v>0.62875116441610834</v>
      </c>
      <c r="AC31" s="553">
        <f t="shared" ca="1" si="24"/>
        <v>0.62875116441610834</v>
      </c>
      <c r="AD31" s="553">
        <f t="shared" ca="1" si="24"/>
        <v>0.62875116441610834</v>
      </c>
      <c r="AE31" s="553">
        <f t="shared" ca="1" si="24"/>
        <v>0.93857046886454532</v>
      </c>
      <c r="AF31" s="553">
        <f t="shared" ca="1" si="24"/>
        <v>1.0811655885281739</v>
      </c>
      <c r="AG31" s="488">
        <f t="shared" ca="1" si="24"/>
        <v>1</v>
      </c>
      <c r="AH31" s="553">
        <f t="shared" ca="1" si="24"/>
        <v>1</v>
      </c>
      <c r="AI31" s="553">
        <f t="shared" ca="1" si="24"/>
        <v>1</v>
      </c>
      <c r="AJ31" s="553">
        <f t="shared" ca="1" si="24"/>
        <v>1</v>
      </c>
      <c r="AK31" s="553">
        <f t="shared" ca="1" si="24"/>
        <v>1</v>
      </c>
      <c r="AL31" s="553">
        <f t="shared" ca="1" si="24"/>
        <v>1</v>
      </c>
      <c r="AM31" s="488">
        <f t="shared" ca="1" si="24"/>
        <v>1</v>
      </c>
      <c r="AN31" s="553">
        <f t="shared" ca="1" si="24"/>
        <v>0.46680107665356374</v>
      </c>
      <c r="AO31" s="553">
        <f t="shared" ca="1" si="24"/>
        <v>0.46680107665356374</v>
      </c>
      <c r="AP31" s="553">
        <f t="shared" ca="1" si="24"/>
        <v>0.46680107665356374</v>
      </c>
      <c r="AQ31" s="553">
        <f t="shared" ca="1" si="24"/>
        <v>0.85128491444540499</v>
      </c>
      <c r="AR31" s="553">
        <f t="shared" ca="1" si="24"/>
        <v>1.0643495884514222</v>
      </c>
      <c r="AS31" s="488">
        <f t="shared" ca="1" si="24"/>
        <v>1</v>
      </c>
      <c r="AT31" s="553">
        <f t="shared" ca="1" si="24"/>
        <v>0.62380679064910383</v>
      </c>
      <c r="AU31" s="553">
        <f t="shared" ca="1" si="24"/>
        <v>0.62380679064910383</v>
      </c>
      <c r="AV31" s="553">
        <f t="shared" ca="1" si="24"/>
        <v>0.62380679064910383</v>
      </c>
      <c r="AW31" s="553">
        <f t="shared" ca="1" si="24"/>
        <v>0.99148320512365118</v>
      </c>
      <c r="AX31" s="435">
        <f t="shared" ca="1" si="24"/>
        <v>1.0546101989221515</v>
      </c>
      <c r="AY31" s="265"/>
      <c r="AZ31" s="1"/>
      <c r="BA31" s="1"/>
      <c r="BB31" s="265"/>
      <c r="BG31" s="209"/>
      <c r="BH31" s="265"/>
    </row>
    <row r="32" spans="2:60" outlineLevel="1" x14ac:dyDescent="0.25">
      <c r="B32" s="1363"/>
      <c r="D32" s="1352"/>
      <c r="F32" s="237" t="str">
        <f t="shared" si="23"/>
        <v>W_[HM]_Green beans</v>
      </c>
      <c r="G32" s="609" t="s">
        <v>103</v>
      </c>
      <c r="I32" s="488">
        <f t="shared" ref="I32:AX32" ca="1" si="25">IFERROR(I237/INDEX(OFFSET($I$235,0,MATCH(I$8,$I$8:$AY$8,0)-1,COUNTA($G$30:$G$50),1),MATCH($G32,$G$235:$G$255,0),1),1)</f>
        <v>1</v>
      </c>
      <c r="J32" s="553">
        <f t="shared" ca="1" si="25"/>
        <v>0.40642136223521486</v>
      </c>
      <c r="K32" s="553">
        <f t="shared" ca="1" si="25"/>
        <v>0.40642136223521486</v>
      </c>
      <c r="L32" s="553">
        <f t="shared" ca="1" si="25"/>
        <v>0.40642136223521486</v>
      </c>
      <c r="M32" s="553">
        <f t="shared" ca="1" si="25"/>
        <v>0.64583806939811061</v>
      </c>
      <c r="N32" s="553">
        <f t="shared" ca="1" si="25"/>
        <v>0.77665388491076048</v>
      </c>
      <c r="O32" s="488">
        <f t="shared" ca="1" si="25"/>
        <v>1</v>
      </c>
      <c r="P32" s="553">
        <f t="shared" ca="1" si="25"/>
        <v>0.63773637445648323</v>
      </c>
      <c r="Q32" s="553">
        <f t="shared" ca="1" si="25"/>
        <v>0.63773637445648323</v>
      </c>
      <c r="R32" s="553">
        <f t="shared" ca="1" si="25"/>
        <v>0.63773637445648323</v>
      </c>
      <c r="S32" s="553">
        <f t="shared" ca="1" si="25"/>
        <v>0.81931127369772305</v>
      </c>
      <c r="T32" s="553">
        <f t="shared" ca="1" si="25"/>
        <v>0.88611648322716663</v>
      </c>
      <c r="U32" s="488">
        <f t="shared" ca="1" si="25"/>
        <v>1</v>
      </c>
      <c r="V32" s="553">
        <f t="shared" ca="1" si="25"/>
        <v>0.93327190724237041</v>
      </c>
      <c r="W32" s="553">
        <f t="shared" ca="1" si="25"/>
        <v>0.93327190724237041</v>
      </c>
      <c r="X32" s="553">
        <f t="shared" ca="1" si="25"/>
        <v>0.93327190724237041</v>
      </c>
      <c r="Y32" s="553">
        <f t="shared" ca="1" si="25"/>
        <v>0.99960340779005674</v>
      </c>
      <c r="Z32" s="553">
        <f t="shared" ca="1" si="25"/>
        <v>1.0045831485162695</v>
      </c>
      <c r="AA32" s="488">
        <f t="shared" ca="1" si="25"/>
        <v>1</v>
      </c>
      <c r="AB32" s="553">
        <f t="shared" ca="1" si="25"/>
        <v>0.58582034066717303</v>
      </c>
      <c r="AC32" s="553">
        <f t="shared" ca="1" si="25"/>
        <v>0.58582034066717303</v>
      </c>
      <c r="AD32" s="553">
        <f t="shared" ca="1" si="25"/>
        <v>0.58582034066717303</v>
      </c>
      <c r="AE32" s="553">
        <f t="shared" ca="1" si="25"/>
        <v>0.88767640354015742</v>
      </c>
      <c r="AF32" s="553">
        <f t="shared" ca="1" si="25"/>
        <v>1.0258834023058201</v>
      </c>
      <c r="AG32" s="488">
        <f t="shared" ca="1" si="25"/>
        <v>1</v>
      </c>
      <c r="AH32" s="553">
        <f t="shared" ca="1" si="25"/>
        <v>1</v>
      </c>
      <c r="AI32" s="553">
        <f t="shared" ca="1" si="25"/>
        <v>1</v>
      </c>
      <c r="AJ32" s="553">
        <f t="shared" ca="1" si="25"/>
        <v>1</v>
      </c>
      <c r="AK32" s="553">
        <f t="shared" ca="1" si="25"/>
        <v>1</v>
      </c>
      <c r="AL32" s="553">
        <f t="shared" ca="1" si="25"/>
        <v>1</v>
      </c>
      <c r="AM32" s="488">
        <f t="shared" ca="1" si="25"/>
        <v>1</v>
      </c>
      <c r="AN32" s="553">
        <f t="shared" ca="1" si="25"/>
        <v>0.38240559285489067</v>
      </c>
      <c r="AO32" s="553">
        <f t="shared" ca="1" si="25"/>
        <v>0.38240559285489067</v>
      </c>
      <c r="AP32" s="553">
        <f t="shared" ca="1" si="25"/>
        <v>0.38240559285489067</v>
      </c>
      <c r="AQ32" s="553">
        <f t="shared" ca="1" si="25"/>
        <v>0.6997695468792261</v>
      </c>
      <c r="AR32" s="553">
        <f t="shared" ca="1" si="25"/>
        <v>0.87557475742236035</v>
      </c>
      <c r="AS32" s="488">
        <f t="shared" ca="1" si="25"/>
        <v>1</v>
      </c>
      <c r="AT32" s="553">
        <f t="shared" ca="1" si="25"/>
        <v>0.61342943112025605</v>
      </c>
      <c r="AU32" s="553">
        <f t="shared" ca="1" si="25"/>
        <v>0.61342943112025605</v>
      </c>
      <c r="AV32" s="553">
        <f t="shared" ca="1" si="25"/>
        <v>0.61342943112025605</v>
      </c>
      <c r="AW32" s="553">
        <f t="shared" ca="1" si="25"/>
        <v>0.98646395777405738</v>
      </c>
      <c r="AX32" s="435">
        <f t="shared" ca="1" si="25"/>
        <v>1.0498508354432721</v>
      </c>
      <c r="AY32" s="265"/>
      <c r="AZ32" s="1"/>
      <c r="BA32" s="1"/>
      <c r="BB32" s="265"/>
      <c r="BG32" s="209"/>
      <c r="BH32" s="265"/>
    </row>
    <row r="33" spans="2:60" outlineLevel="1" x14ac:dyDescent="0.25">
      <c r="B33" s="1363"/>
      <c r="D33" s="1352"/>
      <c r="F33" s="237" t="str">
        <f t="shared" si="23"/>
        <v>W_[HM]_Linseed</v>
      </c>
      <c r="G33" s="609" t="s">
        <v>107</v>
      </c>
      <c r="I33" s="488">
        <f t="shared" ref="I33:AX33" ca="1" si="26">IFERROR(I238/INDEX(OFFSET($I$235,0,MATCH(I$8,$I$8:$AY$8,0)-1,COUNTA($G$30:$G$50),1),MATCH($G33,$G$235:$G$255,0),1),1)</f>
        <v>1</v>
      </c>
      <c r="J33" s="553">
        <f t="shared" ca="1" si="26"/>
        <v>0.41710344046251119</v>
      </c>
      <c r="K33" s="553">
        <f t="shared" ca="1" si="26"/>
        <v>0.41710344046251119</v>
      </c>
      <c r="L33" s="553">
        <f t="shared" ca="1" si="26"/>
        <v>0.41710344046251119</v>
      </c>
      <c r="M33" s="553">
        <f t="shared" ca="1" si="26"/>
        <v>0.65949352044621901</v>
      </c>
      <c r="N33" s="553">
        <f t="shared" ca="1" si="26"/>
        <v>0.79209950729525602</v>
      </c>
      <c r="O33" s="488">
        <f t="shared" ca="1" si="26"/>
        <v>1</v>
      </c>
      <c r="P33" s="553">
        <f t="shared" ca="1" si="26"/>
        <v>0.64302269264821099</v>
      </c>
      <c r="Q33" s="553">
        <f t="shared" ca="1" si="26"/>
        <v>0.64302269264821099</v>
      </c>
      <c r="R33" s="553">
        <f t="shared" ca="1" si="26"/>
        <v>0.64302269264821099</v>
      </c>
      <c r="S33" s="553">
        <f t="shared" ca="1" si="26"/>
        <v>0.82531066636718453</v>
      </c>
      <c r="T33" s="553">
        <f t="shared" ca="1" si="26"/>
        <v>0.89243747098335113</v>
      </c>
      <c r="U33" s="488">
        <f t="shared" ca="1" si="26"/>
        <v>1</v>
      </c>
      <c r="V33" s="553">
        <f t="shared" ca="1" si="26"/>
        <v>0.93447438535466865</v>
      </c>
      <c r="W33" s="553">
        <f t="shared" ca="1" si="26"/>
        <v>0.93447438535466865</v>
      </c>
      <c r="X33" s="553">
        <f t="shared" ca="1" si="26"/>
        <v>0.93447438535466865</v>
      </c>
      <c r="Y33" s="553">
        <f t="shared" ca="1" si="26"/>
        <v>0.99972841623121522</v>
      </c>
      <c r="Z33" s="553">
        <f t="shared" ca="1" si="26"/>
        <v>1.0046884442075199</v>
      </c>
      <c r="AA33" s="488">
        <f t="shared" ca="1" si="26"/>
        <v>1</v>
      </c>
      <c r="AB33" s="553">
        <f t="shared" ca="1" si="26"/>
        <v>0.61243744900304298</v>
      </c>
      <c r="AC33" s="553">
        <f t="shared" ca="1" si="26"/>
        <v>0.61243744900304298</v>
      </c>
      <c r="AD33" s="553">
        <f t="shared" ca="1" si="26"/>
        <v>0.61243744900304298</v>
      </c>
      <c r="AE33" s="553">
        <f t="shared" ca="1" si="26"/>
        <v>0.92394720867467384</v>
      </c>
      <c r="AF33" s="553">
        <f t="shared" ca="1" si="26"/>
        <v>1.066789358643089</v>
      </c>
      <c r="AG33" s="488">
        <f t="shared" ca="1" si="26"/>
        <v>1</v>
      </c>
      <c r="AH33" s="553">
        <f t="shared" ca="1" si="26"/>
        <v>1</v>
      </c>
      <c r="AI33" s="553">
        <f t="shared" ca="1" si="26"/>
        <v>1</v>
      </c>
      <c r="AJ33" s="553">
        <f t="shared" ca="1" si="26"/>
        <v>1</v>
      </c>
      <c r="AK33" s="553">
        <f t="shared" ca="1" si="26"/>
        <v>1</v>
      </c>
      <c r="AL33" s="553">
        <f t="shared" ca="1" si="26"/>
        <v>1</v>
      </c>
      <c r="AM33" s="488">
        <f t="shared" ca="1" si="26"/>
        <v>1</v>
      </c>
      <c r="AN33" s="553">
        <f t="shared" ca="1" si="26"/>
        <v>0.4440147212902133</v>
      </c>
      <c r="AO33" s="553">
        <f t="shared" ca="1" si="26"/>
        <v>0.4440147212902133</v>
      </c>
      <c r="AP33" s="553">
        <f t="shared" ca="1" si="26"/>
        <v>0.4440147212902133</v>
      </c>
      <c r="AQ33" s="553">
        <f t="shared" ca="1" si="26"/>
        <v>0.80941770332083929</v>
      </c>
      <c r="AR33" s="553">
        <f t="shared" ca="1" si="26"/>
        <v>1.011916982382788</v>
      </c>
      <c r="AS33" s="488">
        <f t="shared" ca="1" si="26"/>
        <v>1</v>
      </c>
      <c r="AT33" s="553">
        <f t="shared" ca="1" si="26"/>
        <v>0.62032346394378246</v>
      </c>
      <c r="AU33" s="553">
        <f t="shared" ca="1" si="26"/>
        <v>0.62032346394378246</v>
      </c>
      <c r="AV33" s="553">
        <f t="shared" ca="1" si="26"/>
        <v>0.62032346394378246</v>
      </c>
      <c r="AW33" s="553">
        <f t="shared" ca="1" si="26"/>
        <v>0.98995954469969638</v>
      </c>
      <c r="AX33" s="435">
        <f t="shared" ca="1" si="26"/>
        <v>1.0531932776055473</v>
      </c>
      <c r="AY33" s="265"/>
      <c r="AZ33" s="1"/>
      <c r="BA33" s="1"/>
      <c r="BB33" s="265"/>
      <c r="BG33" s="209"/>
      <c r="BH33" s="265"/>
    </row>
    <row r="34" spans="2:60" outlineLevel="1" x14ac:dyDescent="0.25">
      <c r="B34" s="1363"/>
      <c r="D34" s="1352"/>
      <c r="F34" s="237" t="str">
        <f t="shared" si="23"/>
        <v>W_[HM]_Lupins</v>
      </c>
      <c r="G34" s="609" t="s">
        <v>104</v>
      </c>
      <c r="I34" s="488">
        <f t="shared" ref="I34:AX34" ca="1" si="27">IFERROR(I239/INDEX(OFFSET($I$235,0,MATCH(I$8,$I$8:$AY$8,0)-1,COUNTA($G$30:$G$50),1),MATCH($G34,$G$235:$G$255,0),1),1)</f>
        <v>1</v>
      </c>
      <c r="J34" s="553">
        <f t="shared" ca="1" si="27"/>
        <v>0.38898621024694813</v>
      </c>
      <c r="K34" s="553">
        <f t="shared" ca="1" si="27"/>
        <v>0.38898621024694813</v>
      </c>
      <c r="L34" s="553">
        <f t="shared" ca="1" si="27"/>
        <v>0.38898621024694813</v>
      </c>
      <c r="M34" s="553">
        <f t="shared" ca="1" si="27"/>
        <v>0.61720154474495659</v>
      </c>
      <c r="N34" s="553">
        <f t="shared" ca="1" si="27"/>
        <v>0.74194354198527923</v>
      </c>
      <c r="O34" s="488">
        <f t="shared" ca="1" si="27"/>
        <v>1</v>
      </c>
      <c r="P34" s="553">
        <f t="shared" ca="1" si="27"/>
        <v>0.62849551127543479</v>
      </c>
      <c r="Q34" s="553">
        <f t="shared" ca="1" si="27"/>
        <v>0.62849551127543479</v>
      </c>
      <c r="R34" s="553">
        <f t="shared" ca="1" si="27"/>
        <v>0.62849551127543479</v>
      </c>
      <c r="S34" s="553">
        <f t="shared" ca="1" si="27"/>
        <v>0.80356601705494035</v>
      </c>
      <c r="T34" s="553">
        <f t="shared" ca="1" si="27"/>
        <v>0.86826578160875534</v>
      </c>
      <c r="U34" s="488">
        <f t="shared" ca="1" si="27"/>
        <v>1</v>
      </c>
      <c r="V34" s="553">
        <f t="shared" ca="1" si="27"/>
        <v>0.93447407563508056</v>
      </c>
      <c r="W34" s="553">
        <f t="shared" ca="1" si="27"/>
        <v>0.93447407563508056</v>
      </c>
      <c r="X34" s="553">
        <f t="shared" ca="1" si="27"/>
        <v>0.93447407563508056</v>
      </c>
      <c r="Y34" s="553">
        <f t="shared" ca="1" si="27"/>
        <v>0.99968836352138801</v>
      </c>
      <c r="Z34" s="553">
        <f t="shared" ca="1" si="27"/>
        <v>1.0046474892405615</v>
      </c>
      <c r="AA34" s="488">
        <f t="shared" ca="1" si="27"/>
        <v>1</v>
      </c>
      <c r="AB34" s="553">
        <f t="shared" ca="1" si="27"/>
        <v>0.61486036656353715</v>
      </c>
      <c r="AC34" s="553">
        <f t="shared" ca="1" si="27"/>
        <v>0.61486036656353715</v>
      </c>
      <c r="AD34" s="553">
        <f t="shared" ca="1" si="27"/>
        <v>0.61486036656353715</v>
      </c>
      <c r="AE34" s="553">
        <f t="shared" ca="1" si="27"/>
        <v>0.9216626287230123</v>
      </c>
      <c r="AF34" s="553">
        <f t="shared" ca="1" si="27"/>
        <v>1.062661553270098</v>
      </c>
      <c r="AG34" s="488">
        <f t="shared" ca="1" si="27"/>
        <v>1</v>
      </c>
      <c r="AH34" s="553">
        <f t="shared" ca="1" si="27"/>
        <v>1</v>
      </c>
      <c r="AI34" s="553">
        <f t="shared" ca="1" si="27"/>
        <v>1</v>
      </c>
      <c r="AJ34" s="553">
        <f t="shared" ca="1" si="27"/>
        <v>1</v>
      </c>
      <c r="AK34" s="553">
        <f t="shared" ca="1" si="27"/>
        <v>1</v>
      </c>
      <c r="AL34" s="553">
        <f t="shared" ca="1" si="27"/>
        <v>1</v>
      </c>
      <c r="AM34" s="488">
        <f t="shared" ca="1" si="27"/>
        <v>1</v>
      </c>
      <c r="AN34" s="553">
        <f t="shared" ca="1" si="27"/>
        <v>0.46913980265238936</v>
      </c>
      <c r="AO34" s="553">
        <f t="shared" ca="1" si="27"/>
        <v>0.46913980265238936</v>
      </c>
      <c r="AP34" s="553">
        <f t="shared" ca="1" si="27"/>
        <v>0.46913980265238936</v>
      </c>
      <c r="AQ34" s="553">
        <f t="shared" ca="1" si="27"/>
        <v>0.85644074562675754</v>
      </c>
      <c r="AR34" s="553">
        <f t="shared" ca="1" si="27"/>
        <v>1.0710425724456067</v>
      </c>
      <c r="AS34" s="488">
        <f t="shared" ca="1" si="27"/>
        <v>1</v>
      </c>
      <c r="AT34" s="553">
        <f t="shared" ca="1" si="27"/>
        <v>0.61948288722130807</v>
      </c>
      <c r="AU34" s="553">
        <f t="shared" ca="1" si="27"/>
        <v>0.61948288722130807</v>
      </c>
      <c r="AV34" s="553">
        <f t="shared" ca="1" si="27"/>
        <v>0.61948288722130807</v>
      </c>
      <c r="AW34" s="553">
        <f t="shared" ca="1" si="27"/>
        <v>0.98783177407460532</v>
      </c>
      <c r="AX34" s="435">
        <f t="shared" ca="1" si="27"/>
        <v>1.0508899257552391</v>
      </c>
      <c r="AY34" s="265"/>
      <c r="AZ34" s="1"/>
      <c r="BA34" s="1"/>
      <c r="BB34" s="265"/>
      <c r="BG34" s="209"/>
      <c r="BH34" s="265"/>
    </row>
    <row r="35" spans="2:60" outlineLevel="1" x14ac:dyDescent="0.25">
      <c r="B35" s="1363"/>
      <c r="D35" s="1352"/>
      <c r="F35" s="237" t="str">
        <f t="shared" si="23"/>
        <v>W_[HM]_Maize</v>
      </c>
      <c r="G35" s="609" t="s">
        <v>97</v>
      </c>
      <c r="I35" s="488">
        <f t="shared" ref="I35:AX35" ca="1" si="28">IFERROR(I240/INDEX(OFFSET($I$235,0,MATCH(I$8,$I$8:$AY$8,0)-1,COUNTA($G$30:$G$50),1),MATCH($G35,$G$235:$G$255,0),1),1)</f>
        <v>1</v>
      </c>
      <c r="J35" s="553">
        <f t="shared" ca="1" si="28"/>
        <v>0.37231403448181583</v>
      </c>
      <c r="K35" s="553">
        <f t="shared" ca="1" si="28"/>
        <v>0.37231403448181583</v>
      </c>
      <c r="L35" s="553">
        <f t="shared" ca="1" si="28"/>
        <v>0.37231403448181583</v>
      </c>
      <c r="M35" s="553">
        <f t="shared" ca="1" si="28"/>
        <v>0.57714392655414704</v>
      </c>
      <c r="N35" s="553">
        <f t="shared" ca="1" si="28"/>
        <v>0.68977262797038952</v>
      </c>
      <c r="O35" s="488">
        <f t="shared" ca="1" si="28"/>
        <v>1</v>
      </c>
      <c r="P35" s="553">
        <f t="shared" ca="1" si="28"/>
        <v>0.60474508191460929</v>
      </c>
      <c r="Q35" s="553">
        <f t="shared" ca="1" si="28"/>
        <v>0.60474508191460929</v>
      </c>
      <c r="R35" s="553">
        <f t="shared" ca="1" si="28"/>
        <v>0.60474508191460929</v>
      </c>
      <c r="S35" s="553">
        <f t="shared" ca="1" si="28"/>
        <v>0.77664398944913615</v>
      </c>
      <c r="T35" s="553">
        <f t="shared" ca="1" si="28"/>
        <v>0.83991037258340207</v>
      </c>
      <c r="U35" s="488">
        <f t="shared" ca="1" si="28"/>
        <v>1</v>
      </c>
      <c r="V35" s="553">
        <f t="shared" ca="1" si="28"/>
        <v>0.93315963506896316</v>
      </c>
      <c r="W35" s="553">
        <f t="shared" ca="1" si="28"/>
        <v>0.93315963506896316</v>
      </c>
      <c r="X35" s="553">
        <f t="shared" ca="1" si="28"/>
        <v>0.93315963506896316</v>
      </c>
      <c r="Y35" s="553">
        <f t="shared" ca="1" si="28"/>
        <v>0.99934767080838915</v>
      </c>
      <c r="Z35" s="553">
        <f t="shared" ca="1" si="28"/>
        <v>1.0043237918509413</v>
      </c>
      <c r="AA35" s="488">
        <f t="shared" ca="1" si="28"/>
        <v>1</v>
      </c>
      <c r="AB35" s="553">
        <f t="shared" ca="1" si="28"/>
        <v>0.56099014266432223</v>
      </c>
      <c r="AC35" s="553">
        <f t="shared" ca="1" si="28"/>
        <v>0.56099014266432223</v>
      </c>
      <c r="AD35" s="553">
        <f t="shared" ca="1" si="28"/>
        <v>0.56099014266432223</v>
      </c>
      <c r="AE35" s="553">
        <f t="shared" ca="1" si="28"/>
        <v>0.84592295901586545</v>
      </c>
      <c r="AF35" s="553">
        <f t="shared" ca="1" si="28"/>
        <v>0.97660014203497947</v>
      </c>
      <c r="AG35" s="488">
        <f t="shared" ca="1" si="28"/>
        <v>1</v>
      </c>
      <c r="AH35" s="553">
        <f t="shared" ca="1" si="28"/>
        <v>1</v>
      </c>
      <c r="AI35" s="553">
        <f t="shared" ca="1" si="28"/>
        <v>1</v>
      </c>
      <c r="AJ35" s="553">
        <f t="shared" ca="1" si="28"/>
        <v>1</v>
      </c>
      <c r="AK35" s="553">
        <f t="shared" ca="1" si="28"/>
        <v>1</v>
      </c>
      <c r="AL35" s="553">
        <f t="shared" ca="1" si="28"/>
        <v>1</v>
      </c>
      <c r="AM35" s="488">
        <f t="shared" ca="1" si="28"/>
        <v>1</v>
      </c>
      <c r="AN35" s="553">
        <f t="shared" ca="1" si="28"/>
        <v>0.36025684835233407</v>
      </c>
      <c r="AO35" s="553">
        <f t="shared" ca="1" si="28"/>
        <v>0.36025684835233407</v>
      </c>
      <c r="AP35" s="553">
        <f t="shared" ca="1" si="28"/>
        <v>0.36025684835233407</v>
      </c>
      <c r="AQ35" s="553">
        <f t="shared" ca="1" si="28"/>
        <v>0.65608632499764308</v>
      </c>
      <c r="AR35" s="553">
        <f t="shared" ca="1" si="28"/>
        <v>0.82004664845928776</v>
      </c>
      <c r="AS35" s="488">
        <f t="shared" ca="1" si="28"/>
        <v>1</v>
      </c>
      <c r="AT35" s="553">
        <f t="shared" ca="1" si="28"/>
        <v>0.60963639893162713</v>
      </c>
      <c r="AU35" s="553">
        <f t="shared" ca="1" si="28"/>
        <v>0.60963639893162713</v>
      </c>
      <c r="AV35" s="553">
        <f t="shared" ca="1" si="28"/>
        <v>0.60963639893162713</v>
      </c>
      <c r="AW35" s="553">
        <f t="shared" ca="1" si="28"/>
        <v>0.97727528957885978</v>
      </c>
      <c r="AX35" s="435">
        <f t="shared" ca="1" si="28"/>
        <v>1.0399184988869887</v>
      </c>
      <c r="AY35" s="265"/>
      <c r="AZ35" s="1"/>
      <c r="BA35" s="1"/>
      <c r="BB35" s="265"/>
      <c r="BG35" s="209"/>
      <c r="BH35" s="265"/>
    </row>
    <row r="36" spans="2:60" outlineLevel="1" x14ac:dyDescent="0.25">
      <c r="B36" s="1363"/>
      <c r="D36" s="1352"/>
      <c r="F36" s="237" t="str">
        <f t="shared" si="23"/>
        <v>W_[HM]_Maize silage</v>
      </c>
      <c r="G36" s="609" t="s">
        <v>628</v>
      </c>
      <c r="I36" s="488">
        <f t="shared" ref="I36:AX36" ca="1" si="29">IFERROR(I241/INDEX(OFFSET($I$235,0,MATCH(I$8,$I$8:$AY$8,0)-1,COUNTA($G$30:$G$50),1),MATCH($G36,$G$235:$G$255,0),1),1)</f>
        <v>1</v>
      </c>
      <c r="J36" s="553">
        <f t="shared" ca="1" si="29"/>
        <v>0.9571558861335816</v>
      </c>
      <c r="K36" s="553">
        <f t="shared" ca="1" si="29"/>
        <v>0.9571558861335816</v>
      </c>
      <c r="L36" s="553">
        <f t="shared" ca="1" si="29"/>
        <v>0.9571558861335816</v>
      </c>
      <c r="M36" s="553">
        <f t="shared" ca="1" si="29"/>
        <v>0.95424067191669215</v>
      </c>
      <c r="N36" s="553">
        <f t="shared" ca="1" si="29"/>
        <v>1.0411666443790375</v>
      </c>
      <c r="O36" s="488">
        <f t="shared" ca="1" si="29"/>
        <v>1</v>
      </c>
      <c r="P36" s="553">
        <f t="shared" ca="1" si="29"/>
        <v>0.99817192810714539</v>
      </c>
      <c r="Q36" s="553">
        <f t="shared" ca="1" si="29"/>
        <v>0.99817192810714539</v>
      </c>
      <c r="R36" s="553">
        <f t="shared" ca="1" si="29"/>
        <v>0.99817192810714539</v>
      </c>
      <c r="S36" s="553">
        <f t="shared" ca="1" si="29"/>
        <v>0.997737614451501</v>
      </c>
      <c r="T36" s="553">
        <f t="shared" ca="1" si="29"/>
        <v>1.0097815122245584</v>
      </c>
      <c r="U36" s="488">
        <f t="shared" ca="1" si="29"/>
        <v>1</v>
      </c>
      <c r="V36" s="553">
        <f t="shared" ca="1" si="29"/>
        <v>1.000044700778715</v>
      </c>
      <c r="W36" s="553">
        <f t="shared" ca="1" si="29"/>
        <v>1.000044700778715</v>
      </c>
      <c r="X36" s="553">
        <f t="shared" ca="1" si="29"/>
        <v>1.000044700778715</v>
      </c>
      <c r="Y36" s="553">
        <f t="shared" ca="1" si="29"/>
        <v>0.99992712300344799</v>
      </c>
      <c r="Z36" s="553">
        <f t="shared" ca="1" si="29"/>
        <v>1.0031602118319896</v>
      </c>
      <c r="AA36" s="488">
        <f t="shared" ca="1" si="29"/>
        <v>1</v>
      </c>
      <c r="AB36" s="553">
        <f t="shared" ca="1" si="29"/>
        <v>1.0002326328566398</v>
      </c>
      <c r="AC36" s="553">
        <f t="shared" ca="1" si="29"/>
        <v>1.0002326328566398</v>
      </c>
      <c r="AD36" s="553">
        <f t="shared" ca="1" si="29"/>
        <v>1.0002326328566398</v>
      </c>
      <c r="AE36" s="553">
        <f t="shared" ca="1" si="29"/>
        <v>0.99961804843957436</v>
      </c>
      <c r="AF36" s="553">
        <f t="shared" ca="1" si="29"/>
        <v>1.0167431555047102</v>
      </c>
      <c r="AG36" s="488">
        <f t="shared" ca="1" si="29"/>
        <v>1</v>
      </c>
      <c r="AH36" s="553">
        <f t="shared" ca="1" si="29"/>
        <v>1</v>
      </c>
      <c r="AI36" s="553">
        <f t="shared" ca="1" si="29"/>
        <v>1</v>
      </c>
      <c r="AJ36" s="553">
        <f t="shared" ca="1" si="29"/>
        <v>1</v>
      </c>
      <c r="AK36" s="553">
        <f t="shared" ca="1" si="29"/>
        <v>1</v>
      </c>
      <c r="AL36" s="553">
        <f t="shared" ca="1" si="29"/>
        <v>1</v>
      </c>
      <c r="AM36" s="488">
        <f t="shared" ca="1" si="29"/>
        <v>1</v>
      </c>
      <c r="AN36" s="553">
        <f t="shared" ca="1" si="29"/>
        <v>0.99401098903133611</v>
      </c>
      <c r="AO36" s="553">
        <f t="shared" ca="1" si="29"/>
        <v>0.99401098903133611</v>
      </c>
      <c r="AP36" s="553">
        <f t="shared" ca="1" si="29"/>
        <v>0.99401098903133611</v>
      </c>
      <c r="AQ36" s="553">
        <f t="shared" ca="1" si="29"/>
        <v>0.9913613344229093</v>
      </c>
      <c r="AR36" s="553">
        <f t="shared" ca="1" si="29"/>
        <v>1.0695105583172035</v>
      </c>
      <c r="AS36" s="488">
        <f t="shared" ca="1" si="29"/>
        <v>1</v>
      </c>
      <c r="AT36" s="553">
        <f t="shared" ca="1" si="29"/>
        <v>0.99985538775610927</v>
      </c>
      <c r="AU36" s="553">
        <f t="shared" ca="1" si="29"/>
        <v>0.99985538775610927</v>
      </c>
      <c r="AV36" s="553">
        <f t="shared" ca="1" si="29"/>
        <v>0.99985538775610927</v>
      </c>
      <c r="AW36" s="553">
        <f t="shared" ca="1" si="29"/>
        <v>0.99886444656503393</v>
      </c>
      <c r="AX36" s="435">
        <f t="shared" ca="1" si="29"/>
        <v>1.0267590863733933</v>
      </c>
      <c r="AY36" s="265"/>
      <c r="AZ36" s="1"/>
      <c r="BA36" s="1"/>
      <c r="BB36" s="265"/>
      <c r="BG36" s="209"/>
      <c r="BH36" s="265"/>
    </row>
    <row r="37" spans="2:60" outlineLevel="1" x14ac:dyDescent="0.25">
      <c r="B37" s="1363"/>
      <c r="D37" s="1352"/>
      <c r="F37" s="237" t="str">
        <f t="shared" si="23"/>
        <v>W_[HM]_Mustard seed</v>
      </c>
      <c r="G37" s="609" t="s">
        <v>108</v>
      </c>
      <c r="I37" s="488">
        <f t="shared" ref="I37:AX37" ca="1" si="30">IFERROR(I242/INDEX(OFFSET($I$235,0,MATCH(I$8,$I$8:$AY$8,0)-1,COUNTA($G$30:$G$50),1),MATCH($G37,$G$235:$G$255,0),1),1)</f>
        <v>1</v>
      </c>
      <c r="J37" s="553">
        <f t="shared" ca="1" si="30"/>
        <v>0.33889392946321673</v>
      </c>
      <c r="K37" s="553">
        <f t="shared" ca="1" si="30"/>
        <v>0.33889392946321673</v>
      </c>
      <c r="L37" s="553">
        <f t="shared" ca="1" si="30"/>
        <v>0.33889392946321673</v>
      </c>
      <c r="M37" s="553">
        <f t="shared" ca="1" si="30"/>
        <v>0.53730162775252344</v>
      </c>
      <c r="N37" s="553">
        <f t="shared" ca="1" si="30"/>
        <v>0.64577183294766471</v>
      </c>
      <c r="O37" s="488">
        <f t="shared" ca="1" si="30"/>
        <v>1</v>
      </c>
      <c r="P37" s="553">
        <f t="shared" ca="1" si="30"/>
        <v>0.589923068520956</v>
      </c>
      <c r="Q37" s="553">
        <f t="shared" ca="1" si="30"/>
        <v>0.589923068520956</v>
      </c>
      <c r="R37" s="553">
        <f t="shared" ca="1" si="30"/>
        <v>0.589923068520956</v>
      </c>
      <c r="S37" s="553">
        <f t="shared" ca="1" si="30"/>
        <v>0.75759573632139277</v>
      </c>
      <c r="T37" s="553">
        <f t="shared" ca="1" si="30"/>
        <v>0.81930765702176789</v>
      </c>
      <c r="U37" s="488">
        <f t="shared" ca="1" si="30"/>
        <v>1</v>
      </c>
      <c r="V37" s="553">
        <f t="shared" ca="1" si="30"/>
        <v>0.93330378316182239</v>
      </c>
      <c r="W37" s="553">
        <f t="shared" ca="1" si="30"/>
        <v>0.93330378316182239</v>
      </c>
      <c r="X37" s="553">
        <f t="shared" ca="1" si="30"/>
        <v>0.93330378316182239</v>
      </c>
      <c r="Y37" s="553">
        <f t="shared" ca="1" si="30"/>
        <v>0.99908551553656921</v>
      </c>
      <c r="Z37" s="553">
        <f t="shared" ca="1" si="30"/>
        <v>1.0040530802667582</v>
      </c>
      <c r="AA37" s="488">
        <f t="shared" ca="1" si="30"/>
        <v>1</v>
      </c>
      <c r="AB37" s="553">
        <f t="shared" ca="1" si="30"/>
        <v>0.5410242615719344</v>
      </c>
      <c r="AC37" s="553">
        <f t="shared" ca="1" si="30"/>
        <v>0.5410242615719344</v>
      </c>
      <c r="AD37" s="553">
        <f t="shared" ca="1" si="30"/>
        <v>0.5410242615719344</v>
      </c>
      <c r="AE37" s="553">
        <f t="shared" ca="1" si="30"/>
        <v>0.81814543083372293</v>
      </c>
      <c r="AF37" s="553">
        <f t="shared" ca="1" si="30"/>
        <v>0.94511513164592409</v>
      </c>
      <c r="AG37" s="488">
        <f t="shared" ca="1" si="30"/>
        <v>1</v>
      </c>
      <c r="AH37" s="553">
        <f t="shared" ca="1" si="30"/>
        <v>1</v>
      </c>
      <c r="AI37" s="553">
        <f t="shared" ca="1" si="30"/>
        <v>1</v>
      </c>
      <c r="AJ37" s="553">
        <f t="shared" ca="1" si="30"/>
        <v>1</v>
      </c>
      <c r="AK37" s="553">
        <f t="shared" ca="1" si="30"/>
        <v>1</v>
      </c>
      <c r="AL37" s="553">
        <f t="shared" ca="1" si="30"/>
        <v>1</v>
      </c>
      <c r="AM37" s="488">
        <f t="shared" ca="1" si="30"/>
        <v>1</v>
      </c>
      <c r="AN37" s="553">
        <f t="shared" ca="1" si="30"/>
        <v>0.35223852647773823</v>
      </c>
      <c r="AO37" s="553">
        <f t="shared" ca="1" si="30"/>
        <v>0.35223852647773823</v>
      </c>
      <c r="AP37" s="553">
        <f t="shared" ca="1" si="30"/>
        <v>0.35223852647773823</v>
      </c>
      <c r="AQ37" s="553">
        <f t="shared" ca="1" si="30"/>
        <v>0.64349514182172074</v>
      </c>
      <c r="AR37" s="553">
        <f t="shared" ca="1" si="30"/>
        <v>0.80486673870861236</v>
      </c>
      <c r="AS37" s="488">
        <f t="shared" ca="1" si="30"/>
        <v>1</v>
      </c>
      <c r="AT37" s="553">
        <f t="shared" ca="1" si="30"/>
        <v>0.60482066235357868</v>
      </c>
      <c r="AU37" s="553">
        <f t="shared" ca="1" si="30"/>
        <v>0.60482066235357868</v>
      </c>
      <c r="AV37" s="553">
        <f t="shared" ca="1" si="30"/>
        <v>0.60482066235357868</v>
      </c>
      <c r="AW37" s="553">
        <f t="shared" ca="1" si="30"/>
        <v>0.96911933055562338</v>
      </c>
      <c r="AX37" s="435">
        <f t="shared" ca="1" si="30"/>
        <v>1.0312179862014623</v>
      </c>
      <c r="AY37" s="265"/>
      <c r="AZ37" s="1"/>
      <c r="BA37" s="1"/>
      <c r="BB37" s="265"/>
      <c r="BG37" s="209"/>
      <c r="BH37" s="265"/>
    </row>
    <row r="38" spans="2:60" outlineLevel="1" x14ac:dyDescent="0.25">
      <c r="B38" s="1363"/>
      <c r="D38" s="1352"/>
      <c r="F38" s="237" t="str">
        <f t="shared" si="23"/>
        <v>W_[HM]_Oat</v>
      </c>
      <c r="G38" s="609" t="s">
        <v>98</v>
      </c>
      <c r="I38" s="488">
        <f t="shared" ref="I38:AX38" ca="1" si="31">IFERROR(I243/INDEX(OFFSET($I$235,0,MATCH(I$8,$I$8:$AY$8,0)-1,COUNTA($G$30:$G$50),1),MATCH($G38,$G$235:$G$255,0),1),1)</f>
        <v>1</v>
      </c>
      <c r="J38" s="553">
        <f t="shared" ca="1" si="31"/>
        <v>0.40342285294074587</v>
      </c>
      <c r="K38" s="553">
        <f t="shared" ca="1" si="31"/>
        <v>0.40342285294074587</v>
      </c>
      <c r="L38" s="553">
        <f t="shared" ca="1" si="31"/>
        <v>0.40342285294074587</v>
      </c>
      <c r="M38" s="553">
        <f t="shared" ca="1" si="31"/>
        <v>0.63820949613838751</v>
      </c>
      <c r="N38" s="553">
        <f t="shared" ca="1" si="31"/>
        <v>0.76663835407773795</v>
      </c>
      <c r="O38" s="488">
        <f t="shared" ca="1" si="31"/>
        <v>1</v>
      </c>
      <c r="P38" s="553">
        <f t="shared" ca="1" si="31"/>
        <v>0.66261722318274952</v>
      </c>
      <c r="Q38" s="553">
        <f t="shared" ca="1" si="31"/>
        <v>0.66261722318274952</v>
      </c>
      <c r="R38" s="553">
        <f t="shared" ca="1" si="31"/>
        <v>0.66261722318274952</v>
      </c>
      <c r="S38" s="553">
        <f t="shared" ca="1" si="31"/>
        <v>0.82519837525186202</v>
      </c>
      <c r="T38" s="553">
        <f t="shared" ca="1" si="31"/>
        <v>0.88685239928913895</v>
      </c>
      <c r="U38" s="488">
        <f t="shared" ca="1" si="31"/>
        <v>1</v>
      </c>
      <c r="V38" s="553">
        <f t="shared" ca="1" si="31"/>
        <v>0.93541033268539964</v>
      </c>
      <c r="W38" s="553">
        <f t="shared" ca="1" si="31"/>
        <v>0.93541033268539964</v>
      </c>
      <c r="X38" s="553">
        <f t="shared" ca="1" si="31"/>
        <v>0.93541033268539964</v>
      </c>
      <c r="Y38" s="553">
        <f t="shared" ca="1" si="31"/>
        <v>0.99963547416432941</v>
      </c>
      <c r="Z38" s="553">
        <f t="shared" ca="1" si="31"/>
        <v>1.0045754582263966</v>
      </c>
      <c r="AA38" s="488">
        <f t="shared" ca="1" si="31"/>
        <v>1</v>
      </c>
      <c r="AB38" s="553">
        <f t="shared" ca="1" si="31"/>
        <v>0.61100894766746106</v>
      </c>
      <c r="AC38" s="553">
        <f t="shared" ca="1" si="31"/>
        <v>0.61100894766746106</v>
      </c>
      <c r="AD38" s="553">
        <f t="shared" ca="1" si="31"/>
        <v>0.61100894766746106</v>
      </c>
      <c r="AE38" s="553">
        <f t="shared" ca="1" si="31"/>
        <v>0.89897947648028209</v>
      </c>
      <c r="AF38" s="553">
        <f t="shared" ca="1" si="31"/>
        <v>1.0322159292235371</v>
      </c>
      <c r="AG38" s="488">
        <f t="shared" ca="1" si="31"/>
        <v>1</v>
      </c>
      <c r="AH38" s="553">
        <f t="shared" ca="1" si="31"/>
        <v>1</v>
      </c>
      <c r="AI38" s="553">
        <f t="shared" ca="1" si="31"/>
        <v>1</v>
      </c>
      <c r="AJ38" s="553">
        <f t="shared" ca="1" si="31"/>
        <v>1</v>
      </c>
      <c r="AK38" s="553">
        <f t="shared" ca="1" si="31"/>
        <v>1</v>
      </c>
      <c r="AL38" s="553">
        <f t="shared" ca="1" si="31"/>
        <v>1</v>
      </c>
      <c r="AM38" s="488">
        <f t="shared" ca="1" si="31"/>
        <v>1</v>
      </c>
      <c r="AN38" s="553">
        <f t="shared" ca="1" si="31"/>
        <v>0.39776086467617638</v>
      </c>
      <c r="AO38" s="553">
        <f t="shared" ca="1" si="31"/>
        <v>0.39776086467617638</v>
      </c>
      <c r="AP38" s="553">
        <f t="shared" ca="1" si="31"/>
        <v>0.39776086467617638</v>
      </c>
      <c r="AQ38" s="553">
        <f t="shared" ca="1" si="31"/>
        <v>0.72704573115585081</v>
      </c>
      <c r="AR38" s="553">
        <f t="shared" ca="1" si="31"/>
        <v>0.90947660486626203</v>
      </c>
      <c r="AS38" s="488">
        <f t="shared" ca="1" si="31"/>
        <v>1</v>
      </c>
      <c r="AT38" s="553">
        <f t="shared" ca="1" si="31"/>
        <v>0.6296365621426161</v>
      </c>
      <c r="AU38" s="553">
        <f t="shared" ca="1" si="31"/>
        <v>0.6296365621426161</v>
      </c>
      <c r="AV38" s="553">
        <f t="shared" ca="1" si="31"/>
        <v>0.6296365621426161</v>
      </c>
      <c r="AW38" s="553">
        <f t="shared" ca="1" si="31"/>
        <v>0.98701194013924765</v>
      </c>
      <c r="AX38" s="435">
        <f t="shared" ca="1" si="31"/>
        <v>1.0491475425834573</v>
      </c>
      <c r="AY38" s="265"/>
      <c r="AZ38" s="1"/>
      <c r="BA38" s="1"/>
      <c r="BB38" s="265"/>
      <c r="BG38" s="209"/>
      <c r="BH38" s="265"/>
    </row>
    <row r="39" spans="2:60" outlineLevel="1" x14ac:dyDescent="0.25">
      <c r="B39" s="1363"/>
      <c r="D39" s="1352"/>
      <c r="F39" s="237" t="str">
        <f t="shared" si="23"/>
        <v>W_[HM]_Peas, dry</v>
      </c>
      <c r="G39" s="609" t="s">
        <v>629</v>
      </c>
      <c r="I39" s="488">
        <f t="shared" ref="I39:AX39" ca="1" si="32">IFERROR(I244/INDEX(OFFSET($I$235,0,MATCH(I$8,$I$8:$AY$8,0)-1,COUNTA($G$30:$G$50),1),MATCH($G39,$G$235:$G$255,0),1),1)</f>
        <v>1</v>
      </c>
      <c r="J39" s="553">
        <f t="shared" ca="1" si="32"/>
        <v>0.36889673706245857</v>
      </c>
      <c r="K39" s="553">
        <f t="shared" ca="1" si="32"/>
        <v>0.36889673706245857</v>
      </c>
      <c r="L39" s="553">
        <f t="shared" ca="1" si="32"/>
        <v>0.36889673706245857</v>
      </c>
      <c r="M39" s="553">
        <f t="shared" ca="1" si="32"/>
        <v>0.58413486660612413</v>
      </c>
      <c r="N39" s="553">
        <f t="shared" ca="1" si="32"/>
        <v>0.70184318435655668</v>
      </c>
      <c r="O39" s="488">
        <f t="shared" ca="1" si="32"/>
        <v>1</v>
      </c>
      <c r="P39" s="553">
        <f t="shared" ca="1" si="32"/>
        <v>0.6191862895951995</v>
      </c>
      <c r="Q39" s="553">
        <f t="shared" ca="1" si="32"/>
        <v>0.6191862895951995</v>
      </c>
      <c r="R39" s="553">
        <f t="shared" ca="1" si="32"/>
        <v>0.6191862895951995</v>
      </c>
      <c r="S39" s="553">
        <f t="shared" ca="1" si="32"/>
        <v>0.78713378407175905</v>
      </c>
      <c r="T39" s="553">
        <f t="shared" ca="1" si="32"/>
        <v>0.84953830129672103</v>
      </c>
      <c r="U39" s="488">
        <f t="shared" ca="1" si="32"/>
        <v>1</v>
      </c>
      <c r="V39" s="553">
        <f t="shared" ca="1" si="32"/>
        <v>0.93564850389852994</v>
      </c>
      <c r="W39" s="553">
        <f t="shared" ca="1" si="32"/>
        <v>0.93564850389852994</v>
      </c>
      <c r="X39" s="553">
        <f t="shared" ca="1" si="32"/>
        <v>0.93564850389852994</v>
      </c>
      <c r="Y39" s="553">
        <f t="shared" ca="1" si="32"/>
        <v>0.99954324640698822</v>
      </c>
      <c r="Z39" s="553">
        <f t="shared" ca="1" si="32"/>
        <v>1.0044764737112173</v>
      </c>
      <c r="AA39" s="488">
        <f t="shared" ca="1" si="32"/>
        <v>1</v>
      </c>
      <c r="AB39" s="553">
        <f t="shared" ca="1" si="32"/>
        <v>0.60270855028325443</v>
      </c>
      <c r="AC39" s="553">
        <f t="shared" ca="1" si="32"/>
        <v>0.60270855028325443</v>
      </c>
      <c r="AD39" s="553">
        <f t="shared" ca="1" si="32"/>
        <v>0.60270855028325443</v>
      </c>
      <c r="AE39" s="553">
        <f t="shared" ca="1" si="32"/>
        <v>0.89220379746450051</v>
      </c>
      <c r="AF39" s="553">
        <f t="shared" ca="1" si="32"/>
        <v>1.0258458613255128</v>
      </c>
      <c r="AG39" s="488">
        <f t="shared" ca="1" si="32"/>
        <v>1</v>
      </c>
      <c r="AH39" s="553">
        <f t="shared" ca="1" si="32"/>
        <v>1</v>
      </c>
      <c r="AI39" s="553">
        <f t="shared" ca="1" si="32"/>
        <v>1</v>
      </c>
      <c r="AJ39" s="553">
        <f t="shared" ca="1" si="32"/>
        <v>1</v>
      </c>
      <c r="AK39" s="553">
        <f t="shared" ca="1" si="32"/>
        <v>1</v>
      </c>
      <c r="AL39" s="553">
        <f t="shared" ca="1" si="32"/>
        <v>1</v>
      </c>
      <c r="AM39" s="488">
        <f t="shared" ca="1" si="32"/>
        <v>1</v>
      </c>
      <c r="AN39" s="553">
        <f t="shared" ca="1" si="32"/>
        <v>0.43050382901873652</v>
      </c>
      <c r="AO39" s="553">
        <f t="shared" ca="1" si="32"/>
        <v>0.43050382901873652</v>
      </c>
      <c r="AP39" s="553">
        <f t="shared" ca="1" si="32"/>
        <v>0.43050382901873652</v>
      </c>
      <c r="AQ39" s="553">
        <f t="shared" ca="1" si="32"/>
        <v>0.78341674790175542</v>
      </c>
      <c r="AR39" s="553">
        <f t="shared" ca="1" si="32"/>
        <v>0.97903113418831367</v>
      </c>
      <c r="AS39" s="488">
        <f t="shared" ca="1" si="32"/>
        <v>1</v>
      </c>
      <c r="AT39" s="553">
        <f t="shared" ca="1" si="32"/>
        <v>0.6225311216311209</v>
      </c>
      <c r="AU39" s="553">
        <f t="shared" ca="1" si="32"/>
        <v>0.6225311216311209</v>
      </c>
      <c r="AV39" s="553">
        <f t="shared" ca="1" si="32"/>
        <v>0.6225311216311209</v>
      </c>
      <c r="AW39" s="553">
        <f t="shared" ca="1" si="32"/>
        <v>0.98293660575195174</v>
      </c>
      <c r="AX39" s="435">
        <f t="shared" ca="1" si="32"/>
        <v>1.0451858575411763</v>
      </c>
      <c r="AY39" s="265"/>
      <c r="AZ39" s="1"/>
      <c r="BA39" s="1"/>
      <c r="BB39" s="265"/>
      <c r="BG39" s="209"/>
      <c r="BH39" s="265"/>
    </row>
    <row r="40" spans="2:60" outlineLevel="1" x14ac:dyDescent="0.25">
      <c r="B40" s="1363"/>
      <c r="D40" s="1352"/>
      <c r="F40" s="237" t="str">
        <f t="shared" si="23"/>
        <v>W_[HM]_Peas, green</v>
      </c>
      <c r="G40" s="609" t="s">
        <v>105</v>
      </c>
      <c r="I40" s="488">
        <f t="shared" ref="I40:AX40" ca="1" si="33">IFERROR(I245/INDEX(OFFSET($I$235,0,MATCH(I$8,$I$8:$AY$8,0)-1,COUNTA($G$30:$G$50),1),MATCH($G40,$G$235:$G$255,0),1),1)</f>
        <v>1</v>
      </c>
      <c r="J40" s="553">
        <f t="shared" ca="1" si="33"/>
        <v>0.42383342138020652</v>
      </c>
      <c r="K40" s="553">
        <f t="shared" ca="1" si="33"/>
        <v>0.42383342138020652</v>
      </c>
      <c r="L40" s="553">
        <f t="shared" ca="1" si="33"/>
        <v>0.42383342138020652</v>
      </c>
      <c r="M40" s="553">
        <f t="shared" ca="1" si="33"/>
        <v>0.67272684808688976</v>
      </c>
      <c r="N40" s="553">
        <f t="shared" ca="1" si="33"/>
        <v>0.80875973020238412</v>
      </c>
      <c r="O40" s="488">
        <f t="shared" ca="1" si="33"/>
        <v>1</v>
      </c>
      <c r="P40" s="553">
        <f t="shared" ca="1" si="33"/>
        <v>0.64851574001239065</v>
      </c>
      <c r="Q40" s="553">
        <f t="shared" ca="1" si="33"/>
        <v>0.64851574001239065</v>
      </c>
      <c r="R40" s="553">
        <f t="shared" ca="1" si="33"/>
        <v>0.64851574001239065</v>
      </c>
      <c r="S40" s="553">
        <f t="shared" ca="1" si="33"/>
        <v>0.83248584907629242</v>
      </c>
      <c r="T40" s="553">
        <f t="shared" ca="1" si="33"/>
        <v>0.90022272205450737</v>
      </c>
      <c r="U40" s="488">
        <f t="shared" ca="1" si="33"/>
        <v>1</v>
      </c>
      <c r="V40" s="553">
        <f t="shared" ca="1" si="33"/>
        <v>0.93345899097902407</v>
      </c>
      <c r="W40" s="553">
        <f t="shared" ca="1" si="33"/>
        <v>0.93345899097902407</v>
      </c>
      <c r="X40" s="553">
        <f t="shared" ca="1" si="33"/>
        <v>0.93345899097902407</v>
      </c>
      <c r="Y40" s="553">
        <f t="shared" ca="1" si="33"/>
        <v>0.99976926620661177</v>
      </c>
      <c r="Z40" s="553">
        <f t="shared" ca="1" si="33"/>
        <v>1.0047492360869896</v>
      </c>
      <c r="AA40" s="488">
        <f t="shared" ca="1" si="33"/>
        <v>1</v>
      </c>
      <c r="AB40" s="553">
        <f t="shared" ca="1" si="33"/>
        <v>0.61896000424931974</v>
      </c>
      <c r="AC40" s="553">
        <f t="shared" ca="1" si="33"/>
        <v>0.61896000424931974</v>
      </c>
      <c r="AD40" s="553">
        <f t="shared" ca="1" si="33"/>
        <v>0.61896000424931974</v>
      </c>
      <c r="AE40" s="553">
        <f t="shared" ca="1" si="33"/>
        <v>0.93716397864721346</v>
      </c>
      <c r="AF40" s="553">
        <f t="shared" ca="1" si="33"/>
        <v>1.082894686235556</v>
      </c>
      <c r="AG40" s="488">
        <f t="shared" ca="1" si="33"/>
        <v>1</v>
      </c>
      <c r="AH40" s="553">
        <f t="shared" ca="1" si="33"/>
        <v>1</v>
      </c>
      <c r="AI40" s="553">
        <f t="shared" ca="1" si="33"/>
        <v>1</v>
      </c>
      <c r="AJ40" s="553">
        <f t="shared" ca="1" si="33"/>
        <v>1</v>
      </c>
      <c r="AK40" s="553">
        <f t="shared" ca="1" si="33"/>
        <v>1</v>
      </c>
      <c r="AL40" s="553">
        <f t="shared" ca="1" si="33"/>
        <v>1</v>
      </c>
      <c r="AM40" s="488">
        <f t="shared" ca="1" si="33"/>
        <v>1</v>
      </c>
      <c r="AN40" s="553">
        <f t="shared" ca="1" si="33"/>
        <v>0.46582511628778106</v>
      </c>
      <c r="AO40" s="553">
        <f t="shared" ca="1" si="33"/>
        <v>0.46582511628778106</v>
      </c>
      <c r="AP40" s="553">
        <f t="shared" ca="1" si="33"/>
        <v>0.46582511628778106</v>
      </c>
      <c r="AQ40" s="553">
        <f t="shared" ca="1" si="33"/>
        <v>0.85103115594799472</v>
      </c>
      <c r="AR40" s="553">
        <f t="shared" ca="1" si="33"/>
        <v>1.0644549680854591</v>
      </c>
      <c r="AS40" s="488">
        <f t="shared" ca="1" si="33"/>
        <v>1</v>
      </c>
      <c r="AT40" s="553">
        <f t="shared" ca="1" si="33"/>
        <v>0.61678326872451616</v>
      </c>
      <c r="AU40" s="553">
        <f t="shared" ca="1" si="33"/>
        <v>0.61678326872451616</v>
      </c>
      <c r="AV40" s="553">
        <f t="shared" ca="1" si="33"/>
        <v>0.61678326872451616</v>
      </c>
      <c r="AW40" s="553">
        <f t="shared" ca="1" si="33"/>
        <v>0.99139764162620969</v>
      </c>
      <c r="AX40" s="435">
        <f t="shared" ca="1" si="33"/>
        <v>1.0550787826709851</v>
      </c>
      <c r="AY40" s="265"/>
      <c r="AZ40" s="1"/>
      <c r="BA40" s="1"/>
      <c r="BB40" s="265"/>
      <c r="BG40" s="209"/>
      <c r="BH40" s="265"/>
    </row>
    <row r="41" spans="2:60" outlineLevel="1" x14ac:dyDescent="0.25">
      <c r="B41" s="1363"/>
      <c r="D41" s="1352"/>
      <c r="F41" s="237" t="str">
        <f t="shared" si="23"/>
        <v>W_[HM]_Potatoes</v>
      </c>
      <c r="G41" s="609" t="s">
        <v>111</v>
      </c>
      <c r="I41" s="488">
        <f t="shared" ref="I41:AX41" ca="1" si="34">IFERROR(I246/INDEX(OFFSET($I$235,0,MATCH(I$8,$I$8:$AY$8,0)-1,COUNTA($G$30:$G$50),1),MATCH($G41,$G$235:$G$255,0),1),1)</f>
        <v>1</v>
      </c>
      <c r="J41" s="553">
        <f t="shared" ca="1" si="34"/>
        <v>0.35475698471121231</v>
      </c>
      <c r="K41" s="553">
        <f t="shared" ca="1" si="34"/>
        <v>0.35475698471121231</v>
      </c>
      <c r="L41" s="553">
        <f t="shared" ca="1" si="34"/>
        <v>0.35475698471121231</v>
      </c>
      <c r="M41" s="553">
        <f t="shared" ca="1" si="34"/>
        <v>0.55477269241622584</v>
      </c>
      <c r="N41" s="553">
        <f t="shared" ca="1" si="34"/>
        <v>0.66450313290894192</v>
      </c>
      <c r="O41" s="488">
        <f t="shared" ca="1" si="34"/>
        <v>1</v>
      </c>
      <c r="P41" s="553">
        <f t="shared" ca="1" si="34"/>
        <v>0.60330140736139415</v>
      </c>
      <c r="Q41" s="553">
        <f t="shared" ca="1" si="34"/>
        <v>0.60330140736139415</v>
      </c>
      <c r="R41" s="553">
        <f t="shared" ca="1" si="34"/>
        <v>0.60330140736139415</v>
      </c>
      <c r="S41" s="553">
        <f t="shared" ca="1" si="34"/>
        <v>0.7681782386325966</v>
      </c>
      <c r="T41" s="553">
        <f t="shared" ca="1" si="34"/>
        <v>0.82934788868192888</v>
      </c>
      <c r="U41" s="488">
        <f t="shared" ca="1" si="34"/>
        <v>1</v>
      </c>
      <c r="V41" s="553">
        <f t="shared" ca="1" si="34"/>
        <v>0.93388602821040922</v>
      </c>
      <c r="W41" s="553">
        <f t="shared" ca="1" si="34"/>
        <v>0.93388602821040922</v>
      </c>
      <c r="X41" s="553">
        <f t="shared" ca="1" si="34"/>
        <v>0.93388602821040922</v>
      </c>
      <c r="Y41" s="553">
        <f t="shared" ca="1" si="34"/>
        <v>0.99918931302694647</v>
      </c>
      <c r="Z41" s="553">
        <f t="shared" ca="1" si="34"/>
        <v>1.0041482643506545</v>
      </c>
      <c r="AA41" s="488">
        <f t="shared" ca="1" si="34"/>
        <v>1</v>
      </c>
      <c r="AB41" s="553">
        <f t="shared" ca="1" si="34"/>
        <v>0.55732709923739865</v>
      </c>
      <c r="AC41" s="553">
        <f t="shared" ca="1" si="34"/>
        <v>0.55732709923739865</v>
      </c>
      <c r="AD41" s="553">
        <f t="shared" ca="1" si="34"/>
        <v>0.55732709923739865</v>
      </c>
      <c r="AE41" s="553">
        <f t="shared" ca="1" si="34"/>
        <v>0.83100180253926648</v>
      </c>
      <c r="AF41" s="553">
        <f t="shared" ca="1" si="34"/>
        <v>0.95701253450560197</v>
      </c>
      <c r="AG41" s="488">
        <f t="shared" ca="1" si="34"/>
        <v>1</v>
      </c>
      <c r="AH41" s="553">
        <f t="shared" ca="1" si="34"/>
        <v>1</v>
      </c>
      <c r="AI41" s="553">
        <f t="shared" ca="1" si="34"/>
        <v>1</v>
      </c>
      <c r="AJ41" s="553">
        <f t="shared" ca="1" si="34"/>
        <v>1</v>
      </c>
      <c r="AK41" s="553">
        <f t="shared" ca="1" si="34"/>
        <v>1</v>
      </c>
      <c r="AL41" s="553">
        <f t="shared" ca="1" si="34"/>
        <v>1</v>
      </c>
      <c r="AM41" s="488">
        <f t="shared" ca="1" si="34"/>
        <v>1</v>
      </c>
      <c r="AN41" s="553">
        <f t="shared" ca="1" si="34"/>
        <v>0.3495109316109854</v>
      </c>
      <c r="AO41" s="553">
        <f t="shared" ca="1" si="34"/>
        <v>0.3495109316109854</v>
      </c>
      <c r="AP41" s="553">
        <f t="shared" ca="1" si="34"/>
        <v>0.3495109316109854</v>
      </c>
      <c r="AQ41" s="553">
        <f t="shared" ca="1" si="34"/>
        <v>0.63892329258811142</v>
      </c>
      <c r="AR41" s="553">
        <f t="shared" ca="1" si="34"/>
        <v>0.79926203883388891</v>
      </c>
      <c r="AS41" s="488">
        <f t="shared" ca="1" si="34"/>
        <v>1</v>
      </c>
      <c r="AT41" s="553">
        <f t="shared" ca="1" si="34"/>
        <v>0.6077406159363492</v>
      </c>
      <c r="AU41" s="553">
        <f t="shared" ca="1" si="34"/>
        <v>0.6077406159363492</v>
      </c>
      <c r="AV41" s="553">
        <f t="shared" ca="1" si="34"/>
        <v>0.6077406159363492</v>
      </c>
      <c r="AW41" s="553">
        <f t="shared" ca="1" si="34"/>
        <v>0.97271712878292216</v>
      </c>
      <c r="AX41" s="435">
        <f t="shared" ca="1" si="34"/>
        <v>1.0349923100461804</v>
      </c>
      <c r="AY41" s="265"/>
      <c r="AZ41" s="1"/>
      <c r="BA41" s="1"/>
      <c r="BB41" s="265"/>
      <c r="BG41" s="209"/>
      <c r="BH41" s="265"/>
    </row>
    <row r="42" spans="2:60" outlineLevel="1" x14ac:dyDescent="0.25">
      <c r="B42" s="1363"/>
      <c r="D42" s="1352"/>
      <c r="F42" s="237" t="str">
        <f t="shared" si="23"/>
        <v>W_[HM]_Rapeseed</v>
      </c>
      <c r="G42" s="609" t="s">
        <v>109</v>
      </c>
      <c r="I42" s="488">
        <f t="shared" ref="I42:AX42" ca="1" si="35">IFERROR(I247/INDEX(OFFSET($I$235,0,MATCH(I$8,$I$8:$AY$8,0)-1,COUNTA($G$30:$G$50),1),MATCH($G42,$G$235:$G$255,0),1),1)</f>
        <v>1</v>
      </c>
      <c r="J42" s="553">
        <f t="shared" ca="1" si="35"/>
        <v>0.36580112635924766</v>
      </c>
      <c r="K42" s="553">
        <f t="shared" ca="1" si="35"/>
        <v>0.36580112635924766</v>
      </c>
      <c r="L42" s="553">
        <f t="shared" ca="1" si="35"/>
        <v>0.36580112635924766</v>
      </c>
      <c r="M42" s="553">
        <f t="shared" ca="1" si="35"/>
        <v>0.5810832959254546</v>
      </c>
      <c r="N42" s="553">
        <f t="shared" ca="1" si="35"/>
        <v>0.69872244956037388</v>
      </c>
      <c r="O42" s="488">
        <f t="shared" ca="1" si="35"/>
        <v>1</v>
      </c>
      <c r="P42" s="553">
        <f t="shared" ca="1" si="35"/>
        <v>0.61064244605486651</v>
      </c>
      <c r="Q42" s="553">
        <f t="shared" ca="1" si="35"/>
        <v>0.61064244605486651</v>
      </c>
      <c r="R42" s="553">
        <f t="shared" ca="1" si="35"/>
        <v>0.61064244605486651</v>
      </c>
      <c r="S42" s="553">
        <f t="shared" ca="1" si="35"/>
        <v>0.7833395624560735</v>
      </c>
      <c r="T42" s="553">
        <f t="shared" ca="1" si="35"/>
        <v>0.84696540182613689</v>
      </c>
      <c r="U42" s="488">
        <f t="shared" ca="1" si="35"/>
        <v>1</v>
      </c>
      <c r="V42" s="553">
        <f t="shared" ca="1" si="35"/>
        <v>0.9332403241761259</v>
      </c>
      <c r="W42" s="553">
        <f t="shared" ca="1" si="35"/>
        <v>0.9332403241761259</v>
      </c>
      <c r="X42" s="553">
        <f t="shared" ca="1" si="35"/>
        <v>0.9332403241761259</v>
      </c>
      <c r="Y42" s="553">
        <f t="shared" ca="1" si="35"/>
        <v>0.99935776382248331</v>
      </c>
      <c r="Z42" s="553">
        <f t="shared" ca="1" si="35"/>
        <v>1.0043326109144537</v>
      </c>
      <c r="AA42" s="488">
        <f t="shared" ca="1" si="35"/>
        <v>1</v>
      </c>
      <c r="AB42" s="553">
        <f t="shared" ca="1" si="35"/>
        <v>0.56063045210822926</v>
      </c>
      <c r="AC42" s="553">
        <f t="shared" ca="1" si="35"/>
        <v>0.56063045210822926</v>
      </c>
      <c r="AD42" s="553">
        <f t="shared" ca="1" si="35"/>
        <v>0.56063045210822926</v>
      </c>
      <c r="AE42" s="553">
        <f t="shared" ca="1" si="35"/>
        <v>0.84656058750827645</v>
      </c>
      <c r="AF42" s="553">
        <f t="shared" ca="1" si="35"/>
        <v>0.97763199521811428</v>
      </c>
      <c r="AG42" s="488">
        <f t="shared" ca="1" si="35"/>
        <v>1</v>
      </c>
      <c r="AH42" s="553">
        <f t="shared" ca="1" si="35"/>
        <v>1</v>
      </c>
      <c r="AI42" s="553">
        <f t="shared" ca="1" si="35"/>
        <v>1</v>
      </c>
      <c r="AJ42" s="553">
        <f t="shared" ca="1" si="35"/>
        <v>1</v>
      </c>
      <c r="AK42" s="553">
        <f t="shared" ca="1" si="35"/>
        <v>1</v>
      </c>
      <c r="AL42" s="553">
        <f t="shared" ca="1" si="35"/>
        <v>1</v>
      </c>
      <c r="AM42" s="488">
        <f t="shared" ca="1" si="35"/>
        <v>1</v>
      </c>
      <c r="AN42" s="553">
        <f t="shared" ca="1" si="35"/>
        <v>0.35115155208263737</v>
      </c>
      <c r="AO42" s="553">
        <f t="shared" ca="1" si="35"/>
        <v>0.35115155208263737</v>
      </c>
      <c r="AP42" s="553">
        <f t="shared" ca="1" si="35"/>
        <v>0.35115155208263737</v>
      </c>
      <c r="AQ42" s="553">
        <f t="shared" ca="1" si="35"/>
        <v>0.64220154384380601</v>
      </c>
      <c r="AR42" s="553">
        <f t="shared" ca="1" si="35"/>
        <v>0.80344007592948807</v>
      </c>
      <c r="AS42" s="488">
        <f t="shared" ca="1" si="35"/>
        <v>1</v>
      </c>
      <c r="AT42" s="553">
        <f t="shared" ca="1" si="35"/>
        <v>0.61076111590202009</v>
      </c>
      <c r="AU42" s="553">
        <f t="shared" ca="1" si="35"/>
        <v>0.61076111590202009</v>
      </c>
      <c r="AV42" s="553">
        <f t="shared" ca="1" si="35"/>
        <v>0.61076111590202009</v>
      </c>
      <c r="AW42" s="553">
        <f t="shared" ca="1" si="35"/>
        <v>0.97847688186477999</v>
      </c>
      <c r="AX42" s="435">
        <f t="shared" ca="1" si="35"/>
        <v>1.0411671063039913</v>
      </c>
      <c r="AY42" s="265"/>
      <c r="AZ42" s="1"/>
      <c r="BA42" s="1"/>
      <c r="BB42" s="265"/>
      <c r="BG42" s="209"/>
      <c r="BH42" s="265"/>
    </row>
    <row r="43" spans="2:60" outlineLevel="1" x14ac:dyDescent="0.25">
      <c r="B43" s="1363"/>
      <c r="D43" s="1352"/>
      <c r="F43" s="237" t="str">
        <f t="shared" si="23"/>
        <v>W_[HM]_Rye</v>
      </c>
      <c r="G43" s="609" t="s">
        <v>99</v>
      </c>
      <c r="I43" s="488">
        <f t="shared" ref="I43:AX43" ca="1" si="36">IFERROR(I248/INDEX(OFFSET($I$235,0,MATCH(I$8,$I$8:$AY$8,0)-1,COUNTA($G$30:$G$50),1),MATCH($G43,$G$235:$G$255,0),1),1)</f>
        <v>1</v>
      </c>
      <c r="J43" s="553">
        <f t="shared" ca="1" si="36"/>
        <v>0.40307557262845056</v>
      </c>
      <c r="K43" s="553">
        <f t="shared" ca="1" si="36"/>
        <v>0.40307557262845056</v>
      </c>
      <c r="L43" s="553">
        <f t="shared" ca="1" si="36"/>
        <v>0.40307557262845056</v>
      </c>
      <c r="M43" s="553">
        <f t="shared" ca="1" si="36"/>
        <v>0.63803307951926336</v>
      </c>
      <c r="N43" s="553">
        <f t="shared" ca="1" si="36"/>
        <v>0.76653662321934768</v>
      </c>
      <c r="O43" s="488">
        <f t="shared" ca="1" si="36"/>
        <v>1</v>
      </c>
      <c r="P43" s="553">
        <f t="shared" ca="1" si="36"/>
        <v>0.64456116892033644</v>
      </c>
      <c r="Q43" s="553">
        <f t="shared" ca="1" si="36"/>
        <v>0.64456116892033644</v>
      </c>
      <c r="R43" s="553">
        <f t="shared" ca="1" si="36"/>
        <v>0.64456116892033644</v>
      </c>
      <c r="S43" s="553">
        <f t="shared" ca="1" si="36"/>
        <v>0.8183978972565189</v>
      </c>
      <c r="T43" s="553">
        <f t="shared" ca="1" si="36"/>
        <v>0.88306563029514018</v>
      </c>
      <c r="U43" s="488">
        <f t="shared" ca="1" si="36"/>
        <v>1</v>
      </c>
      <c r="V43" s="553">
        <f t="shared" ca="1" si="36"/>
        <v>0.93490282084564691</v>
      </c>
      <c r="W43" s="553">
        <f t="shared" ca="1" si="36"/>
        <v>0.93490282084564691</v>
      </c>
      <c r="X43" s="553">
        <f t="shared" ca="1" si="36"/>
        <v>0.93490282084564691</v>
      </c>
      <c r="Y43" s="553">
        <f t="shared" ca="1" si="36"/>
        <v>0.99963461287569699</v>
      </c>
      <c r="Z43" s="553">
        <f t="shared" ca="1" si="36"/>
        <v>1.0045843465555639</v>
      </c>
      <c r="AA43" s="488">
        <f t="shared" ca="1" si="36"/>
        <v>1</v>
      </c>
      <c r="AB43" s="553">
        <f t="shared" ca="1" si="36"/>
        <v>0.60846894222666403</v>
      </c>
      <c r="AC43" s="553">
        <f t="shared" ca="1" si="36"/>
        <v>0.60846894222666403</v>
      </c>
      <c r="AD43" s="553">
        <f t="shared" ca="1" si="36"/>
        <v>0.60846894222666403</v>
      </c>
      <c r="AE43" s="553">
        <f t="shared" ca="1" si="36"/>
        <v>0.89841016727481415</v>
      </c>
      <c r="AF43" s="553">
        <f t="shared" ca="1" si="36"/>
        <v>1.0323841742794266</v>
      </c>
      <c r="AG43" s="488">
        <f t="shared" ca="1" si="36"/>
        <v>1</v>
      </c>
      <c r="AH43" s="553">
        <f t="shared" ca="1" si="36"/>
        <v>1</v>
      </c>
      <c r="AI43" s="553">
        <f t="shared" ca="1" si="36"/>
        <v>1</v>
      </c>
      <c r="AJ43" s="553">
        <f t="shared" ca="1" si="36"/>
        <v>1</v>
      </c>
      <c r="AK43" s="553">
        <f t="shared" ca="1" si="36"/>
        <v>1</v>
      </c>
      <c r="AL43" s="553">
        <f t="shared" ca="1" si="36"/>
        <v>1</v>
      </c>
      <c r="AM43" s="488">
        <f t="shared" ca="1" si="36"/>
        <v>1</v>
      </c>
      <c r="AN43" s="553">
        <f t="shared" ca="1" si="36"/>
        <v>0.40083934808964899</v>
      </c>
      <c r="AO43" s="553">
        <f t="shared" ca="1" si="36"/>
        <v>0.40083934808964899</v>
      </c>
      <c r="AP43" s="553">
        <f t="shared" ca="1" si="36"/>
        <v>0.40083934808964899</v>
      </c>
      <c r="AQ43" s="553">
        <f t="shared" ca="1" si="36"/>
        <v>0.72832917489122906</v>
      </c>
      <c r="AR43" s="553">
        <f t="shared" ca="1" si="36"/>
        <v>0.90988169059530155</v>
      </c>
      <c r="AS43" s="488">
        <f t="shared" ca="1" si="36"/>
        <v>1</v>
      </c>
      <c r="AT43" s="553">
        <f t="shared" ca="1" si="36"/>
        <v>0.6299354860136176</v>
      </c>
      <c r="AU43" s="553">
        <f t="shared" ca="1" si="36"/>
        <v>0.6299354860136176</v>
      </c>
      <c r="AV43" s="553">
        <f t="shared" ca="1" si="36"/>
        <v>0.6299354860136176</v>
      </c>
      <c r="AW43" s="553">
        <f t="shared" ca="1" si="36"/>
        <v>0.98701762588521003</v>
      </c>
      <c r="AX43" s="435">
        <f t="shared" ca="1" si="36"/>
        <v>1.0491291848450617</v>
      </c>
      <c r="AY43" s="265"/>
      <c r="AZ43" s="1"/>
      <c r="BA43" s="1"/>
      <c r="BB43" s="265"/>
      <c r="BG43" s="209"/>
      <c r="BH43" s="265"/>
    </row>
    <row r="44" spans="2:60" outlineLevel="1" x14ac:dyDescent="0.25">
      <c r="B44" s="1363"/>
      <c r="D44" s="1352"/>
      <c r="F44" s="237" t="str">
        <f t="shared" si="23"/>
        <v>W_[HM]_Soybeans</v>
      </c>
      <c r="G44" s="609" t="s">
        <v>106</v>
      </c>
      <c r="I44" s="488">
        <f t="shared" ref="I44:AX44" ca="1" si="37">IFERROR(I249/INDEX(OFFSET($I$235,0,MATCH(I$8,$I$8:$AY$8,0)-1,COUNTA($G$30:$G$50),1),MATCH($G44,$G$235:$G$255,0),1),1)</f>
        <v>1</v>
      </c>
      <c r="J44" s="553">
        <f t="shared" ca="1" si="37"/>
        <v>0.41933318059670455</v>
      </c>
      <c r="K44" s="553">
        <f t="shared" ca="1" si="37"/>
        <v>0.41933318059670455</v>
      </c>
      <c r="L44" s="553">
        <f t="shared" ca="1" si="37"/>
        <v>0.41933318059670455</v>
      </c>
      <c r="M44" s="553">
        <f t="shared" ca="1" si="37"/>
        <v>0.66059389002486069</v>
      </c>
      <c r="N44" s="553">
        <f t="shared" ca="1" si="37"/>
        <v>0.79270376247474017</v>
      </c>
      <c r="O44" s="488">
        <f t="shared" ca="1" si="37"/>
        <v>1</v>
      </c>
      <c r="P44" s="553">
        <f t="shared" ca="1" si="37"/>
        <v>0.64371842764453535</v>
      </c>
      <c r="Q44" s="553">
        <f t="shared" ca="1" si="37"/>
        <v>0.64371842764453535</v>
      </c>
      <c r="R44" s="553">
        <f t="shared" ca="1" si="37"/>
        <v>0.64371842764453535</v>
      </c>
      <c r="S44" s="553">
        <f t="shared" ca="1" si="37"/>
        <v>0.82555933753362787</v>
      </c>
      <c r="T44" s="553">
        <f t="shared" ca="1" si="37"/>
        <v>0.89256975876129185</v>
      </c>
      <c r="U44" s="488">
        <f t="shared" ca="1" si="37"/>
        <v>1</v>
      </c>
      <c r="V44" s="553">
        <f t="shared" ca="1" si="37"/>
        <v>0.93523445832225105</v>
      </c>
      <c r="W44" s="553">
        <f t="shared" ca="1" si="37"/>
        <v>0.93523445832225105</v>
      </c>
      <c r="X44" s="553">
        <f t="shared" ca="1" si="37"/>
        <v>0.93523445832225105</v>
      </c>
      <c r="Y44" s="553">
        <f t="shared" ca="1" si="37"/>
        <v>0.99972936891570052</v>
      </c>
      <c r="Z44" s="553">
        <f t="shared" ca="1" si="37"/>
        <v>1.004674906790054</v>
      </c>
      <c r="AA44" s="488">
        <f t="shared" ca="1" si="37"/>
        <v>1</v>
      </c>
      <c r="AB44" s="553">
        <f t="shared" ca="1" si="37"/>
        <v>0.6146335632141201</v>
      </c>
      <c r="AC44" s="553">
        <f t="shared" ca="1" si="37"/>
        <v>0.6146335632141201</v>
      </c>
      <c r="AD44" s="553">
        <f t="shared" ca="1" si="37"/>
        <v>0.6146335632141201</v>
      </c>
      <c r="AE44" s="553">
        <f t="shared" ca="1" si="37"/>
        <v>0.92432101401682853</v>
      </c>
      <c r="AF44" s="553">
        <f t="shared" ca="1" si="37"/>
        <v>1.0664841216159755</v>
      </c>
      <c r="AG44" s="488">
        <f t="shared" ca="1" si="37"/>
        <v>1</v>
      </c>
      <c r="AH44" s="553">
        <f t="shared" ca="1" si="37"/>
        <v>1</v>
      </c>
      <c r="AI44" s="553">
        <f t="shared" ca="1" si="37"/>
        <v>1</v>
      </c>
      <c r="AJ44" s="553">
        <f t="shared" ca="1" si="37"/>
        <v>1</v>
      </c>
      <c r="AK44" s="553">
        <f t="shared" ca="1" si="37"/>
        <v>1</v>
      </c>
      <c r="AL44" s="553">
        <f t="shared" ca="1" si="37"/>
        <v>1</v>
      </c>
      <c r="AM44" s="488">
        <f t="shared" ca="1" si="37"/>
        <v>1</v>
      </c>
      <c r="AN44" s="553">
        <f t="shared" ca="1" si="37"/>
        <v>0.4455733168646796</v>
      </c>
      <c r="AO44" s="553">
        <f t="shared" ca="1" si="37"/>
        <v>0.4455733168646796</v>
      </c>
      <c r="AP44" s="553">
        <f t="shared" ca="1" si="37"/>
        <v>0.4455733168646796</v>
      </c>
      <c r="AQ44" s="553">
        <f t="shared" ca="1" si="37"/>
        <v>0.80991381293317533</v>
      </c>
      <c r="AR44" s="553">
        <f t="shared" ca="1" si="37"/>
        <v>1.0118872834059021</v>
      </c>
      <c r="AS44" s="488">
        <f t="shared" ca="1" si="37"/>
        <v>1</v>
      </c>
      <c r="AT44" s="553">
        <f t="shared" ca="1" si="37"/>
        <v>0.62369644834895632</v>
      </c>
      <c r="AU44" s="553">
        <f t="shared" ca="1" si="37"/>
        <v>0.62369644834895632</v>
      </c>
      <c r="AV44" s="553">
        <f t="shared" ca="1" si="37"/>
        <v>0.62369644834895632</v>
      </c>
      <c r="AW44" s="553">
        <f t="shared" ca="1" si="37"/>
        <v>0.99000784398001518</v>
      </c>
      <c r="AX44" s="435">
        <f t="shared" ca="1" si="37"/>
        <v>1.0529746384136764</v>
      </c>
      <c r="AY44" s="265"/>
      <c r="AZ44" s="1"/>
      <c r="BA44" s="1"/>
      <c r="BB44" s="265"/>
      <c r="BG44" s="209"/>
      <c r="BH44" s="265"/>
    </row>
    <row r="45" spans="2:60" outlineLevel="1" x14ac:dyDescent="0.25">
      <c r="B45" s="1363"/>
      <c r="D45" s="1352"/>
      <c r="F45" s="237" t="str">
        <f t="shared" si="23"/>
        <v>W_[HM]_Sugar beet</v>
      </c>
      <c r="G45" s="609" t="s">
        <v>112</v>
      </c>
      <c r="I45" s="488">
        <f t="shared" ref="I45:AX45" ca="1" si="38">IFERROR(I250/INDEX(OFFSET($I$235,0,MATCH(I$8,$I$8:$AY$8,0)-1,COUNTA($G$30:$G$50),1),MATCH($G45,$G$235:$G$255,0),1),1)</f>
        <v>1</v>
      </c>
      <c r="J45" s="553">
        <f t="shared" ca="1" si="38"/>
        <v>0.34915905389015733</v>
      </c>
      <c r="K45" s="553">
        <f t="shared" ca="1" si="38"/>
        <v>0.34915905389015733</v>
      </c>
      <c r="L45" s="553">
        <f t="shared" ca="1" si="38"/>
        <v>0.34915905389015733</v>
      </c>
      <c r="M45" s="553">
        <f t="shared" ca="1" si="38"/>
        <v>0.55493379274219767</v>
      </c>
      <c r="N45" s="553">
        <f t="shared" ca="1" si="38"/>
        <v>0.66736331661369086</v>
      </c>
      <c r="O45" s="488">
        <f t="shared" ca="1" si="38"/>
        <v>1</v>
      </c>
      <c r="P45" s="553">
        <f t="shared" ca="1" si="38"/>
        <v>0.59761154266059879</v>
      </c>
      <c r="Q45" s="553">
        <f t="shared" ca="1" si="38"/>
        <v>0.59761154266059879</v>
      </c>
      <c r="R45" s="553">
        <f t="shared" ca="1" si="38"/>
        <v>0.59761154266059879</v>
      </c>
      <c r="S45" s="553">
        <f t="shared" ca="1" si="38"/>
        <v>0.76786378743957429</v>
      </c>
      <c r="T45" s="553">
        <f t="shared" ca="1" si="38"/>
        <v>0.83049554095713263</v>
      </c>
      <c r="U45" s="488">
        <f t="shared" ca="1" si="38"/>
        <v>1</v>
      </c>
      <c r="V45" s="553">
        <f t="shared" ca="1" si="38"/>
        <v>0.93292568800581699</v>
      </c>
      <c r="W45" s="553">
        <f t="shared" ca="1" si="38"/>
        <v>0.93292568800581699</v>
      </c>
      <c r="X45" s="553">
        <f t="shared" ca="1" si="38"/>
        <v>0.93292568800581699</v>
      </c>
      <c r="Y45" s="553">
        <f t="shared" ca="1" si="38"/>
        <v>0.99923665347889323</v>
      </c>
      <c r="Z45" s="553">
        <f t="shared" ca="1" si="38"/>
        <v>1.0042146375462986</v>
      </c>
      <c r="AA45" s="488">
        <f t="shared" ca="1" si="38"/>
        <v>1</v>
      </c>
      <c r="AB45" s="553">
        <f t="shared" ca="1" si="38"/>
        <v>0.55028931146646043</v>
      </c>
      <c r="AC45" s="553">
        <f t="shared" ca="1" si="38"/>
        <v>0.55028931146646043</v>
      </c>
      <c r="AD45" s="553">
        <f t="shared" ca="1" si="38"/>
        <v>0.55028931146646043</v>
      </c>
      <c r="AE45" s="553">
        <f t="shared" ca="1" si="38"/>
        <v>0.83394121400932708</v>
      </c>
      <c r="AF45" s="553">
        <f t="shared" ca="1" si="38"/>
        <v>0.96380777530290351</v>
      </c>
      <c r="AG45" s="488">
        <f t="shared" ca="1" si="38"/>
        <v>1</v>
      </c>
      <c r="AH45" s="553">
        <f t="shared" ca="1" si="38"/>
        <v>1</v>
      </c>
      <c r="AI45" s="553">
        <f t="shared" ca="1" si="38"/>
        <v>1</v>
      </c>
      <c r="AJ45" s="553">
        <f t="shared" ca="1" si="38"/>
        <v>1</v>
      </c>
      <c r="AK45" s="553">
        <f t="shared" ca="1" si="38"/>
        <v>1</v>
      </c>
      <c r="AL45" s="553">
        <f t="shared" ca="1" si="38"/>
        <v>1</v>
      </c>
      <c r="AM45" s="488">
        <f t="shared" ca="1" si="38"/>
        <v>1</v>
      </c>
      <c r="AN45" s="553">
        <f t="shared" ca="1" si="38"/>
        <v>0.35377377530767479</v>
      </c>
      <c r="AO45" s="553">
        <f t="shared" ca="1" si="38"/>
        <v>0.35377377530767479</v>
      </c>
      <c r="AP45" s="553">
        <f t="shared" ca="1" si="38"/>
        <v>0.35377377530767479</v>
      </c>
      <c r="AQ45" s="553">
        <f t="shared" ca="1" si="38"/>
        <v>0.64755260984022278</v>
      </c>
      <c r="AR45" s="553">
        <f t="shared" ca="1" si="38"/>
        <v>0.81028799906553117</v>
      </c>
      <c r="AS45" s="488">
        <f t="shared" ca="1" si="38"/>
        <v>1</v>
      </c>
      <c r="AT45" s="553">
        <f t="shared" ca="1" si="38"/>
        <v>0.60570611694858312</v>
      </c>
      <c r="AU45" s="553">
        <f t="shared" ca="1" si="38"/>
        <v>0.60570611694858312</v>
      </c>
      <c r="AV45" s="553">
        <f t="shared" ca="1" si="38"/>
        <v>0.60570611694858312</v>
      </c>
      <c r="AW45" s="553">
        <f t="shared" ca="1" si="38"/>
        <v>0.97410483558439465</v>
      </c>
      <c r="AX45" s="435">
        <f t="shared" ca="1" si="38"/>
        <v>1.0367005685593571</v>
      </c>
      <c r="AY45" s="265"/>
      <c r="AZ45" s="1"/>
      <c r="BA45" s="1"/>
      <c r="BB45" s="265"/>
      <c r="BC45" s="1"/>
      <c r="BD45" s="1"/>
      <c r="BE45" s="1"/>
      <c r="BF45" s="1"/>
      <c r="BG45" s="209"/>
      <c r="BH45" s="265"/>
    </row>
    <row r="46" spans="2:60" outlineLevel="1" x14ac:dyDescent="0.25">
      <c r="B46" s="1363"/>
      <c r="D46" s="1352"/>
      <c r="F46" s="237" t="str">
        <f t="shared" si="23"/>
        <v>W_[HM]_Sunflower seed</v>
      </c>
      <c r="G46" s="609" t="s">
        <v>110</v>
      </c>
      <c r="I46" s="488">
        <f t="shared" ref="I46:AX46" ca="1" si="39">IFERROR(I251/INDEX(OFFSET($I$235,0,MATCH(I$8,$I$8:$AY$8,0)-1,COUNTA($G$30:$G$50),1),MATCH($G46,$G$235:$G$255,0),1),1)</f>
        <v>1</v>
      </c>
      <c r="J46" s="553">
        <f t="shared" ca="1" si="39"/>
        <v>0.41629033911881924</v>
      </c>
      <c r="K46" s="553">
        <f t="shared" ca="1" si="39"/>
        <v>0.41629033911881924</v>
      </c>
      <c r="L46" s="553">
        <f t="shared" ca="1" si="39"/>
        <v>0.41629033911881924</v>
      </c>
      <c r="M46" s="553">
        <f t="shared" ca="1" si="39"/>
        <v>0.65909253195127404</v>
      </c>
      <c r="N46" s="553">
        <f t="shared" ca="1" si="39"/>
        <v>0.79187938662088508</v>
      </c>
      <c r="O46" s="488">
        <f t="shared" ca="1" si="39"/>
        <v>1</v>
      </c>
      <c r="P46" s="553">
        <f t="shared" ca="1" si="39"/>
        <v>0.6427694548596935</v>
      </c>
      <c r="Q46" s="553">
        <f t="shared" ca="1" si="39"/>
        <v>0.6427694548596935</v>
      </c>
      <c r="R46" s="553">
        <f t="shared" ca="1" si="39"/>
        <v>0.6427694548596935</v>
      </c>
      <c r="S46" s="553">
        <f t="shared" ca="1" si="39"/>
        <v>0.82522021284913327</v>
      </c>
      <c r="T46" s="553">
        <f t="shared" ca="1" si="39"/>
        <v>0.89238936260021895</v>
      </c>
      <c r="U46" s="488">
        <f t="shared" ca="1" si="39"/>
        <v>1</v>
      </c>
      <c r="V46" s="553">
        <f t="shared" ca="1" si="39"/>
        <v>0.93419446233955827</v>
      </c>
      <c r="W46" s="553">
        <f t="shared" ca="1" si="39"/>
        <v>0.93419446233955827</v>
      </c>
      <c r="X46" s="553">
        <f t="shared" ca="1" si="39"/>
        <v>0.93419446233955827</v>
      </c>
      <c r="Y46" s="553">
        <f t="shared" ca="1" si="39"/>
        <v>0.99972806896944422</v>
      </c>
      <c r="Z46" s="553">
        <f t="shared" ca="1" si="39"/>
        <v>1.0046933757912802</v>
      </c>
      <c r="AA46" s="488">
        <f t="shared" ca="1" si="39"/>
        <v>1</v>
      </c>
      <c r="AB46" s="553">
        <f t="shared" ca="1" si="39"/>
        <v>0.61163516375652405</v>
      </c>
      <c r="AC46" s="553">
        <f t="shared" ca="1" si="39"/>
        <v>0.61163516375652405</v>
      </c>
      <c r="AD46" s="553">
        <f t="shared" ca="1" si="39"/>
        <v>0.61163516375652405</v>
      </c>
      <c r="AE46" s="553">
        <f t="shared" ca="1" si="39"/>
        <v>0.92381074547189679</v>
      </c>
      <c r="AF46" s="553">
        <f t="shared" ca="1" si="39"/>
        <v>1.0669007582768868</v>
      </c>
      <c r="AG46" s="488">
        <f t="shared" ca="1" si="39"/>
        <v>1</v>
      </c>
      <c r="AH46" s="553">
        <f t="shared" ca="1" si="39"/>
        <v>1</v>
      </c>
      <c r="AI46" s="553">
        <f t="shared" ca="1" si="39"/>
        <v>1</v>
      </c>
      <c r="AJ46" s="553">
        <f t="shared" ca="1" si="39"/>
        <v>1</v>
      </c>
      <c r="AK46" s="553">
        <f t="shared" ca="1" si="39"/>
        <v>1</v>
      </c>
      <c r="AL46" s="553">
        <f t="shared" ca="1" si="39"/>
        <v>1</v>
      </c>
      <c r="AM46" s="488">
        <f t="shared" ca="1" si="39"/>
        <v>1</v>
      </c>
      <c r="AN46" s="553">
        <f t="shared" ca="1" si="39"/>
        <v>0.44344697589931198</v>
      </c>
      <c r="AO46" s="553">
        <f t="shared" ca="1" si="39"/>
        <v>0.44344697589931198</v>
      </c>
      <c r="AP46" s="553">
        <f t="shared" ca="1" si="39"/>
        <v>0.44344697589931198</v>
      </c>
      <c r="AQ46" s="553">
        <f t="shared" ca="1" si="39"/>
        <v>0.8092370154179046</v>
      </c>
      <c r="AR46" s="553">
        <f t="shared" ca="1" si="39"/>
        <v>1.0119277981740502</v>
      </c>
      <c r="AS46" s="488">
        <f t="shared" ca="1" si="39"/>
        <v>1</v>
      </c>
      <c r="AT46" s="553">
        <f t="shared" ca="1" si="39"/>
        <v>0.61908647189237864</v>
      </c>
      <c r="AU46" s="553">
        <f t="shared" ca="1" si="39"/>
        <v>0.61908647189237864</v>
      </c>
      <c r="AV46" s="553">
        <f t="shared" ca="1" si="39"/>
        <v>0.61908647189237864</v>
      </c>
      <c r="AW46" s="553">
        <f t="shared" ca="1" si="39"/>
        <v>0.98994191550562549</v>
      </c>
      <c r="AX46" s="435">
        <f t="shared" ca="1" si="39"/>
        <v>1.053273029493762</v>
      </c>
      <c r="AY46" s="265"/>
      <c r="AZ46" s="1"/>
      <c r="BA46" s="1"/>
      <c r="BB46" s="265"/>
      <c r="BC46" s="1"/>
      <c r="BD46" s="1"/>
      <c r="BE46" s="1"/>
      <c r="BF46" s="1"/>
      <c r="BG46" s="209"/>
      <c r="BH46" s="265"/>
    </row>
    <row r="47" spans="2:60" outlineLevel="1" x14ac:dyDescent="0.25">
      <c r="B47" s="1363"/>
      <c r="D47" s="1352"/>
      <c r="F47" s="237" t="str">
        <f t="shared" si="23"/>
        <v>W_[HM]_Triticale</v>
      </c>
      <c r="G47" s="609" t="s">
        <v>100</v>
      </c>
      <c r="I47" s="488">
        <f t="shared" ref="I47:AX47" ca="1" si="40">IFERROR(I252/INDEX(OFFSET($I$235,0,MATCH(I$8,$I$8:$AY$8,0)-1,COUNTA($G$30:$G$50),1),MATCH($G47,$G$235:$G$255,0),1),1)</f>
        <v>1</v>
      </c>
      <c r="J47" s="553">
        <f t="shared" ca="1" si="40"/>
        <v>0.40237094729049844</v>
      </c>
      <c r="K47" s="553">
        <f t="shared" ca="1" si="40"/>
        <v>0.40237094729049844</v>
      </c>
      <c r="L47" s="553">
        <f t="shared" ca="1" si="40"/>
        <v>0.40237094729049844</v>
      </c>
      <c r="M47" s="553">
        <f t="shared" ca="1" si="40"/>
        <v>0.6376752218137961</v>
      </c>
      <c r="N47" s="553">
        <f t="shared" ca="1" si="40"/>
        <v>0.76633029051427093</v>
      </c>
      <c r="O47" s="488">
        <f t="shared" ca="1" si="40"/>
        <v>1</v>
      </c>
      <c r="P47" s="553">
        <f t="shared" ca="1" si="40"/>
        <v>0.65211436755412755</v>
      </c>
      <c r="Q47" s="553">
        <f t="shared" ca="1" si="40"/>
        <v>0.65211436755412755</v>
      </c>
      <c r="R47" s="553">
        <f t="shared" ca="1" si="40"/>
        <v>0.65211436755412755</v>
      </c>
      <c r="S47" s="553">
        <f t="shared" ca="1" si="40"/>
        <v>0.82122136730940287</v>
      </c>
      <c r="T47" s="553">
        <f t="shared" ca="1" si="40"/>
        <v>0.88463361673135577</v>
      </c>
      <c r="U47" s="488">
        <f t="shared" ca="1" si="40"/>
        <v>1</v>
      </c>
      <c r="V47" s="553">
        <f t="shared" ca="1" si="40"/>
        <v>0.93501341690752837</v>
      </c>
      <c r="W47" s="553">
        <f t="shared" ca="1" si="40"/>
        <v>0.93501341690752837</v>
      </c>
      <c r="X47" s="553">
        <f t="shared" ca="1" si="40"/>
        <v>0.93501341690752837</v>
      </c>
      <c r="Y47" s="553">
        <f t="shared" ca="1" si="40"/>
        <v>0.99963479982449421</v>
      </c>
      <c r="Z47" s="553">
        <f t="shared" ca="1" si="40"/>
        <v>1.0045824177239058</v>
      </c>
      <c r="AA47" s="488">
        <f t="shared" ca="1" si="40"/>
        <v>1</v>
      </c>
      <c r="AB47" s="553">
        <f t="shared" ca="1" si="40"/>
        <v>0.60324548505053732</v>
      </c>
      <c r="AC47" s="553">
        <f t="shared" ca="1" si="40"/>
        <v>0.60324548505053732</v>
      </c>
      <c r="AD47" s="553">
        <f t="shared" ca="1" si="40"/>
        <v>0.60324548505053732</v>
      </c>
      <c r="AE47" s="553">
        <f t="shared" ca="1" si="40"/>
        <v>0.89724161655781209</v>
      </c>
      <c r="AF47" s="553">
        <f t="shared" ca="1" si="40"/>
        <v>1.0327292399049586</v>
      </c>
      <c r="AG47" s="488">
        <f t="shared" ca="1" si="40"/>
        <v>1</v>
      </c>
      <c r="AH47" s="553">
        <f t="shared" ca="1" si="40"/>
        <v>1</v>
      </c>
      <c r="AI47" s="553">
        <f t="shared" ca="1" si="40"/>
        <v>1</v>
      </c>
      <c r="AJ47" s="553">
        <f t="shared" ca="1" si="40"/>
        <v>1</v>
      </c>
      <c r="AK47" s="553">
        <f t="shared" ca="1" si="40"/>
        <v>1</v>
      </c>
      <c r="AL47" s="553">
        <f t="shared" ca="1" si="40"/>
        <v>1</v>
      </c>
      <c r="AM47" s="488">
        <f t="shared" ca="1" si="40"/>
        <v>1</v>
      </c>
      <c r="AN47" s="553">
        <f t="shared" ca="1" si="40"/>
        <v>0.3982944466891466</v>
      </c>
      <c r="AO47" s="553">
        <f t="shared" ca="1" si="40"/>
        <v>0.3982944466891466</v>
      </c>
      <c r="AP47" s="553">
        <f t="shared" ca="1" si="40"/>
        <v>0.3982944466891466</v>
      </c>
      <c r="AQ47" s="553">
        <f t="shared" ca="1" si="40"/>
        <v>0.72726813761584841</v>
      </c>
      <c r="AR47" s="553">
        <f t="shared" ca="1" si="40"/>
        <v>0.90954679398489402</v>
      </c>
      <c r="AS47" s="488">
        <f t="shared" ca="1" si="40"/>
        <v>1</v>
      </c>
      <c r="AT47" s="553">
        <f t="shared" ca="1" si="40"/>
        <v>0.62732369266850474</v>
      </c>
      <c r="AU47" s="553">
        <f t="shared" ca="1" si="40"/>
        <v>0.62732369266850474</v>
      </c>
      <c r="AV47" s="553">
        <f t="shared" ca="1" si="40"/>
        <v>0.62732369266850474</v>
      </c>
      <c r="AW47" s="553">
        <f t="shared" ca="1" si="40"/>
        <v>0.98696806807141191</v>
      </c>
      <c r="AX47" s="435">
        <f t="shared" ca="1" si="40"/>
        <v>1.0492891401053357</v>
      </c>
      <c r="AY47" s="265"/>
      <c r="AZ47" s="1"/>
      <c r="BA47" s="1"/>
      <c r="BB47" s="265"/>
      <c r="BG47" s="209"/>
      <c r="BH47" s="265"/>
    </row>
    <row r="48" spans="2:60" outlineLevel="1" x14ac:dyDescent="0.25">
      <c r="B48" s="1363"/>
      <c r="D48" s="1352"/>
      <c r="F48" s="237" t="str">
        <f t="shared" si="23"/>
        <v>W_[HM]_Wheat</v>
      </c>
      <c r="G48" s="610" t="s">
        <v>101</v>
      </c>
      <c r="I48" s="488">
        <f t="shared" ref="I48:AX48" ca="1" si="41">IFERROR(I253/INDEX(OFFSET($I$235,0,MATCH(I$8,$I$8:$AY$8,0)-1,COUNTA($G$30:$G$50),1),MATCH($G48,$G$235:$G$255,0),1),1)</f>
        <v>1</v>
      </c>
      <c r="J48" s="553">
        <f t="shared" ca="1" si="41"/>
        <v>0.38307488248923616</v>
      </c>
      <c r="K48" s="553">
        <f t="shared" ca="1" si="41"/>
        <v>0.38307488248923616</v>
      </c>
      <c r="L48" s="553">
        <f t="shared" ca="1" si="41"/>
        <v>0.38307488248923616</v>
      </c>
      <c r="M48" s="553">
        <f t="shared" ca="1" si="41"/>
        <v>0.60723942617356719</v>
      </c>
      <c r="N48" s="553">
        <f t="shared" ca="1" si="41"/>
        <v>0.72979647214065657</v>
      </c>
      <c r="O48" s="488">
        <f t="shared" ca="1" si="41"/>
        <v>1</v>
      </c>
      <c r="P48" s="553">
        <f t="shared" ca="1" si="41"/>
        <v>0.63758935120927518</v>
      </c>
      <c r="Q48" s="553">
        <f t="shared" ca="1" si="41"/>
        <v>0.63758935120927518</v>
      </c>
      <c r="R48" s="553">
        <f t="shared" ca="1" si="41"/>
        <v>0.63758935120927518</v>
      </c>
      <c r="S48" s="553">
        <f t="shared" ca="1" si="41"/>
        <v>0.80418119414907141</v>
      </c>
      <c r="T48" s="553">
        <f t="shared" ca="1" si="41"/>
        <v>0.86655461525565536</v>
      </c>
      <c r="U48" s="488">
        <f t="shared" ca="1" si="41"/>
        <v>1</v>
      </c>
      <c r="V48" s="553">
        <f t="shared" ca="1" si="41"/>
        <v>0.93455004579705447</v>
      </c>
      <c r="W48" s="553">
        <f t="shared" ca="1" si="41"/>
        <v>0.93455004579705447</v>
      </c>
      <c r="X48" s="553">
        <f t="shared" ca="1" si="41"/>
        <v>0.93455004579705447</v>
      </c>
      <c r="Y48" s="553">
        <f t="shared" ca="1" si="41"/>
        <v>0.99949897419340727</v>
      </c>
      <c r="Z48" s="553">
        <f t="shared" ca="1" si="41"/>
        <v>1.0044523517351727</v>
      </c>
      <c r="AA48" s="488">
        <f t="shared" ca="1" si="41"/>
        <v>1</v>
      </c>
      <c r="AB48" s="553">
        <f t="shared" ca="1" si="41"/>
        <v>0.58265134985967204</v>
      </c>
      <c r="AC48" s="553">
        <f t="shared" ca="1" si="41"/>
        <v>0.58265134985967204</v>
      </c>
      <c r="AD48" s="553">
        <f t="shared" ca="1" si="41"/>
        <v>0.58265134985967204</v>
      </c>
      <c r="AE48" s="553">
        <f t="shared" ca="1" si="41"/>
        <v>0.8679018566967035</v>
      </c>
      <c r="AF48" s="553">
        <f t="shared" ca="1" si="41"/>
        <v>0.99928898373034647</v>
      </c>
      <c r="AG48" s="488">
        <f t="shared" ca="1" si="41"/>
        <v>1</v>
      </c>
      <c r="AH48" s="553">
        <f t="shared" ca="1" si="41"/>
        <v>1</v>
      </c>
      <c r="AI48" s="553">
        <f t="shared" ca="1" si="41"/>
        <v>1</v>
      </c>
      <c r="AJ48" s="553">
        <f t="shared" ca="1" si="41"/>
        <v>1</v>
      </c>
      <c r="AK48" s="553">
        <f t="shared" ca="1" si="41"/>
        <v>1</v>
      </c>
      <c r="AL48" s="553">
        <f t="shared" ca="1" si="41"/>
        <v>1</v>
      </c>
      <c r="AM48" s="488">
        <f t="shared" ca="1" si="41"/>
        <v>1</v>
      </c>
      <c r="AN48" s="553">
        <f t="shared" ca="1" si="41"/>
        <v>0.36521736238591557</v>
      </c>
      <c r="AO48" s="553">
        <f t="shared" ca="1" si="41"/>
        <v>0.36521736238591557</v>
      </c>
      <c r="AP48" s="553">
        <f t="shared" ca="1" si="41"/>
        <v>0.36521736238591557</v>
      </c>
      <c r="AQ48" s="553">
        <f t="shared" ca="1" si="41"/>
        <v>0.66743274213574411</v>
      </c>
      <c r="AR48" s="553">
        <f t="shared" ca="1" si="41"/>
        <v>0.8348699849166058</v>
      </c>
      <c r="AS48" s="488">
        <f t="shared" ca="1" si="41"/>
        <v>1</v>
      </c>
      <c r="AT48" s="553">
        <f t="shared" ca="1" si="41"/>
        <v>0.62014095148490833</v>
      </c>
      <c r="AU48" s="553">
        <f t="shared" ca="1" si="41"/>
        <v>0.62014095148490833</v>
      </c>
      <c r="AV48" s="553">
        <f t="shared" ca="1" si="41"/>
        <v>0.62014095148490833</v>
      </c>
      <c r="AW48" s="553">
        <f t="shared" ca="1" si="41"/>
        <v>0.98258754317630803</v>
      </c>
      <c r="AX48" s="435">
        <f t="shared" ca="1" si="41"/>
        <v>1.0449915064115765</v>
      </c>
      <c r="AY48" s="265"/>
      <c r="AZ48" s="1"/>
      <c r="BA48" s="1"/>
      <c r="BB48" s="265"/>
      <c r="BG48" s="209"/>
      <c r="BH48" s="265"/>
    </row>
    <row r="49" spans="2:60" outlineLevel="1" x14ac:dyDescent="0.25">
      <c r="B49" s="1363"/>
      <c r="D49" s="1352"/>
      <c r="F49" s="237" t="str">
        <f t="shared" si="23"/>
        <v>W_[HM]_Grass_dairy_NL</v>
      </c>
      <c r="G49" s="609" t="s">
        <v>630</v>
      </c>
      <c r="I49" s="452">
        <f t="shared" ref="I49:AX49" ca="1" si="42">IFERROR(I254/INDEX(OFFSET($I$235,0,MATCH(I$8,$I$8:$AY$8,0)-1,COUNTA($G$30:$G$50),1),MATCH($G49,$G$235:$G$255,0),1),1)</f>
        <v>1</v>
      </c>
      <c r="J49" s="453">
        <f t="shared" ca="1" si="42"/>
        <v>0.89321784673909288</v>
      </c>
      <c r="K49" s="453">
        <f t="shared" ca="1" si="42"/>
        <v>0.89321784673909288</v>
      </c>
      <c r="L49" s="453">
        <f t="shared" ca="1" si="42"/>
        <v>0.89321784673909288</v>
      </c>
      <c r="M49" s="453">
        <f t="shared" ca="1" si="42"/>
        <v>0.89049736891169151</v>
      </c>
      <c r="N49" s="453">
        <f t="shared" ca="1" si="42"/>
        <v>0.97161668403407875</v>
      </c>
      <c r="O49" s="452">
        <f t="shared" ca="1" si="42"/>
        <v>1</v>
      </c>
      <c r="P49" s="453">
        <f t="shared" ca="1" si="42"/>
        <v>0.99344681286734371</v>
      </c>
      <c r="Q49" s="453">
        <f t="shared" ca="1" si="42"/>
        <v>0.99344681286734371</v>
      </c>
      <c r="R49" s="453">
        <f t="shared" ca="1" si="42"/>
        <v>0.99344681286734371</v>
      </c>
      <c r="S49" s="453">
        <f t="shared" ca="1" si="42"/>
        <v>0.99301455515217951</v>
      </c>
      <c r="T49" s="453">
        <f t="shared" ca="1" si="42"/>
        <v>1.0050014398964071</v>
      </c>
      <c r="U49" s="452">
        <f t="shared" ca="1" si="42"/>
        <v>1</v>
      </c>
      <c r="V49" s="453">
        <f t="shared" ca="1" si="42"/>
        <v>0.99984255816838086</v>
      </c>
      <c r="W49" s="453">
        <f t="shared" ca="1" si="42"/>
        <v>0.99984255816838086</v>
      </c>
      <c r="X49" s="453">
        <f t="shared" ca="1" si="42"/>
        <v>0.99984255816838086</v>
      </c>
      <c r="Y49" s="453">
        <f t="shared" ca="1" si="42"/>
        <v>0.99972500415953003</v>
      </c>
      <c r="Z49" s="453">
        <f t="shared" ca="1" si="42"/>
        <v>1.0029574394722689</v>
      </c>
      <c r="AA49" s="452">
        <f t="shared" ca="1" si="42"/>
        <v>1</v>
      </c>
      <c r="AB49" s="453">
        <f t="shared" ca="1" si="42"/>
        <v>0.99915656578105516</v>
      </c>
      <c r="AC49" s="453">
        <f t="shared" ca="1" si="42"/>
        <v>0.99915656578105516</v>
      </c>
      <c r="AD49" s="453">
        <f t="shared" ca="1" si="42"/>
        <v>0.99915656578105516</v>
      </c>
      <c r="AE49" s="453">
        <f t="shared" ca="1" si="42"/>
        <v>0.99854264254423375</v>
      </c>
      <c r="AF49" s="453">
        <f t="shared" ca="1" si="42"/>
        <v>1.0156493261313972</v>
      </c>
      <c r="AG49" s="452">
        <f t="shared" ca="1" si="42"/>
        <v>1</v>
      </c>
      <c r="AH49" s="453">
        <f t="shared" ca="1" si="42"/>
        <v>1</v>
      </c>
      <c r="AI49" s="453">
        <f t="shared" ca="1" si="42"/>
        <v>1</v>
      </c>
      <c r="AJ49" s="453">
        <f t="shared" ca="1" si="42"/>
        <v>1</v>
      </c>
      <c r="AK49" s="453">
        <f t="shared" ca="1" si="42"/>
        <v>1</v>
      </c>
      <c r="AL49" s="453">
        <f t="shared" ca="1" si="42"/>
        <v>1</v>
      </c>
      <c r="AM49" s="452">
        <f t="shared" ca="1" si="42"/>
        <v>1</v>
      </c>
      <c r="AN49" s="453">
        <f t="shared" ca="1" si="42"/>
        <v>0.97189188093226486</v>
      </c>
      <c r="AO49" s="453">
        <f t="shared" ca="1" si="42"/>
        <v>0.97189188093226486</v>
      </c>
      <c r="AP49" s="453">
        <f t="shared" ca="1" si="42"/>
        <v>0.97189188093226486</v>
      </c>
      <c r="AQ49" s="453">
        <f t="shared" ca="1" si="42"/>
        <v>0.96930118743931437</v>
      </c>
      <c r="AR49" s="453">
        <f t="shared" ca="1" si="42"/>
        <v>1.045711405276079</v>
      </c>
      <c r="AS49" s="452">
        <f t="shared" ca="1" si="42"/>
        <v>1</v>
      </c>
      <c r="AT49" s="453">
        <f t="shared" ca="1" si="42"/>
        <v>0.99684961706919106</v>
      </c>
      <c r="AU49" s="453">
        <f t="shared" ca="1" si="42"/>
        <v>0.99684961706919106</v>
      </c>
      <c r="AV49" s="453">
        <f t="shared" ca="1" si="42"/>
        <v>0.99684961706919106</v>
      </c>
      <c r="AW49" s="453">
        <f t="shared" ca="1" si="42"/>
        <v>0.99586165485089617</v>
      </c>
      <c r="AX49" s="434">
        <f t="shared" ca="1" si="42"/>
        <v>1.023672437641846</v>
      </c>
      <c r="AY49" s="265"/>
      <c r="AZ49" s="1"/>
      <c r="BA49" s="1"/>
      <c r="BB49" s="265"/>
      <c r="BG49" s="209"/>
      <c r="BH49" s="265"/>
    </row>
    <row r="50" spans="2:60" outlineLevel="1" x14ac:dyDescent="0.25">
      <c r="B50" s="1363"/>
      <c r="D50" s="1353"/>
      <c r="F50" s="241" t="str">
        <f t="shared" si="23"/>
        <v>W_[HM]_Grass_beef_IE</v>
      </c>
      <c r="G50" s="382" t="s">
        <v>631</v>
      </c>
      <c r="I50" s="454">
        <f t="shared" ref="I50:AX50" ca="1" si="43">IFERROR(I255/INDEX(OFFSET($I$235,0,MATCH(I$8,$I$8:$AY$8,0)-1,COUNTA($G$30:$G$50),1),MATCH($G50,$G$235:$G$255,0),1),1)</f>
        <v>1</v>
      </c>
      <c r="J50" s="455">
        <f t="shared" ca="1" si="43"/>
        <v>0.84404123283737853</v>
      </c>
      <c r="K50" s="455">
        <f t="shared" ca="1" si="43"/>
        <v>0.84404123283737853</v>
      </c>
      <c r="L50" s="455">
        <f t="shared" ca="1" si="43"/>
        <v>0.84404123283737853</v>
      </c>
      <c r="M50" s="455">
        <f t="shared" ca="1" si="43"/>
        <v>0.84081628917668394</v>
      </c>
      <c r="N50" s="455">
        <f t="shared" ca="1" si="43"/>
        <v>0.93918351985725179</v>
      </c>
      <c r="O50" s="454">
        <f t="shared" ca="1" si="43"/>
        <v>1</v>
      </c>
      <c r="P50" s="455">
        <f t="shared" ca="1" si="43"/>
        <v>0.98881730206711149</v>
      </c>
      <c r="Q50" s="455">
        <f t="shared" ca="1" si="43"/>
        <v>0.98881730206711149</v>
      </c>
      <c r="R50" s="455">
        <f t="shared" ca="1" si="43"/>
        <v>0.98881730206711149</v>
      </c>
      <c r="S50" s="455">
        <f t="shared" ca="1" si="43"/>
        <v>0.98823974865548136</v>
      </c>
      <c r="T50" s="455">
        <f t="shared" ca="1" si="43"/>
        <v>1.0043198828999682</v>
      </c>
      <c r="U50" s="454">
        <f t="shared" ca="1" si="43"/>
        <v>1</v>
      </c>
      <c r="V50" s="455">
        <f t="shared" ca="1" si="43"/>
        <v>0.99967339680529321</v>
      </c>
      <c r="W50" s="455">
        <f t="shared" ca="1" si="43"/>
        <v>0.99967339680529321</v>
      </c>
      <c r="X50" s="455">
        <f t="shared" ca="1" si="43"/>
        <v>0.99967339680529321</v>
      </c>
      <c r="Y50" s="455">
        <f t="shared" ca="1" si="43"/>
        <v>0.99951426441585245</v>
      </c>
      <c r="Z50" s="455">
        <f t="shared" ca="1" si="43"/>
        <v>1.0038948299266284</v>
      </c>
      <c r="AA50" s="454">
        <f t="shared" ca="1" si="43"/>
        <v>1</v>
      </c>
      <c r="AB50" s="455">
        <f t="shared" ca="1" si="43"/>
        <v>0.99829945149591393</v>
      </c>
      <c r="AC50" s="455">
        <f t="shared" ca="1" si="43"/>
        <v>0.99829945149591393</v>
      </c>
      <c r="AD50" s="455">
        <f t="shared" ca="1" si="43"/>
        <v>0.99829945149591393</v>
      </c>
      <c r="AE50" s="455">
        <f t="shared" ca="1" si="43"/>
        <v>0.99747997922138576</v>
      </c>
      <c r="AF50" s="455">
        <f t="shared" ca="1" si="43"/>
        <v>1.0204416302791754</v>
      </c>
      <c r="AG50" s="454">
        <f t="shared" ca="1" si="43"/>
        <v>1</v>
      </c>
      <c r="AH50" s="455">
        <f t="shared" ca="1" si="43"/>
        <v>1</v>
      </c>
      <c r="AI50" s="455">
        <f t="shared" ca="1" si="43"/>
        <v>1</v>
      </c>
      <c r="AJ50" s="455">
        <f t="shared" ca="1" si="43"/>
        <v>1</v>
      </c>
      <c r="AK50" s="455">
        <f t="shared" ca="1" si="43"/>
        <v>1</v>
      </c>
      <c r="AL50" s="455">
        <f t="shared" ca="1" si="43"/>
        <v>1</v>
      </c>
      <c r="AM50" s="454">
        <f t="shared" ca="1" si="43"/>
        <v>1</v>
      </c>
      <c r="AN50" s="455">
        <f t="shared" ca="1" si="43"/>
        <v>0.95365412492206081</v>
      </c>
      <c r="AO50" s="455">
        <f t="shared" ca="1" si="43"/>
        <v>0.95365412492206081</v>
      </c>
      <c r="AP50" s="455">
        <f t="shared" ca="1" si="43"/>
        <v>0.95365412492206081</v>
      </c>
      <c r="AQ50" s="455">
        <f t="shared" ca="1" si="43"/>
        <v>0.95043439629140813</v>
      </c>
      <c r="AR50" s="455">
        <f t="shared" ca="1" si="43"/>
        <v>1.0473667290591171</v>
      </c>
      <c r="AS50" s="454">
        <f t="shared" ca="1" si="43"/>
        <v>1</v>
      </c>
      <c r="AT50" s="455">
        <f t="shared" ca="1" si="43"/>
        <v>0.99413482354932647</v>
      </c>
      <c r="AU50" s="455">
        <f t="shared" ca="1" si="43"/>
        <v>0.99413482354932647</v>
      </c>
      <c r="AV50" s="455">
        <f t="shared" ca="1" si="43"/>
        <v>0.99413482354932647</v>
      </c>
      <c r="AW50" s="455">
        <f t="shared" ca="1" si="43"/>
        <v>0.99283165057887479</v>
      </c>
      <c r="AX50" s="436">
        <f t="shared" ca="1" si="43"/>
        <v>1.0298372007349588</v>
      </c>
      <c r="AY50" s="265"/>
      <c r="AZ50" s="1"/>
      <c r="BA50" s="1"/>
      <c r="BB50" s="268"/>
      <c r="BC50" s="442"/>
      <c r="BD50" s="442"/>
      <c r="BE50" s="442"/>
      <c r="BF50" s="442"/>
      <c r="BG50" s="211"/>
      <c r="BH50" s="265"/>
    </row>
    <row r="51" spans="2:60" x14ac:dyDescent="0.25">
      <c r="B51" s="1363"/>
      <c r="F51" s="207"/>
      <c r="G51" s="207"/>
      <c r="I51" s="283"/>
      <c r="J51" s="283"/>
      <c r="K51" s="283"/>
      <c r="L51" s="283"/>
      <c r="M51" s="283"/>
      <c r="N51" s="283"/>
      <c r="O51" s="283"/>
      <c r="P51" s="283"/>
      <c r="Q51" s="283"/>
      <c r="R51" s="207"/>
      <c r="S51" s="207"/>
      <c r="T51" s="207"/>
      <c r="U51" s="283"/>
      <c r="V51" s="283"/>
      <c r="W51" s="283"/>
      <c r="X51" s="283"/>
      <c r="Y51" s="283"/>
      <c r="Z51" s="283"/>
      <c r="AA51" s="283"/>
      <c r="AB51" s="283"/>
      <c r="AC51" s="283"/>
      <c r="AD51" s="207"/>
      <c r="AE51" s="207"/>
      <c r="AF51" s="207"/>
      <c r="AG51" s="283"/>
      <c r="AH51" s="283"/>
      <c r="AI51" s="283"/>
      <c r="AJ51" s="283"/>
      <c r="AK51" s="283"/>
      <c r="AL51" s="283"/>
      <c r="AM51" s="283"/>
      <c r="AN51" s="283"/>
      <c r="AO51" s="283"/>
      <c r="AP51" s="207"/>
      <c r="AQ51" s="207"/>
      <c r="AR51" s="207"/>
      <c r="AS51" s="283"/>
      <c r="AT51" s="283"/>
      <c r="AU51" s="283"/>
      <c r="AV51" s="283"/>
      <c r="AW51" s="283"/>
      <c r="AX51" s="283"/>
      <c r="AY51" s="1"/>
      <c r="AZ51" s="1"/>
      <c r="BA51" s="1"/>
      <c r="BB51" s="1"/>
    </row>
    <row r="52" spans="2:60" ht="14.65" customHeight="1" x14ac:dyDescent="0.25">
      <c r="B52" s="1363"/>
      <c r="I52" s="604" t="s">
        <v>770</v>
      </c>
      <c r="J52" s="288"/>
      <c r="K52" s="288"/>
      <c r="L52" s="288"/>
      <c r="M52" s="288"/>
      <c r="N52" s="289"/>
      <c r="O52" s="290"/>
      <c r="P52" s="284" t="s">
        <v>635</v>
      </c>
      <c r="Q52" s="285"/>
      <c r="R52" s="285"/>
      <c r="S52" s="285"/>
      <c r="T52" s="285"/>
      <c r="U52" s="286"/>
      <c r="V52" s="287"/>
      <c r="W52" s="284" t="s">
        <v>771</v>
      </c>
      <c r="X52" s="285"/>
      <c r="Y52" s="285"/>
      <c r="Z52" s="285"/>
      <c r="AA52" s="285"/>
      <c r="AB52" s="286"/>
      <c r="AC52" s="287"/>
      <c r="AG52" s="1"/>
      <c r="AY52" s="1"/>
      <c r="AZ52" s="1"/>
      <c r="BA52" s="1"/>
      <c r="BB52" s="1"/>
    </row>
    <row r="53" spans="2:60" x14ac:dyDescent="0.25">
      <c r="B53" s="1363"/>
      <c r="I53" s="231" t="s">
        <v>621</v>
      </c>
      <c r="J53" s="230" t="s">
        <v>622</v>
      </c>
      <c r="K53" s="230" t="s">
        <v>623</v>
      </c>
      <c r="L53" s="230" t="s">
        <v>624</v>
      </c>
      <c r="M53" s="230" t="s">
        <v>625</v>
      </c>
      <c r="N53" s="230" t="s">
        <v>626</v>
      </c>
      <c r="O53" s="232" t="s">
        <v>627</v>
      </c>
      <c r="P53" s="231" t="s">
        <v>621</v>
      </c>
      <c r="Q53" s="230" t="s">
        <v>622</v>
      </c>
      <c r="R53" s="230" t="s">
        <v>623</v>
      </c>
      <c r="S53" s="230" t="s">
        <v>624</v>
      </c>
      <c r="T53" s="230" t="s">
        <v>625</v>
      </c>
      <c r="U53" s="230" t="s">
        <v>626</v>
      </c>
      <c r="V53" s="232" t="s">
        <v>627</v>
      </c>
      <c r="W53" s="231" t="s">
        <v>621</v>
      </c>
      <c r="X53" s="230" t="s">
        <v>622</v>
      </c>
      <c r="Y53" s="230" t="s">
        <v>623</v>
      </c>
      <c r="Z53" s="230" t="s">
        <v>624</v>
      </c>
      <c r="AA53" s="230" t="s">
        <v>625</v>
      </c>
      <c r="AB53" s="230" t="s">
        <v>626</v>
      </c>
      <c r="AC53" s="232" t="s">
        <v>627</v>
      </c>
      <c r="AG53" s="1"/>
      <c r="AS53" s="1"/>
      <c r="AT53" s="1"/>
      <c r="AU53" s="1"/>
      <c r="AV53" s="1"/>
      <c r="AW53" s="1"/>
      <c r="AX53" s="1"/>
      <c r="AY53" s="1"/>
      <c r="AZ53" s="1"/>
      <c r="BA53" s="1"/>
      <c r="BB53" s="1"/>
    </row>
    <row r="54" spans="2:60" ht="14.65" customHeight="1" x14ac:dyDescent="0.25">
      <c r="B54" s="1363"/>
      <c r="D54" s="1354" t="s">
        <v>788</v>
      </c>
      <c r="F54" s="615" t="str">
        <f>"S_[HM]_"&amp;$G54&amp;"_CF"</f>
        <v>S_[HM]_Barley_CF</v>
      </c>
      <c r="G54" s="611" t="s">
        <v>91</v>
      </c>
      <c r="I54" s="618">
        <f t="shared" ref="I54:I95" ca="1" si="44">IFERROR(P54/W54,1)</f>
        <v>1.0481477667156336</v>
      </c>
      <c r="J54" s="619">
        <f t="shared" ref="J54:J95" ca="1" si="45">IFERROR(Q54/X54,1)</f>
        <v>-2.2860855217398383E-2</v>
      </c>
      <c r="K54" s="619">
        <f t="shared" ref="K54:K95" ca="1" si="46">IFERROR(R54/Y54,1)</f>
        <v>143.82177504942385</v>
      </c>
      <c r="L54" s="619">
        <f t="shared" ref="L54:L95" ca="1" si="47">IFERROR(S54/Z54,1)</f>
        <v>1.2303055162348768</v>
      </c>
      <c r="M54" s="619">
        <f t="shared" ref="M54:M95" ca="1" si="48">IFERROR(T54/AA54,1)</f>
        <v>1.1582203215909259</v>
      </c>
      <c r="N54" s="619">
        <f t="shared" ref="N54:N95" ca="1" si="49">IFERROR(U54/AB54,1)</f>
        <v>1.1056359648027216</v>
      </c>
      <c r="O54" s="620">
        <f t="shared" ref="O54:O95" ca="1" si="50">IFERROR(V54/AC54,1)</f>
        <v>0.67603790528598562</v>
      </c>
      <c r="P54" s="621">
        <f t="shared" ref="P54:V63" ca="1" si="51">INDEX(OFFSET($I$214,0,MATCH(P$53,$I$8:$AY$8,0)-1,COUNTA($G$54:$G$74),1),MATCH($G54,$G$214:$G$234,0),1)</f>
        <v>2178.0510592350865</v>
      </c>
      <c r="Q54" s="622">
        <f t="shared" ca="1" si="51"/>
        <v>-3143.3675923922779</v>
      </c>
      <c r="R54" s="622">
        <f t="shared" ca="1" si="51"/>
        <v>142743.11173655317</v>
      </c>
      <c r="S54" s="622">
        <f t="shared" ca="1" si="51"/>
        <v>38.127167948118831</v>
      </c>
      <c r="T54" s="622">
        <f t="shared" ca="1" si="51"/>
        <v>15821.289592932048</v>
      </c>
      <c r="U54" s="622">
        <f t="shared" ca="1" si="51"/>
        <v>15125.099998501233</v>
      </c>
      <c r="V54" s="623">
        <f t="shared" ca="1" si="51"/>
        <v>300160.82994697761</v>
      </c>
      <c r="W54" s="618">
        <v>2078</v>
      </c>
      <c r="X54" s="619">
        <v>137500</v>
      </c>
      <c r="Y54" s="619">
        <v>992.5</v>
      </c>
      <c r="Z54" s="619">
        <v>30.99</v>
      </c>
      <c r="AA54" s="619">
        <v>13660</v>
      </c>
      <c r="AB54" s="619">
        <v>13680</v>
      </c>
      <c r="AC54" s="620">
        <v>444000</v>
      </c>
      <c r="AG54" s="1"/>
      <c r="AS54" s="1"/>
      <c r="AT54" s="1"/>
      <c r="AU54" s="1"/>
      <c r="AV54" s="1"/>
      <c r="AW54" s="1"/>
      <c r="AX54" s="1"/>
      <c r="AY54" s="1"/>
      <c r="AZ54" s="1"/>
      <c r="BA54" s="1"/>
      <c r="BB54" s="1"/>
    </row>
    <row r="55" spans="2:60" outlineLevel="1" x14ac:dyDescent="0.25">
      <c r="B55" s="1363"/>
      <c r="D55" s="1355"/>
      <c r="F55" s="616" t="str">
        <f t="shared" ref="F55:F74" si="52">"S_[HM]_"&amp;$G55&amp;"_CF"</f>
        <v>S_[HM]_Broad beans_CF</v>
      </c>
      <c r="G55" s="612" t="s">
        <v>102</v>
      </c>
      <c r="I55" s="624">
        <f t="shared" ca="1" si="44"/>
        <v>1.0800172213191275</v>
      </c>
      <c r="J55" s="625">
        <f t="shared" ca="1" si="45"/>
        <v>1.5977899606599065E-3</v>
      </c>
      <c r="K55" s="625">
        <f t="shared" ca="1" si="46"/>
        <v>-12.68092170296468</v>
      </c>
      <c r="L55" s="625">
        <f t="shared" ca="1" si="47"/>
        <v>1.5451167702257069</v>
      </c>
      <c r="M55" s="625">
        <f t="shared" ca="1" si="48"/>
        <v>1.2393725248568184</v>
      </c>
      <c r="N55" s="625">
        <f t="shared" ca="1" si="49"/>
        <v>1.2191533662065417</v>
      </c>
      <c r="O55" s="626">
        <f t="shared" ca="1" si="50"/>
        <v>0.79019284487208963</v>
      </c>
      <c r="P55" s="627">
        <f t="shared" ca="1" si="51"/>
        <v>1516.3441787320551</v>
      </c>
      <c r="Q55" s="628">
        <f t="shared" ca="1" si="51"/>
        <v>230.24153333109254</v>
      </c>
      <c r="R55" s="628">
        <f t="shared" ca="1" si="51"/>
        <v>140250.99403478936</v>
      </c>
      <c r="S55" s="628">
        <f t="shared" ca="1" si="51"/>
        <v>38.581565752535901</v>
      </c>
      <c r="T55" s="628">
        <f t="shared" ca="1" si="51"/>
        <v>11995.886668089146</v>
      </c>
      <c r="U55" s="628">
        <f t="shared" ca="1" si="51"/>
        <v>11785.555591118638</v>
      </c>
      <c r="V55" s="629">
        <f t="shared" ca="1" si="51"/>
        <v>329668.45488063578</v>
      </c>
      <c r="W55" s="624">
        <v>1404</v>
      </c>
      <c r="X55" s="625">
        <v>144100</v>
      </c>
      <c r="Y55" s="625">
        <v>-11060</v>
      </c>
      <c r="Z55" s="625">
        <v>24.97</v>
      </c>
      <c r="AA55" s="625">
        <v>9679</v>
      </c>
      <c r="AB55" s="625">
        <v>9667</v>
      </c>
      <c r="AC55" s="626">
        <v>417200</v>
      </c>
      <c r="AG55" s="1"/>
      <c r="AS55" s="1"/>
      <c r="AT55" s="1"/>
      <c r="AU55" s="1"/>
      <c r="AV55" s="1"/>
      <c r="AW55" s="1"/>
      <c r="AX55" s="1"/>
      <c r="AY55" s="1"/>
      <c r="AZ55" s="1"/>
      <c r="BA55" s="1"/>
      <c r="BB55" s="1"/>
    </row>
    <row r="56" spans="2:60" outlineLevel="1" x14ac:dyDescent="0.25">
      <c r="B56" s="1363"/>
      <c r="D56" s="1355"/>
      <c r="F56" s="616" t="str">
        <f t="shared" si="52"/>
        <v>S_[HM]_Green beans_CF</v>
      </c>
      <c r="G56" s="612" t="s">
        <v>103</v>
      </c>
      <c r="I56" s="624">
        <f t="shared" ca="1" si="44"/>
        <v>1.2221398817620075</v>
      </c>
      <c r="J56" s="625">
        <f t="shared" ca="1" si="45"/>
        <v>4.746272061346854E-2</v>
      </c>
      <c r="K56" s="625">
        <f t="shared" ca="1" si="46"/>
        <v>11.874313561189377</v>
      </c>
      <c r="L56" s="625">
        <f t="shared" ca="1" si="47"/>
        <v>1.5631415772420758</v>
      </c>
      <c r="M56" s="625">
        <f t="shared" ca="1" si="48"/>
        <v>1.2701534554996345</v>
      </c>
      <c r="N56" s="625">
        <f t="shared" ca="1" si="49"/>
        <v>1.3608675696435242</v>
      </c>
      <c r="O56" s="626">
        <f t="shared" ca="1" si="50"/>
        <v>1.0288459464268718</v>
      </c>
      <c r="P56" s="627">
        <f t="shared" ca="1" si="51"/>
        <v>1781.8799476090069</v>
      </c>
      <c r="Q56" s="628">
        <f t="shared" ca="1" si="51"/>
        <v>6934.3034816277541</v>
      </c>
      <c r="R56" s="628">
        <f t="shared" ca="1" si="51"/>
        <v>171465.08782357461</v>
      </c>
      <c r="S56" s="628">
        <f t="shared" ca="1" si="51"/>
        <v>74.217962087453756</v>
      </c>
      <c r="T56" s="628">
        <f t="shared" ca="1" si="51"/>
        <v>15737.201313640473</v>
      </c>
      <c r="U56" s="628">
        <f t="shared" ca="1" si="51"/>
        <v>17364.670188651369</v>
      </c>
      <c r="V56" s="629">
        <f t="shared" ca="1" si="51"/>
        <v>445490.29480283544</v>
      </c>
      <c r="W56" s="624">
        <v>1458</v>
      </c>
      <c r="X56" s="625">
        <v>146100</v>
      </c>
      <c r="Y56" s="625">
        <v>14440</v>
      </c>
      <c r="Z56" s="625">
        <v>47.48</v>
      </c>
      <c r="AA56" s="625">
        <v>12390</v>
      </c>
      <c r="AB56" s="625">
        <v>12760</v>
      </c>
      <c r="AC56" s="626">
        <v>433000</v>
      </c>
      <c r="AG56" s="1"/>
      <c r="AS56" s="1"/>
      <c r="AT56" s="1"/>
      <c r="AU56" s="1"/>
      <c r="AV56" s="1"/>
      <c r="AW56" s="1"/>
      <c r="AX56" s="1"/>
      <c r="AY56" s="1"/>
      <c r="AZ56" s="1"/>
      <c r="BA56" s="1"/>
      <c r="BB56" s="1"/>
    </row>
    <row r="57" spans="2:60" outlineLevel="1" x14ac:dyDescent="0.25">
      <c r="B57" s="1363"/>
      <c r="D57" s="1355"/>
      <c r="F57" s="616" t="str">
        <f t="shared" si="52"/>
        <v>S_[HM]_Linseed_CF</v>
      </c>
      <c r="G57" s="612" t="s">
        <v>107</v>
      </c>
      <c r="I57" s="624">
        <f t="shared" ca="1" si="44"/>
        <v>1.0548616043054475</v>
      </c>
      <c r="J57" s="625">
        <f t="shared" ca="1" si="45"/>
        <v>3.5784516755499415E-2</v>
      </c>
      <c r="K57" s="625">
        <f t="shared" ca="1" si="46"/>
        <v>97.573771491059574</v>
      </c>
      <c r="L57" s="625">
        <f t="shared" ca="1" si="47"/>
        <v>1.2850897000868888</v>
      </c>
      <c r="M57" s="625">
        <f t="shared" ca="1" si="48"/>
        <v>1.1787321218930165</v>
      </c>
      <c r="N57" s="625">
        <f t="shared" ca="1" si="49"/>
        <v>1.1798606033559924</v>
      </c>
      <c r="O57" s="626">
        <f t="shared" ca="1" si="50"/>
        <v>0.85373569340629873</v>
      </c>
      <c r="P57" s="627">
        <f t="shared" ca="1" si="51"/>
        <v>1555.9208663505351</v>
      </c>
      <c r="Q57" s="628">
        <f t="shared" ca="1" si="51"/>
        <v>5339.0498999205129</v>
      </c>
      <c r="R57" s="628">
        <f t="shared" ca="1" si="51"/>
        <v>147043.67363702678</v>
      </c>
      <c r="S57" s="628">
        <f t="shared" ca="1" si="51"/>
        <v>59.229784277004711</v>
      </c>
      <c r="T57" s="628">
        <f t="shared" ca="1" si="51"/>
        <v>13578.994044207549</v>
      </c>
      <c r="U57" s="628">
        <f t="shared" ca="1" si="51"/>
        <v>12718.897304177599</v>
      </c>
      <c r="V57" s="629">
        <f t="shared" ca="1" si="51"/>
        <v>361300.94544954563</v>
      </c>
      <c r="W57" s="624">
        <v>1475</v>
      </c>
      <c r="X57" s="625">
        <v>149200</v>
      </c>
      <c r="Y57" s="625">
        <v>1507</v>
      </c>
      <c r="Z57" s="625">
        <v>46.09</v>
      </c>
      <c r="AA57" s="625">
        <v>11520</v>
      </c>
      <c r="AB57" s="625">
        <v>10780</v>
      </c>
      <c r="AC57" s="626">
        <v>423200</v>
      </c>
      <c r="AG57" s="1"/>
      <c r="AS57" s="1"/>
      <c r="AT57" s="1"/>
      <c r="AU57" s="1"/>
      <c r="AV57" s="1"/>
      <c r="AW57" s="1"/>
      <c r="AX57" s="1"/>
      <c r="AY57" s="1"/>
      <c r="AZ57" s="1"/>
      <c r="BA57" s="1"/>
      <c r="BB57" s="1"/>
    </row>
    <row r="58" spans="2:60" outlineLevel="1" x14ac:dyDescent="0.25">
      <c r="B58" s="1363"/>
      <c r="D58" s="1355"/>
      <c r="F58" s="616" t="str">
        <f t="shared" si="52"/>
        <v>S_[HM]_Lupins_CF</v>
      </c>
      <c r="G58" s="612" t="s">
        <v>104</v>
      </c>
      <c r="I58" s="624">
        <f t="shared" ca="1" si="44"/>
        <v>1.0552487668804813</v>
      </c>
      <c r="J58" s="625">
        <f t="shared" ca="1" si="45"/>
        <v>6.957401287362705E-2</v>
      </c>
      <c r="K58" s="625">
        <f t="shared" ca="1" si="46"/>
        <v>12.879887971938814</v>
      </c>
      <c r="L58" s="625">
        <f t="shared" ca="1" si="47"/>
        <v>1.3550100112574119</v>
      </c>
      <c r="M58" s="625">
        <f t="shared" ca="1" si="48"/>
        <v>1.1923586528841961</v>
      </c>
      <c r="N58" s="625">
        <f t="shared" ca="1" si="49"/>
        <v>1.2167430862297743</v>
      </c>
      <c r="O58" s="626">
        <f t="shared" ca="1" si="50"/>
        <v>0.92644364164023063</v>
      </c>
      <c r="P58" s="627">
        <f t="shared" ca="1" si="51"/>
        <v>2138.9892504667355</v>
      </c>
      <c r="Q58" s="628">
        <f t="shared" ca="1" si="51"/>
        <v>10303.911306584167</v>
      </c>
      <c r="R58" s="628">
        <f t="shared" ca="1" si="51"/>
        <v>157521.0298968117</v>
      </c>
      <c r="S58" s="628">
        <f t="shared" ca="1" si="51"/>
        <v>56.490367369321504</v>
      </c>
      <c r="T58" s="628">
        <f t="shared" ca="1" si="51"/>
        <v>14379.845353783405</v>
      </c>
      <c r="U58" s="628">
        <f t="shared" ca="1" si="51"/>
        <v>11983.702656277048</v>
      </c>
      <c r="V58" s="629">
        <f t="shared" ca="1" si="51"/>
        <v>397722.25535615103</v>
      </c>
      <c r="W58" s="624">
        <v>2027</v>
      </c>
      <c r="X58" s="625">
        <v>148100</v>
      </c>
      <c r="Y58" s="625">
        <v>12230</v>
      </c>
      <c r="Z58" s="625">
        <v>41.69</v>
      </c>
      <c r="AA58" s="625">
        <v>12060</v>
      </c>
      <c r="AB58" s="625">
        <v>9849</v>
      </c>
      <c r="AC58" s="626">
        <v>429300</v>
      </c>
      <c r="AG58" s="1"/>
      <c r="AS58" s="1"/>
      <c r="AT58" s="1"/>
      <c r="AU58" s="1"/>
      <c r="AV58" s="1"/>
      <c r="AW58" s="1"/>
      <c r="AX58" s="1"/>
      <c r="AY58" s="1"/>
      <c r="AZ58" s="1"/>
      <c r="BA58" s="1"/>
      <c r="BB58" s="1"/>
    </row>
    <row r="59" spans="2:60" outlineLevel="1" x14ac:dyDescent="0.25">
      <c r="B59" s="1363"/>
      <c r="D59" s="1355"/>
      <c r="F59" s="616" t="str">
        <f t="shared" si="52"/>
        <v>S_[HM]_Maize_CF</v>
      </c>
      <c r="G59" s="612" t="s">
        <v>97</v>
      </c>
      <c r="I59" s="624">
        <f t="shared" ca="1" si="44"/>
        <v>0.91347886165249848</v>
      </c>
      <c r="J59" s="625">
        <f t="shared" ca="1" si="45"/>
        <v>0.15354183579546862</v>
      </c>
      <c r="K59" s="625">
        <f t="shared" ca="1" si="46"/>
        <v>6.6726491742156275</v>
      </c>
      <c r="L59" s="625">
        <f t="shared" ca="1" si="47"/>
        <v>1.8480437116217097</v>
      </c>
      <c r="M59" s="625">
        <f t="shared" ca="1" si="48"/>
        <v>1.2077199767276758</v>
      </c>
      <c r="N59" s="625">
        <f t="shared" ca="1" si="49"/>
        <v>1.1550939240895199</v>
      </c>
      <c r="O59" s="626">
        <f t="shared" ca="1" si="50"/>
        <v>0.66045418282238244</v>
      </c>
      <c r="P59" s="627">
        <f t="shared" ca="1" si="51"/>
        <v>-944.53714294868337</v>
      </c>
      <c r="Q59" s="628">
        <f t="shared" ca="1" si="51"/>
        <v>23430.484142388512</v>
      </c>
      <c r="R59" s="628">
        <f t="shared" ca="1" si="51"/>
        <v>160343.75965640153</v>
      </c>
      <c r="S59" s="628">
        <f t="shared" ca="1" si="51"/>
        <v>24.782266172847127</v>
      </c>
      <c r="T59" s="628">
        <f t="shared" ca="1" si="51"/>
        <v>12608.596557036935</v>
      </c>
      <c r="U59" s="628">
        <f t="shared" ca="1" si="51"/>
        <v>13653.210182738127</v>
      </c>
      <c r="V59" s="629">
        <f t="shared" ca="1" si="51"/>
        <v>301695.47071326431</v>
      </c>
      <c r="W59" s="624">
        <v>-1034</v>
      </c>
      <c r="X59" s="625">
        <v>152600</v>
      </c>
      <c r="Y59" s="625">
        <v>24030</v>
      </c>
      <c r="Z59" s="625">
        <v>13.41</v>
      </c>
      <c r="AA59" s="625">
        <v>10440</v>
      </c>
      <c r="AB59" s="625">
        <v>11820</v>
      </c>
      <c r="AC59" s="626">
        <v>456800</v>
      </c>
      <c r="AG59" s="1"/>
      <c r="AS59" s="1"/>
      <c r="AT59" s="1"/>
      <c r="AU59" s="1"/>
      <c r="AV59" s="1"/>
      <c r="AW59" s="1"/>
      <c r="AX59" s="1"/>
      <c r="AY59" s="1"/>
      <c r="AZ59" s="1"/>
      <c r="BA59" s="1"/>
      <c r="BB59" s="1"/>
    </row>
    <row r="60" spans="2:60" outlineLevel="1" x14ac:dyDescent="0.25">
      <c r="B60" s="1363"/>
      <c r="D60" s="1355"/>
      <c r="F60" s="616" t="str">
        <f t="shared" si="52"/>
        <v>S_[HM]_Maize silage_CF</v>
      </c>
      <c r="G60" s="612" t="s">
        <v>628</v>
      </c>
      <c r="I60" s="624">
        <f t="shared" ca="1" si="44"/>
        <v>0.87018234308822151</v>
      </c>
      <c r="J60" s="625">
        <f t="shared" ca="1" si="45"/>
        <v>3.3736679699248082</v>
      </c>
      <c r="K60" s="625">
        <f t="shared" ca="1" si="46"/>
        <v>0.26824802718831092</v>
      </c>
      <c r="L60" s="625">
        <f t="shared" ca="1" si="47"/>
        <v>1.6526056634448567</v>
      </c>
      <c r="M60" s="625">
        <f t="shared" ca="1" si="48"/>
        <v>4.5199244296792349</v>
      </c>
      <c r="N60" s="625">
        <f t="shared" ca="1" si="49"/>
        <v>3.3727483851556403</v>
      </c>
      <c r="O60" s="626">
        <f t="shared" ca="1" si="50"/>
        <v>0.84166913538988297</v>
      </c>
      <c r="P60" s="627">
        <f t="shared" ca="1" si="51"/>
        <v>-2975.6320313073279</v>
      </c>
      <c r="Q60" s="628">
        <f t="shared" ca="1" si="51"/>
        <v>91119.701829816433</v>
      </c>
      <c r="R60" s="628">
        <f t="shared" ca="1" si="51"/>
        <v>243717.44254681055</v>
      </c>
      <c r="S60" s="628">
        <f t="shared" ca="1" si="51"/>
        <v>897.86065694959063</v>
      </c>
      <c r="T60" s="628">
        <f t="shared" ca="1" si="51"/>
        <v>87669.403422188669</v>
      </c>
      <c r="U60" s="628">
        <f t="shared" ca="1" si="51"/>
        <v>62082.415617946834</v>
      </c>
      <c r="V60" s="629">
        <f t="shared" ca="1" si="51"/>
        <v>820689.43802041409</v>
      </c>
      <c r="W60" s="624">
        <v>-3419.55</v>
      </c>
      <c r="X60" s="625">
        <v>27009.09</v>
      </c>
      <c r="Y60" s="625">
        <v>908552.6</v>
      </c>
      <c r="Z60" s="625">
        <v>543.29999999999995</v>
      </c>
      <c r="AA60" s="625">
        <v>19396.21</v>
      </c>
      <c r="AB60" s="625">
        <v>18407.07</v>
      </c>
      <c r="AC60" s="626">
        <v>975073.7</v>
      </c>
      <c r="AG60" s="1"/>
      <c r="AS60" s="1"/>
      <c r="AT60" s="1"/>
      <c r="AU60" s="1"/>
      <c r="AV60" s="1"/>
      <c r="AW60" s="1"/>
      <c r="AX60" s="1"/>
      <c r="AY60" s="1"/>
      <c r="AZ60" s="1"/>
      <c r="BA60" s="1"/>
      <c r="BB60" s="1"/>
    </row>
    <row r="61" spans="2:60" outlineLevel="1" x14ac:dyDescent="0.25">
      <c r="B61" s="1363"/>
      <c r="D61" s="1355"/>
      <c r="F61" s="616" t="str">
        <f t="shared" si="52"/>
        <v>S_[HM]_Mustard seed_CF</v>
      </c>
      <c r="G61" s="612" t="s">
        <v>108</v>
      </c>
      <c r="I61" s="624">
        <f t="shared" ca="1" si="44"/>
        <v>1.0264060260453323</v>
      </c>
      <c r="J61" s="625">
        <f t="shared" ca="1" si="45"/>
        <v>0.29503809047046309</v>
      </c>
      <c r="K61" s="625">
        <f t="shared" ca="1" si="46"/>
        <v>3.6903055260121231</v>
      </c>
      <c r="L61" s="625">
        <f t="shared" ca="1" si="47"/>
        <v>1.223653353146205</v>
      </c>
      <c r="M61" s="625">
        <f t="shared" ca="1" si="48"/>
        <v>1.1243328978985114</v>
      </c>
      <c r="N61" s="625">
        <f t="shared" ca="1" si="49"/>
        <v>1.1198130167594367</v>
      </c>
      <c r="O61" s="626">
        <f t="shared" ca="1" si="50"/>
        <v>0.92472297653171287</v>
      </c>
      <c r="P61" s="627">
        <f t="shared" ca="1" si="51"/>
        <v>4620.8799292560861</v>
      </c>
      <c r="Q61" s="628">
        <f t="shared" ca="1" si="51"/>
        <v>46586.514485286119</v>
      </c>
      <c r="R61" s="628">
        <f t="shared" ca="1" si="51"/>
        <v>163480.53480233706</v>
      </c>
      <c r="S61" s="628">
        <f t="shared" ca="1" si="51"/>
        <v>87.454505149359278</v>
      </c>
      <c r="T61" s="628">
        <f t="shared" ca="1" si="51"/>
        <v>21609.678297609389</v>
      </c>
      <c r="U61" s="628">
        <f t="shared" ca="1" si="51"/>
        <v>20358.20064468656</v>
      </c>
      <c r="V61" s="629">
        <f t="shared" ca="1" si="51"/>
        <v>455241.12134656223</v>
      </c>
      <c r="W61" s="624">
        <v>4502</v>
      </c>
      <c r="X61" s="625">
        <v>157900</v>
      </c>
      <c r="Y61" s="625">
        <v>44300</v>
      </c>
      <c r="Z61" s="625">
        <v>71.47</v>
      </c>
      <c r="AA61" s="625">
        <v>19220</v>
      </c>
      <c r="AB61" s="625">
        <v>18180</v>
      </c>
      <c r="AC61" s="626">
        <v>492300</v>
      </c>
      <c r="AG61" s="1"/>
      <c r="AS61" s="1"/>
      <c r="AT61" s="1"/>
      <c r="AU61" s="1"/>
      <c r="AV61" s="1"/>
      <c r="AW61" s="1"/>
      <c r="AX61" s="1"/>
      <c r="AY61" s="1"/>
      <c r="AZ61" s="1"/>
      <c r="BA61" s="1"/>
      <c r="BB61" s="1"/>
      <c r="BC61" s="1"/>
      <c r="BD61" s="1"/>
      <c r="BE61" s="1"/>
      <c r="BF61" s="1"/>
    </row>
    <row r="62" spans="2:60" outlineLevel="1" x14ac:dyDescent="0.25">
      <c r="B62" s="1363"/>
      <c r="D62" s="1355"/>
      <c r="F62" s="616" t="str">
        <f t="shared" si="52"/>
        <v>S_[HM]_Oat_CF</v>
      </c>
      <c r="G62" s="612" t="s">
        <v>98</v>
      </c>
      <c r="I62" s="624">
        <f t="shared" ca="1" si="44"/>
        <v>1.059798591255017</v>
      </c>
      <c r="J62" s="625">
        <f t="shared" ca="1" si="45"/>
        <v>-1.9089053991704283E-2</v>
      </c>
      <c r="K62" s="625">
        <f t="shared" ca="1" si="46"/>
        <v>30.906817222701019</v>
      </c>
      <c r="L62" s="625">
        <f t="shared" ca="1" si="47"/>
        <v>1.2795994089654639</v>
      </c>
      <c r="M62" s="625">
        <f t="shared" ca="1" si="48"/>
        <v>1.1692687553637575</v>
      </c>
      <c r="N62" s="625">
        <f t="shared" ca="1" si="49"/>
        <v>1.1511108886766113</v>
      </c>
      <c r="O62" s="626">
        <f t="shared" ca="1" si="50"/>
        <v>0.77333391785828975</v>
      </c>
      <c r="P62" s="627">
        <f t="shared" ca="1" si="51"/>
        <v>1850.4083403312598</v>
      </c>
      <c r="Q62" s="628">
        <f t="shared" ca="1" si="51"/>
        <v>-2678.1942750361109</v>
      </c>
      <c r="R62" s="628">
        <f t="shared" ca="1" si="51"/>
        <v>151721.5657462393</v>
      </c>
      <c r="S62" s="628">
        <f t="shared" ca="1" si="51"/>
        <v>45.604922935529132</v>
      </c>
      <c r="T62" s="628">
        <f t="shared" ca="1" si="51"/>
        <v>12172.087743336715</v>
      </c>
      <c r="U62" s="628">
        <f t="shared" ca="1" si="51"/>
        <v>16276.707965887284</v>
      </c>
      <c r="V62" s="629">
        <f t="shared" ca="1" si="51"/>
        <v>332610.91807085043</v>
      </c>
      <c r="W62" s="624">
        <v>1746</v>
      </c>
      <c r="X62" s="625">
        <v>140300</v>
      </c>
      <c r="Y62" s="625">
        <v>4909</v>
      </c>
      <c r="Z62" s="625">
        <v>35.64</v>
      </c>
      <c r="AA62" s="625">
        <v>10410</v>
      </c>
      <c r="AB62" s="625">
        <v>14140</v>
      </c>
      <c r="AC62" s="626">
        <v>430100</v>
      </c>
      <c r="AG62" s="1"/>
      <c r="AS62" s="1"/>
      <c r="AT62" s="1"/>
      <c r="AU62" s="1"/>
      <c r="AV62" s="1"/>
      <c r="AW62" s="1"/>
      <c r="AX62" s="1"/>
      <c r="AY62" s="1"/>
      <c r="AZ62" s="1"/>
      <c r="BA62" s="1"/>
      <c r="BB62" s="1"/>
      <c r="BC62" s="1"/>
      <c r="BD62" s="1"/>
      <c r="BE62" s="1"/>
      <c r="BF62" s="1"/>
    </row>
    <row r="63" spans="2:60" outlineLevel="1" x14ac:dyDescent="0.25">
      <c r="B63" s="1363"/>
      <c r="D63" s="1355"/>
      <c r="F63" s="616" t="str">
        <f t="shared" si="52"/>
        <v>S_[HM]_Peas, dry_CF</v>
      </c>
      <c r="G63" s="612" t="s">
        <v>629</v>
      </c>
      <c r="I63" s="624">
        <f t="shared" ca="1" si="44"/>
        <v>1.0431299035332331</v>
      </c>
      <c r="J63" s="625">
        <f t="shared" ca="1" si="45"/>
        <v>0.113224844540716</v>
      </c>
      <c r="K63" s="625">
        <f t="shared" ca="1" si="46"/>
        <v>18.492830473026906</v>
      </c>
      <c r="L63" s="625">
        <f t="shared" ca="1" si="47"/>
        <v>1.4235727555803888</v>
      </c>
      <c r="M63" s="625">
        <f t="shared" ca="1" si="48"/>
        <v>1.1885296075253828</v>
      </c>
      <c r="N63" s="625">
        <f t="shared" ca="1" si="49"/>
        <v>1.1857870943629654</v>
      </c>
      <c r="O63" s="626">
        <f t="shared" ca="1" si="50"/>
        <v>0.8307211272540983</v>
      </c>
      <c r="P63" s="627">
        <f t="shared" ca="1" si="51"/>
        <v>2754.9060752312685</v>
      </c>
      <c r="Q63" s="628">
        <f t="shared" ca="1" si="51"/>
        <v>16723.309538663754</v>
      </c>
      <c r="R63" s="628">
        <f t="shared" ca="1" si="51"/>
        <v>146999.50943009087</v>
      </c>
      <c r="S63" s="628">
        <f t="shared" ca="1" si="51"/>
        <v>50.166703906652906</v>
      </c>
      <c r="T63" s="628">
        <f t="shared" ca="1" si="51"/>
        <v>15046.784831271347</v>
      </c>
      <c r="U63" s="628">
        <f t="shared" ca="1" si="51"/>
        <v>13766.988165554027</v>
      </c>
      <c r="V63" s="629">
        <f t="shared" ca="1" si="51"/>
        <v>368507.89204991801</v>
      </c>
      <c r="W63" s="624">
        <v>2641</v>
      </c>
      <c r="X63" s="625">
        <v>147700</v>
      </c>
      <c r="Y63" s="625">
        <v>7949</v>
      </c>
      <c r="Z63" s="625">
        <v>35.24</v>
      </c>
      <c r="AA63" s="625">
        <v>12660</v>
      </c>
      <c r="AB63" s="625">
        <v>11610</v>
      </c>
      <c r="AC63" s="626">
        <v>443600</v>
      </c>
      <c r="AG63" s="1"/>
      <c r="AS63" s="1"/>
      <c r="AT63" s="1"/>
      <c r="AU63" s="1"/>
      <c r="AV63" s="1"/>
      <c r="AW63" s="1"/>
      <c r="AX63" s="1"/>
      <c r="AY63" s="1"/>
      <c r="AZ63" s="1"/>
      <c r="BA63" s="1"/>
      <c r="BB63" s="1"/>
      <c r="BC63" s="1"/>
      <c r="BD63" s="1"/>
      <c r="BE63" s="1"/>
      <c r="BF63" s="1"/>
    </row>
    <row r="64" spans="2:60" outlineLevel="1" x14ac:dyDescent="0.25">
      <c r="B64" s="1363"/>
      <c r="D64" s="1355"/>
      <c r="F64" s="616" t="str">
        <f t="shared" si="52"/>
        <v>S_[HM]_Peas, green_CF</v>
      </c>
      <c r="G64" s="612" t="s">
        <v>105</v>
      </c>
      <c r="I64" s="624">
        <f t="shared" ca="1" si="44"/>
        <v>1.1534463111278404</v>
      </c>
      <c r="J64" s="625">
        <f t="shared" ca="1" si="45"/>
        <v>2.8921942934689995E-2</v>
      </c>
      <c r="K64" s="625">
        <f t="shared" ca="1" si="46"/>
        <v>12.13537881471194</v>
      </c>
      <c r="L64" s="625">
        <f t="shared" ca="1" si="47"/>
        <v>1.461223734686965</v>
      </c>
      <c r="M64" s="625">
        <f t="shared" ca="1" si="48"/>
        <v>1.2456475090593844</v>
      </c>
      <c r="N64" s="625">
        <f t="shared" ca="1" si="49"/>
        <v>1.3329625622211141</v>
      </c>
      <c r="O64" s="626">
        <f t="shared" ca="1" si="50"/>
        <v>1.0275636293257882</v>
      </c>
      <c r="P64" s="627">
        <f t="shared" ref="P64:V74" ca="1" si="53">INDEX(OFFSET($I$214,0,MATCH(P$53,$I$8:$AY$8,0)-1,COUNTA($G$54:$G$74),1),MATCH($G64,$G$214:$G$234,0),1)</f>
        <v>1543.3111642890503</v>
      </c>
      <c r="Q64" s="628">
        <f t="shared" ca="1" si="53"/>
        <v>4237.064639932084</v>
      </c>
      <c r="R64" s="628">
        <f t="shared" ca="1" si="53"/>
        <v>169288.53446523155</v>
      </c>
      <c r="S64" s="628">
        <f t="shared" ca="1" si="53"/>
        <v>64.834497108060631</v>
      </c>
      <c r="T64" s="628">
        <f t="shared" ca="1" si="53"/>
        <v>14187.925128186389</v>
      </c>
      <c r="U64" s="628">
        <f t="shared" ca="1" si="53"/>
        <v>12120.62857827659</v>
      </c>
      <c r="V64" s="629">
        <f t="shared" ca="1" si="53"/>
        <v>430857.429776303</v>
      </c>
      <c r="W64" s="624">
        <v>1338</v>
      </c>
      <c r="X64" s="625">
        <v>146500</v>
      </c>
      <c r="Y64" s="625">
        <v>13950</v>
      </c>
      <c r="Z64" s="625">
        <v>44.37</v>
      </c>
      <c r="AA64" s="625">
        <v>11390</v>
      </c>
      <c r="AB64" s="625">
        <v>9093</v>
      </c>
      <c r="AC64" s="626">
        <v>419300</v>
      </c>
      <c r="AG64" s="1"/>
      <c r="AS64" s="1"/>
      <c r="AT64" s="1"/>
      <c r="AU64" s="1"/>
      <c r="AV64" s="1"/>
      <c r="AW64" s="1"/>
      <c r="AX64" s="1"/>
      <c r="AY64" s="1"/>
      <c r="AZ64" s="1"/>
      <c r="BA64" s="1"/>
      <c r="BB64" s="1"/>
      <c r="BC64" s="1"/>
      <c r="BD64" s="1"/>
      <c r="BE64" s="1"/>
      <c r="BF64" s="1"/>
    </row>
    <row r="65" spans="2:58" outlineLevel="1" x14ac:dyDescent="0.25">
      <c r="B65" s="1363"/>
      <c r="D65" s="1355"/>
      <c r="F65" s="616" t="str">
        <f t="shared" si="52"/>
        <v>S_[HM]_Potatoes_CF</v>
      </c>
      <c r="G65" s="612" t="s">
        <v>111</v>
      </c>
      <c r="I65" s="624">
        <f t="shared" ca="1" si="44"/>
        <v>1.3693077119022508</v>
      </c>
      <c r="J65" s="625">
        <f t="shared" ca="1" si="45"/>
        <v>0.23638707457953947</v>
      </c>
      <c r="K65" s="625">
        <f t="shared" ca="1" si="46"/>
        <v>52.182240538705109</v>
      </c>
      <c r="L65" s="625">
        <f t="shared" ca="1" si="47"/>
        <v>-16.88586895857398</v>
      </c>
      <c r="M65" s="625">
        <f t="shared" ca="1" si="48"/>
        <v>1.9015347455324758</v>
      </c>
      <c r="N65" s="625">
        <f t="shared" ca="1" si="49"/>
        <v>1.145695066595507</v>
      </c>
      <c r="O65" s="626">
        <f t="shared" ca="1" si="50"/>
        <v>1.0050184881552566</v>
      </c>
      <c r="P65" s="627">
        <f t="shared" ca="1" si="53"/>
        <v>3728.624899509829</v>
      </c>
      <c r="Q65" s="628">
        <f t="shared" ca="1" si="53"/>
        <v>33070.551733677574</v>
      </c>
      <c r="R65" s="628">
        <f t="shared" ca="1" si="53"/>
        <v>167974.63229409175</v>
      </c>
      <c r="S65" s="628">
        <f t="shared" ca="1" si="53"/>
        <v>74.33159515564266</v>
      </c>
      <c r="T65" s="628">
        <f t="shared" ca="1" si="53"/>
        <v>19243.531624788655</v>
      </c>
      <c r="U65" s="628">
        <f t="shared" ca="1" si="53"/>
        <v>21195.358732016881</v>
      </c>
      <c r="V65" s="629">
        <f t="shared" ca="1" si="53"/>
        <v>473062.20237467927</v>
      </c>
      <c r="W65" s="624">
        <v>2723</v>
      </c>
      <c r="X65" s="625">
        <v>139900</v>
      </c>
      <c r="Y65" s="625">
        <v>3219</v>
      </c>
      <c r="Z65" s="625">
        <v>-4.4020000000000001</v>
      </c>
      <c r="AA65" s="625">
        <v>10120</v>
      </c>
      <c r="AB65" s="625">
        <v>18500</v>
      </c>
      <c r="AC65" s="626">
        <v>470700</v>
      </c>
      <c r="AG65" s="1"/>
      <c r="AS65" s="1"/>
      <c r="AT65" s="1"/>
      <c r="AU65" s="1"/>
      <c r="AV65" s="1"/>
      <c r="AW65" s="1"/>
      <c r="AX65" s="1"/>
      <c r="AY65" s="1"/>
      <c r="AZ65" s="1"/>
      <c r="BA65" s="1"/>
      <c r="BB65" s="1"/>
      <c r="BC65" s="1"/>
      <c r="BD65" s="1"/>
      <c r="BE65" s="1"/>
      <c r="BF65" s="1"/>
    </row>
    <row r="66" spans="2:58" outlineLevel="1" x14ac:dyDescent="0.25">
      <c r="B66" s="1363"/>
      <c r="D66" s="1355"/>
      <c r="F66" s="616" t="str">
        <f t="shared" si="52"/>
        <v>S_[HM]_Rapeseed_CF</v>
      </c>
      <c r="G66" s="612" t="s">
        <v>109</v>
      </c>
      <c r="I66" s="624">
        <f t="shared" ca="1" si="44"/>
        <v>1.034117095602616</v>
      </c>
      <c r="J66" s="625">
        <f t="shared" ca="1" si="45"/>
        <v>9.8834806020469984E-2</v>
      </c>
      <c r="K66" s="625">
        <f t="shared" ca="1" si="46"/>
        <v>8.5251795362393796</v>
      </c>
      <c r="L66" s="625">
        <f t="shared" ca="1" si="47"/>
        <v>1.0925792967064283</v>
      </c>
      <c r="M66" s="625">
        <f t="shared" ca="1" si="48"/>
        <v>1.0998954596962085</v>
      </c>
      <c r="N66" s="625">
        <f t="shared" ca="1" si="49"/>
        <v>1.1029649933378227</v>
      </c>
      <c r="O66" s="626">
        <f t="shared" ca="1" si="50"/>
        <v>0.60093512705629026</v>
      </c>
      <c r="P66" s="627">
        <f t="shared" ca="1" si="53"/>
        <v>2777.6385187886267</v>
      </c>
      <c r="Q66" s="628">
        <f t="shared" ca="1" si="53"/>
        <v>14765.920019458215</v>
      </c>
      <c r="R66" s="628">
        <f t="shared" ca="1" si="53"/>
        <v>153197.47626622164</v>
      </c>
      <c r="S66" s="628">
        <f t="shared" ca="1" si="53"/>
        <v>43.954465106499605</v>
      </c>
      <c r="T66" s="628">
        <f t="shared" ca="1" si="53"/>
        <v>14771.59602372008</v>
      </c>
      <c r="U66" s="628">
        <f t="shared" ca="1" si="53"/>
        <v>20007.784979148102</v>
      </c>
      <c r="V66" s="629">
        <f t="shared" ca="1" si="53"/>
        <v>274386.97901390214</v>
      </c>
      <c r="W66" s="624">
        <v>2686</v>
      </c>
      <c r="X66" s="625">
        <v>149400</v>
      </c>
      <c r="Y66" s="625">
        <v>17970</v>
      </c>
      <c r="Z66" s="625">
        <v>40.229999999999997</v>
      </c>
      <c r="AA66" s="625">
        <v>13430</v>
      </c>
      <c r="AB66" s="625">
        <v>18140</v>
      </c>
      <c r="AC66" s="626">
        <v>456600</v>
      </c>
      <c r="AG66" s="1"/>
      <c r="AS66" s="1"/>
      <c r="AT66" s="1"/>
      <c r="AU66" s="1"/>
      <c r="AV66" s="1"/>
      <c r="AW66" s="1"/>
      <c r="AX66" s="1"/>
      <c r="AY66" s="1"/>
      <c r="AZ66" s="1"/>
      <c r="BA66" s="1"/>
      <c r="BB66" s="1"/>
      <c r="BC66" s="1"/>
      <c r="BD66" s="1"/>
      <c r="BE66" s="1"/>
      <c r="BF66" s="1"/>
    </row>
    <row r="67" spans="2:58" outlineLevel="1" x14ac:dyDescent="0.25">
      <c r="B67" s="1363"/>
      <c r="D67" s="1355"/>
      <c r="F67" s="616" t="str">
        <f t="shared" si="52"/>
        <v>S_[HM]_Rye_CF</v>
      </c>
      <c r="G67" s="612" t="s">
        <v>99</v>
      </c>
      <c r="I67" s="624">
        <f t="shared" ca="1" si="44"/>
        <v>1.0574107610193333</v>
      </c>
      <c r="J67" s="625">
        <f t="shared" ca="1" si="45"/>
        <v>2.0127895541065543E-2</v>
      </c>
      <c r="K67" s="625">
        <f t="shared" ca="1" si="46"/>
        <v>33.723829402278177</v>
      </c>
      <c r="L67" s="625">
        <f t="shared" ca="1" si="47"/>
        <v>1.2345576528834026</v>
      </c>
      <c r="M67" s="625">
        <f t="shared" ca="1" si="48"/>
        <v>1.1507931146774455</v>
      </c>
      <c r="N67" s="625">
        <f t="shared" ca="1" si="49"/>
        <v>1.1455609669018045</v>
      </c>
      <c r="O67" s="626">
        <f t="shared" ca="1" si="50"/>
        <v>0.65544204166455455</v>
      </c>
      <c r="P67" s="627">
        <f t="shared" ca="1" si="53"/>
        <v>1837.7799026516011</v>
      </c>
      <c r="Q67" s="628">
        <f t="shared" ca="1" si="53"/>
        <v>2936.6599594414629</v>
      </c>
      <c r="R67" s="628">
        <f t="shared" ca="1" si="53"/>
        <v>150408.27913416066</v>
      </c>
      <c r="S67" s="628">
        <f t="shared" ca="1" si="53"/>
        <v>38.703382417894673</v>
      </c>
      <c r="T67" s="628">
        <f t="shared" ca="1" si="53"/>
        <v>11328.407420884772</v>
      </c>
      <c r="U67" s="628">
        <f t="shared" ca="1" si="53"/>
        <v>15453.617443505344</v>
      </c>
      <c r="V67" s="629">
        <f t="shared" ca="1" si="53"/>
        <v>281446.81269075972</v>
      </c>
      <c r="W67" s="624">
        <v>1738</v>
      </c>
      <c r="X67" s="625">
        <v>145900</v>
      </c>
      <c r="Y67" s="625">
        <v>4460</v>
      </c>
      <c r="Z67" s="625">
        <v>31.35</v>
      </c>
      <c r="AA67" s="625">
        <v>9844</v>
      </c>
      <c r="AB67" s="625">
        <v>13490</v>
      </c>
      <c r="AC67" s="626">
        <v>429400</v>
      </c>
      <c r="AG67" s="1"/>
      <c r="AS67" s="1"/>
      <c r="AT67" s="1"/>
      <c r="AU67" s="1"/>
      <c r="AV67" s="1"/>
      <c r="AW67" s="1"/>
      <c r="AX67" s="1"/>
      <c r="AY67" s="1"/>
      <c r="AZ67" s="1"/>
      <c r="BA67" s="1"/>
      <c r="BB67" s="1"/>
      <c r="BC67" s="1"/>
      <c r="BD67" s="1"/>
      <c r="BE67" s="1"/>
      <c r="BF67" s="1"/>
    </row>
    <row r="68" spans="2:58" outlineLevel="1" x14ac:dyDescent="0.25">
      <c r="B68" s="1363"/>
      <c r="D68" s="1355"/>
      <c r="F68" s="616" t="str">
        <f t="shared" si="52"/>
        <v>S_[HM]_Soybeans_CF</v>
      </c>
      <c r="G68" s="612" t="s">
        <v>106</v>
      </c>
      <c r="I68" s="624">
        <f t="shared" ca="1" si="44"/>
        <v>1.0449562727323167</v>
      </c>
      <c r="J68" s="625">
        <f t="shared" ca="1" si="45"/>
        <v>3.3129251305036654E-2</v>
      </c>
      <c r="K68" s="625">
        <f t="shared" ca="1" si="46"/>
        <v>-21.013035021198284</v>
      </c>
      <c r="L68" s="625">
        <f t="shared" ca="1" si="47"/>
        <v>1.2707608374743542</v>
      </c>
      <c r="M68" s="625">
        <f t="shared" ca="1" si="48"/>
        <v>1.1710177647871145</v>
      </c>
      <c r="N68" s="625">
        <f t="shared" ca="1" si="49"/>
        <v>1.1725600100617279</v>
      </c>
      <c r="O68" s="626">
        <f t="shared" ca="1" si="50"/>
        <v>0.76326610916677029</v>
      </c>
      <c r="P68" s="627">
        <f t="shared" ca="1" si="53"/>
        <v>1490.1076449162838</v>
      </c>
      <c r="Q68" s="628">
        <f t="shared" ca="1" si="53"/>
        <v>4932.9455193199574</v>
      </c>
      <c r="R68" s="628">
        <f t="shared" ca="1" si="53"/>
        <v>135429.01071162295</v>
      </c>
      <c r="S68" s="628">
        <f t="shared" ca="1" si="53"/>
        <v>54.61730079464774</v>
      </c>
      <c r="T68" s="628">
        <f t="shared" ca="1" si="53"/>
        <v>12998.297189136971</v>
      </c>
      <c r="U68" s="628">
        <f t="shared" ca="1" si="53"/>
        <v>12335.331305849377</v>
      </c>
      <c r="V68" s="629">
        <f t="shared" ca="1" si="53"/>
        <v>322632.58434479381</v>
      </c>
      <c r="W68" s="624">
        <v>1426</v>
      </c>
      <c r="X68" s="625">
        <v>148900</v>
      </c>
      <c r="Y68" s="625">
        <v>-6445</v>
      </c>
      <c r="Z68" s="625">
        <v>42.98</v>
      </c>
      <c r="AA68" s="625">
        <v>11100</v>
      </c>
      <c r="AB68" s="625">
        <v>10520</v>
      </c>
      <c r="AC68" s="626">
        <v>422700</v>
      </c>
      <c r="AG68" s="1"/>
      <c r="AS68" s="1"/>
      <c r="AT68" s="1"/>
      <c r="AU68" s="1"/>
      <c r="AV68" s="1"/>
      <c r="AW68" s="1"/>
      <c r="AX68" s="1"/>
      <c r="AY68" s="1"/>
      <c r="AZ68" s="1"/>
      <c r="BA68" s="1"/>
      <c r="BB68" s="1"/>
      <c r="BC68" s="1"/>
      <c r="BD68" s="1"/>
      <c r="BE68" s="1"/>
      <c r="BF68" s="1"/>
    </row>
    <row r="69" spans="2:58" outlineLevel="1" x14ac:dyDescent="0.25">
      <c r="B69" s="1363"/>
      <c r="D69" s="1355"/>
      <c r="F69" s="616" t="str">
        <f t="shared" si="52"/>
        <v>S_[HM]_Sugar beet_CF</v>
      </c>
      <c r="G69" s="612" t="s">
        <v>112</v>
      </c>
      <c r="I69" s="624">
        <f t="shared" ca="1" si="44"/>
        <v>2.4769215213864206</v>
      </c>
      <c r="J69" s="625">
        <f t="shared" ca="1" si="45"/>
        <v>0.20209350514916244</v>
      </c>
      <c r="K69" s="625">
        <f t="shared" ca="1" si="46"/>
        <v>-5.15930304402041</v>
      </c>
      <c r="L69" s="625">
        <f t="shared" ca="1" si="47"/>
        <v>2.8159406304769687</v>
      </c>
      <c r="M69" s="625">
        <f t="shared" ca="1" si="48"/>
        <v>1.4560355757360504</v>
      </c>
      <c r="N69" s="625">
        <f t="shared" ca="1" si="49"/>
        <v>1.4521569506189609</v>
      </c>
      <c r="O69" s="626">
        <f t="shared" ca="1" si="50"/>
        <v>0.78397569592335992</v>
      </c>
      <c r="P69" s="627">
        <f t="shared" ca="1" si="53"/>
        <v>2945.0596889284543</v>
      </c>
      <c r="Q69" s="628">
        <f t="shared" ca="1" si="53"/>
        <v>28474.974875516986</v>
      </c>
      <c r="R69" s="628">
        <f t="shared" ca="1" si="53"/>
        <v>151838.28858552067</v>
      </c>
      <c r="S69" s="628">
        <f t="shared" ca="1" si="53"/>
        <v>72.932862329353483</v>
      </c>
      <c r="T69" s="628">
        <f t="shared" ca="1" si="53"/>
        <v>18666.376080936167</v>
      </c>
      <c r="U69" s="628">
        <f t="shared" ca="1" si="53"/>
        <v>18819.954080021733</v>
      </c>
      <c r="V69" s="629">
        <f t="shared" ca="1" si="53"/>
        <v>367606.20381846349</v>
      </c>
      <c r="W69" s="624">
        <v>1189</v>
      </c>
      <c r="X69" s="625">
        <v>140900</v>
      </c>
      <c r="Y69" s="625">
        <v>-29430</v>
      </c>
      <c r="Z69" s="625">
        <v>25.9</v>
      </c>
      <c r="AA69" s="625">
        <v>12820</v>
      </c>
      <c r="AB69" s="625">
        <v>12960</v>
      </c>
      <c r="AC69" s="626">
        <v>468900</v>
      </c>
      <c r="AG69" s="1"/>
      <c r="AS69" s="1"/>
      <c r="AT69" s="1"/>
      <c r="AU69" s="1"/>
      <c r="AV69" s="1"/>
      <c r="AW69" s="1"/>
      <c r="AX69" s="1"/>
      <c r="AY69" s="1"/>
      <c r="AZ69" s="1"/>
      <c r="BA69" s="1"/>
      <c r="BB69" s="1"/>
      <c r="BC69" s="1"/>
      <c r="BD69" s="1"/>
      <c r="BE69" s="1"/>
      <c r="BF69" s="1"/>
    </row>
    <row r="70" spans="2:58" outlineLevel="1" x14ac:dyDescent="0.25">
      <c r="B70" s="1363"/>
      <c r="D70" s="1355"/>
      <c r="F70" s="616" t="str">
        <f t="shared" si="52"/>
        <v>S_[HM]_Sunflower seed_CF</v>
      </c>
      <c r="G70" s="612" t="s">
        <v>110</v>
      </c>
      <c r="I70" s="624">
        <f t="shared" ca="1" si="44"/>
        <v>1.0852982451912845</v>
      </c>
      <c r="J70" s="625">
        <f t="shared" ca="1" si="45"/>
        <v>3.5524630463023524E-2</v>
      </c>
      <c r="K70" s="625">
        <f t="shared" ca="1" si="46"/>
        <v>-22.380946618853187</v>
      </c>
      <c r="L70" s="625">
        <f t="shared" ca="1" si="47"/>
        <v>1.3651943561604962</v>
      </c>
      <c r="M70" s="625">
        <f t="shared" ca="1" si="48"/>
        <v>1.216762823167401</v>
      </c>
      <c r="N70" s="625">
        <f t="shared" ca="1" si="49"/>
        <v>1.2051560181021626</v>
      </c>
      <c r="O70" s="626">
        <f t="shared" ca="1" si="50"/>
        <v>0.84348079005729504</v>
      </c>
      <c r="P70" s="627">
        <f t="shared" ca="1" si="53"/>
        <v>1547.6352976427715</v>
      </c>
      <c r="Q70" s="628">
        <f t="shared" ca="1" si="53"/>
        <v>5289.6174759442029</v>
      </c>
      <c r="R70" s="628">
        <f t="shared" ca="1" si="53"/>
        <v>145632.81964887769</v>
      </c>
      <c r="S70" s="628">
        <f t="shared" ca="1" si="53"/>
        <v>58.635097597093313</v>
      </c>
      <c r="T70" s="628">
        <f t="shared" ca="1" si="53"/>
        <v>13506.067337158151</v>
      </c>
      <c r="U70" s="628">
        <f t="shared" ca="1" si="53"/>
        <v>12666.189750253729</v>
      </c>
      <c r="V70" s="629">
        <f t="shared" ca="1" si="53"/>
        <v>356539.32995721861</v>
      </c>
      <c r="W70" s="624">
        <v>1426</v>
      </c>
      <c r="X70" s="625">
        <v>148900</v>
      </c>
      <c r="Y70" s="625">
        <v>-6507</v>
      </c>
      <c r="Z70" s="625">
        <v>42.95</v>
      </c>
      <c r="AA70" s="625">
        <v>11100</v>
      </c>
      <c r="AB70" s="625">
        <v>10510</v>
      </c>
      <c r="AC70" s="626">
        <v>422700</v>
      </c>
      <c r="AG70" s="1"/>
      <c r="AS70" s="1"/>
      <c r="AT70" s="1"/>
      <c r="AU70" s="1"/>
      <c r="AV70" s="1"/>
      <c r="AW70" s="1"/>
      <c r="AX70" s="1"/>
      <c r="AY70" s="1"/>
      <c r="AZ70" s="1"/>
      <c r="BA70" s="1"/>
      <c r="BB70" s="1"/>
      <c r="BC70" s="1"/>
      <c r="BD70" s="1"/>
      <c r="BE70" s="1"/>
      <c r="BF70" s="1"/>
    </row>
    <row r="71" spans="2:58" outlineLevel="1" x14ac:dyDescent="0.25">
      <c r="B71" s="1363"/>
      <c r="D71" s="1355"/>
      <c r="F71" s="616" t="str">
        <f t="shared" si="52"/>
        <v>S_[HM]_Triticale_CF</v>
      </c>
      <c r="G71" s="612" t="s">
        <v>100</v>
      </c>
      <c r="I71" s="624">
        <f t="shared" ca="1" si="44"/>
        <v>1.056529224196135</v>
      </c>
      <c r="J71" s="625">
        <f t="shared" ca="1" si="45"/>
        <v>-5.2361751569482091E-2</v>
      </c>
      <c r="K71" s="625">
        <f t="shared" ca="1" si="46"/>
        <v>-19.519952283805168</v>
      </c>
      <c r="L71" s="625">
        <f t="shared" ca="1" si="47"/>
        <v>1.2087292853790985</v>
      </c>
      <c r="M71" s="625">
        <f t="shared" ca="1" si="48"/>
        <v>1.1412858919018782</v>
      </c>
      <c r="N71" s="625">
        <f t="shared" ca="1" si="49"/>
        <v>1.147714095689788</v>
      </c>
      <c r="O71" s="626">
        <f t="shared" ca="1" si="50"/>
        <v>0.52435238556194885</v>
      </c>
      <c r="P71" s="627">
        <f t="shared" ca="1" si="53"/>
        <v>1828.8520870835098</v>
      </c>
      <c r="Q71" s="628">
        <f t="shared" ca="1" si="53"/>
        <v>-7157.8514395482016</v>
      </c>
      <c r="R71" s="628">
        <f t="shared" ca="1" si="53"/>
        <v>135312.30923133742</v>
      </c>
      <c r="S71" s="628">
        <f t="shared" ca="1" si="53"/>
        <v>33.84441999061476</v>
      </c>
      <c r="T71" s="628">
        <f t="shared" ca="1" si="53"/>
        <v>10734.935099229067</v>
      </c>
      <c r="U71" s="628">
        <f t="shared" ca="1" si="53"/>
        <v>15895.840225303564</v>
      </c>
      <c r="V71" s="629">
        <f t="shared" ca="1" si="53"/>
        <v>224894.73816751986</v>
      </c>
      <c r="W71" s="624">
        <v>1731</v>
      </c>
      <c r="X71" s="625">
        <v>136700</v>
      </c>
      <c r="Y71" s="625">
        <v>-6932</v>
      </c>
      <c r="Z71" s="625">
        <v>28</v>
      </c>
      <c r="AA71" s="625">
        <v>9406</v>
      </c>
      <c r="AB71" s="625">
        <v>13850</v>
      </c>
      <c r="AC71" s="626">
        <v>428900</v>
      </c>
      <c r="AG71" s="1"/>
      <c r="AS71" s="1"/>
      <c r="AT71" s="1"/>
      <c r="AU71" s="1"/>
      <c r="AV71" s="1"/>
      <c r="AW71" s="1"/>
      <c r="AX71" s="1"/>
      <c r="AY71" s="1"/>
      <c r="AZ71" s="1"/>
      <c r="BA71" s="1"/>
      <c r="BB71" s="1"/>
      <c r="BC71" s="1"/>
      <c r="BD71" s="1"/>
      <c r="BE71" s="1"/>
      <c r="BF71" s="1"/>
    </row>
    <row r="72" spans="2:58" outlineLevel="1" x14ac:dyDescent="0.25">
      <c r="B72" s="1363"/>
      <c r="D72" s="1355"/>
      <c r="F72" s="616" t="str">
        <f t="shared" si="52"/>
        <v>S_[HM]_Wheat_CF</v>
      </c>
      <c r="G72" s="613" t="s">
        <v>101</v>
      </c>
      <c r="I72" s="630">
        <f t="shared" ca="1" si="44"/>
        <v>1.0404974266529841</v>
      </c>
      <c r="J72" s="631">
        <f t="shared" ca="1" si="45"/>
        <v>-5.5248864396636239E-2</v>
      </c>
      <c r="K72" s="631">
        <f t="shared" ca="1" si="46"/>
        <v>-35.576866313316515</v>
      </c>
      <c r="L72" s="631">
        <f t="shared" ca="1" si="47"/>
        <v>0.96616811955909654</v>
      </c>
      <c r="M72" s="631">
        <f t="shared" ca="1" si="48"/>
        <v>1.0560522889926296</v>
      </c>
      <c r="N72" s="631">
        <f t="shared" ca="1" si="49"/>
        <v>1.1194167725558364</v>
      </c>
      <c r="O72" s="632">
        <f t="shared" ca="1" si="50"/>
        <v>0.55216623260963327</v>
      </c>
      <c r="P72" s="633">
        <f t="shared" ca="1" si="53"/>
        <v>2222.5025033307738</v>
      </c>
      <c r="Q72" s="634">
        <f t="shared" ca="1" si="53"/>
        <v>-7469.6464664252198</v>
      </c>
      <c r="R72" s="634">
        <f t="shared" ca="1" si="53"/>
        <v>131207.48296351131</v>
      </c>
      <c r="S72" s="634">
        <f t="shared" ca="1" si="53"/>
        <v>25.20732623929683</v>
      </c>
      <c r="T72" s="634">
        <f t="shared" ca="1" si="53"/>
        <v>10377.825843930572</v>
      </c>
      <c r="U72" s="634">
        <f t="shared" ca="1" si="53"/>
        <v>18918.143456193637</v>
      </c>
      <c r="V72" s="635">
        <f t="shared" ca="1" si="53"/>
        <v>243615.74182737022</v>
      </c>
      <c r="W72" s="630">
        <v>2136</v>
      </c>
      <c r="X72" s="631">
        <v>135200</v>
      </c>
      <c r="Y72" s="631">
        <v>-3688</v>
      </c>
      <c r="Z72" s="631">
        <v>26.09</v>
      </c>
      <c r="AA72" s="631">
        <v>9827</v>
      </c>
      <c r="AB72" s="631">
        <v>16900</v>
      </c>
      <c r="AC72" s="632">
        <v>441200</v>
      </c>
      <c r="AG72" s="1"/>
      <c r="AS72" s="1"/>
      <c r="AT72" s="1"/>
      <c r="AU72" s="1"/>
      <c r="AV72" s="1"/>
      <c r="AW72" s="1"/>
      <c r="AX72" s="1"/>
      <c r="AY72" s="1"/>
      <c r="AZ72" s="1"/>
      <c r="BA72" s="1"/>
      <c r="BB72" s="1"/>
      <c r="BC72" s="1"/>
      <c r="BD72" s="1"/>
      <c r="BE72" s="1"/>
      <c r="BF72" s="1"/>
    </row>
    <row r="73" spans="2:58" outlineLevel="1" x14ac:dyDescent="0.25">
      <c r="B73" s="1363"/>
      <c r="D73" s="1355"/>
      <c r="F73" s="616" t="str">
        <f t="shared" si="52"/>
        <v>S_[HM]_Grass_dairy_NL_CF</v>
      </c>
      <c r="G73" s="612" t="s">
        <v>630</v>
      </c>
      <c r="I73" s="624">
        <f t="shared" ca="1" si="44"/>
        <v>1.5395840423945095</v>
      </c>
      <c r="J73" s="625">
        <f t="shared" ca="1" si="45"/>
        <v>2.4506531198489503</v>
      </c>
      <c r="K73" s="625">
        <f t="shared" ca="1" si="46"/>
        <v>0.21544137886723796</v>
      </c>
      <c r="L73" s="625">
        <f t="shared" ca="1" si="47"/>
        <v>1.6974389624148152</v>
      </c>
      <c r="M73" s="625">
        <f t="shared" ca="1" si="48"/>
        <v>-32.406082931758597</v>
      </c>
      <c r="N73" s="625">
        <f t="shared" ca="1" si="49"/>
        <v>2.9161580945043157</v>
      </c>
      <c r="O73" s="626">
        <f t="shared" ca="1" si="50"/>
        <v>0.82091635887538283</v>
      </c>
      <c r="P73" s="627">
        <f t="shared" ca="1" si="53"/>
        <v>2512.3240320602085</v>
      </c>
      <c r="Q73" s="628">
        <f t="shared" ca="1" si="53"/>
        <v>108780.96304960232</v>
      </c>
      <c r="R73" s="628">
        <f t="shared" ca="1" si="53"/>
        <v>182230.08635802771</v>
      </c>
      <c r="S73" s="628">
        <f t="shared" ca="1" si="53"/>
        <v>859.9395527489695</v>
      </c>
      <c r="T73" s="628">
        <f t="shared" ca="1" si="53"/>
        <v>63883.731587522307</v>
      </c>
      <c r="U73" s="628">
        <f t="shared" ca="1" si="53"/>
        <v>66421.012141134401</v>
      </c>
      <c r="V73" s="629">
        <f t="shared" ca="1" si="53"/>
        <v>702197.31495328678</v>
      </c>
      <c r="W73" s="624">
        <v>1631.82</v>
      </c>
      <c r="X73" s="625">
        <v>44388.56</v>
      </c>
      <c r="Y73" s="625">
        <v>845845.34</v>
      </c>
      <c r="Z73" s="625">
        <v>506.61</v>
      </c>
      <c r="AA73" s="625">
        <v>-1971.35</v>
      </c>
      <c r="AB73" s="625">
        <v>22776.89</v>
      </c>
      <c r="AC73" s="626">
        <v>855382.29</v>
      </c>
      <c r="AG73" s="1"/>
      <c r="AS73" s="1"/>
      <c r="AT73" s="1"/>
      <c r="AU73" s="1"/>
      <c r="AV73" s="1"/>
      <c r="AW73" s="1"/>
      <c r="AX73" s="1"/>
      <c r="AY73" s="1"/>
      <c r="AZ73" s="1"/>
      <c r="BA73" s="1"/>
      <c r="BB73" s="1"/>
      <c r="BC73" s="1"/>
      <c r="BD73" s="1"/>
      <c r="BE73" s="1"/>
      <c r="BF73" s="1"/>
    </row>
    <row r="74" spans="2:58" outlineLevel="1" x14ac:dyDescent="0.25">
      <c r="B74" s="1363"/>
      <c r="D74" s="1355"/>
      <c r="F74" s="617" t="str">
        <f t="shared" si="52"/>
        <v>S_[HM]_Grass_beef_IE_CF</v>
      </c>
      <c r="G74" s="614" t="s">
        <v>631</v>
      </c>
      <c r="I74" s="636">
        <f t="shared" ca="1" si="44"/>
        <v>1.4909244612167785</v>
      </c>
      <c r="J74" s="637">
        <f t="shared" ca="1" si="45"/>
        <v>2.4170462108752231</v>
      </c>
      <c r="K74" s="637">
        <f t="shared" ca="1" si="46"/>
        <v>0.18647676188797413</v>
      </c>
      <c r="L74" s="637">
        <f t="shared" ca="1" si="47"/>
        <v>1.7716680105487412</v>
      </c>
      <c r="M74" s="637">
        <f t="shared" ca="1" si="48"/>
        <v>-4.7637055786459959</v>
      </c>
      <c r="N74" s="637">
        <f t="shared" ca="1" si="49"/>
        <v>2.8605269101157509</v>
      </c>
      <c r="O74" s="638">
        <f t="shared" ca="1" si="50"/>
        <v>0.7908320642993909</v>
      </c>
      <c r="P74" s="639">
        <f t="shared" ca="1" si="53"/>
        <v>1930.389355405036</v>
      </c>
      <c r="Q74" s="640">
        <f t="shared" ca="1" si="53"/>
        <v>80480.194319815433</v>
      </c>
      <c r="R74" s="640">
        <f t="shared" ca="1" si="53"/>
        <v>111849.11049195161</v>
      </c>
      <c r="S74" s="640">
        <f t="shared" ca="1" si="53"/>
        <v>591.71939884317408</v>
      </c>
      <c r="T74" s="640">
        <f t="shared" ca="1" si="53"/>
        <v>38719.827676736735</v>
      </c>
      <c r="U74" s="640">
        <f t="shared" ca="1" si="53"/>
        <v>47782.870822493729</v>
      </c>
      <c r="V74" s="641">
        <f t="shared" ca="1" si="53"/>
        <v>418506.99192104902</v>
      </c>
      <c r="W74" s="636">
        <v>1294.76</v>
      </c>
      <c r="X74" s="637">
        <v>33296.92</v>
      </c>
      <c r="Y74" s="637">
        <v>599801.87</v>
      </c>
      <c r="Z74" s="637">
        <v>333.99</v>
      </c>
      <c r="AA74" s="637">
        <v>-8128.09</v>
      </c>
      <c r="AB74" s="637">
        <v>16704.22</v>
      </c>
      <c r="AC74" s="638">
        <v>529198.31000000006</v>
      </c>
      <c r="AG74" s="1"/>
      <c r="AS74" s="1"/>
      <c r="AT74" s="1"/>
      <c r="AU74" s="1"/>
      <c r="AV74" s="1"/>
      <c r="AW74" s="1"/>
      <c r="AX74" s="1"/>
      <c r="AY74" s="1"/>
      <c r="AZ74" s="1"/>
      <c r="BA74" s="1"/>
      <c r="BB74" s="1"/>
      <c r="BC74" s="1"/>
      <c r="BD74" s="1"/>
      <c r="BE74" s="1"/>
      <c r="BF74" s="1"/>
    </row>
    <row r="75" spans="2:58" outlineLevel="1" x14ac:dyDescent="0.25">
      <c r="B75" s="1363"/>
      <c r="D75" s="1355"/>
      <c r="F75" s="616" t="str">
        <f>"W_[HM]_"&amp;$G75&amp;"_CF"</f>
        <v>W_[HM]_Barley_CF</v>
      </c>
      <c r="G75" s="612" t="s">
        <v>91</v>
      </c>
      <c r="I75" s="642">
        <f t="shared" ca="1" si="44"/>
        <v>1.0121576236855723</v>
      </c>
      <c r="J75" s="643">
        <f t="shared" ca="1" si="45"/>
        <v>0.91786800558077508</v>
      </c>
      <c r="K75" s="643">
        <f t="shared" ca="1" si="46"/>
        <v>1.0688894441279906</v>
      </c>
      <c r="L75" s="643">
        <f t="shared" ca="1" si="47"/>
        <v>1.1010538632618794</v>
      </c>
      <c r="M75" s="643">
        <f t="shared" ca="1" si="48"/>
        <v>1</v>
      </c>
      <c r="N75" s="643">
        <f t="shared" ca="1" si="49"/>
        <v>1.0659244940819284</v>
      </c>
      <c r="O75" s="644">
        <f t="shared" ca="1" si="50"/>
        <v>1.0062137368107285</v>
      </c>
      <c r="P75" s="645">
        <f t="shared" ref="P75:V84" ca="1" si="54">INDEX(OFFSET($I$235,0,MATCH(P$53,$I$8:$AY$8,0)-1,COUNTA($G$75:$G$95),1),MATCH($G75,$G$235:$G$255,0),1)</f>
        <v>38.320287632735763</v>
      </c>
      <c r="Q75" s="646">
        <f t="shared" ca="1" si="54"/>
        <v>19054.939795856892</v>
      </c>
      <c r="R75" s="646">
        <f t="shared" ca="1" si="54"/>
        <v>3551.9196228373125</v>
      </c>
      <c r="S75" s="646">
        <f t="shared" ca="1" si="54"/>
        <v>0.80795332486156712</v>
      </c>
      <c r="T75" s="646">
        <f t="shared" ca="1" si="54"/>
        <v>0</v>
      </c>
      <c r="U75" s="646">
        <f t="shared" ca="1" si="54"/>
        <v>306.66647694737077</v>
      </c>
      <c r="V75" s="647">
        <f t="shared" ca="1" si="54"/>
        <v>27872.120509657176</v>
      </c>
      <c r="W75" s="642">
        <v>37.86</v>
      </c>
      <c r="X75" s="643">
        <v>20760</v>
      </c>
      <c r="Y75" s="643">
        <v>3323</v>
      </c>
      <c r="Z75" s="643">
        <v>0.73380000000000001</v>
      </c>
      <c r="AA75" s="643">
        <v>0</v>
      </c>
      <c r="AB75" s="643">
        <v>287.7</v>
      </c>
      <c r="AC75" s="644">
        <v>27700</v>
      </c>
      <c r="AG75" s="1"/>
      <c r="AS75" s="1"/>
      <c r="AT75" s="1"/>
      <c r="AU75" s="1"/>
      <c r="AV75" s="1"/>
      <c r="AW75" s="1"/>
      <c r="AX75" s="1"/>
      <c r="AY75" s="1"/>
      <c r="AZ75" s="1"/>
      <c r="BA75" s="1"/>
      <c r="BB75" s="1"/>
      <c r="BC75" s="1"/>
      <c r="BD75" s="1"/>
      <c r="BE75" s="1"/>
      <c r="BF75" s="1"/>
    </row>
    <row r="76" spans="2:58" outlineLevel="1" x14ac:dyDescent="0.25">
      <c r="B76" s="1363"/>
      <c r="D76" s="1355"/>
      <c r="F76" s="616" t="str">
        <f t="shared" ref="F76:F95" si="55">"W_[HM]_"&amp;$G76&amp;"_CF"</f>
        <v>W_[HM]_Broad beans_CF</v>
      </c>
      <c r="G76" s="612" t="s">
        <v>102</v>
      </c>
      <c r="I76" s="642">
        <f t="shared" ca="1" si="44"/>
        <v>1.0232555485768113</v>
      </c>
      <c r="J76" s="643">
        <f t="shared" ca="1" si="45"/>
        <v>0.88260181705946916</v>
      </c>
      <c r="K76" s="643">
        <f t="shared" ca="1" si="46"/>
        <v>1.1062408288514614</v>
      </c>
      <c r="L76" s="643">
        <f t="shared" ca="1" si="47"/>
        <v>1.1417848127508552</v>
      </c>
      <c r="M76" s="643">
        <f t="shared" ca="1" si="48"/>
        <v>1</v>
      </c>
      <c r="N76" s="643">
        <f t="shared" ca="1" si="49"/>
        <v>1.1262594570244222</v>
      </c>
      <c r="O76" s="644">
        <f t="shared" ca="1" si="50"/>
        <v>1.0065218788068784</v>
      </c>
      <c r="P76" s="645">
        <f t="shared" ca="1" si="54"/>
        <v>34.811153762583125</v>
      </c>
      <c r="Q76" s="646">
        <f t="shared" ca="1" si="54"/>
        <v>18313.987703983985</v>
      </c>
      <c r="R76" s="646">
        <f t="shared" ca="1" si="54"/>
        <v>3551.0330606131911</v>
      </c>
      <c r="S76" s="646">
        <f t="shared" ca="1" si="54"/>
        <v>0.74878248020201088</v>
      </c>
      <c r="T76" s="646">
        <f t="shared" ca="1" si="54"/>
        <v>0</v>
      </c>
      <c r="U76" s="646">
        <f t="shared" ca="1" si="54"/>
        <v>242.03315731454836</v>
      </c>
      <c r="V76" s="647">
        <f t="shared" ca="1" si="54"/>
        <v>27629.025573248811</v>
      </c>
      <c r="W76" s="642">
        <v>34.020000000000003</v>
      </c>
      <c r="X76" s="643">
        <v>20750</v>
      </c>
      <c r="Y76" s="643">
        <v>3210</v>
      </c>
      <c r="Z76" s="643">
        <v>0.65580000000000005</v>
      </c>
      <c r="AA76" s="643">
        <v>0</v>
      </c>
      <c r="AB76" s="643">
        <v>214.9</v>
      </c>
      <c r="AC76" s="644">
        <v>27450</v>
      </c>
      <c r="AG76" s="1"/>
      <c r="AS76" s="1"/>
      <c r="AT76" s="1"/>
      <c r="AU76" s="1"/>
      <c r="AV76" s="1"/>
      <c r="AW76" s="1"/>
      <c r="AX76" s="1"/>
      <c r="AY76" s="1"/>
      <c r="AZ76" s="1"/>
      <c r="BA76" s="1"/>
      <c r="BB76" s="1"/>
      <c r="BC76" s="1"/>
      <c r="BD76" s="1"/>
      <c r="BE76" s="1"/>
      <c r="BF76" s="1"/>
    </row>
    <row r="77" spans="2:58" outlineLevel="1" x14ac:dyDescent="0.25">
      <c r="B77" s="1363"/>
      <c r="D77" s="1355"/>
      <c r="F77" s="616" t="str">
        <f t="shared" si="55"/>
        <v>W_[HM]_Green beans_CF</v>
      </c>
      <c r="G77" s="612" t="s">
        <v>103</v>
      </c>
      <c r="I77" s="642">
        <f t="shared" ca="1" si="44"/>
        <v>1.017767246770924</v>
      </c>
      <c r="J77" s="643">
        <f t="shared" ca="1" si="45"/>
        <v>0.8955327603369615</v>
      </c>
      <c r="K77" s="643">
        <f t="shared" ca="1" si="46"/>
        <v>1.0907403978395491</v>
      </c>
      <c r="L77" s="643">
        <f t="shared" ca="1" si="47"/>
        <v>1.1051357041390273</v>
      </c>
      <c r="M77" s="643">
        <f t="shared" ca="1" si="48"/>
        <v>1</v>
      </c>
      <c r="N77" s="643">
        <f t="shared" ca="1" si="49"/>
        <v>1.0705880534734433</v>
      </c>
      <c r="O77" s="644">
        <f t="shared" ca="1" si="50"/>
        <v>1.0051440708253345</v>
      </c>
      <c r="P77" s="645">
        <f t="shared" ca="1" si="54"/>
        <v>36.232513985044896</v>
      </c>
      <c r="Q77" s="646">
        <f t="shared" ca="1" si="54"/>
        <v>18591.26010459532</v>
      </c>
      <c r="R77" s="646">
        <f t="shared" ca="1" si="54"/>
        <v>3551.4507353655722</v>
      </c>
      <c r="S77" s="646">
        <f t="shared" ca="1" si="54"/>
        <v>0.78553045850202052</v>
      </c>
      <c r="T77" s="646">
        <f t="shared" ca="1" si="54"/>
        <v>0</v>
      </c>
      <c r="U77" s="646">
        <f t="shared" ca="1" si="54"/>
        <v>293.87642067846019</v>
      </c>
      <c r="V77" s="647">
        <f t="shared" ca="1" si="54"/>
        <v>27741.976354779232</v>
      </c>
      <c r="W77" s="642">
        <v>35.6</v>
      </c>
      <c r="X77" s="643">
        <v>20760</v>
      </c>
      <c r="Y77" s="643">
        <v>3256</v>
      </c>
      <c r="Z77" s="643">
        <v>0.71079999999999999</v>
      </c>
      <c r="AA77" s="643">
        <v>0</v>
      </c>
      <c r="AB77" s="643">
        <v>274.5</v>
      </c>
      <c r="AC77" s="644">
        <v>27600</v>
      </c>
      <c r="AG77" s="1"/>
      <c r="AS77" s="1"/>
      <c r="AT77" s="1"/>
      <c r="AU77" s="1"/>
      <c r="AV77" s="1"/>
      <c r="AW77" s="1"/>
      <c r="AX77" s="1"/>
      <c r="AY77" s="1"/>
      <c r="AZ77" s="1"/>
      <c r="BA77" s="1"/>
      <c r="BB77" s="1"/>
    </row>
    <row r="78" spans="2:58" outlineLevel="1" x14ac:dyDescent="0.25">
      <c r="B78" s="1363"/>
      <c r="D78" s="1355"/>
      <c r="F78" s="616" t="str">
        <f t="shared" si="55"/>
        <v>W_[HM]_Linseed_CF</v>
      </c>
      <c r="G78" s="612" t="s">
        <v>107</v>
      </c>
      <c r="I78" s="642">
        <f t="shared" ca="1" si="44"/>
        <v>1.0207173135103538</v>
      </c>
      <c r="J78" s="643">
        <f t="shared" ca="1" si="45"/>
        <v>0.88942044711500801</v>
      </c>
      <c r="K78" s="643">
        <f t="shared" ca="1" si="46"/>
        <v>1.0973824611803942</v>
      </c>
      <c r="L78" s="643">
        <f t="shared" ca="1" si="47"/>
        <v>1.1281254085964754</v>
      </c>
      <c r="M78" s="643">
        <f t="shared" ca="1" si="48"/>
        <v>1</v>
      </c>
      <c r="N78" s="643">
        <f t="shared" ca="1" si="49"/>
        <v>1.1098840328907267</v>
      </c>
      <c r="O78" s="644">
        <f t="shared" ca="1" si="50"/>
        <v>1.0058868889395924</v>
      </c>
      <c r="P78" s="645">
        <f t="shared" ca="1" si="54"/>
        <v>35.582205548970933</v>
      </c>
      <c r="Q78" s="646">
        <f t="shared" ca="1" si="54"/>
        <v>18464.368482107566</v>
      </c>
      <c r="R78" s="646">
        <f t="shared" ca="1" si="54"/>
        <v>3551.1296443797555</v>
      </c>
      <c r="S78" s="646">
        <f t="shared" ca="1" si="54"/>
        <v>0.75640808646393665</v>
      </c>
      <c r="T78" s="646">
        <f t="shared" ca="1" si="54"/>
        <v>0</v>
      </c>
      <c r="U78" s="646">
        <f t="shared" ca="1" si="54"/>
        <v>254.60739714513269</v>
      </c>
      <c r="V78" s="647">
        <f t="shared" ca="1" si="54"/>
        <v>27661.889445838791</v>
      </c>
      <c r="W78" s="642">
        <v>34.86</v>
      </c>
      <c r="X78" s="643">
        <v>20760</v>
      </c>
      <c r="Y78" s="643">
        <v>3236</v>
      </c>
      <c r="Z78" s="643">
        <v>0.67049999999999998</v>
      </c>
      <c r="AA78" s="643">
        <v>0</v>
      </c>
      <c r="AB78" s="643">
        <v>229.4</v>
      </c>
      <c r="AC78" s="644">
        <v>27500</v>
      </c>
      <c r="AG78" s="1"/>
      <c r="AS78" s="1"/>
      <c r="AT78" s="1"/>
      <c r="AU78" s="1"/>
      <c r="AV78" s="1"/>
      <c r="AW78" s="1"/>
      <c r="AX78" s="1"/>
      <c r="AY78" s="1"/>
      <c r="AZ78" s="1"/>
      <c r="BA78" s="1"/>
      <c r="BB78" s="1"/>
    </row>
    <row r="79" spans="2:58" outlineLevel="1" x14ac:dyDescent="0.25">
      <c r="B79" s="1363"/>
      <c r="D79" s="1355"/>
      <c r="F79" s="616" t="str">
        <f t="shared" si="55"/>
        <v>W_[HM]_Lupins_CF</v>
      </c>
      <c r="G79" s="612" t="s">
        <v>104</v>
      </c>
      <c r="I79" s="642">
        <f t="shared" ca="1" si="44"/>
        <v>1.0129604977069058</v>
      </c>
      <c r="J79" s="643">
        <f t="shared" ca="1" si="45"/>
        <v>0.91514240134234892</v>
      </c>
      <c r="K79" s="643">
        <f t="shared" ca="1" si="46"/>
        <v>1.0706289356000065</v>
      </c>
      <c r="L79" s="643">
        <f t="shared" ca="1" si="47"/>
        <v>1.1290082460920989</v>
      </c>
      <c r="M79" s="643">
        <f t="shared" ca="1" si="48"/>
        <v>1</v>
      </c>
      <c r="N79" s="643">
        <f t="shared" ca="1" si="49"/>
        <v>1.1277493796145484</v>
      </c>
      <c r="O79" s="644">
        <f t="shared" ca="1" si="50"/>
        <v>1.005927445956156</v>
      </c>
      <c r="P79" s="645">
        <f t="shared" ca="1" si="54"/>
        <v>37.945500244100693</v>
      </c>
      <c r="Q79" s="646">
        <f t="shared" ca="1" si="54"/>
        <v>18998.356251867164</v>
      </c>
      <c r="R79" s="646">
        <f t="shared" ca="1" si="54"/>
        <v>3551.2761793852219</v>
      </c>
      <c r="S79" s="646">
        <f t="shared" ca="1" si="54"/>
        <v>0.76083865704146547</v>
      </c>
      <c r="T79" s="646">
        <f t="shared" ca="1" si="54"/>
        <v>0</v>
      </c>
      <c r="U79" s="646">
        <f t="shared" ca="1" si="54"/>
        <v>240.43616773382169</v>
      </c>
      <c r="V79" s="647">
        <f t="shared" ca="1" si="54"/>
        <v>27723.360410551657</v>
      </c>
      <c r="W79" s="642">
        <v>37.46</v>
      </c>
      <c r="X79" s="643">
        <v>20760</v>
      </c>
      <c r="Y79" s="643">
        <v>3317</v>
      </c>
      <c r="Z79" s="643">
        <v>0.67390000000000005</v>
      </c>
      <c r="AA79" s="643">
        <v>0</v>
      </c>
      <c r="AB79" s="643">
        <v>213.2</v>
      </c>
      <c r="AC79" s="644">
        <v>27560</v>
      </c>
      <c r="AG79" s="1"/>
      <c r="AS79" s="1"/>
      <c r="AT79" s="1"/>
      <c r="AU79" s="1"/>
      <c r="AV79" s="1"/>
      <c r="AW79" s="1"/>
      <c r="AX79" s="1"/>
      <c r="AY79" s="1"/>
      <c r="AZ79" s="1"/>
      <c r="BA79" s="1"/>
      <c r="BB79" s="1"/>
    </row>
    <row r="80" spans="2:58" outlineLevel="1" x14ac:dyDescent="0.25">
      <c r="B80" s="1363"/>
      <c r="D80" s="1355"/>
      <c r="F80" s="616" t="str">
        <f t="shared" si="55"/>
        <v>W_[HM]_Maize_CF</v>
      </c>
      <c r="G80" s="612" t="s">
        <v>97</v>
      </c>
      <c r="I80" s="642">
        <f t="shared" ca="1" si="44"/>
        <v>1.0074540247906563</v>
      </c>
      <c r="J80" s="643">
        <f t="shared" ca="1" si="45"/>
        <v>0.94443677040237928</v>
      </c>
      <c r="K80" s="643">
        <f t="shared" ca="1" si="46"/>
        <v>1.0432815726750841</v>
      </c>
      <c r="L80" s="643">
        <f t="shared" ca="1" si="47"/>
        <v>1.084066085899865</v>
      </c>
      <c r="M80" s="643">
        <f t="shared" ca="1" si="48"/>
        <v>1</v>
      </c>
      <c r="N80" s="643">
        <f t="shared" ca="1" si="49"/>
        <v>1.0578380305797435</v>
      </c>
      <c r="O80" s="644">
        <f t="shared" ca="1" si="50"/>
        <v>1.0046717387551918</v>
      </c>
      <c r="P80" s="645">
        <f t="shared" ca="1" si="54"/>
        <v>41.124273291954587</v>
      </c>
      <c r="Q80" s="646">
        <f t="shared" ca="1" si="54"/>
        <v>19615.951721257417</v>
      </c>
      <c r="R80" s="646">
        <f t="shared" ca="1" si="54"/>
        <v>3552.3737549586617</v>
      </c>
      <c r="S80" s="646">
        <f t="shared" ca="1" si="54"/>
        <v>0.82638357728146705</v>
      </c>
      <c r="T80" s="646">
        <f t="shared" ca="1" si="54"/>
        <v>0</v>
      </c>
      <c r="U80" s="646">
        <f t="shared" ca="1" si="54"/>
        <v>314.28367888524178</v>
      </c>
      <c r="V80" s="647">
        <f t="shared" ca="1" si="54"/>
        <v>28010.248076494747</v>
      </c>
      <c r="W80" s="642">
        <v>40.82</v>
      </c>
      <c r="X80" s="643">
        <v>20770</v>
      </c>
      <c r="Y80" s="643">
        <v>3405</v>
      </c>
      <c r="Z80" s="643">
        <v>0.76229999999999998</v>
      </c>
      <c r="AA80" s="643">
        <v>0</v>
      </c>
      <c r="AB80" s="643">
        <v>297.10000000000002</v>
      </c>
      <c r="AC80" s="644">
        <v>27880</v>
      </c>
      <c r="AG80" s="1"/>
      <c r="AS80" s="1"/>
      <c r="AT80" s="1"/>
      <c r="AU80" s="1"/>
      <c r="AV80" s="1"/>
      <c r="AW80" s="1"/>
      <c r="AX80" s="1"/>
      <c r="AY80" s="1"/>
      <c r="AZ80" s="1"/>
      <c r="BA80" s="1"/>
      <c r="BB80" s="1"/>
    </row>
    <row r="81" spans="2:58" outlineLevel="1" x14ac:dyDescent="0.25">
      <c r="B81" s="1363"/>
      <c r="D81" s="1355"/>
      <c r="F81" s="616" t="str">
        <f t="shared" si="55"/>
        <v>W_[HM]_Maize silage_CF</v>
      </c>
      <c r="G81" s="612" t="s">
        <v>628</v>
      </c>
      <c r="I81" s="642">
        <f t="shared" ca="1" si="44"/>
        <v>1.0939700699025221</v>
      </c>
      <c r="J81" s="643">
        <f t="shared" ca="1" si="45"/>
        <v>1.0401339840625916</v>
      </c>
      <c r="K81" s="643">
        <f t="shared" ca="1" si="46"/>
        <v>0.99370591609621117</v>
      </c>
      <c r="L81" s="643">
        <f t="shared" ca="1" si="47"/>
        <v>1.0247365383342533</v>
      </c>
      <c r="M81" s="643">
        <f t="shared" ca="1" si="48"/>
        <v>1</v>
      </c>
      <c r="N81" s="643">
        <f t="shared" ca="1" si="49"/>
        <v>1.3077772332375623</v>
      </c>
      <c r="O81" s="644">
        <f t="shared" ca="1" si="50"/>
        <v>0.99095501173507727</v>
      </c>
      <c r="P81" s="645">
        <f t="shared" ca="1" si="54"/>
        <v>40.301857375208918</v>
      </c>
      <c r="Q81" s="646">
        <f t="shared" ca="1" si="54"/>
        <v>20547.337189504306</v>
      </c>
      <c r="R81" s="646">
        <f t="shared" ca="1" si="54"/>
        <v>3568.1793293999535</v>
      </c>
      <c r="S81" s="646">
        <f t="shared" ca="1" si="54"/>
        <v>1.2399312113844463</v>
      </c>
      <c r="T81" s="646">
        <f t="shared" ca="1" si="54"/>
        <v>0</v>
      </c>
      <c r="U81" s="646">
        <f t="shared" ca="1" si="54"/>
        <v>482.94905446229939</v>
      </c>
      <c r="V81" s="647">
        <f t="shared" ca="1" si="54"/>
        <v>30555.790590797467</v>
      </c>
      <c r="W81" s="642">
        <v>36.840000000000003</v>
      </c>
      <c r="X81" s="643">
        <v>19754.509999999998</v>
      </c>
      <c r="Y81" s="643">
        <v>3590.78</v>
      </c>
      <c r="Z81" s="643">
        <v>1.21</v>
      </c>
      <c r="AA81" s="643">
        <v>0</v>
      </c>
      <c r="AB81" s="643">
        <v>369.29</v>
      </c>
      <c r="AC81" s="644">
        <v>30834.69</v>
      </c>
      <c r="AG81" s="1"/>
      <c r="AS81" s="1"/>
      <c r="AT81" s="1"/>
      <c r="AU81" s="1"/>
      <c r="AV81" s="1"/>
      <c r="AW81" s="1"/>
      <c r="AX81" s="1"/>
      <c r="AY81" s="1"/>
      <c r="AZ81" s="1"/>
      <c r="BA81" s="1"/>
      <c r="BB81" s="1"/>
    </row>
    <row r="82" spans="2:58" outlineLevel="1" x14ac:dyDescent="0.25">
      <c r="B82" s="1363"/>
      <c r="D82" s="1355"/>
      <c r="F82" s="616" t="str">
        <f t="shared" si="55"/>
        <v>W_[HM]_Mustard seed_CF</v>
      </c>
      <c r="G82" s="612" t="s">
        <v>108</v>
      </c>
      <c r="I82" s="642">
        <f t="shared" ca="1" si="44"/>
        <v>1.0031567879913579</v>
      </c>
      <c r="J82" s="643">
        <f t="shared" ca="1" si="45"/>
        <v>0.96772463683155152</v>
      </c>
      <c r="K82" s="643">
        <f t="shared" ca="1" si="46"/>
        <v>1.0240201094616976</v>
      </c>
      <c r="L82" s="643">
        <f t="shared" ca="1" si="47"/>
        <v>1.0699494927901778</v>
      </c>
      <c r="M82" s="643">
        <f t="shared" ca="1" si="48"/>
        <v>1</v>
      </c>
      <c r="N82" s="643">
        <f t="shared" ca="1" si="49"/>
        <v>1.0535985000784538</v>
      </c>
      <c r="O82" s="644">
        <f t="shared" ca="1" si="50"/>
        <v>1.0045182039525395</v>
      </c>
      <c r="P82" s="645">
        <f t="shared" ca="1" si="54"/>
        <v>43.607225573984323</v>
      </c>
      <c r="Q82" s="646">
        <f t="shared" ca="1" si="54"/>
        <v>20109.317953359641</v>
      </c>
      <c r="R82" s="646">
        <f t="shared" ca="1" si="54"/>
        <v>3553.3497798320905</v>
      </c>
      <c r="S82" s="646">
        <f t="shared" ca="1" si="54"/>
        <v>0.85317772555088778</v>
      </c>
      <c r="T82" s="646">
        <f t="shared" ca="1" si="54"/>
        <v>0</v>
      </c>
      <c r="U82" s="646">
        <f t="shared" ca="1" si="54"/>
        <v>319.8725046238186</v>
      </c>
      <c r="V82" s="647">
        <f t="shared" ca="1" si="54"/>
        <v>28247.051895145411</v>
      </c>
      <c r="W82" s="642">
        <v>43.47</v>
      </c>
      <c r="X82" s="643">
        <v>20780</v>
      </c>
      <c r="Y82" s="643">
        <v>3470</v>
      </c>
      <c r="Z82" s="643">
        <v>0.7974</v>
      </c>
      <c r="AA82" s="643">
        <v>0</v>
      </c>
      <c r="AB82" s="643">
        <v>303.60000000000002</v>
      </c>
      <c r="AC82" s="644">
        <v>28120</v>
      </c>
      <c r="AG82" s="1"/>
      <c r="AS82" s="1"/>
      <c r="AT82" s="1"/>
      <c r="AU82" s="1"/>
      <c r="AV82" s="1"/>
      <c r="AW82" s="1"/>
      <c r="AX82" s="1"/>
      <c r="AY82" s="1"/>
      <c r="AZ82" s="1"/>
      <c r="BA82" s="1"/>
      <c r="BB82" s="1"/>
      <c r="BC82" s="1"/>
      <c r="BD82" s="1"/>
      <c r="BE82" s="1"/>
      <c r="BF82" s="1"/>
    </row>
    <row r="83" spans="2:58" outlineLevel="1" x14ac:dyDescent="0.25">
      <c r="B83" s="1363"/>
      <c r="D83" s="1355"/>
      <c r="F83" s="616" t="str">
        <f t="shared" si="55"/>
        <v>W_[HM]_Oat_CF</v>
      </c>
      <c r="G83" s="612" t="s">
        <v>98</v>
      </c>
      <c r="I83" s="642">
        <f t="shared" ca="1" si="44"/>
        <v>1.0168081720275344</v>
      </c>
      <c r="J83" s="643">
        <f t="shared" ca="1" si="45"/>
        <v>0.90285764954541958</v>
      </c>
      <c r="K83" s="643">
        <f t="shared" ca="1" si="46"/>
        <v>1.0851140932592191</v>
      </c>
      <c r="L83" s="643">
        <f t="shared" ca="1" si="47"/>
        <v>1.1206231180005808</v>
      </c>
      <c r="M83" s="643">
        <f t="shared" ca="1" si="48"/>
        <v>1</v>
      </c>
      <c r="N83" s="643">
        <f t="shared" ca="1" si="49"/>
        <v>1.0798526075897383</v>
      </c>
      <c r="O83" s="644">
        <f t="shared" ca="1" si="50"/>
        <v>1.0071769949526423</v>
      </c>
      <c r="P83" s="645">
        <f t="shared" ca="1" si="54"/>
        <v>36.757615418795368</v>
      </c>
      <c r="Q83" s="646">
        <f t="shared" ca="1" si="54"/>
        <v>18743.324804562912</v>
      </c>
      <c r="R83" s="646">
        <f t="shared" ca="1" si="54"/>
        <v>3551.5784272374244</v>
      </c>
      <c r="S83" s="646">
        <f t="shared" ca="1" si="54"/>
        <v>0.78791011426620827</v>
      </c>
      <c r="T83" s="646">
        <f t="shared" ca="1" si="54"/>
        <v>0</v>
      </c>
      <c r="U83" s="646">
        <f t="shared" ca="1" si="54"/>
        <v>283.02936844927046</v>
      </c>
      <c r="V83" s="647">
        <f t="shared" ca="1" si="54"/>
        <v>27788.013290743405</v>
      </c>
      <c r="W83" s="642">
        <v>36.15</v>
      </c>
      <c r="X83" s="643">
        <v>20760</v>
      </c>
      <c r="Y83" s="643">
        <v>3273</v>
      </c>
      <c r="Z83" s="643">
        <v>0.70309999999999995</v>
      </c>
      <c r="AA83" s="643">
        <v>0</v>
      </c>
      <c r="AB83" s="643">
        <v>262.10000000000002</v>
      </c>
      <c r="AC83" s="644">
        <v>27590</v>
      </c>
      <c r="AG83" s="1"/>
      <c r="AS83" s="1"/>
      <c r="AT83" s="1"/>
      <c r="AU83" s="1"/>
      <c r="AV83" s="1"/>
      <c r="AW83" s="1"/>
      <c r="AX83" s="1"/>
      <c r="AY83" s="1"/>
      <c r="AZ83" s="1"/>
      <c r="BA83" s="1"/>
      <c r="BB83" s="1"/>
      <c r="BC83" s="1"/>
      <c r="BD83" s="1"/>
      <c r="BE83" s="1"/>
      <c r="BF83" s="1"/>
    </row>
    <row r="84" spans="2:58" outlineLevel="1" x14ac:dyDescent="0.25">
      <c r="B84" s="1363"/>
      <c r="D84" s="1355"/>
      <c r="F84" s="616" t="str">
        <f t="shared" si="55"/>
        <v>W_[HM]_Peas, dry_CF</v>
      </c>
      <c r="G84" s="612" t="s">
        <v>629</v>
      </c>
      <c r="I84" s="642">
        <f t="shared" ca="1" si="44"/>
        <v>1.0082713325993886</v>
      </c>
      <c r="J84" s="643">
        <f t="shared" ca="1" si="45"/>
        <v>0.93681251188974402</v>
      </c>
      <c r="K84" s="643">
        <f t="shared" ca="1" si="46"/>
        <v>1.0505602884460821</v>
      </c>
      <c r="L84" s="643">
        <f t="shared" ca="1" si="47"/>
        <v>1.1144297616212731</v>
      </c>
      <c r="M84" s="643">
        <f t="shared" ca="1" si="48"/>
        <v>1</v>
      </c>
      <c r="N84" s="643">
        <f t="shared" ca="1" si="49"/>
        <v>1.10081836795932</v>
      </c>
      <c r="O84" s="644">
        <f t="shared" ca="1" si="50"/>
        <v>1.0063275054133751</v>
      </c>
      <c r="P84" s="645">
        <f t="shared" ca="1" si="54"/>
        <v>40.139281750781663</v>
      </c>
      <c r="Q84" s="646">
        <f t="shared" ca="1" si="54"/>
        <v>19448.227746831086</v>
      </c>
      <c r="R84" s="646">
        <f t="shared" ca="1" si="54"/>
        <v>3551.9443352362036</v>
      </c>
      <c r="S84" s="646">
        <f t="shared" ca="1" si="54"/>
        <v>0.79124513075110381</v>
      </c>
      <c r="T84" s="646">
        <f t="shared" ca="1" si="54"/>
        <v>0</v>
      </c>
      <c r="U84" s="646">
        <f t="shared" ca="1" si="54"/>
        <v>263.31575361586931</v>
      </c>
      <c r="V84" s="647">
        <f t="shared" ca="1" si="54"/>
        <v>27885.335175004628</v>
      </c>
      <c r="W84" s="642">
        <v>39.81</v>
      </c>
      <c r="X84" s="643">
        <v>20760</v>
      </c>
      <c r="Y84" s="643">
        <v>3381</v>
      </c>
      <c r="Z84" s="643">
        <v>0.71</v>
      </c>
      <c r="AA84" s="643">
        <v>0</v>
      </c>
      <c r="AB84" s="643">
        <v>239.2</v>
      </c>
      <c r="AC84" s="644">
        <v>27710</v>
      </c>
      <c r="AG84" s="1"/>
      <c r="AS84" s="1"/>
      <c r="AT84" s="1"/>
      <c r="AU84" s="1"/>
      <c r="AV84" s="1"/>
      <c r="AW84" s="1"/>
      <c r="AX84" s="1"/>
      <c r="AY84" s="1"/>
      <c r="AZ84" s="1"/>
      <c r="BA84" s="1"/>
      <c r="BB84" s="1"/>
      <c r="BC84" s="1"/>
      <c r="BD84" s="1"/>
      <c r="BE84" s="1"/>
      <c r="BF84" s="1"/>
    </row>
    <row r="85" spans="2:58" outlineLevel="1" x14ac:dyDescent="0.25">
      <c r="B85" s="1363"/>
      <c r="D85" s="1355"/>
      <c r="F85" s="616" t="str">
        <f t="shared" si="55"/>
        <v>W_[HM]_Peas, green_CF</v>
      </c>
      <c r="G85" s="612" t="s">
        <v>105</v>
      </c>
      <c r="I85" s="642">
        <f t="shared" ca="1" si="44"/>
        <v>1.0231280133522829</v>
      </c>
      <c r="J85" s="643">
        <f t="shared" ca="1" si="45"/>
        <v>0.88211769582205968</v>
      </c>
      <c r="K85" s="643">
        <f t="shared" ca="1" si="46"/>
        <v>1.10618852653806</v>
      </c>
      <c r="L85" s="643">
        <f t="shared" ca="1" si="47"/>
        <v>1.1350225677832777</v>
      </c>
      <c r="M85" s="643">
        <f t="shared" ca="1" si="48"/>
        <v>1</v>
      </c>
      <c r="N85" s="643">
        <f t="shared" ca="1" si="49"/>
        <v>1.1254661022135362</v>
      </c>
      <c r="O85" s="644">
        <f t="shared" ca="1" si="50"/>
        <v>1.0056462913596593</v>
      </c>
      <c r="P85" s="645">
        <f t="shared" ref="P85:V95" ca="1" si="56">INDEX(OFFSET($I$235,0,MATCH(P$53,$I$8:$AY$8,0)-1,COUNTA($G$75:$G$95),1),MATCH($G85,$G$235:$G$255,0),1)</f>
        <v>34.80681501424467</v>
      </c>
      <c r="Q85" s="646">
        <f t="shared" ca="1" si="56"/>
        <v>18303.942188307738</v>
      </c>
      <c r="R85" s="646">
        <f t="shared" ca="1" si="56"/>
        <v>3550.8651701871722</v>
      </c>
      <c r="S85" s="646">
        <f t="shared" ca="1" si="56"/>
        <v>0.74434779995227351</v>
      </c>
      <c r="T85" s="646">
        <f t="shared" ca="1" si="56"/>
        <v>0</v>
      </c>
      <c r="U85" s="646">
        <f t="shared" ca="1" si="56"/>
        <v>241.86266536568894</v>
      </c>
      <c r="V85" s="647">
        <f t="shared" ca="1" si="56"/>
        <v>27604.99069782265</v>
      </c>
      <c r="W85" s="642">
        <v>34.020000000000003</v>
      </c>
      <c r="X85" s="643">
        <v>20750</v>
      </c>
      <c r="Y85" s="643">
        <v>3210</v>
      </c>
      <c r="Z85" s="643">
        <v>0.65580000000000005</v>
      </c>
      <c r="AA85" s="643">
        <v>0</v>
      </c>
      <c r="AB85" s="643">
        <v>214.9</v>
      </c>
      <c r="AC85" s="644">
        <v>27450</v>
      </c>
      <c r="AG85" s="1"/>
      <c r="AS85" s="1"/>
      <c r="AT85" s="1"/>
      <c r="AU85" s="1"/>
      <c r="AV85" s="1"/>
      <c r="AW85" s="1"/>
      <c r="AX85" s="1"/>
      <c r="AY85" s="1"/>
      <c r="AZ85" s="1"/>
      <c r="BA85" s="1"/>
      <c r="BB85" s="1"/>
      <c r="BC85" s="1"/>
      <c r="BD85" s="1"/>
      <c r="BE85" s="1"/>
      <c r="BF85" s="1"/>
    </row>
    <row r="86" spans="2:58" outlineLevel="1" x14ac:dyDescent="0.25">
      <c r="B86" s="1363"/>
      <c r="D86" s="1355"/>
      <c r="F86" s="616" t="str">
        <f t="shared" si="55"/>
        <v>W_[HM]_Potatoes_CF</v>
      </c>
      <c r="G86" s="612" t="s">
        <v>111</v>
      </c>
      <c r="I86" s="642">
        <f t="shared" ca="1" si="44"/>
        <v>1.0046013232719049</v>
      </c>
      <c r="J86" s="643">
        <f t="shared" ca="1" si="45"/>
        <v>0.95872249340496662</v>
      </c>
      <c r="K86" s="643">
        <f t="shared" ca="1" si="46"/>
        <v>1.0316596810814107</v>
      </c>
      <c r="L86" s="643">
        <f t="shared" ca="1" si="47"/>
        <v>1.0784042354899397</v>
      </c>
      <c r="M86" s="643">
        <f t="shared" ca="1" si="48"/>
        <v>1</v>
      </c>
      <c r="N86" s="643">
        <f t="shared" ca="1" si="49"/>
        <v>1.0520933482991697</v>
      </c>
      <c r="O86" s="644">
        <f t="shared" ca="1" si="50"/>
        <v>1.0048276034074102</v>
      </c>
      <c r="P86" s="645">
        <f t="shared" ca="1" si="56"/>
        <v>42.564958067030609</v>
      </c>
      <c r="Q86" s="646">
        <f t="shared" ca="1" si="56"/>
        <v>19912.666188021158</v>
      </c>
      <c r="R86" s="646">
        <f t="shared" ca="1" si="56"/>
        <v>3553.0359416443785</v>
      </c>
      <c r="S86" s="646">
        <f t="shared" ca="1" si="56"/>
        <v>0.84622380358895566</v>
      </c>
      <c r="T86" s="646">
        <f t="shared" ca="1" si="56"/>
        <v>0</v>
      </c>
      <c r="U86" s="646">
        <f t="shared" ca="1" si="56"/>
        <v>322.04577391437584</v>
      </c>
      <c r="V86" s="647">
        <f t="shared" ca="1" si="56"/>
        <v>28145.221171441557</v>
      </c>
      <c r="W86" s="642">
        <v>42.37</v>
      </c>
      <c r="X86" s="643">
        <v>20770</v>
      </c>
      <c r="Y86" s="643">
        <v>3444</v>
      </c>
      <c r="Z86" s="643">
        <v>0.78469999999999995</v>
      </c>
      <c r="AA86" s="643">
        <v>0</v>
      </c>
      <c r="AB86" s="643">
        <v>306.10000000000002</v>
      </c>
      <c r="AC86" s="644">
        <v>28010</v>
      </c>
      <c r="AG86" s="1"/>
      <c r="AS86" s="1"/>
      <c r="AT86" s="1"/>
      <c r="AU86" s="1"/>
      <c r="AV86" s="1"/>
      <c r="AW86" s="1"/>
      <c r="AX86" s="1"/>
      <c r="AY86" s="1"/>
      <c r="AZ86" s="1"/>
      <c r="BA86" s="1"/>
      <c r="BB86" s="1"/>
      <c r="BC86" s="1"/>
      <c r="BD86" s="1"/>
      <c r="BE86" s="1"/>
      <c r="BF86" s="1"/>
    </row>
    <row r="87" spans="2:58" outlineLevel="1" x14ac:dyDescent="0.25">
      <c r="B87" s="1363"/>
      <c r="D87" s="1355"/>
      <c r="F87" s="616" t="str">
        <f t="shared" si="55"/>
        <v>W_[HM]_Rapeseed_CF</v>
      </c>
      <c r="G87" s="612" t="s">
        <v>109</v>
      </c>
      <c r="I87" s="642">
        <f t="shared" ca="1" si="44"/>
        <v>1.007709339540056</v>
      </c>
      <c r="J87" s="643">
        <f t="shared" ca="1" si="45"/>
        <v>0.93685404386476667</v>
      </c>
      <c r="K87" s="643">
        <f t="shared" ca="1" si="46"/>
        <v>1.0500579039112736</v>
      </c>
      <c r="L87" s="643">
        <f t="shared" ca="1" si="47"/>
        <v>1.0840288109665841</v>
      </c>
      <c r="M87" s="643">
        <f t="shared" ca="1" si="48"/>
        <v>1</v>
      </c>
      <c r="N87" s="643">
        <f t="shared" ca="1" si="49"/>
        <v>1.0530054235612187</v>
      </c>
      <c r="O87" s="644">
        <f t="shared" ca="1" si="50"/>
        <v>1.0049318863999916</v>
      </c>
      <c r="P87" s="645">
        <f t="shared" ca="1" si="56"/>
        <v>40.27814230141604</v>
      </c>
      <c r="Q87" s="646">
        <f t="shared" ca="1" si="56"/>
        <v>19458.458491071204</v>
      </c>
      <c r="R87" s="646">
        <f t="shared" ca="1" si="56"/>
        <v>3552.345888931839</v>
      </c>
      <c r="S87" s="646">
        <f t="shared" ca="1" si="56"/>
        <v>0.82516273090776382</v>
      </c>
      <c r="T87" s="646">
        <f t="shared" ca="1" si="56"/>
        <v>0</v>
      </c>
      <c r="U87" s="646">
        <f t="shared" ca="1" si="56"/>
        <v>320.32424984732273</v>
      </c>
      <c r="V87" s="647">
        <f t="shared" ca="1" si="56"/>
        <v>27977.303717375769</v>
      </c>
      <c r="W87" s="642">
        <v>39.97</v>
      </c>
      <c r="X87" s="643">
        <v>20770</v>
      </c>
      <c r="Y87" s="643">
        <v>3383</v>
      </c>
      <c r="Z87" s="643">
        <v>0.76119999999999999</v>
      </c>
      <c r="AA87" s="643">
        <v>0</v>
      </c>
      <c r="AB87" s="643">
        <v>304.2</v>
      </c>
      <c r="AC87" s="644">
        <v>27840</v>
      </c>
      <c r="AG87" s="1"/>
      <c r="AS87" s="1"/>
      <c r="AT87" s="1"/>
      <c r="AU87" s="1"/>
      <c r="AV87" s="1"/>
      <c r="AW87" s="1"/>
      <c r="AX87" s="1"/>
      <c r="AY87" s="1"/>
      <c r="AZ87" s="1"/>
      <c r="BA87" s="1"/>
      <c r="BB87" s="1"/>
      <c r="BC87" s="1"/>
      <c r="BD87" s="1"/>
      <c r="BE87" s="1"/>
      <c r="BF87" s="1"/>
    </row>
    <row r="88" spans="2:58" outlineLevel="1" x14ac:dyDescent="0.25">
      <c r="B88" s="1363"/>
      <c r="D88" s="1355"/>
      <c r="F88" s="616" t="str">
        <f t="shared" si="55"/>
        <v>W_[HM]_Rye_CF</v>
      </c>
      <c r="G88" s="612" t="s">
        <v>99</v>
      </c>
      <c r="I88" s="642">
        <f t="shared" ca="1" si="44"/>
        <v>1.0167550931964513</v>
      </c>
      <c r="J88" s="643">
        <f t="shared" ca="1" si="45"/>
        <v>0.90155373219961299</v>
      </c>
      <c r="K88" s="643">
        <f t="shared" ca="1" si="46"/>
        <v>1.0850969719194823</v>
      </c>
      <c r="L88" s="643">
        <f t="shared" ca="1" si="47"/>
        <v>1.119163302966504</v>
      </c>
      <c r="M88" s="643">
        <f t="shared" ca="1" si="48"/>
        <v>1</v>
      </c>
      <c r="N88" s="643">
        <f t="shared" ca="1" si="49"/>
        <v>1.0815469029975711</v>
      </c>
      <c r="O88" s="644">
        <f t="shared" ca="1" si="50"/>
        <v>1.0072136436420458</v>
      </c>
      <c r="P88" s="645">
        <f t="shared" ca="1" si="56"/>
        <v>36.755696619051712</v>
      </c>
      <c r="Q88" s="646">
        <f t="shared" ca="1" si="56"/>
        <v>18716.255480463966</v>
      </c>
      <c r="R88" s="646">
        <f t="shared" ca="1" si="56"/>
        <v>3551.5223890924653</v>
      </c>
      <c r="S88" s="646">
        <f t="shared" ca="1" si="56"/>
        <v>0.78688371831574888</v>
      </c>
      <c r="T88" s="646">
        <f t="shared" ca="1" si="56"/>
        <v>0</v>
      </c>
      <c r="U88" s="646">
        <f t="shared" ca="1" si="56"/>
        <v>283.47344327566339</v>
      </c>
      <c r="V88" s="647">
        <f t="shared" ca="1" si="56"/>
        <v>27789.024428084045</v>
      </c>
      <c r="W88" s="642">
        <v>36.15</v>
      </c>
      <c r="X88" s="643">
        <v>20760</v>
      </c>
      <c r="Y88" s="643">
        <v>3273</v>
      </c>
      <c r="Z88" s="643">
        <v>0.70309999999999995</v>
      </c>
      <c r="AA88" s="643">
        <v>0</v>
      </c>
      <c r="AB88" s="643">
        <v>262.10000000000002</v>
      </c>
      <c r="AC88" s="644">
        <v>27590</v>
      </c>
      <c r="AG88" s="1"/>
      <c r="AS88" s="1"/>
      <c r="AT88" s="1"/>
      <c r="AU88" s="1"/>
      <c r="AV88" s="1"/>
      <c r="AW88" s="1"/>
      <c r="AX88" s="1"/>
      <c r="AY88" s="1"/>
      <c r="AZ88" s="1"/>
      <c r="BA88" s="1"/>
      <c r="BB88" s="1"/>
      <c r="BC88" s="1"/>
      <c r="BD88" s="1"/>
      <c r="BE88" s="1"/>
      <c r="BF88" s="1"/>
    </row>
    <row r="89" spans="2:58" outlineLevel="1" x14ac:dyDescent="0.25">
      <c r="B89" s="1363"/>
      <c r="D89" s="1355"/>
      <c r="F89" s="616" t="str">
        <f t="shared" si="55"/>
        <v>W_[HM]_Soybeans_CF</v>
      </c>
      <c r="G89" s="612" t="s">
        <v>106</v>
      </c>
      <c r="I89" s="642">
        <f t="shared" ca="1" si="44"/>
        <v>1.0211297187493098</v>
      </c>
      <c r="J89" s="643">
        <f t="shared" ca="1" si="45"/>
        <v>0.88947686260475334</v>
      </c>
      <c r="K89" s="643">
        <f t="shared" ca="1" si="46"/>
        <v>1.0974085366895105</v>
      </c>
      <c r="L89" s="643">
        <f t="shared" ca="1" si="47"/>
        <v>1.1295390471519733</v>
      </c>
      <c r="M89" s="643">
        <f t="shared" ca="1" si="48"/>
        <v>1</v>
      </c>
      <c r="N89" s="643">
        <f t="shared" ca="1" si="49"/>
        <v>1.1110062352691958</v>
      </c>
      <c r="O89" s="644">
        <f t="shared" ca="1" si="50"/>
        <v>1.0063034359228706</v>
      </c>
      <c r="P89" s="645">
        <f t="shared" ca="1" si="56"/>
        <v>35.596581995600943</v>
      </c>
      <c r="Q89" s="646">
        <f t="shared" ca="1" si="56"/>
        <v>18465.539667674679</v>
      </c>
      <c r="R89" s="646">
        <f t="shared" ca="1" si="56"/>
        <v>3551.2140247272564</v>
      </c>
      <c r="S89" s="646">
        <f t="shared" ca="1" si="56"/>
        <v>0.75735593111539812</v>
      </c>
      <c r="T89" s="646">
        <f t="shared" ca="1" si="56"/>
        <v>0</v>
      </c>
      <c r="U89" s="646">
        <f t="shared" ca="1" si="56"/>
        <v>254.86483037075354</v>
      </c>
      <c r="V89" s="647">
        <f t="shared" ca="1" si="56"/>
        <v>27673.344487878945</v>
      </c>
      <c r="W89" s="642">
        <v>34.86</v>
      </c>
      <c r="X89" s="643">
        <v>20760</v>
      </c>
      <c r="Y89" s="643">
        <v>3236</v>
      </c>
      <c r="Z89" s="643">
        <v>0.67049999999999998</v>
      </c>
      <c r="AA89" s="643">
        <v>0</v>
      </c>
      <c r="AB89" s="643">
        <v>229.4</v>
      </c>
      <c r="AC89" s="644">
        <v>27500</v>
      </c>
      <c r="AG89" s="1"/>
      <c r="AS89" s="1"/>
      <c r="AT89" s="1"/>
      <c r="AU89" s="1"/>
      <c r="AV89" s="1"/>
      <c r="AW89" s="1"/>
      <c r="AX89" s="1"/>
      <c r="AY89" s="1"/>
      <c r="AZ89" s="1"/>
      <c r="BA89" s="1"/>
      <c r="BB89" s="1"/>
      <c r="BC89" s="1"/>
      <c r="BD89" s="1"/>
      <c r="BE89" s="1"/>
      <c r="BF89" s="1"/>
    </row>
    <row r="90" spans="2:58" outlineLevel="1" x14ac:dyDescent="0.25">
      <c r="B90" s="1363"/>
      <c r="D90" s="1355"/>
      <c r="F90" s="616" t="str">
        <f t="shared" si="55"/>
        <v>W_[HM]_Sugar beet_CF</v>
      </c>
      <c r="G90" s="612" t="s">
        <v>112</v>
      </c>
      <c r="I90" s="642">
        <f t="shared" ca="1" si="44"/>
        <v>1.0048611133709424</v>
      </c>
      <c r="J90" s="643">
        <f t="shared" ca="1" si="45"/>
        <v>0.95501532521275867</v>
      </c>
      <c r="K90" s="643">
        <f t="shared" ca="1" si="46"/>
        <v>1.034581774691675</v>
      </c>
      <c r="L90" s="643">
        <f t="shared" ca="1" si="47"/>
        <v>1.0771613445599828</v>
      </c>
      <c r="M90" s="643">
        <f t="shared" ca="1" si="48"/>
        <v>1</v>
      </c>
      <c r="N90" s="643">
        <f t="shared" ca="1" si="49"/>
        <v>1.0545520097073897</v>
      </c>
      <c r="O90" s="644">
        <f t="shared" ca="1" si="50"/>
        <v>1.0044265470564711</v>
      </c>
      <c r="P90" s="645">
        <f t="shared" ca="1" si="56"/>
        <v>42.163972317044745</v>
      </c>
      <c r="Q90" s="646">
        <f t="shared" ca="1" si="56"/>
        <v>19835.668304668998</v>
      </c>
      <c r="R90" s="646">
        <f t="shared" ca="1" si="56"/>
        <v>3552.7538142912117</v>
      </c>
      <c r="S90" s="646">
        <f t="shared" ca="1" si="56"/>
        <v>0.83609263564745873</v>
      </c>
      <c r="T90" s="646">
        <f t="shared" ca="1" si="56"/>
        <v>0</v>
      </c>
      <c r="U90" s="646">
        <f t="shared" ca="1" si="56"/>
        <v>317.52561012289505</v>
      </c>
      <c r="V90" s="647">
        <f t="shared" ca="1" si="56"/>
        <v>28093.810521169496</v>
      </c>
      <c r="W90" s="642">
        <v>41.96</v>
      </c>
      <c r="X90" s="643">
        <v>20770</v>
      </c>
      <c r="Y90" s="643">
        <v>3434</v>
      </c>
      <c r="Z90" s="643">
        <v>0.7762</v>
      </c>
      <c r="AA90" s="643">
        <v>0</v>
      </c>
      <c r="AB90" s="643">
        <v>301.10000000000002</v>
      </c>
      <c r="AC90" s="644">
        <v>27970</v>
      </c>
      <c r="AG90" s="1"/>
      <c r="AS90" s="1"/>
      <c r="AT90" s="1"/>
      <c r="AU90" s="1"/>
      <c r="AV90" s="1"/>
      <c r="AW90" s="1"/>
      <c r="AX90" s="1"/>
      <c r="AY90" s="1"/>
      <c r="AZ90" s="1"/>
      <c r="BA90" s="1"/>
      <c r="BB90" s="1"/>
      <c r="BC90" s="1"/>
      <c r="BD90" s="1"/>
      <c r="BE90" s="1"/>
      <c r="BF90" s="1"/>
    </row>
    <row r="91" spans="2:58" outlineLevel="1" x14ac:dyDescent="0.25">
      <c r="B91" s="1363"/>
      <c r="D91" s="1355"/>
      <c r="F91" s="616" t="str">
        <f t="shared" si="55"/>
        <v>W_[HM]_Sunflower seed_CF</v>
      </c>
      <c r="G91" s="612" t="s">
        <v>110</v>
      </c>
      <c r="I91" s="642">
        <f t="shared" ca="1" si="44"/>
        <v>1.0205673235763673</v>
      </c>
      <c r="J91" s="643">
        <f t="shared" ca="1" si="45"/>
        <v>0.88939994497928632</v>
      </c>
      <c r="K91" s="643">
        <f t="shared" ca="1" si="46"/>
        <v>1.0973729681817852</v>
      </c>
      <c r="L91" s="643">
        <f t="shared" ca="1" si="47"/>
        <v>1.1276107501292933</v>
      </c>
      <c r="M91" s="643">
        <f t="shared" ca="1" si="48"/>
        <v>1</v>
      </c>
      <c r="N91" s="643">
        <f t="shared" ca="1" si="49"/>
        <v>1.1094760331601681</v>
      </c>
      <c r="O91" s="644">
        <f t="shared" ca="1" si="50"/>
        <v>1.0057351547327109</v>
      </c>
      <c r="P91" s="645">
        <f t="shared" ca="1" si="56"/>
        <v>35.576976899872164</v>
      </c>
      <c r="Q91" s="646">
        <f t="shared" ca="1" si="56"/>
        <v>18463.942857769984</v>
      </c>
      <c r="R91" s="646">
        <f t="shared" ca="1" si="56"/>
        <v>3551.0989250362568</v>
      </c>
      <c r="S91" s="646">
        <f t="shared" ca="1" si="56"/>
        <v>0.75606300796169112</v>
      </c>
      <c r="T91" s="646">
        <f t="shared" ca="1" si="56"/>
        <v>0</v>
      </c>
      <c r="U91" s="646">
        <f t="shared" ca="1" si="56"/>
        <v>254.51380200694257</v>
      </c>
      <c r="V91" s="647">
        <f t="shared" ca="1" si="56"/>
        <v>27657.716755149551</v>
      </c>
      <c r="W91" s="642">
        <v>34.86</v>
      </c>
      <c r="X91" s="643">
        <v>20760</v>
      </c>
      <c r="Y91" s="643">
        <v>3236</v>
      </c>
      <c r="Z91" s="643">
        <v>0.67049999999999998</v>
      </c>
      <c r="AA91" s="643">
        <v>0</v>
      </c>
      <c r="AB91" s="643">
        <v>229.4</v>
      </c>
      <c r="AC91" s="644">
        <v>27500</v>
      </c>
      <c r="AG91" s="1"/>
      <c r="AS91" s="1"/>
      <c r="AT91" s="1"/>
      <c r="AU91" s="1"/>
      <c r="AV91" s="1"/>
      <c r="AW91" s="1"/>
      <c r="AX91" s="1"/>
      <c r="AY91" s="1"/>
      <c r="AZ91" s="1"/>
      <c r="BA91" s="1"/>
      <c r="BB91" s="1"/>
      <c r="BC91" s="1"/>
      <c r="BD91" s="1"/>
      <c r="BE91" s="1"/>
      <c r="BF91" s="1"/>
    </row>
    <row r="92" spans="2:58" outlineLevel="1" x14ac:dyDescent="0.25">
      <c r="B92" s="1363"/>
      <c r="D92" s="1355"/>
      <c r="F92" s="616" t="str">
        <f t="shared" si="55"/>
        <v>W_[HM]_Triticale_CF</v>
      </c>
      <c r="G92" s="612" t="s">
        <v>100</v>
      </c>
      <c r="I92" s="642">
        <f t="shared" ca="1" si="44"/>
        <v>1.0166474971929094</v>
      </c>
      <c r="J92" s="643">
        <f t="shared" ca="1" si="45"/>
        <v>0.90208915015414826</v>
      </c>
      <c r="K92" s="643">
        <f t="shared" ca="1" si="46"/>
        <v>1.0851006864433983</v>
      </c>
      <c r="L92" s="643">
        <f t="shared" ca="1" si="47"/>
        <v>1.1161873976234951</v>
      </c>
      <c r="M92" s="643">
        <f t="shared" ca="1" si="48"/>
        <v>1</v>
      </c>
      <c r="N92" s="643">
        <f t="shared" ca="1" si="49"/>
        <v>1.0801456734739505</v>
      </c>
      <c r="O92" s="644">
        <f t="shared" ca="1" si="50"/>
        <v>1.0068945395195663</v>
      </c>
      <c r="P92" s="645">
        <f t="shared" ca="1" si="56"/>
        <v>36.751807023523675</v>
      </c>
      <c r="Q92" s="646">
        <f t="shared" ca="1" si="56"/>
        <v>18727.370757200119</v>
      </c>
      <c r="R92" s="646">
        <f t="shared" ca="1" si="56"/>
        <v>3551.5345467292427</v>
      </c>
      <c r="S92" s="646">
        <f t="shared" ca="1" si="56"/>
        <v>0.78479135926907928</v>
      </c>
      <c r="T92" s="646">
        <f t="shared" ca="1" si="56"/>
        <v>0</v>
      </c>
      <c r="U92" s="646">
        <f t="shared" ca="1" si="56"/>
        <v>283.10618101752243</v>
      </c>
      <c r="V92" s="647">
        <f t="shared" ca="1" si="56"/>
        <v>27780.220345344835</v>
      </c>
      <c r="W92" s="642">
        <v>36.15</v>
      </c>
      <c r="X92" s="643">
        <v>20760</v>
      </c>
      <c r="Y92" s="643">
        <v>3273</v>
      </c>
      <c r="Z92" s="643">
        <v>0.70309999999999995</v>
      </c>
      <c r="AA92" s="643">
        <v>0</v>
      </c>
      <c r="AB92" s="643">
        <v>262.10000000000002</v>
      </c>
      <c r="AC92" s="644">
        <v>27590</v>
      </c>
      <c r="AG92" s="1"/>
      <c r="AS92" s="1"/>
      <c r="AT92" s="1"/>
      <c r="AU92" s="1"/>
      <c r="AV92" s="1"/>
      <c r="AW92" s="1"/>
      <c r="AX92" s="1"/>
      <c r="AY92" s="1"/>
      <c r="AZ92" s="1"/>
      <c r="BA92" s="1"/>
      <c r="BB92" s="1"/>
      <c r="BC92" s="1"/>
      <c r="BD92" s="1"/>
      <c r="BE92" s="1"/>
      <c r="BF92" s="1"/>
    </row>
    <row r="93" spans="2:58" outlineLevel="1" x14ac:dyDescent="0.25">
      <c r="B93" s="1363"/>
      <c r="D93" s="1355"/>
      <c r="F93" s="616" t="str">
        <f t="shared" si="55"/>
        <v>W_[HM]_Wheat_CF</v>
      </c>
      <c r="G93" s="613" t="s">
        <v>101</v>
      </c>
      <c r="I93" s="648">
        <f t="shared" ca="1" si="44"/>
        <v>1.0114998748330548</v>
      </c>
      <c r="J93" s="649">
        <f t="shared" ca="1" si="45"/>
        <v>0.92048977156202527</v>
      </c>
      <c r="K93" s="649">
        <f t="shared" ca="1" si="46"/>
        <v>1.066339901506963</v>
      </c>
      <c r="L93" s="649">
        <f t="shared" ca="1" si="47"/>
        <v>1.0983258629439927</v>
      </c>
      <c r="M93" s="649">
        <f t="shared" ca="1" si="48"/>
        <v>1</v>
      </c>
      <c r="N93" s="649">
        <f t="shared" ca="1" si="49"/>
        <v>1.0606870951198193</v>
      </c>
      <c r="O93" s="650">
        <f t="shared" ca="1" si="50"/>
        <v>1.0060140333429146</v>
      </c>
      <c r="P93" s="651">
        <f t="shared" ca="1" si="56"/>
        <v>38.588720224881037</v>
      </c>
      <c r="Q93" s="652">
        <f t="shared" ca="1" si="56"/>
        <v>19109.367657627645</v>
      </c>
      <c r="R93" s="652">
        <f t="shared" ca="1" si="56"/>
        <v>3551.9782119196934</v>
      </c>
      <c r="S93" s="652">
        <f t="shared" ca="1" si="56"/>
        <v>0.81067431943896107</v>
      </c>
      <c r="T93" s="652">
        <f t="shared" ca="1" si="56"/>
        <v>0</v>
      </c>
      <c r="U93" s="652">
        <f t="shared" ca="1" si="56"/>
        <v>308.34173855133145</v>
      </c>
      <c r="V93" s="653">
        <f t="shared" ca="1" si="56"/>
        <v>27886.709004265595</v>
      </c>
      <c r="W93" s="648">
        <v>38.15</v>
      </c>
      <c r="X93" s="649">
        <v>20760</v>
      </c>
      <c r="Y93" s="649">
        <v>3331</v>
      </c>
      <c r="Z93" s="649">
        <v>0.73809999999999998</v>
      </c>
      <c r="AA93" s="649">
        <v>0</v>
      </c>
      <c r="AB93" s="649">
        <v>290.7</v>
      </c>
      <c r="AC93" s="650">
        <v>27720</v>
      </c>
      <c r="AG93" s="1"/>
      <c r="AS93" s="1"/>
      <c r="AT93" s="1"/>
      <c r="AU93" s="1"/>
      <c r="AV93" s="1"/>
      <c r="AW93" s="1"/>
      <c r="AX93" s="1"/>
      <c r="AY93" s="1"/>
      <c r="AZ93" s="1"/>
      <c r="BA93" s="1"/>
      <c r="BB93" s="1"/>
      <c r="BC93" s="1"/>
      <c r="BD93" s="1"/>
      <c r="BE93" s="1"/>
      <c r="BF93" s="1"/>
    </row>
    <row r="94" spans="2:58" outlineLevel="1" x14ac:dyDescent="0.25">
      <c r="B94" s="1363"/>
      <c r="D94" s="1355"/>
      <c r="F94" s="616" t="str">
        <f t="shared" si="55"/>
        <v>W_[HM]_Grass_dairy_NL_CF</v>
      </c>
      <c r="G94" s="612" t="s">
        <v>630</v>
      </c>
      <c r="I94" s="642">
        <f t="shared" ca="1" si="44"/>
        <v>1.0371453475801089</v>
      </c>
      <c r="J94" s="643">
        <f t="shared" ca="1" si="45"/>
        <v>1.0240542179956067</v>
      </c>
      <c r="K94" s="643">
        <f t="shared" ca="1" si="46"/>
        <v>0.99389021066419969</v>
      </c>
      <c r="L94" s="643">
        <f t="shared" ca="1" si="47"/>
        <v>1.0258401544118676</v>
      </c>
      <c r="M94" s="643">
        <f t="shared" ca="1" si="48"/>
        <v>1</v>
      </c>
      <c r="N94" s="643">
        <f t="shared" ca="1" si="49"/>
        <v>1.2093932788205923</v>
      </c>
      <c r="O94" s="644">
        <f t="shared" ca="1" si="50"/>
        <v>0.9916073133392389</v>
      </c>
      <c r="P94" s="645">
        <f t="shared" ca="1" si="56"/>
        <v>43.186732273235734</v>
      </c>
      <c r="Q94" s="646">
        <f t="shared" ca="1" si="56"/>
        <v>20645.066161839772</v>
      </c>
      <c r="R94" s="646">
        <f t="shared" ca="1" si="56"/>
        <v>3568.9007240614351</v>
      </c>
      <c r="S94" s="646">
        <f t="shared" ca="1" si="56"/>
        <v>1.2412665868383599</v>
      </c>
      <c r="T94" s="646">
        <f t="shared" ca="1" si="56"/>
        <v>0</v>
      </c>
      <c r="U94" s="646">
        <f t="shared" ca="1" si="56"/>
        <v>493.94040293590632</v>
      </c>
      <c r="V94" s="647">
        <f t="shared" ca="1" si="56"/>
        <v>30647.924547716124</v>
      </c>
      <c r="W94" s="642">
        <v>41.64</v>
      </c>
      <c r="X94" s="643">
        <v>20160.13</v>
      </c>
      <c r="Y94" s="643">
        <v>3590.84</v>
      </c>
      <c r="Z94" s="643">
        <v>1.21</v>
      </c>
      <c r="AA94" s="643">
        <v>0</v>
      </c>
      <c r="AB94" s="643">
        <v>408.42</v>
      </c>
      <c r="AC94" s="644">
        <v>30907.32</v>
      </c>
      <c r="AG94" s="1"/>
      <c r="AS94" s="1"/>
      <c r="AT94" s="1"/>
      <c r="AU94" s="1"/>
      <c r="AV94" s="1"/>
      <c r="AW94" s="1"/>
      <c r="AX94" s="1"/>
      <c r="AY94" s="1"/>
      <c r="AZ94" s="1"/>
      <c r="BA94" s="1"/>
      <c r="BB94" s="1"/>
      <c r="BC94" s="1"/>
      <c r="BD94" s="1"/>
      <c r="BE94" s="1"/>
      <c r="BF94" s="1"/>
    </row>
    <row r="95" spans="2:58" ht="14.65" customHeight="1" outlineLevel="1" x14ac:dyDescent="0.25">
      <c r="B95" s="1363"/>
      <c r="D95" s="1356"/>
      <c r="F95" s="617" t="str">
        <f t="shared" si="55"/>
        <v>W_[HM]_Grass_beef_IE_CF</v>
      </c>
      <c r="G95" s="614" t="s">
        <v>631</v>
      </c>
      <c r="I95" s="654">
        <f t="shared" ca="1" si="44"/>
        <v>1.0349054122332384</v>
      </c>
      <c r="J95" s="655">
        <f t="shared" ca="1" si="45"/>
        <v>1.0265022874464593</v>
      </c>
      <c r="K95" s="655">
        <f t="shared" ca="1" si="46"/>
        <v>0.99183117251896868</v>
      </c>
      <c r="L95" s="655">
        <f t="shared" ca="1" si="47"/>
        <v>1.0270570294653989</v>
      </c>
      <c r="M95" s="655">
        <f t="shared" ca="1" si="48"/>
        <v>1</v>
      </c>
      <c r="N95" s="655">
        <f t="shared" ca="1" si="49"/>
        <v>1.2310213478219538</v>
      </c>
      <c r="O95" s="656">
        <f t="shared" ca="1" si="50"/>
        <v>0.98924127041766907</v>
      </c>
      <c r="P95" s="657">
        <f t="shared" ca="1" si="56"/>
        <v>42.244838927360789</v>
      </c>
      <c r="Q95" s="658">
        <f t="shared" ca="1" si="56"/>
        <v>20502.586812739995</v>
      </c>
      <c r="R95" s="658">
        <f t="shared" ca="1" si="56"/>
        <v>3558.2935145290521</v>
      </c>
      <c r="S95" s="658">
        <f t="shared" ca="1" si="56"/>
        <v>1.2221978650638246</v>
      </c>
      <c r="T95" s="658">
        <f t="shared" ca="1" si="56"/>
        <v>0</v>
      </c>
      <c r="U95" s="658">
        <f t="shared" ca="1" si="56"/>
        <v>469.74543611537933</v>
      </c>
      <c r="V95" s="659">
        <f t="shared" ca="1" si="56"/>
        <v>29935.855457855363</v>
      </c>
      <c r="W95" s="654">
        <v>40.82</v>
      </c>
      <c r="X95" s="655">
        <v>19973.25</v>
      </c>
      <c r="Y95" s="655">
        <v>3587.6</v>
      </c>
      <c r="Z95" s="655">
        <v>1.19</v>
      </c>
      <c r="AA95" s="655">
        <v>0</v>
      </c>
      <c r="AB95" s="655">
        <v>381.59</v>
      </c>
      <c r="AC95" s="656">
        <v>30261.43</v>
      </c>
      <c r="AG95" s="1"/>
      <c r="AS95" s="1"/>
      <c r="AT95" s="1"/>
      <c r="AU95" s="1"/>
      <c r="AV95" s="1"/>
      <c r="AW95" s="1"/>
      <c r="AX95" s="1"/>
      <c r="AY95" s="1"/>
      <c r="AZ95" s="1"/>
      <c r="BA95" s="1"/>
      <c r="BB95" s="1"/>
      <c r="BC95" s="1"/>
      <c r="BD95" s="1"/>
      <c r="BE95" s="1"/>
      <c r="BF95" s="1"/>
    </row>
    <row r="96" spans="2:58" x14ac:dyDescent="0.25">
      <c r="B96" s="1363"/>
      <c r="D96" s="323"/>
      <c r="I96" s="220" t="s">
        <v>789</v>
      </c>
      <c r="O96" s="291"/>
      <c r="AN96" s="1"/>
      <c r="AO96" s="1"/>
      <c r="AS96" s="1"/>
      <c r="AT96" s="1"/>
      <c r="AU96" s="1"/>
      <c r="AV96" s="1"/>
      <c r="AW96" s="1"/>
      <c r="AX96" s="1"/>
      <c r="AY96" s="1"/>
      <c r="AZ96" s="1"/>
      <c r="BA96" s="1"/>
      <c r="BB96" s="1"/>
      <c r="BC96" s="1"/>
      <c r="BD96" s="1"/>
      <c r="BE96" s="1"/>
      <c r="BF96" s="1"/>
    </row>
    <row r="97" spans="2:74" x14ac:dyDescent="0.25">
      <c r="B97" s="1363"/>
      <c r="BB97" s="1"/>
      <c r="BC97" s="1"/>
      <c r="BD97" s="1"/>
      <c r="BE97" s="1"/>
      <c r="BF97" s="1"/>
    </row>
    <row r="98" spans="2:74" x14ac:dyDescent="0.25">
      <c r="B98" s="1363"/>
      <c r="D98" s="1351" t="s">
        <v>776</v>
      </c>
      <c r="F98" s="233" t="s">
        <v>1661</v>
      </c>
      <c r="G98" s="381"/>
      <c r="I98" s="443"/>
      <c r="J98" s="283"/>
      <c r="K98" s="283"/>
      <c r="L98" s="283"/>
      <c r="M98" s="283"/>
      <c r="N98" s="283"/>
      <c r="O98" s="283"/>
      <c r="P98" s="283"/>
      <c r="Q98" s="283"/>
      <c r="R98" s="207"/>
      <c r="S98" s="207"/>
      <c r="T98" s="207"/>
      <c r="U98" s="283"/>
      <c r="V98" s="283"/>
      <c r="W98" s="283"/>
      <c r="X98" s="283"/>
      <c r="Y98" s="283"/>
      <c r="Z98" s="283"/>
      <c r="AA98" s="283"/>
      <c r="AB98" s="283"/>
      <c r="AC98" s="283"/>
      <c r="AD98" s="207"/>
      <c r="AE98" s="207"/>
      <c r="AF98" s="207"/>
      <c r="AG98" s="283"/>
      <c r="AH98" s="283"/>
      <c r="AI98" s="283"/>
      <c r="AJ98" s="283"/>
      <c r="AK98" s="283"/>
      <c r="AL98" s="283"/>
      <c r="AM98" s="283"/>
      <c r="AN98" s="283"/>
      <c r="AO98" s="283"/>
      <c r="AP98" s="207"/>
      <c r="AQ98" s="207"/>
      <c r="AR98" s="207"/>
      <c r="AS98" s="283"/>
      <c r="AT98" s="283"/>
      <c r="AU98" s="283"/>
      <c r="AV98" s="283"/>
      <c r="AW98" s="283"/>
      <c r="AX98" s="444"/>
      <c r="AY98" s="409"/>
      <c r="BB98" s="452">
        <f t="shared" ref="BB98:BG98" si="57">IF(LEFT(BB$5,1)="C",1,$BD$230)</f>
        <v>1</v>
      </c>
      <c r="BC98" s="453">
        <f t="shared" si="57"/>
        <v>0</v>
      </c>
      <c r="BD98" s="453">
        <f t="shared" si="57"/>
        <v>0</v>
      </c>
      <c r="BE98" s="453">
        <f t="shared" si="57"/>
        <v>0</v>
      </c>
      <c r="BF98" s="453">
        <f t="shared" si="57"/>
        <v>0</v>
      </c>
      <c r="BG98" s="434">
        <f t="shared" si="57"/>
        <v>0</v>
      </c>
      <c r="BH98" s="984" t="s">
        <v>1555</v>
      </c>
    </row>
    <row r="99" spans="2:74" outlineLevel="1" x14ac:dyDescent="0.25">
      <c r="B99" s="1363"/>
      <c r="D99" s="1352"/>
      <c r="F99" s="233" t="s">
        <v>683</v>
      </c>
      <c r="G99" s="381"/>
      <c r="I99" s="409"/>
      <c r="AX99" s="445"/>
      <c r="AY99" s="409"/>
      <c r="BB99" s="452">
        <f t="shared" ref="BB99:BG99" si="58">IF(BB$7=$BB$239,1,INDEX($BD$259:$BD$261,MATCH(BB$7,$BB$259:$BB$261,0),1))</f>
        <v>1</v>
      </c>
      <c r="BC99" s="453">
        <f t="shared" si="58"/>
        <v>0.22299708249782044</v>
      </c>
      <c r="BD99" s="453">
        <f t="shared" si="58"/>
        <v>0.22299708249782044</v>
      </c>
      <c r="BE99" s="453">
        <f t="shared" si="58"/>
        <v>0.22299708249782044</v>
      </c>
      <c r="BF99" s="453">
        <f t="shared" si="58"/>
        <v>1</v>
      </c>
      <c r="BG99" s="434">
        <f t="shared" si="58"/>
        <v>1.5665743221996231</v>
      </c>
    </row>
    <row r="100" spans="2:74" outlineLevel="1" x14ac:dyDescent="0.25">
      <c r="B100" s="1363"/>
      <c r="D100" s="1352"/>
      <c r="F100" s="241" t="s">
        <v>684</v>
      </c>
      <c r="G100" s="382"/>
      <c r="I100" s="409"/>
      <c r="AX100" s="445"/>
      <c r="AY100" s="409"/>
      <c r="BB100" s="454">
        <f t="shared" ref="BB100:BG100" si="59">IF(BB$7=$BB$239,1,INDEX($BD$271:$BD$273,MATCH(BB$7,$BB$271:$BB$273,0),1))</f>
        <v>1</v>
      </c>
      <c r="BC100" s="455">
        <f t="shared" si="59"/>
        <v>0.20446460758879559</v>
      </c>
      <c r="BD100" s="455">
        <f t="shared" si="59"/>
        <v>0.20446460758879559</v>
      </c>
      <c r="BE100" s="455">
        <f t="shared" si="59"/>
        <v>0.20446460758879559</v>
      </c>
      <c r="BF100" s="455">
        <f t="shared" si="59"/>
        <v>1</v>
      </c>
      <c r="BG100" s="436">
        <f t="shared" si="59"/>
        <v>1.5665743221996231</v>
      </c>
      <c r="BH100" s="265"/>
    </row>
    <row r="101" spans="2:74" outlineLevel="1" x14ac:dyDescent="0.25">
      <c r="B101" s="1363"/>
      <c r="D101" s="1352"/>
      <c r="F101" s="233" t="s">
        <v>685</v>
      </c>
      <c r="G101" s="381"/>
      <c r="I101" s="409"/>
      <c r="AX101" s="445"/>
      <c r="AY101" s="409"/>
      <c r="BB101" s="452">
        <f t="shared" ref="BB101:BG101" si="60">IF(BB$7=$BB$239,1,INDEX($BW$259:$BW$261,MATCH(BB$7,$BB$259:$BB$261,0),1))</f>
        <v>1</v>
      </c>
      <c r="BC101" s="453">
        <f t="shared" si="60"/>
        <v>1.0133700314245164</v>
      </c>
      <c r="BD101" s="453">
        <f t="shared" si="60"/>
        <v>1.0133700314245164</v>
      </c>
      <c r="BE101" s="453">
        <f t="shared" si="60"/>
        <v>1.0133700314245164</v>
      </c>
      <c r="BF101" s="453">
        <f t="shared" si="60"/>
        <v>1</v>
      </c>
      <c r="BG101" s="434">
        <f t="shared" si="60"/>
        <v>1.5665743221996229</v>
      </c>
      <c r="BH101" s="984" t="s">
        <v>1556</v>
      </c>
    </row>
    <row r="102" spans="2:74" outlineLevel="1" x14ac:dyDescent="0.25">
      <c r="B102" s="1363"/>
      <c r="D102" s="1353"/>
      <c r="F102" s="241" t="s">
        <v>686</v>
      </c>
      <c r="G102" s="382"/>
      <c r="I102" s="446"/>
      <c r="J102" s="442"/>
      <c r="K102" s="442"/>
      <c r="L102" s="442"/>
      <c r="M102" s="442"/>
      <c r="N102" s="442"/>
      <c r="O102" s="442"/>
      <c r="P102" s="442"/>
      <c r="Q102" s="442"/>
      <c r="R102" s="210"/>
      <c r="S102" s="210"/>
      <c r="T102" s="210"/>
      <c r="U102" s="442"/>
      <c r="V102" s="442"/>
      <c r="W102" s="442"/>
      <c r="X102" s="442"/>
      <c r="Y102" s="442"/>
      <c r="Z102" s="442"/>
      <c r="AA102" s="442"/>
      <c r="AB102" s="442"/>
      <c r="AC102" s="442"/>
      <c r="AD102" s="210"/>
      <c r="AE102" s="210"/>
      <c r="AF102" s="210"/>
      <c r="AG102" s="442"/>
      <c r="AH102" s="442"/>
      <c r="AI102" s="442"/>
      <c r="AJ102" s="442"/>
      <c r="AK102" s="442"/>
      <c r="AL102" s="442"/>
      <c r="AM102" s="442"/>
      <c r="AN102" s="442"/>
      <c r="AO102" s="442"/>
      <c r="AP102" s="210"/>
      <c r="AQ102" s="210"/>
      <c r="AR102" s="210"/>
      <c r="AS102" s="442"/>
      <c r="AT102" s="442"/>
      <c r="AU102" s="442"/>
      <c r="AV102" s="442"/>
      <c r="AW102" s="442"/>
      <c r="AX102" s="447"/>
      <c r="AY102" s="409"/>
      <c r="BB102" s="454">
        <f t="shared" ref="BB102:BG102" si="61">IF(BB$7=$BB$239,1,INDEX($BW$271:$BW$273,MATCH(BB$7,$BB$271:$BB$273,0),1))</f>
        <v>1</v>
      </c>
      <c r="BC102" s="455">
        <f t="shared" si="61"/>
        <v>1.0133700314245166</v>
      </c>
      <c r="BD102" s="455">
        <f t="shared" si="61"/>
        <v>1.0133700314245166</v>
      </c>
      <c r="BE102" s="455">
        <f t="shared" si="61"/>
        <v>1.0133700314245166</v>
      </c>
      <c r="BF102" s="455">
        <f t="shared" si="61"/>
        <v>1</v>
      </c>
      <c r="BG102" s="436">
        <f t="shared" si="61"/>
        <v>1.5665743221996231</v>
      </c>
      <c r="BH102" s="984" t="s">
        <v>1556</v>
      </c>
    </row>
    <row r="103" spans="2:74" outlineLevel="1" x14ac:dyDescent="0.25">
      <c r="B103" s="1363"/>
      <c r="D103" s="937"/>
      <c r="F103" s="535"/>
      <c r="G103" s="323"/>
      <c r="BG103" s="220"/>
    </row>
    <row r="104" spans="2:74" outlineLevel="1" x14ac:dyDescent="0.25">
      <c r="B104" s="1363"/>
      <c r="D104" s="937"/>
      <c r="F104" s="535"/>
      <c r="G104" s="323"/>
      <c r="BB104" s="248" t="s">
        <v>91</v>
      </c>
      <c r="BC104" s="247" t="s">
        <v>102</v>
      </c>
      <c r="BD104" s="247" t="s">
        <v>103</v>
      </c>
      <c r="BE104" s="247" t="s">
        <v>107</v>
      </c>
      <c r="BF104" s="247" t="s">
        <v>104</v>
      </c>
      <c r="BG104" s="247" t="s">
        <v>97</v>
      </c>
      <c r="BH104" s="247" t="s">
        <v>628</v>
      </c>
      <c r="BI104" s="245" t="s">
        <v>108</v>
      </c>
      <c r="BJ104" s="245" t="s">
        <v>98</v>
      </c>
      <c r="BK104" s="245" t="s">
        <v>629</v>
      </c>
      <c r="BL104" s="245" t="s">
        <v>105</v>
      </c>
      <c r="BM104" s="245" t="s">
        <v>111</v>
      </c>
      <c r="BN104" s="245" t="s">
        <v>109</v>
      </c>
      <c r="BO104" s="245" t="s">
        <v>99</v>
      </c>
      <c r="BP104" s="245" t="s">
        <v>106</v>
      </c>
      <c r="BQ104" s="245" t="s">
        <v>112</v>
      </c>
      <c r="BR104" s="245" t="s">
        <v>110</v>
      </c>
      <c r="BS104" s="245" t="s">
        <v>100</v>
      </c>
      <c r="BT104" s="245" t="s">
        <v>101</v>
      </c>
      <c r="BU104" s="245" t="s">
        <v>630</v>
      </c>
      <c r="BV104" s="246" t="s">
        <v>631</v>
      </c>
    </row>
    <row r="105" spans="2:74" outlineLevel="1" x14ac:dyDescent="0.25">
      <c r="B105" s="1363"/>
      <c r="D105" s="1351" t="s">
        <v>1525</v>
      </c>
      <c r="F105" s="233" t="s">
        <v>1558</v>
      </c>
      <c r="G105" s="988" t="s">
        <v>1566</v>
      </c>
      <c r="I105" s="443"/>
      <c r="J105" s="283"/>
      <c r="K105" s="283"/>
      <c r="L105" s="283"/>
      <c r="M105" s="283"/>
      <c r="N105" s="283"/>
      <c r="O105" s="283"/>
      <c r="P105" s="283"/>
      <c r="Q105" s="283"/>
      <c r="R105" s="207"/>
      <c r="S105" s="207"/>
      <c r="T105" s="207"/>
      <c r="U105" s="283"/>
      <c r="V105" s="283"/>
      <c r="W105" s="283"/>
      <c r="X105" s="283"/>
      <c r="Y105" s="283"/>
      <c r="Z105" s="283"/>
      <c r="AA105" s="283"/>
      <c r="AB105" s="283"/>
      <c r="AC105" s="283"/>
      <c r="AD105" s="207"/>
      <c r="AE105" s="207"/>
      <c r="AF105" s="207"/>
      <c r="AG105" s="283"/>
      <c r="AH105" s="283"/>
      <c r="AI105" s="283"/>
      <c r="AJ105" s="283"/>
      <c r="AK105" s="283"/>
      <c r="AL105" s="283"/>
      <c r="AM105" s="283"/>
      <c r="AN105" s="283"/>
      <c r="AO105" s="283"/>
      <c r="AP105" s="207"/>
      <c r="AQ105" s="207"/>
      <c r="AR105" s="207"/>
      <c r="AS105" s="283"/>
      <c r="AT105" s="283"/>
      <c r="AU105" s="283"/>
      <c r="AV105" s="283"/>
      <c r="AW105" s="283"/>
      <c r="AX105" s="444"/>
      <c r="BB105" s="986">
        <f>IFERROR(BD216/BD278,1)</f>
        <v>1.5996973509684702</v>
      </c>
      <c r="BC105" s="553">
        <f t="shared" ref="BC105:BD105" si="62">IFERROR(BE216/BE278,1)</f>
        <v>1.5996347743882482</v>
      </c>
      <c r="BD105" s="553">
        <f t="shared" si="62"/>
        <v>1.5997657898049085</v>
      </c>
      <c r="BE105" s="553">
        <f t="shared" ref="BE105:BN106" si="63">IFERROR(BG216/BG278,1)</f>
        <v>1.6001115542356106</v>
      </c>
      <c r="BF105" s="553">
        <f t="shared" si="63"/>
        <v>1</v>
      </c>
      <c r="BG105" s="553">
        <f t="shared" si="63"/>
        <v>1.6004977921465615</v>
      </c>
      <c r="BH105" s="553">
        <f t="shared" si="63"/>
        <v>1.6008898659517428</v>
      </c>
      <c r="BI105" s="553">
        <f t="shared" si="63"/>
        <v>1.5998967524638787</v>
      </c>
      <c r="BJ105" s="553">
        <f t="shared" si="63"/>
        <v>1.6005344293898338</v>
      </c>
      <c r="BK105" s="553">
        <f t="shared" si="63"/>
        <v>1.6001051428571427</v>
      </c>
      <c r="BL105" s="553">
        <f t="shared" si="63"/>
        <v>1.5996347743882482</v>
      </c>
      <c r="BM105" s="553">
        <f t="shared" si="63"/>
        <v>1.5998994419970631</v>
      </c>
      <c r="BN105" s="553">
        <f t="shared" si="63"/>
        <v>1.599674287918021</v>
      </c>
      <c r="BO105" s="553">
        <f t="shared" ref="BO105:BV106" si="64">IFERROR(BQ216/BQ278,1)</f>
        <v>1.6005344293898338</v>
      </c>
      <c r="BP105" s="553">
        <f t="shared" si="64"/>
        <v>1.6001115542356106</v>
      </c>
      <c r="BQ105" s="553">
        <f t="shared" si="64"/>
        <v>1.6001329066045971</v>
      </c>
      <c r="BR105" s="553">
        <f t="shared" si="64"/>
        <v>1.6001115542356106</v>
      </c>
      <c r="BS105" s="553">
        <f t="shared" si="64"/>
        <v>1.6005344293898338</v>
      </c>
      <c r="BT105" s="553">
        <f t="shared" si="64"/>
        <v>1.600115750045457</v>
      </c>
      <c r="BU105" s="553">
        <f t="shared" si="64"/>
        <v>1.6018361806451615</v>
      </c>
      <c r="BV105" s="435">
        <f t="shared" si="64"/>
        <v>1.5967158989435</v>
      </c>
    </row>
    <row r="106" spans="2:74" outlineLevel="1" x14ac:dyDescent="0.25">
      <c r="B106" s="1363"/>
      <c r="D106" s="1352"/>
      <c r="F106" s="237" t="s">
        <v>1559</v>
      </c>
      <c r="G106" s="989" t="s">
        <v>1565</v>
      </c>
      <c r="I106" s="409"/>
      <c r="AX106" s="445"/>
      <c r="BB106" s="488">
        <f>IFERROR(BD217/BD279,1)</f>
        <v>1.2340328229188771</v>
      </c>
      <c r="BC106" s="553">
        <f t="shared" ref="BC106:BD106" si="65">IFERROR(BE217/BE279,1)</f>
        <v>1.228377661483387</v>
      </c>
      <c r="BD106" s="553">
        <f t="shared" si="65"/>
        <v>1.2353259902308866</v>
      </c>
      <c r="BE106" s="553">
        <f t="shared" si="63"/>
        <v>1.23214456048738</v>
      </c>
      <c r="BF106" s="553">
        <f t="shared" si="63"/>
        <v>1</v>
      </c>
      <c r="BG106" s="553">
        <f t="shared" si="63"/>
        <v>1.2332349874235988</v>
      </c>
      <c r="BH106" s="553">
        <f t="shared" si="63"/>
        <v>1.1635148</v>
      </c>
      <c r="BI106" s="553">
        <f t="shared" si="63"/>
        <v>1.2277898876457423</v>
      </c>
      <c r="BJ106" s="553">
        <f t="shared" si="63"/>
        <v>1.2333696223111137</v>
      </c>
      <c r="BK106" s="553">
        <f t="shared" si="63"/>
        <v>1.2358007726545841</v>
      </c>
      <c r="BL106" s="553">
        <f t="shared" si="63"/>
        <v>1.228377661483387</v>
      </c>
      <c r="BM106" s="553">
        <f t="shared" si="63"/>
        <v>1.2317771899382435</v>
      </c>
      <c r="BN106" s="553">
        <f t="shared" si="63"/>
        <v>1.2341660801166319</v>
      </c>
      <c r="BO106" s="553">
        <f t="shared" si="64"/>
        <v>1.2333696223111137</v>
      </c>
      <c r="BP106" s="553">
        <f t="shared" si="64"/>
        <v>1.23214456048738</v>
      </c>
      <c r="BQ106" s="553">
        <f t="shared" si="64"/>
        <v>1.2318074212316505</v>
      </c>
      <c r="BR106" s="553">
        <f t="shared" si="64"/>
        <v>1.23214456048738</v>
      </c>
      <c r="BS106" s="553">
        <f t="shared" si="64"/>
        <v>1.2333696223111137</v>
      </c>
      <c r="BT106" s="553">
        <f t="shared" si="64"/>
        <v>1.234227372107334</v>
      </c>
      <c r="BU106" s="553">
        <f t="shared" si="64"/>
        <v>1.1592349172277228</v>
      </c>
      <c r="BV106" s="435">
        <f t="shared" si="64"/>
        <v>1.2230785718246107</v>
      </c>
    </row>
    <row r="107" spans="2:74" outlineLevel="1" x14ac:dyDescent="0.25">
      <c r="B107" s="1363"/>
      <c r="D107" s="1352"/>
      <c r="F107" s="241" t="s">
        <v>1560</v>
      </c>
      <c r="G107" s="987" t="s">
        <v>1566</v>
      </c>
      <c r="I107" s="409"/>
      <c r="AX107" s="445"/>
      <c r="BB107" s="454">
        <f>IFERROR(BD220/BD282,1)</f>
        <v>0.80017713217623498</v>
      </c>
      <c r="BC107" s="455">
        <f t="shared" ref="BC107:BD107" si="66">IFERROR(BE220/BE282,1)</f>
        <v>0.80000786682152525</v>
      </c>
      <c r="BD107" s="455">
        <f t="shared" si="66"/>
        <v>0.80000500157167687</v>
      </c>
      <c r="BE107" s="455">
        <f t="shared" ref="BE107:BV107" si="67">IFERROR(BG220/BG282,1)</f>
        <v>0.79994994480682402</v>
      </c>
      <c r="BF107" s="455">
        <f t="shared" si="67"/>
        <v>1</v>
      </c>
      <c r="BG107" s="455">
        <f t="shared" si="67"/>
        <v>0.79989609555661734</v>
      </c>
      <c r="BH107" s="455">
        <f t="shared" si="67"/>
        <v>0.79994913009031854</v>
      </c>
      <c r="BI107" s="455">
        <f t="shared" si="67"/>
        <v>0.80011548834050261</v>
      </c>
      <c r="BJ107" s="455">
        <f t="shared" si="67"/>
        <v>0.7997909629151887</v>
      </c>
      <c r="BK107" s="455">
        <f t="shared" si="67"/>
        <v>0.80005257142857167</v>
      </c>
      <c r="BL107" s="455">
        <f t="shared" si="67"/>
        <v>0.80000786682152525</v>
      </c>
      <c r="BM107" s="455">
        <f t="shared" si="67"/>
        <v>0.80007183786913727</v>
      </c>
      <c r="BN107" s="455">
        <f t="shared" si="67"/>
        <v>0.79993334202294064</v>
      </c>
      <c r="BO107" s="455">
        <f t="shared" si="67"/>
        <v>0.7997909629151887</v>
      </c>
      <c r="BP107" s="455">
        <f t="shared" si="67"/>
        <v>0.79994994480682402</v>
      </c>
      <c r="BQ107" s="455">
        <f t="shared" si="67"/>
        <v>0.79981247785327259</v>
      </c>
      <c r="BR107" s="455">
        <f t="shared" si="67"/>
        <v>0.79994994480682402</v>
      </c>
      <c r="BS107" s="455">
        <f t="shared" si="67"/>
        <v>0.7997909629151887</v>
      </c>
      <c r="BT107" s="455">
        <f t="shared" si="67"/>
        <v>0.79995204243423401</v>
      </c>
      <c r="BU107" s="455">
        <f t="shared" si="67"/>
        <v>0.80000514653759691</v>
      </c>
      <c r="BV107" s="436">
        <f t="shared" si="67"/>
        <v>0.79998984799651562</v>
      </c>
    </row>
    <row r="108" spans="2:74" outlineLevel="1" x14ac:dyDescent="0.25">
      <c r="B108" s="1363"/>
      <c r="D108" s="1352"/>
      <c r="F108" s="233" t="s">
        <v>1561</v>
      </c>
      <c r="G108" s="988" t="s">
        <v>1566</v>
      </c>
      <c r="I108" s="409"/>
      <c r="AX108" s="445"/>
      <c r="BB108" s="452">
        <f>BD239/BD284</f>
        <v>0.60051711523931106</v>
      </c>
      <c r="BC108" s="453">
        <f t="shared" ref="BC108:BD108" si="68">BE239/BE284</f>
        <v>0.60051711523931106</v>
      </c>
      <c r="BD108" s="453">
        <f t="shared" si="68"/>
        <v>0.60051711523931106</v>
      </c>
      <c r="BE108" s="453">
        <f t="shared" ref="BE108:BV108" si="69">BG239/BG284</f>
        <v>0.60051711523931106</v>
      </c>
      <c r="BF108" s="453">
        <f t="shared" si="69"/>
        <v>0.60051711523931106</v>
      </c>
      <c r="BG108" s="453">
        <f t="shared" si="69"/>
        <v>0.60051711523931106</v>
      </c>
      <c r="BH108" s="453">
        <f t="shared" si="69"/>
        <v>0.59978189989094877</v>
      </c>
      <c r="BI108" s="453">
        <f t="shared" si="69"/>
        <v>0.60051711523931106</v>
      </c>
      <c r="BJ108" s="453">
        <f t="shared" si="69"/>
        <v>0.60051711523931106</v>
      </c>
      <c r="BK108" s="453">
        <f t="shared" si="69"/>
        <v>0.60051711523931106</v>
      </c>
      <c r="BL108" s="453">
        <f t="shared" si="69"/>
        <v>0.60051711523931106</v>
      </c>
      <c r="BM108" s="453">
        <f t="shared" si="69"/>
        <v>0.60051711523931106</v>
      </c>
      <c r="BN108" s="453">
        <f t="shared" si="69"/>
        <v>0.60051711523931106</v>
      </c>
      <c r="BO108" s="453">
        <f t="shared" si="69"/>
        <v>0.60051711523931106</v>
      </c>
      <c r="BP108" s="453">
        <f t="shared" si="69"/>
        <v>0.60051711523931106</v>
      </c>
      <c r="BQ108" s="453">
        <f t="shared" si="69"/>
        <v>0.60051711523931106</v>
      </c>
      <c r="BR108" s="453">
        <f t="shared" si="69"/>
        <v>0.60051711523931106</v>
      </c>
      <c r="BS108" s="453">
        <f t="shared" si="69"/>
        <v>0.60051711523931106</v>
      </c>
      <c r="BT108" s="453">
        <f t="shared" si="69"/>
        <v>0.60051711523931106</v>
      </c>
      <c r="BU108" s="453">
        <f t="shared" si="69"/>
        <v>0.59978189989094877</v>
      </c>
      <c r="BV108" s="434">
        <f t="shared" si="69"/>
        <v>0.60049470667325755</v>
      </c>
    </row>
    <row r="109" spans="2:74" outlineLevel="1" x14ac:dyDescent="0.25">
      <c r="B109" s="1363"/>
      <c r="D109" s="1352"/>
      <c r="F109" s="237" t="s">
        <v>1562</v>
      </c>
      <c r="G109" s="989" t="s">
        <v>1567</v>
      </c>
      <c r="I109" s="409"/>
      <c r="AX109" s="445"/>
      <c r="BB109" s="488">
        <f>BD243/BD285</f>
        <v>1.3278380974025972</v>
      </c>
      <c r="BC109" s="553">
        <f t="shared" ref="BC109:BD109" si="70">BE243/BE285</f>
        <v>1.3278380974025972</v>
      </c>
      <c r="BD109" s="553">
        <f t="shared" si="70"/>
        <v>1.3278380974025972</v>
      </c>
      <c r="BE109" s="553">
        <f t="shared" ref="BE109:BV109" si="71">BG243/BG285</f>
        <v>1.3278380974025972</v>
      </c>
      <c r="BF109" s="553">
        <f t="shared" si="71"/>
        <v>1.3278380974025972</v>
      </c>
      <c r="BG109" s="553">
        <f t="shared" si="71"/>
        <v>1.3278380974025972</v>
      </c>
      <c r="BH109" s="553">
        <f t="shared" si="71"/>
        <v>1.0143284899426861</v>
      </c>
      <c r="BI109" s="553">
        <f t="shared" si="71"/>
        <v>1.3278380974025972</v>
      </c>
      <c r="BJ109" s="553">
        <f t="shared" si="71"/>
        <v>1.3278380974025972</v>
      </c>
      <c r="BK109" s="553">
        <f t="shared" si="71"/>
        <v>1.3278380974025972</v>
      </c>
      <c r="BL109" s="553">
        <f t="shared" si="71"/>
        <v>1.3278380974025972</v>
      </c>
      <c r="BM109" s="553">
        <f t="shared" si="71"/>
        <v>1.3278380974025972</v>
      </c>
      <c r="BN109" s="553">
        <f t="shared" si="71"/>
        <v>1.3278380974025972</v>
      </c>
      <c r="BO109" s="553">
        <f t="shared" si="71"/>
        <v>1.3278380974025972</v>
      </c>
      <c r="BP109" s="553">
        <f t="shared" si="71"/>
        <v>1.3278380974025972</v>
      </c>
      <c r="BQ109" s="553">
        <f t="shared" si="71"/>
        <v>1.3278380974025972</v>
      </c>
      <c r="BR109" s="553">
        <f t="shared" si="71"/>
        <v>1.3278380974025972</v>
      </c>
      <c r="BS109" s="553">
        <f t="shared" si="71"/>
        <v>1.3278380974025972</v>
      </c>
      <c r="BT109" s="553">
        <f t="shared" si="71"/>
        <v>1.3278380974025972</v>
      </c>
      <c r="BU109" s="553">
        <f t="shared" si="71"/>
        <v>1.0143284899426861</v>
      </c>
      <c r="BV109" s="435">
        <f t="shared" si="71"/>
        <v>1.0139373094285715</v>
      </c>
    </row>
    <row r="110" spans="2:74" outlineLevel="1" x14ac:dyDescent="0.25">
      <c r="B110" s="1363"/>
      <c r="D110" s="1352"/>
      <c r="F110" s="237" t="s">
        <v>1563</v>
      </c>
      <c r="G110" s="989" t="s">
        <v>1566</v>
      </c>
      <c r="I110" s="409"/>
      <c r="AX110" s="445"/>
      <c r="BB110" s="488">
        <f>BD251/BD287</f>
        <v>0.8007978474341193</v>
      </c>
      <c r="BC110" s="553">
        <f t="shared" ref="BC110:BD110" si="72">BE251/BE287</f>
        <v>0.8007978474341193</v>
      </c>
      <c r="BD110" s="553">
        <f t="shared" si="72"/>
        <v>0.8007978474341193</v>
      </c>
      <c r="BE110" s="553">
        <f t="shared" ref="BE110:BV110" si="73">BG251/BG287</f>
        <v>0.8007978474341193</v>
      </c>
      <c r="BF110" s="553">
        <f t="shared" si="73"/>
        <v>0.8007978474341193</v>
      </c>
      <c r="BG110" s="553">
        <f t="shared" si="73"/>
        <v>0.8007978474341193</v>
      </c>
      <c r="BH110" s="553">
        <f t="shared" si="73"/>
        <v>0.80000688497965589</v>
      </c>
      <c r="BI110" s="553">
        <f t="shared" si="73"/>
        <v>0.8007978474341193</v>
      </c>
      <c r="BJ110" s="553">
        <f t="shared" si="73"/>
        <v>0.8007978474341193</v>
      </c>
      <c r="BK110" s="553">
        <f t="shared" si="73"/>
        <v>0.8007978474341193</v>
      </c>
      <c r="BL110" s="553">
        <f t="shared" si="73"/>
        <v>0.8007978474341193</v>
      </c>
      <c r="BM110" s="553">
        <f t="shared" si="73"/>
        <v>0.8007978474341193</v>
      </c>
      <c r="BN110" s="553">
        <f t="shared" si="73"/>
        <v>0.8007978474341193</v>
      </c>
      <c r="BO110" s="553">
        <f t="shared" si="73"/>
        <v>0.8007978474341193</v>
      </c>
      <c r="BP110" s="553">
        <f t="shared" si="73"/>
        <v>0.8007978474341193</v>
      </c>
      <c r="BQ110" s="553">
        <f t="shared" si="73"/>
        <v>0.8007978474341193</v>
      </c>
      <c r="BR110" s="553">
        <f t="shared" si="73"/>
        <v>0.8007978474341193</v>
      </c>
      <c r="BS110" s="553">
        <f t="shared" si="73"/>
        <v>0.8007978474341193</v>
      </c>
      <c r="BT110" s="553">
        <f t="shared" si="73"/>
        <v>0.8007978474341193</v>
      </c>
      <c r="BU110" s="553">
        <f t="shared" si="73"/>
        <v>0.80000688497965589</v>
      </c>
      <c r="BV110" s="435">
        <f t="shared" si="73"/>
        <v>0.79999287375714179</v>
      </c>
    </row>
    <row r="111" spans="2:74" outlineLevel="1" x14ac:dyDescent="0.25">
      <c r="B111" s="1363"/>
      <c r="D111" s="1353"/>
      <c r="F111" s="241" t="s">
        <v>1564</v>
      </c>
      <c r="G111" s="987" t="s">
        <v>1566</v>
      </c>
      <c r="I111" s="446"/>
      <c r="J111" s="442"/>
      <c r="K111" s="442"/>
      <c r="L111" s="442"/>
      <c r="M111" s="442"/>
      <c r="N111" s="442"/>
      <c r="O111" s="442"/>
      <c r="P111" s="442"/>
      <c r="Q111" s="442"/>
      <c r="R111" s="210"/>
      <c r="S111" s="210"/>
      <c r="T111" s="210"/>
      <c r="U111" s="442"/>
      <c r="V111" s="442"/>
      <c r="W111" s="442"/>
      <c r="X111" s="442"/>
      <c r="Y111" s="442"/>
      <c r="Z111" s="442"/>
      <c r="AA111" s="442"/>
      <c r="AB111" s="442"/>
      <c r="AC111" s="442"/>
      <c r="AD111" s="210"/>
      <c r="AE111" s="210"/>
      <c r="AF111" s="210"/>
      <c r="AG111" s="442"/>
      <c r="AH111" s="442"/>
      <c r="AI111" s="442"/>
      <c r="AJ111" s="442"/>
      <c r="AK111" s="442"/>
      <c r="AL111" s="442"/>
      <c r="AM111" s="442"/>
      <c r="AN111" s="442"/>
      <c r="AO111" s="442"/>
      <c r="AP111" s="210"/>
      <c r="AQ111" s="210"/>
      <c r="AR111" s="210"/>
      <c r="AS111" s="442"/>
      <c r="AT111" s="442"/>
      <c r="AU111" s="442"/>
      <c r="AV111" s="442"/>
      <c r="AW111" s="442"/>
      <c r="AX111" s="447"/>
      <c r="BB111" s="454">
        <f>BD247/BD286</f>
        <v>1.0509951551988665</v>
      </c>
      <c r="BC111" s="455">
        <f t="shared" ref="BC111:BD111" si="74">BE247/BE286</f>
        <v>1.0509951551988665</v>
      </c>
      <c r="BD111" s="455">
        <f t="shared" si="74"/>
        <v>1.0509951551988665</v>
      </c>
      <c r="BE111" s="455">
        <f t="shared" ref="BE111:BV111" si="75">BG247/BG286</f>
        <v>1.0509951551988665</v>
      </c>
      <c r="BF111" s="455">
        <f t="shared" si="75"/>
        <v>1.0509951551988665</v>
      </c>
      <c r="BG111" s="455">
        <f t="shared" si="75"/>
        <v>1.0509951551988665</v>
      </c>
      <c r="BH111" s="455">
        <f t="shared" si="75"/>
        <v>1.0500741270795586</v>
      </c>
      <c r="BI111" s="455">
        <f t="shared" si="75"/>
        <v>1.0509951551988665</v>
      </c>
      <c r="BJ111" s="455">
        <f t="shared" si="75"/>
        <v>1.0509951551988665</v>
      </c>
      <c r="BK111" s="455">
        <f t="shared" si="75"/>
        <v>1.0509951551988665</v>
      </c>
      <c r="BL111" s="455">
        <f t="shared" si="75"/>
        <v>1.0509951551988665</v>
      </c>
      <c r="BM111" s="455">
        <f t="shared" si="75"/>
        <v>1.0509951551988665</v>
      </c>
      <c r="BN111" s="455">
        <f t="shared" si="75"/>
        <v>1.0509951551988665</v>
      </c>
      <c r="BO111" s="455">
        <f t="shared" si="75"/>
        <v>1.0509951551988665</v>
      </c>
      <c r="BP111" s="455">
        <f t="shared" si="75"/>
        <v>1.0509951551988665</v>
      </c>
      <c r="BQ111" s="455">
        <f t="shared" si="75"/>
        <v>1.0509951551988665</v>
      </c>
      <c r="BR111" s="455">
        <f t="shared" si="75"/>
        <v>1.0509951551988665</v>
      </c>
      <c r="BS111" s="455">
        <f t="shared" si="75"/>
        <v>1.0509951551988665</v>
      </c>
      <c r="BT111" s="455">
        <f t="shared" si="75"/>
        <v>1.0509951551988665</v>
      </c>
      <c r="BU111" s="455">
        <f t="shared" si="75"/>
        <v>1.0500741270795586</v>
      </c>
      <c r="BV111" s="436">
        <f t="shared" si="75"/>
        <v>1.050010853020134</v>
      </c>
    </row>
    <row r="112" spans="2:74" x14ac:dyDescent="0.25">
      <c r="B112" s="1363"/>
      <c r="BB112" s="938" t="s">
        <v>1526</v>
      </c>
      <c r="BC112" s="1"/>
      <c r="BD112" s="1"/>
      <c r="BE112" s="1"/>
      <c r="BF112" s="1"/>
    </row>
    <row r="113" spans="2:60" x14ac:dyDescent="0.25">
      <c r="B113" s="1363"/>
      <c r="BB113" s="1"/>
      <c r="BC113" s="1"/>
      <c r="BD113" s="1"/>
      <c r="BE113" s="1"/>
      <c r="BF113" s="1"/>
    </row>
    <row r="114" spans="2:60" x14ac:dyDescent="0.25">
      <c r="B114" s="1363"/>
      <c r="D114" s="1351" t="s">
        <v>777</v>
      </c>
      <c r="F114" s="233" t="str">
        <f>"y_"&amp;$G114</f>
        <v>y_Barley</v>
      </c>
      <c r="G114" s="381" t="s">
        <v>91</v>
      </c>
      <c r="I114" s="263"/>
      <c r="J114" s="207"/>
      <c r="K114" s="207"/>
      <c r="L114" s="207"/>
      <c r="M114" s="207"/>
      <c r="N114" s="207"/>
      <c r="O114" s="207"/>
      <c r="P114" s="207"/>
      <c r="Q114" s="207"/>
      <c r="R114" s="207"/>
      <c r="S114" s="207"/>
      <c r="T114" s="207"/>
      <c r="U114" s="283"/>
      <c r="V114" s="283"/>
      <c r="W114" s="283"/>
      <c r="X114" s="283"/>
      <c r="Y114" s="283"/>
      <c r="Z114" s="283"/>
      <c r="AA114" s="283"/>
      <c r="AB114" s="283"/>
      <c r="AC114" s="283"/>
      <c r="AD114" s="207"/>
      <c r="AE114" s="207"/>
      <c r="AF114" s="207"/>
      <c r="AG114" s="283"/>
      <c r="AH114" s="283"/>
      <c r="AI114" s="283"/>
      <c r="AJ114" s="283"/>
      <c r="AK114" s="283"/>
      <c r="AL114" s="283"/>
      <c r="AM114" s="283"/>
      <c r="AN114" s="283"/>
      <c r="AO114" s="283"/>
      <c r="AP114" s="207"/>
      <c r="AQ114" s="207"/>
      <c r="AR114" s="207"/>
      <c r="AS114" s="283"/>
      <c r="AT114" s="283"/>
      <c r="AU114" s="283"/>
      <c r="AV114" s="283"/>
      <c r="AW114" s="283"/>
      <c r="AX114" s="444"/>
      <c r="BB114" s="538">
        <f t="shared" ref="BB114:BG123" si="76">INDEX($I$459:$L$484,MATCH($G114,$G$459:$G$484,0),MATCH(BB$6,$I$458:$L$458,0))</f>
        <v>1</v>
      </c>
      <c r="BC114" s="539">
        <f t="shared" si="76"/>
        <v>0.66852682612198233</v>
      </c>
      <c r="BD114" s="539">
        <f t="shared" si="76"/>
        <v>0.58316607939672327</v>
      </c>
      <c r="BE114" s="539">
        <f t="shared" si="76"/>
        <v>0.75388757284724139</v>
      </c>
      <c r="BF114" s="539">
        <f t="shared" si="76"/>
        <v>0.66852682612198233</v>
      </c>
      <c r="BG114" s="540">
        <f t="shared" si="76"/>
        <v>0.66852682612198233</v>
      </c>
      <c r="BH114" s="265"/>
    </row>
    <row r="115" spans="2:60" outlineLevel="1" x14ac:dyDescent="0.25">
      <c r="B115" s="1363"/>
      <c r="D115" s="1352"/>
      <c r="F115" s="237" t="str">
        <f t="shared" ref="F115:F139" si="77">"y_"&amp;$G115</f>
        <v>y_Broad beans</v>
      </c>
      <c r="G115" s="609" t="s">
        <v>102</v>
      </c>
      <c r="I115" s="265"/>
      <c r="J115" s="1"/>
      <c r="K115" s="1"/>
      <c r="L115" s="1"/>
      <c r="M115" s="1"/>
      <c r="N115" s="1"/>
      <c r="O115" s="1"/>
      <c r="P115" s="1"/>
      <c r="Q115" s="1"/>
      <c r="AX115" s="445"/>
      <c r="BB115" s="541">
        <f t="shared" si="76"/>
        <v>1</v>
      </c>
      <c r="BC115" s="542">
        <f t="shared" si="76"/>
        <v>0.87773596146249411</v>
      </c>
      <c r="BD115" s="542">
        <f t="shared" si="76"/>
        <v>0.66294319311784078</v>
      </c>
      <c r="BE115" s="542">
        <f t="shared" si="76"/>
        <v>1.0925287298071473</v>
      </c>
      <c r="BF115" s="542">
        <f t="shared" si="76"/>
        <v>0.87773596146249411</v>
      </c>
      <c r="BG115" s="543">
        <f t="shared" si="76"/>
        <v>0.87773596146249411</v>
      </c>
      <c r="BH115" s="265"/>
    </row>
    <row r="116" spans="2:60" outlineLevel="1" x14ac:dyDescent="0.25">
      <c r="B116" s="1363"/>
      <c r="D116" s="1352"/>
      <c r="F116" s="237" t="str">
        <f t="shared" si="77"/>
        <v>y_Green beans</v>
      </c>
      <c r="G116" s="609" t="s">
        <v>103</v>
      </c>
      <c r="I116" s="265"/>
      <c r="J116" s="1"/>
      <c r="K116" s="1"/>
      <c r="L116" s="1"/>
      <c r="M116" s="1"/>
      <c r="N116" s="1"/>
      <c r="O116" s="1"/>
      <c r="P116" s="1"/>
      <c r="Q116" s="1"/>
      <c r="AX116" s="445"/>
      <c r="BB116" s="541">
        <f t="shared" si="76"/>
        <v>1</v>
      </c>
      <c r="BC116" s="542">
        <f t="shared" si="76"/>
        <v>0.87773596146249411</v>
      </c>
      <c r="BD116" s="542">
        <f t="shared" si="76"/>
        <v>0.66294319311784078</v>
      </c>
      <c r="BE116" s="542">
        <f t="shared" si="76"/>
        <v>1.0925287298071473</v>
      </c>
      <c r="BF116" s="542">
        <f t="shared" si="76"/>
        <v>0.87773596146249411</v>
      </c>
      <c r="BG116" s="543">
        <f t="shared" si="76"/>
        <v>0.87773596146249411</v>
      </c>
      <c r="BH116" s="265"/>
    </row>
    <row r="117" spans="2:60" outlineLevel="1" x14ac:dyDescent="0.25">
      <c r="B117" s="1363"/>
      <c r="D117" s="1352"/>
      <c r="F117" s="237" t="str">
        <f t="shared" si="77"/>
        <v>y_Linseed</v>
      </c>
      <c r="G117" s="609" t="s">
        <v>107</v>
      </c>
      <c r="I117" s="265"/>
      <c r="J117" s="1"/>
      <c r="K117" s="1"/>
      <c r="L117" s="1"/>
      <c r="M117" s="1"/>
      <c r="N117" s="1"/>
      <c r="O117" s="1"/>
      <c r="P117" s="1"/>
      <c r="Q117" s="1"/>
      <c r="AX117" s="445"/>
      <c r="BB117" s="541">
        <f t="shared" si="76"/>
        <v>1</v>
      </c>
      <c r="BC117" s="542">
        <f t="shared" si="76"/>
        <v>0.69583791583791577</v>
      </c>
      <c r="BD117" s="542">
        <f t="shared" si="76"/>
        <v>0.5629070333270475</v>
      </c>
      <c r="BE117" s="542">
        <f t="shared" si="76"/>
        <v>0.82876879834878403</v>
      </c>
      <c r="BF117" s="542">
        <f t="shared" si="76"/>
        <v>0.69583791583791577</v>
      </c>
      <c r="BG117" s="543">
        <f t="shared" si="76"/>
        <v>0.69583791583791577</v>
      </c>
      <c r="BH117" s="265"/>
    </row>
    <row r="118" spans="2:60" outlineLevel="1" x14ac:dyDescent="0.25">
      <c r="B118" s="1363"/>
      <c r="D118" s="1352"/>
      <c r="F118" s="237" t="str">
        <f t="shared" si="77"/>
        <v>y_Lupins</v>
      </c>
      <c r="G118" s="609" t="s">
        <v>104</v>
      </c>
      <c r="I118" s="265"/>
      <c r="J118" s="1"/>
      <c r="K118" s="1"/>
      <c r="L118" s="1"/>
      <c r="M118" s="1"/>
      <c r="N118" s="1"/>
      <c r="O118" s="1"/>
      <c r="P118" s="1"/>
      <c r="Q118" s="1"/>
      <c r="AX118" s="445"/>
      <c r="BB118" s="541">
        <f t="shared" si="76"/>
        <v>1</v>
      </c>
      <c r="BC118" s="542">
        <f t="shared" si="76"/>
        <v>0.87773596146249411</v>
      </c>
      <c r="BD118" s="542">
        <f t="shared" si="76"/>
        <v>0.66294319311784078</v>
      </c>
      <c r="BE118" s="542">
        <f t="shared" si="76"/>
        <v>1.0925287298071473</v>
      </c>
      <c r="BF118" s="542">
        <f t="shared" si="76"/>
        <v>0.87773596146249411</v>
      </c>
      <c r="BG118" s="543">
        <f t="shared" si="76"/>
        <v>0.87773596146249411</v>
      </c>
      <c r="BH118" s="265"/>
    </row>
    <row r="119" spans="2:60" outlineLevel="1" x14ac:dyDescent="0.25">
      <c r="B119" s="1363"/>
      <c r="D119" s="1352"/>
      <c r="F119" s="237" t="str">
        <f t="shared" si="77"/>
        <v>y_Maize</v>
      </c>
      <c r="G119" s="609" t="s">
        <v>97</v>
      </c>
      <c r="I119" s="265"/>
      <c r="J119" s="1"/>
      <c r="K119" s="1"/>
      <c r="L119" s="1"/>
      <c r="M119" s="1"/>
      <c r="N119" s="1"/>
      <c r="O119" s="1"/>
      <c r="P119" s="1"/>
      <c r="Q119" s="1"/>
      <c r="AX119" s="445"/>
      <c r="BB119" s="541">
        <f t="shared" si="76"/>
        <v>1</v>
      </c>
      <c r="BC119" s="542">
        <f t="shared" si="76"/>
        <v>0.76354363276020898</v>
      </c>
      <c r="BD119" s="542">
        <f t="shared" si="76"/>
        <v>0.61282539264117808</v>
      </c>
      <c r="BE119" s="542">
        <f t="shared" si="76"/>
        <v>0.91426187287923988</v>
      </c>
      <c r="BF119" s="542">
        <f t="shared" si="76"/>
        <v>0.76354363276020898</v>
      </c>
      <c r="BG119" s="543">
        <f t="shared" si="76"/>
        <v>0.76354363276020898</v>
      </c>
      <c r="BH119" s="265"/>
    </row>
    <row r="120" spans="2:60" outlineLevel="1" x14ac:dyDescent="0.25">
      <c r="B120" s="1363"/>
      <c r="D120" s="1352"/>
      <c r="F120" s="237" t="str">
        <f t="shared" si="77"/>
        <v>y_Maize silage</v>
      </c>
      <c r="G120" s="609" t="s">
        <v>628</v>
      </c>
      <c r="I120" s="265"/>
      <c r="J120" s="1"/>
      <c r="K120" s="1"/>
      <c r="L120" s="1"/>
      <c r="M120" s="1"/>
      <c r="N120" s="1"/>
      <c r="O120" s="1"/>
      <c r="P120" s="1"/>
      <c r="Q120" s="1"/>
      <c r="AX120" s="445"/>
      <c r="BB120" s="541">
        <f t="shared" si="76"/>
        <v>1</v>
      </c>
      <c r="BC120" s="542">
        <f t="shared" si="76"/>
        <v>0.76354363276020898</v>
      </c>
      <c r="BD120" s="542">
        <f t="shared" si="76"/>
        <v>0.61282539264117808</v>
      </c>
      <c r="BE120" s="542">
        <f t="shared" si="76"/>
        <v>0.91426187287923988</v>
      </c>
      <c r="BF120" s="542">
        <f t="shared" si="76"/>
        <v>0.76354363276020898</v>
      </c>
      <c r="BG120" s="543">
        <f t="shared" si="76"/>
        <v>0.76354363276020898</v>
      </c>
      <c r="BH120" s="265"/>
    </row>
    <row r="121" spans="2:60" outlineLevel="1" x14ac:dyDescent="0.25">
      <c r="B121" s="1363"/>
      <c r="D121" s="1352"/>
      <c r="F121" s="237" t="str">
        <f t="shared" si="77"/>
        <v>y_Mustard seed</v>
      </c>
      <c r="G121" s="609" t="s">
        <v>108</v>
      </c>
      <c r="I121" s="265"/>
      <c r="J121" s="1"/>
      <c r="K121" s="1"/>
      <c r="L121" s="1"/>
      <c r="M121" s="1"/>
      <c r="N121" s="1"/>
      <c r="O121" s="1"/>
      <c r="P121" s="1"/>
      <c r="Q121" s="1"/>
      <c r="AX121" s="445"/>
      <c r="BB121" s="541">
        <f t="shared" si="76"/>
        <v>1</v>
      </c>
      <c r="BC121" s="542">
        <f t="shared" si="76"/>
        <v>0.69583791583791577</v>
      </c>
      <c r="BD121" s="542">
        <f t="shared" si="76"/>
        <v>0.5629070333270475</v>
      </c>
      <c r="BE121" s="542">
        <f t="shared" si="76"/>
        <v>0.82876879834878403</v>
      </c>
      <c r="BF121" s="542">
        <f t="shared" si="76"/>
        <v>0.69583791583791577</v>
      </c>
      <c r="BG121" s="543">
        <f t="shared" si="76"/>
        <v>0.69583791583791577</v>
      </c>
      <c r="BH121" s="265"/>
    </row>
    <row r="122" spans="2:60" outlineLevel="1" x14ac:dyDescent="0.25">
      <c r="B122" s="1363"/>
      <c r="D122" s="1352"/>
      <c r="F122" s="237" t="str">
        <f t="shared" si="77"/>
        <v>y_Oat</v>
      </c>
      <c r="G122" s="609" t="s">
        <v>98</v>
      </c>
      <c r="I122" s="265"/>
      <c r="J122" s="1"/>
      <c r="K122" s="1"/>
      <c r="L122" s="1"/>
      <c r="M122" s="1"/>
      <c r="N122" s="1"/>
      <c r="O122" s="1"/>
      <c r="P122" s="1"/>
      <c r="Q122" s="1"/>
      <c r="AX122" s="445"/>
      <c r="BB122" s="541">
        <f t="shared" si="76"/>
        <v>1</v>
      </c>
      <c r="BC122" s="542">
        <f t="shared" si="76"/>
        <v>0.97971235840651649</v>
      </c>
      <c r="BD122" s="542">
        <f t="shared" si="76"/>
        <v>0.92334068938658709</v>
      </c>
      <c r="BE122" s="542">
        <f t="shared" si="76"/>
        <v>1.036084027426446</v>
      </c>
      <c r="BF122" s="542">
        <f t="shared" si="76"/>
        <v>0.97971235840651649</v>
      </c>
      <c r="BG122" s="543">
        <f t="shared" si="76"/>
        <v>0.97971235840651649</v>
      </c>
      <c r="BH122" s="265"/>
    </row>
    <row r="123" spans="2:60" outlineLevel="1" x14ac:dyDescent="0.25">
      <c r="B123" s="1363"/>
      <c r="D123" s="1352"/>
      <c r="F123" s="237" t="str">
        <f t="shared" si="77"/>
        <v>y_Peas, dry</v>
      </c>
      <c r="G123" s="609" t="s">
        <v>629</v>
      </c>
      <c r="I123" s="265"/>
      <c r="J123" s="1"/>
      <c r="K123" s="1"/>
      <c r="L123" s="1"/>
      <c r="M123" s="1"/>
      <c r="N123" s="1"/>
      <c r="O123" s="1"/>
      <c r="P123" s="1"/>
      <c r="Q123" s="1"/>
      <c r="AX123" s="445"/>
      <c r="BB123" s="541">
        <f t="shared" si="76"/>
        <v>1</v>
      </c>
      <c r="BC123" s="542">
        <f t="shared" si="76"/>
        <v>0.87773596146249411</v>
      </c>
      <c r="BD123" s="542">
        <f t="shared" si="76"/>
        <v>0.66294319311784078</v>
      </c>
      <c r="BE123" s="542">
        <f t="shared" si="76"/>
        <v>1.0925287298071473</v>
      </c>
      <c r="BF123" s="542">
        <f t="shared" si="76"/>
        <v>0.87773596146249411</v>
      </c>
      <c r="BG123" s="543">
        <f t="shared" si="76"/>
        <v>0.87773596146249411</v>
      </c>
      <c r="BH123" s="265"/>
    </row>
    <row r="124" spans="2:60" outlineLevel="1" x14ac:dyDescent="0.25">
      <c r="B124" s="1363"/>
      <c r="D124" s="1352"/>
      <c r="F124" s="237" t="str">
        <f t="shared" si="77"/>
        <v>y_Peas, green</v>
      </c>
      <c r="G124" s="609" t="s">
        <v>105</v>
      </c>
      <c r="I124" s="265"/>
      <c r="J124" s="1"/>
      <c r="K124" s="1"/>
      <c r="L124" s="1"/>
      <c r="M124" s="1"/>
      <c r="N124" s="1"/>
      <c r="O124" s="1"/>
      <c r="P124" s="1"/>
      <c r="Q124" s="1"/>
      <c r="AX124" s="445"/>
      <c r="BB124" s="541">
        <f t="shared" ref="BB124:BG133" si="78">INDEX($I$459:$L$484,MATCH($G124,$G$459:$G$484,0),MATCH(BB$6,$I$458:$L$458,0))</f>
        <v>1</v>
      </c>
      <c r="BC124" s="542">
        <f t="shared" si="78"/>
        <v>0.87773596146249411</v>
      </c>
      <c r="BD124" s="542">
        <f t="shared" si="78"/>
        <v>0.66294319311784078</v>
      </c>
      <c r="BE124" s="542">
        <f t="shared" si="78"/>
        <v>1.0925287298071473</v>
      </c>
      <c r="BF124" s="542">
        <f t="shared" si="78"/>
        <v>0.87773596146249411</v>
      </c>
      <c r="BG124" s="543">
        <f t="shared" si="78"/>
        <v>0.87773596146249411</v>
      </c>
      <c r="BH124" s="265"/>
    </row>
    <row r="125" spans="2:60" outlineLevel="1" x14ac:dyDescent="0.25">
      <c r="B125" s="1363"/>
      <c r="D125" s="1352"/>
      <c r="F125" s="237" t="str">
        <f t="shared" si="77"/>
        <v>y_Potatoes</v>
      </c>
      <c r="G125" s="609" t="s">
        <v>111</v>
      </c>
      <c r="I125" s="265"/>
      <c r="J125" s="1"/>
      <c r="K125" s="1"/>
      <c r="L125" s="1"/>
      <c r="M125" s="1"/>
      <c r="N125" s="1"/>
      <c r="O125" s="1"/>
      <c r="P125" s="1"/>
      <c r="Q125" s="1"/>
      <c r="AX125" s="445"/>
      <c r="BB125" s="541">
        <f t="shared" si="78"/>
        <v>1</v>
      </c>
      <c r="BC125" s="542">
        <f t="shared" si="78"/>
        <v>0.78316704421159455</v>
      </c>
      <c r="BD125" s="542">
        <f t="shared" si="78"/>
        <v>0.53250152632091829</v>
      </c>
      <c r="BE125" s="542">
        <f t="shared" si="78"/>
        <v>1.0338325621022708</v>
      </c>
      <c r="BF125" s="542">
        <f t="shared" si="78"/>
        <v>0.78316704421159455</v>
      </c>
      <c r="BG125" s="543">
        <f t="shared" si="78"/>
        <v>0.78316704421159455</v>
      </c>
      <c r="BH125" s="265"/>
    </row>
    <row r="126" spans="2:60" outlineLevel="1" x14ac:dyDescent="0.25">
      <c r="B126" s="1363"/>
      <c r="D126" s="1352"/>
      <c r="F126" s="237" t="str">
        <f t="shared" si="77"/>
        <v>y_Rapeseed</v>
      </c>
      <c r="G126" s="609" t="s">
        <v>109</v>
      </c>
      <c r="I126" s="265"/>
      <c r="J126" s="1"/>
      <c r="K126" s="1"/>
      <c r="L126" s="1"/>
      <c r="M126" s="1"/>
      <c r="N126" s="1"/>
      <c r="O126" s="1"/>
      <c r="P126" s="1"/>
      <c r="Q126" s="1"/>
      <c r="AX126" s="445"/>
      <c r="BB126" s="541">
        <f t="shared" si="78"/>
        <v>1</v>
      </c>
      <c r="BC126" s="542">
        <f t="shared" si="78"/>
        <v>0.69583791583791577</v>
      </c>
      <c r="BD126" s="542">
        <f t="shared" si="78"/>
        <v>0.5629070333270475</v>
      </c>
      <c r="BE126" s="542">
        <f t="shared" si="78"/>
        <v>0.82876879834878403</v>
      </c>
      <c r="BF126" s="542">
        <f t="shared" si="78"/>
        <v>0.69583791583791577</v>
      </c>
      <c r="BG126" s="543">
        <f t="shared" si="78"/>
        <v>0.69583791583791577</v>
      </c>
      <c r="BH126" s="265"/>
    </row>
    <row r="127" spans="2:60" outlineLevel="1" x14ac:dyDescent="0.25">
      <c r="B127" s="1363"/>
      <c r="D127" s="1352"/>
      <c r="F127" s="237" t="str">
        <f t="shared" si="77"/>
        <v>y_Rye</v>
      </c>
      <c r="G127" s="609" t="s">
        <v>99</v>
      </c>
      <c r="I127" s="265"/>
      <c r="J127" s="1"/>
      <c r="K127" s="1"/>
      <c r="L127" s="1"/>
      <c r="M127" s="1"/>
      <c r="N127" s="1"/>
      <c r="O127" s="1"/>
      <c r="P127" s="1"/>
      <c r="Q127" s="1"/>
      <c r="AX127" s="445"/>
      <c r="BB127" s="541">
        <f t="shared" si="78"/>
        <v>1</v>
      </c>
      <c r="BC127" s="542">
        <f t="shared" si="78"/>
        <v>0.70974031487509404</v>
      </c>
      <c r="BD127" s="542">
        <f t="shared" si="78"/>
        <v>0.56337675171880031</v>
      </c>
      <c r="BE127" s="542">
        <f t="shared" si="78"/>
        <v>0.85610387803138777</v>
      </c>
      <c r="BF127" s="542">
        <f t="shared" si="78"/>
        <v>0.70974031487509404</v>
      </c>
      <c r="BG127" s="543">
        <f t="shared" si="78"/>
        <v>0.70974031487509404</v>
      </c>
      <c r="BH127" s="265"/>
    </row>
    <row r="128" spans="2:60" outlineLevel="1" x14ac:dyDescent="0.25">
      <c r="B128" s="1363"/>
      <c r="D128" s="1352"/>
      <c r="F128" s="237" t="str">
        <f t="shared" si="77"/>
        <v>y_Soybeans</v>
      </c>
      <c r="G128" s="609" t="s">
        <v>106</v>
      </c>
      <c r="I128" s="265"/>
      <c r="J128" s="1"/>
      <c r="K128" s="1"/>
      <c r="L128" s="1"/>
      <c r="M128" s="1"/>
      <c r="N128" s="1"/>
      <c r="O128" s="1"/>
      <c r="P128" s="1"/>
      <c r="Q128" s="1"/>
      <c r="AX128" s="445"/>
      <c r="BB128" s="541">
        <f t="shared" si="78"/>
        <v>1</v>
      </c>
      <c r="BC128" s="542">
        <f t="shared" si="78"/>
        <v>0.87773596146249411</v>
      </c>
      <c r="BD128" s="542">
        <f t="shared" si="78"/>
        <v>0.66294319311784078</v>
      </c>
      <c r="BE128" s="542">
        <f t="shared" si="78"/>
        <v>1.0925287298071473</v>
      </c>
      <c r="BF128" s="542">
        <f t="shared" si="78"/>
        <v>0.87773596146249411</v>
      </c>
      <c r="BG128" s="543">
        <f t="shared" si="78"/>
        <v>0.87773596146249411</v>
      </c>
      <c r="BH128" s="265"/>
    </row>
    <row r="129" spans="2:60" outlineLevel="1" x14ac:dyDescent="0.25">
      <c r="B129" s="1363"/>
      <c r="D129" s="1352"/>
      <c r="F129" s="237" t="str">
        <f t="shared" si="77"/>
        <v>y_Sugar beet</v>
      </c>
      <c r="G129" s="609" t="s">
        <v>112</v>
      </c>
      <c r="I129" s="265"/>
      <c r="J129" s="1"/>
      <c r="K129" s="1"/>
      <c r="L129" s="1"/>
      <c r="M129" s="1"/>
      <c r="N129" s="1"/>
      <c r="O129" s="1"/>
      <c r="P129" s="1"/>
      <c r="Q129" s="1"/>
      <c r="AX129" s="445"/>
      <c r="BB129" s="541">
        <f t="shared" si="78"/>
        <v>1</v>
      </c>
      <c r="BC129" s="542">
        <f t="shared" si="78"/>
        <v>0.7950192355380219</v>
      </c>
      <c r="BD129" s="542">
        <f t="shared" si="78"/>
        <v>0.56113918764887349</v>
      </c>
      <c r="BE129" s="542">
        <f t="shared" si="78"/>
        <v>1.0288992834271704</v>
      </c>
      <c r="BF129" s="542">
        <f t="shared" si="78"/>
        <v>0.7950192355380219</v>
      </c>
      <c r="BG129" s="543">
        <f t="shared" si="78"/>
        <v>0.7950192355380219</v>
      </c>
      <c r="BH129" s="265"/>
    </row>
    <row r="130" spans="2:60" outlineLevel="1" x14ac:dyDescent="0.25">
      <c r="B130" s="1363"/>
      <c r="D130" s="1352"/>
      <c r="F130" s="237" t="str">
        <f t="shared" si="77"/>
        <v>y_Sunflower seed</v>
      </c>
      <c r="G130" s="609" t="s">
        <v>110</v>
      </c>
      <c r="I130" s="265"/>
      <c r="J130" s="1"/>
      <c r="K130" s="1"/>
      <c r="L130" s="1"/>
      <c r="M130" s="1"/>
      <c r="N130" s="1"/>
      <c r="O130" s="1"/>
      <c r="P130" s="1"/>
      <c r="Q130" s="1"/>
      <c r="AX130" s="445"/>
      <c r="BB130" s="541">
        <f t="shared" si="78"/>
        <v>1</v>
      </c>
      <c r="BC130" s="542">
        <f t="shared" si="78"/>
        <v>0.69583791583791577</v>
      </c>
      <c r="BD130" s="542">
        <f t="shared" si="78"/>
        <v>0.5629070333270475</v>
      </c>
      <c r="BE130" s="542">
        <f t="shared" si="78"/>
        <v>0.82876879834878403</v>
      </c>
      <c r="BF130" s="542">
        <f t="shared" si="78"/>
        <v>0.69583791583791577</v>
      </c>
      <c r="BG130" s="543">
        <f t="shared" si="78"/>
        <v>0.69583791583791577</v>
      </c>
      <c r="BH130" s="265"/>
    </row>
    <row r="131" spans="2:60" outlineLevel="1" x14ac:dyDescent="0.25">
      <c r="B131" s="1363"/>
      <c r="D131" s="1352"/>
      <c r="F131" s="237" t="str">
        <f t="shared" si="77"/>
        <v>y_Triticale</v>
      </c>
      <c r="G131" s="609" t="s">
        <v>100</v>
      </c>
      <c r="I131" s="265"/>
      <c r="J131" s="1"/>
      <c r="K131" s="1"/>
      <c r="L131" s="1"/>
      <c r="M131" s="1"/>
      <c r="N131" s="1"/>
      <c r="O131" s="1"/>
      <c r="P131" s="1"/>
      <c r="Q131" s="1"/>
      <c r="AX131" s="445"/>
      <c r="BB131" s="541">
        <f t="shared" si="78"/>
        <v>1</v>
      </c>
      <c r="BC131" s="542">
        <f t="shared" si="78"/>
        <v>0.70974031487509404</v>
      </c>
      <c r="BD131" s="542">
        <f t="shared" si="78"/>
        <v>0.56337675171880031</v>
      </c>
      <c r="BE131" s="542">
        <f t="shared" si="78"/>
        <v>0.85610387803138777</v>
      </c>
      <c r="BF131" s="542">
        <f t="shared" si="78"/>
        <v>0.70974031487509404</v>
      </c>
      <c r="BG131" s="543">
        <f t="shared" si="78"/>
        <v>0.70974031487509404</v>
      </c>
      <c r="BH131" s="265"/>
    </row>
    <row r="132" spans="2:60" outlineLevel="1" x14ac:dyDescent="0.25">
      <c r="B132" s="1363"/>
      <c r="D132" s="1352"/>
      <c r="F132" s="237" t="str">
        <f t="shared" si="77"/>
        <v>y_Wheat</v>
      </c>
      <c r="G132" s="610" t="s">
        <v>101</v>
      </c>
      <c r="I132" s="265"/>
      <c r="J132" s="1"/>
      <c r="K132" s="1"/>
      <c r="L132" s="1"/>
      <c r="M132" s="1"/>
      <c r="N132" s="1"/>
      <c r="O132" s="1"/>
      <c r="P132" s="1"/>
      <c r="Q132" s="1"/>
      <c r="AX132" s="445"/>
      <c r="BB132" s="544">
        <f t="shared" si="78"/>
        <v>1</v>
      </c>
      <c r="BC132" s="545">
        <f t="shared" si="78"/>
        <v>0.64611267121742311</v>
      </c>
      <c r="BD132" s="545">
        <f t="shared" si="78"/>
        <v>0.51604206822491239</v>
      </c>
      <c r="BE132" s="545">
        <f t="shared" si="78"/>
        <v>0.77618327420993383</v>
      </c>
      <c r="BF132" s="545">
        <f t="shared" si="78"/>
        <v>0.64611267121742311</v>
      </c>
      <c r="BG132" s="546">
        <f t="shared" si="78"/>
        <v>0.64611267121742311</v>
      </c>
      <c r="BH132" s="265"/>
    </row>
    <row r="133" spans="2:60" outlineLevel="1" x14ac:dyDescent="0.25">
      <c r="B133" s="1363"/>
      <c r="D133" s="1352"/>
      <c r="F133" s="237" t="str">
        <f t="shared" si="77"/>
        <v>y_Pigs</v>
      </c>
      <c r="G133" s="609" t="s">
        <v>113</v>
      </c>
      <c r="I133" s="265"/>
      <c r="J133" s="1"/>
      <c r="K133" s="1"/>
      <c r="L133" s="1"/>
      <c r="M133" s="1"/>
      <c r="N133" s="1"/>
      <c r="O133" s="1"/>
      <c r="P133" s="1"/>
      <c r="Q133" s="1"/>
      <c r="AX133" s="445"/>
      <c r="BB133" s="541">
        <f t="shared" si="78"/>
        <v>1</v>
      </c>
      <c r="BC133" s="542">
        <f t="shared" si="78"/>
        <v>1.0189162942842958</v>
      </c>
      <c r="BD133" s="542">
        <f t="shared" si="78"/>
        <v>0.98341484548783042</v>
      </c>
      <c r="BE133" s="542">
        <f t="shared" si="78"/>
        <v>1.0544177430807611</v>
      </c>
      <c r="BF133" s="542">
        <f t="shared" si="78"/>
        <v>1.0189162942842958</v>
      </c>
      <c r="BG133" s="543">
        <f t="shared" si="78"/>
        <v>1.0189162942842958</v>
      </c>
      <c r="BH133" s="265"/>
    </row>
    <row r="134" spans="2:60" outlineLevel="1" x14ac:dyDescent="0.25">
      <c r="B134" s="1363"/>
      <c r="D134" s="1352"/>
      <c r="F134" s="237" t="str">
        <f t="shared" si="77"/>
        <v>y_Broilers</v>
      </c>
      <c r="G134" s="609" t="s">
        <v>114</v>
      </c>
      <c r="I134" s="265"/>
      <c r="J134" s="1"/>
      <c r="K134" s="1"/>
      <c r="L134" s="1"/>
      <c r="M134" s="1"/>
      <c r="N134" s="1"/>
      <c r="O134" s="1"/>
      <c r="P134" s="1"/>
      <c r="Q134" s="1"/>
      <c r="AX134" s="445"/>
      <c r="BB134" s="541">
        <f t="shared" ref="BB134:BG139" si="79">INDEX($I$459:$L$484,MATCH($G134,$G$459:$G$484,0),MATCH(BB$6,$I$458:$L$458,0))</f>
        <v>1</v>
      </c>
      <c r="BC134" s="542">
        <f t="shared" si="79"/>
        <v>1.0542084541432855</v>
      </c>
      <c r="BD134" s="542">
        <f t="shared" si="79"/>
        <v>0.97273393585143386</v>
      </c>
      <c r="BE134" s="542">
        <f t="shared" si="79"/>
        <v>1.1356829724351369</v>
      </c>
      <c r="BF134" s="542">
        <f t="shared" si="79"/>
        <v>1.0542084541432855</v>
      </c>
      <c r="BG134" s="543">
        <f t="shared" si="79"/>
        <v>1.0542084541432855</v>
      </c>
      <c r="BH134" s="265"/>
    </row>
    <row r="135" spans="2:60" outlineLevel="1" x14ac:dyDescent="0.25">
      <c r="B135" s="1363"/>
      <c r="D135" s="1352"/>
      <c r="F135" s="237" t="str">
        <f t="shared" si="77"/>
        <v>y_Beef cattle</v>
      </c>
      <c r="G135" s="609" t="s">
        <v>2366</v>
      </c>
      <c r="I135" s="265"/>
      <c r="J135" s="1"/>
      <c r="K135" s="1"/>
      <c r="L135" s="1"/>
      <c r="M135" s="1"/>
      <c r="N135" s="1"/>
      <c r="O135" s="1"/>
      <c r="P135" s="1"/>
      <c r="Q135" s="1"/>
      <c r="AX135" s="445"/>
      <c r="BB135" s="541">
        <f t="shared" si="79"/>
        <v>1</v>
      </c>
      <c r="BC135" s="542">
        <f t="shared" si="79"/>
        <v>0.99800746185133227</v>
      </c>
      <c r="BD135" s="542">
        <f t="shared" si="79"/>
        <v>0.92465534108388525</v>
      </c>
      <c r="BE135" s="542">
        <f t="shared" si="79"/>
        <v>1.0713595826187792</v>
      </c>
      <c r="BF135" s="542">
        <f t="shared" si="79"/>
        <v>0.99800746185133227</v>
      </c>
      <c r="BG135" s="543">
        <f t="shared" si="79"/>
        <v>0.99800746185133227</v>
      </c>
      <c r="BH135" s="265"/>
    </row>
    <row r="136" spans="2:60" outlineLevel="1" x14ac:dyDescent="0.25">
      <c r="B136" s="1363"/>
      <c r="D136" s="1352"/>
      <c r="F136" s="237" t="str">
        <f t="shared" si="77"/>
        <v>y_Milk</v>
      </c>
      <c r="G136" s="609" t="s">
        <v>115</v>
      </c>
      <c r="I136" s="265"/>
      <c r="J136" s="1"/>
      <c r="K136" s="1"/>
      <c r="L136" s="1"/>
      <c r="M136" s="1"/>
      <c r="N136" s="1"/>
      <c r="O136" s="1"/>
      <c r="P136" s="1"/>
      <c r="Q136" s="1"/>
      <c r="AX136" s="445"/>
      <c r="BB136" s="541">
        <f t="shared" si="79"/>
        <v>1</v>
      </c>
      <c r="BC136" s="542">
        <f t="shared" si="79"/>
        <v>0.85614044645762133</v>
      </c>
      <c r="BD136" s="542">
        <f t="shared" si="79"/>
        <v>0.78406137982835156</v>
      </c>
      <c r="BE136" s="542">
        <f t="shared" si="79"/>
        <v>0.9282195130868911</v>
      </c>
      <c r="BF136" s="542">
        <f t="shared" si="79"/>
        <v>0.85614044645762133</v>
      </c>
      <c r="BG136" s="543">
        <f t="shared" si="79"/>
        <v>0.85614044645762133</v>
      </c>
      <c r="BH136" s="265"/>
    </row>
    <row r="137" spans="2:60" outlineLevel="1" x14ac:dyDescent="0.25">
      <c r="B137" s="1363"/>
      <c r="D137" s="1352"/>
      <c r="F137" s="237" t="str">
        <f t="shared" si="77"/>
        <v>y_Eggs</v>
      </c>
      <c r="G137" s="610" t="s">
        <v>116</v>
      </c>
      <c r="I137" s="265"/>
      <c r="J137" s="1"/>
      <c r="K137" s="1"/>
      <c r="L137" s="1"/>
      <c r="M137" s="1"/>
      <c r="N137" s="1"/>
      <c r="O137" s="1"/>
      <c r="P137" s="1"/>
      <c r="Q137" s="1"/>
      <c r="AX137" s="445"/>
      <c r="BB137" s="544">
        <f t="shared" si="79"/>
        <v>1</v>
      </c>
      <c r="BC137" s="545">
        <f t="shared" si="79"/>
        <v>0.89470537923169602</v>
      </c>
      <c r="BD137" s="545">
        <f t="shared" si="79"/>
        <v>0.86430062630480176</v>
      </c>
      <c r="BE137" s="545">
        <f t="shared" si="79"/>
        <v>0.92511013215859028</v>
      </c>
      <c r="BF137" s="545">
        <f t="shared" si="79"/>
        <v>0.89470537923169602</v>
      </c>
      <c r="BG137" s="546">
        <f t="shared" si="79"/>
        <v>0.89470537923169602</v>
      </c>
      <c r="BH137" s="265"/>
    </row>
    <row r="138" spans="2:60" outlineLevel="1" x14ac:dyDescent="0.25">
      <c r="B138" s="1363"/>
      <c r="D138" s="1352"/>
      <c r="F138" s="237" t="str">
        <f t="shared" si="77"/>
        <v>y_Grass_dairy_NL</v>
      </c>
      <c r="G138" s="911" t="s">
        <v>630</v>
      </c>
      <c r="I138" s="265"/>
      <c r="J138" s="1"/>
      <c r="K138" s="1"/>
      <c r="L138" s="1"/>
      <c r="M138" s="1"/>
      <c r="N138" s="1"/>
      <c r="O138" s="1"/>
      <c r="P138" s="1"/>
      <c r="Q138" s="1"/>
      <c r="AX138" s="445"/>
      <c r="BB138" s="547">
        <f t="shared" si="79"/>
        <v>1</v>
      </c>
      <c r="BC138" s="548">
        <f t="shared" si="79"/>
        <v>1</v>
      </c>
      <c r="BD138" s="548">
        <f t="shared" si="79"/>
        <v>1</v>
      </c>
      <c r="BE138" s="548">
        <f t="shared" si="79"/>
        <v>1</v>
      </c>
      <c r="BF138" s="548">
        <f t="shared" si="79"/>
        <v>1</v>
      </c>
      <c r="BG138" s="549">
        <f t="shared" si="79"/>
        <v>1</v>
      </c>
      <c r="BH138" s="265"/>
    </row>
    <row r="139" spans="2:60" outlineLevel="1" x14ac:dyDescent="0.25">
      <c r="B139" s="1363"/>
      <c r="D139" s="1353"/>
      <c r="F139" s="237" t="str">
        <f t="shared" si="77"/>
        <v>y_Grass_beef_IE</v>
      </c>
      <c r="G139" s="911" t="s">
        <v>631</v>
      </c>
      <c r="I139" s="265"/>
      <c r="J139" s="1"/>
      <c r="K139" s="1"/>
      <c r="L139" s="1"/>
      <c r="M139" s="1"/>
      <c r="N139" s="1"/>
      <c r="O139" s="1"/>
      <c r="P139" s="1"/>
      <c r="Q139" s="1"/>
      <c r="AX139" s="445"/>
      <c r="BB139" s="547">
        <f t="shared" si="79"/>
        <v>1</v>
      </c>
      <c r="BC139" s="548">
        <f t="shared" si="79"/>
        <v>1</v>
      </c>
      <c r="BD139" s="548">
        <f t="shared" si="79"/>
        <v>1</v>
      </c>
      <c r="BE139" s="548">
        <f t="shared" si="79"/>
        <v>1</v>
      </c>
      <c r="BF139" s="548">
        <f t="shared" si="79"/>
        <v>1</v>
      </c>
      <c r="BG139" s="549">
        <f t="shared" si="79"/>
        <v>1</v>
      </c>
      <c r="BH139" s="265"/>
    </row>
    <row r="140" spans="2:60" outlineLevel="1" x14ac:dyDescent="0.25">
      <c r="B140" s="1363"/>
      <c r="D140" s="1359" t="s">
        <v>778</v>
      </c>
      <c r="F140" s="233" t="str">
        <f>"age_"&amp;$G140</f>
        <v>age_Pigs</v>
      </c>
      <c r="G140" s="381" t="s">
        <v>113</v>
      </c>
      <c r="I140" s="265"/>
      <c r="J140" s="1"/>
      <c r="K140" s="1"/>
      <c r="L140" s="1"/>
      <c r="M140" s="1"/>
      <c r="N140" s="1"/>
      <c r="O140" s="1"/>
      <c r="P140" s="1"/>
      <c r="Q140" s="1"/>
      <c r="AX140" s="445"/>
      <c r="BB140" s="538">
        <f t="shared" ref="BB140:BG144" si="80">INDEX($I$487:$L$491,MATCH($G140,$G$487:$G$491,0),MATCH(BB$6,$I$486:$L$486,0))</f>
        <v>1</v>
      </c>
      <c r="BC140" s="539">
        <f t="shared" si="80"/>
        <v>1.0834586466165415</v>
      </c>
      <c r="BD140" s="539">
        <f t="shared" si="80"/>
        <v>1.0526315789473686</v>
      </c>
      <c r="BE140" s="539">
        <f t="shared" si="80"/>
        <v>1.1142857142857143</v>
      </c>
      <c r="BF140" s="539">
        <f t="shared" si="80"/>
        <v>1.0834586466165415</v>
      </c>
      <c r="BG140" s="540">
        <f t="shared" si="80"/>
        <v>1.0834586466165415</v>
      </c>
      <c r="BH140" s="265"/>
    </row>
    <row r="141" spans="2:60" outlineLevel="1" x14ac:dyDescent="0.25">
      <c r="B141" s="1363"/>
      <c r="D141" s="1360"/>
      <c r="F141" s="237" t="str">
        <f t="shared" ref="F141:F144" si="81">"age_"&amp;$G141</f>
        <v>age_Broilers</v>
      </c>
      <c r="G141" s="609" t="s">
        <v>114</v>
      </c>
      <c r="I141" s="265"/>
      <c r="J141" s="1"/>
      <c r="K141" s="1"/>
      <c r="L141" s="1"/>
      <c r="M141" s="1"/>
      <c r="N141" s="1"/>
      <c r="O141" s="1"/>
      <c r="P141" s="1"/>
      <c r="Q141" s="1"/>
      <c r="AX141" s="445"/>
      <c r="BB141" s="541">
        <f t="shared" si="80"/>
        <v>1</v>
      </c>
      <c r="BC141" s="542">
        <f t="shared" si="80"/>
        <v>1.4442141917087079</v>
      </c>
      <c r="BD141" s="542">
        <f t="shared" si="80"/>
        <v>1.1116370471069761</v>
      </c>
      <c r="BE141" s="542">
        <f t="shared" si="80"/>
        <v>1.7767913363104397</v>
      </c>
      <c r="BF141" s="542">
        <f t="shared" si="80"/>
        <v>1.4442141917087079</v>
      </c>
      <c r="BG141" s="543">
        <f t="shared" si="80"/>
        <v>1.4442141917087079</v>
      </c>
      <c r="BH141" s="265"/>
    </row>
    <row r="142" spans="2:60" outlineLevel="1" x14ac:dyDescent="0.25">
      <c r="B142" s="1363"/>
      <c r="D142" s="1360"/>
      <c r="F142" s="237" t="str">
        <f t="shared" si="81"/>
        <v>age_Beef cattle</v>
      </c>
      <c r="G142" s="609" t="s">
        <v>2366</v>
      </c>
      <c r="I142" s="265"/>
      <c r="J142" s="1"/>
      <c r="K142" s="1"/>
      <c r="L142" s="1"/>
      <c r="M142" s="1"/>
      <c r="N142" s="1"/>
      <c r="O142" s="1"/>
      <c r="P142" s="1"/>
      <c r="Q142" s="1"/>
      <c r="AX142" s="445"/>
      <c r="BB142" s="541">
        <f t="shared" si="80"/>
        <v>1</v>
      </c>
      <c r="BC142" s="542">
        <f t="shared" si="80"/>
        <v>1.3333333333333333</v>
      </c>
      <c r="BD142" s="542">
        <f t="shared" si="80"/>
        <v>1.2</v>
      </c>
      <c r="BE142" s="542">
        <f t="shared" si="80"/>
        <v>1.4666666666666666</v>
      </c>
      <c r="BF142" s="542">
        <f t="shared" si="80"/>
        <v>1.3333333333333333</v>
      </c>
      <c r="BG142" s="543">
        <f t="shared" si="80"/>
        <v>1.3333333333333333</v>
      </c>
      <c r="BH142" s="265"/>
    </row>
    <row r="143" spans="2:60" outlineLevel="1" x14ac:dyDescent="0.25">
      <c r="B143" s="1363"/>
      <c r="D143" s="1360"/>
      <c r="F143" s="237" t="str">
        <f t="shared" si="81"/>
        <v>age_Milk</v>
      </c>
      <c r="G143" s="609" t="s">
        <v>115</v>
      </c>
      <c r="I143" s="265"/>
      <c r="J143" s="1"/>
      <c r="K143" s="1"/>
      <c r="L143" s="1"/>
      <c r="M143" s="1"/>
      <c r="N143" s="1"/>
      <c r="O143" s="1"/>
      <c r="P143" s="1"/>
      <c r="Q143" s="1"/>
      <c r="AX143" s="445"/>
      <c r="BB143" s="541">
        <f t="shared" si="80"/>
        <v>1</v>
      </c>
      <c r="BC143" s="542">
        <f t="shared" si="80"/>
        <v>1.0633116883116882</v>
      </c>
      <c r="BD143" s="542">
        <f t="shared" si="80"/>
        <v>1.0633116883116882</v>
      </c>
      <c r="BE143" s="542">
        <f t="shared" si="80"/>
        <v>1.0633116883116882</v>
      </c>
      <c r="BF143" s="542">
        <f t="shared" si="80"/>
        <v>1.0633116883116882</v>
      </c>
      <c r="BG143" s="543">
        <f t="shared" si="80"/>
        <v>1.0633116883116882</v>
      </c>
      <c r="BH143" s="265"/>
    </row>
    <row r="144" spans="2:60" outlineLevel="1" x14ac:dyDescent="0.25">
      <c r="B144" s="1363"/>
      <c r="D144" s="1361"/>
      <c r="F144" s="241" t="str">
        <f t="shared" si="81"/>
        <v>age_Eggs</v>
      </c>
      <c r="G144" s="382" t="s">
        <v>116</v>
      </c>
      <c r="I144" s="265"/>
      <c r="J144" s="1"/>
      <c r="K144" s="1"/>
      <c r="L144" s="1"/>
      <c r="M144" s="1"/>
      <c r="N144" s="1"/>
      <c r="O144" s="1"/>
      <c r="P144" s="1"/>
      <c r="Q144" s="1"/>
      <c r="AX144" s="445"/>
      <c r="BB144" s="550">
        <f t="shared" si="80"/>
        <v>1</v>
      </c>
      <c r="BC144" s="551">
        <f t="shared" si="80"/>
        <v>1.4442141917087079</v>
      </c>
      <c r="BD144" s="551">
        <f t="shared" si="80"/>
        <v>1.1116370471069761</v>
      </c>
      <c r="BE144" s="551">
        <f t="shared" si="80"/>
        <v>1.7767913363104397</v>
      </c>
      <c r="BF144" s="551">
        <f t="shared" si="80"/>
        <v>1.4442141917087079</v>
      </c>
      <c r="BG144" s="552">
        <f t="shared" si="80"/>
        <v>1.4442141917087079</v>
      </c>
      <c r="BH144" s="265"/>
    </row>
    <row r="145" spans="2:60" outlineLevel="1" x14ac:dyDescent="0.25">
      <c r="B145" s="1363"/>
      <c r="D145" s="1359" t="s">
        <v>779</v>
      </c>
      <c r="F145" s="233" t="s">
        <v>726</v>
      </c>
      <c r="G145" s="381"/>
      <c r="I145" s="265"/>
      <c r="J145" s="1"/>
      <c r="K145" s="1"/>
      <c r="L145" s="1"/>
      <c r="M145" s="1"/>
      <c r="N145" s="1"/>
      <c r="O145" s="1"/>
      <c r="P145" s="1"/>
      <c r="Q145" s="1"/>
      <c r="AX145" s="445"/>
      <c r="BB145" s="452">
        <f t="shared" ref="BB145:BG145" si="82">INDEX($I$494:$L$494,1,MATCH(BB$7,$I$493:$L$493,0))</f>
        <v>1</v>
      </c>
      <c r="BC145" s="453">
        <f t="shared" si="82"/>
        <v>9.5687201146773287E-2</v>
      </c>
      <c r="BD145" s="453">
        <f t="shared" si="82"/>
        <v>9.5687201146773287E-2</v>
      </c>
      <c r="BE145" s="453">
        <f t="shared" si="82"/>
        <v>9.5687201146773287E-2</v>
      </c>
      <c r="BF145" s="453">
        <f t="shared" si="82"/>
        <v>1</v>
      </c>
      <c r="BG145" s="434">
        <f t="shared" si="82"/>
        <v>1.5665743221996231</v>
      </c>
      <c r="BH145" s="265"/>
    </row>
    <row r="146" spans="2:60" outlineLevel="1" x14ac:dyDescent="0.25">
      <c r="B146" s="1363"/>
      <c r="D146" s="1360"/>
      <c r="F146" s="237" t="s">
        <v>725</v>
      </c>
      <c r="G146" s="609" t="s">
        <v>724</v>
      </c>
      <c r="I146" s="265"/>
      <c r="J146" s="1"/>
      <c r="K146" s="1"/>
      <c r="L146" s="1"/>
      <c r="M146" s="1"/>
      <c r="N146" s="1"/>
      <c r="O146" s="1"/>
      <c r="P146" s="1"/>
      <c r="Q146" s="1"/>
      <c r="AX146" s="445"/>
      <c r="BB146" s="488">
        <f t="shared" ref="BB146:BG146" si="83">INDEX($I$495:$L$495,1,MATCH(BB$7,$I$493:$L$493,0))</f>
        <v>1</v>
      </c>
      <c r="BC146" s="553">
        <f t="shared" si="83"/>
        <v>1.0133700314245166</v>
      </c>
      <c r="BD146" s="553">
        <f t="shared" si="83"/>
        <v>1.0133700314245166</v>
      </c>
      <c r="BE146" s="553">
        <f t="shared" si="83"/>
        <v>1.0133700314245166</v>
      </c>
      <c r="BF146" s="553">
        <f t="shared" si="83"/>
        <v>1</v>
      </c>
      <c r="BG146" s="435">
        <f t="shared" si="83"/>
        <v>1.5665743221996231</v>
      </c>
      <c r="BH146" s="265"/>
    </row>
    <row r="147" spans="2:60" outlineLevel="1" x14ac:dyDescent="0.25">
      <c r="B147" s="1363"/>
      <c r="D147" s="1361"/>
      <c r="F147" s="237" t="s">
        <v>723</v>
      </c>
      <c r="G147" s="609"/>
      <c r="I147" s="265"/>
      <c r="J147" s="1"/>
      <c r="K147" s="1"/>
      <c r="L147" s="1"/>
      <c r="M147" s="1"/>
      <c r="N147" s="1"/>
      <c r="O147" s="1"/>
      <c r="P147" s="1"/>
      <c r="Q147" s="1"/>
      <c r="AX147" s="445"/>
      <c r="BB147" s="488">
        <f t="shared" ref="BB147:BG147" si="84">INDEX($I$496:$L$496,1,MATCH(BB$7,$I$493:$L$493,0))</f>
        <v>1</v>
      </c>
      <c r="BC147" s="553">
        <f t="shared" si="84"/>
        <v>0.54405757904829311</v>
      </c>
      <c r="BD147" s="553">
        <f t="shared" si="84"/>
        <v>0.54405757904829311</v>
      </c>
      <c r="BE147" s="553">
        <f t="shared" si="84"/>
        <v>0.54405757904829311</v>
      </c>
      <c r="BF147" s="553">
        <f t="shared" si="84"/>
        <v>1</v>
      </c>
      <c r="BG147" s="435">
        <f t="shared" si="84"/>
        <v>1.5665743221996231</v>
      </c>
      <c r="BH147" s="265"/>
    </row>
    <row r="148" spans="2:60" outlineLevel="1" x14ac:dyDescent="0.25">
      <c r="B148" s="1363"/>
      <c r="D148" s="1351" t="s">
        <v>780</v>
      </c>
      <c r="F148" s="532" t="s">
        <v>722</v>
      </c>
      <c r="G148" s="912"/>
      <c r="I148" s="265"/>
      <c r="J148" s="1"/>
      <c r="K148" s="1"/>
      <c r="L148" s="1"/>
      <c r="M148" s="1"/>
      <c r="N148" s="1"/>
      <c r="O148" s="1"/>
      <c r="P148" s="1"/>
      <c r="Q148" s="1"/>
      <c r="AX148" s="445"/>
      <c r="BB148" s="554">
        <f t="shared" ref="BB148:BG148" ca="1" si="85">SUMPRODUCT($T$449:$T$451,OFFSET($I$494,0,MATCH(BB$7,$I$493:$L$493,0)-1,3,1))/SUM($T$449:$T$451)</f>
        <v>1</v>
      </c>
      <c r="BC148" s="555">
        <f t="shared" ca="1" si="85"/>
        <v>0.13184100566628032</v>
      </c>
      <c r="BD148" s="555">
        <f t="shared" ca="1" si="85"/>
        <v>0.13184100566628032</v>
      </c>
      <c r="BE148" s="555">
        <f t="shared" ca="1" si="85"/>
        <v>0.13184100566628032</v>
      </c>
      <c r="BF148" s="555">
        <f t="shared" ca="1" si="85"/>
        <v>1</v>
      </c>
      <c r="BG148" s="556">
        <f t="shared" ca="1" si="85"/>
        <v>1.5665743221996231</v>
      </c>
      <c r="BH148" s="265"/>
    </row>
    <row r="149" spans="2:60" outlineLevel="1" x14ac:dyDescent="0.25">
      <c r="B149" s="1363"/>
      <c r="D149" s="1352"/>
      <c r="F149" s="233" t="str">
        <f>"tp_"&amp;$G149</f>
        <v>tp_Barley</v>
      </c>
      <c r="G149" s="381" t="s">
        <v>91</v>
      </c>
      <c r="I149" s="265"/>
      <c r="J149" s="1"/>
      <c r="K149" s="1"/>
      <c r="L149" s="1"/>
      <c r="M149" s="1"/>
      <c r="N149" s="1"/>
      <c r="O149" s="1"/>
      <c r="P149" s="1"/>
      <c r="Q149" s="1"/>
      <c r="AX149" s="445"/>
      <c r="BB149" s="538">
        <f t="shared" ref="BB149:BG158" ca="1" si="86">((SUMPRODUCT(OFFSET($T$434,0,MATCH($G149,$T$433:$AN$433,0)-1,15,1),OFFSET($AP$434,0,MATCH(LEFT(BB$5,1),$AP$433:$AQ$433,0)-1,15,1)))
+(SUMPRODUCT(OFFSET($T$452,0,MATCH($G149,$T$433:$AN$433,0)-1,4,1),OFFSET($AP$452,0,MATCH(LEFT(BB$5,1),$AP$433:$AQ$433,0)-1,4,1))))
/SUM(OFFSET($T$434,0,MATCH($G149,$T$433:$AN$433,0)-1,15,1),OFFSET($T$452,0,MATCH($G149,$T$433:$AN$433,0)-1,4,1))</f>
        <v>1</v>
      </c>
      <c r="BC149" s="539">
        <f t="shared" ca="1" si="86"/>
        <v>0.5226796194037524</v>
      </c>
      <c r="BD149" s="539">
        <f t="shared" ca="1" si="86"/>
        <v>0.5226796194037524</v>
      </c>
      <c r="BE149" s="557">
        <f t="shared" ca="1" si="86"/>
        <v>0.5226796194037524</v>
      </c>
      <c r="BF149" s="557">
        <f t="shared" ca="1" si="86"/>
        <v>0.5226796194037524</v>
      </c>
      <c r="BG149" s="558">
        <f t="shared" ca="1" si="86"/>
        <v>0.5226796194037524</v>
      </c>
      <c r="BH149" s="265"/>
    </row>
    <row r="150" spans="2:60" outlineLevel="1" x14ac:dyDescent="0.25">
      <c r="B150" s="1363"/>
      <c r="D150" s="1352"/>
      <c r="F150" s="237" t="str">
        <f t="shared" ref="F150:F168" si="87">"tp_"&amp;$G150</f>
        <v>tp_Broad beans</v>
      </c>
      <c r="G150" s="609" t="s">
        <v>102</v>
      </c>
      <c r="I150" s="265"/>
      <c r="J150" s="1"/>
      <c r="K150" s="1"/>
      <c r="L150" s="1"/>
      <c r="M150" s="1"/>
      <c r="N150" s="1"/>
      <c r="O150" s="1"/>
      <c r="P150" s="1"/>
      <c r="Q150" s="1"/>
      <c r="AX150" s="445"/>
      <c r="BB150" s="541">
        <f t="shared" ca="1" si="86"/>
        <v>1.0000000000000002</v>
      </c>
      <c r="BC150" s="542">
        <f t="shared" ca="1" si="86"/>
        <v>0.70330809689926677</v>
      </c>
      <c r="BD150" s="542">
        <f t="shared" ca="1" si="86"/>
        <v>0.70330809689926677</v>
      </c>
      <c r="BE150" s="559">
        <f t="shared" ca="1" si="86"/>
        <v>0.70330809689926677</v>
      </c>
      <c r="BF150" s="559">
        <f t="shared" ca="1" si="86"/>
        <v>0.70330809689926677</v>
      </c>
      <c r="BG150" s="560">
        <f t="shared" ca="1" si="86"/>
        <v>0.70330809689926677</v>
      </c>
      <c r="BH150" s="265"/>
    </row>
    <row r="151" spans="2:60" outlineLevel="1" x14ac:dyDescent="0.25">
      <c r="B151" s="1363"/>
      <c r="D151" s="1352"/>
      <c r="F151" s="237" t="str">
        <f t="shared" si="87"/>
        <v>tp_Green beans</v>
      </c>
      <c r="G151" s="609" t="s">
        <v>103</v>
      </c>
      <c r="I151" s="265"/>
      <c r="J151" s="1"/>
      <c r="K151" s="1"/>
      <c r="L151" s="1"/>
      <c r="M151" s="1"/>
      <c r="N151" s="1"/>
      <c r="O151" s="1"/>
      <c r="P151" s="1"/>
      <c r="Q151" s="1"/>
      <c r="AX151" s="445"/>
      <c r="BB151" s="541">
        <f t="shared" ca="1" si="86"/>
        <v>1</v>
      </c>
      <c r="BC151" s="542">
        <f t="shared" ca="1" si="86"/>
        <v>0.46481341490393963</v>
      </c>
      <c r="BD151" s="542">
        <f t="shared" ca="1" si="86"/>
        <v>0.46481341490393963</v>
      </c>
      <c r="BE151" s="559">
        <f t="shared" ca="1" si="86"/>
        <v>0.46481341490393963</v>
      </c>
      <c r="BF151" s="559">
        <f t="shared" ca="1" si="86"/>
        <v>0.46481341490393963</v>
      </c>
      <c r="BG151" s="560">
        <f t="shared" ca="1" si="86"/>
        <v>0.46481341490393963</v>
      </c>
      <c r="BH151" s="265"/>
    </row>
    <row r="152" spans="2:60" outlineLevel="1" x14ac:dyDescent="0.25">
      <c r="B152" s="1363"/>
      <c r="D152" s="1352"/>
      <c r="F152" s="237" t="str">
        <f t="shared" si="87"/>
        <v>tp_Linseed</v>
      </c>
      <c r="G152" s="609" t="s">
        <v>107</v>
      </c>
      <c r="I152" s="265"/>
      <c r="J152" s="1"/>
      <c r="K152" s="1"/>
      <c r="L152" s="1"/>
      <c r="M152" s="1"/>
      <c r="N152" s="1"/>
      <c r="O152" s="1"/>
      <c r="P152" s="1"/>
      <c r="Q152" s="1"/>
      <c r="AX152" s="445"/>
      <c r="BB152" s="541">
        <f t="shared" ca="1" si="86"/>
        <v>1.0000000000000002</v>
      </c>
      <c r="BC152" s="542">
        <f t="shared" ca="1" si="86"/>
        <v>0.63405999524607382</v>
      </c>
      <c r="BD152" s="542">
        <f t="shared" ca="1" si="86"/>
        <v>0.63405999524607382</v>
      </c>
      <c r="BE152" s="559">
        <f t="shared" ca="1" si="86"/>
        <v>0.63405999524607382</v>
      </c>
      <c r="BF152" s="559">
        <f t="shared" ca="1" si="86"/>
        <v>0.63405999524607382</v>
      </c>
      <c r="BG152" s="560">
        <f t="shared" ca="1" si="86"/>
        <v>0.63405999524607382</v>
      </c>
      <c r="BH152" s="265"/>
    </row>
    <row r="153" spans="2:60" outlineLevel="1" x14ac:dyDescent="0.25">
      <c r="B153" s="1363"/>
      <c r="D153" s="1352"/>
      <c r="F153" s="237" t="str">
        <f t="shared" si="87"/>
        <v>tp_Lupins</v>
      </c>
      <c r="G153" s="609" t="s">
        <v>104</v>
      </c>
      <c r="I153" s="265"/>
      <c r="J153" s="1"/>
      <c r="K153" s="1"/>
      <c r="L153" s="1"/>
      <c r="M153" s="1"/>
      <c r="N153" s="1"/>
      <c r="O153" s="1"/>
      <c r="P153" s="1"/>
      <c r="Q153" s="1"/>
      <c r="AX153" s="445"/>
      <c r="BB153" s="541">
        <f t="shared" ca="1" si="86"/>
        <v>1.0000000000000002</v>
      </c>
      <c r="BC153" s="542">
        <f t="shared" ca="1" si="86"/>
        <v>0.67884467176094787</v>
      </c>
      <c r="BD153" s="542">
        <f t="shared" ca="1" si="86"/>
        <v>0.67884467176094787</v>
      </c>
      <c r="BE153" s="559">
        <f t="shared" ca="1" si="86"/>
        <v>0.67884467176094787</v>
      </c>
      <c r="BF153" s="559">
        <f t="shared" ca="1" si="86"/>
        <v>0.67884467176094787</v>
      </c>
      <c r="BG153" s="560">
        <f t="shared" ca="1" si="86"/>
        <v>0.67884467176094787</v>
      </c>
      <c r="BH153" s="265"/>
    </row>
    <row r="154" spans="2:60" outlineLevel="1" x14ac:dyDescent="0.25">
      <c r="B154" s="1363"/>
      <c r="D154" s="1352"/>
      <c r="F154" s="237" t="str">
        <f t="shared" si="87"/>
        <v>tp_Maize</v>
      </c>
      <c r="G154" s="609" t="s">
        <v>97</v>
      </c>
      <c r="I154" s="265"/>
      <c r="J154" s="1"/>
      <c r="K154" s="1"/>
      <c r="L154" s="1"/>
      <c r="M154" s="1"/>
      <c r="N154" s="1"/>
      <c r="O154" s="1"/>
      <c r="P154" s="1"/>
      <c r="Q154" s="1"/>
      <c r="AX154" s="445"/>
      <c r="BB154" s="541">
        <f t="shared" ca="1" si="86"/>
        <v>1.0000000000000002</v>
      </c>
      <c r="BC154" s="542">
        <f t="shared" ca="1" si="86"/>
        <v>0.40767252089398509</v>
      </c>
      <c r="BD154" s="542">
        <f t="shared" ca="1" si="86"/>
        <v>0.40767252089398509</v>
      </c>
      <c r="BE154" s="559">
        <f t="shared" ca="1" si="86"/>
        <v>0.40767252089398509</v>
      </c>
      <c r="BF154" s="559">
        <f t="shared" ca="1" si="86"/>
        <v>0.40767252089398509</v>
      </c>
      <c r="BG154" s="560">
        <f t="shared" ca="1" si="86"/>
        <v>0.40767252089398509</v>
      </c>
      <c r="BH154" s="265"/>
    </row>
    <row r="155" spans="2:60" outlineLevel="1" x14ac:dyDescent="0.25">
      <c r="B155" s="1363"/>
      <c r="D155" s="1352"/>
      <c r="F155" s="237" t="str">
        <f t="shared" si="87"/>
        <v>tp_Mustard seed</v>
      </c>
      <c r="G155" s="609" t="s">
        <v>108</v>
      </c>
      <c r="I155" s="265"/>
      <c r="J155" s="1"/>
      <c r="K155" s="1"/>
      <c r="L155" s="1"/>
      <c r="M155" s="1"/>
      <c r="N155" s="1"/>
      <c r="O155" s="1"/>
      <c r="P155" s="1"/>
      <c r="Q155" s="1"/>
      <c r="AX155" s="445"/>
      <c r="BB155" s="541">
        <f t="shared" ca="1" si="86"/>
        <v>1</v>
      </c>
      <c r="BC155" s="542">
        <f t="shared" ca="1" si="86"/>
        <v>0.32890548842102174</v>
      </c>
      <c r="BD155" s="542">
        <f t="shared" ca="1" si="86"/>
        <v>0.32890548842102174</v>
      </c>
      <c r="BE155" s="559">
        <f t="shared" ca="1" si="86"/>
        <v>0.32890548842102174</v>
      </c>
      <c r="BF155" s="559">
        <f t="shared" ca="1" si="86"/>
        <v>0.32890548842102174</v>
      </c>
      <c r="BG155" s="560">
        <f t="shared" ca="1" si="86"/>
        <v>0.32890548842102174</v>
      </c>
      <c r="BH155" s="265"/>
    </row>
    <row r="156" spans="2:60" outlineLevel="1" x14ac:dyDescent="0.25">
      <c r="B156" s="1363"/>
      <c r="D156" s="1352"/>
      <c r="F156" s="237" t="str">
        <f t="shared" si="87"/>
        <v>tp_Oat</v>
      </c>
      <c r="G156" s="609" t="s">
        <v>98</v>
      </c>
      <c r="I156" s="265"/>
      <c r="J156" s="1"/>
      <c r="K156" s="1"/>
      <c r="L156" s="1"/>
      <c r="M156" s="1"/>
      <c r="N156" s="1"/>
      <c r="O156" s="1"/>
      <c r="P156" s="1"/>
      <c r="Q156" s="1"/>
      <c r="AX156" s="445"/>
      <c r="BB156" s="541">
        <f t="shared" ca="1" si="86"/>
        <v>1</v>
      </c>
      <c r="BC156" s="542">
        <f t="shared" ca="1" si="86"/>
        <v>0.6424316505881883</v>
      </c>
      <c r="BD156" s="542">
        <f t="shared" ca="1" si="86"/>
        <v>0.6424316505881883</v>
      </c>
      <c r="BE156" s="559">
        <f t="shared" ca="1" si="86"/>
        <v>0.6424316505881883</v>
      </c>
      <c r="BF156" s="559">
        <f t="shared" ca="1" si="86"/>
        <v>0.6424316505881883</v>
      </c>
      <c r="BG156" s="560">
        <f t="shared" ca="1" si="86"/>
        <v>0.6424316505881883</v>
      </c>
      <c r="BH156" s="265"/>
    </row>
    <row r="157" spans="2:60" outlineLevel="1" x14ac:dyDescent="0.25">
      <c r="B157" s="1363"/>
      <c r="D157" s="1352"/>
      <c r="F157" s="237" t="str">
        <f t="shared" si="87"/>
        <v>tp_Peas, dry</v>
      </c>
      <c r="G157" s="609" t="s">
        <v>629</v>
      </c>
      <c r="I157" s="265"/>
      <c r="J157" s="1"/>
      <c r="K157" s="1"/>
      <c r="L157" s="1"/>
      <c r="M157" s="1"/>
      <c r="N157" s="1"/>
      <c r="O157" s="1"/>
      <c r="P157" s="1"/>
      <c r="Q157" s="1"/>
      <c r="AX157" s="445"/>
      <c r="BB157" s="541">
        <f t="shared" ca="1" si="86"/>
        <v>1.0000000000000002</v>
      </c>
      <c r="BC157" s="542">
        <f t="shared" ca="1" si="86"/>
        <v>0.59701472724823013</v>
      </c>
      <c r="BD157" s="542">
        <f t="shared" ca="1" si="86"/>
        <v>0.59701472724823013</v>
      </c>
      <c r="BE157" s="559">
        <f t="shared" ca="1" si="86"/>
        <v>0.59701472724823013</v>
      </c>
      <c r="BF157" s="559">
        <f t="shared" ca="1" si="86"/>
        <v>0.59701472724823013</v>
      </c>
      <c r="BG157" s="560">
        <f t="shared" ca="1" si="86"/>
        <v>0.59701472724823013</v>
      </c>
      <c r="BH157" s="265"/>
    </row>
    <row r="158" spans="2:60" outlineLevel="1" x14ac:dyDescent="0.25">
      <c r="B158" s="1363"/>
      <c r="D158" s="1352"/>
      <c r="F158" s="237" t="str">
        <f t="shared" si="87"/>
        <v>tp_Peas, green</v>
      </c>
      <c r="G158" s="609" t="s">
        <v>105</v>
      </c>
      <c r="I158" s="265"/>
      <c r="J158" s="1"/>
      <c r="K158" s="1"/>
      <c r="L158" s="1"/>
      <c r="M158" s="1"/>
      <c r="N158" s="1"/>
      <c r="O158" s="1"/>
      <c r="P158" s="1"/>
      <c r="Q158" s="1"/>
      <c r="AX158" s="445"/>
      <c r="BB158" s="541">
        <f t="shared" ca="1" si="86"/>
        <v>0.99999999999999989</v>
      </c>
      <c r="BC158" s="542">
        <f t="shared" ca="1" si="86"/>
        <v>0.72490689842196743</v>
      </c>
      <c r="BD158" s="542">
        <f t="shared" ca="1" si="86"/>
        <v>0.72490689842196743</v>
      </c>
      <c r="BE158" s="559">
        <f t="shared" ca="1" si="86"/>
        <v>0.72490689842196743</v>
      </c>
      <c r="BF158" s="559">
        <f t="shared" ca="1" si="86"/>
        <v>0.72490689842196743</v>
      </c>
      <c r="BG158" s="560">
        <f t="shared" ca="1" si="86"/>
        <v>0.72490689842196743</v>
      </c>
      <c r="BH158" s="265"/>
    </row>
    <row r="159" spans="2:60" outlineLevel="1" x14ac:dyDescent="0.25">
      <c r="B159" s="1363"/>
      <c r="D159" s="1352"/>
      <c r="F159" s="237" t="str">
        <f t="shared" si="87"/>
        <v>tp_Potatoes</v>
      </c>
      <c r="G159" s="609" t="s">
        <v>111</v>
      </c>
      <c r="I159" s="265"/>
      <c r="J159" s="1"/>
      <c r="K159" s="1"/>
      <c r="L159" s="1"/>
      <c r="M159" s="1"/>
      <c r="N159" s="1"/>
      <c r="O159" s="1"/>
      <c r="P159" s="1"/>
      <c r="Q159" s="1"/>
      <c r="AX159" s="445"/>
      <c r="BB159" s="541">
        <f t="shared" ref="BB159:BG168" ca="1" si="88">((SUMPRODUCT(OFFSET($T$434,0,MATCH($G159,$T$433:$AN$433,0)-1,15,1),OFFSET($AP$434,0,MATCH(LEFT(BB$5,1),$AP$433:$AQ$433,0)-1,15,1)))
+(SUMPRODUCT(OFFSET($T$452,0,MATCH($G159,$T$433:$AN$433,0)-1,4,1),OFFSET($AP$452,0,MATCH(LEFT(BB$5,1),$AP$433:$AQ$433,0)-1,4,1))))
/SUM(OFFSET($T$434,0,MATCH($G159,$T$433:$AN$433,0)-1,15,1),OFFSET($T$452,0,MATCH($G159,$T$433:$AN$433,0)-1,4,1))</f>
        <v>0.99999999999999989</v>
      </c>
      <c r="BC159" s="542">
        <f t="shared" ca="1" si="88"/>
        <v>0.71087129989973041</v>
      </c>
      <c r="BD159" s="542">
        <f t="shared" ca="1" si="88"/>
        <v>0.71087129989973041</v>
      </c>
      <c r="BE159" s="559">
        <f t="shared" ca="1" si="88"/>
        <v>0.71087129989973041</v>
      </c>
      <c r="BF159" s="559">
        <f t="shared" ca="1" si="88"/>
        <v>0.71087129989973041</v>
      </c>
      <c r="BG159" s="560">
        <f t="shared" ca="1" si="88"/>
        <v>0.71087129989973041</v>
      </c>
      <c r="BH159" s="265"/>
    </row>
    <row r="160" spans="2:60" outlineLevel="1" x14ac:dyDescent="0.25">
      <c r="B160" s="1363"/>
      <c r="D160" s="1352"/>
      <c r="F160" s="237" t="str">
        <f t="shared" si="87"/>
        <v>tp_Rapeseed</v>
      </c>
      <c r="G160" s="609" t="s">
        <v>109</v>
      </c>
      <c r="I160" s="265"/>
      <c r="J160" s="1"/>
      <c r="K160" s="1"/>
      <c r="L160" s="1"/>
      <c r="M160" s="1"/>
      <c r="N160" s="1"/>
      <c r="O160" s="1"/>
      <c r="P160" s="1"/>
      <c r="Q160" s="1"/>
      <c r="AX160" s="445"/>
      <c r="BB160" s="541">
        <f t="shared" ca="1" si="88"/>
        <v>1</v>
      </c>
      <c r="BC160" s="542">
        <f t="shared" ca="1" si="88"/>
        <v>0.35371187102467255</v>
      </c>
      <c r="BD160" s="542">
        <f t="shared" ca="1" si="88"/>
        <v>0.35371187102467255</v>
      </c>
      <c r="BE160" s="559">
        <f t="shared" ca="1" si="88"/>
        <v>0.35371187102467255</v>
      </c>
      <c r="BF160" s="559">
        <f t="shared" ca="1" si="88"/>
        <v>0.35371187102467255</v>
      </c>
      <c r="BG160" s="560">
        <f t="shared" ca="1" si="88"/>
        <v>0.35371187102467255</v>
      </c>
      <c r="BH160" s="265"/>
    </row>
    <row r="161" spans="2:60" outlineLevel="1" x14ac:dyDescent="0.25">
      <c r="B161" s="1363"/>
      <c r="D161" s="1352"/>
      <c r="F161" s="237" t="str">
        <f t="shared" si="87"/>
        <v>tp_Rye</v>
      </c>
      <c r="G161" s="609" t="s">
        <v>99</v>
      </c>
      <c r="I161" s="265"/>
      <c r="J161" s="1"/>
      <c r="K161" s="1"/>
      <c r="L161" s="1"/>
      <c r="M161" s="1"/>
      <c r="N161" s="1"/>
      <c r="O161" s="1"/>
      <c r="P161" s="1"/>
      <c r="Q161" s="1"/>
      <c r="AX161" s="445"/>
      <c r="BB161" s="541">
        <f t="shared" ca="1" si="88"/>
        <v>0.99999999999999989</v>
      </c>
      <c r="BC161" s="542">
        <f t="shared" ca="1" si="88"/>
        <v>0.63125057089363357</v>
      </c>
      <c r="BD161" s="542">
        <f t="shared" ca="1" si="88"/>
        <v>0.63125057089363357</v>
      </c>
      <c r="BE161" s="559">
        <f t="shared" ca="1" si="88"/>
        <v>0.63125057089363357</v>
      </c>
      <c r="BF161" s="559">
        <f t="shared" ca="1" si="88"/>
        <v>0.63125057089363357</v>
      </c>
      <c r="BG161" s="560">
        <f t="shared" ca="1" si="88"/>
        <v>0.63125057089363357</v>
      </c>
      <c r="BH161" s="265"/>
    </row>
    <row r="162" spans="2:60" outlineLevel="1" x14ac:dyDescent="0.25">
      <c r="B162" s="1363"/>
      <c r="D162" s="1352"/>
      <c r="F162" s="237" t="str">
        <f t="shared" si="87"/>
        <v>tp_Soybeans</v>
      </c>
      <c r="G162" s="609" t="s">
        <v>106</v>
      </c>
      <c r="I162" s="265"/>
      <c r="J162" s="1"/>
      <c r="K162" s="1"/>
      <c r="L162" s="1"/>
      <c r="M162" s="1"/>
      <c r="N162" s="1"/>
      <c r="O162" s="1"/>
      <c r="P162" s="1"/>
      <c r="Q162" s="1"/>
      <c r="AX162" s="445"/>
      <c r="BB162" s="541">
        <f t="shared" ca="1" si="88"/>
        <v>0.99999999999999989</v>
      </c>
      <c r="BC162" s="542">
        <f t="shared" ca="1" si="88"/>
        <v>0.65047656797264197</v>
      </c>
      <c r="BD162" s="542">
        <f t="shared" ca="1" si="88"/>
        <v>0.65047656797264197</v>
      </c>
      <c r="BE162" s="559">
        <f t="shared" ca="1" si="88"/>
        <v>0.65047656797264197</v>
      </c>
      <c r="BF162" s="559">
        <f t="shared" ca="1" si="88"/>
        <v>0.65047656797264197</v>
      </c>
      <c r="BG162" s="560">
        <f t="shared" ca="1" si="88"/>
        <v>0.65047656797264197</v>
      </c>
      <c r="BH162" s="265"/>
    </row>
    <row r="163" spans="2:60" outlineLevel="1" x14ac:dyDescent="0.25">
      <c r="B163" s="1363"/>
      <c r="D163" s="1352"/>
      <c r="F163" s="237" t="str">
        <f t="shared" si="87"/>
        <v>tp_Sugar beet</v>
      </c>
      <c r="G163" s="609" t="s">
        <v>112</v>
      </c>
      <c r="I163" s="265"/>
      <c r="J163" s="1"/>
      <c r="K163" s="1"/>
      <c r="L163" s="1"/>
      <c r="M163" s="1"/>
      <c r="N163" s="1"/>
      <c r="O163" s="1"/>
      <c r="P163" s="1"/>
      <c r="Q163" s="1"/>
      <c r="AX163" s="445"/>
      <c r="BB163" s="541">
        <f t="shared" ca="1" si="88"/>
        <v>1.0000000000000002</v>
      </c>
      <c r="BC163" s="542">
        <f t="shared" ca="1" si="88"/>
        <v>0.33696704512592263</v>
      </c>
      <c r="BD163" s="542">
        <f t="shared" ca="1" si="88"/>
        <v>0.33696704512592263</v>
      </c>
      <c r="BE163" s="559">
        <f t="shared" ca="1" si="88"/>
        <v>0.33696704512592263</v>
      </c>
      <c r="BF163" s="559">
        <f t="shared" ca="1" si="88"/>
        <v>0.33696704512592263</v>
      </c>
      <c r="BG163" s="560">
        <f t="shared" ca="1" si="88"/>
        <v>0.33696704512592263</v>
      </c>
      <c r="BH163" s="265"/>
    </row>
    <row r="164" spans="2:60" outlineLevel="1" x14ac:dyDescent="0.25">
      <c r="B164" s="1363"/>
      <c r="D164" s="1352"/>
      <c r="F164" s="237" t="str">
        <f t="shared" si="87"/>
        <v>tp_Sunflower seed</v>
      </c>
      <c r="G164" s="609" t="s">
        <v>110</v>
      </c>
      <c r="I164" s="265"/>
      <c r="J164" s="1"/>
      <c r="K164" s="1"/>
      <c r="L164" s="1"/>
      <c r="M164" s="1"/>
      <c r="N164" s="1"/>
      <c r="O164" s="1"/>
      <c r="P164" s="1"/>
      <c r="Q164" s="1"/>
      <c r="AX164" s="445"/>
      <c r="BB164" s="541">
        <f t="shared" ca="1" si="88"/>
        <v>0.99999999999999978</v>
      </c>
      <c r="BC164" s="542">
        <f t="shared" ca="1" si="88"/>
        <v>0.62828325000209628</v>
      </c>
      <c r="BD164" s="542">
        <f t="shared" ca="1" si="88"/>
        <v>0.62828325000209628</v>
      </c>
      <c r="BE164" s="559">
        <f t="shared" ca="1" si="88"/>
        <v>0.62828325000209628</v>
      </c>
      <c r="BF164" s="559">
        <f t="shared" ca="1" si="88"/>
        <v>0.62828325000209628</v>
      </c>
      <c r="BG164" s="560">
        <f t="shared" ca="1" si="88"/>
        <v>0.62828325000209628</v>
      </c>
      <c r="BH164" s="265"/>
    </row>
    <row r="165" spans="2:60" outlineLevel="1" x14ac:dyDescent="0.25">
      <c r="B165" s="1363"/>
      <c r="D165" s="1352"/>
      <c r="F165" s="237" t="str">
        <f t="shared" si="87"/>
        <v>tp_Triticale</v>
      </c>
      <c r="G165" s="609" t="s">
        <v>100</v>
      </c>
      <c r="I165" s="265"/>
      <c r="J165" s="1"/>
      <c r="K165" s="1"/>
      <c r="L165" s="1"/>
      <c r="M165" s="1"/>
      <c r="N165" s="1"/>
      <c r="O165" s="1"/>
      <c r="P165" s="1"/>
      <c r="Q165" s="1"/>
      <c r="AX165" s="445"/>
      <c r="BB165" s="541">
        <f t="shared" ca="1" si="88"/>
        <v>1</v>
      </c>
      <c r="BC165" s="542">
        <f t="shared" ca="1" si="88"/>
        <v>0.60426724676322352</v>
      </c>
      <c r="BD165" s="542">
        <f t="shared" ca="1" si="88"/>
        <v>0.60426724676322352</v>
      </c>
      <c r="BE165" s="559">
        <f t="shared" ca="1" si="88"/>
        <v>0.60426724676322352</v>
      </c>
      <c r="BF165" s="559">
        <f t="shared" ca="1" si="88"/>
        <v>0.60426724676322352</v>
      </c>
      <c r="BG165" s="560">
        <f t="shared" ca="1" si="88"/>
        <v>0.60426724676322352</v>
      </c>
      <c r="BH165" s="265"/>
    </row>
    <row r="166" spans="2:60" outlineLevel="1" x14ac:dyDescent="0.25">
      <c r="B166" s="1363"/>
      <c r="D166" s="1352"/>
      <c r="F166" s="237" t="str">
        <f t="shared" si="87"/>
        <v>tp_Wheat</v>
      </c>
      <c r="G166" s="610" t="s">
        <v>101</v>
      </c>
      <c r="I166" s="265"/>
      <c r="J166" s="1"/>
      <c r="K166" s="1"/>
      <c r="L166" s="1"/>
      <c r="M166" s="1"/>
      <c r="N166" s="1"/>
      <c r="O166" s="1"/>
      <c r="P166" s="1"/>
      <c r="Q166" s="1"/>
      <c r="AX166" s="445"/>
      <c r="BB166" s="544">
        <f t="shared" ca="1" si="88"/>
        <v>1</v>
      </c>
      <c r="BC166" s="545">
        <f t="shared" ca="1" si="88"/>
        <v>0.5022671072467475</v>
      </c>
      <c r="BD166" s="545">
        <f t="shared" ca="1" si="88"/>
        <v>0.5022671072467475</v>
      </c>
      <c r="BE166" s="561">
        <f t="shared" ca="1" si="88"/>
        <v>0.5022671072467475</v>
      </c>
      <c r="BF166" s="561">
        <f t="shared" ca="1" si="88"/>
        <v>0.5022671072467475</v>
      </c>
      <c r="BG166" s="562">
        <f t="shared" ca="1" si="88"/>
        <v>0.5022671072467475</v>
      </c>
      <c r="BH166" s="265"/>
    </row>
    <row r="167" spans="2:60" outlineLevel="1" x14ac:dyDescent="0.25">
      <c r="B167" s="1363"/>
      <c r="D167" s="1352"/>
      <c r="F167" s="237" t="str">
        <f t="shared" si="87"/>
        <v>tp_Grass_dairy_NL</v>
      </c>
      <c r="G167" s="911" t="s">
        <v>630</v>
      </c>
      <c r="I167" s="265"/>
      <c r="J167" s="1"/>
      <c r="K167" s="1"/>
      <c r="L167" s="1"/>
      <c r="M167" s="1"/>
      <c r="N167" s="1"/>
      <c r="O167" s="1"/>
      <c r="P167" s="1"/>
      <c r="Q167" s="1"/>
      <c r="AX167" s="445"/>
      <c r="BB167" s="547">
        <f t="shared" ca="1" si="88"/>
        <v>1</v>
      </c>
      <c r="BC167" s="548">
        <f t="shared" ca="1" si="88"/>
        <v>0</v>
      </c>
      <c r="BD167" s="548">
        <f t="shared" ca="1" si="88"/>
        <v>0</v>
      </c>
      <c r="BE167" s="548">
        <f t="shared" ca="1" si="88"/>
        <v>0</v>
      </c>
      <c r="BF167" s="548">
        <f t="shared" ca="1" si="88"/>
        <v>0</v>
      </c>
      <c r="BG167" s="549">
        <f t="shared" ca="1" si="88"/>
        <v>0</v>
      </c>
      <c r="BH167" s="265"/>
    </row>
    <row r="168" spans="2:60" outlineLevel="1" x14ac:dyDescent="0.25">
      <c r="B168" s="1363"/>
      <c r="D168" s="1353"/>
      <c r="F168" s="237" t="str">
        <f t="shared" si="87"/>
        <v>tp_Grass_beef_IE</v>
      </c>
      <c r="G168" s="911" t="s">
        <v>631</v>
      </c>
      <c r="I168" s="265"/>
      <c r="J168" s="1"/>
      <c r="K168" s="1"/>
      <c r="L168" s="1"/>
      <c r="M168" s="1"/>
      <c r="N168" s="1"/>
      <c r="O168" s="1"/>
      <c r="P168" s="1"/>
      <c r="Q168" s="1"/>
      <c r="AX168" s="445"/>
      <c r="BB168" s="547">
        <f t="shared" ca="1" si="88"/>
        <v>1</v>
      </c>
      <c r="BC168" s="548">
        <f t="shared" ca="1" si="88"/>
        <v>0</v>
      </c>
      <c r="BD168" s="548">
        <f t="shared" ca="1" si="88"/>
        <v>0</v>
      </c>
      <c r="BE168" s="548">
        <f t="shared" ca="1" si="88"/>
        <v>0</v>
      </c>
      <c r="BF168" s="548">
        <f t="shared" ca="1" si="88"/>
        <v>0</v>
      </c>
      <c r="BG168" s="549">
        <f t="shared" ca="1" si="88"/>
        <v>0</v>
      </c>
      <c r="BH168" s="265"/>
    </row>
    <row r="169" spans="2:60" ht="15" customHeight="1" outlineLevel="1" x14ac:dyDescent="0.25">
      <c r="B169" s="1363"/>
      <c r="D169" s="1359" t="s">
        <v>2375</v>
      </c>
      <c r="F169" s="233" t="s">
        <v>719</v>
      </c>
      <c r="G169" s="381"/>
      <c r="I169" s="265"/>
      <c r="J169" s="1"/>
      <c r="K169" s="1"/>
      <c r="L169" s="1"/>
      <c r="M169" s="1"/>
      <c r="N169" s="1"/>
      <c r="O169" s="1"/>
      <c r="P169" s="1"/>
      <c r="Q169" s="1"/>
      <c r="AX169" s="445"/>
      <c r="BB169" s="452">
        <f>INDEX($I$499:$J$504,MATCH($F169,$G$499:$G$504,0),MATCH(LEFT(BB$5,1),$I$498:$J$498,0))</f>
        <v>1</v>
      </c>
      <c r="BC169" s="453">
        <f t="shared" ref="BC169:BG174" si="89">INDEX($I$499:$J$504,MATCH($F169,$G$499:$G$504,0),MATCH(LEFT(BC$5,1),$I$498:$J$498,0))</f>
        <v>0.95992196589332923</v>
      </c>
      <c r="BD169" s="453">
        <f t="shared" si="89"/>
        <v>0.95992196589332923</v>
      </c>
      <c r="BE169" s="557">
        <f t="shared" si="89"/>
        <v>0.95992196589332923</v>
      </c>
      <c r="BF169" s="557">
        <f t="shared" si="89"/>
        <v>0.95992196589332923</v>
      </c>
      <c r="BG169" s="558">
        <f t="shared" si="89"/>
        <v>0.95992196589332923</v>
      </c>
      <c r="BH169" s="265"/>
    </row>
    <row r="170" spans="2:60" outlineLevel="1" x14ac:dyDescent="0.25">
      <c r="B170" s="1363"/>
      <c r="D170" s="1360"/>
      <c r="F170" s="237" t="s">
        <v>718</v>
      </c>
      <c r="G170" s="609"/>
      <c r="I170" s="265"/>
      <c r="J170" s="1"/>
      <c r="K170" s="1"/>
      <c r="L170" s="1"/>
      <c r="M170" s="1"/>
      <c r="N170" s="1"/>
      <c r="O170" s="1"/>
      <c r="P170" s="1"/>
      <c r="Q170" s="1"/>
      <c r="AX170" s="445"/>
      <c r="BB170" s="488">
        <f t="shared" ref="BB170:BB174" si="90">INDEX($I$499:$J$504,MATCH($F170,$G$499:$G$504,0),MATCH(LEFT(BB$5,1),$I$498:$J$498,0))</f>
        <v>1</v>
      </c>
      <c r="BC170" s="553">
        <f t="shared" si="89"/>
        <v>1.1054181316985423</v>
      </c>
      <c r="BD170" s="553">
        <f t="shared" si="89"/>
        <v>1.1054181316985423</v>
      </c>
      <c r="BE170" s="559">
        <f t="shared" si="89"/>
        <v>1.1054181316985423</v>
      </c>
      <c r="BF170" s="559">
        <f t="shared" si="89"/>
        <v>1.1054181316985423</v>
      </c>
      <c r="BG170" s="560">
        <f t="shared" si="89"/>
        <v>1.1054181316985423</v>
      </c>
      <c r="BH170" s="265"/>
    </row>
    <row r="171" spans="2:60" outlineLevel="1" x14ac:dyDescent="0.25">
      <c r="B171" s="1363"/>
      <c r="D171" s="1360"/>
      <c r="F171" s="233" t="s">
        <v>721</v>
      </c>
      <c r="G171" s="381"/>
      <c r="I171" s="265"/>
      <c r="J171" s="1"/>
      <c r="K171" s="1"/>
      <c r="L171" s="1"/>
      <c r="M171" s="1"/>
      <c r="N171" s="1"/>
      <c r="O171" s="1"/>
      <c r="P171" s="1"/>
      <c r="Q171" s="1"/>
      <c r="AX171" s="445"/>
      <c r="BB171" s="452">
        <f t="shared" si="90"/>
        <v>1</v>
      </c>
      <c r="BC171" s="453">
        <f t="shared" si="89"/>
        <v>0.8941141413572069</v>
      </c>
      <c r="BD171" s="453">
        <f t="shared" si="89"/>
        <v>0.8941141413572069</v>
      </c>
      <c r="BE171" s="557">
        <f t="shared" si="89"/>
        <v>0.8941141413572069</v>
      </c>
      <c r="BF171" s="557">
        <f t="shared" si="89"/>
        <v>0.8941141413572069</v>
      </c>
      <c r="BG171" s="558">
        <f t="shared" si="89"/>
        <v>0.8941141413572069</v>
      </c>
      <c r="BH171" s="265"/>
    </row>
    <row r="172" spans="2:60" outlineLevel="1" x14ac:dyDescent="0.25">
      <c r="B172" s="1363"/>
      <c r="D172" s="1360"/>
      <c r="F172" s="237" t="s">
        <v>720</v>
      </c>
      <c r="G172" s="609"/>
      <c r="I172" s="265"/>
      <c r="J172" s="1"/>
      <c r="K172" s="1"/>
      <c r="L172" s="1"/>
      <c r="M172" s="1"/>
      <c r="N172" s="1"/>
      <c r="O172" s="1"/>
      <c r="P172" s="1"/>
      <c r="Q172" s="1"/>
      <c r="AX172" s="445"/>
      <c r="BB172" s="488">
        <f t="shared" si="90"/>
        <v>1</v>
      </c>
      <c r="BC172" s="553">
        <f t="shared" si="89"/>
        <v>0.95635467282063591</v>
      </c>
      <c r="BD172" s="553">
        <f t="shared" si="89"/>
        <v>0.95635467282063591</v>
      </c>
      <c r="BE172" s="559">
        <f t="shared" si="89"/>
        <v>0.95635467282063591</v>
      </c>
      <c r="BF172" s="559">
        <f t="shared" si="89"/>
        <v>0.95635467282063591</v>
      </c>
      <c r="BG172" s="560">
        <f t="shared" si="89"/>
        <v>0.95635467282063591</v>
      </c>
      <c r="BH172" s="265"/>
    </row>
    <row r="173" spans="2:60" outlineLevel="1" x14ac:dyDescent="0.25">
      <c r="B173" s="1363"/>
      <c r="D173" s="1360"/>
      <c r="F173" s="233" t="s">
        <v>2191</v>
      </c>
      <c r="G173" s="381"/>
      <c r="I173" s="265"/>
      <c r="J173" s="1"/>
      <c r="K173" s="1"/>
      <c r="L173" s="1"/>
      <c r="M173" s="1"/>
      <c r="N173" s="1"/>
      <c r="O173" s="1"/>
      <c r="P173" s="1"/>
      <c r="Q173" s="1"/>
      <c r="AX173" s="445"/>
      <c r="BB173" s="452">
        <f t="shared" si="90"/>
        <v>1</v>
      </c>
      <c r="BC173" s="453">
        <f t="shared" si="89"/>
        <v>0.84700850935273531</v>
      </c>
      <c r="BD173" s="453">
        <f t="shared" si="89"/>
        <v>0.84700850935273531</v>
      </c>
      <c r="BE173" s="557">
        <f t="shared" si="89"/>
        <v>0.84700850935273531</v>
      </c>
      <c r="BF173" s="557">
        <f t="shared" si="89"/>
        <v>0.84700850935273531</v>
      </c>
      <c r="BG173" s="558">
        <f t="shared" si="89"/>
        <v>0.84700850935273531</v>
      </c>
    </row>
    <row r="174" spans="2:60" outlineLevel="1" x14ac:dyDescent="0.25">
      <c r="B174" s="1364"/>
      <c r="D174" s="1361"/>
      <c r="F174" s="241" t="s">
        <v>2158</v>
      </c>
      <c r="G174" s="382"/>
      <c r="I174" s="268"/>
      <c r="J174" s="210"/>
      <c r="K174" s="210"/>
      <c r="L174" s="210"/>
      <c r="M174" s="210"/>
      <c r="N174" s="210"/>
      <c r="O174" s="210"/>
      <c r="P174" s="210"/>
      <c r="Q174" s="210"/>
      <c r="R174" s="210"/>
      <c r="S174" s="210"/>
      <c r="T174" s="210"/>
      <c r="U174" s="442"/>
      <c r="V174" s="442"/>
      <c r="W174" s="442"/>
      <c r="X174" s="442"/>
      <c r="Y174" s="442"/>
      <c r="Z174" s="442"/>
      <c r="AA174" s="442"/>
      <c r="AB174" s="442"/>
      <c r="AC174" s="442"/>
      <c r="AD174" s="210"/>
      <c r="AE174" s="210"/>
      <c r="AF174" s="210"/>
      <c r="AG174" s="442"/>
      <c r="AH174" s="442"/>
      <c r="AI174" s="442"/>
      <c r="AJ174" s="442"/>
      <c r="AK174" s="442"/>
      <c r="AL174" s="442"/>
      <c r="AM174" s="442"/>
      <c r="AN174" s="442"/>
      <c r="AO174" s="442"/>
      <c r="AP174" s="210"/>
      <c r="AQ174" s="210"/>
      <c r="AR174" s="210"/>
      <c r="AS174" s="442"/>
      <c r="AT174" s="442"/>
      <c r="AU174" s="442"/>
      <c r="AV174" s="442"/>
      <c r="AW174" s="442"/>
      <c r="AX174" s="447"/>
      <c r="BB174" s="454">
        <f t="shared" si="90"/>
        <v>1</v>
      </c>
      <c r="BC174" s="455">
        <f t="shared" si="89"/>
        <v>0.96412260529986116</v>
      </c>
      <c r="BD174" s="455">
        <f t="shared" si="89"/>
        <v>0.96412260529986116</v>
      </c>
      <c r="BE174" s="563">
        <f t="shared" si="89"/>
        <v>0.96412260529986116</v>
      </c>
      <c r="BF174" s="563">
        <f t="shared" si="89"/>
        <v>0.96412260529986116</v>
      </c>
      <c r="BG174" s="564">
        <f t="shared" si="89"/>
        <v>0.96412260529986116</v>
      </c>
    </row>
    <row r="176" spans="2:60" ht="14.65" customHeight="1" x14ac:dyDescent="0.25">
      <c r="D176" s="1354" t="s">
        <v>1568</v>
      </c>
      <c r="F176" s="899" t="s">
        <v>727</v>
      </c>
      <c r="BB176" s="326">
        <v>1</v>
      </c>
      <c r="BC176" s="902">
        <v>0.89300000000000002</v>
      </c>
      <c r="BD176" s="902">
        <f>$BC176</f>
        <v>0.89300000000000002</v>
      </c>
      <c r="BE176" s="902">
        <f t="shared" ref="BE176:BG195" si="91">$BC176</f>
        <v>0.89300000000000002</v>
      </c>
      <c r="BF176" s="902">
        <f t="shared" si="91"/>
        <v>0.89300000000000002</v>
      </c>
      <c r="BG176" s="903">
        <f t="shared" si="91"/>
        <v>0.89300000000000002</v>
      </c>
      <c r="BH176" s="1" t="s">
        <v>1625</v>
      </c>
    </row>
    <row r="177" spans="4:60" x14ac:dyDescent="0.25">
      <c r="D177" s="1355"/>
      <c r="F177" s="900" t="s">
        <v>728</v>
      </c>
      <c r="BB177" s="904">
        <v>1</v>
      </c>
      <c r="BC177" s="905">
        <v>0.1</v>
      </c>
      <c r="BD177" s="905">
        <f t="shared" ref="BD177:BD192" si="92">$BC177</f>
        <v>0.1</v>
      </c>
      <c r="BE177" s="905">
        <f t="shared" si="91"/>
        <v>0.1</v>
      </c>
      <c r="BF177" s="905">
        <f t="shared" si="91"/>
        <v>0.1</v>
      </c>
      <c r="BG177" s="906">
        <f t="shared" si="91"/>
        <v>0.1</v>
      </c>
      <c r="BH177" s="1" t="s">
        <v>1626</v>
      </c>
    </row>
    <row r="178" spans="4:60" x14ac:dyDescent="0.25">
      <c r="D178" s="1355"/>
      <c r="F178" s="900" t="s">
        <v>729</v>
      </c>
      <c r="BB178" s="904">
        <v>1</v>
      </c>
      <c r="BC178" s="905">
        <v>0.55200000000000005</v>
      </c>
      <c r="BD178" s="905">
        <f t="shared" si="92"/>
        <v>0.55200000000000005</v>
      </c>
      <c r="BE178" s="905">
        <f t="shared" si="91"/>
        <v>0.55200000000000005</v>
      </c>
      <c r="BF178" s="905">
        <f t="shared" si="91"/>
        <v>0.55200000000000005</v>
      </c>
      <c r="BG178" s="906">
        <f t="shared" si="91"/>
        <v>0.55200000000000005</v>
      </c>
      <c r="BH178" s="1" t="s">
        <v>1627</v>
      </c>
    </row>
    <row r="179" spans="4:60" x14ac:dyDescent="0.25">
      <c r="D179" s="1355"/>
      <c r="F179" s="900" t="s">
        <v>730</v>
      </c>
      <c r="BB179" s="904">
        <v>1</v>
      </c>
      <c r="BC179" s="905">
        <v>9.6299999999999997E-2</v>
      </c>
      <c r="BD179" s="905">
        <f t="shared" si="92"/>
        <v>9.6299999999999997E-2</v>
      </c>
      <c r="BE179" s="905">
        <f t="shared" si="91"/>
        <v>9.6299999999999997E-2</v>
      </c>
      <c r="BF179" s="905">
        <f t="shared" si="91"/>
        <v>9.6299999999999997E-2</v>
      </c>
      <c r="BG179" s="906">
        <f t="shared" si="91"/>
        <v>9.6299999999999997E-2</v>
      </c>
      <c r="BH179" s="1" t="s">
        <v>1628</v>
      </c>
    </row>
    <row r="180" spans="4:60" x14ac:dyDescent="0.25">
      <c r="D180" s="1355"/>
      <c r="F180" s="900" t="s">
        <v>731</v>
      </c>
      <c r="BB180" s="907">
        <v>1</v>
      </c>
      <c r="BC180" s="734">
        <v>8.8400000000000006E-2</v>
      </c>
      <c r="BD180" s="905">
        <f t="shared" si="92"/>
        <v>8.8400000000000006E-2</v>
      </c>
      <c r="BE180" s="905">
        <f t="shared" si="91"/>
        <v>8.8400000000000006E-2</v>
      </c>
      <c r="BF180" s="905">
        <f t="shared" si="91"/>
        <v>8.8400000000000006E-2</v>
      </c>
      <c r="BG180" s="906">
        <f t="shared" si="91"/>
        <v>8.8400000000000006E-2</v>
      </c>
      <c r="BH180" s="1" t="s">
        <v>1629</v>
      </c>
    </row>
    <row r="181" spans="4:60" x14ac:dyDescent="0.25">
      <c r="D181" s="1355"/>
      <c r="F181" s="900" t="s">
        <v>732</v>
      </c>
      <c r="BB181" s="904">
        <v>1</v>
      </c>
      <c r="BC181" s="905">
        <v>0.995</v>
      </c>
      <c r="BD181" s="905">
        <f t="shared" si="92"/>
        <v>0.995</v>
      </c>
      <c r="BE181" s="905">
        <f t="shared" si="91"/>
        <v>0.995</v>
      </c>
      <c r="BF181" s="905">
        <f t="shared" si="91"/>
        <v>0.995</v>
      </c>
      <c r="BG181" s="906">
        <f t="shared" si="91"/>
        <v>0.995</v>
      </c>
      <c r="BH181" s="1" t="s">
        <v>1630</v>
      </c>
    </row>
    <row r="182" spans="4:60" x14ac:dyDescent="0.25">
      <c r="D182" s="1355"/>
      <c r="F182" s="900" t="s">
        <v>733</v>
      </c>
      <c r="BB182" s="904">
        <v>1</v>
      </c>
      <c r="BC182" s="905">
        <v>4.1200000000000001E-2</v>
      </c>
      <c r="BD182" s="905">
        <f t="shared" si="92"/>
        <v>4.1200000000000001E-2</v>
      </c>
      <c r="BE182" s="905">
        <f t="shared" si="91"/>
        <v>4.1200000000000001E-2</v>
      </c>
      <c r="BF182" s="905">
        <f t="shared" si="91"/>
        <v>4.1200000000000001E-2</v>
      </c>
      <c r="BG182" s="906">
        <f t="shared" si="91"/>
        <v>4.1200000000000001E-2</v>
      </c>
      <c r="BH182" s="1" t="s">
        <v>1631</v>
      </c>
    </row>
    <row r="183" spans="4:60" x14ac:dyDescent="0.25">
      <c r="D183" s="1355"/>
      <c r="F183" s="900" t="s">
        <v>734</v>
      </c>
      <c r="BB183" s="904">
        <v>1</v>
      </c>
      <c r="BC183" s="905">
        <v>6.1199999999999996E-3</v>
      </c>
      <c r="BD183" s="905">
        <f t="shared" si="92"/>
        <v>6.1199999999999996E-3</v>
      </c>
      <c r="BE183" s="905">
        <f t="shared" si="91"/>
        <v>6.1199999999999996E-3</v>
      </c>
      <c r="BF183" s="905">
        <f t="shared" si="91"/>
        <v>6.1199999999999996E-3</v>
      </c>
      <c r="BG183" s="906">
        <f t="shared" si="91"/>
        <v>6.1199999999999996E-3</v>
      </c>
      <c r="BH183" s="1" t="s">
        <v>1638</v>
      </c>
    </row>
    <row r="184" spans="4:60" x14ac:dyDescent="0.25">
      <c r="D184" s="1355"/>
      <c r="F184" s="900" t="s">
        <v>735</v>
      </c>
      <c r="BB184" s="904">
        <v>1</v>
      </c>
      <c r="BC184" s="905">
        <v>0.44400000000000001</v>
      </c>
      <c r="BD184" s="905">
        <f t="shared" si="92"/>
        <v>0.44400000000000001</v>
      </c>
      <c r="BE184" s="905">
        <f t="shared" si="91"/>
        <v>0.44400000000000001</v>
      </c>
      <c r="BF184" s="905">
        <f t="shared" si="91"/>
        <v>0.44400000000000001</v>
      </c>
      <c r="BG184" s="906">
        <f t="shared" si="91"/>
        <v>0.44400000000000001</v>
      </c>
      <c r="BH184" s="1" t="s">
        <v>1632</v>
      </c>
    </row>
    <row r="185" spans="4:60" x14ac:dyDescent="0.25">
      <c r="D185" s="1355"/>
      <c r="F185" s="900" t="s">
        <v>736</v>
      </c>
      <c r="BB185" s="904">
        <v>1</v>
      </c>
      <c r="BC185" s="905">
        <v>0.91600000000000004</v>
      </c>
      <c r="BD185" s="905">
        <f t="shared" si="92"/>
        <v>0.91600000000000004</v>
      </c>
      <c r="BE185" s="905">
        <f t="shared" si="91"/>
        <v>0.91600000000000004</v>
      </c>
      <c r="BF185" s="905">
        <f t="shared" si="91"/>
        <v>0.91600000000000004</v>
      </c>
      <c r="BG185" s="906">
        <f t="shared" si="91"/>
        <v>0.91600000000000004</v>
      </c>
      <c r="BH185" s="1" t="s">
        <v>1633</v>
      </c>
    </row>
    <row r="186" spans="4:60" x14ac:dyDescent="0.25">
      <c r="D186" s="1355"/>
      <c r="F186" s="900" t="s">
        <v>737</v>
      </c>
      <c r="BB186" s="904">
        <v>1</v>
      </c>
      <c r="BC186" s="905">
        <v>0.55800000000000005</v>
      </c>
      <c r="BD186" s="905">
        <f t="shared" si="92"/>
        <v>0.55800000000000005</v>
      </c>
      <c r="BE186" s="905">
        <f t="shared" si="91"/>
        <v>0.55800000000000005</v>
      </c>
      <c r="BF186" s="905">
        <f t="shared" si="91"/>
        <v>0.55800000000000005</v>
      </c>
      <c r="BG186" s="906">
        <f t="shared" si="91"/>
        <v>0.55800000000000005</v>
      </c>
      <c r="BH186" s="1" t="s">
        <v>1634</v>
      </c>
    </row>
    <row r="187" spans="4:60" x14ac:dyDescent="0.25">
      <c r="D187" s="1355"/>
      <c r="F187" s="900" t="s">
        <v>738</v>
      </c>
      <c r="BB187" s="904">
        <v>1</v>
      </c>
      <c r="BC187" s="905">
        <v>0.47899999999999998</v>
      </c>
      <c r="BD187" s="905">
        <f t="shared" si="92"/>
        <v>0.47899999999999998</v>
      </c>
      <c r="BE187" s="905">
        <f t="shared" si="91"/>
        <v>0.47899999999999998</v>
      </c>
      <c r="BF187" s="905">
        <f t="shared" si="91"/>
        <v>0.47899999999999998</v>
      </c>
      <c r="BG187" s="906">
        <f t="shared" si="91"/>
        <v>0.47899999999999998</v>
      </c>
      <c r="BH187" s="1" t="s">
        <v>1635</v>
      </c>
    </row>
    <row r="188" spans="4:60" x14ac:dyDescent="0.25">
      <c r="D188" s="1355"/>
      <c r="F188" s="900" t="s">
        <v>739</v>
      </c>
      <c r="BB188" s="904">
        <v>1</v>
      </c>
      <c r="BC188" s="905">
        <v>0.96299999999999997</v>
      </c>
      <c r="BD188" s="905">
        <f t="shared" si="92"/>
        <v>0.96299999999999997</v>
      </c>
      <c r="BE188" s="905">
        <f t="shared" si="91"/>
        <v>0.96299999999999997</v>
      </c>
      <c r="BF188" s="905">
        <f t="shared" si="91"/>
        <v>0.96299999999999997</v>
      </c>
      <c r="BG188" s="906">
        <f t="shared" si="91"/>
        <v>0.96299999999999997</v>
      </c>
      <c r="BH188" s="1" t="s">
        <v>1636</v>
      </c>
    </row>
    <row r="189" spans="4:60" x14ac:dyDescent="0.25">
      <c r="D189" s="1355"/>
      <c r="F189" s="900" t="s">
        <v>740</v>
      </c>
      <c r="BB189" s="904">
        <v>1</v>
      </c>
      <c r="BC189" s="905">
        <v>0.1</v>
      </c>
      <c r="BD189" s="905">
        <f t="shared" si="92"/>
        <v>0.1</v>
      </c>
      <c r="BE189" s="905">
        <f t="shared" si="91"/>
        <v>0.1</v>
      </c>
      <c r="BF189" s="905">
        <f t="shared" si="91"/>
        <v>0.1</v>
      </c>
      <c r="BG189" s="906">
        <f t="shared" si="91"/>
        <v>0.1</v>
      </c>
      <c r="BH189" s="1" t="s">
        <v>1637</v>
      </c>
    </row>
    <row r="190" spans="4:60" x14ac:dyDescent="0.25">
      <c r="D190" s="1355"/>
      <c r="F190" s="900" t="s">
        <v>741</v>
      </c>
      <c r="BB190" s="904">
        <v>1</v>
      </c>
      <c r="BC190" s="905">
        <v>0.68799999999999994</v>
      </c>
      <c r="BD190" s="905">
        <f t="shared" si="92"/>
        <v>0.68799999999999994</v>
      </c>
      <c r="BE190" s="905">
        <f t="shared" si="91"/>
        <v>0.68799999999999994</v>
      </c>
      <c r="BF190" s="905">
        <f t="shared" si="91"/>
        <v>0.68799999999999994</v>
      </c>
      <c r="BG190" s="906">
        <f t="shared" si="91"/>
        <v>0.68799999999999994</v>
      </c>
      <c r="BH190" s="1" t="s">
        <v>1621</v>
      </c>
    </row>
    <row r="191" spans="4:60" x14ac:dyDescent="0.25">
      <c r="D191" s="1355"/>
      <c r="F191" s="900" t="s">
        <v>742</v>
      </c>
      <c r="BB191" s="904">
        <v>1</v>
      </c>
      <c r="BC191" s="905">
        <v>0.16600000000000001</v>
      </c>
      <c r="BD191" s="905">
        <f t="shared" si="92"/>
        <v>0.16600000000000001</v>
      </c>
      <c r="BE191" s="905">
        <f t="shared" si="91"/>
        <v>0.16600000000000001</v>
      </c>
      <c r="BF191" s="905">
        <f t="shared" si="91"/>
        <v>0.16600000000000001</v>
      </c>
      <c r="BG191" s="906">
        <f t="shared" si="91"/>
        <v>0.16600000000000001</v>
      </c>
      <c r="BH191" s="1" t="s">
        <v>1622</v>
      </c>
    </row>
    <row r="192" spans="4:60" x14ac:dyDescent="0.25">
      <c r="D192" s="1355"/>
      <c r="F192" s="900" t="s">
        <v>743</v>
      </c>
      <c r="BB192" s="904">
        <v>1</v>
      </c>
      <c r="BC192" s="905">
        <v>0.14299999999999999</v>
      </c>
      <c r="BD192" s="905">
        <f t="shared" si="92"/>
        <v>0.14299999999999999</v>
      </c>
      <c r="BE192" s="905">
        <f t="shared" si="91"/>
        <v>0.14299999999999999</v>
      </c>
      <c r="BF192" s="905">
        <f t="shared" si="91"/>
        <v>0.14299999999999999</v>
      </c>
      <c r="BG192" s="906">
        <f t="shared" si="91"/>
        <v>0.14299999999999999</v>
      </c>
      <c r="BH192" s="1" t="s">
        <v>1624</v>
      </c>
    </row>
    <row r="193" spans="4:60" x14ac:dyDescent="0.25">
      <c r="D193" s="1355"/>
      <c r="F193" s="900" t="s">
        <v>744</v>
      </c>
      <c r="BB193" s="904">
        <v>1</v>
      </c>
      <c r="BC193" s="905">
        <v>0.67600000000000005</v>
      </c>
      <c r="BD193" s="905">
        <f t="shared" ref="BD193:BG206" si="93">$BC193</f>
        <v>0.67600000000000005</v>
      </c>
      <c r="BE193" s="905">
        <f t="shared" si="91"/>
        <v>0.67600000000000005</v>
      </c>
      <c r="BF193" s="905">
        <f t="shared" si="91"/>
        <v>0.67600000000000005</v>
      </c>
      <c r="BG193" s="906">
        <f t="shared" si="91"/>
        <v>0.67600000000000005</v>
      </c>
      <c r="BH193" s="1" t="s">
        <v>1623</v>
      </c>
    </row>
    <row r="194" spans="4:60" x14ac:dyDescent="0.25">
      <c r="D194" s="1355"/>
      <c r="F194" s="900" t="s">
        <v>745</v>
      </c>
      <c r="BB194" s="904">
        <v>1</v>
      </c>
      <c r="BC194" s="905">
        <v>0.2</v>
      </c>
      <c r="BD194" s="905">
        <f t="shared" si="93"/>
        <v>0.2</v>
      </c>
      <c r="BE194" s="905">
        <f t="shared" si="91"/>
        <v>0.2</v>
      </c>
      <c r="BF194" s="905">
        <f t="shared" si="91"/>
        <v>0.2</v>
      </c>
      <c r="BG194" s="906">
        <f t="shared" si="91"/>
        <v>0.2</v>
      </c>
      <c r="BH194" s="1" t="s">
        <v>1639</v>
      </c>
    </row>
    <row r="195" spans="4:60" x14ac:dyDescent="0.25">
      <c r="D195" s="1355"/>
      <c r="F195" s="900" t="s">
        <v>746</v>
      </c>
      <c r="BB195" s="908">
        <v>1</v>
      </c>
      <c r="BC195" s="909">
        <v>0.32400000000000001</v>
      </c>
      <c r="BD195" s="909">
        <f t="shared" si="93"/>
        <v>0.32400000000000001</v>
      </c>
      <c r="BE195" s="909">
        <f t="shared" si="91"/>
        <v>0.32400000000000001</v>
      </c>
      <c r="BF195" s="909">
        <f t="shared" si="91"/>
        <v>0.32400000000000001</v>
      </c>
      <c r="BG195" s="910">
        <f t="shared" si="91"/>
        <v>0.32400000000000001</v>
      </c>
      <c r="BH195" s="1" t="s">
        <v>1620</v>
      </c>
    </row>
    <row r="196" spans="4:60" x14ac:dyDescent="0.25">
      <c r="D196" s="1355"/>
      <c r="F196" s="900" t="s">
        <v>747</v>
      </c>
      <c r="BB196" s="326">
        <v>1</v>
      </c>
      <c r="BC196" s="902">
        <v>0</v>
      </c>
      <c r="BD196" s="902">
        <f t="shared" si="93"/>
        <v>0</v>
      </c>
      <c r="BE196" s="902">
        <f t="shared" si="93"/>
        <v>0</v>
      </c>
      <c r="BF196" s="902">
        <f t="shared" si="93"/>
        <v>0</v>
      </c>
      <c r="BG196" s="903">
        <f t="shared" si="93"/>
        <v>0</v>
      </c>
      <c r="BH196" s="1" t="s">
        <v>1640</v>
      </c>
    </row>
    <row r="197" spans="4:60" x14ac:dyDescent="0.25">
      <c r="D197" s="1355"/>
      <c r="F197" s="900" t="s">
        <v>748</v>
      </c>
      <c r="BB197" s="904">
        <v>0</v>
      </c>
      <c r="BC197" s="905">
        <v>19</v>
      </c>
      <c r="BD197" s="905">
        <f t="shared" si="93"/>
        <v>19</v>
      </c>
      <c r="BE197" s="905">
        <f t="shared" si="93"/>
        <v>19</v>
      </c>
      <c r="BF197" s="905">
        <f t="shared" si="93"/>
        <v>19</v>
      </c>
      <c r="BG197" s="906">
        <f t="shared" si="93"/>
        <v>19</v>
      </c>
      <c r="BH197" s="1" t="s">
        <v>1641</v>
      </c>
    </row>
    <row r="198" spans="4:60" x14ac:dyDescent="0.25">
      <c r="D198" s="1355"/>
      <c r="F198" s="900" t="s">
        <v>749</v>
      </c>
      <c r="BB198" s="904">
        <v>0</v>
      </c>
      <c r="BC198" s="905">
        <v>2</v>
      </c>
      <c r="BD198" s="905">
        <f t="shared" si="93"/>
        <v>2</v>
      </c>
      <c r="BE198" s="905">
        <f t="shared" si="93"/>
        <v>2</v>
      </c>
      <c r="BF198" s="905">
        <f t="shared" si="93"/>
        <v>2</v>
      </c>
      <c r="BG198" s="906">
        <f t="shared" si="93"/>
        <v>2</v>
      </c>
      <c r="BH198" s="1" t="s">
        <v>1642</v>
      </c>
    </row>
    <row r="199" spans="4:60" x14ac:dyDescent="0.25">
      <c r="D199" s="1355"/>
      <c r="F199" s="900" t="s">
        <v>1524</v>
      </c>
      <c r="BB199" s="908">
        <v>0</v>
      </c>
      <c r="BC199" s="909">
        <v>56</v>
      </c>
      <c r="BD199" s="909">
        <f t="shared" si="93"/>
        <v>56</v>
      </c>
      <c r="BE199" s="909">
        <f t="shared" si="93"/>
        <v>56</v>
      </c>
      <c r="BF199" s="909">
        <f t="shared" si="93"/>
        <v>56</v>
      </c>
      <c r="BG199" s="910">
        <f t="shared" si="93"/>
        <v>56</v>
      </c>
      <c r="BH199" s="1" t="s">
        <v>1643</v>
      </c>
    </row>
    <row r="200" spans="4:60" x14ac:dyDescent="0.25">
      <c r="D200" s="1355"/>
      <c r="F200" s="900" t="s">
        <v>750</v>
      </c>
      <c r="BB200" s="326">
        <v>0</v>
      </c>
      <c r="BC200" s="902">
        <f>(85+135+15)/1000</f>
        <v>0.23499999999999999</v>
      </c>
      <c r="BD200" s="902">
        <f t="shared" si="93"/>
        <v>0.23499999999999999</v>
      </c>
      <c r="BE200" s="902">
        <f t="shared" si="93"/>
        <v>0.23499999999999999</v>
      </c>
      <c r="BF200" s="902">
        <f t="shared" si="93"/>
        <v>0.23499999999999999</v>
      </c>
      <c r="BG200" s="903">
        <f t="shared" si="93"/>
        <v>0.23499999999999999</v>
      </c>
      <c r="BH200" s="1377" t="s">
        <v>1569</v>
      </c>
    </row>
    <row r="201" spans="4:60" x14ac:dyDescent="0.25">
      <c r="D201" s="1355"/>
      <c r="F201" s="900" t="s">
        <v>751</v>
      </c>
      <c r="BB201" s="904">
        <v>0</v>
      </c>
      <c r="BC201" s="905">
        <f>(9.1)/1000</f>
        <v>9.1000000000000004E-3</v>
      </c>
      <c r="BD201" s="905">
        <f t="shared" si="93"/>
        <v>9.1000000000000004E-3</v>
      </c>
      <c r="BE201" s="905">
        <f t="shared" si="93"/>
        <v>9.1000000000000004E-3</v>
      </c>
      <c r="BF201" s="905">
        <f t="shared" si="93"/>
        <v>9.1000000000000004E-3</v>
      </c>
      <c r="BG201" s="906">
        <f t="shared" si="93"/>
        <v>9.1000000000000004E-3</v>
      </c>
      <c r="BH201" s="1377"/>
    </row>
    <row r="202" spans="4:60" x14ac:dyDescent="0.25">
      <c r="D202" s="1355"/>
      <c r="F202" s="900" t="s">
        <v>752</v>
      </c>
      <c r="BB202" s="904">
        <v>0</v>
      </c>
      <c r="BC202" s="905">
        <f>(14.6+0.04)/1000</f>
        <v>1.4639999999999999E-2</v>
      </c>
      <c r="BD202" s="905">
        <f t="shared" si="93"/>
        <v>1.4639999999999999E-2</v>
      </c>
      <c r="BE202" s="905">
        <f t="shared" si="93"/>
        <v>1.4639999999999999E-2</v>
      </c>
      <c r="BF202" s="905">
        <f t="shared" si="93"/>
        <v>1.4639999999999999E-2</v>
      </c>
      <c r="BG202" s="906">
        <f t="shared" si="93"/>
        <v>1.4639999999999999E-2</v>
      </c>
      <c r="BH202" s="1377"/>
    </row>
    <row r="203" spans="4:60" x14ac:dyDescent="0.25">
      <c r="D203" s="1355"/>
      <c r="F203" s="900" t="s">
        <v>753</v>
      </c>
      <c r="BB203" s="904">
        <v>0</v>
      </c>
      <c r="BC203" s="905">
        <f>(15+25)/1000</f>
        <v>0.04</v>
      </c>
      <c r="BD203" s="905">
        <f t="shared" si="93"/>
        <v>0.04</v>
      </c>
      <c r="BE203" s="905">
        <f t="shared" si="93"/>
        <v>0.04</v>
      </c>
      <c r="BF203" s="905">
        <f t="shared" si="93"/>
        <v>0.04</v>
      </c>
      <c r="BG203" s="906">
        <f t="shared" si="93"/>
        <v>0.04</v>
      </c>
      <c r="BH203" s="1377"/>
    </row>
    <row r="204" spans="4:60" x14ac:dyDescent="0.25">
      <c r="D204" s="1355"/>
      <c r="F204" s="900" t="s">
        <v>754</v>
      </c>
      <c r="BB204" s="904">
        <v>0</v>
      </c>
      <c r="BC204" s="905">
        <f>10/1000</f>
        <v>0.01</v>
      </c>
      <c r="BD204" s="905">
        <f t="shared" si="93"/>
        <v>0.01</v>
      </c>
      <c r="BE204" s="905">
        <f t="shared" si="93"/>
        <v>0.01</v>
      </c>
      <c r="BF204" s="905">
        <f t="shared" si="93"/>
        <v>0.01</v>
      </c>
      <c r="BG204" s="906">
        <f t="shared" si="93"/>
        <v>0.01</v>
      </c>
      <c r="BH204" s="1377"/>
    </row>
    <row r="205" spans="4:60" x14ac:dyDescent="0.25">
      <c r="D205" s="1355"/>
      <c r="F205" s="900" t="s">
        <v>755</v>
      </c>
      <c r="BB205" s="904">
        <v>0</v>
      </c>
      <c r="BC205" s="905">
        <f>(10+80)/1000</f>
        <v>0.09</v>
      </c>
      <c r="BD205" s="905">
        <f t="shared" si="93"/>
        <v>0.09</v>
      </c>
      <c r="BE205" s="905">
        <f t="shared" si="93"/>
        <v>0.09</v>
      </c>
      <c r="BF205" s="905">
        <f t="shared" si="93"/>
        <v>0.09</v>
      </c>
      <c r="BG205" s="906">
        <f t="shared" si="93"/>
        <v>0.09</v>
      </c>
      <c r="BH205" s="1377"/>
    </row>
    <row r="206" spans="4:60" x14ac:dyDescent="0.25">
      <c r="D206" s="1355"/>
      <c r="F206" s="900" t="s">
        <v>756</v>
      </c>
      <c r="BB206" s="904">
        <v>0</v>
      </c>
      <c r="BC206" s="905">
        <f>30/1000</f>
        <v>0.03</v>
      </c>
      <c r="BD206" s="905">
        <f t="shared" si="93"/>
        <v>0.03</v>
      </c>
      <c r="BE206" s="905">
        <f t="shared" si="93"/>
        <v>0.03</v>
      </c>
      <c r="BF206" s="905">
        <f t="shared" si="93"/>
        <v>0.03</v>
      </c>
      <c r="BG206" s="906">
        <f t="shared" si="93"/>
        <v>0.03</v>
      </c>
      <c r="BH206" s="1377"/>
    </row>
    <row r="207" spans="4:60" x14ac:dyDescent="0.25">
      <c r="D207" s="1355"/>
      <c r="F207" s="900" t="s">
        <v>757</v>
      </c>
      <c r="BB207" s="904">
        <v>0</v>
      </c>
      <c r="BC207" s="905">
        <f>(5+65)/1000</f>
        <v>7.0000000000000007E-2</v>
      </c>
      <c r="BD207" s="905">
        <f t="shared" ref="BD207:BG208" si="94">$BC207</f>
        <v>7.0000000000000007E-2</v>
      </c>
      <c r="BE207" s="905">
        <f t="shared" si="94"/>
        <v>7.0000000000000007E-2</v>
      </c>
      <c r="BF207" s="905">
        <f t="shared" si="94"/>
        <v>7.0000000000000007E-2</v>
      </c>
      <c r="BG207" s="906">
        <f t="shared" si="94"/>
        <v>7.0000000000000007E-2</v>
      </c>
      <c r="BH207" s="1377"/>
    </row>
    <row r="208" spans="4:60" x14ac:dyDescent="0.25">
      <c r="D208" s="1356"/>
      <c r="F208" s="901" t="s">
        <v>758</v>
      </c>
      <c r="BB208" s="908">
        <v>0</v>
      </c>
      <c r="BC208" s="909">
        <f>2.5/1000</f>
        <v>2.5000000000000001E-3</v>
      </c>
      <c r="BD208" s="909">
        <f t="shared" si="94"/>
        <v>2.5000000000000001E-3</v>
      </c>
      <c r="BE208" s="909">
        <f t="shared" si="94"/>
        <v>2.5000000000000001E-3</v>
      </c>
      <c r="BF208" s="909">
        <f t="shared" si="94"/>
        <v>2.5000000000000001E-3</v>
      </c>
      <c r="BG208" s="910">
        <f t="shared" si="94"/>
        <v>2.5000000000000001E-3</v>
      </c>
      <c r="BH208" s="1377"/>
    </row>
    <row r="210" spans="2:85" x14ac:dyDescent="0.25">
      <c r="F210" s="535"/>
      <c r="G210" s="323"/>
      <c r="I210" s="536"/>
      <c r="J210" s="536"/>
      <c r="K210" s="536"/>
      <c r="L210" s="537"/>
      <c r="M210" s="537"/>
      <c r="N210" s="537"/>
      <c r="O210" s="1"/>
      <c r="P210" s="1"/>
      <c r="Q210" s="1"/>
      <c r="BB210" s="1"/>
      <c r="BC210" s="1"/>
      <c r="BD210" s="1"/>
      <c r="BE210" s="1"/>
      <c r="BF210" s="1"/>
      <c r="CE210" s="947"/>
    </row>
    <row r="211" spans="2:85" x14ac:dyDescent="0.25">
      <c r="F211" s="1357" t="s">
        <v>760</v>
      </c>
      <c r="G211" s="1358"/>
      <c r="H211" s="565"/>
      <c r="I211" s="566"/>
      <c r="J211" s="566"/>
      <c r="K211" s="566"/>
      <c r="L211" s="567"/>
      <c r="M211" s="567"/>
      <c r="N211" s="567"/>
      <c r="O211" s="565"/>
      <c r="P211" s="565"/>
      <c r="Q211" s="565"/>
      <c r="R211" s="565"/>
      <c r="S211" s="565"/>
      <c r="T211" s="565"/>
      <c r="U211" s="568"/>
      <c r="V211" s="568"/>
      <c r="W211" s="568"/>
      <c r="X211" s="568"/>
      <c r="Y211" s="568"/>
      <c r="Z211" s="568"/>
      <c r="AA211" s="568"/>
      <c r="AB211" s="568"/>
      <c r="AC211" s="568"/>
      <c r="AD211" s="565"/>
      <c r="AE211" s="565"/>
      <c r="AF211" s="565"/>
      <c r="AG211" s="568"/>
      <c r="AH211" s="568"/>
      <c r="AI211" s="568"/>
      <c r="AJ211" s="568"/>
      <c r="AK211" s="568"/>
      <c r="AL211" s="568"/>
      <c r="AM211" s="568"/>
      <c r="AN211" s="568"/>
      <c r="AO211" s="568"/>
      <c r="AP211" s="565"/>
      <c r="AQ211" s="565"/>
      <c r="AR211" s="565"/>
      <c r="AS211" s="568"/>
      <c r="AT211" s="568"/>
      <c r="AU211" s="568"/>
      <c r="AV211" s="568"/>
      <c r="AW211" s="568"/>
      <c r="AX211" s="568"/>
      <c r="AY211" s="568"/>
      <c r="AZ211" s="568"/>
      <c r="BA211" s="568"/>
      <c r="BB211" s="565"/>
      <c r="BC211" s="565"/>
      <c r="BD211" s="565"/>
      <c r="BE211" s="565"/>
      <c r="BF211" s="565"/>
      <c r="BG211" s="565"/>
      <c r="BH211" s="565"/>
      <c r="BI211" s="565"/>
      <c r="BJ211" s="565"/>
      <c r="BK211" s="565"/>
      <c r="BL211" s="565"/>
      <c r="BM211" s="565"/>
      <c r="BN211" s="565"/>
      <c r="BO211" s="565"/>
      <c r="BP211" s="565"/>
      <c r="BQ211" s="565"/>
      <c r="BR211" s="565"/>
      <c r="BS211" s="565"/>
      <c r="BT211" s="565"/>
      <c r="BU211" s="565"/>
      <c r="BV211" s="565"/>
      <c r="BW211" s="565"/>
      <c r="BX211" s="565"/>
      <c r="BY211" s="565"/>
      <c r="BZ211" s="565"/>
      <c r="CA211" s="565"/>
      <c r="CB211" s="565"/>
      <c r="CC211" s="565"/>
      <c r="CD211" s="565"/>
      <c r="CE211" s="565"/>
      <c r="CF211" s="569"/>
    </row>
    <row r="212" spans="2:85" x14ac:dyDescent="0.25">
      <c r="I212" s="1"/>
      <c r="J212" s="1"/>
      <c r="K212" s="1"/>
      <c r="L212" s="1"/>
      <c r="M212" s="1"/>
      <c r="N212" s="1"/>
      <c r="O212" s="1"/>
      <c r="P212" s="1"/>
      <c r="Q212" s="1"/>
      <c r="BB212" s="1"/>
      <c r="BC212" s="1"/>
      <c r="BD212" s="1"/>
      <c r="BE212" s="1"/>
      <c r="BF212" s="1"/>
      <c r="CE212" s="947"/>
    </row>
    <row r="213" spans="2:85" x14ac:dyDescent="0.25">
      <c r="I213" s="1"/>
      <c r="J213" s="1"/>
      <c r="K213" s="1"/>
      <c r="L213" s="1"/>
      <c r="M213" s="1"/>
      <c r="N213" s="1"/>
      <c r="O213" s="1"/>
      <c r="P213" s="1"/>
      <c r="Q213" s="1"/>
      <c r="BB213" s="383" t="s">
        <v>785</v>
      </c>
      <c r="BC213" s="384"/>
      <c r="BD213" s="949" t="s">
        <v>91</v>
      </c>
      <c r="BE213" s="950" t="s">
        <v>102</v>
      </c>
      <c r="BF213" s="950" t="s">
        <v>103</v>
      </c>
      <c r="BG213" s="950" t="s">
        <v>107</v>
      </c>
      <c r="BH213" s="950" t="s">
        <v>104</v>
      </c>
      <c r="BI213" s="950" t="s">
        <v>97</v>
      </c>
      <c r="BJ213" s="950" t="s">
        <v>628</v>
      </c>
      <c r="BK213" s="950" t="s">
        <v>108</v>
      </c>
      <c r="BL213" s="950" t="s">
        <v>98</v>
      </c>
      <c r="BM213" s="950" t="s">
        <v>629</v>
      </c>
      <c r="BN213" s="950" t="s">
        <v>105</v>
      </c>
      <c r="BO213" s="950" t="s">
        <v>111</v>
      </c>
      <c r="BP213" s="950" t="s">
        <v>109</v>
      </c>
      <c r="BQ213" s="950" t="s">
        <v>99</v>
      </c>
      <c r="BR213" s="950" t="s">
        <v>106</v>
      </c>
      <c r="BS213" s="950" t="s">
        <v>112</v>
      </c>
      <c r="BT213" s="950" t="s">
        <v>110</v>
      </c>
      <c r="BU213" s="950" t="s">
        <v>100</v>
      </c>
      <c r="BV213" s="951" t="s">
        <v>101</v>
      </c>
      <c r="BW213" s="952" t="s">
        <v>630</v>
      </c>
      <c r="BX213" s="301" t="s">
        <v>631</v>
      </c>
      <c r="BY213" s="220"/>
      <c r="CD213" s="969" t="s">
        <v>1532</v>
      </c>
      <c r="CE213" s="970"/>
      <c r="CF213" s="971"/>
    </row>
    <row r="214" spans="2:85" ht="14.65" customHeight="1" x14ac:dyDescent="0.25">
      <c r="B214" s="1342" t="s">
        <v>781</v>
      </c>
      <c r="D214" s="1354" t="s">
        <v>783</v>
      </c>
      <c r="F214" s="263" t="s">
        <v>632</v>
      </c>
      <c r="G214" s="208" t="s">
        <v>91</v>
      </c>
      <c r="H214" s="209"/>
      <c r="I214" s="250">
        <f t="shared" ref="I214:AJ214" ca="1" si="95">((I257+I278+I299+I320)-(I341+I362))*I383</f>
        <v>2178.0510592350865</v>
      </c>
      <c r="J214" s="250">
        <f t="shared" ca="1" si="95"/>
        <v>255.80415504103993</v>
      </c>
      <c r="K214" s="250">
        <f t="shared" ca="1" si="95"/>
        <v>257.74522695916812</v>
      </c>
      <c r="L214" s="250">
        <f t="shared" ca="1" si="95"/>
        <v>253.86308312291172</v>
      </c>
      <c r="M214" s="250">
        <f t="shared" ca="1" si="95"/>
        <v>557.03283697182542</v>
      </c>
      <c r="N214" s="250">
        <f t="shared" ca="1" si="95"/>
        <v>830.1106871220469</v>
      </c>
      <c r="O214" s="251">
        <f t="shared" ca="1" si="95"/>
        <v>-3143.3675923922779</v>
      </c>
      <c r="P214" s="250">
        <f t="shared" ca="1" si="95"/>
        <v>-15269.275379185965</v>
      </c>
      <c r="Q214" s="250">
        <f t="shared" ca="1" si="95"/>
        <v>-14605.653633598136</v>
      </c>
      <c r="R214" s="250">
        <f t="shared" ca="1" si="95"/>
        <v>-15932.89712477379</v>
      </c>
      <c r="S214" s="250">
        <f t="shared" ca="1" si="95"/>
        <v>-15817.01988706114</v>
      </c>
      <c r="T214" s="250">
        <f t="shared" ca="1" si="95"/>
        <v>-14372.783719681358</v>
      </c>
      <c r="U214" s="251">
        <f t="shared" ca="1" si="95"/>
        <v>142743.11173655317</v>
      </c>
      <c r="V214" s="250">
        <f t="shared" ca="1" si="95"/>
        <v>3193.1844044446484</v>
      </c>
      <c r="W214" s="250">
        <f t="shared" ca="1" si="95"/>
        <v>5008.6029969144811</v>
      </c>
      <c r="X214" s="250">
        <f t="shared" ca="1" si="95"/>
        <v>1377.765811974813</v>
      </c>
      <c r="Y214" s="250">
        <f t="shared" ca="1" si="95"/>
        <v>144128.03754497363</v>
      </c>
      <c r="Z214" s="250">
        <f t="shared" ca="1" si="95"/>
        <v>238768.81682542336</v>
      </c>
      <c r="AA214" s="251">
        <f t="shared" ca="1" si="95"/>
        <v>38.127167948118831</v>
      </c>
      <c r="AB214" s="250">
        <f t="shared" ca="1" si="95"/>
        <v>9.0484388930763711</v>
      </c>
      <c r="AC214" s="250">
        <f t="shared" ca="1" si="95"/>
        <v>10.634521915799121</v>
      </c>
      <c r="AD214" s="250">
        <f t="shared" ca="1" si="95"/>
        <v>7.4623558703536217</v>
      </c>
      <c r="AE214" s="250">
        <f t="shared" ca="1" si="95"/>
        <v>29.94865121796516</v>
      </c>
      <c r="AF214" s="250">
        <f t="shared" ca="1" si="95"/>
        <v>49.241604243412702</v>
      </c>
      <c r="AG214" s="251">
        <f t="shared" ca="1" si="95"/>
        <v>15821.289592932048</v>
      </c>
      <c r="AH214" s="250">
        <f t="shared" ca="1" si="95"/>
        <v>4384.2325222662485</v>
      </c>
      <c r="AI214" s="250">
        <f t="shared" ca="1" si="95"/>
        <v>4429.6901981993115</v>
      </c>
      <c r="AJ214" s="250">
        <f t="shared" ca="1" si="95"/>
        <v>4338.7748463331855</v>
      </c>
      <c r="AK214" s="250">
        <f t="shared" ref="AK214:AX214" ca="1" si="96">((AK257+AK278+AK299+AK320)-(AK341+AK362))*AK383</f>
        <v>10983.477875548155</v>
      </c>
      <c r="AL214" s="250">
        <f t="shared" ca="1" si="96"/>
        <v>16217.613174882377</v>
      </c>
      <c r="AM214" s="251">
        <f t="shared" ca="1" si="96"/>
        <v>15125.099998501233</v>
      </c>
      <c r="AN214" s="250">
        <f t="shared" ca="1" si="96"/>
        <v>3168.1967399632331</v>
      </c>
      <c r="AO214" s="250">
        <f t="shared" ca="1" si="96"/>
        <v>3265.3542242918152</v>
      </c>
      <c r="AP214" s="250">
        <f t="shared" ca="1" si="96"/>
        <v>3071.0392556346515</v>
      </c>
      <c r="AQ214" s="250">
        <f t="shared" ca="1" si="96"/>
        <v>7580.9852867513155</v>
      </c>
      <c r="AR214" s="250">
        <f t="shared" ca="1" si="96"/>
        <v>11299.303886749858</v>
      </c>
      <c r="AS214" s="251">
        <f t="shared" ca="1" si="96"/>
        <v>300160.82994697761</v>
      </c>
      <c r="AT214" s="250">
        <f t="shared" ca="1" si="96"/>
        <v>5722.1769814669806</v>
      </c>
      <c r="AU214" s="250">
        <f t="shared" ca="1" si="96"/>
        <v>12079.919704318156</v>
      </c>
      <c r="AV214" s="250">
        <f t="shared" ca="1" si="96"/>
        <v>-635.56574138421001</v>
      </c>
      <c r="AW214" s="250">
        <f t="shared" ca="1" si="96"/>
        <v>293798.20189150277</v>
      </c>
      <c r="AX214" s="252">
        <f t="shared" ca="1" si="96"/>
        <v>524652.99891926371</v>
      </c>
      <c r="AY214" s="1"/>
      <c r="AZ214" s="1354" t="s">
        <v>786</v>
      </c>
      <c r="BA214" s="1"/>
      <c r="BB214" s="601" t="s">
        <v>92</v>
      </c>
      <c r="BC214" s="444" t="s">
        <v>687</v>
      </c>
      <c r="BD214" s="235">
        <f t="shared" ref="BD214:BX214" si="97">SUMPRODUCT(T$434:T$446,$CE233:$CE245)*$CF214</f>
        <v>86.121346666666653</v>
      </c>
      <c r="BE214" s="234">
        <f t="shared" si="97"/>
        <v>9.8715276000000003</v>
      </c>
      <c r="BF214" s="234">
        <f t="shared" si="97"/>
        <v>78.712670666666668</v>
      </c>
      <c r="BG214" s="234">
        <f t="shared" si="97"/>
        <v>22.447655999999998</v>
      </c>
      <c r="BH214" s="234">
        <f t="shared" si="97"/>
        <v>0</v>
      </c>
      <c r="BI214" s="234">
        <f t="shared" si="97"/>
        <v>72.34129466666667</v>
      </c>
      <c r="BJ214" s="234">
        <f t="shared" si="97"/>
        <v>0.93866666666666665</v>
      </c>
      <c r="BK214" s="234">
        <f t="shared" si="97"/>
        <v>34.687766666666668</v>
      </c>
      <c r="BL214" s="234">
        <f t="shared" si="97"/>
        <v>58.349632</v>
      </c>
      <c r="BM214" s="234">
        <f t="shared" si="97"/>
        <v>12.0309156</v>
      </c>
      <c r="BN214" s="234">
        <f t="shared" si="97"/>
        <v>9.8715276000000003</v>
      </c>
      <c r="BO214" s="234">
        <f t="shared" si="97"/>
        <v>63.636305333333333</v>
      </c>
      <c r="BP214" s="234">
        <f t="shared" si="97"/>
        <v>94.794318666666669</v>
      </c>
      <c r="BQ214" s="234">
        <f t="shared" si="97"/>
        <v>58.349632</v>
      </c>
      <c r="BR214" s="234">
        <f t="shared" si="97"/>
        <v>22.447655999999998</v>
      </c>
      <c r="BS214" s="234">
        <f t="shared" si="97"/>
        <v>61.887437333333338</v>
      </c>
      <c r="BT214" s="234">
        <f t="shared" si="97"/>
        <v>22.447655999999998</v>
      </c>
      <c r="BU214" s="234">
        <f t="shared" si="97"/>
        <v>58.349632</v>
      </c>
      <c r="BV214" s="385">
        <f t="shared" si="97"/>
        <v>88.875497333333328</v>
      </c>
      <c r="BW214" s="386">
        <f t="shared" si="97"/>
        <v>3.9746666666666668</v>
      </c>
      <c r="BX214" s="236">
        <f t="shared" si="97"/>
        <v>71.331333333333333</v>
      </c>
      <c r="BY214" s="220"/>
      <c r="CD214" s="972" t="s">
        <v>1533</v>
      </c>
      <c r="CE214" s="208"/>
      <c r="CF214" s="940">
        <f>44/12</f>
        <v>3.6666666666666665</v>
      </c>
    </row>
    <row r="215" spans="2:85" ht="15" customHeight="1" x14ac:dyDescent="0.25">
      <c r="B215" s="1343"/>
      <c r="D215" s="1355"/>
      <c r="F215" s="265" t="s">
        <v>762</v>
      </c>
      <c r="G215" s="209" t="s">
        <v>102</v>
      </c>
      <c r="H215" s="209"/>
      <c r="I215" s="253">
        <f t="shared" ref="I215:AJ215" ca="1" si="98">((I258+I279+I300+I321)-(I342+I363))*I384</f>
        <v>1516.3441787320551</v>
      </c>
      <c r="J215" s="253">
        <f t="shared" ca="1" si="98"/>
        <v>258.71143452400503</v>
      </c>
      <c r="K215" s="253">
        <f t="shared" ca="1" si="98"/>
        <v>262.96907939461352</v>
      </c>
      <c r="L215" s="253">
        <f t="shared" ca="1" si="98"/>
        <v>254.45378965339654</v>
      </c>
      <c r="M215" s="253">
        <f t="shared" ca="1" si="98"/>
        <v>561.84492104752428</v>
      </c>
      <c r="N215" s="253">
        <f t="shared" ca="1" si="98"/>
        <v>835.96602376698422</v>
      </c>
      <c r="O215" s="254">
        <f t="shared" ca="1" si="98"/>
        <v>230.24153333109254</v>
      </c>
      <c r="P215" s="253">
        <f t="shared" ca="1" si="98"/>
        <v>-9931.7722282624745</v>
      </c>
      <c r="Q215" s="253">
        <f t="shared" ca="1" si="98"/>
        <v>-9362.146945460745</v>
      </c>
      <c r="R215" s="253">
        <f t="shared" ca="1" si="98"/>
        <v>-10501.397511064204</v>
      </c>
      <c r="S215" s="253">
        <f t="shared" ca="1" si="98"/>
        <v>-9297.9308025299088</v>
      </c>
      <c r="T215" s="253">
        <f t="shared" ca="1" si="98"/>
        <v>-7390.0675839945088</v>
      </c>
      <c r="U215" s="254">
        <f t="shared" ca="1" si="98"/>
        <v>140250.99403478936</v>
      </c>
      <c r="V215" s="253">
        <f t="shared" ca="1" si="98"/>
        <v>-85.794396567173507</v>
      </c>
      <c r="W215" s="253">
        <f t="shared" ca="1" si="98"/>
        <v>5249.2175525213788</v>
      </c>
      <c r="X215" s="253">
        <f t="shared" ca="1" si="98"/>
        <v>-5420.8063456557256</v>
      </c>
      <c r="Y215" s="253">
        <f t="shared" ca="1" si="98"/>
        <v>140621.92953061668</v>
      </c>
      <c r="Z215" s="253">
        <f t="shared" ca="1" si="98"/>
        <v>235245.22404937612</v>
      </c>
      <c r="AA215" s="254">
        <f t="shared" ca="1" si="98"/>
        <v>38.581565752535901</v>
      </c>
      <c r="AB215" s="253">
        <f t="shared" ca="1" si="98"/>
        <v>11.872071890043372</v>
      </c>
      <c r="AC215" s="253">
        <f t="shared" ca="1" si="98"/>
        <v>15.263618321891672</v>
      </c>
      <c r="AD215" s="253">
        <f t="shared" ca="1" si="98"/>
        <v>8.4805254581950749</v>
      </c>
      <c r="AE215" s="253">
        <f t="shared" ca="1" si="98"/>
        <v>34.183434995178253</v>
      </c>
      <c r="AF215" s="253">
        <f t="shared" ca="1" si="98"/>
        <v>54.13255566151804</v>
      </c>
      <c r="AG215" s="254">
        <f t="shared" ca="1" si="98"/>
        <v>11995.886668089146</v>
      </c>
      <c r="AH215" s="253">
        <f t="shared" ca="1" si="98"/>
        <v>3576.1698341809788</v>
      </c>
      <c r="AI215" s="253">
        <f t="shared" ca="1" si="98"/>
        <v>3870.9883793542244</v>
      </c>
      <c r="AJ215" s="253">
        <f t="shared" ca="1" si="98"/>
        <v>3281.3512890077336</v>
      </c>
      <c r="AK215" s="253">
        <f t="shared" ref="AK215:AX215" ca="1" si="99">((AK258+AK279+AK300+AK321)-(AK342+AK363))*AK384</f>
        <v>9809.1588524065464</v>
      </c>
      <c r="AL215" s="253">
        <f t="shared" ca="1" si="99"/>
        <v>14911.499443102126</v>
      </c>
      <c r="AM215" s="254">
        <f t="shared" ca="1" si="99"/>
        <v>11785.555591118638</v>
      </c>
      <c r="AN215" s="253">
        <f t="shared" ca="1" si="99"/>
        <v>3968.4415045204837</v>
      </c>
      <c r="AO215" s="253">
        <f t="shared" ca="1" si="99"/>
        <v>4022.7013742345325</v>
      </c>
      <c r="AP215" s="253">
        <f t="shared" ca="1" si="99"/>
        <v>3914.1816348064344</v>
      </c>
      <c r="AQ215" s="253">
        <f t="shared" ca="1" si="99"/>
        <v>9105.8013818723302</v>
      </c>
      <c r="AR215" s="253">
        <f t="shared" ca="1" si="99"/>
        <v>13226.51933664514</v>
      </c>
      <c r="AS215" s="254">
        <f t="shared" ca="1" si="99"/>
        <v>329668.45488063578</v>
      </c>
      <c r="AT215" s="253">
        <f t="shared" ca="1" si="99"/>
        <v>21609.265452818501</v>
      </c>
      <c r="AU215" s="253">
        <f t="shared" ca="1" si="99"/>
        <v>34288.554950547645</v>
      </c>
      <c r="AV215" s="253">
        <f t="shared" ca="1" si="99"/>
        <v>8929.9759550893486</v>
      </c>
      <c r="AW215" s="253">
        <f t="shared" ca="1" si="99"/>
        <v>318979.63558024325</v>
      </c>
      <c r="AX215" s="255">
        <f t="shared" ca="1" si="99"/>
        <v>551467.91067330679</v>
      </c>
      <c r="AY215" s="1"/>
      <c r="AZ215" s="1355"/>
      <c r="BA215" s="1"/>
      <c r="BB215" s="602" t="s">
        <v>92</v>
      </c>
      <c r="BC215" s="445" t="s">
        <v>688</v>
      </c>
      <c r="BD215" s="239">
        <f t="shared" ref="BD215:BX215" si="100">SUMPRODUCT(T$447:T$448,$CE246:$CE247)*$CF214</f>
        <v>176</v>
      </c>
      <c r="BE215" s="238">
        <f t="shared" si="100"/>
        <v>176</v>
      </c>
      <c r="BF215" s="238">
        <f t="shared" si="100"/>
        <v>176</v>
      </c>
      <c r="BG215" s="238">
        <f t="shared" si="100"/>
        <v>176</v>
      </c>
      <c r="BH215" s="238">
        <f t="shared" si="100"/>
        <v>176</v>
      </c>
      <c r="BI215" s="238">
        <f t="shared" si="100"/>
        <v>176</v>
      </c>
      <c r="BJ215" s="238">
        <f t="shared" si="100"/>
        <v>0</v>
      </c>
      <c r="BK215" s="238">
        <f t="shared" si="100"/>
        <v>176</v>
      </c>
      <c r="BL215" s="238">
        <f t="shared" si="100"/>
        <v>176</v>
      </c>
      <c r="BM215" s="238">
        <f t="shared" si="100"/>
        <v>176</v>
      </c>
      <c r="BN215" s="238">
        <f t="shared" si="100"/>
        <v>176</v>
      </c>
      <c r="BO215" s="238">
        <f t="shared" si="100"/>
        <v>176</v>
      </c>
      <c r="BP215" s="238">
        <f t="shared" si="100"/>
        <v>176</v>
      </c>
      <c r="BQ215" s="238">
        <f t="shared" si="100"/>
        <v>176</v>
      </c>
      <c r="BR215" s="238">
        <f t="shared" si="100"/>
        <v>176</v>
      </c>
      <c r="BS215" s="238">
        <f t="shared" si="100"/>
        <v>176</v>
      </c>
      <c r="BT215" s="238">
        <f t="shared" si="100"/>
        <v>176</v>
      </c>
      <c r="BU215" s="238">
        <f t="shared" si="100"/>
        <v>176</v>
      </c>
      <c r="BV215" s="388">
        <f t="shared" si="100"/>
        <v>176</v>
      </c>
      <c r="BW215" s="389">
        <f t="shared" si="100"/>
        <v>0</v>
      </c>
      <c r="BX215" s="240">
        <f t="shared" si="100"/>
        <v>0</v>
      </c>
      <c r="BY215" s="220"/>
      <c r="CD215" s="973" t="s">
        <v>1534</v>
      </c>
      <c r="CE215" s="209"/>
      <c r="CF215" s="941">
        <f>44/28</f>
        <v>1.5714285714285714</v>
      </c>
    </row>
    <row r="216" spans="2:85" ht="15" customHeight="1" x14ac:dyDescent="0.25">
      <c r="B216" s="1343"/>
      <c r="D216" s="1355"/>
      <c r="F216" s="265"/>
      <c r="G216" s="209" t="s">
        <v>103</v>
      </c>
      <c r="H216" s="209"/>
      <c r="I216" s="253">
        <f t="shared" ref="I216:AJ216" ca="1" si="101">((I259+I280+I301+I322)-(I343+I364))*I385</f>
        <v>1781.8799476090069</v>
      </c>
      <c r="J216" s="253">
        <f t="shared" ca="1" si="101"/>
        <v>268.89676374876569</v>
      </c>
      <c r="K216" s="253">
        <f t="shared" ca="1" si="101"/>
        <v>271.00140194337229</v>
      </c>
      <c r="L216" s="253">
        <f t="shared" ca="1" si="101"/>
        <v>266.7921255541591</v>
      </c>
      <c r="M216" s="253">
        <f t="shared" ca="1" si="101"/>
        <v>578.73893945939017</v>
      </c>
      <c r="N216" s="253">
        <f t="shared" ca="1" si="101"/>
        <v>856.53165105795392</v>
      </c>
      <c r="O216" s="254">
        <f t="shared" ca="1" si="101"/>
        <v>6934.3034816277541</v>
      </c>
      <c r="P216" s="253">
        <f t="shared" ca="1" si="101"/>
        <v>-7496.9813635682531</v>
      </c>
      <c r="Q216" s="253">
        <f t="shared" ca="1" si="101"/>
        <v>-7430.3719882954992</v>
      </c>
      <c r="R216" s="253">
        <f t="shared" ca="1" si="101"/>
        <v>-7563.5907388410078</v>
      </c>
      <c r="S216" s="253">
        <f t="shared" ca="1" si="101"/>
        <v>-6265.8416284392306</v>
      </c>
      <c r="T216" s="253">
        <f t="shared" ca="1" si="101"/>
        <v>-4128.8980919337273</v>
      </c>
      <c r="U216" s="254">
        <f t="shared" ca="1" si="101"/>
        <v>171465.08782357461</v>
      </c>
      <c r="V216" s="253">
        <f t="shared" ca="1" si="101"/>
        <v>24096.861492321259</v>
      </c>
      <c r="W216" s="253">
        <f t="shared" ca="1" si="101"/>
        <v>24206.517566349834</v>
      </c>
      <c r="X216" s="253">
        <f t="shared" ca="1" si="101"/>
        <v>23987.205418292684</v>
      </c>
      <c r="Y216" s="253">
        <f t="shared" ca="1" si="101"/>
        <v>166516.173264624</v>
      </c>
      <c r="Z216" s="253">
        <f t="shared" ca="1" si="101"/>
        <v>261270.63661902095</v>
      </c>
      <c r="AA216" s="254">
        <f t="shared" ca="1" si="101"/>
        <v>74.217962087453756</v>
      </c>
      <c r="AB216" s="253">
        <f t="shared" ca="1" si="101"/>
        <v>26.248188785003613</v>
      </c>
      <c r="AC216" s="253">
        <f t="shared" ca="1" si="101"/>
        <v>26.416830620803378</v>
      </c>
      <c r="AD216" s="253">
        <f t="shared" ca="1" si="101"/>
        <v>26.079546949203849</v>
      </c>
      <c r="AE216" s="253">
        <f t="shared" ca="1" si="101"/>
        <v>56.105918443004363</v>
      </c>
      <c r="AF216" s="253">
        <f t="shared" ca="1" si="101"/>
        <v>79.529691923898852</v>
      </c>
      <c r="AG216" s="254">
        <f t="shared" ca="1" si="101"/>
        <v>15737.201313640473</v>
      </c>
      <c r="AH216" s="253">
        <f t="shared" ca="1" si="101"/>
        <v>4841.053802457629</v>
      </c>
      <c r="AI216" s="253">
        <f t="shared" ca="1" si="101"/>
        <v>4856.8132899729735</v>
      </c>
      <c r="AJ216" s="253">
        <f t="shared" ca="1" si="101"/>
        <v>4825.2943149422854</v>
      </c>
      <c r="AK216" s="253">
        <f t="shared" ref="AK216:AX216" ca="1" si="102">((AK259+AK280+AK301+AK322)-(AK343+AK364))*AK385</f>
        <v>11653.423672451858</v>
      </c>
      <c r="AL216" s="253">
        <f t="shared" ca="1" si="102"/>
        <v>16964.018118444666</v>
      </c>
      <c r="AM216" s="254">
        <f t="shared" ca="1" si="102"/>
        <v>17364.670188651369</v>
      </c>
      <c r="AN216" s="253">
        <f t="shared" ca="1" si="102"/>
        <v>4098.8875380395666</v>
      </c>
      <c r="AO216" s="253">
        <f t="shared" ca="1" si="102"/>
        <v>4122.9800835509914</v>
      </c>
      <c r="AP216" s="253">
        <f t="shared" ca="1" si="102"/>
        <v>4074.7949925281437</v>
      </c>
      <c r="AQ216" s="253">
        <f t="shared" ca="1" si="102"/>
        <v>9365.7721379489449</v>
      </c>
      <c r="AR216" s="253">
        <f t="shared" ca="1" si="102"/>
        <v>13558.302754365282</v>
      </c>
      <c r="AS216" s="254">
        <f t="shared" ca="1" si="102"/>
        <v>445490.29480283544</v>
      </c>
      <c r="AT216" s="253">
        <f t="shared" ca="1" si="102"/>
        <v>77231.360329446718</v>
      </c>
      <c r="AU216" s="253">
        <f t="shared" ca="1" si="102"/>
        <v>77722.719718363136</v>
      </c>
      <c r="AV216" s="253">
        <f t="shared" ca="1" si="102"/>
        <v>76740.000940530299</v>
      </c>
      <c r="AW216" s="253">
        <f t="shared" ca="1" si="102"/>
        <v>408547.28277227597</v>
      </c>
      <c r="AX216" s="255">
        <f t="shared" ca="1" si="102"/>
        <v>646884.19982129522</v>
      </c>
      <c r="AY216" s="1"/>
      <c r="AZ216" s="1355"/>
      <c r="BA216" s="1"/>
      <c r="BB216" s="602" t="s">
        <v>92</v>
      </c>
      <c r="BC216" s="445" t="s">
        <v>689</v>
      </c>
      <c r="BD216" s="239">
        <f t="shared" ref="BD216:BX216" si="103">SUMPRODUCT($P$434:$P$446,T$434:T$446)*$CF220*$CF215</f>
        <v>3.6457102628571434</v>
      </c>
      <c r="BE216" s="238">
        <f t="shared" si="103"/>
        <v>0.62849650285714276</v>
      </c>
      <c r="BF216" s="238">
        <f t="shared" si="103"/>
        <v>3.2683215085714283</v>
      </c>
      <c r="BG216" s="238">
        <f t="shared" si="103"/>
        <v>1.1314388800000001</v>
      </c>
      <c r="BH216" s="238">
        <f t="shared" si="103"/>
        <v>0</v>
      </c>
      <c r="BI216" s="238">
        <f t="shared" si="103"/>
        <v>3.3946558171428571</v>
      </c>
      <c r="BJ216" s="238">
        <f t="shared" si="103"/>
        <v>1.1942638400000001</v>
      </c>
      <c r="BK216" s="238">
        <f t="shared" si="103"/>
        <v>2.3886458514285711</v>
      </c>
      <c r="BL216" s="238">
        <f t="shared" si="103"/>
        <v>2.5144395885714288</v>
      </c>
      <c r="BM216" s="238">
        <f t="shared" si="103"/>
        <v>0.52803469714285711</v>
      </c>
      <c r="BN216" s="238">
        <f t="shared" si="103"/>
        <v>0.62849650285714276</v>
      </c>
      <c r="BO216" s="238">
        <f t="shared" si="103"/>
        <v>3.2685945600000004</v>
      </c>
      <c r="BP216" s="238">
        <f t="shared" si="103"/>
        <v>4.1479554285714286</v>
      </c>
      <c r="BQ216" s="238">
        <f t="shared" si="103"/>
        <v>2.5144395885714288</v>
      </c>
      <c r="BR216" s="238">
        <f t="shared" si="103"/>
        <v>1.1314388800000001</v>
      </c>
      <c r="BS216" s="238">
        <f t="shared" si="103"/>
        <v>3.1426610285714287</v>
      </c>
      <c r="BT216" s="238">
        <f t="shared" si="103"/>
        <v>1.1314388800000001</v>
      </c>
      <c r="BU216" s="238">
        <f t="shared" si="103"/>
        <v>2.5144395885714288</v>
      </c>
      <c r="BV216" s="388">
        <f t="shared" si="103"/>
        <v>3.7714728228571426</v>
      </c>
      <c r="BW216" s="389">
        <f t="shared" si="103"/>
        <v>4.9656921600000006</v>
      </c>
      <c r="BX216" s="240">
        <f t="shared" si="103"/>
        <v>4.9657864457142846</v>
      </c>
      <c r="BY216" s="220"/>
      <c r="CD216" s="973" t="s">
        <v>1535</v>
      </c>
      <c r="CE216" s="209"/>
      <c r="CF216" s="941">
        <f>17/14</f>
        <v>1.2142857142857142</v>
      </c>
    </row>
    <row r="217" spans="2:85" ht="15" customHeight="1" x14ac:dyDescent="0.25">
      <c r="B217" s="1343"/>
      <c r="D217" s="1355"/>
      <c r="F217" s="265"/>
      <c r="G217" s="209" t="s">
        <v>107</v>
      </c>
      <c r="H217" s="209"/>
      <c r="I217" s="253">
        <f t="shared" ref="I217:AJ217" ca="1" si="104">((I260+I281+I302+I323)-(I344+I365))*I386</f>
        <v>1555.9208663505351</v>
      </c>
      <c r="J217" s="253">
        <f t="shared" ca="1" si="104"/>
        <v>236.03649447434327</v>
      </c>
      <c r="K217" s="253">
        <f t="shared" ca="1" si="104"/>
        <v>241.34009204743305</v>
      </c>
      <c r="L217" s="253">
        <f t="shared" ca="1" si="104"/>
        <v>230.7328969012535</v>
      </c>
      <c r="M217" s="253">
        <f t="shared" ca="1" si="104"/>
        <v>525.06928308285865</v>
      </c>
      <c r="N217" s="253">
        <f t="shared" ca="1" si="104"/>
        <v>791.46827761219265</v>
      </c>
      <c r="O217" s="254">
        <f t="shared" ca="1" si="104"/>
        <v>5339.0498999205129</v>
      </c>
      <c r="P217" s="253">
        <f t="shared" ca="1" si="104"/>
        <v>-7647.5264033010544</v>
      </c>
      <c r="Q217" s="253">
        <f t="shared" ca="1" si="104"/>
        <v>-7597.4931396255679</v>
      </c>
      <c r="R217" s="253">
        <f t="shared" ca="1" si="104"/>
        <v>-7697.55966697654</v>
      </c>
      <c r="S217" s="253">
        <f t="shared" ca="1" si="104"/>
        <v>-6448.3247712181219</v>
      </c>
      <c r="T217" s="253">
        <f t="shared" ca="1" si="104"/>
        <v>-4324.2645356377971</v>
      </c>
      <c r="U217" s="254">
        <f t="shared" ca="1" si="104"/>
        <v>147043.67363702678</v>
      </c>
      <c r="V217" s="253">
        <f t="shared" ca="1" si="104"/>
        <v>7483.6026440264286</v>
      </c>
      <c r="W217" s="253">
        <f t="shared" ca="1" si="104"/>
        <v>9562.1250704365721</v>
      </c>
      <c r="X217" s="253">
        <f t="shared" ca="1" si="104"/>
        <v>5405.0802176162897</v>
      </c>
      <c r="Y217" s="253">
        <f t="shared" ca="1" si="104"/>
        <v>148717.70154169804</v>
      </c>
      <c r="Z217" s="253">
        <f t="shared" ca="1" si="104"/>
        <v>243381.82489859039</v>
      </c>
      <c r="AA217" s="254">
        <f t="shared" ca="1" si="104"/>
        <v>59.229784277004711</v>
      </c>
      <c r="AB217" s="253">
        <f t="shared" ca="1" si="104"/>
        <v>22.601769618125104</v>
      </c>
      <c r="AC217" s="253">
        <f t="shared" ca="1" si="104"/>
        <v>23.150609606802991</v>
      </c>
      <c r="AD217" s="253">
        <f t="shared" ca="1" si="104"/>
        <v>22.052929629447217</v>
      </c>
      <c r="AE217" s="253">
        <f t="shared" ca="1" si="104"/>
        <v>50.467833666375007</v>
      </c>
      <c r="AF217" s="253">
        <f t="shared" ca="1" si="104"/>
        <v>72.977924044376905</v>
      </c>
      <c r="AG217" s="254">
        <f t="shared" ca="1" si="104"/>
        <v>13578.994044207549</v>
      </c>
      <c r="AH217" s="253">
        <f t="shared" ca="1" si="104"/>
        <v>4321.3760019781475</v>
      </c>
      <c r="AI217" s="253">
        <f t="shared" ca="1" si="104"/>
        <v>4394.213632745852</v>
      </c>
      <c r="AJ217" s="253">
        <f t="shared" ca="1" si="104"/>
        <v>4248.538371210444</v>
      </c>
      <c r="AK217" s="253">
        <f t="shared" ref="AK217:AX217" ca="1" si="105">((AK260+AK281+AK302+AK323)-(AK344+AK365))*AK386</f>
        <v>10892.679999916401</v>
      </c>
      <c r="AL217" s="253">
        <f t="shared" ca="1" si="105"/>
        <v>16116.789449051268</v>
      </c>
      <c r="AM217" s="254">
        <f t="shared" ca="1" si="105"/>
        <v>12718.897304177599</v>
      </c>
      <c r="AN217" s="253">
        <f t="shared" ca="1" si="105"/>
        <v>3945.1191132931954</v>
      </c>
      <c r="AO217" s="253">
        <f t="shared" ca="1" si="105"/>
        <v>3978.7843030982026</v>
      </c>
      <c r="AP217" s="253">
        <f t="shared" ca="1" si="105"/>
        <v>3911.4539234881881</v>
      </c>
      <c r="AQ217" s="253">
        <f t="shared" ca="1" si="105"/>
        <v>9060.8949234448719</v>
      </c>
      <c r="AR217" s="253">
        <f t="shared" ca="1" si="105"/>
        <v>13169.644398319104</v>
      </c>
      <c r="AS217" s="254">
        <f t="shared" ca="1" si="105"/>
        <v>361300.94544954563</v>
      </c>
      <c r="AT217" s="253">
        <f t="shared" ca="1" si="105"/>
        <v>42002.657068690074</v>
      </c>
      <c r="AU217" s="253">
        <f t="shared" ca="1" si="105"/>
        <v>46610.86129574645</v>
      </c>
      <c r="AV217" s="253">
        <f t="shared" ca="1" si="105"/>
        <v>37394.452841633705</v>
      </c>
      <c r="AW217" s="253">
        <f t="shared" ca="1" si="105"/>
        <v>351565.38580128801</v>
      </c>
      <c r="AX217" s="255">
        <f t="shared" ca="1" si="105"/>
        <v>586167.69719654031</v>
      </c>
      <c r="AY217" s="1"/>
      <c r="AZ217" s="1355"/>
      <c r="BA217" s="1"/>
      <c r="BB217" s="602" t="s">
        <v>92</v>
      </c>
      <c r="BC217" s="445" t="s">
        <v>690</v>
      </c>
      <c r="BD217" s="239">
        <f t="shared" ref="BD217:BX217" si="106">SUMPRODUCT($P$434:$P$446,T$434:T$446,$CF$233:$CF$245)*$CF$215*$CF222
+SUMPRODUCT($P$434:$P$446,T$434:T$446)*$CF$215*$CF$228*$CF$223</f>
        <v>0.91380130537142856</v>
      </c>
      <c r="BE217" s="238">
        <f t="shared" si="106"/>
        <v>0.15686382737142854</v>
      </c>
      <c r="BF217" s="238">
        <f t="shared" si="106"/>
        <v>0.82013292491428569</v>
      </c>
      <c r="BG217" s="238">
        <f t="shared" si="106"/>
        <v>0.28314681999999991</v>
      </c>
      <c r="BH217" s="238">
        <f t="shared" si="106"/>
        <v>0</v>
      </c>
      <c r="BI217" s="238">
        <f t="shared" si="106"/>
        <v>0.85031552382857145</v>
      </c>
      <c r="BJ217" s="238">
        <f t="shared" si="106"/>
        <v>0.28157058159999998</v>
      </c>
      <c r="BK217" s="238">
        <f t="shared" si="106"/>
        <v>0.59572365348571421</v>
      </c>
      <c r="BL217" s="238">
        <f t="shared" si="106"/>
        <v>0.62988186611428576</v>
      </c>
      <c r="BM217" s="238">
        <f t="shared" si="106"/>
        <v>0.13247784282857142</v>
      </c>
      <c r="BN217" s="238">
        <f t="shared" si="106"/>
        <v>0.15686382737142854</v>
      </c>
      <c r="BO217" s="238">
        <f t="shared" si="106"/>
        <v>0.81777687639999996</v>
      </c>
      <c r="BP217" s="238">
        <f t="shared" si="106"/>
        <v>1.0400317557142857</v>
      </c>
      <c r="BQ217" s="238">
        <f t="shared" si="106"/>
        <v>0.62988186611428576</v>
      </c>
      <c r="BR217" s="238">
        <f t="shared" si="106"/>
        <v>0.28314681999999991</v>
      </c>
      <c r="BS217" s="238">
        <f t="shared" si="106"/>
        <v>0.78638585771428571</v>
      </c>
      <c r="BT217" s="238">
        <f t="shared" si="106"/>
        <v>0.28314681999999991</v>
      </c>
      <c r="BU217" s="238">
        <f t="shared" si="106"/>
        <v>0.62988186611428576</v>
      </c>
      <c r="BV217" s="388">
        <f t="shared" si="106"/>
        <v>0.94554158977142855</v>
      </c>
      <c r="BW217" s="389">
        <f t="shared" si="106"/>
        <v>1.1708272663999999</v>
      </c>
      <c r="BX217" s="240">
        <f t="shared" si="106"/>
        <v>1.2353093575428569</v>
      </c>
      <c r="BY217" s="220"/>
      <c r="CD217" s="973" t="s">
        <v>1536</v>
      </c>
      <c r="CE217" s="209"/>
      <c r="CF217" s="941">
        <f>62/14</f>
        <v>4.4285714285714288</v>
      </c>
    </row>
    <row r="218" spans="2:85" ht="15" customHeight="1" x14ac:dyDescent="0.25">
      <c r="B218" s="1343"/>
      <c r="D218" s="1355"/>
      <c r="F218" s="265"/>
      <c r="G218" s="209" t="s">
        <v>104</v>
      </c>
      <c r="H218" s="209"/>
      <c r="I218" s="253">
        <f t="shared" ref="I218:AJ218" ca="1" si="107">((I261+I282+I303+I324)-(I345+I366))*I387</f>
        <v>2138.9892504667355</v>
      </c>
      <c r="J218" s="253">
        <f t="shared" ca="1" si="107"/>
        <v>269.19056733753814</v>
      </c>
      <c r="K218" s="253">
        <f t="shared" ca="1" si="107"/>
        <v>271.08661908496538</v>
      </c>
      <c r="L218" s="253">
        <f t="shared" ca="1" si="107"/>
        <v>267.29451559011096</v>
      </c>
      <c r="M218" s="253">
        <f t="shared" ca="1" si="107"/>
        <v>578.68921449841378</v>
      </c>
      <c r="N218" s="253">
        <f t="shared" ca="1" si="107"/>
        <v>856.29135176190516</v>
      </c>
      <c r="O218" s="254">
        <f t="shared" ca="1" si="107"/>
        <v>10303.911306584167</v>
      </c>
      <c r="P218" s="253">
        <f t="shared" ca="1" si="107"/>
        <v>-8468.5702079744042</v>
      </c>
      <c r="Q218" s="253">
        <f t="shared" ca="1" si="107"/>
        <v>-8215.3454943421821</v>
      </c>
      <c r="R218" s="253">
        <f t="shared" ca="1" si="107"/>
        <v>-8721.7949216066245</v>
      </c>
      <c r="S218" s="253">
        <f t="shared" ca="1" si="107"/>
        <v>-7454.2661603236911</v>
      </c>
      <c r="T218" s="253">
        <f t="shared" ca="1" si="107"/>
        <v>-5403.1312450339274</v>
      </c>
      <c r="U218" s="254">
        <f t="shared" ca="1" si="107"/>
        <v>157521.0298968117</v>
      </c>
      <c r="V218" s="253">
        <f t="shared" ca="1" si="107"/>
        <v>13389.595309119382</v>
      </c>
      <c r="W218" s="253">
        <f t="shared" ca="1" si="107"/>
        <v>15766.766491606</v>
      </c>
      <c r="X218" s="253">
        <f t="shared" ca="1" si="107"/>
        <v>11012.424126632763</v>
      </c>
      <c r="Y218" s="253">
        <f t="shared" ca="1" si="107"/>
        <v>155035.70726010625</v>
      </c>
      <c r="Z218" s="253">
        <f t="shared" ca="1" si="107"/>
        <v>249731.11435821722</v>
      </c>
      <c r="AA218" s="254">
        <f t="shared" ca="1" si="107"/>
        <v>56.490367369321504</v>
      </c>
      <c r="AB218" s="253">
        <f t="shared" ca="1" si="107"/>
        <v>20.312885864439668</v>
      </c>
      <c r="AC218" s="253">
        <f t="shared" ca="1" si="107"/>
        <v>21.815213915733814</v>
      </c>
      <c r="AD218" s="253">
        <f t="shared" ca="1" si="107"/>
        <v>18.810557813145525</v>
      </c>
      <c r="AE218" s="253">
        <f t="shared" ca="1" si="107"/>
        <v>46.873671038502025</v>
      </c>
      <c r="AF218" s="253">
        <f t="shared" ca="1" si="107"/>
        <v>68.781230523609224</v>
      </c>
      <c r="AG218" s="254">
        <f t="shared" ca="1" si="107"/>
        <v>14379.845353783405</v>
      </c>
      <c r="AH218" s="253">
        <f t="shared" ca="1" si="107"/>
        <v>4312.6885516541761</v>
      </c>
      <c r="AI218" s="253">
        <f t="shared" ca="1" si="107"/>
        <v>4443.8578407987698</v>
      </c>
      <c r="AJ218" s="253">
        <f t="shared" ca="1" si="107"/>
        <v>4181.5192625095842</v>
      </c>
      <c r="AK218" s="253">
        <f t="shared" ref="AK218:AX218" ca="1" si="108">((AK261+AK282+AK303+AK324)-(AK345+AK366))*AK387</f>
        <v>10873.456764596624</v>
      </c>
      <c r="AL218" s="253">
        <f t="shared" ca="1" si="108"/>
        <v>16093.691971591117</v>
      </c>
      <c r="AM218" s="254">
        <f t="shared" ca="1" si="108"/>
        <v>11983.702656277048</v>
      </c>
      <c r="AN218" s="253">
        <f t="shared" ca="1" si="108"/>
        <v>4098.9025058259849</v>
      </c>
      <c r="AO218" s="253">
        <f t="shared" ca="1" si="108"/>
        <v>4123.0519158570842</v>
      </c>
      <c r="AP218" s="253">
        <f t="shared" ca="1" si="108"/>
        <v>4074.7530957948852</v>
      </c>
      <c r="AQ218" s="253">
        <f t="shared" ca="1" si="108"/>
        <v>9350.4134515056394</v>
      </c>
      <c r="AR218" s="253">
        <f t="shared" ca="1" si="108"/>
        <v>13534.400877586437</v>
      </c>
      <c r="AS218" s="254">
        <f t="shared" ca="1" si="108"/>
        <v>397722.25535615103</v>
      </c>
      <c r="AT218" s="253">
        <f t="shared" ca="1" si="108"/>
        <v>53460.361172172044</v>
      </c>
      <c r="AU218" s="253">
        <f t="shared" ca="1" si="108"/>
        <v>59092.675088641663</v>
      </c>
      <c r="AV218" s="253">
        <f t="shared" ca="1" si="108"/>
        <v>47828.047255702419</v>
      </c>
      <c r="AW218" s="253">
        <f t="shared" ca="1" si="108"/>
        <v>369801.98349506228</v>
      </c>
      <c r="AX218" s="255">
        <f t="shared" ca="1" si="108"/>
        <v>605560.74647080735</v>
      </c>
      <c r="AY218" s="1"/>
      <c r="AZ218" s="1355"/>
      <c r="BA218" s="1"/>
      <c r="BB218" s="602" t="s">
        <v>92</v>
      </c>
      <c r="BC218" s="445" t="s">
        <v>691</v>
      </c>
      <c r="BD218" s="239">
        <f t="shared" ref="BD218:BX218" si="109">SUMPRODUCT(T$434:T$446,$P$434:$P$446,$CG233:$CG245)*$CF$216</f>
        <v>11.957889929999999</v>
      </c>
      <c r="BE218" s="238">
        <f t="shared" si="109"/>
        <v>1.9665741282142852</v>
      </c>
      <c r="BF218" s="238">
        <f t="shared" si="109"/>
        <v>10.770571595</v>
      </c>
      <c r="BG218" s="238">
        <f t="shared" si="109"/>
        <v>3.633308947142857</v>
      </c>
      <c r="BH218" s="238">
        <f t="shared" si="109"/>
        <v>0</v>
      </c>
      <c r="BI218" s="238">
        <f t="shared" si="109"/>
        <v>10.998688693571429</v>
      </c>
      <c r="BJ218" s="238">
        <f t="shared" si="109"/>
        <v>0.83601278857142847</v>
      </c>
      <c r="BK218" s="238">
        <f t="shared" si="109"/>
        <v>7.4182912021428562</v>
      </c>
      <c r="BL218" s="238">
        <f t="shared" si="109"/>
        <v>8.2200507757142862</v>
      </c>
      <c r="BM218" s="238">
        <f t="shared" si="109"/>
        <v>1.7289486624999999</v>
      </c>
      <c r="BN218" s="238">
        <f t="shared" si="109"/>
        <v>1.9665741282142852</v>
      </c>
      <c r="BO218" s="238">
        <f t="shared" si="109"/>
        <v>10.471689057857143</v>
      </c>
      <c r="BP218" s="238">
        <f t="shared" si="109"/>
        <v>13.566711267857141</v>
      </c>
      <c r="BQ218" s="238">
        <f t="shared" si="109"/>
        <v>8.2200507757142862</v>
      </c>
      <c r="BR218" s="238">
        <f t="shared" si="109"/>
        <v>3.633308947142857</v>
      </c>
      <c r="BS218" s="238">
        <f t="shared" si="109"/>
        <v>10.08314017857143</v>
      </c>
      <c r="BT218" s="238">
        <f t="shared" si="109"/>
        <v>3.633308947142857</v>
      </c>
      <c r="BU218" s="238">
        <f t="shared" si="109"/>
        <v>8.2200507757142862</v>
      </c>
      <c r="BV218" s="388">
        <f t="shared" si="109"/>
        <v>12.373249630714287</v>
      </c>
      <c r="BW218" s="389">
        <f t="shared" si="109"/>
        <v>3.3428218114285708</v>
      </c>
      <c r="BX218" s="240">
        <f t="shared" si="109"/>
        <v>10.515950075714287</v>
      </c>
      <c r="BY218" s="220"/>
      <c r="CD218" s="974" t="s">
        <v>1537</v>
      </c>
      <c r="CE218" s="211"/>
      <c r="CF218" s="942">
        <f>2*30.9738/(5*15.999+2*30.9738)</f>
        <v>0.43642711913125448</v>
      </c>
    </row>
    <row r="219" spans="2:85" ht="15" customHeight="1" x14ac:dyDescent="0.25">
      <c r="B219" s="1343"/>
      <c r="D219" s="1355"/>
      <c r="F219" s="265"/>
      <c r="G219" s="209" t="s">
        <v>97</v>
      </c>
      <c r="H219" s="209"/>
      <c r="I219" s="253">
        <f t="shared" ref="I219:AJ219" ca="1" si="110">((I262+I283+I304+I325)-(I346+I367))*I388</f>
        <v>-944.53714294868337</v>
      </c>
      <c r="J219" s="253">
        <f t="shared" ca="1" si="110"/>
        <v>-937.01397259901398</v>
      </c>
      <c r="K219" s="253">
        <f t="shared" ca="1" si="110"/>
        <v>-737.36529557670974</v>
      </c>
      <c r="L219" s="253">
        <f t="shared" ca="1" si="110"/>
        <v>-1136.662649621318</v>
      </c>
      <c r="M219" s="253">
        <f t="shared" ca="1" si="110"/>
        <v>-1298.9130094024831</v>
      </c>
      <c r="N219" s="253">
        <f t="shared" ca="1" si="110"/>
        <v>-1390.5346852075113</v>
      </c>
      <c r="O219" s="254">
        <f t="shared" ca="1" si="110"/>
        <v>23430.484142388512</v>
      </c>
      <c r="P219" s="253">
        <f t="shared" ca="1" si="110"/>
        <v>-8263.4095331908447</v>
      </c>
      <c r="Q219" s="253">
        <f t="shared" ca="1" si="110"/>
        <v>-8095.0326123089144</v>
      </c>
      <c r="R219" s="253">
        <f t="shared" ca="1" si="110"/>
        <v>-8431.7864540727733</v>
      </c>
      <c r="S219" s="253">
        <f t="shared" ca="1" si="110"/>
        <v>-7246.0509904194005</v>
      </c>
      <c r="T219" s="253">
        <f t="shared" ca="1" si="110"/>
        <v>-5188.213714925093</v>
      </c>
      <c r="U219" s="254">
        <f t="shared" ca="1" si="110"/>
        <v>160343.75965640153</v>
      </c>
      <c r="V219" s="253">
        <f t="shared" ca="1" si="110"/>
        <v>13349.350219481415</v>
      </c>
      <c r="W219" s="253">
        <f t="shared" ca="1" si="110"/>
        <v>15173.475393926614</v>
      </c>
      <c r="X219" s="253">
        <f t="shared" ca="1" si="110"/>
        <v>11525.225045036221</v>
      </c>
      <c r="Y219" s="253">
        <f t="shared" ca="1" si="110"/>
        <v>155003.41569044502</v>
      </c>
      <c r="Z219" s="253">
        <f t="shared" ca="1" si="110"/>
        <v>249700.31772822668</v>
      </c>
      <c r="AA219" s="254">
        <f t="shared" ca="1" si="110"/>
        <v>24.782266172847127</v>
      </c>
      <c r="AB219" s="253">
        <f t="shared" ca="1" si="110"/>
        <v>-0.31123111124630415</v>
      </c>
      <c r="AC219" s="253">
        <f t="shared" ca="1" si="110"/>
        <v>4.1599165121070554</v>
      </c>
      <c r="AD219" s="253">
        <f t="shared" ca="1" si="110"/>
        <v>-4.7823787345996589</v>
      </c>
      <c r="AE219" s="253">
        <f t="shared" ca="1" si="110"/>
        <v>15.904722380154498</v>
      </c>
      <c r="AF219" s="253">
        <f t="shared" ca="1" si="110"/>
        <v>33.071588107121187</v>
      </c>
      <c r="AG219" s="254">
        <f t="shared" ca="1" si="110"/>
        <v>12608.596557036935</v>
      </c>
      <c r="AH219" s="253">
        <f t="shared" ca="1" si="110"/>
        <v>1782.5975579166975</v>
      </c>
      <c r="AI219" s="253">
        <f t="shared" ca="1" si="110"/>
        <v>2293.6394087610888</v>
      </c>
      <c r="AJ219" s="253">
        <f t="shared" ca="1" si="110"/>
        <v>1271.5557070723071</v>
      </c>
      <c r="AK219" s="253">
        <f t="shared" ref="AK219:AX219" ca="1" si="111">((AK262+AK283+AK304+AK325)-(AK346+AK367))*AK388</f>
        <v>7236.8092726817713</v>
      </c>
      <c r="AL219" s="253">
        <f t="shared" ca="1" si="111"/>
        <v>12060.253986493874</v>
      </c>
      <c r="AM219" s="254">
        <f t="shared" ca="1" si="111"/>
        <v>13653.210182738127</v>
      </c>
      <c r="AN219" s="253">
        <f t="shared" ca="1" si="111"/>
        <v>2340.385465072507</v>
      </c>
      <c r="AO219" s="253">
        <f t="shared" ca="1" si="111"/>
        <v>2647.9608872965096</v>
      </c>
      <c r="AP219" s="253">
        <f t="shared" ca="1" si="111"/>
        <v>2032.8100428485036</v>
      </c>
      <c r="AQ219" s="253">
        <f t="shared" ca="1" si="111"/>
        <v>6132.3825246228553</v>
      </c>
      <c r="AR219" s="253">
        <f t="shared" ca="1" si="111"/>
        <v>9507.4226740122376</v>
      </c>
      <c r="AS219" s="254">
        <f t="shared" ca="1" si="111"/>
        <v>301695.47071326431</v>
      </c>
      <c r="AT219" s="253">
        <f t="shared" ca="1" si="111"/>
        <v>-6518.5859258942592</v>
      </c>
      <c r="AU219" s="253">
        <f t="shared" ca="1" si="111"/>
        <v>7495.1235264253055</v>
      </c>
      <c r="AV219" s="253">
        <f t="shared" ca="1" si="111"/>
        <v>-20532.29537821381</v>
      </c>
      <c r="AW219" s="253">
        <f t="shared" ca="1" si="111"/>
        <v>273976.39089365955</v>
      </c>
      <c r="AX219" s="255">
        <f t="shared" ca="1" si="111"/>
        <v>503648.30880005728</v>
      </c>
      <c r="AY219" s="1"/>
      <c r="AZ219" s="1355"/>
      <c r="BA219" s="1"/>
      <c r="BB219" s="602" t="s">
        <v>92</v>
      </c>
      <c r="BC219" s="445" t="s">
        <v>692</v>
      </c>
      <c r="BD219" s="239">
        <f t="shared" ref="BD219:BX219" si="112">SUMPRODUCT(T$434:T$446,$P$434:$P$446)*$CF$227</f>
        <v>1.01499888</v>
      </c>
      <c r="BE219" s="238">
        <f t="shared" si="112"/>
        <v>0.17497914000000001</v>
      </c>
      <c r="BF219" s="238">
        <f t="shared" si="112"/>
        <v>0.90993042000000002</v>
      </c>
      <c r="BG219" s="238">
        <f t="shared" si="112"/>
        <v>0.31500287000000005</v>
      </c>
      <c r="BH219" s="238">
        <f t="shared" si="112"/>
        <v>0</v>
      </c>
      <c r="BI219" s="238">
        <f t="shared" si="112"/>
        <v>0.94510304000000012</v>
      </c>
      <c r="BJ219" s="238">
        <f t="shared" si="112"/>
        <v>0.33249391</v>
      </c>
      <c r="BK219" s="238">
        <f t="shared" si="112"/>
        <v>0.66502072000000001</v>
      </c>
      <c r="BL219" s="238">
        <f t="shared" si="112"/>
        <v>0.70004284000000006</v>
      </c>
      <c r="BM219" s="238">
        <f t="shared" si="112"/>
        <v>0.14700966000000001</v>
      </c>
      <c r="BN219" s="238">
        <f t="shared" si="112"/>
        <v>0.17497914000000001</v>
      </c>
      <c r="BO219" s="238">
        <f t="shared" si="112"/>
        <v>0.91000644000000008</v>
      </c>
      <c r="BP219" s="238">
        <f t="shared" si="112"/>
        <v>1.1548284999999998</v>
      </c>
      <c r="BQ219" s="238">
        <f t="shared" si="112"/>
        <v>0.70004284000000006</v>
      </c>
      <c r="BR219" s="238">
        <f t="shared" si="112"/>
        <v>0.31500287000000005</v>
      </c>
      <c r="BS219" s="238">
        <f t="shared" si="112"/>
        <v>0.8749454000000001</v>
      </c>
      <c r="BT219" s="238">
        <f t="shared" si="112"/>
        <v>0.31500287000000005</v>
      </c>
      <c r="BU219" s="238">
        <f t="shared" si="112"/>
        <v>0.70004284000000006</v>
      </c>
      <c r="BV219" s="388">
        <f t="shared" si="112"/>
        <v>1.05001232</v>
      </c>
      <c r="BW219" s="389">
        <f t="shared" si="112"/>
        <v>1.3824938400000002</v>
      </c>
      <c r="BX219" s="240">
        <f t="shared" si="112"/>
        <v>1.3825200899999999</v>
      </c>
      <c r="BY219" s="220"/>
      <c r="CD219" s="972" t="s">
        <v>1540</v>
      </c>
      <c r="CE219" s="208"/>
      <c r="CF219" s="946" t="s">
        <v>707</v>
      </c>
    </row>
    <row r="220" spans="2:85" ht="15" customHeight="1" x14ac:dyDescent="0.35">
      <c r="B220" s="1343"/>
      <c r="D220" s="1355"/>
      <c r="F220" s="265"/>
      <c r="G220" s="209" t="s">
        <v>628</v>
      </c>
      <c r="H220" s="209"/>
      <c r="I220" s="253">
        <f t="shared" ref="I220:AJ220" ca="1" si="113">((I263+I284+I305+I326)-(I347+I368))*I389</f>
        <v>-2975.6320313073279</v>
      </c>
      <c r="J220" s="253">
        <f t="shared" ca="1" si="113"/>
        <v>-1946.2434279213396</v>
      </c>
      <c r="K220" s="253">
        <f t="shared" ca="1" si="113"/>
        <v>-1103.1442618506837</v>
      </c>
      <c r="L220" s="253">
        <f t="shared" ca="1" si="113"/>
        <v>-2789.3425939919957</v>
      </c>
      <c r="M220" s="253">
        <f t="shared" ca="1" si="113"/>
        <v>-1964.3003739143203</v>
      </c>
      <c r="N220" s="253">
        <f t="shared" ca="1" si="113"/>
        <v>-1034.2671524331995</v>
      </c>
      <c r="O220" s="254">
        <f t="shared" ca="1" si="113"/>
        <v>91119.701829816433</v>
      </c>
      <c r="P220" s="253">
        <f t="shared" ca="1" si="113"/>
        <v>85476.661818005829</v>
      </c>
      <c r="Q220" s="253">
        <f t="shared" ca="1" si="113"/>
        <v>85964.610180467775</v>
      </c>
      <c r="R220" s="253">
        <f t="shared" ca="1" si="113"/>
        <v>84988.713455543882</v>
      </c>
      <c r="S220" s="253">
        <f t="shared" ca="1" si="113"/>
        <v>84055.701151743968</v>
      </c>
      <c r="T220" s="253">
        <f t="shared" ca="1" si="113"/>
        <v>144417.40349667674</v>
      </c>
      <c r="U220" s="254">
        <f t="shared" ca="1" si="113"/>
        <v>243717.44254681055</v>
      </c>
      <c r="V220" s="253">
        <f t="shared" ca="1" si="113"/>
        <v>250247.65065288669</v>
      </c>
      <c r="W220" s="253">
        <f t="shared" ca="1" si="113"/>
        <v>253538.88082938638</v>
      </c>
      <c r="X220" s="253">
        <f t="shared" ca="1" si="113"/>
        <v>246956.42047638699</v>
      </c>
      <c r="Y220" s="253">
        <f t="shared" ca="1" si="113"/>
        <v>246681.29194969346</v>
      </c>
      <c r="Z220" s="253">
        <f t="shared" ca="1" si="113"/>
        <v>397846.28452356753</v>
      </c>
      <c r="AA220" s="254">
        <f t="shared" ca="1" si="113"/>
        <v>897.86065694959063</v>
      </c>
      <c r="AB220" s="253">
        <f t="shared" ca="1" si="113"/>
        <v>934.50483971107815</v>
      </c>
      <c r="AC220" s="253">
        <f t="shared" ca="1" si="113"/>
        <v>954.55384560437983</v>
      </c>
      <c r="AD220" s="253">
        <f t="shared" ca="1" si="113"/>
        <v>914.45583381777658</v>
      </c>
      <c r="AE220" s="253">
        <f t="shared" ca="1" si="113"/>
        <v>920.88207068465226</v>
      </c>
      <c r="AF220" s="253">
        <f t="shared" ca="1" si="113"/>
        <v>1499.0832326670118</v>
      </c>
      <c r="AG220" s="254">
        <f t="shared" ca="1" si="113"/>
        <v>87669.403422188669</v>
      </c>
      <c r="AH220" s="253">
        <f t="shared" ca="1" si="113"/>
        <v>89805.433528090784</v>
      </c>
      <c r="AI220" s="253">
        <f t="shared" ca="1" si="113"/>
        <v>91517.57048367869</v>
      </c>
      <c r="AJ220" s="253">
        <f t="shared" ca="1" si="113"/>
        <v>88093.296572502877</v>
      </c>
      <c r="AK220" s="253">
        <f t="shared" ref="AK220:AX220" ca="1" si="114">((AK263+AK284+AK305+AK326)-(AK347+AK368))*AK389</f>
        <v>88512.238950359693</v>
      </c>
      <c r="AL220" s="253">
        <f t="shared" ca="1" si="114"/>
        <v>143401.38396969537</v>
      </c>
      <c r="AM220" s="254">
        <f t="shared" ca="1" si="114"/>
        <v>62082.415617946834</v>
      </c>
      <c r="AN220" s="253">
        <f t="shared" ca="1" si="114"/>
        <v>63290.481607859685</v>
      </c>
      <c r="AO220" s="253">
        <f t="shared" ca="1" si="114"/>
        <v>65476.340848604923</v>
      </c>
      <c r="AP220" s="253">
        <f t="shared" ca="1" si="114"/>
        <v>61104.622367114454</v>
      </c>
      <c r="AQ220" s="253">
        <f t="shared" ca="1" si="114"/>
        <v>62333.812848781272</v>
      </c>
      <c r="AR220" s="253">
        <f t="shared" ca="1" si="114"/>
        <v>103270.77467025344</v>
      </c>
      <c r="AS220" s="254">
        <f t="shared" ca="1" si="114"/>
        <v>820689.43802041409</v>
      </c>
      <c r="AT220" s="253">
        <f t="shared" ca="1" si="114"/>
        <v>884463.21957999503</v>
      </c>
      <c r="AU220" s="253">
        <f t="shared" ca="1" si="114"/>
        <v>926488.2572771213</v>
      </c>
      <c r="AV220" s="253">
        <f t="shared" ca="1" si="114"/>
        <v>842438.18188286875</v>
      </c>
      <c r="AW220" s="253">
        <f t="shared" ca="1" si="114"/>
        <v>869823.20728520374</v>
      </c>
      <c r="AX220" s="255">
        <f t="shared" ca="1" si="114"/>
        <v>1493647.4540731148</v>
      </c>
      <c r="AY220" s="1"/>
      <c r="AZ220" s="1355"/>
      <c r="BA220" s="1"/>
      <c r="BB220" s="602" t="s">
        <v>92</v>
      </c>
      <c r="BC220" s="445" t="s">
        <v>693</v>
      </c>
      <c r="BD220" s="239">
        <f t="shared" ref="BD220:BX220" si="115">SUMPRODUCT(T$434:T$446,$P$434:$P$446)*$CF$217*$CF$228</f>
        <v>154.11411565714286</v>
      </c>
      <c r="BE220" s="238">
        <f t="shared" si="115"/>
        <v>26.568261257142854</v>
      </c>
      <c r="BF220" s="238">
        <f t="shared" si="115"/>
        <v>138.16086377142858</v>
      </c>
      <c r="BG220" s="238">
        <f t="shared" si="115"/>
        <v>47.829007200000007</v>
      </c>
      <c r="BH220" s="238">
        <f t="shared" si="115"/>
        <v>0</v>
      </c>
      <c r="BI220" s="238">
        <f t="shared" si="115"/>
        <v>143.50135954285716</v>
      </c>
      <c r="BJ220" s="238">
        <f t="shared" si="115"/>
        <v>50.484789599999999</v>
      </c>
      <c r="BK220" s="238">
        <f t="shared" si="115"/>
        <v>100.97457462857143</v>
      </c>
      <c r="BL220" s="238">
        <f t="shared" si="115"/>
        <v>106.29221897142858</v>
      </c>
      <c r="BM220" s="238">
        <f t="shared" si="115"/>
        <v>22.321466742857147</v>
      </c>
      <c r="BN220" s="238">
        <f t="shared" si="115"/>
        <v>26.568261257142854</v>
      </c>
      <c r="BO220" s="238">
        <f t="shared" si="115"/>
        <v>138.1724064</v>
      </c>
      <c r="BP220" s="238">
        <f t="shared" si="115"/>
        <v>175.34538857142857</v>
      </c>
      <c r="BQ220" s="238">
        <f t="shared" si="115"/>
        <v>106.29221897142858</v>
      </c>
      <c r="BR220" s="238">
        <f t="shared" si="115"/>
        <v>47.829007200000007</v>
      </c>
      <c r="BS220" s="238">
        <f t="shared" si="115"/>
        <v>132.84885257142858</v>
      </c>
      <c r="BT220" s="238">
        <f t="shared" si="115"/>
        <v>47.829007200000007</v>
      </c>
      <c r="BU220" s="238">
        <f t="shared" si="115"/>
        <v>106.29221897142858</v>
      </c>
      <c r="BV220" s="388">
        <f t="shared" si="115"/>
        <v>159.43044205714284</v>
      </c>
      <c r="BW220" s="389">
        <f t="shared" si="115"/>
        <v>209.91335040000004</v>
      </c>
      <c r="BX220" s="240">
        <f t="shared" si="115"/>
        <v>209.91733611428569</v>
      </c>
      <c r="BY220" s="220"/>
      <c r="CD220" s="973" t="s">
        <v>1545</v>
      </c>
      <c r="CE220" s="209"/>
      <c r="CF220" s="939">
        <v>1.6E-2</v>
      </c>
      <c r="CG220" s="966" t="s">
        <v>1644</v>
      </c>
    </row>
    <row r="221" spans="2:85" ht="15" customHeight="1" x14ac:dyDescent="0.35">
      <c r="B221" s="1343"/>
      <c r="D221" s="1355"/>
      <c r="F221" s="265"/>
      <c r="G221" s="209" t="s">
        <v>108</v>
      </c>
      <c r="H221" s="209"/>
      <c r="I221" s="253">
        <f t="shared" ref="I221:AJ221" ca="1" si="116">((I264+I285+I306+I327)-(I348+I369))*I390</f>
        <v>4620.8799292560861</v>
      </c>
      <c r="J221" s="253">
        <f t="shared" ca="1" si="116"/>
        <v>252.88083374279435</v>
      </c>
      <c r="K221" s="253">
        <f t="shared" ca="1" si="116"/>
        <v>257.85627822091266</v>
      </c>
      <c r="L221" s="253">
        <f t="shared" ca="1" si="116"/>
        <v>247.90538926467602</v>
      </c>
      <c r="M221" s="253">
        <f t="shared" ca="1" si="116"/>
        <v>552.56421379827123</v>
      </c>
      <c r="N221" s="253">
        <f t="shared" ca="1" si="116"/>
        <v>824.79881862022751</v>
      </c>
      <c r="O221" s="254">
        <f t="shared" ca="1" si="116"/>
        <v>46586.514485286119</v>
      </c>
      <c r="P221" s="253">
        <f t="shared" ca="1" si="116"/>
        <v>-7472.0766903034691</v>
      </c>
      <c r="Q221" s="253">
        <f t="shared" ca="1" si="116"/>
        <v>-7424.978252075276</v>
      </c>
      <c r="R221" s="253">
        <f t="shared" ca="1" si="116"/>
        <v>-7519.1751285316614</v>
      </c>
      <c r="S221" s="253">
        <f t="shared" ca="1" si="116"/>
        <v>-6229.5888882516138</v>
      </c>
      <c r="T221" s="253">
        <f t="shared" ca="1" si="116"/>
        <v>-4088.9142336730656</v>
      </c>
      <c r="U221" s="254">
        <f t="shared" ca="1" si="116"/>
        <v>163480.53480233706</v>
      </c>
      <c r="V221" s="253">
        <f t="shared" ca="1" si="116"/>
        <v>14499.995299808885</v>
      </c>
      <c r="W221" s="253">
        <f t="shared" ca="1" si="116"/>
        <v>16457.025299828991</v>
      </c>
      <c r="X221" s="253">
        <f t="shared" ca="1" si="116"/>
        <v>12542.965299788781</v>
      </c>
      <c r="Y221" s="253">
        <f t="shared" ca="1" si="116"/>
        <v>156230.94191696611</v>
      </c>
      <c r="Z221" s="253">
        <f t="shared" ca="1" si="116"/>
        <v>250933.30449019643</v>
      </c>
      <c r="AA221" s="254">
        <f t="shared" ca="1" si="116"/>
        <v>87.454505149359278</v>
      </c>
      <c r="AB221" s="253">
        <f t="shared" ca="1" si="116"/>
        <v>24.369090840536128</v>
      </c>
      <c r="AC221" s="253">
        <f t="shared" ca="1" si="116"/>
        <v>24.884319254585034</v>
      </c>
      <c r="AD221" s="253">
        <f t="shared" ca="1" si="116"/>
        <v>23.853862426487225</v>
      </c>
      <c r="AE221" s="253">
        <f t="shared" ca="1" si="116"/>
        <v>53.201150036257594</v>
      </c>
      <c r="AF221" s="253">
        <f t="shared" ca="1" si="116"/>
        <v>76.154800499375042</v>
      </c>
      <c r="AG221" s="254">
        <f t="shared" ca="1" si="116"/>
        <v>21609.678297609389</v>
      </c>
      <c r="AH221" s="253">
        <f t="shared" ca="1" si="116"/>
        <v>4560.0755610840652</v>
      </c>
      <c r="AI221" s="253">
        <f t="shared" ca="1" si="116"/>
        <v>4628.5862404983054</v>
      </c>
      <c r="AJ221" s="253">
        <f t="shared" ca="1" si="116"/>
        <v>4491.5648816698258</v>
      </c>
      <c r="AK221" s="253">
        <f t="shared" ref="AK221:AX221" ca="1" si="117">((AK264+AK285+AK306+AK327)-(AK348+AK369))*AK390</f>
        <v>11242.549413004439</v>
      </c>
      <c r="AL221" s="253">
        <f t="shared" ca="1" si="117"/>
        <v>16506.58050006584</v>
      </c>
      <c r="AM221" s="254">
        <f t="shared" ca="1" si="117"/>
        <v>20358.20064468656</v>
      </c>
      <c r="AN221" s="253">
        <f t="shared" ca="1" si="117"/>
        <v>4045.3370044496496</v>
      </c>
      <c r="AO221" s="253">
        <f t="shared" ca="1" si="117"/>
        <v>4076.94829007519</v>
      </c>
      <c r="AP221" s="253">
        <f t="shared" ca="1" si="117"/>
        <v>4013.7257188241088</v>
      </c>
      <c r="AQ221" s="253">
        <f t="shared" ca="1" si="117"/>
        <v>9257.2052751164865</v>
      </c>
      <c r="AR221" s="253">
        <f t="shared" ca="1" si="117"/>
        <v>13419.23670913979</v>
      </c>
      <c r="AS221" s="254">
        <f t="shared" ca="1" si="117"/>
        <v>455241.12134656223</v>
      </c>
      <c r="AT221" s="253">
        <f t="shared" ca="1" si="117"/>
        <v>57327.223709767015</v>
      </c>
      <c r="AU221" s="253">
        <f t="shared" ca="1" si="117"/>
        <v>61649.844386939694</v>
      </c>
      <c r="AV221" s="253">
        <f t="shared" ca="1" si="117"/>
        <v>53004.603032594328</v>
      </c>
      <c r="AW221" s="253">
        <f t="shared" ca="1" si="117"/>
        <v>376293.64832555706</v>
      </c>
      <c r="AX221" s="255">
        <f t="shared" ca="1" si="117"/>
        <v>612519.22869738552</v>
      </c>
      <c r="AY221" s="1"/>
      <c r="AZ221" s="1355"/>
      <c r="BA221" s="1"/>
      <c r="BB221" s="603" t="s">
        <v>92</v>
      </c>
      <c r="BC221" s="447" t="s">
        <v>694</v>
      </c>
      <c r="BD221" s="391">
        <f t="shared" ref="BD221:BX221" si="118">SUMPRODUCT(T$434:T$446,$Q$434:$Q$446)*$CF$218*$CF$229</f>
        <v>0.46256895998269443</v>
      </c>
      <c r="BE221" s="392">
        <f t="shared" si="118"/>
        <v>0.48568039886768022</v>
      </c>
      <c r="BF221" s="392">
        <f t="shared" si="118"/>
        <v>0.24975575574281969</v>
      </c>
      <c r="BG221" s="392">
        <f t="shared" si="118"/>
        <v>0.48568039886768022</v>
      </c>
      <c r="BH221" s="392">
        <f t="shared" si="118"/>
        <v>0.92526735901179757</v>
      </c>
      <c r="BI221" s="392">
        <f t="shared" si="118"/>
        <v>1.0409428435159509</v>
      </c>
      <c r="BJ221" s="392">
        <f t="shared" si="118"/>
        <v>0.16427897862469673</v>
      </c>
      <c r="BK221" s="392">
        <f t="shared" si="118"/>
        <v>2.0816155443187121</v>
      </c>
      <c r="BL221" s="392">
        <f t="shared" si="118"/>
        <v>0.41633567342593136</v>
      </c>
      <c r="BM221" s="392">
        <f t="shared" si="118"/>
        <v>1.2258328742350499</v>
      </c>
      <c r="BN221" s="392">
        <f t="shared" si="118"/>
        <v>0.48568039886768022</v>
      </c>
      <c r="BO221" s="392">
        <f t="shared" si="118"/>
        <v>1.5034551565678629</v>
      </c>
      <c r="BP221" s="392">
        <f t="shared" si="118"/>
        <v>0.74011229745035534</v>
      </c>
      <c r="BQ221" s="392">
        <f t="shared" si="118"/>
        <v>0.41633567342593136</v>
      </c>
      <c r="BR221" s="392">
        <f t="shared" si="118"/>
        <v>0.48568039886768022</v>
      </c>
      <c r="BS221" s="392">
        <f t="shared" si="118"/>
        <v>1.3878533431435551</v>
      </c>
      <c r="BT221" s="392">
        <f t="shared" si="118"/>
        <v>0.48568039886768022</v>
      </c>
      <c r="BU221" s="392">
        <f t="shared" si="118"/>
        <v>0.41633567342593136</v>
      </c>
      <c r="BV221" s="393">
        <f t="shared" si="118"/>
        <v>0.48581374699179525</v>
      </c>
      <c r="BW221" s="394">
        <f t="shared" si="118"/>
        <v>0.51116339891209017</v>
      </c>
      <c r="BX221" s="390">
        <f t="shared" si="118"/>
        <v>0.51116858012858712</v>
      </c>
      <c r="BY221" s="220"/>
      <c r="CD221" s="973" t="s">
        <v>1544</v>
      </c>
      <c r="CE221" s="209"/>
      <c r="CF221" s="939">
        <v>6.0000000000000001E-3</v>
      </c>
      <c r="CG221" s="966" t="s">
        <v>1644</v>
      </c>
    </row>
    <row r="222" spans="2:85" ht="15" customHeight="1" x14ac:dyDescent="0.35">
      <c r="B222" s="1343"/>
      <c r="D222" s="1355"/>
      <c r="F222" s="265"/>
      <c r="G222" s="209" t="s">
        <v>98</v>
      </c>
      <c r="H222" s="209"/>
      <c r="I222" s="253">
        <f t="shared" ref="I222:AJ222" ca="1" si="119">((I265+I286+I307+I328)-(I349+I370))*I391</f>
        <v>1850.4083403312598</v>
      </c>
      <c r="J222" s="253">
        <f t="shared" ca="1" si="119"/>
        <v>258.1019883138689</v>
      </c>
      <c r="K222" s="253">
        <f t="shared" ca="1" si="119"/>
        <v>259.02711418628775</v>
      </c>
      <c r="L222" s="253">
        <f t="shared" ca="1" si="119"/>
        <v>257.17686244145011</v>
      </c>
      <c r="M222" s="253">
        <f t="shared" ca="1" si="119"/>
        <v>560.13302490306478</v>
      </c>
      <c r="N222" s="253">
        <f t="shared" ca="1" si="119"/>
        <v>833.64466241989044</v>
      </c>
      <c r="O222" s="254">
        <f t="shared" ca="1" si="119"/>
        <v>-2678.1942750361109</v>
      </c>
      <c r="P222" s="253">
        <f t="shared" ca="1" si="119"/>
        <v>-14948.880911465983</v>
      </c>
      <c r="Q222" s="253">
        <f t="shared" ca="1" si="119"/>
        <v>-14628.380943611979</v>
      </c>
      <c r="R222" s="253">
        <f t="shared" ca="1" si="119"/>
        <v>-15269.380879319986</v>
      </c>
      <c r="S222" s="253">
        <f t="shared" ca="1" si="119"/>
        <v>-15199.195366986314</v>
      </c>
      <c r="T222" s="253">
        <f t="shared" ca="1" si="119"/>
        <v>-13663.066807207695</v>
      </c>
      <c r="U222" s="254">
        <f t="shared" ca="1" si="119"/>
        <v>151721.5657462393</v>
      </c>
      <c r="V222" s="253">
        <f t="shared" ca="1" si="119"/>
        <v>6245.4740655513142</v>
      </c>
      <c r="W222" s="253">
        <f t="shared" ca="1" si="119"/>
        <v>7042.6298927533489</v>
      </c>
      <c r="X222" s="253">
        <f t="shared" ca="1" si="119"/>
        <v>5448.3182383492785</v>
      </c>
      <c r="Y222" s="253">
        <f t="shared" ca="1" si="119"/>
        <v>147390.50842866441</v>
      </c>
      <c r="Z222" s="253">
        <f t="shared" ca="1" si="119"/>
        <v>242046.46571494429</v>
      </c>
      <c r="AA222" s="254">
        <f t="shared" ca="1" si="119"/>
        <v>45.604922935529132</v>
      </c>
      <c r="AB222" s="253">
        <f t="shared" ca="1" si="119"/>
        <v>10.541059485940954</v>
      </c>
      <c r="AC222" s="253">
        <f t="shared" ca="1" si="119"/>
        <v>11.30702252221332</v>
      </c>
      <c r="AD222" s="253">
        <f t="shared" ca="1" si="119"/>
        <v>9.7750964496685864</v>
      </c>
      <c r="AE222" s="253">
        <f t="shared" ca="1" si="119"/>
        <v>32.099981262633399</v>
      </c>
      <c r="AF222" s="253">
        <f t="shared" ca="1" si="119"/>
        <v>51.681260321535831</v>
      </c>
      <c r="AG222" s="254">
        <f t="shared" ca="1" si="119"/>
        <v>12172.087743336715</v>
      </c>
      <c r="AH222" s="253">
        <f t="shared" ca="1" si="119"/>
        <v>2716.1094884353665</v>
      </c>
      <c r="AI222" s="253">
        <f t="shared" ca="1" si="119"/>
        <v>2815.6902863436067</v>
      </c>
      <c r="AJ222" s="253">
        <f t="shared" ca="1" si="119"/>
        <v>2616.5286905271264</v>
      </c>
      <c r="AK222" s="253">
        <f t="shared" ref="AK222:AX222" ca="1" si="120">((AK265+AK286+AK307+AK328)-(AK349+AK370))*AK391</f>
        <v>8550.78251992062</v>
      </c>
      <c r="AL222" s="253">
        <f t="shared" ca="1" si="120"/>
        <v>13507.474572725256</v>
      </c>
      <c r="AM222" s="254">
        <f t="shared" ca="1" si="120"/>
        <v>16276.707965887284</v>
      </c>
      <c r="AN222" s="253">
        <f t="shared" ca="1" si="120"/>
        <v>4152.4632625767536</v>
      </c>
      <c r="AO222" s="253">
        <f t="shared" ca="1" si="120"/>
        <v>4154.714347919391</v>
      </c>
      <c r="AP222" s="253">
        <f t="shared" ca="1" si="120"/>
        <v>4150.2121772341152</v>
      </c>
      <c r="AQ222" s="253">
        <f t="shared" ca="1" si="120"/>
        <v>9456.3977487572502</v>
      </c>
      <c r="AR222" s="253">
        <f t="shared" ca="1" si="120"/>
        <v>13669.443095809565</v>
      </c>
      <c r="AS222" s="254">
        <f t="shared" ca="1" si="120"/>
        <v>332610.91807085043</v>
      </c>
      <c r="AT222" s="253">
        <f t="shared" ca="1" si="120"/>
        <v>9106.3139623622174</v>
      </c>
      <c r="AU222" s="253">
        <f t="shared" ca="1" si="120"/>
        <v>12248.63174527196</v>
      </c>
      <c r="AV222" s="253">
        <f t="shared" ca="1" si="120"/>
        <v>5963.9961794524752</v>
      </c>
      <c r="AW222" s="253">
        <f t="shared" ca="1" si="120"/>
        <v>299255.569917913</v>
      </c>
      <c r="AX222" s="255">
        <f t="shared" ca="1" si="120"/>
        <v>530389.34967080236</v>
      </c>
      <c r="AY222" s="1"/>
      <c r="AZ222" s="1355"/>
      <c r="BA222" s="1"/>
      <c r="BB222" s="601" t="s">
        <v>122</v>
      </c>
      <c r="BC222" s="444" t="s">
        <v>687</v>
      </c>
      <c r="BD222" s="235">
        <f t="shared" ref="BD222:BX222" si="121">SUMPRODUCT(T$434:T$446,$CE233:$CE245,$AQ$434:$AQ$446)*$CF214</f>
        <v>0</v>
      </c>
      <c r="BE222" s="234">
        <f t="shared" si="121"/>
        <v>0</v>
      </c>
      <c r="BF222" s="234">
        <f t="shared" si="121"/>
        <v>0</v>
      </c>
      <c r="BG222" s="234">
        <f t="shared" si="121"/>
        <v>0</v>
      </c>
      <c r="BH222" s="234">
        <f t="shared" si="121"/>
        <v>0</v>
      </c>
      <c r="BI222" s="234">
        <f t="shared" si="121"/>
        <v>0</v>
      </c>
      <c r="BJ222" s="234">
        <f t="shared" si="121"/>
        <v>0</v>
      </c>
      <c r="BK222" s="234">
        <f t="shared" si="121"/>
        <v>0</v>
      </c>
      <c r="BL222" s="234">
        <f t="shared" si="121"/>
        <v>0</v>
      </c>
      <c r="BM222" s="234">
        <f t="shared" si="121"/>
        <v>0</v>
      </c>
      <c r="BN222" s="234">
        <f t="shared" si="121"/>
        <v>0</v>
      </c>
      <c r="BO222" s="234">
        <f t="shared" si="121"/>
        <v>0</v>
      </c>
      <c r="BP222" s="234">
        <f t="shared" si="121"/>
        <v>0</v>
      </c>
      <c r="BQ222" s="234">
        <f t="shared" si="121"/>
        <v>0</v>
      </c>
      <c r="BR222" s="234">
        <f t="shared" si="121"/>
        <v>0</v>
      </c>
      <c r="BS222" s="234">
        <f t="shared" si="121"/>
        <v>0</v>
      </c>
      <c r="BT222" s="234">
        <f t="shared" si="121"/>
        <v>0</v>
      </c>
      <c r="BU222" s="234">
        <f t="shared" si="121"/>
        <v>0</v>
      </c>
      <c r="BV222" s="385">
        <f t="shared" si="121"/>
        <v>0</v>
      </c>
      <c r="BW222" s="386">
        <f t="shared" si="121"/>
        <v>0</v>
      </c>
      <c r="BX222" s="236">
        <f t="shared" si="121"/>
        <v>0</v>
      </c>
      <c r="BY222" s="220"/>
      <c r="CD222" s="973" t="s">
        <v>1543</v>
      </c>
      <c r="CE222" s="209"/>
      <c r="CF222" s="939">
        <v>1.4E-2</v>
      </c>
      <c r="CG222" s="966" t="s">
        <v>1645</v>
      </c>
    </row>
    <row r="223" spans="2:85" ht="15" customHeight="1" x14ac:dyDescent="0.35">
      <c r="B223" s="1343"/>
      <c r="D223" s="1355"/>
      <c r="F223" s="265"/>
      <c r="G223" s="209" t="s">
        <v>629</v>
      </c>
      <c r="H223" s="209"/>
      <c r="I223" s="253">
        <f t="shared" ref="I223:AJ223" ca="1" si="122">((I266+I287+I308+I329)-(I350+I371))*I392</f>
        <v>2754.9060752312685</v>
      </c>
      <c r="J223" s="253">
        <f t="shared" ca="1" si="122"/>
        <v>261.79979309103373</v>
      </c>
      <c r="K223" s="253">
        <f t="shared" ca="1" si="122"/>
        <v>265.57512405159827</v>
      </c>
      <c r="L223" s="253">
        <f t="shared" ca="1" si="122"/>
        <v>258.0244621304692</v>
      </c>
      <c r="M223" s="253">
        <f t="shared" ca="1" si="122"/>
        <v>566.29019929629828</v>
      </c>
      <c r="N223" s="253">
        <f t="shared" ca="1" si="122"/>
        <v>841.14955342706105</v>
      </c>
      <c r="O223" s="254">
        <f t="shared" ca="1" si="122"/>
        <v>16723.309538663754</v>
      </c>
      <c r="P223" s="253">
        <f t="shared" ca="1" si="122"/>
        <v>-9648.0312164389998</v>
      </c>
      <c r="Q223" s="253">
        <f t="shared" ca="1" si="122"/>
        <v>-9141.1407008896294</v>
      </c>
      <c r="R223" s="253">
        <f t="shared" ca="1" si="122"/>
        <v>-10154.92173198837</v>
      </c>
      <c r="S223" s="253">
        <f t="shared" ca="1" si="122"/>
        <v>-8882.4247098669512</v>
      </c>
      <c r="T223" s="253">
        <f t="shared" ca="1" si="122"/>
        <v>-6931.0664932452692</v>
      </c>
      <c r="U223" s="254">
        <f t="shared" ca="1" si="122"/>
        <v>146999.50943009087</v>
      </c>
      <c r="V223" s="253">
        <f t="shared" ca="1" si="122"/>
        <v>3086.6182813362748</v>
      </c>
      <c r="W223" s="253">
        <f t="shared" ca="1" si="122"/>
        <v>7811.7351054749288</v>
      </c>
      <c r="X223" s="253">
        <f t="shared" ca="1" si="122"/>
        <v>-1638.4985428023792</v>
      </c>
      <c r="Y223" s="253">
        <f t="shared" ca="1" si="122"/>
        <v>144015.1356896029</v>
      </c>
      <c r="Z223" s="253">
        <f t="shared" ca="1" si="122"/>
        <v>238653.92583645627</v>
      </c>
      <c r="AA223" s="254">
        <f t="shared" ca="1" si="122"/>
        <v>50.166703906652906</v>
      </c>
      <c r="AB223" s="253">
        <f t="shared" ca="1" si="122"/>
        <v>14.066629385309863</v>
      </c>
      <c r="AC223" s="253">
        <f t="shared" ca="1" si="122"/>
        <v>17.106387527871373</v>
      </c>
      <c r="AD223" s="253">
        <f t="shared" ca="1" si="122"/>
        <v>11.026871242748353</v>
      </c>
      <c r="AE223" s="253">
        <f t="shared" ca="1" si="122"/>
        <v>37.358700431565381</v>
      </c>
      <c r="AF223" s="253">
        <f t="shared" ca="1" si="122"/>
        <v>57.749276010284525</v>
      </c>
      <c r="AG223" s="254">
        <f t="shared" ca="1" si="122"/>
        <v>15046.784831271347</v>
      </c>
      <c r="AH223" s="253">
        <f t="shared" ca="1" si="122"/>
        <v>3766.4417870766601</v>
      </c>
      <c r="AI223" s="253">
        <f t="shared" ca="1" si="122"/>
        <v>4028.3564102306309</v>
      </c>
      <c r="AJ223" s="253">
        <f t="shared" ca="1" si="122"/>
        <v>3504.5271639226894</v>
      </c>
      <c r="AK223" s="253">
        <f t="shared" ref="AK223:AX223" ca="1" si="123">((AK266+AK287+AK308+AK329)-(AK350+AK371))*AK392</f>
        <v>10070.973859119958</v>
      </c>
      <c r="AL223" s="253">
        <f t="shared" ca="1" si="123"/>
        <v>15198.645358732456</v>
      </c>
      <c r="AM223" s="254">
        <f t="shared" ca="1" si="123"/>
        <v>13766.988165554027</v>
      </c>
      <c r="AN223" s="253">
        <f t="shared" ca="1" si="123"/>
        <v>4014.0294706782197</v>
      </c>
      <c r="AO223" s="253">
        <f t="shared" ca="1" si="123"/>
        <v>4062.2002008858735</v>
      </c>
      <c r="AP223" s="253">
        <f t="shared" ca="1" si="123"/>
        <v>3965.8587404705663</v>
      </c>
      <c r="AQ223" s="253">
        <f t="shared" ca="1" si="123"/>
        <v>9175.5639673515961</v>
      </c>
      <c r="AR223" s="253">
        <f t="shared" ca="1" si="123"/>
        <v>13309.642745338797</v>
      </c>
      <c r="AS223" s="254">
        <f t="shared" ca="1" si="123"/>
        <v>368507.89204991801</v>
      </c>
      <c r="AT223" s="253">
        <f t="shared" ca="1" si="123"/>
        <v>29351.989407721278</v>
      </c>
      <c r="AU223" s="253">
        <f t="shared" ca="1" si="123"/>
        <v>40651.861433751939</v>
      </c>
      <c r="AV223" s="253">
        <f t="shared" ca="1" si="123"/>
        <v>18052.117381690616</v>
      </c>
      <c r="AW223" s="253">
        <f t="shared" ca="1" si="123"/>
        <v>331142.7991750472</v>
      </c>
      <c r="AX223" s="255">
        <f t="shared" ca="1" si="123"/>
        <v>564347.76796551282</v>
      </c>
      <c r="AY223" s="1"/>
      <c r="AZ223" s="1355"/>
      <c r="BA223" s="1"/>
      <c r="BB223" s="602" t="s">
        <v>122</v>
      </c>
      <c r="BC223" s="445" t="s">
        <v>688</v>
      </c>
      <c r="BD223" s="239">
        <f t="shared" ref="BD223:BX223" si="124">SUMPRODUCT(T$447:T$448,$CE246:$CE247,$AQ$447:$AQ$448)*$CF214</f>
        <v>176</v>
      </c>
      <c r="BE223" s="238">
        <f t="shared" si="124"/>
        <v>176</v>
      </c>
      <c r="BF223" s="238">
        <f t="shared" si="124"/>
        <v>176</v>
      </c>
      <c r="BG223" s="238">
        <f t="shared" si="124"/>
        <v>176</v>
      </c>
      <c r="BH223" s="238">
        <f t="shared" si="124"/>
        <v>176</v>
      </c>
      <c r="BI223" s="238">
        <f t="shared" si="124"/>
        <v>176</v>
      </c>
      <c r="BJ223" s="238">
        <f t="shared" si="124"/>
        <v>0</v>
      </c>
      <c r="BK223" s="238">
        <f t="shared" si="124"/>
        <v>176</v>
      </c>
      <c r="BL223" s="238">
        <f t="shared" si="124"/>
        <v>176</v>
      </c>
      <c r="BM223" s="238">
        <f t="shared" si="124"/>
        <v>176</v>
      </c>
      <c r="BN223" s="238">
        <f t="shared" si="124"/>
        <v>176</v>
      </c>
      <c r="BO223" s="238">
        <f t="shared" si="124"/>
        <v>176</v>
      </c>
      <c r="BP223" s="238">
        <f t="shared" si="124"/>
        <v>176</v>
      </c>
      <c r="BQ223" s="238">
        <f t="shared" si="124"/>
        <v>176</v>
      </c>
      <c r="BR223" s="238">
        <f t="shared" si="124"/>
        <v>176</v>
      </c>
      <c r="BS223" s="238">
        <f t="shared" si="124"/>
        <v>176</v>
      </c>
      <c r="BT223" s="238">
        <f t="shared" si="124"/>
        <v>176</v>
      </c>
      <c r="BU223" s="238">
        <f t="shared" si="124"/>
        <v>176</v>
      </c>
      <c r="BV223" s="388">
        <f t="shared" si="124"/>
        <v>176</v>
      </c>
      <c r="BW223" s="389">
        <f t="shared" si="124"/>
        <v>0</v>
      </c>
      <c r="BX223" s="240">
        <f t="shared" si="124"/>
        <v>0</v>
      </c>
      <c r="BY223" s="220"/>
      <c r="CD223" s="973" t="s">
        <v>1542</v>
      </c>
      <c r="CE223" s="209"/>
      <c r="CF223" s="939">
        <v>1.0999999999999999E-2</v>
      </c>
      <c r="CG223" s="966" t="s">
        <v>1646</v>
      </c>
    </row>
    <row r="224" spans="2:85" ht="15" customHeight="1" x14ac:dyDescent="0.25">
      <c r="B224" s="1343"/>
      <c r="D224" s="1355"/>
      <c r="F224" s="265"/>
      <c r="G224" s="209" t="s">
        <v>105</v>
      </c>
      <c r="H224" s="209"/>
      <c r="I224" s="253">
        <f t="shared" ref="I224:AJ224" ca="1" si="125">((I267+I288+I309+I330)-(I351+I372))*I393</f>
        <v>1543.3111642890503</v>
      </c>
      <c r="J224" s="253">
        <f t="shared" ca="1" si="125"/>
        <v>268.71642275305862</v>
      </c>
      <c r="K224" s="253">
        <f t="shared" ca="1" si="125"/>
        <v>271.04207949751071</v>
      </c>
      <c r="L224" s="253">
        <f t="shared" ca="1" si="125"/>
        <v>266.39076600860653</v>
      </c>
      <c r="M224" s="253">
        <f t="shared" ca="1" si="125"/>
        <v>578.05553244965438</v>
      </c>
      <c r="N224" s="253">
        <f t="shared" ca="1" si="125"/>
        <v>855.57113731320044</v>
      </c>
      <c r="O224" s="254">
        <f t="shared" ca="1" si="125"/>
        <v>4237.064639932084</v>
      </c>
      <c r="P224" s="253">
        <f t="shared" ca="1" si="125"/>
        <v>-7526.9601947533411</v>
      </c>
      <c r="Q224" s="253">
        <f t="shared" ca="1" si="125"/>
        <v>-7453.4014719626903</v>
      </c>
      <c r="R224" s="253">
        <f t="shared" ca="1" si="125"/>
        <v>-7600.5189175439918</v>
      </c>
      <c r="S224" s="253">
        <f t="shared" ca="1" si="125"/>
        <v>-6295.2656023078216</v>
      </c>
      <c r="T224" s="253">
        <f t="shared" ca="1" si="125"/>
        <v>-4159.0640939801451</v>
      </c>
      <c r="U224" s="254">
        <f t="shared" ca="1" si="125"/>
        <v>169288.53446523155</v>
      </c>
      <c r="V224" s="253">
        <f t="shared" ca="1" si="125"/>
        <v>24063.053300935688</v>
      </c>
      <c r="W224" s="253">
        <f t="shared" ca="1" si="125"/>
        <v>24184.010524237245</v>
      </c>
      <c r="X224" s="253">
        <f t="shared" ca="1" si="125"/>
        <v>23942.096077634134</v>
      </c>
      <c r="Y224" s="253">
        <f t="shared" ca="1" si="125"/>
        <v>166479.21526145816</v>
      </c>
      <c r="Z224" s="253">
        <f t="shared" ca="1" si="125"/>
        <v>261233.43471136232</v>
      </c>
      <c r="AA224" s="254">
        <f t="shared" ca="1" si="125"/>
        <v>64.834497108060631</v>
      </c>
      <c r="AB224" s="253">
        <f t="shared" ca="1" si="125"/>
        <v>26.225719976100756</v>
      </c>
      <c r="AC224" s="253">
        <f t="shared" ca="1" si="125"/>
        <v>26.411954425426551</v>
      </c>
      <c r="AD224" s="253">
        <f t="shared" ca="1" si="125"/>
        <v>26.039485526774964</v>
      </c>
      <c r="AE224" s="253">
        <f t="shared" ca="1" si="125"/>
        <v>56.047564090772518</v>
      </c>
      <c r="AF224" s="253">
        <f t="shared" ca="1" si="125"/>
        <v>79.454830727948547</v>
      </c>
      <c r="AG224" s="254">
        <f t="shared" ca="1" si="125"/>
        <v>14187.925128186389</v>
      </c>
      <c r="AH224" s="253">
        <f t="shared" ca="1" si="125"/>
        <v>4837.890036356348</v>
      </c>
      <c r="AI224" s="253">
        <f t="shared" ca="1" si="125"/>
        <v>4855.2796125926043</v>
      </c>
      <c r="AJ224" s="253">
        <f t="shared" ca="1" si="125"/>
        <v>4820.5004601200917</v>
      </c>
      <c r="AK224" s="253">
        <f t="shared" ref="AK224:AX224" ca="1" si="126">((AK267+AK288+AK309+AK330)-(AK351+AK372))*AK393</f>
        <v>11647.335448050819</v>
      </c>
      <c r="AL224" s="253">
        <f t="shared" ca="1" si="126"/>
        <v>16956.88040411289</v>
      </c>
      <c r="AM224" s="254">
        <f t="shared" ca="1" si="126"/>
        <v>12120.62857827659</v>
      </c>
      <c r="AN224" s="253">
        <f t="shared" ca="1" si="126"/>
        <v>4101.673352435394</v>
      </c>
      <c r="AO224" s="253">
        <f t="shared" ca="1" si="126"/>
        <v>4128.3154935880339</v>
      </c>
      <c r="AP224" s="253">
        <f t="shared" ca="1" si="126"/>
        <v>4075.0312112827532</v>
      </c>
      <c r="AQ224" s="253">
        <f t="shared" ca="1" si="126"/>
        <v>9360.334735529339</v>
      </c>
      <c r="AR224" s="253">
        <f t="shared" ca="1" si="126"/>
        <v>13548.29238679658</v>
      </c>
      <c r="AS224" s="254">
        <f t="shared" ca="1" si="126"/>
        <v>430857.429776303</v>
      </c>
      <c r="AT224" s="253">
        <f t="shared" ca="1" si="126"/>
        <v>77114.767745210556</v>
      </c>
      <c r="AU224" s="253">
        <f t="shared" ca="1" si="126"/>
        <v>77657.019692978647</v>
      </c>
      <c r="AV224" s="253">
        <f t="shared" ca="1" si="126"/>
        <v>76572.515797442451</v>
      </c>
      <c r="AW224" s="253">
        <f t="shared" ca="1" si="126"/>
        <v>408313.36167157849</v>
      </c>
      <c r="AX224" s="255">
        <f t="shared" ca="1" si="126"/>
        <v>646629.53670912632</v>
      </c>
      <c r="AY224" s="1"/>
      <c r="AZ224" s="1355"/>
      <c r="BA224" s="1"/>
      <c r="BB224" s="602" t="s">
        <v>122</v>
      </c>
      <c r="BC224" s="445" t="s">
        <v>689</v>
      </c>
      <c r="BD224" s="239">
        <f t="shared" ref="BD224:BX224" si="127">SUMPRODUCT($P$434:$P$446,T$434:T$446,$AQ$434:$AQ$446)*$CF220*$CF215</f>
        <v>0</v>
      </c>
      <c r="BE224" s="238">
        <f t="shared" si="127"/>
        <v>0</v>
      </c>
      <c r="BF224" s="238">
        <f t="shared" si="127"/>
        <v>0</v>
      </c>
      <c r="BG224" s="238">
        <f t="shared" si="127"/>
        <v>0</v>
      </c>
      <c r="BH224" s="238">
        <f t="shared" si="127"/>
        <v>0</v>
      </c>
      <c r="BI224" s="238">
        <f t="shared" si="127"/>
        <v>0</v>
      </c>
      <c r="BJ224" s="238">
        <f t="shared" si="127"/>
        <v>0</v>
      </c>
      <c r="BK224" s="238">
        <f t="shared" si="127"/>
        <v>0</v>
      </c>
      <c r="BL224" s="238">
        <f t="shared" si="127"/>
        <v>0</v>
      </c>
      <c r="BM224" s="238">
        <f t="shared" si="127"/>
        <v>0</v>
      </c>
      <c r="BN224" s="238">
        <f t="shared" si="127"/>
        <v>0</v>
      </c>
      <c r="BO224" s="238">
        <f t="shared" si="127"/>
        <v>0</v>
      </c>
      <c r="BP224" s="238">
        <f t="shared" si="127"/>
        <v>0</v>
      </c>
      <c r="BQ224" s="238">
        <f t="shared" si="127"/>
        <v>0</v>
      </c>
      <c r="BR224" s="238">
        <f t="shared" si="127"/>
        <v>0</v>
      </c>
      <c r="BS224" s="238">
        <f t="shared" si="127"/>
        <v>0</v>
      </c>
      <c r="BT224" s="238">
        <f t="shared" si="127"/>
        <v>0</v>
      </c>
      <c r="BU224" s="238">
        <f t="shared" si="127"/>
        <v>0</v>
      </c>
      <c r="BV224" s="388">
        <f t="shared" si="127"/>
        <v>0</v>
      </c>
      <c r="BW224" s="389">
        <f t="shared" si="127"/>
        <v>0</v>
      </c>
      <c r="BX224" s="240">
        <f t="shared" si="127"/>
        <v>0</v>
      </c>
      <c r="BY224" s="220"/>
      <c r="CD224" s="973" t="s">
        <v>1548</v>
      </c>
      <c r="CE224" s="209"/>
      <c r="CF224" s="948" t="s">
        <v>707</v>
      </c>
      <c r="CG224" s="966" t="s">
        <v>1647</v>
      </c>
    </row>
    <row r="225" spans="2:85" ht="15" customHeight="1" x14ac:dyDescent="0.25">
      <c r="B225" s="1343"/>
      <c r="D225" s="1355"/>
      <c r="F225" s="265"/>
      <c r="G225" s="209" t="s">
        <v>111</v>
      </c>
      <c r="H225" s="209"/>
      <c r="I225" s="253">
        <f t="shared" ref="I225:AJ225" ca="1" si="128">((I268+I289+I310+I331)-(I352+I373))*I394</f>
        <v>3728.624899509829</v>
      </c>
      <c r="J225" s="253">
        <f t="shared" ca="1" si="128"/>
        <v>222.13352376698958</v>
      </c>
      <c r="K225" s="253">
        <f t="shared" ca="1" si="128"/>
        <v>243.14198377063025</v>
      </c>
      <c r="L225" s="253">
        <f t="shared" ca="1" si="128"/>
        <v>201.12506376334892</v>
      </c>
      <c r="M225" s="253">
        <f t="shared" ca="1" si="128"/>
        <v>500.1958292803385</v>
      </c>
      <c r="N225" s="253">
        <f t="shared" ca="1" si="128"/>
        <v>760.52337422883318</v>
      </c>
      <c r="O225" s="254">
        <f t="shared" ca="1" si="128"/>
        <v>33070.551733677574</v>
      </c>
      <c r="P225" s="253">
        <f t="shared" ca="1" si="128"/>
        <v>-8882.386768533599</v>
      </c>
      <c r="Q225" s="253">
        <f t="shared" ca="1" si="128"/>
        <v>-8356.7960525801027</v>
      </c>
      <c r="R225" s="253">
        <f t="shared" ca="1" si="128"/>
        <v>-9407.9774844870972</v>
      </c>
      <c r="S225" s="253">
        <f t="shared" ca="1" si="128"/>
        <v>-7929.958761257968</v>
      </c>
      <c r="T225" s="253">
        <f t="shared" ca="1" si="128"/>
        <v>-5907.0576877661406</v>
      </c>
      <c r="U225" s="254">
        <f t="shared" ca="1" si="128"/>
        <v>167974.63229409175</v>
      </c>
      <c r="V225" s="253">
        <f t="shared" ca="1" si="128"/>
        <v>17589.171554141409</v>
      </c>
      <c r="W225" s="253">
        <f t="shared" ca="1" si="128"/>
        <v>19940.121952054302</v>
      </c>
      <c r="X225" s="253">
        <f t="shared" ca="1" si="128"/>
        <v>15238.221156228508</v>
      </c>
      <c r="Y225" s="253">
        <f t="shared" ca="1" si="128"/>
        <v>159530.25698017029</v>
      </c>
      <c r="Z225" s="253">
        <f t="shared" ca="1" si="128"/>
        <v>254248.1741731595</v>
      </c>
      <c r="AA225" s="254">
        <f t="shared" ca="1" si="128"/>
        <v>74.33159515564266</v>
      </c>
      <c r="AB225" s="253">
        <f t="shared" ca="1" si="128"/>
        <v>20.110267890276191</v>
      </c>
      <c r="AC225" s="253">
        <f t="shared" ca="1" si="128"/>
        <v>22.63394101883064</v>
      </c>
      <c r="AD225" s="253">
        <f t="shared" ca="1" si="128"/>
        <v>17.586594761721738</v>
      </c>
      <c r="AE225" s="253">
        <f t="shared" ca="1" si="128"/>
        <v>46.456779959200212</v>
      </c>
      <c r="AF225" s="253">
        <f t="shared" ca="1" si="128"/>
        <v>68.262319625954831</v>
      </c>
      <c r="AG225" s="254">
        <f t="shared" ca="1" si="128"/>
        <v>19243.531624788655</v>
      </c>
      <c r="AH225" s="253">
        <f t="shared" ca="1" si="128"/>
        <v>4130.6323584808006</v>
      </c>
      <c r="AI225" s="253">
        <f t="shared" ca="1" si="128"/>
        <v>4407.1823783788896</v>
      </c>
      <c r="AJ225" s="253">
        <f t="shared" ca="1" si="128"/>
        <v>3854.0823385827121</v>
      </c>
      <c r="AK225" s="253">
        <f t="shared" ref="AK225:AX225" ca="1" si="129">((AK268+AK289+AK310+AK331)-(AK352+AK373))*AK394</f>
        <v>10597.259904654442</v>
      </c>
      <c r="AL225" s="253">
        <f t="shared" ca="1" si="129"/>
        <v>15783.402097019905</v>
      </c>
      <c r="AM225" s="254">
        <f t="shared" ca="1" si="129"/>
        <v>21195.358732016881</v>
      </c>
      <c r="AN225" s="253">
        <f t="shared" ca="1" si="129"/>
        <v>4164.8165860435238</v>
      </c>
      <c r="AO225" s="253">
        <f t="shared" ca="1" si="129"/>
        <v>4177.8665158440481</v>
      </c>
      <c r="AP225" s="253">
        <f t="shared" ca="1" si="129"/>
        <v>4151.7666562429986</v>
      </c>
      <c r="AQ225" s="253">
        <f t="shared" ca="1" si="129"/>
        <v>9479.7084342267244</v>
      </c>
      <c r="AR225" s="253">
        <f t="shared" ca="1" si="129"/>
        <v>13698.825230327184</v>
      </c>
      <c r="AS225" s="254">
        <f t="shared" ca="1" si="129"/>
        <v>473062.20237467927</v>
      </c>
      <c r="AT225" s="253">
        <f t="shared" ca="1" si="129"/>
        <v>69286.628764903697</v>
      </c>
      <c r="AU225" s="253">
        <f t="shared" ca="1" si="129"/>
        <v>72772.142420096439</v>
      </c>
      <c r="AV225" s="253">
        <f t="shared" ca="1" si="129"/>
        <v>65801.115109710969</v>
      </c>
      <c r="AW225" s="253">
        <f t="shared" ca="1" si="129"/>
        <v>395360.02369787189</v>
      </c>
      <c r="AX225" s="255">
        <f t="shared" ca="1" si="129"/>
        <v>632794.25520702393</v>
      </c>
      <c r="AY225" s="1"/>
      <c r="AZ225" s="1355"/>
      <c r="BA225" s="1"/>
      <c r="BB225" s="602" t="s">
        <v>122</v>
      </c>
      <c r="BC225" s="445" t="s">
        <v>690</v>
      </c>
      <c r="BD225" s="239">
        <f t="shared" ref="BD225:BX225" si="130">SUMPRODUCT($P$434:$P$446,T$434:T$446,$AQ$434:$AQ$446,$CF$233:$CF$245)*$CF$215*$CF222
+SUMPRODUCT($P$434:$P$446,T$434:T$446,$AQ$434:$AQ$446)*$CF$215*$CF$228*$CF$223</f>
        <v>0</v>
      </c>
      <c r="BE225" s="238">
        <f t="shared" si="130"/>
        <v>0</v>
      </c>
      <c r="BF225" s="238">
        <f t="shared" si="130"/>
        <v>0</v>
      </c>
      <c r="BG225" s="238">
        <f t="shared" si="130"/>
        <v>0</v>
      </c>
      <c r="BH225" s="238">
        <f t="shared" si="130"/>
        <v>0</v>
      </c>
      <c r="BI225" s="238">
        <f t="shared" si="130"/>
        <v>0</v>
      </c>
      <c r="BJ225" s="238">
        <f t="shared" si="130"/>
        <v>0</v>
      </c>
      <c r="BK225" s="238">
        <f t="shared" si="130"/>
        <v>0</v>
      </c>
      <c r="BL225" s="238">
        <f t="shared" si="130"/>
        <v>0</v>
      </c>
      <c r="BM225" s="238">
        <f t="shared" si="130"/>
        <v>0</v>
      </c>
      <c r="BN225" s="238">
        <f t="shared" si="130"/>
        <v>0</v>
      </c>
      <c r="BO225" s="238">
        <f t="shared" si="130"/>
        <v>0</v>
      </c>
      <c r="BP225" s="238">
        <f t="shared" si="130"/>
        <v>0</v>
      </c>
      <c r="BQ225" s="238">
        <f t="shared" si="130"/>
        <v>0</v>
      </c>
      <c r="BR225" s="238">
        <f t="shared" si="130"/>
        <v>0</v>
      </c>
      <c r="BS225" s="238">
        <f t="shared" si="130"/>
        <v>0</v>
      </c>
      <c r="BT225" s="238">
        <f t="shared" si="130"/>
        <v>0</v>
      </c>
      <c r="BU225" s="238">
        <f t="shared" si="130"/>
        <v>0</v>
      </c>
      <c r="BV225" s="388">
        <f t="shared" si="130"/>
        <v>0</v>
      </c>
      <c r="BW225" s="389">
        <f t="shared" si="130"/>
        <v>0</v>
      </c>
      <c r="BX225" s="240">
        <f t="shared" si="130"/>
        <v>0</v>
      </c>
      <c r="BY225" s="220"/>
      <c r="CD225" s="975" t="s">
        <v>1549</v>
      </c>
      <c r="CE225" s="209"/>
      <c r="CF225" s="939">
        <v>0.21</v>
      </c>
      <c r="CG225" s="966" t="s">
        <v>1648</v>
      </c>
    </row>
    <row r="226" spans="2:85" ht="15" customHeight="1" x14ac:dyDescent="0.25">
      <c r="B226" s="1343"/>
      <c r="D226" s="1355"/>
      <c r="F226" s="265"/>
      <c r="G226" s="209" t="s">
        <v>109</v>
      </c>
      <c r="H226" s="209"/>
      <c r="I226" s="253">
        <f t="shared" ref="I226:AJ226" ca="1" si="131">((I269+I290+I311+I332)-(I353+I374))*I395</f>
        <v>2777.6385187886267</v>
      </c>
      <c r="J226" s="253">
        <f t="shared" ca="1" si="131"/>
        <v>254.06561077095014</v>
      </c>
      <c r="K226" s="253">
        <f t="shared" ca="1" si="131"/>
        <v>256.87295481294382</v>
      </c>
      <c r="L226" s="253">
        <f t="shared" ca="1" si="131"/>
        <v>251.25826672895653</v>
      </c>
      <c r="M226" s="253">
        <f t="shared" ca="1" si="131"/>
        <v>555.05795350933352</v>
      </c>
      <c r="N226" s="253">
        <f t="shared" ca="1" si="131"/>
        <v>828.0140898873484</v>
      </c>
      <c r="O226" s="254">
        <f t="shared" ca="1" si="131"/>
        <v>14765.920019458215</v>
      </c>
      <c r="P226" s="253">
        <f t="shared" ca="1" si="131"/>
        <v>-10376.722010285117</v>
      </c>
      <c r="Q226" s="253">
        <f t="shared" ca="1" si="131"/>
        <v>-10002.948281263156</v>
      </c>
      <c r="R226" s="253">
        <f t="shared" ca="1" si="131"/>
        <v>-10750.495739307078</v>
      </c>
      <c r="S226" s="253">
        <f t="shared" ca="1" si="131"/>
        <v>-9943.3900771364424</v>
      </c>
      <c r="T226" s="253">
        <f t="shared" ca="1" si="131"/>
        <v>-8102.1171093093299</v>
      </c>
      <c r="U226" s="254">
        <f t="shared" ca="1" si="131"/>
        <v>153197.47626622164</v>
      </c>
      <c r="V226" s="253">
        <f t="shared" ca="1" si="131"/>
        <v>8359.883559892156</v>
      </c>
      <c r="W226" s="253">
        <f t="shared" ca="1" si="131"/>
        <v>10289.98482313907</v>
      </c>
      <c r="X226" s="253">
        <f t="shared" ca="1" si="131"/>
        <v>6429.7822966452404</v>
      </c>
      <c r="Y226" s="253">
        <f t="shared" ca="1" si="131"/>
        <v>149659.68504469912</v>
      </c>
      <c r="Z226" s="253">
        <f t="shared" ca="1" si="131"/>
        <v>244329.86834512374</v>
      </c>
      <c r="AA226" s="254">
        <f t="shared" ca="1" si="131"/>
        <v>43.954465106499605</v>
      </c>
      <c r="AB226" s="253">
        <f t="shared" ca="1" si="131"/>
        <v>8.5940124163683365</v>
      </c>
      <c r="AC226" s="253">
        <f t="shared" ca="1" si="131"/>
        <v>10.797636274598686</v>
      </c>
      <c r="AD226" s="253">
        <f t="shared" ca="1" si="131"/>
        <v>6.390388558137996</v>
      </c>
      <c r="AE226" s="253">
        <f t="shared" ca="1" si="131"/>
        <v>29.339255728199376</v>
      </c>
      <c r="AF226" s="253">
        <f t="shared" ca="1" si="131"/>
        <v>48.585508985407365</v>
      </c>
      <c r="AG226" s="254">
        <f t="shared" ca="1" si="131"/>
        <v>14771.59602372008</v>
      </c>
      <c r="AH226" s="253">
        <f t="shared" ca="1" si="131"/>
        <v>3022.7552188034406</v>
      </c>
      <c r="AI226" s="253">
        <f t="shared" ca="1" si="131"/>
        <v>3248.2788362450697</v>
      </c>
      <c r="AJ226" s="253">
        <f t="shared" ca="1" si="131"/>
        <v>2797.2316013618115</v>
      </c>
      <c r="AK226" s="253">
        <f t="shared" ref="AK226:AX226" ca="1" si="132">((AK269+AK290+AK311+AK332)-(AK353+AK374))*AK395</f>
        <v>9025.0949958002129</v>
      </c>
      <c r="AL226" s="253">
        <f t="shared" ca="1" si="132"/>
        <v>14045.29375927641</v>
      </c>
      <c r="AM226" s="254">
        <f t="shared" ca="1" si="132"/>
        <v>20007.784979148102</v>
      </c>
      <c r="AN226" s="253">
        <f t="shared" ca="1" si="132"/>
        <v>3901.1246504659175</v>
      </c>
      <c r="AO226" s="253">
        <f t="shared" ca="1" si="132"/>
        <v>3936.8448871907526</v>
      </c>
      <c r="AP226" s="253">
        <f t="shared" ca="1" si="132"/>
        <v>3865.4044137410824</v>
      </c>
      <c r="AQ226" s="253">
        <f t="shared" ca="1" si="132"/>
        <v>9000.3155169942693</v>
      </c>
      <c r="AR226" s="253">
        <f t="shared" ca="1" si="132"/>
        <v>13099.939579273612</v>
      </c>
      <c r="AS226" s="254">
        <f t="shared" ca="1" si="132"/>
        <v>274386.97901390214</v>
      </c>
      <c r="AT226" s="253">
        <f t="shared" ca="1" si="132"/>
        <v>-16642.312162918617</v>
      </c>
      <c r="AU226" s="253">
        <f t="shared" ca="1" si="132"/>
        <v>-5172.9985586163066</v>
      </c>
      <c r="AV226" s="253">
        <f t="shared" ca="1" si="132"/>
        <v>-28111.625767220914</v>
      </c>
      <c r="AW226" s="253">
        <f t="shared" ca="1" si="132"/>
        <v>257778.74826294539</v>
      </c>
      <c r="AX226" s="255">
        <f t="shared" ca="1" si="132"/>
        <v>486409.39661852771</v>
      </c>
      <c r="AY226" s="1"/>
      <c r="AZ226" s="1355"/>
      <c r="BA226" s="1"/>
      <c r="BB226" s="602" t="s">
        <v>122</v>
      </c>
      <c r="BC226" s="445" t="s">
        <v>691</v>
      </c>
      <c r="BD226" s="239">
        <f t="shared" ref="BD226:BX226" si="133">SUMPRODUCT(T$434:T$446,$P$434:$P$446,$CG233:$CG245,$AQ$434:$AQ$446)*$CF$216</f>
        <v>0</v>
      </c>
      <c r="BE226" s="238">
        <f t="shared" si="133"/>
        <v>0</v>
      </c>
      <c r="BF226" s="238">
        <f t="shared" si="133"/>
        <v>0</v>
      </c>
      <c r="BG226" s="238">
        <f t="shared" si="133"/>
        <v>0</v>
      </c>
      <c r="BH226" s="238">
        <f t="shared" si="133"/>
        <v>0</v>
      </c>
      <c r="BI226" s="238">
        <f t="shared" si="133"/>
        <v>0</v>
      </c>
      <c r="BJ226" s="238">
        <f t="shared" si="133"/>
        <v>0</v>
      </c>
      <c r="BK226" s="238">
        <f t="shared" si="133"/>
        <v>0</v>
      </c>
      <c r="BL226" s="238">
        <f t="shared" si="133"/>
        <v>0</v>
      </c>
      <c r="BM226" s="238">
        <f t="shared" si="133"/>
        <v>0</v>
      </c>
      <c r="BN226" s="238">
        <f t="shared" si="133"/>
        <v>0</v>
      </c>
      <c r="BO226" s="238">
        <f t="shared" si="133"/>
        <v>0</v>
      </c>
      <c r="BP226" s="238">
        <f t="shared" si="133"/>
        <v>0</v>
      </c>
      <c r="BQ226" s="238">
        <f t="shared" si="133"/>
        <v>0</v>
      </c>
      <c r="BR226" s="238">
        <f t="shared" si="133"/>
        <v>0</v>
      </c>
      <c r="BS226" s="238">
        <f t="shared" si="133"/>
        <v>0</v>
      </c>
      <c r="BT226" s="238">
        <f t="shared" si="133"/>
        <v>0</v>
      </c>
      <c r="BU226" s="238">
        <f t="shared" si="133"/>
        <v>0</v>
      </c>
      <c r="BV226" s="388">
        <f t="shared" si="133"/>
        <v>0</v>
      </c>
      <c r="BW226" s="389">
        <f t="shared" si="133"/>
        <v>0</v>
      </c>
      <c r="BX226" s="240">
        <f t="shared" si="133"/>
        <v>0</v>
      </c>
      <c r="BY226" s="220"/>
      <c r="CD226" s="973" t="s">
        <v>1550</v>
      </c>
      <c r="CE226" s="209"/>
      <c r="CF226" s="948" t="s">
        <v>707</v>
      </c>
      <c r="CG226" s="965"/>
    </row>
    <row r="227" spans="2:85" ht="15" customHeight="1" x14ac:dyDescent="0.25">
      <c r="B227" s="1343"/>
      <c r="D227" s="1355"/>
      <c r="F227" s="265"/>
      <c r="G227" s="209" t="s">
        <v>99</v>
      </c>
      <c r="H227" s="209"/>
      <c r="I227" s="253">
        <f t="shared" ref="I227:AJ227" ca="1" si="134">((I270+I291+I312+I333)-(I354+I375))*I396</f>
        <v>1837.7799026516011</v>
      </c>
      <c r="J227" s="253">
        <f t="shared" ca="1" si="134"/>
        <v>258.08337863207112</v>
      </c>
      <c r="K227" s="253">
        <f t="shared" ca="1" si="134"/>
        <v>260.90766267717885</v>
      </c>
      <c r="L227" s="253">
        <f t="shared" ca="1" si="134"/>
        <v>255.25909458696336</v>
      </c>
      <c r="M227" s="253">
        <f t="shared" ca="1" si="134"/>
        <v>560.29250629456749</v>
      </c>
      <c r="N227" s="253">
        <f t="shared" ca="1" si="134"/>
        <v>833.90326821100291</v>
      </c>
      <c r="O227" s="254">
        <f t="shared" ca="1" si="134"/>
        <v>2936.6599594414629</v>
      </c>
      <c r="P227" s="253">
        <f t="shared" ca="1" si="134"/>
        <v>-10246.446159775152</v>
      </c>
      <c r="Q227" s="253">
        <f t="shared" ca="1" si="134"/>
        <v>-9858.4261900590027</v>
      </c>
      <c r="R227" s="253">
        <f t="shared" ca="1" si="134"/>
        <v>-10634.466129491297</v>
      </c>
      <c r="S227" s="253">
        <f t="shared" ca="1" si="134"/>
        <v>-9625.3751347860962</v>
      </c>
      <c r="T227" s="253">
        <f t="shared" ca="1" si="134"/>
        <v>-7729.47393978747</v>
      </c>
      <c r="U227" s="254">
        <f t="shared" ca="1" si="134"/>
        <v>150408.27913416066</v>
      </c>
      <c r="V227" s="253">
        <f t="shared" ca="1" si="134"/>
        <v>8900.4739130837042</v>
      </c>
      <c r="W227" s="253">
        <f t="shared" ca="1" si="134"/>
        <v>11003.587853403746</v>
      </c>
      <c r="X227" s="253">
        <f t="shared" ca="1" si="134"/>
        <v>6797.3599727636647</v>
      </c>
      <c r="Y227" s="253">
        <f t="shared" ca="1" si="134"/>
        <v>150230.61383748453</v>
      </c>
      <c r="Z227" s="253">
        <f t="shared" ca="1" si="134"/>
        <v>244901.42120033689</v>
      </c>
      <c r="AA227" s="254">
        <f t="shared" ca="1" si="134"/>
        <v>38.703382417894673</v>
      </c>
      <c r="AB227" s="253">
        <f t="shared" ca="1" si="134"/>
        <v>10.662443632964742</v>
      </c>
      <c r="AC227" s="253">
        <f t="shared" ca="1" si="134"/>
        <v>12.990195990929237</v>
      </c>
      <c r="AD227" s="253">
        <f t="shared" ca="1" si="134"/>
        <v>8.334691275000246</v>
      </c>
      <c r="AE227" s="253">
        <f t="shared" ca="1" si="134"/>
        <v>32.301979245726891</v>
      </c>
      <c r="AF227" s="253">
        <f t="shared" ca="1" si="134"/>
        <v>51.925850695200474</v>
      </c>
      <c r="AG227" s="254">
        <f t="shared" ca="1" si="134"/>
        <v>11328.407420884772</v>
      </c>
      <c r="AH227" s="253">
        <f t="shared" ca="1" si="134"/>
        <v>2732.4434261725969</v>
      </c>
      <c r="AI227" s="253">
        <f t="shared" ca="1" si="134"/>
        <v>3035.944959964776</v>
      </c>
      <c r="AJ227" s="253">
        <f t="shared" ca="1" si="134"/>
        <v>2428.9418923804183</v>
      </c>
      <c r="AK227" s="253">
        <f t="shared" ref="AK227:AX227" ca="1" si="135">((AK270+AK291+AK312+AK333)-(AK354+AK375))*AK396</f>
        <v>8578.282514155424</v>
      </c>
      <c r="AL227" s="253">
        <f t="shared" ca="1" si="135"/>
        <v>13539.476700025225</v>
      </c>
      <c r="AM227" s="254">
        <f t="shared" ca="1" si="135"/>
        <v>15453.617443505344</v>
      </c>
      <c r="AN227" s="253">
        <f t="shared" ca="1" si="135"/>
        <v>3932.7951237041234</v>
      </c>
      <c r="AO227" s="253">
        <f t="shared" ca="1" si="135"/>
        <v>3974.4510328346987</v>
      </c>
      <c r="AP227" s="253">
        <f t="shared" ca="1" si="135"/>
        <v>3891.1392145735476</v>
      </c>
      <c r="AQ227" s="253">
        <f t="shared" ca="1" si="135"/>
        <v>9018.4899055967253</v>
      </c>
      <c r="AR227" s="253">
        <f t="shared" ca="1" si="135"/>
        <v>13110.499478581771</v>
      </c>
      <c r="AS227" s="254">
        <f t="shared" ca="1" si="135"/>
        <v>281446.81269075972</v>
      </c>
      <c r="AT227" s="253">
        <f t="shared" ca="1" si="135"/>
        <v>-2044.272008038258</v>
      </c>
      <c r="AU227" s="253">
        <f t="shared" ca="1" si="135"/>
        <v>9157.1151783356145</v>
      </c>
      <c r="AV227" s="253">
        <f t="shared" ca="1" si="135"/>
        <v>-13245.659194412116</v>
      </c>
      <c r="AW227" s="253">
        <f t="shared" ca="1" si="135"/>
        <v>281789.53720696329</v>
      </c>
      <c r="AX227" s="255">
        <f t="shared" ca="1" si="135"/>
        <v>511820.81711510965</v>
      </c>
      <c r="AY227" s="1"/>
      <c r="AZ227" s="1355"/>
      <c r="BA227" s="1"/>
      <c r="BB227" s="602" t="s">
        <v>122</v>
      </c>
      <c r="BC227" s="445" t="s">
        <v>692</v>
      </c>
      <c r="BD227" s="239">
        <f t="shared" ref="BD227:BX227" si="136">SUMPRODUCT(T$434:T$446,$P$434:$P$446,$AQ$434:$AQ$446)*$CF$227</f>
        <v>0</v>
      </c>
      <c r="BE227" s="238">
        <f t="shared" si="136"/>
        <v>0</v>
      </c>
      <c r="BF227" s="238">
        <f t="shared" si="136"/>
        <v>0</v>
      </c>
      <c r="BG227" s="238">
        <f t="shared" si="136"/>
        <v>0</v>
      </c>
      <c r="BH227" s="238">
        <f t="shared" si="136"/>
        <v>0</v>
      </c>
      <c r="BI227" s="238">
        <f t="shared" si="136"/>
        <v>0</v>
      </c>
      <c r="BJ227" s="238">
        <f t="shared" si="136"/>
        <v>0</v>
      </c>
      <c r="BK227" s="238">
        <f t="shared" si="136"/>
        <v>0</v>
      </c>
      <c r="BL227" s="238">
        <f t="shared" si="136"/>
        <v>0</v>
      </c>
      <c r="BM227" s="238">
        <f t="shared" si="136"/>
        <v>0</v>
      </c>
      <c r="BN227" s="238">
        <f t="shared" si="136"/>
        <v>0</v>
      </c>
      <c r="BO227" s="238">
        <f t="shared" si="136"/>
        <v>0</v>
      </c>
      <c r="BP227" s="238">
        <f t="shared" si="136"/>
        <v>0</v>
      </c>
      <c r="BQ227" s="238">
        <f t="shared" si="136"/>
        <v>0</v>
      </c>
      <c r="BR227" s="238">
        <f t="shared" si="136"/>
        <v>0</v>
      </c>
      <c r="BS227" s="238">
        <f t="shared" si="136"/>
        <v>0</v>
      </c>
      <c r="BT227" s="238">
        <f t="shared" si="136"/>
        <v>0</v>
      </c>
      <c r="BU227" s="238">
        <f t="shared" si="136"/>
        <v>0</v>
      </c>
      <c r="BV227" s="388">
        <f t="shared" si="136"/>
        <v>0</v>
      </c>
      <c r="BW227" s="389">
        <f t="shared" si="136"/>
        <v>0</v>
      </c>
      <c r="BX227" s="240">
        <f t="shared" si="136"/>
        <v>0</v>
      </c>
      <c r="BY227" s="220"/>
      <c r="CD227" s="973" t="s">
        <v>1499</v>
      </c>
      <c r="CE227" s="209"/>
      <c r="CF227" s="943">
        <v>7.0000000000000001E-3</v>
      </c>
      <c r="CG227" s="965"/>
    </row>
    <row r="228" spans="2:85" ht="15" customHeight="1" x14ac:dyDescent="0.35">
      <c r="B228" s="1343"/>
      <c r="D228" s="1355"/>
      <c r="F228" s="265"/>
      <c r="G228" s="209" t="s">
        <v>106</v>
      </c>
      <c r="H228" s="209"/>
      <c r="I228" s="253">
        <f t="shared" ref="I228:AJ228" ca="1" si="137">((I271+I292+I313+I334)-(I355+I376))*I397</f>
        <v>1490.1076449162838</v>
      </c>
      <c r="J228" s="253">
        <f t="shared" ca="1" si="137"/>
        <v>204.3511206230111</v>
      </c>
      <c r="K228" s="253">
        <f t="shared" ca="1" si="137"/>
        <v>216.68963508092668</v>
      </c>
      <c r="L228" s="253">
        <f t="shared" ca="1" si="137"/>
        <v>192.01260616509558</v>
      </c>
      <c r="M228" s="253">
        <f t="shared" ca="1" si="137"/>
        <v>474.10370708316719</v>
      </c>
      <c r="N228" s="253">
        <f t="shared" ca="1" si="137"/>
        <v>729.92778803884346</v>
      </c>
      <c r="O228" s="254">
        <f t="shared" ca="1" si="137"/>
        <v>4932.9455193199574</v>
      </c>
      <c r="P228" s="253">
        <f t="shared" ca="1" si="137"/>
        <v>-7966.5813677419828</v>
      </c>
      <c r="Q228" s="253">
        <f t="shared" ca="1" si="137"/>
        <v>-7850.7149869298964</v>
      </c>
      <c r="R228" s="253">
        <f t="shared" ca="1" si="137"/>
        <v>-8082.4477485540701</v>
      </c>
      <c r="S228" s="253">
        <f t="shared" ca="1" si="137"/>
        <v>-6848.6254646475809</v>
      </c>
      <c r="T228" s="253">
        <f t="shared" ca="1" si="137"/>
        <v>-4755.4298727779769</v>
      </c>
      <c r="U228" s="254">
        <f t="shared" ca="1" si="137"/>
        <v>135429.01071162295</v>
      </c>
      <c r="V228" s="253">
        <f t="shared" ca="1" si="137"/>
        <v>-5396.6859235700558</v>
      </c>
      <c r="W228" s="253">
        <f t="shared" ca="1" si="137"/>
        <v>-584.75313269217247</v>
      </c>
      <c r="X228" s="253">
        <f t="shared" ca="1" si="137"/>
        <v>-10208.618714447935</v>
      </c>
      <c r="Y228" s="253">
        <f t="shared" ca="1" si="137"/>
        <v>134946.15109187798</v>
      </c>
      <c r="Z228" s="253">
        <f t="shared" ca="1" si="137"/>
        <v>229540.95828460177</v>
      </c>
      <c r="AA228" s="254">
        <f t="shared" ca="1" si="137"/>
        <v>54.61730079464774</v>
      </c>
      <c r="AB228" s="253">
        <f t="shared" ca="1" si="137"/>
        <v>19.294886453068969</v>
      </c>
      <c r="AC228" s="253">
        <f t="shared" ca="1" si="137"/>
        <v>20.570577677824922</v>
      </c>
      <c r="AD228" s="253">
        <f t="shared" ca="1" si="137"/>
        <v>18.019195228313016</v>
      </c>
      <c r="AE228" s="253">
        <f t="shared" ca="1" si="137"/>
        <v>45.413810597743101</v>
      </c>
      <c r="AF228" s="253">
        <f t="shared" ca="1" si="137"/>
        <v>67.120563919469902</v>
      </c>
      <c r="AG228" s="254">
        <f t="shared" ca="1" si="137"/>
        <v>12998.297189136971</v>
      </c>
      <c r="AH228" s="253">
        <f t="shared" ca="1" si="137"/>
        <v>3878.7503200820506</v>
      </c>
      <c r="AI228" s="253">
        <f t="shared" ca="1" si="137"/>
        <v>4047.6072799007525</v>
      </c>
      <c r="AJ228" s="253">
        <f t="shared" ca="1" si="137"/>
        <v>3709.8933602633497</v>
      </c>
      <c r="AK228" s="253">
        <f t="shared" ref="AK228:AX228" ca="1" si="138">((AK271+AK292+AK313+AK334)-(AK355+AK376))*AK397</f>
        <v>10248.66660113595</v>
      </c>
      <c r="AL228" s="253">
        <f t="shared" ca="1" si="138"/>
        <v>15400.35664002625</v>
      </c>
      <c r="AM228" s="254">
        <f t="shared" ca="1" si="138"/>
        <v>12335.331305849377</v>
      </c>
      <c r="AN228" s="253">
        <f t="shared" ca="1" si="138"/>
        <v>3753.481702353507</v>
      </c>
      <c r="AO228" s="253">
        <f t="shared" ca="1" si="138"/>
        <v>3831.7062726998984</v>
      </c>
      <c r="AP228" s="253">
        <f t="shared" ca="1" si="138"/>
        <v>3675.2571320071152</v>
      </c>
      <c r="AQ228" s="253">
        <f t="shared" ca="1" si="138"/>
        <v>8694.8304308873376</v>
      </c>
      <c r="AR228" s="253">
        <f t="shared" ca="1" si="138"/>
        <v>12706.829237765758</v>
      </c>
      <c r="AS228" s="254">
        <f t="shared" ca="1" si="138"/>
        <v>322632.58434479381</v>
      </c>
      <c r="AT228" s="253">
        <f t="shared" ca="1" si="138"/>
        <v>13535.092477988857</v>
      </c>
      <c r="AU228" s="253">
        <f t="shared" ca="1" si="138"/>
        <v>24256.900052679197</v>
      </c>
      <c r="AV228" s="253">
        <f t="shared" ca="1" si="138"/>
        <v>2813.28490329853</v>
      </c>
      <c r="AW228" s="253">
        <f t="shared" ca="1" si="138"/>
        <v>306150.62135664717</v>
      </c>
      <c r="AX228" s="255">
        <f t="shared" ca="1" si="138"/>
        <v>537812.35196011548</v>
      </c>
      <c r="AY228" s="1"/>
      <c r="AZ228" s="1355"/>
      <c r="BA228" s="1"/>
      <c r="BB228" s="602" t="s">
        <v>122</v>
      </c>
      <c r="BC228" s="445" t="s">
        <v>693</v>
      </c>
      <c r="BD228" s="239">
        <f t="shared" ref="BD228:BX228" si="139">SUMPRODUCT(T$434:T$446,$P$434:$P$446,$AQ$434:$AQ$446)*$CF$217*$CF$228</f>
        <v>0</v>
      </c>
      <c r="BE228" s="238">
        <f t="shared" si="139"/>
        <v>0</v>
      </c>
      <c r="BF228" s="238">
        <f t="shared" si="139"/>
        <v>0</v>
      </c>
      <c r="BG228" s="238">
        <f t="shared" si="139"/>
        <v>0</v>
      </c>
      <c r="BH228" s="238">
        <f t="shared" si="139"/>
        <v>0</v>
      </c>
      <c r="BI228" s="238">
        <f t="shared" si="139"/>
        <v>0</v>
      </c>
      <c r="BJ228" s="238">
        <f t="shared" si="139"/>
        <v>0</v>
      </c>
      <c r="BK228" s="238">
        <f t="shared" si="139"/>
        <v>0</v>
      </c>
      <c r="BL228" s="238">
        <f t="shared" si="139"/>
        <v>0</v>
      </c>
      <c r="BM228" s="238">
        <f t="shared" si="139"/>
        <v>0</v>
      </c>
      <c r="BN228" s="238">
        <f t="shared" si="139"/>
        <v>0</v>
      </c>
      <c r="BO228" s="238">
        <f t="shared" si="139"/>
        <v>0</v>
      </c>
      <c r="BP228" s="238">
        <f t="shared" si="139"/>
        <v>0</v>
      </c>
      <c r="BQ228" s="238">
        <f t="shared" si="139"/>
        <v>0</v>
      </c>
      <c r="BR228" s="238">
        <f t="shared" si="139"/>
        <v>0</v>
      </c>
      <c r="BS228" s="238">
        <f t="shared" si="139"/>
        <v>0</v>
      </c>
      <c r="BT228" s="238">
        <f t="shared" si="139"/>
        <v>0</v>
      </c>
      <c r="BU228" s="238">
        <f t="shared" si="139"/>
        <v>0</v>
      </c>
      <c r="BV228" s="388">
        <f t="shared" si="139"/>
        <v>0</v>
      </c>
      <c r="BW228" s="389">
        <f t="shared" si="139"/>
        <v>0</v>
      </c>
      <c r="BX228" s="240">
        <f t="shared" si="139"/>
        <v>0</v>
      </c>
      <c r="BY228" s="220"/>
      <c r="CD228" s="973" t="s">
        <v>1541</v>
      </c>
      <c r="CE228" s="209"/>
      <c r="CF228" s="939">
        <v>0.24</v>
      </c>
      <c r="CG228" s="966" t="s">
        <v>1649</v>
      </c>
    </row>
    <row r="229" spans="2:85" ht="15" customHeight="1" x14ac:dyDescent="0.25">
      <c r="B229" s="1343"/>
      <c r="D229" s="1355"/>
      <c r="F229" s="265"/>
      <c r="G229" s="209" t="s">
        <v>112</v>
      </c>
      <c r="H229" s="209"/>
      <c r="I229" s="253">
        <f t="shared" ref="I229:AJ229" ca="1" si="140">((I272+I293+I314+I335)-(I356+I377))*I398</f>
        <v>2945.0596889284543</v>
      </c>
      <c r="J229" s="253">
        <f t="shared" ca="1" si="140"/>
        <v>61.064475889187833</v>
      </c>
      <c r="K229" s="253">
        <f t="shared" ca="1" si="140"/>
        <v>124.70520762974172</v>
      </c>
      <c r="L229" s="253">
        <f t="shared" ca="1" si="140"/>
        <v>-2.5762558513660268</v>
      </c>
      <c r="M229" s="253">
        <f t="shared" ca="1" si="140"/>
        <v>248.47784379144298</v>
      </c>
      <c r="N229" s="253">
        <f t="shared" ca="1" si="140"/>
        <v>459.37920400941942</v>
      </c>
      <c r="O229" s="254">
        <f t="shared" ca="1" si="140"/>
        <v>28474.974875516986</v>
      </c>
      <c r="P229" s="253">
        <f t="shared" ca="1" si="140"/>
        <v>-9484.0514653578884</v>
      </c>
      <c r="Q229" s="253">
        <f t="shared" ca="1" si="140"/>
        <v>-8819.3402838792917</v>
      </c>
      <c r="R229" s="253">
        <f t="shared" ca="1" si="140"/>
        <v>-10148.762646836485</v>
      </c>
      <c r="S229" s="253">
        <f t="shared" ca="1" si="140"/>
        <v>-8820.4855126593502</v>
      </c>
      <c r="T229" s="253">
        <f t="shared" ca="1" si="140"/>
        <v>-6892.1844397646064</v>
      </c>
      <c r="U229" s="254">
        <f t="shared" ca="1" si="140"/>
        <v>151838.28858552067</v>
      </c>
      <c r="V229" s="253">
        <f t="shared" ca="1" si="140"/>
        <v>5941.1817264033543</v>
      </c>
      <c r="W229" s="253">
        <f t="shared" ca="1" si="140"/>
        <v>11413.643041885596</v>
      </c>
      <c r="X229" s="253">
        <f t="shared" ca="1" si="140"/>
        <v>468.72041092111192</v>
      </c>
      <c r="Y229" s="253">
        <f t="shared" ca="1" si="140"/>
        <v>147070.10318985028</v>
      </c>
      <c r="Z229" s="253">
        <f t="shared" ca="1" si="140"/>
        <v>241727.69742385446</v>
      </c>
      <c r="AA229" s="254">
        <f t="shared" ca="1" si="140"/>
        <v>72.932862329353483</v>
      </c>
      <c r="AB229" s="253">
        <f t="shared" ca="1" si="140"/>
        <v>19.778530844036002</v>
      </c>
      <c r="AC229" s="253">
        <f t="shared" ca="1" si="140"/>
        <v>21.882188951204615</v>
      </c>
      <c r="AD229" s="253">
        <f t="shared" ca="1" si="140"/>
        <v>17.674872736867385</v>
      </c>
      <c r="AE229" s="253">
        <f t="shared" ca="1" si="140"/>
        <v>46.305322962217502</v>
      </c>
      <c r="AF229" s="253">
        <f t="shared" ca="1" si="140"/>
        <v>68.204078893829845</v>
      </c>
      <c r="AG229" s="254">
        <f t="shared" ca="1" si="140"/>
        <v>18666.376080936167</v>
      </c>
      <c r="AH229" s="253">
        <f t="shared" ca="1" si="140"/>
        <v>4089.017625665273</v>
      </c>
      <c r="AI229" s="253">
        <f t="shared" ca="1" si="140"/>
        <v>4329.0364995513</v>
      </c>
      <c r="AJ229" s="253">
        <f t="shared" ca="1" si="140"/>
        <v>3848.998751779247</v>
      </c>
      <c r="AK229" s="253">
        <f t="shared" ref="AK229:AX229" ca="1" si="141">((AK272+AK293+AK314+AK335)-(AK356+AK377))*AK398</f>
        <v>10568.15998246128</v>
      </c>
      <c r="AL229" s="253">
        <f t="shared" ca="1" si="141"/>
        <v>15759.40743267992</v>
      </c>
      <c r="AM229" s="254">
        <f t="shared" ca="1" si="141"/>
        <v>18819.954080021733</v>
      </c>
      <c r="AN229" s="253">
        <f t="shared" ca="1" si="141"/>
        <v>3665.5460294547534</v>
      </c>
      <c r="AO229" s="253">
        <f t="shared" ca="1" si="141"/>
        <v>3821.341280666376</v>
      </c>
      <c r="AP229" s="253">
        <f t="shared" ca="1" si="141"/>
        <v>3509.7507782431303</v>
      </c>
      <c r="AQ229" s="253">
        <f t="shared" ca="1" si="141"/>
        <v>8574.3432545734649</v>
      </c>
      <c r="AR229" s="253">
        <f t="shared" ca="1" si="141"/>
        <v>12568.51833049412</v>
      </c>
      <c r="AS229" s="254">
        <f t="shared" ca="1" si="141"/>
        <v>367606.20381846349</v>
      </c>
      <c r="AT229" s="253">
        <f t="shared" ca="1" si="141"/>
        <v>20503.028880625639</v>
      </c>
      <c r="AU229" s="253">
        <f t="shared" ca="1" si="141"/>
        <v>37778.532153290849</v>
      </c>
      <c r="AV229" s="253">
        <f t="shared" ca="1" si="141"/>
        <v>3227.5256079604405</v>
      </c>
      <c r="AW229" s="253">
        <f t="shared" ca="1" si="141"/>
        <v>317322.27731777198</v>
      </c>
      <c r="AX229" s="255">
        <f t="shared" ca="1" si="141"/>
        <v>549797.86818857852</v>
      </c>
      <c r="AY229" s="1"/>
      <c r="AZ229" s="1355"/>
      <c r="BA229" s="1"/>
      <c r="BB229" s="603" t="s">
        <v>122</v>
      </c>
      <c r="BC229" s="447" t="s">
        <v>694</v>
      </c>
      <c r="BD229" s="242">
        <f t="shared" ref="BD229:BX229" si="142">SUMPRODUCT(T$434:T$446,$Q$434:$Q$446,$AQ$434:$AQ$446)*$CF$218*$CF$229</f>
        <v>0</v>
      </c>
      <c r="BE229" s="243">
        <f t="shared" si="142"/>
        <v>0</v>
      </c>
      <c r="BF229" s="243">
        <f t="shared" si="142"/>
        <v>0</v>
      </c>
      <c r="BG229" s="243">
        <f t="shared" si="142"/>
        <v>0</v>
      </c>
      <c r="BH229" s="243">
        <f t="shared" si="142"/>
        <v>0</v>
      </c>
      <c r="BI229" s="243">
        <f t="shared" si="142"/>
        <v>0</v>
      </c>
      <c r="BJ229" s="243">
        <f t="shared" si="142"/>
        <v>0</v>
      </c>
      <c r="BK229" s="243">
        <f t="shared" si="142"/>
        <v>0</v>
      </c>
      <c r="BL229" s="243">
        <f t="shared" si="142"/>
        <v>0</v>
      </c>
      <c r="BM229" s="243">
        <f t="shared" si="142"/>
        <v>0</v>
      </c>
      <c r="BN229" s="243">
        <f t="shared" si="142"/>
        <v>0</v>
      </c>
      <c r="BO229" s="243">
        <f t="shared" si="142"/>
        <v>0</v>
      </c>
      <c r="BP229" s="243">
        <f t="shared" si="142"/>
        <v>0</v>
      </c>
      <c r="BQ229" s="243">
        <f t="shared" si="142"/>
        <v>0</v>
      </c>
      <c r="BR229" s="243">
        <f t="shared" si="142"/>
        <v>0</v>
      </c>
      <c r="BS229" s="243">
        <f t="shared" si="142"/>
        <v>0</v>
      </c>
      <c r="BT229" s="243">
        <f t="shared" si="142"/>
        <v>0</v>
      </c>
      <c r="BU229" s="243">
        <f t="shared" si="142"/>
        <v>0</v>
      </c>
      <c r="BV229" s="395">
        <f t="shared" si="142"/>
        <v>0</v>
      </c>
      <c r="BW229" s="396">
        <f t="shared" si="142"/>
        <v>0</v>
      </c>
      <c r="BX229" s="244">
        <f t="shared" si="142"/>
        <v>0</v>
      </c>
      <c r="BY229" s="220"/>
      <c r="CD229" s="973" t="s">
        <v>1538</v>
      </c>
      <c r="CE229" s="209"/>
      <c r="CF229" s="944">
        <v>5.2999999999999999E-2</v>
      </c>
    </row>
    <row r="230" spans="2:85" x14ac:dyDescent="0.25">
      <c r="B230" s="1343"/>
      <c r="D230" s="1355"/>
      <c r="F230" s="265"/>
      <c r="G230" s="209" t="s">
        <v>110</v>
      </c>
      <c r="H230" s="209"/>
      <c r="I230" s="253">
        <f t="shared" ref="I230:AJ230" ca="1" si="143">((I273+I294+I315+I336)-(I357+I378))*I399</f>
        <v>1547.6352976427715</v>
      </c>
      <c r="J230" s="253">
        <f t="shared" ca="1" si="143"/>
        <v>238.24318645412899</v>
      </c>
      <c r="K230" s="253">
        <f t="shared" ca="1" si="143"/>
        <v>246.18214408469689</v>
      </c>
      <c r="L230" s="253">
        <f t="shared" ca="1" si="143"/>
        <v>230.30422882356106</v>
      </c>
      <c r="M230" s="253">
        <f t="shared" ca="1" si="143"/>
        <v>528.94997600211877</v>
      </c>
      <c r="N230" s="253">
        <f t="shared" ca="1" si="143"/>
        <v>796.27081520820366</v>
      </c>
      <c r="O230" s="254">
        <f t="shared" ca="1" si="143"/>
        <v>5289.6174759442029</v>
      </c>
      <c r="P230" s="253">
        <f t="shared" ca="1" si="143"/>
        <v>-7618.8106014885598</v>
      </c>
      <c r="Q230" s="253">
        <f t="shared" ca="1" si="143"/>
        <v>-7543.7897592329728</v>
      </c>
      <c r="R230" s="253">
        <f t="shared" ca="1" si="143"/>
        <v>-7693.8314437441477</v>
      </c>
      <c r="S230" s="253">
        <f t="shared" ca="1" si="143"/>
        <v>-6414.6955127227602</v>
      </c>
      <c r="T230" s="253">
        <f t="shared" ca="1" si="143"/>
        <v>-4288.490207857084</v>
      </c>
      <c r="U230" s="254">
        <f t="shared" ca="1" si="143"/>
        <v>145632.81964887769</v>
      </c>
      <c r="V230" s="253">
        <f t="shared" ca="1" si="143"/>
        <v>8541.9083804061247</v>
      </c>
      <c r="W230" s="253">
        <f t="shared" ca="1" si="143"/>
        <v>11658.823875616436</v>
      </c>
      <c r="X230" s="253">
        <f t="shared" ca="1" si="143"/>
        <v>5424.9928851958102</v>
      </c>
      <c r="Y230" s="253">
        <f t="shared" ca="1" si="143"/>
        <v>149851.37735773742</v>
      </c>
      <c r="Z230" s="253">
        <f t="shared" ca="1" si="143"/>
        <v>244521.56534425777</v>
      </c>
      <c r="AA230" s="254">
        <f t="shared" ca="1" si="143"/>
        <v>58.635097597093313</v>
      </c>
      <c r="AB230" s="253">
        <f t="shared" ca="1" si="143"/>
        <v>22.841513513209406</v>
      </c>
      <c r="AC230" s="253">
        <f t="shared" ca="1" si="143"/>
        <v>23.66334440770023</v>
      </c>
      <c r="AD230" s="253">
        <f t="shared" ca="1" si="143"/>
        <v>22.019682618718583</v>
      </c>
      <c r="AE230" s="253">
        <f t="shared" ca="1" si="143"/>
        <v>50.859740635105112</v>
      </c>
      <c r="AF230" s="253">
        <f t="shared" ca="1" si="143"/>
        <v>73.440052572027099</v>
      </c>
      <c r="AG230" s="254">
        <f t="shared" ca="1" si="143"/>
        <v>13506.067337158151</v>
      </c>
      <c r="AH230" s="253">
        <f t="shared" ca="1" si="143"/>
        <v>4355.0354229183422</v>
      </c>
      <c r="AI230" s="253">
        <f t="shared" ca="1" si="143"/>
        <v>4464.2069052460765</v>
      </c>
      <c r="AJ230" s="253">
        <f t="shared" ca="1" si="143"/>
        <v>4245.8639405906079</v>
      </c>
      <c r="AK230" s="253">
        <f t="shared" ref="AK230:AX230" ca="1" si="144">((AK273+AK294+AK315+AK336)-(AK357+AK378))*AK399</f>
        <v>10943.984918164953</v>
      </c>
      <c r="AL230" s="253">
        <f t="shared" ca="1" si="144"/>
        <v>16174.459190293528</v>
      </c>
      <c r="AM230" s="254">
        <f t="shared" ca="1" si="144"/>
        <v>12666.189750253729</v>
      </c>
      <c r="AN230" s="253">
        <f t="shared" ca="1" si="144"/>
        <v>3955.7816646977708</v>
      </c>
      <c r="AO230" s="253">
        <f t="shared" ca="1" si="144"/>
        <v>4006.1978404981446</v>
      </c>
      <c r="AP230" s="253">
        <f t="shared" ca="1" si="144"/>
        <v>3905.3654888973965</v>
      </c>
      <c r="AQ230" s="253">
        <f t="shared" ca="1" si="144"/>
        <v>9086.8487212806467</v>
      </c>
      <c r="AR230" s="253">
        <f t="shared" ca="1" si="144"/>
        <v>13204.091848194943</v>
      </c>
      <c r="AS230" s="254">
        <f t="shared" ca="1" si="144"/>
        <v>356539.32995721861</v>
      </c>
      <c r="AT230" s="253">
        <f t="shared" ca="1" si="144"/>
        <v>44259.694716759877</v>
      </c>
      <c r="AU230" s="253">
        <f t="shared" ca="1" si="144"/>
        <v>51157.381819226335</v>
      </c>
      <c r="AV230" s="253">
        <f t="shared" ca="1" si="144"/>
        <v>37362.007614293412</v>
      </c>
      <c r="AW230" s="253">
        <f t="shared" ca="1" si="144"/>
        <v>355259.22258296452</v>
      </c>
      <c r="AX230" s="255">
        <f t="shared" ca="1" si="144"/>
        <v>590116.88986666838</v>
      </c>
      <c r="AY230" s="1"/>
      <c r="AZ230" s="1355"/>
      <c r="BA230" s="1"/>
      <c r="BB230" s="448"/>
      <c r="BC230" s="397" t="s">
        <v>705</v>
      </c>
      <c r="BD230" s="398">
        <f t="shared" ref="BD230:BD237" si="145">IFERROR(BD222/BD214,0)</f>
        <v>0</v>
      </c>
      <c r="BE230" s="399">
        <f t="shared" ref="BE230:BF230" si="146">IFERROR(BE222/BE214,0)</f>
        <v>0</v>
      </c>
      <c r="BF230" s="399">
        <f t="shared" si="146"/>
        <v>0</v>
      </c>
      <c r="BG230" s="399">
        <f t="shared" ref="BG230:BW230" si="147">IFERROR(BG222/BG214,0)</f>
        <v>0</v>
      </c>
      <c r="BH230" s="399">
        <f t="shared" si="147"/>
        <v>0</v>
      </c>
      <c r="BI230" s="399">
        <f t="shared" si="147"/>
        <v>0</v>
      </c>
      <c r="BJ230" s="399">
        <f t="shared" si="147"/>
        <v>0</v>
      </c>
      <c r="BK230" s="399">
        <f t="shared" si="147"/>
        <v>0</v>
      </c>
      <c r="BL230" s="399">
        <f t="shared" si="147"/>
        <v>0</v>
      </c>
      <c r="BM230" s="399">
        <f t="shared" si="147"/>
        <v>0</v>
      </c>
      <c r="BN230" s="399">
        <f t="shared" si="147"/>
        <v>0</v>
      </c>
      <c r="BO230" s="399">
        <f t="shared" si="147"/>
        <v>0</v>
      </c>
      <c r="BP230" s="399">
        <f t="shared" si="147"/>
        <v>0</v>
      </c>
      <c r="BQ230" s="399">
        <f t="shared" si="147"/>
        <v>0</v>
      </c>
      <c r="BR230" s="399">
        <f t="shared" si="147"/>
        <v>0</v>
      </c>
      <c r="BS230" s="399">
        <f t="shared" si="147"/>
        <v>0</v>
      </c>
      <c r="BT230" s="399">
        <f t="shared" si="147"/>
        <v>0</v>
      </c>
      <c r="BU230" s="399">
        <f t="shared" si="147"/>
        <v>0</v>
      </c>
      <c r="BV230" s="400">
        <f t="shared" si="147"/>
        <v>0</v>
      </c>
      <c r="BW230" s="401">
        <f t="shared" si="147"/>
        <v>0</v>
      </c>
      <c r="BX230" s="402">
        <f t="shared" ref="BX230" si="148">IFERROR(BX222/BX214,0)</f>
        <v>0</v>
      </c>
      <c r="BY230" s="220"/>
      <c r="CD230" s="974" t="s">
        <v>1539</v>
      </c>
      <c r="CE230" s="211"/>
      <c r="CF230" s="945">
        <v>0.05</v>
      </c>
    </row>
    <row r="231" spans="2:85" x14ac:dyDescent="0.25">
      <c r="B231" s="1343"/>
      <c r="D231" s="1355"/>
      <c r="F231" s="265"/>
      <c r="G231" s="209" t="s">
        <v>100</v>
      </c>
      <c r="H231" s="209"/>
      <c r="I231" s="253">
        <f t="shared" ref="I231:AJ231" ca="1" si="149">((I274+I295+I316+I337)-(I358+I379))*I400</f>
        <v>1828.8520870835098</v>
      </c>
      <c r="J231" s="253">
        <f t="shared" ca="1" si="149"/>
        <v>254.78803562282283</v>
      </c>
      <c r="K231" s="253">
        <f t="shared" ca="1" si="149"/>
        <v>257.95860840614336</v>
      </c>
      <c r="L231" s="253">
        <f t="shared" ca="1" si="149"/>
        <v>251.61746283950234</v>
      </c>
      <c r="M231" s="253">
        <f t="shared" ca="1" si="149"/>
        <v>555.45475650588435</v>
      </c>
      <c r="N231" s="253">
        <f t="shared" ca="1" si="149"/>
        <v>828.22565499400423</v>
      </c>
      <c r="O231" s="254">
        <f t="shared" ca="1" si="149"/>
        <v>-7157.8514395482016</v>
      </c>
      <c r="P231" s="253">
        <f t="shared" ca="1" si="149"/>
        <v>-15587.673925029083</v>
      </c>
      <c r="Q231" s="253">
        <f t="shared" ca="1" si="149"/>
        <v>-14504.598679602703</v>
      </c>
      <c r="R231" s="253">
        <f t="shared" ca="1" si="149"/>
        <v>-16670.749170455467</v>
      </c>
      <c r="S231" s="253">
        <f t="shared" ca="1" si="149"/>
        <v>-16231.677800447065</v>
      </c>
      <c r="T231" s="253">
        <f t="shared" ca="1" si="149"/>
        <v>-14822.267922720001</v>
      </c>
      <c r="U231" s="254">
        <f t="shared" ca="1" si="149"/>
        <v>135312.30923133742</v>
      </c>
      <c r="V231" s="253">
        <f t="shared" ca="1" si="149"/>
        <v>-2295.2073823909773</v>
      </c>
      <c r="W231" s="253">
        <f t="shared" ca="1" si="149"/>
        <v>1279.8935706778477</v>
      </c>
      <c r="X231" s="253">
        <f t="shared" ca="1" si="149"/>
        <v>-5870.3083354598084</v>
      </c>
      <c r="Y231" s="253">
        <f t="shared" ca="1" si="149"/>
        <v>138260.55193115849</v>
      </c>
      <c r="Z231" s="253">
        <f t="shared" ca="1" si="149"/>
        <v>232871.93744427065</v>
      </c>
      <c r="AA231" s="254">
        <f t="shared" ca="1" si="149"/>
        <v>33.84441999061476</v>
      </c>
      <c r="AB231" s="253">
        <f t="shared" ca="1" si="149"/>
        <v>8.2429084778529873</v>
      </c>
      <c r="AC231" s="253">
        <f t="shared" ca="1" si="149"/>
        <v>10.831546183441221</v>
      </c>
      <c r="AD231" s="253">
        <f t="shared" ca="1" si="149"/>
        <v>5.6542707722647521</v>
      </c>
      <c r="AE231" s="253">
        <f t="shared" ca="1" si="149"/>
        <v>28.753419630731248</v>
      </c>
      <c r="AF231" s="253">
        <f t="shared" ca="1" si="149"/>
        <v>47.867771839324142</v>
      </c>
      <c r="AG231" s="254">
        <f t="shared" ca="1" si="149"/>
        <v>10734.935099229067</v>
      </c>
      <c r="AH231" s="253">
        <f t="shared" ca="1" si="149"/>
        <v>2416.3808154002559</v>
      </c>
      <c r="AI231" s="253">
        <f t="shared" ca="1" si="149"/>
        <v>2755.9304913602577</v>
      </c>
      <c r="AJ231" s="253">
        <f t="shared" ca="1" si="149"/>
        <v>2076.831139440254</v>
      </c>
      <c r="AK231" s="253">
        <f t="shared" ref="AK231:AX231" ca="1" si="150">((AK274+AK295+AK316+AK337)-(AK358+AK379))*AK400</f>
        <v>8135.4293029213404</v>
      </c>
      <c r="AL231" s="253">
        <f t="shared" ca="1" si="150"/>
        <v>13051.858704200991</v>
      </c>
      <c r="AM231" s="254">
        <f t="shared" ca="1" si="150"/>
        <v>15895.840225303564</v>
      </c>
      <c r="AN231" s="253">
        <f t="shared" ca="1" si="150"/>
        <v>4047.9209359899528</v>
      </c>
      <c r="AO231" s="253">
        <f t="shared" ca="1" si="150"/>
        <v>4069.6174246746796</v>
      </c>
      <c r="AP231" s="253">
        <f t="shared" ca="1" si="150"/>
        <v>4026.2244473052251</v>
      </c>
      <c r="AQ231" s="253">
        <f t="shared" ca="1" si="150"/>
        <v>9258.7362086857029</v>
      </c>
      <c r="AR231" s="253">
        <f t="shared" ca="1" si="150"/>
        <v>13420.177342535211</v>
      </c>
      <c r="AS231" s="254">
        <f t="shared" ca="1" si="150"/>
        <v>224894.73816751986</v>
      </c>
      <c r="AT231" s="253">
        <f t="shared" ca="1" si="150"/>
        <v>-30207.177492490286</v>
      </c>
      <c r="AU231" s="253">
        <f t="shared" ca="1" si="150"/>
        <v>-15400.711282517526</v>
      </c>
      <c r="AV231" s="253">
        <f t="shared" ca="1" si="150"/>
        <v>-45013.64370246308</v>
      </c>
      <c r="AW231" s="253">
        <f t="shared" ca="1" si="150"/>
        <v>237363.08136151664</v>
      </c>
      <c r="AX231" s="255">
        <f t="shared" ca="1" si="150"/>
        <v>464614.90508286725</v>
      </c>
      <c r="AY231" s="1"/>
      <c r="AZ231" s="1355"/>
      <c r="BA231" s="1"/>
      <c r="BB231" s="449"/>
      <c r="BC231" s="403" t="s">
        <v>695</v>
      </c>
      <c r="BD231" s="404">
        <f t="shared" si="145"/>
        <v>1</v>
      </c>
      <c r="BE231" s="405">
        <f t="shared" ref="BE231:BF231" si="151">IFERROR(BE223/BE215,0)</f>
        <v>1</v>
      </c>
      <c r="BF231" s="405">
        <f t="shared" si="151"/>
        <v>1</v>
      </c>
      <c r="BG231" s="405">
        <f t="shared" ref="BG231:BW231" si="152">IFERROR(BG223/BG215,0)</f>
        <v>1</v>
      </c>
      <c r="BH231" s="405">
        <f t="shared" si="152"/>
        <v>1</v>
      </c>
      <c r="BI231" s="405">
        <f t="shared" si="152"/>
        <v>1</v>
      </c>
      <c r="BJ231" s="405">
        <f t="shared" si="152"/>
        <v>0</v>
      </c>
      <c r="BK231" s="405">
        <f t="shared" si="152"/>
        <v>1</v>
      </c>
      <c r="BL231" s="405">
        <f t="shared" si="152"/>
        <v>1</v>
      </c>
      <c r="BM231" s="405">
        <f t="shared" si="152"/>
        <v>1</v>
      </c>
      <c r="BN231" s="405">
        <f t="shared" si="152"/>
        <v>1</v>
      </c>
      <c r="BO231" s="405">
        <f t="shared" si="152"/>
        <v>1</v>
      </c>
      <c r="BP231" s="405">
        <f t="shared" si="152"/>
        <v>1</v>
      </c>
      <c r="BQ231" s="405">
        <f t="shared" si="152"/>
        <v>1</v>
      </c>
      <c r="BR231" s="405">
        <f t="shared" si="152"/>
        <v>1</v>
      </c>
      <c r="BS231" s="405">
        <f t="shared" si="152"/>
        <v>1</v>
      </c>
      <c r="BT231" s="405">
        <f t="shared" si="152"/>
        <v>1</v>
      </c>
      <c r="BU231" s="405">
        <f t="shared" si="152"/>
        <v>1</v>
      </c>
      <c r="BV231" s="406">
        <f t="shared" si="152"/>
        <v>1</v>
      </c>
      <c r="BW231" s="407">
        <f t="shared" si="152"/>
        <v>0</v>
      </c>
      <c r="BX231" s="408">
        <f t="shared" ref="BX231" si="153">IFERROR(BX223/BX215,0)</f>
        <v>0</v>
      </c>
      <c r="BY231" s="409"/>
      <c r="BZ231"/>
      <c r="CD231" s="960"/>
      <c r="CF231" s="947"/>
    </row>
    <row r="232" spans="2:85" x14ac:dyDescent="0.25">
      <c r="B232" s="1343"/>
      <c r="D232" s="1355"/>
      <c r="F232" s="265"/>
      <c r="G232" s="256" t="s">
        <v>101</v>
      </c>
      <c r="H232" s="209"/>
      <c r="I232" s="257">
        <f t="shared" ref="I232:AJ232" ca="1" si="154">((I275+I296+I317+I338)-(I359+I380))*I401</f>
        <v>2222.5025033307738</v>
      </c>
      <c r="J232" s="257">
        <f t="shared" ca="1" si="154"/>
        <v>247.80516990700025</v>
      </c>
      <c r="K232" s="257">
        <f t="shared" ca="1" si="154"/>
        <v>251.2571810359749</v>
      </c>
      <c r="L232" s="257">
        <f t="shared" ca="1" si="154"/>
        <v>244.3531587780256</v>
      </c>
      <c r="M232" s="257">
        <f t="shared" ca="1" si="154"/>
        <v>544.46160478758827</v>
      </c>
      <c r="N232" s="257">
        <f t="shared" ca="1" si="154"/>
        <v>815.04070944406226</v>
      </c>
      <c r="O232" s="258">
        <f t="shared" ca="1" si="154"/>
        <v>-7469.6464664252198</v>
      </c>
      <c r="P232" s="257">
        <f t="shared" ca="1" si="154"/>
        <v>-17899.790709377317</v>
      </c>
      <c r="Q232" s="257">
        <f t="shared" ca="1" si="154"/>
        <v>-16722.886425171109</v>
      </c>
      <c r="R232" s="257">
        <f t="shared" ca="1" si="154"/>
        <v>-19076.694993583526</v>
      </c>
      <c r="S232" s="257">
        <f t="shared" ca="1" si="154"/>
        <v>-19181.14411187392</v>
      </c>
      <c r="T232" s="257">
        <f t="shared" ca="1" si="154"/>
        <v>-18007.30288262678</v>
      </c>
      <c r="U232" s="258">
        <f t="shared" ca="1" si="154"/>
        <v>131207.48296351131</v>
      </c>
      <c r="V232" s="257">
        <f t="shared" ca="1" si="154"/>
        <v>-5639.1535417135319</v>
      </c>
      <c r="W232" s="257">
        <f t="shared" ca="1" si="154"/>
        <v>-2243.6123861159149</v>
      </c>
      <c r="X232" s="257">
        <f t="shared" ca="1" si="154"/>
        <v>-9034.6946973111499</v>
      </c>
      <c r="Y232" s="257">
        <f t="shared" ca="1" si="154"/>
        <v>134681.78300303209</v>
      </c>
      <c r="Z232" s="257">
        <f t="shared" ca="1" si="154"/>
        <v>229275.89341846781</v>
      </c>
      <c r="AA232" s="258">
        <f t="shared" ca="1" si="154"/>
        <v>25.20732623929683</v>
      </c>
      <c r="AB232" s="257">
        <f t="shared" ca="1" si="154"/>
        <v>2.6108580566137674</v>
      </c>
      <c r="AC232" s="257">
        <f t="shared" ca="1" si="154"/>
        <v>5.4238848751753963</v>
      </c>
      <c r="AD232" s="257">
        <f t="shared" ca="1" si="154"/>
        <v>-0.20216876194786493</v>
      </c>
      <c r="AE232" s="257">
        <f t="shared" ca="1" si="154"/>
        <v>20.369176056096336</v>
      </c>
      <c r="AF232" s="257">
        <f t="shared" ca="1" si="154"/>
        <v>38.218303175384641</v>
      </c>
      <c r="AG232" s="258">
        <f t="shared" ca="1" si="154"/>
        <v>10377.825843930572</v>
      </c>
      <c r="AH232" s="257">
        <f t="shared" ca="1" si="154"/>
        <v>1676.6283298104579</v>
      </c>
      <c r="AI232" s="257">
        <f t="shared" ca="1" si="154"/>
        <v>2046.0624544914358</v>
      </c>
      <c r="AJ232" s="257">
        <f t="shared" ca="1" si="154"/>
        <v>1307.1942051294805</v>
      </c>
      <c r="AK232" s="257">
        <f t="shared" ref="AK232:AX232" ca="1" si="155">((AK275+AK296+AK317+AK338)-(AK359+AK380))*AK401</f>
        <v>7078.6936808610772</v>
      </c>
      <c r="AL232" s="257">
        <f t="shared" ca="1" si="155"/>
        <v>11881.1347612926</v>
      </c>
      <c r="AM232" s="258">
        <f t="shared" ca="1" si="155"/>
        <v>18918.143456193637</v>
      </c>
      <c r="AN232" s="257">
        <f t="shared" ca="1" si="155"/>
        <v>4055.5301450138081</v>
      </c>
      <c r="AO232" s="257">
        <f t="shared" ca="1" si="155"/>
        <v>4072.3874160110968</v>
      </c>
      <c r="AP232" s="257">
        <f t="shared" ca="1" si="155"/>
        <v>4038.672874016519</v>
      </c>
      <c r="AQ232" s="257">
        <f t="shared" ca="1" si="155"/>
        <v>9277.9925822170062</v>
      </c>
      <c r="AR232" s="257">
        <f t="shared" ca="1" si="155"/>
        <v>13445.898167063233</v>
      </c>
      <c r="AS232" s="258">
        <f t="shared" ca="1" si="155"/>
        <v>243615.74182737022</v>
      </c>
      <c r="AT232" s="257">
        <f t="shared" ca="1" si="155"/>
        <v>-23370.901743059068</v>
      </c>
      <c r="AU232" s="257">
        <f t="shared" ca="1" si="155"/>
        <v>-11697.963076689506</v>
      </c>
      <c r="AV232" s="257">
        <f t="shared" ca="1" si="155"/>
        <v>-35043.840409428609</v>
      </c>
      <c r="AW232" s="257">
        <f t="shared" ca="1" si="155"/>
        <v>247680.56196606497</v>
      </c>
      <c r="AX232" s="259">
        <f t="shared" ca="1" si="155"/>
        <v>475615.43767253682</v>
      </c>
      <c r="AY232" s="1"/>
      <c r="AZ232" s="1355"/>
      <c r="BA232" s="1"/>
      <c r="BB232" s="449"/>
      <c r="BC232" s="403" t="s">
        <v>1527</v>
      </c>
      <c r="BD232" s="404">
        <f t="shared" si="145"/>
        <v>0</v>
      </c>
      <c r="BE232" s="405">
        <f t="shared" ref="BE232:BF232" si="156">IFERROR(BE224/BE216,0)</f>
        <v>0</v>
      </c>
      <c r="BF232" s="405">
        <f t="shared" si="156"/>
        <v>0</v>
      </c>
      <c r="BG232" s="405">
        <f t="shared" ref="BG232:BW232" si="157">IFERROR(BG224/BG216,0)</f>
        <v>0</v>
      </c>
      <c r="BH232" s="405">
        <f t="shared" si="157"/>
        <v>0</v>
      </c>
      <c r="BI232" s="405">
        <f t="shared" si="157"/>
        <v>0</v>
      </c>
      <c r="BJ232" s="405">
        <f t="shared" si="157"/>
        <v>0</v>
      </c>
      <c r="BK232" s="405">
        <f t="shared" si="157"/>
        <v>0</v>
      </c>
      <c r="BL232" s="405">
        <f t="shared" si="157"/>
        <v>0</v>
      </c>
      <c r="BM232" s="405">
        <f t="shared" si="157"/>
        <v>0</v>
      </c>
      <c r="BN232" s="405">
        <f t="shared" si="157"/>
        <v>0</v>
      </c>
      <c r="BO232" s="405">
        <f t="shared" si="157"/>
        <v>0</v>
      </c>
      <c r="BP232" s="405">
        <f t="shared" si="157"/>
        <v>0</v>
      </c>
      <c r="BQ232" s="405">
        <f t="shared" si="157"/>
        <v>0</v>
      </c>
      <c r="BR232" s="405">
        <f t="shared" si="157"/>
        <v>0</v>
      </c>
      <c r="BS232" s="405">
        <f t="shared" si="157"/>
        <v>0</v>
      </c>
      <c r="BT232" s="405">
        <f t="shared" si="157"/>
        <v>0</v>
      </c>
      <c r="BU232" s="405">
        <f t="shared" si="157"/>
        <v>0</v>
      </c>
      <c r="BV232" s="406">
        <f t="shared" si="157"/>
        <v>0</v>
      </c>
      <c r="BW232" s="407">
        <f t="shared" si="157"/>
        <v>0</v>
      </c>
      <c r="BX232" s="408">
        <f t="shared" ref="BX232" si="158">IFERROR(BX224/BX216,0)</f>
        <v>0</v>
      </c>
      <c r="BY232" s="220"/>
      <c r="CD232" s="961" t="str">
        <f t="shared" ref="CD232:CD247" si="159">G433</f>
        <v>Fertilizer</v>
      </c>
      <c r="CE232" s="300"/>
      <c r="CF232" s="956"/>
      <c r="CG232" s="957"/>
    </row>
    <row r="233" spans="2:85" x14ac:dyDescent="0.25">
      <c r="B233" s="1343"/>
      <c r="D233" s="1355"/>
      <c r="F233" s="265"/>
      <c r="G233" s="209" t="s">
        <v>630</v>
      </c>
      <c r="H233" s="209"/>
      <c r="I233" s="253">
        <f t="shared" ref="I233:AJ233" ca="1" si="160">((I276+I297+I318+I339)-(I360+I381))*I402</f>
        <v>2512.3240320602085</v>
      </c>
      <c r="J233" s="253">
        <f t="shared" ca="1" si="160"/>
        <v>644.31336404089052</v>
      </c>
      <c r="K233" s="253">
        <f t="shared" ca="1" si="160"/>
        <v>644.31336404089052</v>
      </c>
      <c r="L233" s="253">
        <f t="shared" ca="1" si="160"/>
        <v>644.31336404089052</v>
      </c>
      <c r="M233" s="253">
        <f t="shared" ca="1" si="160"/>
        <v>618.36634695395901</v>
      </c>
      <c r="N233" s="253">
        <f t="shared" ca="1" si="160"/>
        <v>1783.6660194098413</v>
      </c>
      <c r="O233" s="254">
        <f t="shared" ca="1" si="160"/>
        <v>108780.96304960232</v>
      </c>
      <c r="P233" s="253">
        <f t="shared" ca="1" si="160"/>
        <v>81626.312162540868</v>
      </c>
      <c r="Q233" s="253">
        <f t="shared" ca="1" si="160"/>
        <v>81626.312162540868</v>
      </c>
      <c r="R233" s="253">
        <f t="shared" ca="1" si="160"/>
        <v>81626.312162540868</v>
      </c>
      <c r="S233" s="253">
        <f t="shared" ca="1" si="160"/>
        <v>80207.026818322513</v>
      </c>
      <c r="T233" s="253">
        <f t="shared" ca="1" si="160"/>
        <v>140522.27101678256</v>
      </c>
      <c r="U233" s="254">
        <f t="shared" ca="1" si="160"/>
        <v>182230.08635802771</v>
      </c>
      <c r="V233" s="253">
        <f t="shared" ca="1" si="160"/>
        <v>177314.25675505135</v>
      </c>
      <c r="W233" s="253">
        <f t="shared" ca="1" si="160"/>
        <v>177314.25675505135</v>
      </c>
      <c r="X233" s="253">
        <f t="shared" ca="1" si="160"/>
        <v>177314.25675505135</v>
      </c>
      <c r="Y233" s="253">
        <f t="shared" ca="1" si="160"/>
        <v>173756.47301474778</v>
      </c>
      <c r="Z233" s="253">
        <f t="shared" ca="1" si="160"/>
        <v>324685.67598756187</v>
      </c>
      <c r="AA233" s="254">
        <f t="shared" ca="1" si="160"/>
        <v>859.9395527489695</v>
      </c>
      <c r="AB233" s="253">
        <f t="shared" ca="1" si="160"/>
        <v>840.72406437972086</v>
      </c>
      <c r="AC233" s="253">
        <f t="shared" ca="1" si="160"/>
        <v>840.72406437972086</v>
      </c>
      <c r="AD233" s="253">
        <f t="shared" ca="1" si="160"/>
        <v>840.72406437972086</v>
      </c>
      <c r="AE233" s="253">
        <f t="shared" ca="1" si="160"/>
        <v>827.15891815147768</v>
      </c>
      <c r="AF233" s="253">
        <f t="shared" ca="1" si="160"/>
        <v>1403.7544478384636</v>
      </c>
      <c r="AG233" s="254">
        <f t="shared" ca="1" si="160"/>
        <v>63883.731587522307</v>
      </c>
      <c r="AH233" s="253">
        <f t="shared" ca="1" si="160"/>
        <v>58238.364891965859</v>
      </c>
      <c r="AI233" s="253">
        <f t="shared" ca="1" si="160"/>
        <v>58238.364891965859</v>
      </c>
      <c r="AJ233" s="253">
        <f t="shared" ca="1" si="160"/>
        <v>58238.364891965859</v>
      </c>
      <c r="AK233" s="253">
        <f t="shared" ref="AK233:AX233" ca="1" si="161">((AK276+AK297+AK318+AK339)-(AK360+AK381))*AK402</f>
        <v>56967.383106564754</v>
      </c>
      <c r="AL233" s="253">
        <f t="shared" ca="1" si="161"/>
        <v>111236.0907833759</v>
      </c>
      <c r="AM233" s="254">
        <f t="shared" ca="1" si="161"/>
        <v>66421.012141134401</v>
      </c>
      <c r="AN233" s="253">
        <f t="shared" ca="1" si="161"/>
        <v>54756.562914450595</v>
      </c>
      <c r="AO233" s="253">
        <f t="shared" ca="1" si="161"/>
        <v>54756.562914450595</v>
      </c>
      <c r="AP233" s="253">
        <f t="shared" ca="1" si="161"/>
        <v>54756.562914450595</v>
      </c>
      <c r="AQ233" s="253">
        <f t="shared" ca="1" si="161"/>
        <v>53822.642331442119</v>
      </c>
      <c r="AR233" s="253">
        <f t="shared" ca="1" si="161"/>
        <v>94088.666778955434</v>
      </c>
      <c r="AS233" s="254">
        <f t="shared" ca="1" si="161"/>
        <v>702197.31495328678</v>
      </c>
      <c r="AT233" s="253">
        <f t="shared" ca="1" si="161"/>
        <v>653684.22006326437</v>
      </c>
      <c r="AU233" s="253">
        <f t="shared" ca="1" si="161"/>
        <v>653684.22006326437</v>
      </c>
      <c r="AV233" s="253">
        <f t="shared" ca="1" si="161"/>
        <v>653684.22006326437</v>
      </c>
      <c r="AW233" s="253">
        <f t="shared" ca="1" si="161"/>
        <v>639272.92926105764</v>
      </c>
      <c r="AX233" s="255">
        <f t="shared" ca="1" si="161"/>
        <v>1256658.7479065752</v>
      </c>
      <c r="AY233" s="1"/>
      <c r="AZ233" s="1355"/>
      <c r="BA233" s="1"/>
      <c r="BB233" s="449"/>
      <c r="BC233" s="403" t="s">
        <v>1528</v>
      </c>
      <c r="BD233" s="404">
        <f t="shared" si="145"/>
        <v>0</v>
      </c>
      <c r="BE233" s="405">
        <f t="shared" ref="BE233:BF233" si="162">IFERROR(BE225/BE217,0)</f>
        <v>0</v>
      </c>
      <c r="BF233" s="405">
        <f t="shared" si="162"/>
        <v>0</v>
      </c>
      <c r="BG233" s="405">
        <f t="shared" ref="BG233:BW233" si="163">IFERROR(BG225/BG217,0)</f>
        <v>0</v>
      </c>
      <c r="BH233" s="405">
        <f t="shared" si="163"/>
        <v>0</v>
      </c>
      <c r="BI233" s="405">
        <f t="shared" si="163"/>
        <v>0</v>
      </c>
      <c r="BJ233" s="405">
        <f t="shared" si="163"/>
        <v>0</v>
      </c>
      <c r="BK233" s="405">
        <f t="shared" si="163"/>
        <v>0</v>
      </c>
      <c r="BL233" s="405">
        <f t="shared" si="163"/>
        <v>0</v>
      </c>
      <c r="BM233" s="405">
        <f t="shared" si="163"/>
        <v>0</v>
      </c>
      <c r="BN233" s="405">
        <f t="shared" si="163"/>
        <v>0</v>
      </c>
      <c r="BO233" s="405">
        <f t="shared" si="163"/>
        <v>0</v>
      </c>
      <c r="BP233" s="405">
        <f t="shared" si="163"/>
        <v>0</v>
      </c>
      <c r="BQ233" s="405">
        <f t="shared" si="163"/>
        <v>0</v>
      </c>
      <c r="BR233" s="405">
        <f t="shared" si="163"/>
        <v>0</v>
      </c>
      <c r="BS233" s="405">
        <f t="shared" si="163"/>
        <v>0</v>
      </c>
      <c r="BT233" s="405">
        <f t="shared" si="163"/>
        <v>0</v>
      </c>
      <c r="BU233" s="405">
        <f t="shared" si="163"/>
        <v>0</v>
      </c>
      <c r="BV233" s="406">
        <f t="shared" si="163"/>
        <v>0</v>
      </c>
      <c r="BW233" s="407">
        <f t="shared" si="163"/>
        <v>0</v>
      </c>
      <c r="BX233" s="408">
        <f t="shared" ref="BX233" si="164">IFERROR(BX225/BX217,0)</f>
        <v>0</v>
      </c>
      <c r="BY233" s="220"/>
      <c r="CD233" s="962" t="str">
        <f t="shared" si="159"/>
        <v>Urea, as 100% CO(NH2)2 (NPK 46.6-0-0), at plant/RER Economic</v>
      </c>
      <c r="CE233" s="420">
        <v>0.2</v>
      </c>
      <c r="CF233" s="967">
        <v>0.15</v>
      </c>
      <c r="CG233" s="327">
        <f>159/1000</f>
        <v>0.159</v>
      </c>
    </row>
    <row r="234" spans="2:85" x14ac:dyDescent="0.25">
      <c r="B234" s="1343"/>
      <c r="D234" s="1355"/>
      <c r="F234" s="268"/>
      <c r="G234" s="211" t="s">
        <v>631</v>
      </c>
      <c r="H234" s="209"/>
      <c r="I234" s="260">
        <f t="shared" ref="I234:AJ234" ca="1" si="165">((I277+I298+I319+I340)-(I361+I382))*I403</f>
        <v>1930.389355405036</v>
      </c>
      <c r="J234" s="260">
        <f t="shared" ca="1" si="165"/>
        <v>151.00498681003111</v>
      </c>
      <c r="K234" s="260">
        <f t="shared" ca="1" si="165"/>
        <v>151.00498681003111</v>
      </c>
      <c r="L234" s="260">
        <f t="shared" ca="1" si="165"/>
        <v>151.00498681003111</v>
      </c>
      <c r="M234" s="260">
        <f t="shared" ca="1" si="165"/>
        <v>134.11832368933139</v>
      </c>
      <c r="N234" s="260">
        <f t="shared" ca="1" si="165"/>
        <v>921.81314678304568</v>
      </c>
      <c r="O234" s="261">
        <f t="shared" ca="1" si="165"/>
        <v>80480.194319815433</v>
      </c>
      <c r="P234" s="260">
        <f t="shared" ca="1" si="165"/>
        <v>53328.993513615082</v>
      </c>
      <c r="Q234" s="260">
        <f t="shared" ca="1" si="165"/>
        <v>53328.993513615082</v>
      </c>
      <c r="R234" s="260">
        <f t="shared" ca="1" si="165"/>
        <v>53328.993513615082</v>
      </c>
      <c r="S234" s="260">
        <f t="shared" ca="1" si="165"/>
        <v>52290.950735729733</v>
      </c>
      <c r="T234" s="260">
        <f t="shared" ca="1" si="165"/>
        <v>96504.670902590471</v>
      </c>
      <c r="U234" s="261">
        <f t="shared" ca="1" si="165"/>
        <v>111849.11049195161</v>
      </c>
      <c r="V234" s="260">
        <f t="shared" ca="1" si="165"/>
        <v>106263.38390513575</v>
      </c>
      <c r="W234" s="260">
        <f t="shared" ca="1" si="165"/>
        <v>106263.38390513575</v>
      </c>
      <c r="X234" s="260">
        <f t="shared" ca="1" si="165"/>
        <v>106263.38390513575</v>
      </c>
      <c r="Y234" s="260">
        <f t="shared" ca="1" si="165"/>
        <v>103650.71091031632</v>
      </c>
      <c r="Z234" s="260">
        <f t="shared" ca="1" si="165"/>
        <v>214586.03270603868</v>
      </c>
      <c r="AA234" s="261">
        <f t="shared" ca="1" si="165"/>
        <v>591.71939884317408</v>
      </c>
      <c r="AB234" s="260">
        <f t="shared" ca="1" si="165"/>
        <v>570.31126202638552</v>
      </c>
      <c r="AC234" s="260">
        <f t="shared" ca="1" si="165"/>
        <v>570.31126202638552</v>
      </c>
      <c r="AD234" s="260">
        <f t="shared" ca="1" si="165"/>
        <v>570.31126202638552</v>
      </c>
      <c r="AE234" s="260">
        <f t="shared" ca="1" si="165"/>
        <v>560.39384545111386</v>
      </c>
      <c r="AF234" s="260">
        <f t="shared" ca="1" si="165"/>
        <v>982.9378518100674</v>
      </c>
      <c r="AG234" s="261">
        <f t="shared" ca="1" si="165"/>
        <v>38719.827676736735</v>
      </c>
      <c r="AH234" s="260">
        <f t="shared" ca="1" si="165"/>
        <v>33008.985047349612</v>
      </c>
      <c r="AI234" s="260">
        <f t="shared" ca="1" si="165"/>
        <v>33008.985047349612</v>
      </c>
      <c r="AJ234" s="260">
        <f t="shared" ca="1" si="165"/>
        <v>33008.985047349612</v>
      </c>
      <c r="AK234" s="260">
        <f t="shared" ref="AK234:AX234" ca="1" si="166">((AK277+AK298+AK319+AK340)-(AK361+AK382))*AK403</f>
        <v>32089.426603410313</v>
      </c>
      <c r="AL234" s="260">
        <f t="shared" ca="1" si="166"/>
        <v>71585.513284215704</v>
      </c>
      <c r="AM234" s="261">
        <f t="shared" ca="1" si="166"/>
        <v>47782.870822493729</v>
      </c>
      <c r="AN234" s="260">
        <f t="shared" ca="1" si="166"/>
        <v>36358.327673970889</v>
      </c>
      <c r="AO234" s="260">
        <f t="shared" ca="1" si="166"/>
        <v>36358.327673970889</v>
      </c>
      <c r="AP234" s="260">
        <f t="shared" ca="1" si="166"/>
        <v>36358.327673970889</v>
      </c>
      <c r="AQ234" s="260">
        <f t="shared" ca="1" si="166"/>
        <v>35694.599926394127</v>
      </c>
      <c r="AR234" s="260">
        <f t="shared" ca="1" si="166"/>
        <v>64597.599308975434</v>
      </c>
      <c r="AS234" s="261">
        <f t="shared" ca="1" si="166"/>
        <v>418506.99192104902</v>
      </c>
      <c r="AT234" s="260">
        <f t="shared" ca="1" si="166"/>
        <v>368468.37573056598</v>
      </c>
      <c r="AU234" s="260">
        <f t="shared" ca="1" si="166"/>
        <v>368468.37573056598</v>
      </c>
      <c r="AV234" s="260">
        <f t="shared" ca="1" si="166"/>
        <v>368468.37573056598</v>
      </c>
      <c r="AW234" s="260">
        <f t="shared" ca="1" si="166"/>
        <v>358117.68271524605</v>
      </c>
      <c r="AX234" s="262">
        <f t="shared" ca="1" si="166"/>
        <v>805208.79802988749</v>
      </c>
      <c r="AY234" s="1"/>
      <c r="AZ234" s="1355"/>
      <c r="BA234" s="1"/>
      <c r="BB234" s="449"/>
      <c r="BC234" s="403" t="s">
        <v>1529</v>
      </c>
      <c r="BD234" s="404">
        <f t="shared" si="145"/>
        <v>0</v>
      </c>
      <c r="BE234" s="405">
        <f t="shared" ref="BE234:BF234" si="167">IFERROR(BE226/BE218,0)</f>
        <v>0</v>
      </c>
      <c r="BF234" s="405">
        <f t="shared" si="167"/>
        <v>0</v>
      </c>
      <c r="BG234" s="405">
        <f t="shared" ref="BG234:BW234" si="168">IFERROR(BG226/BG218,0)</f>
        <v>0</v>
      </c>
      <c r="BH234" s="405">
        <f t="shared" si="168"/>
        <v>0</v>
      </c>
      <c r="BI234" s="405">
        <f t="shared" si="168"/>
        <v>0</v>
      </c>
      <c r="BJ234" s="405">
        <f t="shared" si="168"/>
        <v>0</v>
      </c>
      <c r="BK234" s="405">
        <f t="shared" si="168"/>
        <v>0</v>
      </c>
      <c r="BL234" s="405">
        <f t="shared" si="168"/>
        <v>0</v>
      </c>
      <c r="BM234" s="405">
        <f t="shared" si="168"/>
        <v>0</v>
      </c>
      <c r="BN234" s="405">
        <f t="shared" si="168"/>
        <v>0</v>
      </c>
      <c r="BO234" s="405">
        <f t="shared" si="168"/>
        <v>0</v>
      </c>
      <c r="BP234" s="405">
        <f t="shared" si="168"/>
        <v>0</v>
      </c>
      <c r="BQ234" s="405">
        <f t="shared" si="168"/>
        <v>0</v>
      </c>
      <c r="BR234" s="405">
        <f t="shared" si="168"/>
        <v>0</v>
      </c>
      <c r="BS234" s="405">
        <f t="shared" si="168"/>
        <v>0</v>
      </c>
      <c r="BT234" s="405">
        <f t="shared" si="168"/>
        <v>0</v>
      </c>
      <c r="BU234" s="405">
        <f t="shared" si="168"/>
        <v>0</v>
      </c>
      <c r="BV234" s="406">
        <f t="shared" si="168"/>
        <v>0</v>
      </c>
      <c r="BW234" s="407">
        <f t="shared" si="168"/>
        <v>0</v>
      </c>
      <c r="BX234" s="408">
        <f t="shared" ref="BX234" si="169">IFERROR(BX226/BX218,0)</f>
        <v>0</v>
      </c>
      <c r="BY234" s="220"/>
      <c r="CD234" s="963" t="str">
        <f t="shared" si="159"/>
        <v>Liquid urea-ammonium nitrate solution (NPK 30-0-0), at plant/RER Economic</v>
      </c>
      <c r="CE234" s="904">
        <f>CE233*(366/1000)</f>
        <v>7.3200000000000001E-2</v>
      </c>
      <c r="CF234" s="968">
        <v>0.05</v>
      </c>
      <c r="CG234" s="847">
        <f>CG233*(366/1000)+CG237*(366/1000)</f>
        <v>6.4049999999999996E-2</v>
      </c>
    </row>
    <row r="235" spans="2:85" x14ac:dyDescent="0.25">
      <c r="B235" s="1343"/>
      <c r="D235" s="1355"/>
      <c r="F235" s="263" t="s">
        <v>633</v>
      </c>
      <c r="G235" s="208" t="s">
        <v>91</v>
      </c>
      <c r="H235" s="209"/>
      <c r="I235" s="250">
        <f t="shared" ref="I235:AJ235" ca="1" si="170">I362*I383</f>
        <v>38.320287632735763</v>
      </c>
      <c r="J235" s="250">
        <f t="shared" ca="1" si="170"/>
        <v>14.790183099683677</v>
      </c>
      <c r="K235" s="250">
        <f t="shared" ca="1" si="170"/>
        <v>14.790183099683677</v>
      </c>
      <c r="L235" s="250">
        <f t="shared" ca="1" si="170"/>
        <v>14.790183099683677</v>
      </c>
      <c r="M235" s="250">
        <f t="shared" ca="1" si="170"/>
        <v>23.437039200223374</v>
      </c>
      <c r="N235" s="250">
        <f t="shared" ca="1" si="170"/>
        <v>28.164916567415315</v>
      </c>
      <c r="O235" s="251">
        <f t="shared" ca="1" si="170"/>
        <v>19054.939795856892</v>
      </c>
      <c r="P235" s="250">
        <f t="shared" ca="1" si="170"/>
        <v>12224.381483344841</v>
      </c>
      <c r="Q235" s="250">
        <f t="shared" ca="1" si="170"/>
        <v>12224.381483344841</v>
      </c>
      <c r="R235" s="250">
        <f t="shared" ca="1" si="170"/>
        <v>12224.381483344841</v>
      </c>
      <c r="S235" s="250">
        <f t="shared" ca="1" si="170"/>
        <v>15384.350003638012</v>
      </c>
      <c r="T235" s="250">
        <f t="shared" ca="1" si="170"/>
        <v>16570.051094246603</v>
      </c>
      <c r="U235" s="251">
        <f t="shared" ca="1" si="170"/>
        <v>3551.9196228373125</v>
      </c>
      <c r="V235" s="250">
        <f t="shared" ca="1" si="170"/>
        <v>3319.861336545343</v>
      </c>
      <c r="W235" s="250">
        <f t="shared" ca="1" si="170"/>
        <v>3319.861336545343</v>
      </c>
      <c r="X235" s="250">
        <f t="shared" ca="1" si="170"/>
        <v>3319.861336545343</v>
      </c>
      <c r="Y235" s="250">
        <f t="shared" ca="1" si="170"/>
        <v>3550.2099372753987</v>
      </c>
      <c r="Z235" s="250">
        <f t="shared" ca="1" si="170"/>
        <v>3567.7976190172085</v>
      </c>
      <c r="AA235" s="251">
        <f t="shared" ca="1" si="170"/>
        <v>0.80795332486156712</v>
      </c>
      <c r="AB235" s="250">
        <f t="shared" ca="1" si="170"/>
        <v>0.47387879436226316</v>
      </c>
      <c r="AC235" s="250">
        <f t="shared" ca="1" si="170"/>
        <v>0.47387879436226316</v>
      </c>
      <c r="AD235" s="250">
        <f t="shared" ca="1" si="170"/>
        <v>0.47387879436226316</v>
      </c>
      <c r="AE235" s="250">
        <f t="shared" ca="1" si="170"/>
        <v>0.7043849580011794</v>
      </c>
      <c r="AF235" s="250">
        <f t="shared" ca="1" si="170"/>
        <v>0.81063728823212899</v>
      </c>
      <c r="AG235" s="251">
        <f t="shared" ca="1" si="170"/>
        <v>0</v>
      </c>
      <c r="AH235" s="250">
        <f t="shared" ca="1" si="170"/>
        <v>0</v>
      </c>
      <c r="AI235" s="250">
        <f t="shared" ca="1" si="170"/>
        <v>0</v>
      </c>
      <c r="AJ235" s="250">
        <f t="shared" ca="1" si="170"/>
        <v>0</v>
      </c>
      <c r="AK235" s="250">
        <f t="shared" ref="AK235:AX235" ca="1" si="171">AK362*AK383</f>
        <v>0</v>
      </c>
      <c r="AL235" s="250">
        <f t="shared" ca="1" si="171"/>
        <v>0</v>
      </c>
      <c r="AM235" s="251">
        <f t="shared" ca="1" si="171"/>
        <v>306.66647694737077</v>
      </c>
      <c r="AN235" s="250">
        <f t="shared" ca="1" si="171"/>
        <v>115.48691586923285</v>
      </c>
      <c r="AO235" s="250">
        <f t="shared" ca="1" si="171"/>
        <v>115.48691586923285</v>
      </c>
      <c r="AP235" s="250">
        <f t="shared" ca="1" si="171"/>
        <v>115.48691586923285</v>
      </c>
      <c r="AQ235" s="250">
        <f t="shared" ca="1" si="171"/>
        <v>207.68033151714104</v>
      </c>
      <c r="AR235" s="250">
        <f t="shared" ca="1" si="171"/>
        <v>258.84819536358492</v>
      </c>
      <c r="AS235" s="251">
        <f t="shared" ca="1" si="171"/>
        <v>27872.120509657176</v>
      </c>
      <c r="AT235" s="250">
        <f t="shared" ca="1" si="171"/>
        <v>17318.525742612255</v>
      </c>
      <c r="AU235" s="250">
        <f t="shared" ca="1" si="171"/>
        <v>17318.525742612255</v>
      </c>
      <c r="AV235" s="250">
        <f t="shared" ca="1" si="171"/>
        <v>17318.525742612255</v>
      </c>
      <c r="AW235" s="250">
        <f t="shared" ca="1" si="171"/>
        <v>27404.292012947466</v>
      </c>
      <c r="AX235" s="252">
        <f t="shared" ca="1" si="171"/>
        <v>29142.874800179467</v>
      </c>
      <c r="AY235" s="1"/>
      <c r="AZ235" s="1355"/>
      <c r="BA235" s="1"/>
      <c r="BB235" s="449"/>
      <c r="BC235" s="403" t="s">
        <v>1530</v>
      </c>
      <c r="BD235" s="404">
        <f t="shared" si="145"/>
        <v>0</v>
      </c>
      <c r="BE235" s="405">
        <f t="shared" ref="BE235:BF235" si="172">IFERROR(BE227/BE219,0)</f>
        <v>0</v>
      </c>
      <c r="BF235" s="405">
        <f t="shared" si="172"/>
        <v>0</v>
      </c>
      <c r="BG235" s="405">
        <f t="shared" ref="BG235:BW235" si="173">IFERROR(BG227/BG219,0)</f>
        <v>0</v>
      </c>
      <c r="BH235" s="405">
        <f t="shared" si="173"/>
        <v>0</v>
      </c>
      <c r="BI235" s="405">
        <f t="shared" si="173"/>
        <v>0</v>
      </c>
      <c r="BJ235" s="405">
        <f t="shared" si="173"/>
        <v>0</v>
      </c>
      <c r="BK235" s="405">
        <f t="shared" si="173"/>
        <v>0</v>
      </c>
      <c r="BL235" s="405">
        <f t="shared" si="173"/>
        <v>0</v>
      </c>
      <c r="BM235" s="405">
        <f t="shared" si="173"/>
        <v>0</v>
      </c>
      <c r="BN235" s="405">
        <f t="shared" si="173"/>
        <v>0</v>
      </c>
      <c r="BO235" s="405">
        <f t="shared" si="173"/>
        <v>0</v>
      </c>
      <c r="BP235" s="405">
        <f t="shared" si="173"/>
        <v>0</v>
      </c>
      <c r="BQ235" s="405">
        <f t="shared" si="173"/>
        <v>0</v>
      </c>
      <c r="BR235" s="405">
        <f t="shared" si="173"/>
        <v>0</v>
      </c>
      <c r="BS235" s="405">
        <f t="shared" si="173"/>
        <v>0</v>
      </c>
      <c r="BT235" s="405">
        <f t="shared" si="173"/>
        <v>0</v>
      </c>
      <c r="BU235" s="405">
        <f t="shared" si="173"/>
        <v>0</v>
      </c>
      <c r="BV235" s="406">
        <f t="shared" si="173"/>
        <v>0</v>
      </c>
      <c r="BW235" s="407">
        <f t="shared" si="173"/>
        <v>0</v>
      </c>
      <c r="BX235" s="408">
        <f t="shared" ref="BX235" si="174">IFERROR(BX227/BX219,0)</f>
        <v>0</v>
      </c>
      <c r="BY235" s="220"/>
      <c r="CD235" s="963" t="str">
        <f t="shared" si="159"/>
        <v>NPK compound (NPK 15-15-15), at plant/RER Economic</v>
      </c>
      <c r="CE235" s="958">
        <v>0</v>
      </c>
      <c r="CF235" s="968">
        <v>0.11</v>
      </c>
      <c r="CG235" s="847">
        <f>67/1000</f>
        <v>6.7000000000000004E-2</v>
      </c>
    </row>
    <row r="236" spans="2:85" x14ac:dyDescent="0.25">
      <c r="B236" s="1343"/>
      <c r="D236" s="1355"/>
      <c r="F236" s="265" t="s">
        <v>762</v>
      </c>
      <c r="G236" s="209" t="s">
        <v>102</v>
      </c>
      <c r="H236" s="209"/>
      <c r="I236" s="253">
        <f t="shared" ref="I236:AJ236" ca="1" si="175">I363*I384</f>
        <v>34.811153762583125</v>
      </c>
      <c r="J236" s="253">
        <f t="shared" ca="1" si="175"/>
        <v>14.7756349377758</v>
      </c>
      <c r="K236" s="253">
        <f t="shared" ca="1" si="175"/>
        <v>14.7756349377758</v>
      </c>
      <c r="L236" s="253">
        <f t="shared" ca="1" si="175"/>
        <v>14.7756349377758</v>
      </c>
      <c r="M236" s="253">
        <f t="shared" ca="1" si="175"/>
        <v>23.428759978958251</v>
      </c>
      <c r="N236" s="253">
        <f t="shared" ca="1" si="175"/>
        <v>28.159322571486005</v>
      </c>
      <c r="O236" s="254">
        <f t="shared" ca="1" si="175"/>
        <v>18313.987703983985</v>
      </c>
      <c r="P236" s="253">
        <f t="shared" ca="1" si="175"/>
        <v>11973.849413313888</v>
      </c>
      <c r="Q236" s="253">
        <f t="shared" ca="1" si="175"/>
        <v>11973.849413313888</v>
      </c>
      <c r="R236" s="253">
        <f t="shared" ca="1" si="175"/>
        <v>11973.849413313888</v>
      </c>
      <c r="S236" s="253">
        <f t="shared" ca="1" si="175"/>
        <v>15280.194041477531</v>
      </c>
      <c r="T236" s="253">
        <f t="shared" ca="1" si="175"/>
        <v>16504.276662952077</v>
      </c>
      <c r="U236" s="254">
        <f t="shared" ca="1" si="175"/>
        <v>3551.0330606131911</v>
      </c>
      <c r="V236" s="253">
        <f t="shared" ca="1" si="175"/>
        <v>3320.1603706203646</v>
      </c>
      <c r="W236" s="253">
        <f t="shared" ca="1" si="175"/>
        <v>3320.1603706203646</v>
      </c>
      <c r="X236" s="253">
        <f t="shared" ca="1" si="175"/>
        <v>3320.1603706203646</v>
      </c>
      <c r="Y236" s="253">
        <f t="shared" ca="1" si="175"/>
        <v>3550.219391834507</v>
      </c>
      <c r="Z236" s="253">
        <f t="shared" ca="1" si="175"/>
        <v>3567.8015741496752</v>
      </c>
      <c r="AA236" s="254">
        <f t="shared" ca="1" si="175"/>
        <v>0.74878248020201088</v>
      </c>
      <c r="AB236" s="253">
        <f t="shared" ca="1" si="175"/>
        <v>0.47079785632139592</v>
      </c>
      <c r="AC236" s="253">
        <f t="shared" ca="1" si="175"/>
        <v>0.47079785632139592</v>
      </c>
      <c r="AD236" s="253">
        <f t="shared" ca="1" si="175"/>
        <v>0.47079785632139592</v>
      </c>
      <c r="AE236" s="253">
        <f t="shared" ca="1" si="175"/>
        <v>0.7027851235207585</v>
      </c>
      <c r="AF236" s="253">
        <f t="shared" ca="1" si="175"/>
        <v>0.80955785088719279</v>
      </c>
      <c r="AG236" s="254">
        <f t="shared" ca="1" si="175"/>
        <v>0</v>
      </c>
      <c r="AH236" s="253">
        <f t="shared" ca="1" si="175"/>
        <v>0</v>
      </c>
      <c r="AI236" s="253">
        <f t="shared" ca="1" si="175"/>
        <v>0</v>
      </c>
      <c r="AJ236" s="253">
        <f t="shared" ca="1" si="175"/>
        <v>0</v>
      </c>
      <c r="AK236" s="253">
        <f t="shared" ref="AK236:AX236" ca="1" si="176">AK363*AK384</f>
        <v>0</v>
      </c>
      <c r="AL236" s="253">
        <f t="shared" ca="1" si="176"/>
        <v>0</v>
      </c>
      <c r="AM236" s="254">
        <f t="shared" ca="1" si="176"/>
        <v>242.03315731454836</v>
      </c>
      <c r="AN236" s="253">
        <f t="shared" ca="1" si="176"/>
        <v>112.98133842029254</v>
      </c>
      <c r="AO236" s="253">
        <f t="shared" ca="1" si="176"/>
        <v>112.98133842029254</v>
      </c>
      <c r="AP236" s="253">
        <f t="shared" ca="1" si="176"/>
        <v>112.98133842029254</v>
      </c>
      <c r="AQ236" s="253">
        <f t="shared" ca="1" si="176"/>
        <v>206.03917561746655</v>
      </c>
      <c r="AR236" s="253">
        <f t="shared" ca="1" si="176"/>
        <v>257.6078913793379</v>
      </c>
      <c r="AS236" s="254">
        <f t="shared" ca="1" si="176"/>
        <v>27629.025573248811</v>
      </c>
      <c r="AT236" s="253">
        <f t="shared" ca="1" si="176"/>
        <v>17235.173771610356</v>
      </c>
      <c r="AU236" s="253">
        <f t="shared" ca="1" si="176"/>
        <v>17235.173771610356</v>
      </c>
      <c r="AV236" s="253">
        <f t="shared" ca="1" si="176"/>
        <v>17235.173771610356</v>
      </c>
      <c r="AW236" s="253">
        <f t="shared" ca="1" si="176"/>
        <v>27393.714829808054</v>
      </c>
      <c r="AX236" s="255">
        <f t="shared" ca="1" si="176"/>
        <v>29137.852155829136</v>
      </c>
      <c r="AY236" s="1"/>
      <c r="AZ236" s="1355"/>
      <c r="BA236" s="1"/>
      <c r="BB236" s="449"/>
      <c r="BC236" s="403" t="s">
        <v>1531</v>
      </c>
      <c r="BD236" s="404">
        <f t="shared" si="145"/>
        <v>0</v>
      </c>
      <c r="BE236" s="405">
        <f t="shared" ref="BE236:BF236" si="177">IFERROR(BE228/BE220,0)</f>
        <v>0</v>
      </c>
      <c r="BF236" s="405">
        <f t="shared" si="177"/>
        <v>0</v>
      </c>
      <c r="BG236" s="405">
        <f t="shared" ref="BG236:BW236" si="178">IFERROR(BG228/BG220,0)</f>
        <v>0</v>
      </c>
      <c r="BH236" s="405">
        <f t="shared" si="178"/>
        <v>0</v>
      </c>
      <c r="BI236" s="405">
        <f t="shared" si="178"/>
        <v>0</v>
      </c>
      <c r="BJ236" s="405">
        <f t="shared" si="178"/>
        <v>0</v>
      </c>
      <c r="BK236" s="405">
        <f t="shared" si="178"/>
        <v>0</v>
      </c>
      <c r="BL236" s="405">
        <f t="shared" si="178"/>
        <v>0</v>
      </c>
      <c r="BM236" s="405">
        <f t="shared" si="178"/>
        <v>0</v>
      </c>
      <c r="BN236" s="405">
        <f t="shared" si="178"/>
        <v>0</v>
      </c>
      <c r="BO236" s="405">
        <f t="shared" si="178"/>
        <v>0</v>
      </c>
      <c r="BP236" s="405">
        <f t="shared" si="178"/>
        <v>0</v>
      </c>
      <c r="BQ236" s="405">
        <f t="shared" si="178"/>
        <v>0</v>
      </c>
      <c r="BR236" s="405">
        <f t="shared" si="178"/>
        <v>0</v>
      </c>
      <c r="BS236" s="405">
        <f t="shared" si="178"/>
        <v>0</v>
      </c>
      <c r="BT236" s="405">
        <f t="shared" si="178"/>
        <v>0</v>
      </c>
      <c r="BU236" s="405">
        <f t="shared" si="178"/>
        <v>0</v>
      </c>
      <c r="BV236" s="406">
        <f t="shared" si="178"/>
        <v>0</v>
      </c>
      <c r="BW236" s="407">
        <f t="shared" si="178"/>
        <v>0</v>
      </c>
      <c r="BX236" s="408">
        <f t="shared" ref="BX236" si="179">IFERROR(BX228/BX220,0)</f>
        <v>0</v>
      </c>
      <c r="BY236" s="220"/>
      <c r="CA236" s="220"/>
      <c r="CD236" s="963" t="str">
        <f t="shared" si="159"/>
        <v>Anhydrous ammonia</v>
      </c>
      <c r="CE236" s="958">
        <v>0</v>
      </c>
      <c r="CF236" s="968">
        <v>0.08</v>
      </c>
      <c r="CG236" s="847">
        <f>20/1000</f>
        <v>0.02</v>
      </c>
    </row>
    <row r="237" spans="2:85" x14ac:dyDescent="0.25">
      <c r="B237" s="1343"/>
      <c r="D237" s="1355"/>
      <c r="F237" s="265"/>
      <c r="G237" s="209" t="s">
        <v>103</v>
      </c>
      <c r="H237" s="209"/>
      <c r="I237" s="253">
        <f t="shared" ref="I237:AJ237" ca="1" si="180">I364*I385</f>
        <v>36.232513985044896</v>
      </c>
      <c r="J237" s="253">
        <f t="shared" ca="1" si="180"/>
        <v>14.72566769100842</v>
      </c>
      <c r="K237" s="253">
        <f t="shared" ca="1" si="180"/>
        <v>14.72566769100842</v>
      </c>
      <c r="L237" s="253">
        <f t="shared" ca="1" si="180"/>
        <v>14.72566769100842</v>
      </c>
      <c r="M237" s="253">
        <f t="shared" ca="1" si="180"/>
        <v>23.400336881541438</v>
      </c>
      <c r="N237" s="253">
        <f t="shared" ca="1" si="180"/>
        <v>28.140122746568579</v>
      </c>
      <c r="O237" s="254">
        <f t="shared" ca="1" si="180"/>
        <v>18591.26010459532</v>
      </c>
      <c r="P237" s="253">
        <f t="shared" ca="1" si="180"/>
        <v>11856.322815682079</v>
      </c>
      <c r="Q237" s="253">
        <f t="shared" ca="1" si="180"/>
        <v>11856.322815682079</v>
      </c>
      <c r="R237" s="253">
        <f t="shared" ca="1" si="180"/>
        <v>11856.322815682079</v>
      </c>
      <c r="S237" s="253">
        <f t="shared" ca="1" si="180"/>
        <v>15232.028995941655</v>
      </c>
      <c r="T237" s="253">
        <f t="shared" ca="1" si="180"/>
        <v>16474.022022645531</v>
      </c>
      <c r="U237" s="254">
        <f t="shared" ca="1" si="180"/>
        <v>3551.4507353655722</v>
      </c>
      <c r="V237" s="253">
        <f t="shared" ca="1" si="180"/>
        <v>3314.4692012719465</v>
      </c>
      <c r="W237" s="253">
        <f t="shared" ca="1" si="180"/>
        <v>3314.4692012719465</v>
      </c>
      <c r="X237" s="253">
        <f t="shared" ca="1" si="180"/>
        <v>3314.4692012719465</v>
      </c>
      <c r="Y237" s="253">
        <f t="shared" ca="1" si="180"/>
        <v>3550.0422576699289</v>
      </c>
      <c r="Z237" s="253">
        <f t="shared" ca="1" si="180"/>
        <v>3567.7275615339672</v>
      </c>
      <c r="AA237" s="254">
        <f t="shared" ca="1" si="180"/>
        <v>0.78553045850202052</v>
      </c>
      <c r="AB237" s="253">
        <f t="shared" ca="1" si="180"/>
        <v>0.46017972080409431</v>
      </c>
      <c r="AC237" s="253">
        <f t="shared" ca="1" si="180"/>
        <v>0.46017972080409431</v>
      </c>
      <c r="AD237" s="253">
        <f t="shared" ca="1" si="180"/>
        <v>0.46017972080409431</v>
      </c>
      <c r="AE237" s="253">
        <f t="shared" ca="1" si="180"/>
        <v>0.69729685227432447</v>
      </c>
      <c r="AF237" s="253">
        <f t="shared" ca="1" si="180"/>
        <v>0.80586265938290369</v>
      </c>
      <c r="AG237" s="254">
        <f t="shared" ca="1" si="180"/>
        <v>0</v>
      </c>
      <c r="AH237" s="253">
        <f t="shared" ca="1" si="180"/>
        <v>0</v>
      </c>
      <c r="AI237" s="253">
        <f t="shared" ca="1" si="180"/>
        <v>0</v>
      </c>
      <c r="AJ237" s="253">
        <f t="shared" ca="1" si="180"/>
        <v>0</v>
      </c>
      <c r="AK237" s="253">
        <f t="shared" ref="AK237:AX237" ca="1" si="181">AK364*AK385</f>
        <v>0</v>
      </c>
      <c r="AL237" s="253">
        <f t="shared" ca="1" si="181"/>
        <v>0</v>
      </c>
      <c r="AM237" s="254">
        <f t="shared" ca="1" si="181"/>
        <v>293.87642067846019</v>
      </c>
      <c r="AN237" s="253">
        <f t="shared" ca="1" si="181"/>
        <v>112.37998687561982</v>
      </c>
      <c r="AO237" s="253">
        <f t="shared" ca="1" si="181"/>
        <v>112.37998687561982</v>
      </c>
      <c r="AP237" s="253">
        <f t="shared" ca="1" si="181"/>
        <v>112.37998687561982</v>
      </c>
      <c r="AQ237" s="253">
        <f t="shared" ca="1" si="181"/>
        <v>205.64576973665493</v>
      </c>
      <c r="AR237" s="253">
        <f t="shared" ca="1" si="181"/>
        <v>257.31077574769432</v>
      </c>
      <c r="AS237" s="254">
        <f t="shared" ca="1" si="181"/>
        <v>27741.976354779232</v>
      </c>
      <c r="AT237" s="253">
        <f t="shared" ca="1" si="181"/>
        <v>17017.744773463819</v>
      </c>
      <c r="AU237" s="253">
        <f t="shared" ca="1" si="181"/>
        <v>17017.744773463819</v>
      </c>
      <c r="AV237" s="253">
        <f t="shared" ca="1" si="181"/>
        <v>17017.744773463819</v>
      </c>
      <c r="AW237" s="253">
        <f t="shared" ca="1" si="181"/>
        <v>27366.459791409838</v>
      </c>
      <c r="AX237" s="255">
        <f t="shared" ca="1" si="181"/>
        <v>29124.937052912475</v>
      </c>
      <c r="AY237" s="1"/>
      <c r="AZ237" s="1356"/>
      <c r="BA237" s="1"/>
      <c r="BB237" s="450"/>
      <c r="BC237" s="411" t="s">
        <v>696</v>
      </c>
      <c r="BD237" s="412">
        <f t="shared" si="145"/>
        <v>0</v>
      </c>
      <c r="BE237" s="413">
        <f t="shared" ref="BE237:BF237" si="182">IFERROR(BE229/BE221,0)</f>
        <v>0</v>
      </c>
      <c r="BF237" s="413">
        <f t="shared" si="182"/>
        <v>0</v>
      </c>
      <c r="BG237" s="413">
        <f t="shared" ref="BG237:BW237" si="183">IFERROR(BG229/BG221,0)</f>
        <v>0</v>
      </c>
      <c r="BH237" s="413">
        <f t="shared" si="183"/>
        <v>0</v>
      </c>
      <c r="BI237" s="413">
        <f t="shared" si="183"/>
        <v>0</v>
      </c>
      <c r="BJ237" s="413">
        <f t="shared" si="183"/>
        <v>0</v>
      </c>
      <c r="BK237" s="413">
        <f t="shared" si="183"/>
        <v>0</v>
      </c>
      <c r="BL237" s="413">
        <f t="shared" si="183"/>
        <v>0</v>
      </c>
      <c r="BM237" s="413">
        <f t="shared" si="183"/>
        <v>0</v>
      </c>
      <c r="BN237" s="413">
        <f t="shared" si="183"/>
        <v>0</v>
      </c>
      <c r="BO237" s="413">
        <f t="shared" si="183"/>
        <v>0</v>
      </c>
      <c r="BP237" s="413">
        <f t="shared" si="183"/>
        <v>0</v>
      </c>
      <c r="BQ237" s="413">
        <f t="shared" si="183"/>
        <v>0</v>
      </c>
      <c r="BR237" s="413">
        <f t="shared" si="183"/>
        <v>0</v>
      </c>
      <c r="BS237" s="413">
        <f t="shared" si="183"/>
        <v>0</v>
      </c>
      <c r="BT237" s="413">
        <f t="shared" si="183"/>
        <v>0</v>
      </c>
      <c r="BU237" s="413">
        <f t="shared" si="183"/>
        <v>0</v>
      </c>
      <c r="BV237" s="414">
        <f t="shared" si="183"/>
        <v>0</v>
      </c>
      <c r="BW237" s="415">
        <f t="shared" si="183"/>
        <v>0</v>
      </c>
      <c r="BX237" s="416">
        <f t="shared" ref="BX237" si="184">IFERROR(BX229/BX221,0)</f>
        <v>0</v>
      </c>
      <c r="BY237" s="220"/>
      <c r="CD237" s="963" t="str">
        <f t="shared" si="159"/>
        <v>Ammonium nitrate, as 100% (NH4)(NO3) (NPK 35-0-0), at plant/RER Economic</v>
      </c>
      <c r="CE237" s="958">
        <v>0</v>
      </c>
      <c r="CF237" s="968">
        <v>0.05</v>
      </c>
      <c r="CG237" s="847">
        <f>16/1000</f>
        <v>1.6E-2</v>
      </c>
    </row>
    <row r="238" spans="2:85" x14ac:dyDescent="0.25">
      <c r="B238" s="1343"/>
      <c r="D238" s="1355"/>
      <c r="F238" s="265"/>
      <c r="G238" s="209" t="s">
        <v>107</v>
      </c>
      <c r="H238" s="209"/>
      <c r="I238" s="253">
        <f t="shared" ref="I238:AJ238" ca="1" si="185">I365*I386</f>
        <v>35.582205548970933</v>
      </c>
      <c r="J238" s="253">
        <f t="shared" ca="1" si="185"/>
        <v>14.841460353720032</v>
      </c>
      <c r="K238" s="253">
        <f t="shared" ca="1" si="185"/>
        <v>14.841460353720032</v>
      </c>
      <c r="L238" s="253">
        <f t="shared" ca="1" si="185"/>
        <v>14.841460353720032</v>
      </c>
      <c r="M238" s="253">
        <f t="shared" ca="1" si="185"/>
        <v>23.466234002731831</v>
      </c>
      <c r="N238" s="253">
        <f t="shared" ca="1" si="185"/>
        <v>28.184647483818402</v>
      </c>
      <c r="O238" s="254">
        <f t="shared" ca="1" si="185"/>
        <v>18464.368482107566</v>
      </c>
      <c r="P238" s="253">
        <f t="shared" ca="1" si="185"/>
        <v>11873.007939413568</v>
      </c>
      <c r="Q238" s="253">
        <f t="shared" ca="1" si="185"/>
        <v>11873.007939413568</v>
      </c>
      <c r="R238" s="253">
        <f t="shared" ca="1" si="185"/>
        <v>11873.007939413568</v>
      </c>
      <c r="S238" s="253">
        <f t="shared" ca="1" si="185"/>
        <v>15238.840256017435</v>
      </c>
      <c r="T238" s="253">
        <f t="shared" ca="1" si="185"/>
        <v>16478.294311476773</v>
      </c>
      <c r="U238" s="254">
        <f t="shared" ca="1" si="185"/>
        <v>3551.1296443797555</v>
      </c>
      <c r="V238" s="253">
        <f t="shared" ca="1" si="185"/>
        <v>3318.4396917465151</v>
      </c>
      <c r="W238" s="253">
        <f t="shared" ca="1" si="185"/>
        <v>3318.4396917465151</v>
      </c>
      <c r="X238" s="253">
        <f t="shared" ca="1" si="185"/>
        <v>3318.4396917465151</v>
      </c>
      <c r="Y238" s="253">
        <f t="shared" ca="1" si="185"/>
        <v>3550.1652152074917</v>
      </c>
      <c r="Z238" s="253">
        <f t="shared" ca="1" si="185"/>
        <v>3567.7789175910998</v>
      </c>
      <c r="AA238" s="254">
        <f t="shared" ca="1" si="185"/>
        <v>0.75640808646393665</v>
      </c>
      <c r="AB238" s="253">
        <f t="shared" ca="1" si="185"/>
        <v>0.4632526388792465</v>
      </c>
      <c r="AC238" s="253">
        <f t="shared" ca="1" si="185"/>
        <v>0.4632526388792465</v>
      </c>
      <c r="AD238" s="253">
        <f t="shared" ca="1" si="185"/>
        <v>0.4632526388792465</v>
      </c>
      <c r="AE238" s="253">
        <f t="shared" ca="1" si="185"/>
        <v>0.69888114010730562</v>
      </c>
      <c r="AF238" s="253">
        <f t="shared" ca="1" si="185"/>
        <v>0.80692809743130922</v>
      </c>
      <c r="AG238" s="254">
        <f t="shared" ca="1" si="185"/>
        <v>0</v>
      </c>
      <c r="AH238" s="253">
        <f t="shared" ca="1" si="185"/>
        <v>0</v>
      </c>
      <c r="AI238" s="253">
        <f t="shared" ca="1" si="185"/>
        <v>0</v>
      </c>
      <c r="AJ238" s="253">
        <f t="shared" ca="1" si="185"/>
        <v>0</v>
      </c>
      <c r="AK238" s="253">
        <f t="shared" ref="AK238:AX238" ca="1" si="186">AK365*AK386</f>
        <v>0</v>
      </c>
      <c r="AL238" s="253">
        <f t="shared" ca="1" si="186"/>
        <v>0</v>
      </c>
      <c r="AM238" s="254">
        <f t="shared" ca="1" si="186"/>
        <v>254.60739714513269</v>
      </c>
      <c r="AN238" s="253">
        <f t="shared" ca="1" si="186"/>
        <v>113.04943248182275</v>
      </c>
      <c r="AO238" s="253">
        <f t="shared" ca="1" si="186"/>
        <v>113.04943248182275</v>
      </c>
      <c r="AP238" s="253">
        <f t="shared" ca="1" si="186"/>
        <v>113.04943248182275</v>
      </c>
      <c r="AQ238" s="253">
        <f t="shared" ca="1" si="186"/>
        <v>206.08373464571011</v>
      </c>
      <c r="AR238" s="253">
        <f t="shared" ca="1" si="186"/>
        <v>257.64154901143877</v>
      </c>
      <c r="AS238" s="254">
        <f t="shared" ca="1" si="186"/>
        <v>27661.889445838791</v>
      </c>
      <c r="AT238" s="253">
        <f t="shared" ca="1" si="186"/>
        <v>17159.319080272675</v>
      </c>
      <c r="AU238" s="253">
        <f t="shared" ca="1" si="186"/>
        <v>17159.319080272675</v>
      </c>
      <c r="AV238" s="253">
        <f t="shared" ca="1" si="186"/>
        <v>17159.319080272675</v>
      </c>
      <c r="AW238" s="253">
        <f t="shared" ca="1" si="186"/>
        <v>27384.151481335906</v>
      </c>
      <c r="AX238" s="255">
        <f t="shared" ca="1" si="186"/>
        <v>29133.316010225251</v>
      </c>
      <c r="AY238" s="1"/>
      <c r="AZ238" s="1"/>
      <c r="BA238" s="1"/>
      <c r="BB238" s="1"/>
      <c r="BC238" s="600" t="s">
        <v>784</v>
      </c>
      <c r="BD238" s="1"/>
      <c r="BE238" s="1"/>
      <c r="BF238" s="1"/>
      <c r="BZ238" s="953" t="s">
        <v>697</v>
      </c>
      <c r="CA238" s="954" t="s">
        <v>698</v>
      </c>
      <c r="CB238" s="955" t="s">
        <v>699</v>
      </c>
      <c r="CD238" s="963" t="str">
        <f t="shared" si="159"/>
        <v>Calcium ammonium nitrate (CAN), (NPK 26.5-0-0), at plant/RER Economic</v>
      </c>
      <c r="CE238" s="980">
        <v>0</v>
      </c>
      <c r="CF238" s="968">
        <v>0.08</v>
      </c>
      <c r="CG238" s="847">
        <f>8/1000</f>
        <v>8.0000000000000002E-3</v>
      </c>
    </row>
    <row r="239" spans="2:85" x14ac:dyDescent="0.25">
      <c r="B239" s="1343"/>
      <c r="D239" s="1355"/>
      <c r="F239" s="265"/>
      <c r="G239" s="209" t="s">
        <v>104</v>
      </c>
      <c r="H239" s="209"/>
      <c r="I239" s="253">
        <f t="shared" ref="I239:AJ239" ca="1" si="187">I366*I387</f>
        <v>37.945500244100693</v>
      </c>
      <c r="J239" s="253">
        <f t="shared" ca="1" si="187"/>
        <v>14.760276335877373</v>
      </c>
      <c r="K239" s="253">
        <f t="shared" ca="1" si="187"/>
        <v>14.760276335877373</v>
      </c>
      <c r="L239" s="253">
        <f t="shared" ca="1" si="187"/>
        <v>14.760276335877373</v>
      </c>
      <c r="M239" s="253">
        <f t="shared" ca="1" si="187"/>
        <v>23.420021366779075</v>
      </c>
      <c r="N239" s="253">
        <f t="shared" ca="1" si="187"/>
        <v>28.153418853511347</v>
      </c>
      <c r="O239" s="254">
        <f t="shared" ca="1" si="187"/>
        <v>18998.356251867164</v>
      </c>
      <c r="P239" s="253">
        <f t="shared" ca="1" si="187"/>
        <v>11940.381625910106</v>
      </c>
      <c r="Q239" s="253">
        <f t="shared" ca="1" si="187"/>
        <v>11940.381625910106</v>
      </c>
      <c r="R239" s="253">
        <f t="shared" ca="1" si="187"/>
        <v>11940.381625910106</v>
      </c>
      <c r="S239" s="253">
        <f t="shared" ca="1" si="187"/>
        <v>15266.433463903722</v>
      </c>
      <c r="T239" s="253">
        <f t="shared" ca="1" si="187"/>
        <v>16495.622640309026</v>
      </c>
      <c r="U239" s="254">
        <f t="shared" ca="1" si="187"/>
        <v>3551.2761793852219</v>
      </c>
      <c r="V239" s="253">
        <f t="shared" ca="1" si="187"/>
        <v>3318.5755250558859</v>
      </c>
      <c r="W239" s="253">
        <f t="shared" ca="1" si="187"/>
        <v>3318.5755250558859</v>
      </c>
      <c r="X239" s="253">
        <f t="shared" ca="1" si="187"/>
        <v>3318.5755250558859</v>
      </c>
      <c r="Y239" s="253">
        <f t="shared" ca="1" si="187"/>
        <v>3550.1694721820995</v>
      </c>
      <c r="Z239" s="253">
        <f t="shared" ca="1" si="187"/>
        <v>3567.780697219177</v>
      </c>
      <c r="AA239" s="254">
        <f t="shared" ca="1" si="187"/>
        <v>0.76083865704146547</v>
      </c>
      <c r="AB239" s="253">
        <f t="shared" ca="1" si="187"/>
        <v>0.46780953556422478</v>
      </c>
      <c r="AC239" s="253">
        <f t="shared" ca="1" si="187"/>
        <v>0.46780953556422478</v>
      </c>
      <c r="AD239" s="253">
        <f t="shared" ca="1" si="187"/>
        <v>0.46780953556422478</v>
      </c>
      <c r="AE239" s="253">
        <f t="shared" ca="1" si="187"/>
        <v>0.70123655668292351</v>
      </c>
      <c r="AF239" s="253">
        <f t="shared" ca="1" si="187"/>
        <v>0.80851398907961913</v>
      </c>
      <c r="AG239" s="254">
        <f t="shared" ca="1" si="187"/>
        <v>0</v>
      </c>
      <c r="AH239" s="253">
        <f t="shared" ca="1" si="187"/>
        <v>0</v>
      </c>
      <c r="AI239" s="253">
        <f t="shared" ca="1" si="187"/>
        <v>0</v>
      </c>
      <c r="AJ239" s="253">
        <f t="shared" ca="1" si="187"/>
        <v>0</v>
      </c>
      <c r="AK239" s="253">
        <f t="shared" ref="AK239:AX239" ca="1" si="188">AK366*AK387</f>
        <v>0</v>
      </c>
      <c r="AL239" s="253">
        <f t="shared" ca="1" si="188"/>
        <v>0</v>
      </c>
      <c r="AM239" s="254">
        <f t="shared" ca="1" si="188"/>
        <v>240.43616773382169</v>
      </c>
      <c r="AN239" s="253">
        <f t="shared" ca="1" si="188"/>
        <v>112.79817628114189</v>
      </c>
      <c r="AO239" s="253">
        <f t="shared" ca="1" si="188"/>
        <v>112.79817628114189</v>
      </c>
      <c r="AP239" s="253">
        <f t="shared" ca="1" si="188"/>
        <v>112.79817628114189</v>
      </c>
      <c r="AQ239" s="253">
        <f t="shared" ca="1" si="188"/>
        <v>205.91933076959438</v>
      </c>
      <c r="AR239" s="253">
        <f t="shared" ca="1" si="188"/>
        <v>257.51737159859579</v>
      </c>
      <c r="AS239" s="254">
        <f t="shared" ca="1" si="188"/>
        <v>27723.360410551657</v>
      </c>
      <c r="AT239" s="253">
        <f t="shared" ca="1" si="188"/>
        <v>17174.14735060545</v>
      </c>
      <c r="AU239" s="253">
        <f t="shared" ca="1" si="188"/>
        <v>17174.14735060545</v>
      </c>
      <c r="AV239" s="253">
        <f t="shared" ca="1" si="188"/>
        <v>17174.14735060545</v>
      </c>
      <c r="AW239" s="253">
        <f t="shared" ca="1" si="188"/>
        <v>27386.016297664923</v>
      </c>
      <c r="AX239" s="255">
        <f t="shared" ca="1" si="188"/>
        <v>29134.200163530368</v>
      </c>
      <c r="AY239" s="1"/>
      <c r="AZ239" s="1354" t="s">
        <v>787</v>
      </c>
      <c r="BA239" s="1"/>
      <c r="BB239" s="443" t="s">
        <v>615</v>
      </c>
      <c r="BC239" s="444" t="s">
        <v>700</v>
      </c>
      <c r="BD239" s="374">
        <f t="shared" ref="BD239:BM242" si="189">(T$449*$P$449*$BZ239+T$450*$P$450*$CA239+T$451*$P$451*$CB239)*$CF$215*$CF$221</f>
        <v>0.32926353428571425</v>
      </c>
      <c r="BE239" s="417">
        <f t="shared" si="189"/>
        <v>0.32926353428571425</v>
      </c>
      <c r="BF239" s="417">
        <f t="shared" si="189"/>
        <v>0.32926353428571425</v>
      </c>
      <c r="BG239" s="417">
        <f t="shared" si="189"/>
        <v>0.32926353428571425</v>
      </c>
      <c r="BH239" s="417">
        <f t="shared" si="189"/>
        <v>0.32926353428571425</v>
      </c>
      <c r="BI239" s="417">
        <f t="shared" si="189"/>
        <v>0.32926353428571425</v>
      </c>
      <c r="BJ239" s="417">
        <f t="shared" si="189"/>
        <v>2.3571428665714289</v>
      </c>
      <c r="BK239" s="417">
        <f t="shared" si="189"/>
        <v>0.32926353428571425</v>
      </c>
      <c r="BL239" s="417">
        <f t="shared" si="189"/>
        <v>0.32926353428571425</v>
      </c>
      <c r="BM239" s="417">
        <f t="shared" si="189"/>
        <v>0.32926353428571425</v>
      </c>
      <c r="BN239" s="417">
        <f t="shared" ref="BN239:BW242" si="190">(AD$449*$P$449*$BZ239+AD$450*$P$450*$CA239+AD$451*$P$451*$CB239)*$CF$215*$CF$221</f>
        <v>0.32926353428571425</v>
      </c>
      <c r="BO239" s="417">
        <f t="shared" si="190"/>
        <v>0.32926353428571425</v>
      </c>
      <c r="BP239" s="417">
        <f t="shared" si="190"/>
        <v>0.32926353428571425</v>
      </c>
      <c r="BQ239" s="417">
        <f t="shared" si="190"/>
        <v>0.32926353428571425</v>
      </c>
      <c r="BR239" s="417">
        <f t="shared" si="190"/>
        <v>0.32926353428571425</v>
      </c>
      <c r="BS239" s="417">
        <f t="shared" si="190"/>
        <v>0.32926353428571425</v>
      </c>
      <c r="BT239" s="417">
        <f t="shared" si="190"/>
        <v>0.32926353428571425</v>
      </c>
      <c r="BU239" s="417">
        <f t="shared" si="190"/>
        <v>0.32926353428571425</v>
      </c>
      <c r="BV239" s="418">
        <f t="shared" si="190"/>
        <v>0.32926353428571425</v>
      </c>
      <c r="BW239" s="419">
        <f t="shared" si="190"/>
        <v>2.3571428665714289</v>
      </c>
      <c r="BX239" s="375">
        <f t="shared" ref="BX239:BX242" si="191">(AN$449*$P$449*$BZ239+AN$450*$P$450*$CA239+AN$451*$P$451*$CB239)*$CF$215*$CF$221</f>
        <v>1.7354297022857144</v>
      </c>
      <c r="BY239" s="220"/>
      <c r="BZ239" s="420">
        <f t="shared" ref="BZ239:CB258" si="192">INDEX($I$494:$L$496,MATCH(BZ$238,$G$494:$G$496,0),MATCH($BB239,$I$493:$L$493,0))</f>
        <v>1</v>
      </c>
      <c r="CA239" s="421">
        <f t="shared" si="192"/>
        <v>1</v>
      </c>
      <c r="CB239" s="422">
        <f t="shared" si="192"/>
        <v>1</v>
      </c>
      <c r="CD239" s="963" t="str">
        <f t="shared" si="159"/>
        <v>Di ammonium phosphate, as 100% (NH3)2HPO4 (NPK 22-57-0), at plant/RER Economic</v>
      </c>
      <c r="CE239" s="958">
        <v>0</v>
      </c>
      <c r="CF239" s="968">
        <v>0.08</v>
      </c>
      <c r="CG239" s="847">
        <f>51/1000</f>
        <v>5.0999999999999997E-2</v>
      </c>
    </row>
    <row r="240" spans="2:85" x14ac:dyDescent="0.25">
      <c r="B240" s="1343"/>
      <c r="D240" s="1355"/>
      <c r="F240" s="265"/>
      <c r="G240" s="209" t="s">
        <v>97</v>
      </c>
      <c r="H240" s="209"/>
      <c r="I240" s="253">
        <f t="shared" ref="I240:AJ240" ca="1" si="193">I367*I388</f>
        <v>41.124273291954587</v>
      </c>
      <c r="J240" s="253">
        <f t="shared" ca="1" si="193"/>
        <v>15.311144104460398</v>
      </c>
      <c r="K240" s="253">
        <f t="shared" ca="1" si="193"/>
        <v>15.311144104460398</v>
      </c>
      <c r="L240" s="253">
        <f t="shared" ca="1" si="193"/>
        <v>15.311144104460398</v>
      </c>
      <c r="M240" s="253">
        <f t="shared" ca="1" si="193"/>
        <v>23.734624564404509</v>
      </c>
      <c r="N240" s="253">
        <f t="shared" ca="1" si="193"/>
        <v>28.366398061964016</v>
      </c>
      <c r="O240" s="254">
        <f t="shared" ca="1" si="193"/>
        <v>19615.951721257417</v>
      </c>
      <c r="P240" s="253">
        <f t="shared" ca="1" si="193"/>
        <v>11862.650330504837</v>
      </c>
      <c r="Q240" s="253">
        <f t="shared" ca="1" si="193"/>
        <v>11862.650330504837</v>
      </c>
      <c r="R240" s="253">
        <f t="shared" ca="1" si="193"/>
        <v>11862.650330504837</v>
      </c>
      <c r="S240" s="253">
        <f t="shared" ca="1" si="193"/>
        <v>15234.61100163901</v>
      </c>
      <c r="T240" s="253">
        <f t="shared" ca="1" si="193"/>
        <v>16475.641318779344</v>
      </c>
      <c r="U240" s="254">
        <f t="shared" ca="1" si="193"/>
        <v>3552.3737549586617</v>
      </c>
      <c r="V240" s="253">
        <f t="shared" ca="1" si="193"/>
        <v>3314.9317968057871</v>
      </c>
      <c r="W240" s="253">
        <f t="shared" ca="1" si="193"/>
        <v>3314.9317968057871</v>
      </c>
      <c r="X240" s="253">
        <f t="shared" ca="1" si="193"/>
        <v>3314.9317968057871</v>
      </c>
      <c r="Y240" s="253">
        <f t="shared" ca="1" si="193"/>
        <v>3550.0564378587901</v>
      </c>
      <c r="Z240" s="253">
        <f t="shared" ca="1" si="193"/>
        <v>3567.7334796518498</v>
      </c>
      <c r="AA240" s="254">
        <f t="shared" ca="1" si="193"/>
        <v>0.82638357728146705</v>
      </c>
      <c r="AB240" s="253">
        <f t="shared" ca="1" si="193"/>
        <v>0.46359304091458314</v>
      </c>
      <c r="AC240" s="253">
        <f t="shared" ca="1" si="193"/>
        <v>0.46359304091458314</v>
      </c>
      <c r="AD240" s="253">
        <f t="shared" ca="1" si="193"/>
        <v>0.46359304091458314</v>
      </c>
      <c r="AE240" s="253">
        <f t="shared" ca="1" si="193"/>
        <v>0.69905684097605469</v>
      </c>
      <c r="AF240" s="253">
        <f t="shared" ca="1" si="193"/>
        <v>0.80704631894845513</v>
      </c>
      <c r="AG240" s="254">
        <f t="shared" ca="1" si="193"/>
        <v>0</v>
      </c>
      <c r="AH240" s="253">
        <f t="shared" ca="1" si="193"/>
        <v>0</v>
      </c>
      <c r="AI240" s="253">
        <f t="shared" ca="1" si="193"/>
        <v>0</v>
      </c>
      <c r="AJ240" s="253">
        <f t="shared" ca="1" si="193"/>
        <v>0</v>
      </c>
      <c r="AK240" s="253">
        <f t="shared" ref="AK240:AX240" ca="1" si="194">AK367*AK388</f>
        <v>0</v>
      </c>
      <c r="AL240" s="253">
        <f t="shared" ca="1" si="194"/>
        <v>0</v>
      </c>
      <c r="AM240" s="254">
        <f t="shared" ca="1" si="194"/>
        <v>314.28367888524178</v>
      </c>
      <c r="AN240" s="253">
        <f t="shared" ca="1" si="194"/>
        <v>113.2228476437742</v>
      </c>
      <c r="AO240" s="253">
        <f t="shared" ca="1" si="194"/>
        <v>113.2228476437742</v>
      </c>
      <c r="AP240" s="253">
        <f t="shared" ca="1" si="194"/>
        <v>113.2228476437742</v>
      </c>
      <c r="AQ240" s="253">
        <f t="shared" ca="1" si="194"/>
        <v>206.19722388655762</v>
      </c>
      <c r="AR240" s="253">
        <f t="shared" ca="1" si="194"/>
        <v>257.72727753529756</v>
      </c>
      <c r="AS240" s="254">
        <f t="shared" ca="1" si="194"/>
        <v>28010.248076494747</v>
      </c>
      <c r="AT240" s="253">
        <f t="shared" ca="1" si="194"/>
        <v>17076.066770535792</v>
      </c>
      <c r="AU240" s="253">
        <f t="shared" ca="1" si="194"/>
        <v>17076.066770535792</v>
      </c>
      <c r="AV240" s="253">
        <f t="shared" ca="1" si="194"/>
        <v>17076.066770535792</v>
      </c>
      <c r="AW240" s="253">
        <f t="shared" ca="1" si="194"/>
        <v>27373.723300132104</v>
      </c>
      <c r="AX240" s="255">
        <f t="shared" ca="1" si="194"/>
        <v>29128.375133160582</v>
      </c>
      <c r="AY240" s="1"/>
      <c r="AZ240" s="1355"/>
      <c r="BA240" s="1"/>
      <c r="BB240" s="409" t="s">
        <v>619</v>
      </c>
      <c r="BC240" s="445" t="s">
        <v>700</v>
      </c>
      <c r="BD240" s="376">
        <f t="shared" si="189"/>
        <v>7.3424807518635352E-2</v>
      </c>
      <c r="BE240" s="423">
        <f t="shared" si="189"/>
        <v>7.3424807518635352E-2</v>
      </c>
      <c r="BF240" s="423">
        <f t="shared" si="189"/>
        <v>7.3424807518635352E-2</v>
      </c>
      <c r="BG240" s="423">
        <f t="shared" si="189"/>
        <v>7.3424807518635352E-2</v>
      </c>
      <c r="BH240" s="423">
        <f t="shared" si="189"/>
        <v>7.3424807518635352E-2</v>
      </c>
      <c r="BI240" s="423">
        <f t="shared" si="189"/>
        <v>7.3424807518635352E-2</v>
      </c>
      <c r="BJ240" s="423">
        <f t="shared" si="189"/>
        <v>2.3886579407695638</v>
      </c>
      <c r="BK240" s="423">
        <f t="shared" si="189"/>
        <v>7.3424807518635352E-2</v>
      </c>
      <c r="BL240" s="423">
        <f t="shared" si="189"/>
        <v>7.3424807518635352E-2</v>
      </c>
      <c r="BM240" s="423">
        <f t="shared" si="189"/>
        <v>7.3424807518635352E-2</v>
      </c>
      <c r="BN240" s="423">
        <f t="shared" si="190"/>
        <v>7.3424807518635352E-2</v>
      </c>
      <c r="BO240" s="423">
        <f t="shared" si="190"/>
        <v>7.3424807518635352E-2</v>
      </c>
      <c r="BP240" s="423">
        <f t="shared" si="190"/>
        <v>7.3424807518635352E-2</v>
      </c>
      <c r="BQ240" s="423">
        <f t="shared" si="190"/>
        <v>7.3424807518635352E-2</v>
      </c>
      <c r="BR240" s="423">
        <f t="shared" si="190"/>
        <v>7.3424807518635352E-2</v>
      </c>
      <c r="BS240" s="423">
        <f t="shared" si="190"/>
        <v>7.3424807518635352E-2</v>
      </c>
      <c r="BT240" s="423">
        <f t="shared" si="190"/>
        <v>7.3424807518635352E-2</v>
      </c>
      <c r="BU240" s="423">
        <f t="shared" si="190"/>
        <v>7.3424807518635352E-2</v>
      </c>
      <c r="BV240" s="424">
        <f t="shared" si="190"/>
        <v>7.3424807518635352E-2</v>
      </c>
      <c r="BW240" s="425">
        <f t="shared" si="190"/>
        <v>2.3886579407695638</v>
      </c>
      <c r="BX240" s="377">
        <f t="shared" si="191"/>
        <v>1.7586324519403138</v>
      </c>
      <c r="BY240" s="220"/>
      <c r="BZ240" s="426">
        <f t="shared" si="192"/>
        <v>9.5687201146773287E-2</v>
      </c>
      <c r="CA240" s="427">
        <f t="shared" si="192"/>
        <v>1.0133700314245166</v>
      </c>
      <c r="CB240" s="428">
        <f t="shared" si="192"/>
        <v>0.54405757904829311</v>
      </c>
      <c r="CD240" s="963" t="str">
        <f t="shared" si="159"/>
        <v>Ammonium sulfate, as 100% (NH4)2SO4 (NPK 21-0-0), at plant/RER Economic</v>
      </c>
      <c r="CE240" s="958">
        <v>0</v>
      </c>
      <c r="CF240" s="968">
        <v>0.08</v>
      </c>
      <c r="CG240" s="847">
        <f>92/1000</f>
        <v>9.1999999999999998E-2</v>
      </c>
    </row>
    <row r="241" spans="2:85" x14ac:dyDescent="0.25">
      <c r="B241" s="1343"/>
      <c r="D241" s="1355"/>
      <c r="F241" s="265"/>
      <c r="G241" s="209" t="s">
        <v>628</v>
      </c>
      <c r="H241" s="209"/>
      <c r="I241" s="253">
        <f t="shared" ref="I241:AJ241" ca="1" si="195">I368*I389</f>
        <v>40.301857375208918</v>
      </c>
      <c r="J241" s="253">
        <f t="shared" ca="1" si="195"/>
        <v>38.575160008797312</v>
      </c>
      <c r="K241" s="253">
        <f t="shared" ca="1" si="195"/>
        <v>38.575160008797312</v>
      </c>
      <c r="L241" s="253">
        <f t="shared" ca="1" si="195"/>
        <v>38.575160008797312</v>
      </c>
      <c r="M241" s="253">
        <f t="shared" ca="1" si="195"/>
        <v>38.457671461210055</v>
      </c>
      <c r="N241" s="253">
        <f t="shared" ca="1" si="195"/>
        <v>41.960949605588837</v>
      </c>
      <c r="O241" s="254">
        <f t="shared" ca="1" si="195"/>
        <v>20547.337189504306</v>
      </c>
      <c r="P241" s="253">
        <f t="shared" ca="1" si="195"/>
        <v>20509.775179915167</v>
      </c>
      <c r="Q241" s="253">
        <f t="shared" ca="1" si="195"/>
        <v>20509.775179915167</v>
      </c>
      <c r="R241" s="253">
        <f t="shared" ca="1" si="195"/>
        <v>20509.775179915167</v>
      </c>
      <c r="S241" s="253">
        <f t="shared" ca="1" si="195"/>
        <v>20500.851190786634</v>
      </c>
      <c r="T241" s="253">
        <f t="shared" ca="1" si="195"/>
        <v>20748.321219405563</v>
      </c>
      <c r="U241" s="254">
        <f t="shared" ca="1" si="195"/>
        <v>3568.1793293999535</v>
      </c>
      <c r="V241" s="253">
        <f t="shared" ca="1" si="195"/>
        <v>3568.3388297945721</v>
      </c>
      <c r="W241" s="253">
        <f t="shared" ca="1" si="195"/>
        <v>3568.3388297945721</v>
      </c>
      <c r="X241" s="253">
        <f t="shared" ca="1" si="195"/>
        <v>3568.3388297945721</v>
      </c>
      <c r="Y241" s="253">
        <f t="shared" ca="1" si="195"/>
        <v>3567.9192912072681</v>
      </c>
      <c r="Z241" s="253">
        <f t="shared" ca="1" si="195"/>
        <v>3579.4555319353835</v>
      </c>
      <c r="AA241" s="254">
        <f t="shared" ca="1" si="195"/>
        <v>1.2399312113844463</v>
      </c>
      <c r="AB241" s="253">
        <f t="shared" ca="1" si="195"/>
        <v>1.2402196601241875</v>
      </c>
      <c r="AC241" s="253">
        <f t="shared" ca="1" si="195"/>
        <v>1.2402196601241875</v>
      </c>
      <c r="AD241" s="253">
        <f t="shared" ca="1" si="195"/>
        <v>1.2402196601241875</v>
      </c>
      <c r="AE241" s="253">
        <f t="shared" ca="1" si="195"/>
        <v>1.2394576177234375</v>
      </c>
      <c r="AF241" s="253">
        <f t="shared" ca="1" si="195"/>
        <v>1.2606915724717997</v>
      </c>
      <c r="AG241" s="254">
        <f t="shared" ca="1" si="195"/>
        <v>0</v>
      </c>
      <c r="AH241" s="253">
        <f t="shared" ca="1" si="195"/>
        <v>0</v>
      </c>
      <c r="AI241" s="253">
        <f t="shared" ca="1" si="195"/>
        <v>0</v>
      </c>
      <c r="AJ241" s="253">
        <f t="shared" ca="1" si="195"/>
        <v>0</v>
      </c>
      <c r="AK241" s="253">
        <f t="shared" ref="AK241:AX241" ca="1" si="196">AK368*AK389</f>
        <v>0</v>
      </c>
      <c r="AL241" s="253">
        <f t="shared" ca="1" si="196"/>
        <v>0</v>
      </c>
      <c r="AM241" s="254">
        <f t="shared" ca="1" si="196"/>
        <v>482.94905446229939</v>
      </c>
      <c r="AN241" s="253">
        <f t="shared" ca="1" si="196"/>
        <v>480.0566672778188</v>
      </c>
      <c r="AO241" s="253">
        <f t="shared" ca="1" si="196"/>
        <v>480.0566672778188</v>
      </c>
      <c r="AP241" s="253">
        <f t="shared" ca="1" si="196"/>
        <v>480.0566672778188</v>
      </c>
      <c r="AQ241" s="253">
        <f t="shared" ca="1" si="196"/>
        <v>478.77701909002741</v>
      </c>
      <c r="AR241" s="253">
        <f t="shared" ca="1" si="196"/>
        <v>516.51911287673931</v>
      </c>
      <c r="AS241" s="254">
        <f t="shared" ca="1" si="196"/>
        <v>30555.790590797467</v>
      </c>
      <c r="AT241" s="253">
        <f t="shared" ca="1" si="196"/>
        <v>30551.371849356277</v>
      </c>
      <c r="AU241" s="253">
        <f t="shared" ca="1" si="196"/>
        <v>30551.371849356277</v>
      </c>
      <c r="AV241" s="253">
        <f t="shared" ca="1" si="196"/>
        <v>30551.371849356277</v>
      </c>
      <c r="AW241" s="253">
        <f t="shared" ca="1" si="196"/>
        <v>30521.092857833984</v>
      </c>
      <c r="AX241" s="255">
        <f t="shared" ca="1" si="196"/>
        <v>31373.435630423937</v>
      </c>
      <c r="AY241" s="1"/>
      <c r="AZ241" s="1355"/>
      <c r="BA241" s="1"/>
      <c r="BB241" s="409" t="s">
        <v>701</v>
      </c>
      <c r="BC241" s="445" t="s">
        <v>700</v>
      </c>
      <c r="BD241" s="376">
        <f t="shared" si="189"/>
        <v>0</v>
      </c>
      <c r="BE241" s="423">
        <f t="shared" si="189"/>
        <v>0</v>
      </c>
      <c r="BF241" s="423">
        <f t="shared" si="189"/>
        <v>0</v>
      </c>
      <c r="BG241" s="423">
        <f t="shared" si="189"/>
        <v>0</v>
      </c>
      <c r="BH241" s="423">
        <f t="shared" si="189"/>
        <v>0</v>
      </c>
      <c r="BI241" s="423">
        <f t="shared" si="189"/>
        <v>0</v>
      </c>
      <c r="BJ241" s="423">
        <f t="shared" si="189"/>
        <v>0</v>
      </c>
      <c r="BK241" s="423">
        <f t="shared" si="189"/>
        <v>0</v>
      </c>
      <c r="BL241" s="423">
        <f t="shared" si="189"/>
        <v>0</v>
      </c>
      <c r="BM241" s="423">
        <f t="shared" si="189"/>
        <v>0</v>
      </c>
      <c r="BN241" s="423">
        <f t="shared" si="190"/>
        <v>0</v>
      </c>
      <c r="BO241" s="423">
        <f t="shared" si="190"/>
        <v>0</v>
      </c>
      <c r="BP241" s="423">
        <f t="shared" si="190"/>
        <v>0</v>
      </c>
      <c r="BQ241" s="423">
        <f t="shared" si="190"/>
        <v>0</v>
      </c>
      <c r="BR241" s="423">
        <f t="shared" si="190"/>
        <v>0</v>
      </c>
      <c r="BS241" s="423">
        <f t="shared" si="190"/>
        <v>0</v>
      </c>
      <c r="BT241" s="423">
        <f t="shared" si="190"/>
        <v>0</v>
      </c>
      <c r="BU241" s="423">
        <f t="shared" si="190"/>
        <v>0</v>
      </c>
      <c r="BV241" s="424">
        <f t="shared" si="190"/>
        <v>0</v>
      </c>
      <c r="BW241" s="425">
        <f t="shared" si="190"/>
        <v>0</v>
      </c>
      <c r="BX241" s="377">
        <f t="shared" si="191"/>
        <v>0</v>
      </c>
      <c r="BY241" s="220"/>
      <c r="BZ241" s="426">
        <f t="shared" si="192"/>
        <v>0</v>
      </c>
      <c r="CA241" s="427">
        <f t="shared" si="192"/>
        <v>0</v>
      </c>
      <c r="CB241" s="428">
        <f t="shared" si="192"/>
        <v>0</v>
      </c>
      <c r="CC241" s="310"/>
      <c r="CD241" s="963" t="str">
        <f t="shared" si="159"/>
        <v>Triple superphosphate, as 80% Ca(H2PO4)2 (NPK 0-48-0), at plant/RER Economic</v>
      </c>
      <c r="CE241" s="958">
        <v>0</v>
      </c>
      <c r="CF241"/>
      <c r="CG241" s="847"/>
    </row>
    <row r="242" spans="2:85" x14ac:dyDescent="0.25">
      <c r="B242" s="1343"/>
      <c r="D242" s="1355"/>
      <c r="F242" s="265"/>
      <c r="G242" s="209" t="s">
        <v>108</v>
      </c>
      <c r="H242" s="209"/>
      <c r="I242" s="253">
        <f t="shared" ref="I242:AJ242" ca="1" si="197">I369*I390</f>
        <v>43.607225573984323</v>
      </c>
      <c r="J242" s="253">
        <f t="shared" ca="1" si="197"/>
        <v>14.778224027756423</v>
      </c>
      <c r="K242" s="253">
        <f t="shared" ca="1" si="197"/>
        <v>14.778224027756423</v>
      </c>
      <c r="L242" s="253">
        <f t="shared" ca="1" si="197"/>
        <v>14.778224027756423</v>
      </c>
      <c r="M242" s="253">
        <f t="shared" ca="1" si="197"/>
        <v>23.430233282673242</v>
      </c>
      <c r="N242" s="253">
        <f t="shared" ca="1" si="197"/>
        <v>28.160317988674137</v>
      </c>
      <c r="O242" s="254">
        <f t="shared" ca="1" si="197"/>
        <v>20109.317953359641</v>
      </c>
      <c r="P242" s="253">
        <f t="shared" ca="1" si="197"/>
        <v>11862.950552909469</v>
      </c>
      <c r="Q242" s="253">
        <f t="shared" ca="1" si="197"/>
        <v>11862.950552909469</v>
      </c>
      <c r="R242" s="253">
        <f t="shared" ca="1" si="197"/>
        <v>11862.950552909469</v>
      </c>
      <c r="S242" s="253">
        <f t="shared" ca="1" si="197"/>
        <v>15234.733541796501</v>
      </c>
      <c r="T242" s="253">
        <f t="shared" ca="1" si="197"/>
        <v>16475.718176672861</v>
      </c>
      <c r="U242" s="254">
        <f t="shared" ca="1" si="197"/>
        <v>3553.3497798320905</v>
      </c>
      <c r="V242" s="253">
        <f t="shared" ca="1" si="197"/>
        <v>3316.3547924145187</v>
      </c>
      <c r="W242" s="253">
        <f t="shared" ca="1" si="197"/>
        <v>3316.3547924145187</v>
      </c>
      <c r="X242" s="253">
        <f t="shared" ca="1" si="197"/>
        <v>3316.3547924145187</v>
      </c>
      <c r="Y242" s="253">
        <f t="shared" ca="1" si="197"/>
        <v>3550.1002966652986</v>
      </c>
      <c r="Z242" s="253">
        <f t="shared" ca="1" si="197"/>
        <v>3567.7517917056175</v>
      </c>
      <c r="AA242" s="254">
        <f t="shared" ca="1" si="197"/>
        <v>0.85317772555088778</v>
      </c>
      <c r="AB242" s="253">
        <f t="shared" ca="1" si="197"/>
        <v>0.46158984895579153</v>
      </c>
      <c r="AC242" s="253">
        <f t="shared" ca="1" si="197"/>
        <v>0.46158984895579153</v>
      </c>
      <c r="AD242" s="253">
        <f t="shared" ca="1" si="197"/>
        <v>0.46158984895579153</v>
      </c>
      <c r="AE242" s="253">
        <f t="shared" ca="1" si="197"/>
        <v>0.6980234578485669</v>
      </c>
      <c r="AF242" s="253">
        <f t="shared" ca="1" si="197"/>
        <v>0.80635117840139736</v>
      </c>
      <c r="AG242" s="254">
        <f t="shared" ca="1" si="197"/>
        <v>0</v>
      </c>
      <c r="AH242" s="253">
        <f t="shared" ca="1" si="197"/>
        <v>0</v>
      </c>
      <c r="AI242" s="253">
        <f t="shared" ca="1" si="197"/>
        <v>0</v>
      </c>
      <c r="AJ242" s="253">
        <f t="shared" ca="1" si="197"/>
        <v>0</v>
      </c>
      <c r="AK242" s="253">
        <f t="shared" ref="AK242:AX242" ca="1" si="198">AK369*AK390</f>
        <v>0</v>
      </c>
      <c r="AL242" s="253">
        <f t="shared" ca="1" si="198"/>
        <v>0</v>
      </c>
      <c r="AM242" s="254">
        <f t="shared" ca="1" si="198"/>
        <v>319.8725046238186</v>
      </c>
      <c r="AN242" s="253">
        <f t="shared" ca="1" si="198"/>
        <v>112.67141968943737</v>
      </c>
      <c r="AO242" s="253">
        <f t="shared" ca="1" si="198"/>
        <v>112.67141968943737</v>
      </c>
      <c r="AP242" s="253">
        <f t="shared" ca="1" si="198"/>
        <v>112.67141968943737</v>
      </c>
      <c r="AQ242" s="253">
        <f t="shared" ca="1" si="198"/>
        <v>205.83640272777316</v>
      </c>
      <c r="AR242" s="253">
        <f t="shared" ca="1" si="198"/>
        <v>257.4547395991284</v>
      </c>
      <c r="AS242" s="254">
        <f t="shared" ca="1" si="198"/>
        <v>28247.051895145411</v>
      </c>
      <c r="AT242" s="253">
        <f t="shared" ca="1" si="198"/>
        <v>17084.400636757757</v>
      </c>
      <c r="AU242" s="253">
        <f t="shared" ca="1" si="198"/>
        <v>17084.400636757757</v>
      </c>
      <c r="AV242" s="253">
        <f t="shared" ca="1" si="198"/>
        <v>17084.400636757757</v>
      </c>
      <c r="AW242" s="253">
        <f t="shared" ca="1" si="198"/>
        <v>27374.764022793272</v>
      </c>
      <c r="AX242" s="255">
        <f t="shared" ca="1" si="198"/>
        <v>29128.86797144005</v>
      </c>
      <c r="AY242" s="1"/>
      <c r="AZ242" s="1355"/>
      <c r="BA242" s="1"/>
      <c r="BB242" s="446" t="s">
        <v>620</v>
      </c>
      <c r="BC242" s="447" t="s">
        <v>700</v>
      </c>
      <c r="BD242" s="391">
        <f t="shared" si="189"/>
        <v>0.51581579804869515</v>
      </c>
      <c r="BE242" s="429">
        <f t="shared" si="189"/>
        <v>0.51581579804869515</v>
      </c>
      <c r="BF242" s="429">
        <f t="shared" si="189"/>
        <v>0.51581579804869515</v>
      </c>
      <c r="BG242" s="429">
        <f t="shared" si="189"/>
        <v>0.51581579804869515</v>
      </c>
      <c r="BH242" s="429">
        <f t="shared" si="189"/>
        <v>0.51581579804869515</v>
      </c>
      <c r="BI242" s="429">
        <f t="shared" si="189"/>
        <v>0.51581579804869515</v>
      </c>
      <c r="BJ242" s="429">
        <f t="shared" si="189"/>
        <v>3.6926394885268126</v>
      </c>
      <c r="BK242" s="429">
        <f t="shared" si="189"/>
        <v>0.51581579804869515</v>
      </c>
      <c r="BL242" s="429">
        <f t="shared" si="189"/>
        <v>0.51581579804869515</v>
      </c>
      <c r="BM242" s="429">
        <f t="shared" si="189"/>
        <v>0.51581579804869515</v>
      </c>
      <c r="BN242" s="429">
        <f t="shared" si="190"/>
        <v>0.51581579804869515</v>
      </c>
      <c r="BO242" s="429">
        <f t="shared" si="190"/>
        <v>0.51581579804869515</v>
      </c>
      <c r="BP242" s="429">
        <f t="shared" si="190"/>
        <v>0.51581579804869515</v>
      </c>
      <c r="BQ242" s="429">
        <f t="shared" si="190"/>
        <v>0.51581579804869515</v>
      </c>
      <c r="BR242" s="429">
        <f t="shared" si="190"/>
        <v>0.51581579804869515</v>
      </c>
      <c r="BS242" s="429">
        <f t="shared" si="190"/>
        <v>0.51581579804869515</v>
      </c>
      <c r="BT242" s="429">
        <f t="shared" si="190"/>
        <v>0.51581579804869515</v>
      </c>
      <c r="BU242" s="429">
        <f t="shared" si="190"/>
        <v>0.51581579804869515</v>
      </c>
      <c r="BV242" s="430">
        <f t="shared" si="190"/>
        <v>0.51581579804869515</v>
      </c>
      <c r="BW242" s="394">
        <f t="shared" si="190"/>
        <v>3.6926394885268126</v>
      </c>
      <c r="BX242" s="390">
        <f t="shared" si="191"/>
        <v>2.7186796095833365</v>
      </c>
      <c r="BY242" s="220"/>
      <c r="BZ242" s="431">
        <f t="shared" si="192"/>
        <v>1.5665743221996231</v>
      </c>
      <c r="CA242" s="432">
        <f t="shared" si="192"/>
        <v>1.5665743221996231</v>
      </c>
      <c r="CB242" s="433">
        <f t="shared" si="192"/>
        <v>1.5665743221996231</v>
      </c>
      <c r="CC242" s="310"/>
      <c r="CD242" s="963" t="str">
        <f t="shared" si="159"/>
        <v>Single superphosphate, as 35% Ca(H2PO4)2 (NPK 0-21-0), at plant/RER Economic</v>
      </c>
      <c r="CE242" s="958">
        <v>0</v>
      </c>
      <c r="CF242"/>
      <c r="CG242" s="847"/>
    </row>
    <row r="243" spans="2:85" s="220" customFormat="1" x14ac:dyDescent="0.25">
      <c r="B243" s="1343"/>
      <c r="D243" s="1355"/>
      <c r="F243" s="265"/>
      <c r="G243" s="209" t="s">
        <v>98</v>
      </c>
      <c r="H243" s="209"/>
      <c r="I243" s="253">
        <f t="shared" ref="I243:AJ243" ca="1" si="199">I370*I391</f>
        <v>36.757615418795368</v>
      </c>
      <c r="J243" s="253">
        <f t="shared" ca="1" si="199"/>
        <v>14.828862079549177</v>
      </c>
      <c r="K243" s="253">
        <f t="shared" ca="1" si="199"/>
        <v>14.828862079549177</v>
      </c>
      <c r="L243" s="253">
        <f t="shared" ca="1" si="199"/>
        <v>14.828862079549177</v>
      </c>
      <c r="M243" s="253">
        <f t="shared" ca="1" si="199"/>
        <v>23.459059215678014</v>
      </c>
      <c r="N243" s="253">
        <f t="shared" ca="1" si="199"/>
        <v>28.179797784487764</v>
      </c>
      <c r="O243" s="254">
        <f t="shared" ca="1" si="199"/>
        <v>18743.324804562912</v>
      </c>
      <c r="P243" s="253">
        <f t="shared" ca="1" si="199"/>
        <v>12419.649835211827</v>
      </c>
      <c r="Q243" s="253">
        <f t="shared" ca="1" si="199"/>
        <v>12419.649835211827</v>
      </c>
      <c r="R243" s="253">
        <f t="shared" ca="1" si="199"/>
        <v>12419.649835211827</v>
      </c>
      <c r="S243" s="253">
        <f t="shared" ca="1" si="199"/>
        <v>15466.961175543238</v>
      </c>
      <c r="T243" s="253">
        <f t="shared" ca="1" si="199"/>
        <v>16622.56257358225</v>
      </c>
      <c r="U243" s="254">
        <f t="shared" ca="1" si="199"/>
        <v>3551.5784272374244</v>
      </c>
      <c r="V243" s="253">
        <f t="shared" ca="1" si="199"/>
        <v>3322.1831581804477</v>
      </c>
      <c r="W243" s="253">
        <f t="shared" ca="1" si="199"/>
        <v>3322.1831581804477</v>
      </c>
      <c r="X243" s="253">
        <f t="shared" ca="1" si="199"/>
        <v>3322.1831581804477</v>
      </c>
      <c r="Y243" s="253">
        <f t="shared" ca="1" si="199"/>
        <v>3550.283785143286</v>
      </c>
      <c r="Z243" s="253">
        <f t="shared" ca="1" si="199"/>
        <v>3567.8285259690206</v>
      </c>
      <c r="AA243" s="254">
        <f t="shared" ca="1" si="199"/>
        <v>0.78791011426620827</v>
      </c>
      <c r="AB243" s="253">
        <f t="shared" ca="1" si="199"/>
        <v>0.48142012977434495</v>
      </c>
      <c r="AC243" s="253">
        <f t="shared" ca="1" si="199"/>
        <v>0.48142012977434495</v>
      </c>
      <c r="AD243" s="253">
        <f t="shared" ca="1" si="199"/>
        <v>0.48142012977434495</v>
      </c>
      <c r="AE243" s="253">
        <f t="shared" ca="1" si="199"/>
        <v>0.70831502203655516</v>
      </c>
      <c r="AF243" s="253">
        <f t="shared" ca="1" si="199"/>
        <v>0.81329337074191743</v>
      </c>
      <c r="AG243" s="254">
        <f t="shared" ca="1" si="199"/>
        <v>0</v>
      </c>
      <c r="AH243" s="253">
        <f t="shared" ca="1" si="199"/>
        <v>0</v>
      </c>
      <c r="AI243" s="253">
        <f t="shared" ca="1" si="199"/>
        <v>0</v>
      </c>
      <c r="AJ243" s="253">
        <f t="shared" ca="1" si="199"/>
        <v>0</v>
      </c>
      <c r="AK243" s="253">
        <f t="shared" ref="AK243:AX243" ca="1" si="200">AK370*AK391</f>
        <v>0</v>
      </c>
      <c r="AL243" s="253">
        <f t="shared" ca="1" si="200"/>
        <v>0</v>
      </c>
      <c r="AM243" s="254">
        <f t="shared" ca="1" si="200"/>
        <v>283.02936844927046</v>
      </c>
      <c r="AN243" s="253">
        <f t="shared" ca="1" si="200"/>
        <v>112.57800632313393</v>
      </c>
      <c r="AO243" s="253">
        <f t="shared" ca="1" si="200"/>
        <v>112.57800632313393</v>
      </c>
      <c r="AP243" s="253">
        <f t="shared" ca="1" si="200"/>
        <v>112.57800632313393</v>
      </c>
      <c r="AQ243" s="253">
        <f t="shared" ca="1" si="200"/>
        <v>205.77529412277855</v>
      </c>
      <c r="AR243" s="253">
        <f t="shared" ca="1" si="200"/>
        <v>257.40858909468483</v>
      </c>
      <c r="AS243" s="254">
        <f t="shared" ca="1" si="200"/>
        <v>27788.013290743405</v>
      </c>
      <c r="AT243" s="253">
        <f t="shared" ca="1" si="200"/>
        <v>17496.349157157001</v>
      </c>
      <c r="AU243" s="253">
        <f t="shared" ca="1" si="200"/>
        <v>17496.349157157001</v>
      </c>
      <c r="AV243" s="253">
        <f t="shared" ca="1" si="200"/>
        <v>17496.349157157001</v>
      </c>
      <c r="AW243" s="253">
        <f t="shared" ca="1" si="200"/>
        <v>27427.100910711848</v>
      </c>
      <c r="AX243" s="255">
        <f t="shared" ca="1" si="200"/>
        <v>29153.725857259895</v>
      </c>
      <c r="AY243" s="1"/>
      <c r="AZ243" s="1355"/>
      <c r="BA243" s="1"/>
      <c r="BB243" s="443" t="s">
        <v>615</v>
      </c>
      <c r="BC243" s="444" t="s">
        <v>702</v>
      </c>
      <c r="BD243" s="374">
        <f t="shared" ref="BD243:BM246" si="201">(T$449*$P$449*$BZ243+T$450*$P$450*$CA243+T$451*$P$451*$CB243)*$CF$216*($CF$222*$CF$225+$CF$228*$CF$223)</f>
        <v>0.2366207489571428</v>
      </c>
      <c r="BE243" s="417">
        <f t="shared" si="201"/>
        <v>0.2366207489571428</v>
      </c>
      <c r="BF243" s="417">
        <f t="shared" si="201"/>
        <v>0.2366207489571428</v>
      </c>
      <c r="BG243" s="417">
        <f t="shared" si="201"/>
        <v>0.2366207489571428</v>
      </c>
      <c r="BH243" s="417">
        <f t="shared" si="201"/>
        <v>0.2366207489571428</v>
      </c>
      <c r="BI243" s="417">
        <f t="shared" si="201"/>
        <v>0.2366207489571428</v>
      </c>
      <c r="BJ243" s="417">
        <f t="shared" si="201"/>
        <v>1.6939285782042859</v>
      </c>
      <c r="BK243" s="417">
        <f t="shared" si="201"/>
        <v>0.2366207489571428</v>
      </c>
      <c r="BL243" s="417">
        <f t="shared" si="201"/>
        <v>0.2366207489571428</v>
      </c>
      <c r="BM243" s="417">
        <f t="shared" si="201"/>
        <v>0.2366207489571428</v>
      </c>
      <c r="BN243" s="417">
        <f t="shared" ref="BN243:BW246" si="202">(AD$449*$P$449*$BZ243+AD$450*$P$450*$CA243+AD$451*$P$451*$CB243)*$CF$216*($CF$222*$CF$225+$CF$228*$CF$223)</f>
        <v>0.2366207489571428</v>
      </c>
      <c r="BO243" s="417">
        <f t="shared" si="202"/>
        <v>0.2366207489571428</v>
      </c>
      <c r="BP243" s="417">
        <f t="shared" si="202"/>
        <v>0.2366207489571428</v>
      </c>
      <c r="BQ243" s="417">
        <f t="shared" si="202"/>
        <v>0.2366207489571428</v>
      </c>
      <c r="BR243" s="417">
        <f t="shared" si="202"/>
        <v>0.2366207489571428</v>
      </c>
      <c r="BS243" s="417">
        <f t="shared" si="202"/>
        <v>0.2366207489571428</v>
      </c>
      <c r="BT243" s="417">
        <f t="shared" si="202"/>
        <v>0.2366207489571428</v>
      </c>
      <c r="BU243" s="417">
        <f t="shared" si="202"/>
        <v>0.2366207489571428</v>
      </c>
      <c r="BV243" s="418">
        <f t="shared" si="202"/>
        <v>0.2366207489571428</v>
      </c>
      <c r="BW243" s="419">
        <f t="shared" si="202"/>
        <v>1.6939285782042859</v>
      </c>
      <c r="BX243" s="375">
        <f t="shared" ref="BX243:BX246" si="203">(AN$449*$P$449*$BZ243+AN$450*$P$450*$CA243+AN$451*$P$451*$CB243)*$CF$216*($CF$222*$CF$225+$CF$228*$CF$223)</f>
        <v>1.2471428905971429</v>
      </c>
      <c r="BZ243" s="420">
        <f t="shared" si="192"/>
        <v>1</v>
      </c>
      <c r="CA243" s="421">
        <f t="shared" si="192"/>
        <v>1</v>
      </c>
      <c r="CB243" s="422">
        <f t="shared" si="192"/>
        <v>1</v>
      </c>
      <c r="CC243" s="310"/>
      <c r="CD243" s="963" t="str">
        <f t="shared" si="159"/>
        <v>PK compound (NPK 0-22-22), at plant/RER Economic</v>
      </c>
      <c r="CE243" s="958">
        <v>0</v>
      </c>
      <c r="CF243"/>
      <c r="CG243" s="847"/>
    </row>
    <row r="244" spans="2:85" s="220" customFormat="1" x14ac:dyDescent="0.25">
      <c r="B244" s="1343"/>
      <c r="D244" s="1355"/>
      <c r="F244" s="265"/>
      <c r="G244" s="209" t="s">
        <v>629</v>
      </c>
      <c r="H244" s="209"/>
      <c r="I244" s="253">
        <f t="shared" ref="I244:AJ244" ca="1" si="204">I371*I392</f>
        <v>40.139281750781663</v>
      </c>
      <c r="J244" s="253">
        <f t="shared" ca="1" si="204"/>
        <v>14.807250065894046</v>
      </c>
      <c r="K244" s="253">
        <f t="shared" ca="1" si="204"/>
        <v>14.807250065894046</v>
      </c>
      <c r="L244" s="253">
        <f t="shared" ca="1" si="204"/>
        <v>14.807250065894046</v>
      </c>
      <c r="M244" s="253">
        <f t="shared" ca="1" si="204"/>
        <v>23.446753991158477</v>
      </c>
      <c r="N244" s="253">
        <f t="shared" ca="1" si="204"/>
        <v>28.171481321753628</v>
      </c>
      <c r="O244" s="254">
        <f t="shared" ca="1" si="204"/>
        <v>19448.227746831086</v>
      </c>
      <c r="P244" s="253">
        <f t="shared" ca="1" si="204"/>
        <v>12042.075977762746</v>
      </c>
      <c r="Q244" s="253">
        <f t="shared" ca="1" si="204"/>
        <v>12042.075977762746</v>
      </c>
      <c r="R244" s="253">
        <f t="shared" ca="1" si="204"/>
        <v>12042.075977762746</v>
      </c>
      <c r="S244" s="253">
        <f t="shared" ca="1" si="204"/>
        <v>15308.357099852532</v>
      </c>
      <c r="T244" s="253">
        <f t="shared" ca="1" si="204"/>
        <v>16522.014363274637</v>
      </c>
      <c r="U244" s="254">
        <f t="shared" ca="1" si="204"/>
        <v>3551.9443352362036</v>
      </c>
      <c r="V244" s="253">
        <f t="shared" ca="1" si="204"/>
        <v>3323.3714031946124</v>
      </c>
      <c r="W244" s="253">
        <f t="shared" ca="1" si="204"/>
        <v>3323.3714031946124</v>
      </c>
      <c r="X244" s="253">
        <f t="shared" ca="1" si="204"/>
        <v>3323.3714031946124</v>
      </c>
      <c r="Y244" s="253">
        <f t="shared" ca="1" si="204"/>
        <v>3550.3219718989067</v>
      </c>
      <c r="Z244" s="253">
        <f t="shared" ca="1" si="204"/>
        <v>3567.8445206765959</v>
      </c>
      <c r="AA244" s="254">
        <f t="shared" ca="1" si="204"/>
        <v>0.79124513075110381</v>
      </c>
      <c r="AB244" s="253">
        <f t="shared" ca="1" si="204"/>
        <v>0.47689020567368184</v>
      </c>
      <c r="AC244" s="253">
        <f t="shared" ca="1" si="204"/>
        <v>0.47689020567368184</v>
      </c>
      <c r="AD244" s="253">
        <f t="shared" ca="1" si="204"/>
        <v>0.47689020567368184</v>
      </c>
      <c r="AE244" s="253">
        <f t="shared" ca="1" si="204"/>
        <v>0.70595191038143001</v>
      </c>
      <c r="AF244" s="253">
        <f t="shared" ca="1" si="204"/>
        <v>0.81169554267498401</v>
      </c>
      <c r="AG244" s="254">
        <f t="shared" ca="1" si="204"/>
        <v>0</v>
      </c>
      <c r="AH244" s="253">
        <f t="shared" ca="1" si="204"/>
        <v>0</v>
      </c>
      <c r="AI244" s="253">
        <f t="shared" ca="1" si="204"/>
        <v>0</v>
      </c>
      <c r="AJ244" s="253">
        <f t="shared" ca="1" si="204"/>
        <v>0</v>
      </c>
      <c r="AK244" s="253">
        <f t="shared" ref="AK244:AX244" ca="1" si="205">AK371*AK392</f>
        <v>0</v>
      </c>
      <c r="AL244" s="253">
        <f t="shared" ca="1" si="205"/>
        <v>0</v>
      </c>
      <c r="AM244" s="254">
        <f t="shared" ca="1" si="205"/>
        <v>263.31575361586931</v>
      </c>
      <c r="AN244" s="253">
        <f t="shared" ca="1" si="205"/>
        <v>113.35844017258596</v>
      </c>
      <c r="AO244" s="253">
        <f t="shared" ca="1" si="205"/>
        <v>113.35844017258596</v>
      </c>
      <c r="AP244" s="253">
        <f t="shared" ca="1" si="205"/>
        <v>113.35844017258596</v>
      </c>
      <c r="AQ244" s="253">
        <f t="shared" ca="1" si="205"/>
        <v>206.28597136904423</v>
      </c>
      <c r="AR244" s="253">
        <f t="shared" ca="1" si="205"/>
        <v>257.79432091219508</v>
      </c>
      <c r="AS244" s="254">
        <f t="shared" ca="1" si="205"/>
        <v>27885.335175004628</v>
      </c>
      <c r="AT244" s="253">
        <f t="shared" ca="1" si="205"/>
        <v>17359.48898355538</v>
      </c>
      <c r="AU244" s="253">
        <f t="shared" ca="1" si="205"/>
        <v>17359.48898355538</v>
      </c>
      <c r="AV244" s="253">
        <f t="shared" ca="1" si="205"/>
        <v>17359.48898355538</v>
      </c>
      <c r="AW244" s="253">
        <f t="shared" ca="1" si="205"/>
        <v>27409.516707174556</v>
      </c>
      <c r="AX244" s="255">
        <f t="shared" ca="1" si="205"/>
        <v>29145.357957710341</v>
      </c>
      <c r="AY244" s="1"/>
      <c r="AZ244" s="1355"/>
      <c r="BA244" s="1"/>
      <c r="BB244" s="409" t="s">
        <v>619</v>
      </c>
      <c r="BC244" s="445" t="s">
        <v>702</v>
      </c>
      <c r="BD244" s="376">
        <f t="shared" si="201"/>
        <v>5.2765736675892037E-2</v>
      </c>
      <c r="BE244" s="423">
        <f t="shared" si="201"/>
        <v>5.2765736675892037E-2</v>
      </c>
      <c r="BF244" s="423">
        <f t="shared" si="201"/>
        <v>5.2765736675892037E-2</v>
      </c>
      <c r="BG244" s="423">
        <f t="shared" si="201"/>
        <v>5.2765736675892037E-2</v>
      </c>
      <c r="BH244" s="423">
        <f t="shared" si="201"/>
        <v>5.2765736675892037E-2</v>
      </c>
      <c r="BI244" s="423">
        <f t="shared" si="201"/>
        <v>5.2765736675892037E-2</v>
      </c>
      <c r="BJ244" s="423">
        <f t="shared" si="201"/>
        <v>1.7165764565257637</v>
      </c>
      <c r="BK244" s="423">
        <f t="shared" si="201"/>
        <v>5.2765736675892037E-2</v>
      </c>
      <c r="BL244" s="423">
        <f t="shared" si="201"/>
        <v>5.2765736675892037E-2</v>
      </c>
      <c r="BM244" s="423">
        <f t="shared" si="201"/>
        <v>5.2765736675892037E-2</v>
      </c>
      <c r="BN244" s="423">
        <f t="shared" si="202"/>
        <v>5.2765736675892037E-2</v>
      </c>
      <c r="BO244" s="423">
        <f t="shared" si="202"/>
        <v>5.2765736675892037E-2</v>
      </c>
      <c r="BP244" s="423">
        <f t="shared" si="202"/>
        <v>5.2765736675892037E-2</v>
      </c>
      <c r="BQ244" s="423">
        <f t="shared" si="202"/>
        <v>5.2765736675892037E-2</v>
      </c>
      <c r="BR244" s="423">
        <f t="shared" si="202"/>
        <v>5.2765736675892037E-2</v>
      </c>
      <c r="BS244" s="423">
        <f t="shared" si="202"/>
        <v>5.2765736675892037E-2</v>
      </c>
      <c r="BT244" s="423">
        <f t="shared" si="202"/>
        <v>5.2765736675892037E-2</v>
      </c>
      <c r="BU244" s="423">
        <f t="shared" si="202"/>
        <v>5.2765736675892037E-2</v>
      </c>
      <c r="BV244" s="424">
        <f t="shared" si="202"/>
        <v>5.2765736675892037E-2</v>
      </c>
      <c r="BW244" s="425">
        <f t="shared" si="202"/>
        <v>1.7165764565257637</v>
      </c>
      <c r="BX244" s="377">
        <f t="shared" si="203"/>
        <v>1.2638172302352892</v>
      </c>
      <c r="BZ244" s="426">
        <f t="shared" si="192"/>
        <v>9.5687201146773287E-2</v>
      </c>
      <c r="CA244" s="427">
        <f t="shared" si="192"/>
        <v>1.0133700314245166</v>
      </c>
      <c r="CB244" s="428">
        <f t="shared" si="192"/>
        <v>0.54405757904829311</v>
      </c>
      <c r="CC244" s="1"/>
      <c r="CD244" s="963" t="str">
        <f t="shared" si="159"/>
        <v>Potassium chloride (NPK 0-0-60), at plant/RER Economic</v>
      </c>
      <c r="CE244" s="958">
        <v>0</v>
      </c>
      <c r="CF244"/>
      <c r="CG244" s="847"/>
    </row>
    <row r="245" spans="2:85" s="220" customFormat="1" x14ac:dyDescent="0.25">
      <c r="B245" s="1343"/>
      <c r="D245" s="1355"/>
      <c r="F245" s="265"/>
      <c r="G245" s="209" t="s">
        <v>105</v>
      </c>
      <c r="H245" s="209"/>
      <c r="I245" s="253">
        <f t="shared" ref="I245:AJ245" ca="1" si="206">I372*I393</f>
        <v>34.80681501424467</v>
      </c>
      <c r="J245" s="253">
        <f t="shared" ca="1" si="206"/>
        <v>14.75229149483526</v>
      </c>
      <c r="K245" s="253">
        <f t="shared" ca="1" si="206"/>
        <v>14.75229149483526</v>
      </c>
      <c r="L245" s="253">
        <f t="shared" ca="1" si="206"/>
        <v>14.75229149483526</v>
      </c>
      <c r="M245" s="253">
        <f t="shared" ca="1" si="206"/>
        <v>23.41547895647625</v>
      </c>
      <c r="N245" s="253">
        <f t="shared" ca="1" si="206"/>
        <v>28.150350320124812</v>
      </c>
      <c r="O245" s="254">
        <f t="shared" ca="1" si="206"/>
        <v>18303.942188307738</v>
      </c>
      <c r="P245" s="253">
        <f t="shared" ca="1" si="206"/>
        <v>11870.39461339441</v>
      </c>
      <c r="Q245" s="253">
        <f t="shared" ca="1" si="206"/>
        <v>11870.39461339441</v>
      </c>
      <c r="R245" s="253">
        <f t="shared" ca="1" si="206"/>
        <v>11870.39461339441</v>
      </c>
      <c r="S245" s="253">
        <f t="shared" ca="1" si="206"/>
        <v>15237.772854076737</v>
      </c>
      <c r="T245" s="253">
        <f t="shared" ca="1" si="206"/>
        <v>16477.624661086727</v>
      </c>
      <c r="U245" s="254">
        <f t="shared" ca="1" si="206"/>
        <v>3550.8651701871722</v>
      </c>
      <c r="V245" s="253">
        <f t="shared" ca="1" si="206"/>
        <v>3314.5870188654785</v>
      </c>
      <c r="W245" s="253">
        <f t="shared" ca="1" si="206"/>
        <v>3314.5870188654785</v>
      </c>
      <c r="X245" s="253">
        <f t="shared" ca="1" si="206"/>
        <v>3314.5870188654785</v>
      </c>
      <c r="Y245" s="253">
        <f t="shared" ca="1" si="206"/>
        <v>3550.0458655966449</v>
      </c>
      <c r="Z245" s="253">
        <f t="shared" ca="1" si="206"/>
        <v>3567.7290671934597</v>
      </c>
      <c r="AA245" s="254">
        <f t="shared" ca="1" si="206"/>
        <v>0.74434779995227351</v>
      </c>
      <c r="AB245" s="253">
        <f t="shared" ca="1" si="206"/>
        <v>0.46072151742143103</v>
      </c>
      <c r="AC245" s="253">
        <f t="shared" ca="1" si="206"/>
        <v>0.46072151742143103</v>
      </c>
      <c r="AD245" s="253">
        <f t="shared" ca="1" si="206"/>
        <v>0.46072151742143103</v>
      </c>
      <c r="AE245" s="253">
        <f t="shared" ca="1" si="206"/>
        <v>0.6975759457005728</v>
      </c>
      <c r="AF245" s="253">
        <f t="shared" ca="1" si="206"/>
        <v>0.80605027727944367</v>
      </c>
      <c r="AG245" s="254">
        <f t="shared" ca="1" si="206"/>
        <v>0</v>
      </c>
      <c r="AH245" s="253">
        <f t="shared" ca="1" si="206"/>
        <v>0</v>
      </c>
      <c r="AI245" s="253">
        <f t="shared" ca="1" si="206"/>
        <v>0</v>
      </c>
      <c r="AJ245" s="253">
        <f t="shared" ca="1" si="206"/>
        <v>0</v>
      </c>
      <c r="AK245" s="253">
        <f t="shared" ref="AK245:AX245" ca="1" si="207">AK372*AK393</f>
        <v>0</v>
      </c>
      <c r="AL245" s="253">
        <f t="shared" ca="1" si="207"/>
        <v>0</v>
      </c>
      <c r="AM245" s="254">
        <f t="shared" ca="1" si="207"/>
        <v>241.86266536568894</v>
      </c>
      <c r="AN245" s="253">
        <f t="shared" ca="1" si="207"/>
        <v>112.66570421964472</v>
      </c>
      <c r="AO245" s="253">
        <f t="shared" ca="1" si="207"/>
        <v>112.66570421964472</v>
      </c>
      <c r="AP245" s="253">
        <f t="shared" ca="1" si="207"/>
        <v>112.66570421964472</v>
      </c>
      <c r="AQ245" s="253">
        <f t="shared" ca="1" si="207"/>
        <v>205.8326636868253</v>
      </c>
      <c r="AR245" s="253">
        <f t="shared" ca="1" si="207"/>
        <v>257.45191574289851</v>
      </c>
      <c r="AS245" s="254">
        <f t="shared" ca="1" si="207"/>
        <v>27604.99069782265</v>
      </c>
      <c r="AT245" s="253">
        <f t="shared" ca="1" si="207"/>
        <v>17026.296395712918</v>
      </c>
      <c r="AU245" s="253">
        <f t="shared" ca="1" si="207"/>
        <v>17026.296395712918</v>
      </c>
      <c r="AV245" s="253">
        <f t="shared" ca="1" si="207"/>
        <v>17026.296395712918</v>
      </c>
      <c r="AW245" s="253">
        <f t="shared" ca="1" si="207"/>
        <v>27367.522674934833</v>
      </c>
      <c r="AX245" s="255">
        <f t="shared" ca="1" si="207"/>
        <v>29125.439981102587</v>
      </c>
      <c r="AY245" s="1"/>
      <c r="AZ245" s="1355"/>
      <c r="BA245" s="1"/>
      <c r="BB245" s="409" t="s">
        <v>701</v>
      </c>
      <c r="BC245" s="445" t="s">
        <v>702</v>
      </c>
      <c r="BD245" s="376">
        <f t="shared" si="201"/>
        <v>0</v>
      </c>
      <c r="BE245" s="423">
        <f t="shared" si="201"/>
        <v>0</v>
      </c>
      <c r="BF245" s="423">
        <f t="shared" si="201"/>
        <v>0</v>
      </c>
      <c r="BG245" s="423">
        <f t="shared" si="201"/>
        <v>0</v>
      </c>
      <c r="BH245" s="423">
        <f t="shared" si="201"/>
        <v>0</v>
      </c>
      <c r="BI245" s="423">
        <f t="shared" si="201"/>
        <v>0</v>
      </c>
      <c r="BJ245" s="423">
        <f t="shared" si="201"/>
        <v>0</v>
      </c>
      <c r="BK245" s="423">
        <f t="shared" si="201"/>
        <v>0</v>
      </c>
      <c r="BL245" s="423">
        <f t="shared" si="201"/>
        <v>0</v>
      </c>
      <c r="BM245" s="423">
        <f t="shared" si="201"/>
        <v>0</v>
      </c>
      <c r="BN245" s="423">
        <f t="shared" si="202"/>
        <v>0</v>
      </c>
      <c r="BO245" s="423">
        <f t="shared" si="202"/>
        <v>0</v>
      </c>
      <c r="BP245" s="423">
        <f t="shared" si="202"/>
        <v>0</v>
      </c>
      <c r="BQ245" s="423">
        <f t="shared" si="202"/>
        <v>0</v>
      </c>
      <c r="BR245" s="423">
        <f t="shared" si="202"/>
        <v>0</v>
      </c>
      <c r="BS245" s="423">
        <f t="shared" si="202"/>
        <v>0</v>
      </c>
      <c r="BT245" s="423">
        <f t="shared" si="202"/>
        <v>0</v>
      </c>
      <c r="BU245" s="423">
        <f t="shared" si="202"/>
        <v>0</v>
      </c>
      <c r="BV245" s="424">
        <f t="shared" si="202"/>
        <v>0</v>
      </c>
      <c r="BW245" s="425">
        <f t="shared" si="202"/>
        <v>0</v>
      </c>
      <c r="BX245" s="377">
        <f t="shared" si="203"/>
        <v>0</v>
      </c>
      <c r="BZ245" s="426">
        <f t="shared" si="192"/>
        <v>0</v>
      </c>
      <c r="CA245" s="427">
        <f t="shared" si="192"/>
        <v>0</v>
      </c>
      <c r="CB245" s="428">
        <f t="shared" si="192"/>
        <v>0</v>
      </c>
      <c r="CC245" s="1"/>
      <c r="CD245" s="964" t="str">
        <f t="shared" si="159"/>
        <v>Potassium sulfate (NPK 0-0-50) (Mannheim), at plant/RER Economic</v>
      </c>
      <c r="CE245" s="981">
        <v>0</v>
      </c>
      <c r="CF245" s="959"/>
      <c r="CG245" s="848"/>
    </row>
    <row r="246" spans="2:85" s="220" customFormat="1" x14ac:dyDescent="0.25">
      <c r="B246" s="1343"/>
      <c r="D246" s="1355"/>
      <c r="F246" s="265"/>
      <c r="G246" s="209" t="s">
        <v>111</v>
      </c>
      <c r="H246" s="209"/>
      <c r="I246" s="253">
        <f t="shared" ref="I246:AJ246" ca="1" si="208">I373*I394</f>
        <v>42.564958067030609</v>
      </c>
      <c r="J246" s="253">
        <f t="shared" ca="1" si="208"/>
        <v>15.100216178218972</v>
      </c>
      <c r="K246" s="253">
        <f t="shared" ca="1" si="208"/>
        <v>15.100216178218972</v>
      </c>
      <c r="L246" s="253">
        <f t="shared" ca="1" si="208"/>
        <v>15.100216178218972</v>
      </c>
      <c r="M246" s="253">
        <f t="shared" ca="1" si="208"/>
        <v>23.613876389430324</v>
      </c>
      <c r="N246" s="253">
        <f t="shared" ca="1" si="208"/>
        <v>28.284547987679581</v>
      </c>
      <c r="O246" s="254">
        <f t="shared" ca="1" si="208"/>
        <v>19912.666188021158</v>
      </c>
      <c r="P246" s="253">
        <f t="shared" ca="1" si="208"/>
        <v>12013.339535550811</v>
      </c>
      <c r="Q246" s="253">
        <f t="shared" ca="1" si="208"/>
        <v>12013.339535550811</v>
      </c>
      <c r="R246" s="253">
        <f t="shared" ca="1" si="208"/>
        <v>12013.339535550811</v>
      </c>
      <c r="S246" s="253">
        <f t="shared" ca="1" si="208"/>
        <v>15296.476838792954</v>
      </c>
      <c r="T246" s="253">
        <f t="shared" ca="1" si="208"/>
        <v>16514.527661063381</v>
      </c>
      <c r="U246" s="254">
        <f t="shared" ca="1" si="208"/>
        <v>3553.0359416443785</v>
      </c>
      <c r="V246" s="253">
        <f t="shared" ca="1" si="208"/>
        <v>3318.1306236310998</v>
      </c>
      <c r="W246" s="253">
        <f t="shared" ca="1" si="208"/>
        <v>3318.1306236310998</v>
      </c>
      <c r="X246" s="253">
        <f t="shared" ca="1" si="208"/>
        <v>3318.1306236310998</v>
      </c>
      <c r="Y246" s="253">
        <f t="shared" ca="1" si="208"/>
        <v>3550.1555416916963</v>
      </c>
      <c r="Z246" s="253">
        <f t="shared" ca="1" si="208"/>
        <v>3567.7748739776962</v>
      </c>
      <c r="AA246" s="254">
        <f t="shared" ca="1" si="208"/>
        <v>0.84622380358895566</v>
      </c>
      <c r="AB246" s="253">
        <f t="shared" ca="1" si="208"/>
        <v>0.4716234577598708</v>
      </c>
      <c r="AC246" s="253">
        <f t="shared" ca="1" si="208"/>
        <v>0.4716234577598708</v>
      </c>
      <c r="AD246" s="253">
        <f t="shared" ca="1" si="208"/>
        <v>0.4716234577598708</v>
      </c>
      <c r="AE246" s="253">
        <f t="shared" ca="1" si="208"/>
        <v>0.70321350613405631</v>
      </c>
      <c r="AF246" s="253">
        <f t="shared" ca="1" si="208"/>
        <v>0.80984678703163715</v>
      </c>
      <c r="AG246" s="254">
        <f t="shared" ca="1" si="208"/>
        <v>0</v>
      </c>
      <c r="AH246" s="253">
        <f t="shared" ca="1" si="208"/>
        <v>0</v>
      </c>
      <c r="AI246" s="253">
        <f t="shared" ca="1" si="208"/>
        <v>0</v>
      </c>
      <c r="AJ246" s="253">
        <f t="shared" ca="1" si="208"/>
        <v>0</v>
      </c>
      <c r="AK246" s="253">
        <f t="shared" ref="AK246:AX246" ca="1" si="209">AK373*AK394</f>
        <v>0</v>
      </c>
      <c r="AL246" s="253">
        <f t="shared" ca="1" si="209"/>
        <v>0</v>
      </c>
      <c r="AM246" s="254">
        <f t="shared" ca="1" si="209"/>
        <v>322.04577391437584</v>
      </c>
      <c r="AN246" s="253">
        <f t="shared" ca="1" si="209"/>
        <v>112.55851846219429</v>
      </c>
      <c r="AO246" s="253">
        <f t="shared" ca="1" si="209"/>
        <v>112.55851846219429</v>
      </c>
      <c r="AP246" s="253">
        <f t="shared" ca="1" si="209"/>
        <v>112.55851846219429</v>
      </c>
      <c r="AQ246" s="253">
        <f t="shared" ca="1" si="209"/>
        <v>205.76254623345955</v>
      </c>
      <c r="AR246" s="253">
        <f t="shared" ca="1" si="209"/>
        <v>257.39896185664168</v>
      </c>
      <c r="AS246" s="254">
        <f t="shared" ca="1" si="209"/>
        <v>28145.221171441557</v>
      </c>
      <c r="AT246" s="253">
        <f t="shared" ca="1" si="209"/>
        <v>17104.994050396668</v>
      </c>
      <c r="AU246" s="253">
        <f t="shared" ca="1" si="209"/>
        <v>17104.994050396668</v>
      </c>
      <c r="AV246" s="253">
        <f t="shared" ca="1" si="209"/>
        <v>17104.994050396668</v>
      </c>
      <c r="AW246" s="253">
        <f t="shared" ca="1" si="209"/>
        <v>27377.338726844944</v>
      </c>
      <c r="AX246" s="255">
        <f t="shared" ca="1" si="209"/>
        <v>29130.087476990961</v>
      </c>
      <c r="AY246" s="1"/>
      <c r="AZ246" s="1355"/>
      <c r="BA246" s="1"/>
      <c r="BB246" s="446" t="s">
        <v>620</v>
      </c>
      <c r="BC246" s="447" t="s">
        <v>702</v>
      </c>
      <c r="BD246" s="391">
        <f t="shared" si="201"/>
        <v>0.37068398941590319</v>
      </c>
      <c r="BE246" s="429">
        <f t="shared" si="201"/>
        <v>0.37068398941590319</v>
      </c>
      <c r="BF246" s="429">
        <f t="shared" si="201"/>
        <v>0.37068398941590319</v>
      </c>
      <c r="BG246" s="429">
        <f t="shared" si="201"/>
        <v>0.37068398941590319</v>
      </c>
      <c r="BH246" s="429">
        <f t="shared" si="201"/>
        <v>0.37068398941590319</v>
      </c>
      <c r="BI246" s="429">
        <f t="shared" si="201"/>
        <v>0.37068398941590319</v>
      </c>
      <c r="BJ246" s="429">
        <f t="shared" si="201"/>
        <v>2.6536650142549503</v>
      </c>
      <c r="BK246" s="429">
        <f t="shared" si="201"/>
        <v>0.37068398941590319</v>
      </c>
      <c r="BL246" s="429">
        <f t="shared" si="201"/>
        <v>0.37068398941590319</v>
      </c>
      <c r="BM246" s="429">
        <f t="shared" si="201"/>
        <v>0.37068398941590319</v>
      </c>
      <c r="BN246" s="429">
        <f t="shared" si="202"/>
        <v>0.37068398941590319</v>
      </c>
      <c r="BO246" s="429">
        <f t="shared" si="202"/>
        <v>0.37068398941590319</v>
      </c>
      <c r="BP246" s="429">
        <f t="shared" si="202"/>
        <v>0.37068398941590319</v>
      </c>
      <c r="BQ246" s="429">
        <f t="shared" si="202"/>
        <v>0.37068398941590319</v>
      </c>
      <c r="BR246" s="429">
        <f t="shared" si="202"/>
        <v>0.37068398941590319</v>
      </c>
      <c r="BS246" s="429">
        <f t="shared" si="202"/>
        <v>0.37068398941590319</v>
      </c>
      <c r="BT246" s="429">
        <f t="shared" si="202"/>
        <v>0.37068398941590319</v>
      </c>
      <c r="BU246" s="429">
        <f t="shared" si="202"/>
        <v>0.37068398941590319</v>
      </c>
      <c r="BV246" s="430">
        <f t="shared" si="202"/>
        <v>0.37068398941590319</v>
      </c>
      <c r="BW246" s="394">
        <f t="shared" si="202"/>
        <v>2.6536650142549503</v>
      </c>
      <c r="BX246" s="390">
        <f t="shared" si="203"/>
        <v>1.9537420285232978</v>
      </c>
      <c r="BZ246" s="431">
        <f t="shared" si="192"/>
        <v>1.5665743221996231</v>
      </c>
      <c r="CA246" s="432">
        <f t="shared" si="192"/>
        <v>1.5665743221996231</v>
      </c>
      <c r="CB246" s="433">
        <f t="shared" si="192"/>
        <v>1.5665743221996231</v>
      </c>
      <c r="CC246" s="1"/>
      <c r="CD246" s="962" t="str">
        <f t="shared" si="159"/>
        <v>Ground rock</v>
      </c>
      <c r="CE246" s="982">
        <v>0</v>
      </c>
      <c r="CF246" s="983"/>
      <c r="CG246" s="327"/>
    </row>
    <row r="247" spans="2:85" s="220" customFormat="1" x14ac:dyDescent="0.25">
      <c r="B247" s="1343"/>
      <c r="D247" s="1355"/>
      <c r="F247" s="265"/>
      <c r="G247" s="209" t="s">
        <v>109</v>
      </c>
      <c r="H247" s="209"/>
      <c r="I247" s="253">
        <f t="shared" ref="I247:AJ247" ca="1" si="210">I374*I395</f>
        <v>40.27814230141604</v>
      </c>
      <c r="J247" s="253">
        <f t="shared" ca="1" si="210"/>
        <v>14.733789821516046</v>
      </c>
      <c r="K247" s="253">
        <f t="shared" ca="1" si="210"/>
        <v>14.733789821516046</v>
      </c>
      <c r="L247" s="253">
        <f t="shared" ca="1" si="210"/>
        <v>14.733789821516046</v>
      </c>
      <c r="M247" s="253">
        <f t="shared" ca="1" si="210"/>
        <v>23.404955682261306</v>
      </c>
      <c r="N247" s="253">
        <f t="shared" ca="1" si="210"/>
        <v>28.143242252586731</v>
      </c>
      <c r="O247" s="254">
        <f t="shared" ca="1" si="210"/>
        <v>19458.458491071204</v>
      </c>
      <c r="P247" s="253">
        <f t="shared" ca="1" si="210"/>
        <v>11882.160689444807</v>
      </c>
      <c r="Q247" s="253">
        <f t="shared" ca="1" si="210"/>
        <v>11882.160689444807</v>
      </c>
      <c r="R247" s="253">
        <f t="shared" ca="1" si="210"/>
        <v>11882.160689444807</v>
      </c>
      <c r="S247" s="253">
        <f t="shared" ca="1" si="210"/>
        <v>15242.580360465385</v>
      </c>
      <c r="T247" s="253">
        <f t="shared" ca="1" si="210"/>
        <v>16480.641114807328</v>
      </c>
      <c r="U247" s="254">
        <f t="shared" ca="1" si="210"/>
        <v>3552.345888931839</v>
      </c>
      <c r="V247" s="253">
        <f t="shared" ca="1" si="210"/>
        <v>3315.1924289724775</v>
      </c>
      <c r="W247" s="253">
        <f t="shared" ca="1" si="210"/>
        <v>3315.1924289724775</v>
      </c>
      <c r="X247" s="253">
        <f t="shared" ca="1" si="210"/>
        <v>3315.1924289724775</v>
      </c>
      <c r="Y247" s="253">
        <f t="shared" ca="1" si="210"/>
        <v>3550.0644438869144</v>
      </c>
      <c r="Z247" s="253">
        <f t="shared" ca="1" si="210"/>
        <v>3567.7368215021402</v>
      </c>
      <c r="AA247" s="254">
        <f t="shared" ca="1" si="210"/>
        <v>0.82516273090776382</v>
      </c>
      <c r="AB247" s="253">
        <f t="shared" ca="1" si="210"/>
        <v>0.46261135489168076</v>
      </c>
      <c r="AC247" s="253">
        <f t="shared" ca="1" si="210"/>
        <v>0.46261135489168076</v>
      </c>
      <c r="AD247" s="253">
        <f t="shared" ca="1" si="210"/>
        <v>0.46261135489168076</v>
      </c>
      <c r="AE247" s="253">
        <f t="shared" ca="1" si="210"/>
        <v>0.69855024626721041</v>
      </c>
      <c r="AF247" s="253">
        <f t="shared" ca="1" si="210"/>
        <v>0.80670548699698508</v>
      </c>
      <c r="AG247" s="254">
        <f t="shared" ca="1" si="210"/>
        <v>0</v>
      </c>
      <c r="AH247" s="253">
        <f t="shared" ca="1" si="210"/>
        <v>0</v>
      </c>
      <c r="AI247" s="253">
        <f t="shared" ca="1" si="210"/>
        <v>0</v>
      </c>
      <c r="AJ247" s="253">
        <f t="shared" ca="1" si="210"/>
        <v>0</v>
      </c>
      <c r="AK247" s="253">
        <f t="shared" ref="AK247:AX247" ca="1" si="211">AK374*AK395</f>
        <v>0</v>
      </c>
      <c r="AL247" s="253">
        <f t="shared" ca="1" si="211"/>
        <v>0</v>
      </c>
      <c r="AM247" s="254">
        <f t="shared" ca="1" si="211"/>
        <v>320.32424984732273</v>
      </c>
      <c r="AN247" s="253">
        <f t="shared" ca="1" si="211"/>
        <v>112.48235750359389</v>
      </c>
      <c r="AO247" s="253">
        <f t="shared" ca="1" si="211"/>
        <v>112.48235750359389</v>
      </c>
      <c r="AP247" s="253">
        <f t="shared" ca="1" si="211"/>
        <v>112.48235750359389</v>
      </c>
      <c r="AQ247" s="253">
        <f t="shared" ca="1" si="211"/>
        <v>205.71272778255971</v>
      </c>
      <c r="AR247" s="253">
        <f t="shared" ca="1" si="211"/>
        <v>257.3613396193893</v>
      </c>
      <c r="AS247" s="254">
        <f t="shared" ca="1" si="211"/>
        <v>27977.303717375769</v>
      </c>
      <c r="AT247" s="253">
        <f t="shared" ca="1" si="211"/>
        <v>17087.449238354158</v>
      </c>
      <c r="AU247" s="253">
        <f t="shared" ca="1" si="211"/>
        <v>17087.449238354158</v>
      </c>
      <c r="AV247" s="253">
        <f t="shared" ca="1" si="211"/>
        <v>17087.449238354158</v>
      </c>
      <c r="AW247" s="253">
        <f t="shared" ca="1" si="211"/>
        <v>27375.144904361761</v>
      </c>
      <c r="AX247" s="255">
        <f t="shared" ca="1" si="211"/>
        <v>29129.048353608028</v>
      </c>
      <c r="AY247" s="1"/>
      <c r="AZ247" s="1355"/>
      <c r="BA247" s="1"/>
      <c r="BB247" s="443" t="s">
        <v>615</v>
      </c>
      <c r="BC247" s="444" t="s">
        <v>703</v>
      </c>
      <c r="BD247" s="374">
        <f t="shared" ref="BD247:BM250" si="212">(T$449*$P$449*$BZ247+T$450*$P$450*$CA247+T$451*$P$451*$CB247)*$CF$216*$CF$225</f>
        <v>8.9050819499999978</v>
      </c>
      <c r="BE247" s="417">
        <f t="shared" si="212"/>
        <v>8.9050819499999978</v>
      </c>
      <c r="BF247" s="417">
        <f t="shared" si="212"/>
        <v>8.9050819499999978</v>
      </c>
      <c r="BG247" s="417">
        <f t="shared" si="212"/>
        <v>8.9050819499999978</v>
      </c>
      <c r="BH247" s="417">
        <f t="shared" si="212"/>
        <v>8.9050819499999978</v>
      </c>
      <c r="BI247" s="417">
        <f t="shared" si="212"/>
        <v>8.9050819499999978</v>
      </c>
      <c r="BJ247" s="417">
        <f t="shared" si="212"/>
        <v>63.750000255000003</v>
      </c>
      <c r="BK247" s="417">
        <f t="shared" si="212"/>
        <v>8.9050819499999978</v>
      </c>
      <c r="BL247" s="417">
        <f t="shared" si="212"/>
        <v>8.9050819499999978</v>
      </c>
      <c r="BM247" s="417">
        <f t="shared" si="212"/>
        <v>8.9050819499999978</v>
      </c>
      <c r="BN247" s="417">
        <f t="shared" ref="BN247:BW250" si="213">(AD$449*$P$449*$BZ247+AD$450*$P$450*$CA247+AD$451*$P$451*$CB247)*$CF$216*$CF$225</f>
        <v>8.9050819499999978</v>
      </c>
      <c r="BO247" s="417">
        <f t="shared" si="213"/>
        <v>8.9050819499999978</v>
      </c>
      <c r="BP247" s="417">
        <f t="shared" si="213"/>
        <v>8.9050819499999978</v>
      </c>
      <c r="BQ247" s="417">
        <f t="shared" si="213"/>
        <v>8.9050819499999978</v>
      </c>
      <c r="BR247" s="417">
        <f t="shared" si="213"/>
        <v>8.9050819499999978</v>
      </c>
      <c r="BS247" s="417">
        <f t="shared" si="213"/>
        <v>8.9050819499999978</v>
      </c>
      <c r="BT247" s="417">
        <f t="shared" si="213"/>
        <v>8.9050819499999978</v>
      </c>
      <c r="BU247" s="417">
        <f t="shared" si="213"/>
        <v>8.9050819499999978</v>
      </c>
      <c r="BV247" s="418">
        <f t="shared" si="213"/>
        <v>8.9050819499999978</v>
      </c>
      <c r="BW247" s="419">
        <f t="shared" si="213"/>
        <v>63.750000255000003</v>
      </c>
      <c r="BX247" s="375">
        <f t="shared" ref="BX247:BX250" si="214">(AN$449*$P$449*$BZ247+AN$450*$P$450*$CA247+AN$451*$P$451*$CB247)*$CF$216*$CF$225</f>
        <v>46.935485129999996</v>
      </c>
      <c r="BZ247" s="420">
        <f t="shared" si="192"/>
        <v>1</v>
      </c>
      <c r="CA247" s="421">
        <f t="shared" si="192"/>
        <v>1</v>
      </c>
      <c r="CB247" s="422">
        <f t="shared" si="192"/>
        <v>1</v>
      </c>
      <c r="CC247" s="1"/>
      <c r="CD247" s="964" t="str">
        <f t="shared" si="159"/>
        <v>Lime fertilizer, at plant/RER Economic</v>
      </c>
      <c r="CE247" s="431">
        <v>0.12</v>
      </c>
      <c r="CF247" s="959"/>
      <c r="CG247" s="848"/>
    </row>
    <row r="248" spans="2:85" s="220" customFormat="1" x14ac:dyDescent="0.25">
      <c r="B248" s="1343"/>
      <c r="D248" s="1355"/>
      <c r="F248" s="265"/>
      <c r="G248" s="209" t="s">
        <v>99</v>
      </c>
      <c r="H248" s="209"/>
      <c r="I248" s="253">
        <f t="shared" ref="I248:AJ248" ca="1" si="215">I375*I396</f>
        <v>36.755696619051712</v>
      </c>
      <c r="J248" s="253">
        <f t="shared" ca="1" si="215"/>
        <v>14.815323462081873</v>
      </c>
      <c r="K248" s="253">
        <f t="shared" ca="1" si="215"/>
        <v>14.815323462081873</v>
      </c>
      <c r="L248" s="253">
        <f t="shared" ca="1" si="215"/>
        <v>14.815323462081873</v>
      </c>
      <c r="M248" s="253">
        <f t="shared" ca="1" si="215"/>
        <v>23.451350303729338</v>
      </c>
      <c r="N248" s="253">
        <f t="shared" ca="1" si="215"/>
        <v>28.174587570442693</v>
      </c>
      <c r="O248" s="254">
        <f t="shared" ca="1" si="215"/>
        <v>18716.255480463966</v>
      </c>
      <c r="P248" s="253">
        <f t="shared" ca="1" si="215"/>
        <v>12063.771510299506</v>
      </c>
      <c r="Q248" s="253">
        <f t="shared" ca="1" si="215"/>
        <v>12063.771510299506</v>
      </c>
      <c r="R248" s="253">
        <f t="shared" ca="1" si="215"/>
        <v>12063.771510299506</v>
      </c>
      <c r="S248" s="253">
        <f t="shared" ca="1" si="215"/>
        <v>15317.344129727508</v>
      </c>
      <c r="T248" s="253">
        <f t="shared" ca="1" si="215"/>
        <v>16527.681942620784</v>
      </c>
      <c r="U248" s="254">
        <f t="shared" ca="1" si="215"/>
        <v>3551.5223890924653</v>
      </c>
      <c r="V248" s="253">
        <f t="shared" ca="1" si="215"/>
        <v>3320.3282998590171</v>
      </c>
      <c r="W248" s="253">
        <f t="shared" ca="1" si="215"/>
        <v>3320.3282998590171</v>
      </c>
      <c r="X248" s="253">
        <f t="shared" ca="1" si="215"/>
        <v>3320.3282998590171</v>
      </c>
      <c r="Y248" s="253">
        <f t="shared" ca="1" si="215"/>
        <v>3550.2247085398171</v>
      </c>
      <c r="Z248" s="253">
        <f t="shared" ca="1" si="215"/>
        <v>3567.8037985239098</v>
      </c>
      <c r="AA248" s="254">
        <f t="shared" ca="1" si="215"/>
        <v>0.78688371831574888</v>
      </c>
      <c r="AB248" s="253">
        <f t="shared" ca="1" si="215"/>
        <v>0.47879430373896797</v>
      </c>
      <c r="AC248" s="253">
        <f t="shared" ca="1" si="215"/>
        <v>0.47879430373896797</v>
      </c>
      <c r="AD248" s="253">
        <f t="shared" ca="1" si="215"/>
        <v>0.47879430373896797</v>
      </c>
      <c r="AE248" s="253">
        <f t="shared" ca="1" si="215"/>
        <v>0.70694433299787973</v>
      </c>
      <c r="AF248" s="253">
        <f t="shared" ca="1" si="215"/>
        <v>0.81236629778732938</v>
      </c>
      <c r="AG248" s="254">
        <f t="shared" ca="1" si="215"/>
        <v>0</v>
      </c>
      <c r="AH248" s="253">
        <f t="shared" ca="1" si="215"/>
        <v>0</v>
      </c>
      <c r="AI248" s="253">
        <f t="shared" ca="1" si="215"/>
        <v>0</v>
      </c>
      <c r="AJ248" s="253">
        <f t="shared" ca="1" si="215"/>
        <v>0</v>
      </c>
      <c r="AK248" s="253">
        <f t="shared" ref="AK248:AX248" ca="1" si="216">AK375*AK396</f>
        <v>0</v>
      </c>
      <c r="AL248" s="253">
        <f t="shared" ca="1" si="216"/>
        <v>0</v>
      </c>
      <c r="AM248" s="254">
        <f t="shared" ca="1" si="216"/>
        <v>283.47344327566339</v>
      </c>
      <c r="AN248" s="253">
        <f t="shared" ca="1" si="216"/>
        <v>113.627310203345</v>
      </c>
      <c r="AO248" s="253">
        <f t="shared" ca="1" si="216"/>
        <v>113.627310203345</v>
      </c>
      <c r="AP248" s="253">
        <f t="shared" ca="1" si="216"/>
        <v>113.627310203345</v>
      </c>
      <c r="AQ248" s="253">
        <f t="shared" ca="1" si="216"/>
        <v>206.46197904453953</v>
      </c>
      <c r="AR248" s="253">
        <f t="shared" ca="1" si="216"/>
        <v>257.9272958065319</v>
      </c>
      <c r="AS248" s="254">
        <f t="shared" ca="1" si="216"/>
        <v>27789.024428084045</v>
      </c>
      <c r="AT248" s="253">
        <f t="shared" ca="1" si="216"/>
        <v>17505.292608949414</v>
      </c>
      <c r="AU248" s="253">
        <f t="shared" ca="1" si="216"/>
        <v>17505.292608949414</v>
      </c>
      <c r="AV248" s="253">
        <f t="shared" ca="1" si="216"/>
        <v>17505.292608949414</v>
      </c>
      <c r="AW248" s="253">
        <f t="shared" ca="1" si="216"/>
        <v>27428.256916673621</v>
      </c>
      <c r="AX248" s="255">
        <f t="shared" ca="1" si="216"/>
        <v>29154.27654587532</v>
      </c>
      <c r="AY248" s="1"/>
      <c r="AZ248" s="1355"/>
      <c r="BA248" s="1"/>
      <c r="BB248" s="409" t="s">
        <v>619</v>
      </c>
      <c r="BC248" s="445" t="s">
        <v>703</v>
      </c>
      <c r="BD248" s="376">
        <f t="shared" si="212"/>
        <v>1.9858072942540013</v>
      </c>
      <c r="BE248" s="423">
        <f t="shared" si="212"/>
        <v>1.9858072942540013</v>
      </c>
      <c r="BF248" s="423">
        <f t="shared" si="212"/>
        <v>1.9858072942540013</v>
      </c>
      <c r="BG248" s="423">
        <f t="shared" si="212"/>
        <v>1.9858072942540013</v>
      </c>
      <c r="BH248" s="423">
        <f t="shared" si="212"/>
        <v>1.9858072942540013</v>
      </c>
      <c r="BI248" s="423">
        <f t="shared" si="212"/>
        <v>1.9858072942540013</v>
      </c>
      <c r="BJ248" s="423">
        <f t="shared" si="212"/>
        <v>64.602339761722291</v>
      </c>
      <c r="BK248" s="423">
        <f t="shared" si="212"/>
        <v>1.9858072942540013</v>
      </c>
      <c r="BL248" s="423">
        <f t="shared" si="212"/>
        <v>1.9858072942540013</v>
      </c>
      <c r="BM248" s="423">
        <f t="shared" si="212"/>
        <v>1.9858072942540013</v>
      </c>
      <c r="BN248" s="423">
        <f t="shared" si="213"/>
        <v>1.9858072942540013</v>
      </c>
      <c r="BO248" s="423">
        <f t="shared" si="213"/>
        <v>1.9858072942540013</v>
      </c>
      <c r="BP248" s="423">
        <f t="shared" si="213"/>
        <v>1.9858072942540013</v>
      </c>
      <c r="BQ248" s="423">
        <f t="shared" si="213"/>
        <v>1.9858072942540013</v>
      </c>
      <c r="BR248" s="423">
        <f t="shared" si="213"/>
        <v>1.9858072942540013</v>
      </c>
      <c r="BS248" s="423">
        <f t="shared" si="213"/>
        <v>1.9858072942540013</v>
      </c>
      <c r="BT248" s="423">
        <f t="shared" si="213"/>
        <v>1.9858072942540013</v>
      </c>
      <c r="BU248" s="423">
        <f t="shared" si="213"/>
        <v>1.9858072942540013</v>
      </c>
      <c r="BV248" s="424">
        <f t="shared" si="213"/>
        <v>1.9858072942540013</v>
      </c>
      <c r="BW248" s="425">
        <f t="shared" si="213"/>
        <v>64.602339761722291</v>
      </c>
      <c r="BX248" s="377">
        <f t="shared" si="214"/>
        <v>47.563014041113028</v>
      </c>
      <c r="BZ248" s="426">
        <f t="shared" si="192"/>
        <v>9.5687201146773287E-2</v>
      </c>
      <c r="CA248" s="427">
        <f t="shared" si="192"/>
        <v>1.0133700314245166</v>
      </c>
      <c r="CB248" s="428">
        <f t="shared" si="192"/>
        <v>0.54405757904829311</v>
      </c>
      <c r="CC248" s="1"/>
    </row>
    <row r="249" spans="2:85" s="220" customFormat="1" x14ac:dyDescent="0.25">
      <c r="B249" s="1343"/>
      <c r="D249" s="1355"/>
      <c r="F249" s="265"/>
      <c r="G249" s="209" t="s">
        <v>106</v>
      </c>
      <c r="H249" s="209"/>
      <c r="I249" s="253">
        <f t="shared" ref="I249:AJ249" ca="1" si="217">I376*I397</f>
        <v>35.596581995600943</v>
      </c>
      <c r="J249" s="253">
        <f t="shared" ca="1" si="217"/>
        <v>14.926827946586732</v>
      </c>
      <c r="K249" s="253">
        <f t="shared" ca="1" si="217"/>
        <v>14.926827946586732</v>
      </c>
      <c r="L249" s="253">
        <f t="shared" ca="1" si="217"/>
        <v>14.926827946586732</v>
      </c>
      <c r="M249" s="253">
        <f t="shared" ca="1" si="217"/>
        <v>23.514884572062943</v>
      </c>
      <c r="N249" s="253">
        <f t="shared" ca="1" si="217"/>
        <v>28.21754447915346</v>
      </c>
      <c r="O249" s="254">
        <f t="shared" ca="1" si="217"/>
        <v>18465.539667674679</v>
      </c>
      <c r="P249" s="253">
        <f t="shared" ca="1" si="217"/>
        <v>11886.60816048334</v>
      </c>
      <c r="Q249" s="253">
        <f t="shared" ca="1" si="217"/>
        <v>11886.60816048334</v>
      </c>
      <c r="R249" s="253">
        <f t="shared" ca="1" si="217"/>
        <v>11886.60816048334</v>
      </c>
      <c r="S249" s="253">
        <f t="shared" ca="1" si="217"/>
        <v>15244.398695246435</v>
      </c>
      <c r="T249" s="253">
        <f t="shared" ca="1" si="217"/>
        <v>16481.782286573452</v>
      </c>
      <c r="U249" s="254">
        <f t="shared" ca="1" si="217"/>
        <v>3551.2140247272564</v>
      </c>
      <c r="V249" s="253">
        <f t="shared" ca="1" si="217"/>
        <v>3321.2177248021767</v>
      </c>
      <c r="W249" s="253">
        <f t="shared" ca="1" si="217"/>
        <v>3321.2177248021767</v>
      </c>
      <c r="X249" s="253">
        <f t="shared" ca="1" si="217"/>
        <v>3321.2177248021767</v>
      </c>
      <c r="Y249" s="253">
        <f t="shared" ca="1" si="217"/>
        <v>3550.2529558251649</v>
      </c>
      <c r="Z249" s="253">
        <f t="shared" ca="1" si="217"/>
        <v>3567.815619284389</v>
      </c>
      <c r="AA249" s="254">
        <f t="shared" ca="1" si="217"/>
        <v>0.75735593111539812</v>
      </c>
      <c r="AB249" s="253">
        <f t="shared" ca="1" si="217"/>
        <v>0.46549637456280485</v>
      </c>
      <c r="AC249" s="253">
        <f t="shared" ca="1" si="217"/>
        <v>0.46549637456280485</v>
      </c>
      <c r="AD249" s="253">
        <f t="shared" ca="1" si="217"/>
        <v>0.46549637456280485</v>
      </c>
      <c r="AE249" s="253">
        <f t="shared" ca="1" si="217"/>
        <v>0.7000400022202441</v>
      </c>
      <c r="AF249" s="253">
        <f t="shared" ca="1" si="217"/>
        <v>0.80770807494625463</v>
      </c>
      <c r="AG249" s="254">
        <f t="shared" ca="1" si="217"/>
        <v>0</v>
      </c>
      <c r="AH249" s="253">
        <f t="shared" ca="1" si="217"/>
        <v>0</v>
      </c>
      <c r="AI249" s="253">
        <f t="shared" ca="1" si="217"/>
        <v>0</v>
      </c>
      <c r="AJ249" s="253">
        <f t="shared" ca="1" si="217"/>
        <v>0</v>
      </c>
      <c r="AK249" s="253">
        <f t="shared" ref="AK249:AX249" ca="1" si="218">AK376*AK397</f>
        <v>0</v>
      </c>
      <c r="AL249" s="253">
        <f t="shared" ca="1" si="218"/>
        <v>0</v>
      </c>
      <c r="AM249" s="254">
        <f t="shared" ca="1" si="218"/>
        <v>254.86483037075354</v>
      </c>
      <c r="AN249" s="253">
        <f t="shared" ca="1" si="218"/>
        <v>113.56096782045059</v>
      </c>
      <c r="AO249" s="253">
        <f t="shared" ca="1" si="218"/>
        <v>113.56096782045059</v>
      </c>
      <c r="AP249" s="253">
        <f t="shared" ca="1" si="218"/>
        <v>113.56096782045059</v>
      </c>
      <c r="AQ249" s="253">
        <f t="shared" ca="1" si="218"/>
        <v>206.41854654814395</v>
      </c>
      <c r="AR249" s="253">
        <f t="shared" ca="1" si="218"/>
        <v>257.89448083956785</v>
      </c>
      <c r="AS249" s="254">
        <f t="shared" ca="1" si="218"/>
        <v>27673.344487878945</v>
      </c>
      <c r="AT249" s="253">
        <f t="shared" ca="1" si="218"/>
        <v>17259.766671027264</v>
      </c>
      <c r="AU249" s="253">
        <f t="shared" ca="1" si="218"/>
        <v>17259.766671027264</v>
      </c>
      <c r="AV249" s="253">
        <f t="shared" ca="1" si="218"/>
        <v>17259.766671027264</v>
      </c>
      <c r="AW249" s="253">
        <f t="shared" ca="1" si="218"/>
        <v>27396.828112161271</v>
      </c>
      <c r="AX249" s="255">
        <f t="shared" ca="1" si="218"/>
        <v>29139.329905821436</v>
      </c>
      <c r="AY249" s="1"/>
      <c r="AZ249" s="1355"/>
      <c r="BA249" s="1"/>
      <c r="BB249" s="409" t="s">
        <v>701</v>
      </c>
      <c r="BC249" s="445" t="s">
        <v>703</v>
      </c>
      <c r="BD249" s="376">
        <f t="shared" si="212"/>
        <v>0</v>
      </c>
      <c r="BE249" s="423">
        <f t="shared" si="212"/>
        <v>0</v>
      </c>
      <c r="BF249" s="423">
        <f t="shared" si="212"/>
        <v>0</v>
      </c>
      <c r="BG249" s="423">
        <f t="shared" si="212"/>
        <v>0</v>
      </c>
      <c r="BH249" s="423">
        <f t="shared" si="212"/>
        <v>0</v>
      </c>
      <c r="BI249" s="423">
        <f t="shared" si="212"/>
        <v>0</v>
      </c>
      <c r="BJ249" s="423">
        <f t="shared" si="212"/>
        <v>0</v>
      </c>
      <c r="BK249" s="423">
        <f t="shared" si="212"/>
        <v>0</v>
      </c>
      <c r="BL249" s="423">
        <f t="shared" si="212"/>
        <v>0</v>
      </c>
      <c r="BM249" s="423">
        <f t="shared" si="212"/>
        <v>0</v>
      </c>
      <c r="BN249" s="423">
        <f t="shared" si="213"/>
        <v>0</v>
      </c>
      <c r="BO249" s="423">
        <f t="shared" si="213"/>
        <v>0</v>
      </c>
      <c r="BP249" s="423">
        <f t="shared" si="213"/>
        <v>0</v>
      </c>
      <c r="BQ249" s="423">
        <f t="shared" si="213"/>
        <v>0</v>
      </c>
      <c r="BR249" s="423">
        <f t="shared" si="213"/>
        <v>0</v>
      </c>
      <c r="BS249" s="423">
        <f t="shared" si="213"/>
        <v>0</v>
      </c>
      <c r="BT249" s="423">
        <f t="shared" si="213"/>
        <v>0</v>
      </c>
      <c r="BU249" s="423">
        <f t="shared" si="213"/>
        <v>0</v>
      </c>
      <c r="BV249" s="424">
        <f t="shared" si="213"/>
        <v>0</v>
      </c>
      <c r="BW249" s="425">
        <f t="shared" si="213"/>
        <v>0</v>
      </c>
      <c r="BX249" s="377">
        <f t="shared" si="214"/>
        <v>0</v>
      </c>
      <c r="BZ249" s="426">
        <f t="shared" si="192"/>
        <v>0</v>
      </c>
      <c r="CA249" s="427">
        <f t="shared" si="192"/>
        <v>0</v>
      </c>
      <c r="CB249" s="428">
        <f t="shared" si="192"/>
        <v>0</v>
      </c>
      <c r="CC249" s="1"/>
      <c r="CF249" s="1013" t="s">
        <v>1551</v>
      </c>
    </row>
    <row r="250" spans="2:85" s="220" customFormat="1" x14ac:dyDescent="0.25">
      <c r="B250" s="1343"/>
      <c r="D250" s="1355"/>
      <c r="F250" s="265"/>
      <c r="G250" s="209" t="s">
        <v>112</v>
      </c>
      <c r="H250" s="209"/>
      <c r="I250" s="253">
        <f t="shared" ref="I250:AJ250" ca="1" si="219">I377*I398</f>
        <v>42.163972317044745</v>
      </c>
      <c r="J250" s="253">
        <f t="shared" ca="1" si="219"/>
        <v>14.721932682470129</v>
      </c>
      <c r="K250" s="253">
        <f t="shared" ca="1" si="219"/>
        <v>14.721932682470129</v>
      </c>
      <c r="L250" s="253">
        <f t="shared" ca="1" si="219"/>
        <v>14.721932682470129</v>
      </c>
      <c r="M250" s="253">
        <f t="shared" ca="1" si="219"/>
        <v>23.39821307497467</v>
      </c>
      <c r="N250" s="253">
        <f t="shared" ca="1" si="219"/>
        <v>28.138688407110831</v>
      </c>
      <c r="O250" s="254">
        <f t="shared" ca="1" si="219"/>
        <v>19835.668304668998</v>
      </c>
      <c r="P250" s="253">
        <f t="shared" ca="1" si="219"/>
        <v>11854.024335257185</v>
      </c>
      <c r="Q250" s="253">
        <f t="shared" ca="1" si="219"/>
        <v>11854.024335257185</v>
      </c>
      <c r="R250" s="253">
        <f t="shared" ca="1" si="219"/>
        <v>11854.024335257185</v>
      </c>
      <c r="S250" s="253">
        <f t="shared" ca="1" si="219"/>
        <v>15231.091390818256</v>
      </c>
      <c r="T250" s="253">
        <f t="shared" ca="1" si="219"/>
        <v>16473.434078932329</v>
      </c>
      <c r="U250" s="254">
        <f t="shared" ca="1" si="219"/>
        <v>3552.7538142912117</v>
      </c>
      <c r="V250" s="253">
        <f t="shared" ca="1" si="219"/>
        <v>3314.4552965129192</v>
      </c>
      <c r="W250" s="253">
        <f t="shared" ca="1" si="219"/>
        <v>3314.4552965129192</v>
      </c>
      <c r="X250" s="253">
        <f t="shared" ca="1" si="219"/>
        <v>3314.4552965129192</v>
      </c>
      <c r="Y250" s="253">
        <f t="shared" ca="1" si="219"/>
        <v>3550.0418320267236</v>
      </c>
      <c r="Z250" s="253">
        <f t="shared" ca="1" si="219"/>
        <v>3567.7273839096792</v>
      </c>
      <c r="AA250" s="254">
        <f t="shared" ca="1" si="219"/>
        <v>0.83609263564745873</v>
      </c>
      <c r="AB250" s="253">
        <f t="shared" ca="1" si="219"/>
        <v>0.4600928407926182</v>
      </c>
      <c r="AC250" s="253">
        <f t="shared" ca="1" si="219"/>
        <v>0.4600928407926182</v>
      </c>
      <c r="AD250" s="253">
        <f t="shared" ca="1" si="219"/>
        <v>0.4600928407926182</v>
      </c>
      <c r="AE250" s="253">
        <f t="shared" ca="1" si="219"/>
        <v>0.69725210759609968</v>
      </c>
      <c r="AF250" s="253">
        <f t="shared" ca="1" si="219"/>
        <v>0.80583258311051831</v>
      </c>
      <c r="AG250" s="254">
        <f t="shared" ca="1" si="219"/>
        <v>0</v>
      </c>
      <c r="AH250" s="253">
        <f t="shared" ca="1" si="219"/>
        <v>0</v>
      </c>
      <c r="AI250" s="253">
        <f t="shared" ca="1" si="219"/>
        <v>0</v>
      </c>
      <c r="AJ250" s="253">
        <f t="shared" ca="1" si="219"/>
        <v>0</v>
      </c>
      <c r="AK250" s="253">
        <f t="shared" ref="AK250:AX250" ca="1" si="220">AK377*AK398</f>
        <v>0</v>
      </c>
      <c r="AL250" s="253">
        <f t="shared" ca="1" si="220"/>
        <v>0</v>
      </c>
      <c r="AM250" s="254">
        <f t="shared" ca="1" si="220"/>
        <v>317.52561012289505</v>
      </c>
      <c r="AN250" s="253">
        <f t="shared" ca="1" si="220"/>
        <v>112.33223385004942</v>
      </c>
      <c r="AO250" s="253">
        <f t="shared" ca="1" si="220"/>
        <v>112.33223385004942</v>
      </c>
      <c r="AP250" s="253">
        <f t="shared" ca="1" si="220"/>
        <v>112.33223385004942</v>
      </c>
      <c r="AQ250" s="253">
        <f t="shared" ca="1" si="220"/>
        <v>205.61453752618976</v>
      </c>
      <c r="AR250" s="253">
        <f t="shared" ca="1" si="220"/>
        <v>257.28719127854259</v>
      </c>
      <c r="AS250" s="254">
        <f t="shared" ca="1" si="220"/>
        <v>28093.810521169496</v>
      </c>
      <c r="AT250" s="253">
        <f t="shared" ca="1" si="220"/>
        <v>17016.592881066827</v>
      </c>
      <c r="AU250" s="253">
        <f t="shared" ca="1" si="220"/>
        <v>17016.592881066827</v>
      </c>
      <c r="AV250" s="253">
        <f t="shared" ca="1" si="220"/>
        <v>17016.592881066827</v>
      </c>
      <c r="AW250" s="253">
        <f t="shared" ca="1" si="220"/>
        <v>27366.316678662948</v>
      </c>
      <c r="AX250" s="255">
        <f t="shared" ca="1" si="220"/>
        <v>29124.869340295263</v>
      </c>
      <c r="AY250" s="1"/>
      <c r="AZ250" s="1355"/>
      <c r="BA250" s="1"/>
      <c r="BB250" s="446" t="s">
        <v>620</v>
      </c>
      <c r="BC250" s="447" t="s">
        <v>703</v>
      </c>
      <c r="BD250" s="391">
        <f t="shared" si="212"/>
        <v>13.950472719953344</v>
      </c>
      <c r="BE250" s="429">
        <f t="shared" si="212"/>
        <v>13.950472719953344</v>
      </c>
      <c r="BF250" s="429">
        <f t="shared" si="212"/>
        <v>13.950472719953344</v>
      </c>
      <c r="BG250" s="429">
        <f t="shared" si="212"/>
        <v>13.950472719953344</v>
      </c>
      <c r="BH250" s="429">
        <f t="shared" si="212"/>
        <v>13.950472719953344</v>
      </c>
      <c r="BI250" s="429">
        <f t="shared" si="212"/>
        <v>13.950472719953344</v>
      </c>
      <c r="BJ250" s="429">
        <f t="shared" si="212"/>
        <v>99.869113439702431</v>
      </c>
      <c r="BK250" s="429">
        <f t="shared" si="212"/>
        <v>13.950472719953344</v>
      </c>
      <c r="BL250" s="429">
        <f t="shared" si="212"/>
        <v>13.950472719953344</v>
      </c>
      <c r="BM250" s="429">
        <f t="shared" si="212"/>
        <v>13.950472719953344</v>
      </c>
      <c r="BN250" s="429">
        <f t="shared" si="213"/>
        <v>13.950472719953344</v>
      </c>
      <c r="BO250" s="429">
        <f t="shared" si="213"/>
        <v>13.950472719953344</v>
      </c>
      <c r="BP250" s="429">
        <f t="shared" si="213"/>
        <v>13.950472719953344</v>
      </c>
      <c r="BQ250" s="429">
        <f t="shared" si="213"/>
        <v>13.950472719953344</v>
      </c>
      <c r="BR250" s="429">
        <f t="shared" si="213"/>
        <v>13.950472719953344</v>
      </c>
      <c r="BS250" s="429">
        <f t="shared" si="213"/>
        <v>13.950472719953344</v>
      </c>
      <c r="BT250" s="429">
        <f t="shared" si="213"/>
        <v>13.950472719953344</v>
      </c>
      <c r="BU250" s="429">
        <f t="shared" si="213"/>
        <v>13.950472719953344</v>
      </c>
      <c r="BV250" s="430">
        <f t="shared" si="213"/>
        <v>13.950472719953344</v>
      </c>
      <c r="BW250" s="394">
        <f t="shared" si="213"/>
        <v>99.869113439702431</v>
      </c>
      <c r="BX250" s="390">
        <f t="shared" si="214"/>
        <v>73.527925804640233</v>
      </c>
      <c r="BZ250" s="431">
        <f t="shared" si="192"/>
        <v>1.5665743221996231</v>
      </c>
      <c r="CA250" s="432">
        <f t="shared" si="192"/>
        <v>1.5665743221996231</v>
      </c>
      <c r="CB250" s="433">
        <f t="shared" si="192"/>
        <v>1.5665743221996231</v>
      </c>
      <c r="CC250" s="1"/>
      <c r="CF250" s="1013" t="s">
        <v>1552</v>
      </c>
    </row>
    <row r="251" spans="2:85" s="220" customFormat="1" x14ac:dyDescent="0.25">
      <c r="B251" s="1343"/>
      <c r="D251" s="1355"/>
      <c r="F251" s="265"/>
      <c r="G251" s="209" t="s">
        <v>110</v>
      </c>
      <c r="H251" s="209"/>
      <c r="I251" s="253">
        <f t="shared" ref="I251:AJ251" ca="1" si="221">I378*I399</f>
        <v>35.576976899872164</v>
      </c>
      <c r="J251" s="253">
        <f t="shared" ca="1" si="221"/>
        <v>14.810351778470181</v>
      </c>
      <c r="K251" s="253">
        <f t="shared" ca="1" si="221"/>
        <v>14.810351778470181</v>
      </c>
      <c r="L251" s="253">
        <f t="shared" ca="1" si="221"/>
        <v>14.810351778470181</v>
      </c>
      <c r="M251" s="253">
        <f t="shared" ca="1" si="221"/>
        <v>23.448519784108733</v>
      </c>
      <c r="N251" s="253">
        <f t="shared" ca="1" si="221"/>
        <v>28.172674645296169</v>
      </c>
      <c r="O251" s="254">
        <f t="shared" ca="1" si="221"/>
        <v>18463.942857769984</v>
      </c>
      <c r="P251" s="253">
        <f t="shared" ca="1" si="221"/>
        <v>11868.058485249343</v>
      </c>
      <c r="Q251" s="253">
        <f t="shared" ca="1" si="221"/>
        <v>11868.058485249343</v>
      </c>
      <c r="R251" s="253">
        <f t="shared" ca="1" si="221"/>
        <v>11868.058485249343</v>
      </c>
      <c r="S251" s="253">
        <f t="shared" ca="1" si="221"/>
        <v>15236.81885512318</v>
      </c>
      <c r="T251" s="253">
        <f t="shared" ca="1" si="221"/>
        <v>16477.02619793222</v>
      </c>
      <c r="U251" s="254">
        <f t="shared" ca="1" si="221"/>
        <v>3551.0989250362568</v>
      </c>
      <c r="V251" s="253">
        <f t="shared" ca="1" si="221"/>
        <v>3317.4169509888293</v>
      </c>
      <c r="W251" s="253">
        <f t="shared" ca="1" si="221"/>
        <v>3317.4169509888293</v>
      </c>
      <c r="X251" s="253">
        <f t="shared" ca="1" si="221"/>
        <v>3317.4169509888293</v>
      </c>
      <c r="Y251" s="253">
        <f t="shared" ca="1" si="221"/>
        <v>3550.133271045966</v>
      </c>
      <c r="Z251" s="253">
        <f t="shared" ca="1" si="221"/>
        <v>3567.7655667634631</v>
      </c>
      <c r="AA251" s="254">
        <f t="shared" ca="1" si="221"/>
        <v>0.75606300796169112</v>
      </c>
      <c r="AB251" s="253">
        <f t="shared" ca="1" si="221"/>
        <v>0.46243472168489913</v>
      </c>
      <c r="AC251" s="253">
        <f t="shared" ca="1" si="221"/>
        <v>0.46243472168489913</v>
      </c>
      <c r="AD251" s="253">
        <f t="shared" ca="1" si="221"/>
        <v>0.46243472168489913</v>
      </c>
      <c r="AE251" s="253">
        <f t="shared" ca="1" si="221"/>
        <v>0.69845913100881452</v>
      </c>
      <c r="AF251" s="253">
        <f t="shared" ca="1" si="221"/>
        <v>0.8066441964994322</v>
      </c>
      <c r="AG251" s="254">
        <f t="shared" ca="1" si="221"/>
        <v>0</v>
      </c>
      <c r="AH251" s="253">
        <f t="shared" ca="1" si="221"/>
        <v>0</v>
      </c>
      <c r="AI251" s="253">
        <f t="shared" ca="1" si="221"/>
        <v>0</v>
      </c>
      <c r="AJ251" s="253">
        <f t="shared" ca="1" si="221"/>
        <v>0</v>
      </c>
      <c r="AK251" s="253">
        <f t="shared" ref="AK251:AX251" ca="1" si="222">AK378*AK399</f>
        <v>0</v>
      </c>
      <c r="AL251" s="253">
        <f t="shared" ca="1" si="222"/>
        <v>0</v>
      </c>
      <c r="AM251" s="254">
        <f t="shared" ca="1" si="222"/>
        <v>254.51380200694257</v>
      </c>
      <c r="AN251" s="253">
        <f t="shared" ca="1" si="222"/>
        <v>112.86337582461492</v>
      </c>
      <c r="AO251" s="253">
        <f t="shared" ca="1" si="222"/>
        <v>112.86337582461492</v>
      </c>
      <c r="AP251" s="253">
        <f t="shared" ca="1" si="222"/>
        <v>112.86337582461492</v>
      </c>
      <c r="AQ251" s="253">
        <f t="shared" ca="1" si="222"/>
        <v>205.9619895187617</v>
      </c>
      <c r="AR251" s="253">
        <f t="shared" ca="1" si="222"/>
        <v>257.54959126979156</v>
      </c>
      <c r="AS251" s="254">
        <f t="shared" ca="1" si="222"/>
        <v>27657.716755149551</v>
      </c>
      <c r="AT251" s="253">
        <f t="shared" ca="1" si="222"/>
        <v>17122.518286544262</v>
      </c>
      <c r="AU251" s="253">
        <f t="shared" ca="1" si="222"/>
        <v>17122.518286544262</v>
      </c>
      <c r="AV251" s="253">
        <f t="shared" ca="1" si="222"/>
        <v>17122.518286544262</v>
      </c>
      <c r="AW251" s="253">
        <f t="shared" ca="1" si="222"/>
        <v>27379.533103104779</v>
      </c>
      <c r="AX251" s="255">
        <f t="shared" ca="1" si="222"/>
        <v>29131.12711557675</v>
      </c>
      <c r="AY251" s="1"/>
      <c r="AZ251" s="1355"/>
      <c r="BA251" s="1"/>
      <c r="BB251" s="443" t="s">
        <v>615</v>
      </c>
      <c r="BC251" s="444" t="s">
        <v>704</v>
      </c>
      <c r="BD251" s="374">
        <f t="shared" ref="BD251:BM254" si="223">(T$449*$P$449*$BZ251+T$450*$P$450*$CA251+T$451*$P$451*$CB251)*$CF$217*$CF$228</f>
        <v>37.116980228571428</v>
      </c>
      <c r="BE251" s="417">
        <f t="shared" si="223"/>
        <v>37.116980228571428</v>
      </c>
      <c r="BF251" s="417">
        <f t="shared" si="223"/>
        <v>37.116980228571428</v>
      </c>
      <c r="BG251" s="417">
        <f t="shared" si="223"/>
        <v>37.116980228571428</v>
      </c>
      <c r="BH251" s="417">
        <f t="shared" si="223"/>
        <v>37.116980228571428</v>
      </c>
      <c r="BI251" s="417">
        <f t="shared" si="223"/>
        <v>37.116980228571428</v>
      </c>
      <c r="BJ251" s="417">
        <f t="shared" si="223"/>
        <v>265.71428677714289</v>
      </c>
      <c r="BK251" s="417">
        <f t="shared" si="223"/>
        <v>37.116980228571428</v>
      </c>
      <c r="BL251" s="417">
        <f t="shared" si="223"/>
        <v>37.116980228571428</v>
      </c>
      <c r="BM251" s="417">
        <f t="shared" si="223"/>
        <v>37.116980228571428</v>
      </c>
      <c r="BN251" s="417">
        <f t="shared" ref="BN251:BW254" si="224">(AD$449*$P$449*$BZ251+AD$450*$P$450*$CA251+AD$451*$P$451*$CB251)*$CF$217*$CF$228</f>
        <v>37.116980228571428</v>
      </c>
      <c r="BO251" s="417">
        <f t="shared" si="224"/>
        <v>37.116980228571428</v>
      </c>
      <c r="BP251" s="417">
        <f t="shared" si="224"/>
        <v>37.116980228571428</v>
      </c>
      <c r="BQ251" s="417">
        <f t="shared" si="224"/>
        <v>37.116980228571428</v>
      </c>
      <c r="BR251" s="417">
        <f t="shared" si="224"/>
        <v>37.116980228571428</v>
      </c>
      <c r="BS251" s="417">
        <f t="shared" si="224"/>
        <v>37.116980228571428</v>
      </c>
      <c r="BT251" s="417">
        <f t="shared" si="224"/>
        <v>37.116980228571428</v>
      </c>
      <c r="BU251" s="417">
        <f t="shared" si="224"/>
        <v>37.116980228571428</v>
      </c>
      <c r="BV251" s="418">
        <f t="shared" si="224"/>
        <v>37.116980228571428</v>
      </c>
      <c r="BW251" s="419">
        <f t="shared" si="224"/>
        <v>265.71428677714289</v>
      </c>
      <c r="BX251" s="375">
        <f t="shared" ref="BX251:BX254" si="225">(AN$449*$P$449*$BZ251+AN$450*$P$450*$CA251+AN$451*$P$451*$CB251)*$CF$217*$CF$228</f>
        <v>195.63025734857143</v>
      </c>
      <c r="BZ251" s="420">
        <f t="shared" si="192"/>
        <v>1</v>
      </c>
      <c r="CA251" s="421">
        <f t="shared" si="192"/>
        <v>1</v>
      </c>
      <c r="CB251" s="422">
        <f t="shared" si="192"/>
        <v>1</v>
      </c>
      <c r="CC251" s="1"/>
      <c r="CF251" s="1013" t="s">
        <v>1553</v>
      </c>
    </row>
    <row r="252" spans="2:85" s="220" customFormat="1" x14ac:dyDescent="0.25">
      <c r="B252" s="1343"/>
      <c r="D252" s="1355"/>
      <c r="F252" s="265"/>
      <c r="G252" s="209" t="s">
        <v>100</v>
      </c>
      <c r="H252" s="209"/>
      <c r="I252" s="253">
        <f t="shared" ref="I252:AJ252" ca="1" si="226">I379*I400</f>
        <v>36.751807023523675</v>
      </c>
      <c r="J252" s="253">
        <f t="shared" ca="1" si="226"/>
        <v>14.787859406692816</v>
      </c>
      <c r="K252" s="253">
        <f t="shared" ca="1" si="226"/>
        <v>14.787859406692816</v>
      </c>
      <c r="L252" s="253">
        <f t="shared" ca="1" si="226"/>
        <v>14.787859406692816</v>
      </c>
      <c r="M252" s="253">
        <f t="shared" ca="1" si="226"/>
        <v>23.435716695783288</v>
      </c>
      <c r="N252" s="253">
        <f t="shared" ca="1" si="226"/>
        <v>28.16402295326132</v>
      </c>
      <c r="O252" s="254">
        <f t="shared" ca="1" si="226"/>
        <v>18727.370757200119</v>
      </c>
      <c r="P252" s="253">
        <f t="shared" ca="1" si="226"/>
        <v>12212.387537283219</v>
      </c>
      <c r="Q252" s="253">
        <f t="shared" ca="1" si="226"/>
        <v>12212.387537283219</v>
      </c>
      <c r="R252" s="253">
        <f t="shared" ca="1" si="226"/>
        <v>12212.387537283219</v>
      </c>
      <c r="S252" s="253">
        <f t="shared" ca="1" si="226"/>
        <v>15379.317019338008</v>
      </c>
      <c r="T252" s="253">
        <f t="shared" ca="1" si="226"/>
        <v>16566.861724810969</v>
      </c>
      <c r="U252" s="254">
        <f t="shared" ca="1" si="226"/>
        <v>3551.5345467292427</v>
      </c>
      <c r="V252" s="253">
        <f t="shared" ca="1" si="226"/>
        <v>3320.7324518024393</v>
      </c>
      <c r="W252" s="253">
        <f t="shared" ca="1" si="226"/>
        <v>3320.7324518024393</v>
      </c>
      <c r="X252" s="253">
        <f t="shared" ca="1" si="226"/>
        <v>3320.7324518024393</v>
      </c>
      <c r="Y252" s="253">
        <f t="shared" ca="1" si="226"/>
        <v>3550.2375256894625</v>
      </c>
      <c r="Z252" s="253">
        <f t="shared" ca="1" si="226"/>
        <v>3567.8091615832386</v>
      </c>
      <c r="AA252" s="254">
        <f t="shared" ca="1" si="226"/>
        <v>0.78479135926907928</v>
      </c>
      <c r="AB252" s="253">
        <f t="shared" ca="1" si="226"/>
        <v>0.47342184418574623</v>
      </c>
      <c r="AC252" s="253">
        <f t="shared" ca="1" si="226"/>
        <v>0.47342184418574623</v>
      </c>
      <c r="AD252" s="253">
        <f t="shared" ca="1" si="226"/>
        <v>0.47342184418574623</v>
      </c>
      <c r="AE252" s="253">
        <f t="shared" ca="1" si="226"/>
        <v>0.70414746785119142</v>
      </c>
      <c r="AF252" s="253">
        <f t="shared" ca="1" si="226"/>
        <v>0.81047698394193546</v>
      </c>
      <c r="AG252" s="254">
        <f t="shared" ca="1" si="226"/>
        <v>0</v>
      </c>
      <c r="AH252" s="253">
        <f t="shared" ca="1" si="226"/>
        <v>0</v>
      </c>
      <c r="AI252" s="253">
        <f t="shared" ca="1" si="226"/>
        <v>0</v>
      </c>
      <c r="AJ252" s="253">
        <f t="shared" ca="1" si="226"/>
        <v>0</v>
      </c>
      <c r="AK252" s="253">
        <f t="shared" ref="AK252:AX252" ca="1" si="227">AK379*AK400</f>
        <v>0</v>
      </c>
      <c r="AL252" s="253">
        <f t="shared" ca="1" si="227"/>
        <v>0</v>
      </c>
      <c r="AM252" s="254">
        <f t="shared" ca="1" si="227"/>
        <v>283.10618101752243</v>
      </c>
      <c r="AN252" s="253">
        <f t="shared" ca="1" si="227"/>
        <v>112.75961972265148</v>
      </c>
      <c r="AO252" s="253">
        <f t="shared" ca="1" si="227"/>
        <v>112.75961972265148</v>
      </c>
      <c r="AP252" s="253">
        <f t="shared" ca="1" si="227"/>
        <v>112.75961972265148</v>
      </c>
      <c r="AQ252" s="253">
        <f t="shared" ca="1" si="227"/>
        <v>205.89410501614879</v>
      </c>
      <c r="AR252" s="253">
        <f t="shared" ca="1" si="227"/>
        <v>257.4983193017946</v>
      </c>
      <c r="AS252" s="254">
        <f t="shared" ca="1" si="227"/>
        <v>27780.220345344835</v>
      </c>
      <c r="AT252" s="253">
        <f t="shared" ca="1" si="227"/>
        <v>17427.190410186446</v>
      </c>
      <c r="AU252" s="253">
        <f t="shared" ca="1" si="227"/>
        <v>17427.190410186446</v>
      </c>
      <c r="AV252" s="253">
        <f t="shared" ca="1" si="227"/>
        <v>17427.190410186446</v>
      </c>
      <c r="AW252" s="253">
        <f t="shared" ca="1" si="227"/>
        <v>27418.190404843124</v>
      </c>
      <c r="AX252" s="255">
        <f t="shared" ca="1" si="227"/>
        <v>29149.483518103636</v>
      </c>
      <c r="AY252" s="1"/>
      <c r="AZ252" s="1355"/>
      <c r="BA252" s="1"/>
      <c r="BB252" s="409" t="s">
        <v>619</v>
      </c>
      <c r="BC252" s="445" t="s">
        <v>704</v>
      </c>
      <c r="BD252" s="376">
        <f t="shared" si="223"/>
        <v>8.2769783021007139</v>
      </c>
      <c r="BE252" s="423">
        <f t="shared" si="223"/>
        <v>8.2769783021007139</v>
      </c>
      <c r="BF252" s="423">
        <f t="shared" si="223"/>
        <v>8.2769783021007139</v>
      </c>
      <c r="BG252" s="423">
        <f t="shared" si="223"/>
        <v>8.2769783021007139</v>
      </c>
      <c r="BH252" s="423">
        <f t="shared" si="223"/>
        <v>8.2769783021007139</v>
      </c>
      <c r="BI252" s="423">
        <f t="shared" si="223"/>
        <v>8.2769783021007139</v>
      </c>
      <c r="BJ252" s="423">
        <f t="shared" si="223"/>
        <v>269.26689514129635</v>
      </c>
      <c r="BK252" s="423">
        <f t="shared" si="223"/>
        <v>8.2769783021007139</v>
      </c>
      <c r="BL252" s="423">
        <f t="shared" si="223"/>
        <v>8.2769783021007139</v>
      </c>
      <c r="BM252" s="423">
        <f t="shared" si="223"/>
        <v>8.2769783021007139</v>
      </c>
      <c r="BN252" s="423">
        <f t="shared" si="224"/>
        <v>8.2769783021007139</v>
      </c>
      <c r="BO252" s="423">
        <f t="shared" si="224"/>
        <v>8.2769783021007139</v>
      </c>
      <c r="BP252" s="423">
        <f t="shared" si="224"/>
        <v>8.2769783021007139</v>
      </c>
      <c r="BQ252" s="423">
        <f t="shared" si="224"/>
        <v>8.2769783021007139</v>
      </c>
      <c r="BR252" s="423">
        <f t="shared" si="224"/>
        <v>8.2769783021007139</v>
      </c>
      <c r="BS252" s="423">
        <f t="shared" si="224"/>
        <v>8.2769783021007139</v>
      </c>
      <c r="BT252" s="423">
        <f t="shared" si="224"/>
        <v>8.2769783021007139</v>
      </c>
      <c r="BU252" s="423">
        <f t="shared" si="224"/>
        <v>8.2769783021007139</v>
      </c>
      <c r="BV252" s="424">
        <f t="shared" si="224"/>
        <v>8.2769783021007139</v>
      </c>
      <c r="BW252" s="425">
        <f t="shared" si="224"/>
        <v>269.26689514129635</v>
      </c>
      <c r="BX252" s="377">
        <f t="shared" si="225"/>
        <v>198.24584003690813</v>
      </c>
      <c r="BZ252" s="426">
        <f t="shared" si="192"/>
        <v>9.5687201146773287E-2</v>
      </c>
      <c r="CA252" s="427">
        <f t="shared" si="192"/>
        <v>1.0133700314245166</v>
      </c>
      <c r="CB252" s="428">
        <f t="shared" si="192"/>
        <v>0.54405757904829311</v>
      </c>
      <c r="CC252" s="1"/>
      <c r="CF252" s="1013" t="s">
        <v>1554</v>
      </c>
    </row>
    <row r="253" spans="2:85" s="220" customFormat="1" x14ac:dyDescent="0.25">
      <c r="B253" s="1343"/>
      <c r="D253" s="1355"/>
      <c r="F253" s="265"/>
      <c r="G253" s="256" t="s">
        <v>101</v>
      </c>
      <c r="H253" s="209"/>
      <c r="I253" s="257">
        <f t="shared" ref="I253:AJ253" ca="1" si="228">I380*I401</f>
        <v>38.588720224881037</v>
      </c>
      <c r="J253" s="257">
        <f t="shared" ca="1" si="228"/>
        <v>14.782369465556314</v>
      </c>
      <c r="K253" s="257">
        <f t="shared" ca="1" si="228"/>
        <v>14.782369465556314</v>
      </c>
      <c r="L253" s="257">
        <f t="shared" ca="1" si="228"/>
        <v>14.782369465556314</v>
      </c>
      <c r="M253" s="257">
        <f t="shared" ca="1" si="228"/>
        <v>23.432592326129086</v>
      </c>
      <c r="N253" s="257">
        <f t="shared" ca="1" si="228"/>
        <v>28.161911884540984</v>
      </c>
      <c r="O253" s="258">
        <f t="shared" ca="1" si="228"/>
        <v>19109.367657627645</v>
      </c>
      <c r="P253" s="257">
        <f t="shared" ca="1" si="228"/>
        <v>12183.929326846317</v>
      </c>
      <c r="Q253" s="257">
        <f t="shared" ca="1" si="228"/>
        <v>12183.929326846317</v>
      </c>
      <c r="R253" s="257">
        <f t="shared" ca="1" si="228"/>
        <v>12183.929326846317</v>
      </c>
      <c r="S253" s="257">
        <f t="shared" ca="1" si="228"/>
        <v>15367.394102344642</v>
      </c>
      <c r="T253" s="257">
        <f t="shared" ca="1" si="228"/>
        <v>16559.310738334389</v>
      </c>
      <c r="U253" s="258">
        <f t="shared" ca="1" si="228"/>
        <v>3551.9782119196934</v>
      </c>
      <c r="V253" s="257">
        <f t="shared" ca="1" si="228"/>
        <v>3319.5014006196893</v>
      </c>
      <c r="W253" s="257">
        <f t="shared" ca="1" si="228"/>
        <v>3319.5014006196893</v>
      </c>
      <c r="X253" s="257">
        <f t="shared" ca="1" si="228"/>
        <v>3319.5014006196893</v>
      </c>
      <c r="Y253" s="257">
        <f t="shared" ca="1" si="228"/>
        <v>3550.1985791710667</v>
      </c>
      <c r="Z253" s="257">
        <f t="shared" ca="1" si="228"/>
        <v>3567.7928682748297</v>
      </c>
      <c r="AA253" s="258">
        <f t="shared" ca="1" si="228"/>
        <v>0.81067431943896107</v>
      </c>
      <c r="AB253" s="257">
        <f t="shared" ca="1" si="228"/>
        <v>0.47234048651768168</v>
      </c>
      <c r="AC253" s="257">
        <f t="shared" ca="1" si="228"/>
        <v>0.47234048651768168</v>
      </c>
      <c r="AD253" s="257">
        <f t="shared" ca="1" si="228"/>
        <v>0.47234048651768168</v>
      </c>
      <c r="AE253" s="257">
        <f t="shared" ca="1" si="228"/>
        <v>0.70358574701741083</v>
      </c>
      <c r="AF253" s="257">
        <f t="shared" ca="1" si="228"/>
        <v>0.81009791680844967</v>
      </c>
      <c r="AG253" s="258">
        <f t="shared" ca="1" si="228"/>
        <v>0</v>
      </c>
      <c r="AH253" s="257">
        <f t="shared" ca="1" si="228"/>
        <v>0</v>
      </c>
      <c r="AI253" s="257">
        <f t="shared" ca="1" si="228"/>
        <v>0</v>
      </c>
      <c r="AJ253" s="257">
        <f t="shared" ca="1" si="228"/>
        <v>0</v>
      </c>
      <c r="AK253" s="257">
        <f t="shared" ref="AK253:AX253" ca="1" si="229">AK380*AK401</f>
        <v>0</v>
      </c>
      <c r="AL253" s="257">
        <f t="shared" ca="1" si="229"/>
        <v>0</v>
      </c>
      <c r="AM253" s="258">
        <f t="shared" ca="1" si="229"/>
        <v>308.34173855133145</v>
      </c>
      <c r="AN253" s="257">
        <f t="shared" ca="1" si="229"/>
        <v>112.61175646720486</v>
      </c>
      <c r="AO253" s="257">
        <f t="shared" ca="1" si="229"/>
        <v>112.61175646720486</v>
      </c>
      <c r="AP253" s="257">
        <f t="shared" ca="1" si="229"/>
        <v>112.61175646720486</v>
      </c>
      <c r="AQ253" s="257">
        <f t="shared" ca="1" si="229"/>
        <v>205.79737207621784</v>
      </c>
      <c r="AR253" s="257">
        <f t="shared" ca="1" si="229"/>
        <v>257.42526261351009</v>
      </c>
      <c r="AS253" s="258">
        <f t="shared" ca="1" si="229"/>
        <v>27886.709004265595</v>
      </c>
      <c r="AT253" s="257">
        <f t="shared" ca="1" si="229"/>
        <v>17293.690255688027</v>
      </c>
      <c r="AU253" s="257">
        <f t="shared" ca="1" si="229"/>
        <v>17293.690255688027</v>
      </c>
      <c r="AV253" s="257">
        <f t="shared" ca="1" si="229"/>
        <v>17293.690255688027</v>
      </c>
      <c r="AW253" s="257">
        <f t="shared" ca="1" si="229"/>
        <v>27401.132887773958</v>
      </c>
      <c r="AX253" s="259">
        <f t="shared" ca="1" si="229"/>
        <v>29141.374051228777</v>
      </c>
      <c r="AY253" s="1"/>
      <c r="AZ253" s="1355"/>
      <c r="BA253" s="1"/>
      <c r="BB253" s="409" t="s">
        <v>701</v>
      </c>
      <c r="BC253" s="445" t="s">
        <v>704</v>
      </c>
      <c r="BD253" s="376">
        <f t="shared" si="223"/>
        <v>0</v>
      </c>
      <c r="BE253" s="423">
        <f t="shared" si="223"/>
        <v>0</v>
      </c>
      <c r="BF253" s="423">
        <f t="shared" si="223"/>
        <v>0</v>
      </c>
      <c r="BG253" s="423">
        <f t="shared" si="223"/>
        <v>0</v>
      </c>
      <c r="BH253" s="423">
        <f t="shared" si="223"/>
        <v>0</v>
      </c>
      <c r="BI253" s="423">
        <f t="shared" si="223"/>
        <v>0</v>
      </c>
      <c r="BJ253" s="423">
        <f t="shared" si="223"/>
        <v>0</v>
      </c>
      <c r="BK253" s="423">
        <f t="shared" si="223"/>
        <v>0</v>
      </c>
      <c r="BL253" s="423">
        <f t="shared" si="223"/>
        <v>0</v>
      </c>
      <c r="BM253" s="423">
        <f t="shared" si="223"/>
        <v>0</v>
      </c>
      <c r="BN253" s="423">
        <f t="shared" si="224"/>
        <v>0</v>
      </c>
      <c r="BO253" s="423">
        <f t="shared" si="224"/>
        <v>0</v>
      </c>
      <c r="BP253" s="423">
        <f t="shared" si="224"/>
        <v>0</v>
      </c>
      <c r="BQ253" s="423">
        <f t="shared" si="224"/>
        <v>0</v>
      </c>
      <c r="BR253" s="423">
        <f t="shared" si="224"/>
        <v>0</v>
      </c>
      <c r="BS253" s="423">
        <f t="shared" si="224"/>
        <v>0</v>
      </c>
      <c r="BT253" s="423">
        <f t="shared" si="224"/>
        <v>0</v>
      </c>
      <c r="BU253" s="423">
        <f t="shared" si="224"/>
        <v>0</v>
      </c>
      <c r="BV253" s="424">
        <f t="shared" si="224"/>
        <v>0</v>
      </c>
      <c r="BW253" s="425">
        <f t="shared" si="224"/>
        <v>0</v>
      </c>
      <c r="BX253" s="377">
        <f t="shared" si="225"/>
        <v>0</v>
      </c>
      <c r="BZ253" s="426">
        <f t="shared" si="192"/>
        <v>0</v>
      </c>
      <c r="CA253" s="427">
        <f t="shared" si="192"/>
        <v>0</v>
      </c>
      <c r="CB253" s="428">
        <f t="shared" si="192"/>
        <v>0</v>
      </c>
      <c r="CC253" s="1"/>
      <c r="CF253" s="1106" t="s">
        <v>1650</v>
      </c>
    </row>
    <row r="254" spans="2:85" s="220" customFormat="1" x14ac:dyDescent="0.25">
      <c r="B254" s="1343"/>
      <c r="D254" s="1355"/>
      <c r="F254" s="265"/>
      <c r="G254" s="209" t="s">
        <v>630</v>
      </c>
      <c r="H254" s="209"/>
      <c r="I254" s="253">
        <f t="shared" ref="I254:AJ254" ca="1" si="230">I381*I402</f>
        <v>43.186732273235734</v>
      </c>
      <c r="J254" s="253">
        <f t="shared" ca="1" si="230"/>
        <v>38.575160008797312</v>
      </c>
      <c r="K254" s="253">
        <f t="shared" ca="1" si="230"/>
        <v>38.575160008797312</v>
      </c>
      <c r="L254" s="253">
        <f t="shared" ca="1" si="230"/>
        <v>38.575160008797312</v>
      </c>
      <c r="M254" s="253">
        <f t="shared" ca="1" si="230"/>
        <v>38.457671461210055</v>
      </c>
      <c r="N254" s="253">
        <f t="shared" ca="1" si="230"/>
        <v>41.960949605588837</v>
      </c>
      <c r="O254" s="254">
        <f t="shared" ca="1" si="230"/>
        <v>20645.066161839772</v>
      </c>
      <c r="P254" s="253">
        <f t="shared" ca="1" si="230"/>
        <v>20509.775179915167</v>
      </c>
      <c r="Q254" s="253">
        <f t="shared" ca="1" si="230"/>
        <v>20509.775179915167</v>
      </c>
      <c r="R254" s="253">
        <f t="shared" ca="1" si="230"/>
        <v>20509.775179915167</v>
      </c>
      <c r="S254" s="253">
        <f t="shared" ca="1" si="230"/>
        <v>20500.851190786634</v>
      </c>
      <c r="T254" s="253">
        <f t="shared" ca="1" si="230"/>
        <v>20748.321219405563</v>
      </c>
      <c r="U254" s="254">
        <f t="shared" ca="1" si="230"/>
        <v>3568.9007240614351</v>
      </c>
      <c r="V254" s="253">
        <f t="shared" ca="1" si="230"/>
        <v>3568.3388297945721</v>
      </c>
      <c r="W254" s="253">
        <f t="shared" ca="1" si="230"/>
        <v>3568.3388297945721</v>
      </c>
      <c r="X254" s="253">
        <f t="shared" ca="1" si="230"/>
        <v>3568.3388297945721</v>
      </c>
      <c r="Y254" s="253">
        <f t="shared" ca="1" si="230"/>
        <v>3567.9192912072681</v>
      </c>
      <c r="Z254" s="253">
        <f t="shared" ca="1" si="230"/>
        <v>3579.4555319353835</v>
      </c>
      <c r="AA254" s="254">
        <f t="shared" ca="1" si="230"/>
        <v>1.2412665868383599</v>
      </c>
      <c r="AB254" s="253">
        <f t="shared" ca="1" si="230"/>
        <v>1.2402196601241875</v>
      </c>
      <c r="AC254" s="253">
        <f t="shared" ca="1" si="230"/>
        <v>1.2402196601241875</v>
      </c>
      <c r="AD254" s="253">
        <f t="shared" ca="1" si="230"/>
        <v>1.2402196601241875</v>
      </c>
      <c r="AE254" s="253">
        <f t="shared" ca="1" si="230"/>
        <v>1.2394576177234375</v>
      </c>
      <c r="AF254" s="253">
        <f t="shared" ca="1" si="230"/>
        <v>1.2606915724717997</v>
      </c>
      <c r="AG254" s="254">
        <f t="shared" ca="1" si="230"/>
        <v>0</v>
      </c>
      <c r="AH254" s="253">
        <f t="shared" ca="1" si="230"/>
        <v>0</v>
      </c>
      <c r="AI254" s="253">
        <f t="shared" ca="1" si="230"/>
        <v>0</v>
      </c>
      <c r="AJ254" s="253">
        <f t="shared" ca="1" si="230"/>
        <v>0</v>
      </c>
      <c r="AK254" s="253">
        <f t="shared" ref="AK254:AX254" ca="1" si="231">AK381*AK402</f>
        <v>0</v>
      </c>
      <c r="AL254" s="253">
        <f t="shared" ca="1" si="231"/>
        <v>0</v>
      </c>
      <c r="AM254" s="254">
        <f t="shared" ca="1" si="231"/>
        <v>493.94040293590632</v>
      </c>
      <c r="AN254" s="253">
        <f t="shared" ca="1" si="231"/>
        <v>480.0566672778188</v>
      </c>
      <c r="AO254" s="253">
        <f t="shared" ca="1" si="231"/>
        <v>480.0566672778188</v>
      </c>
      <c r="AP254" s="253">
        <f t="shared" ca="1" si="231"/>
        <v>480.0566672778188</v>
      </c>
      <c r="AQ254" s="253">
        <f t="shared" ca="1" si="231"/>
        <v>478.77701909002741</v>
      </c>
      <c r="AR254" s="253">
        <f t="shared" ca="1" si="231"/>
        <v>516.51911287673931</v>
      </c>
      <c r="AS254" s="254">
        <f t="shared" ca="1" si="231"/>
        <v>30647.924547716124</v>
      </c>
      <c r="AT254" s="253">
        <f t="shared" ca="1" si="231"/>
        <v>30551.371849356277</v>
      </c>
      <c r="AU254" s="253">
        <f t="shared" ca="1" si="231"/>
        <v>30551.371849356277</v>
      </c>
      <c r="AV254" s="253">
        <f t="shared" ca="1" si="231"/>
        <v>30551.371849356277</v>
      </c>
      <c r="AW254" s="253">
        <f t="shared" ca="1" si="231"/>
        <v>30521.092857833984</v>
      </c>
      <c r="AX254" s="255">
        <f t="shared" ca="1" si="231"/>
        <v>31373.435630423937</v>
      </c>
      <c r="AY254" s="1"/>
      <c r="AZ254" s="1355"/>
      <c r="BA254" s="1"/>
      <c r="BB254" s="446" t="s">
        <v>620</v>
      </c>
      <c r="BC254" s="447" t="s">
        <v>704</v>
      </c>
      <c r="BD254" s="391">
        <f t="shared" si="223"/>
        <v>58.146508143671085</v>
      </c>
      <c r="BE254" s="429">
        <f t="shared" si="223"/>
        <v>58.146508143671085</v>
      </c>
      <c r="BF254" s="429">
        <f t="shared" si="223"/>
        <v>58.146508143671085</v>
      </c>
      <c r="BG254" s="429">
        <f t="shared" si="223"/>
        <v>58.146508143671085</v>
      </c>
      <c r="BH254" s="429">
        <f t="shared" si="223"/>
        <v>58.146508143671085</v>
      </c>
      <c r="BI254" s="429">
        <f t="shared" si="223"/>
        <v>58.146508143671085</v>
      </c>
      <c r="BJ254" s="429">
        <f t="shared" si="223"/>
        <v>416.26117870665894</v>
      </c>
      <c r="BK254" s="429">
        <f t="shared" si="223"/>
        <v>58.146508143671085</v>
      </c>
      <c r="BL254" s="429">
        <f t="shared" si="223"/>
        <v>58.146508143671085</v>
      </c>
      <c r="BM254" s="429">
        <f t="shared" si="223"/>
        <v>58.146508143671085</v>
      </c>
      <c r="BN254" s="429">
        <f t="shared" si="224"/>
        <v>58.146508143671085</v>
      </c>
      <c r="BO254" s="429">
        <f t="shared" si="224"/>
        <v>58.146508143671085</v>
      </c>
      <c r="BP254" s="429">
        <f t="shared" si="224"/>
        <v>58.146508143671085</v>
      </c>
      <c r="BQ254" s="429">
        <f t="shared" si="224"/>
        <v>58.146508143671085</v>
      </c>
      <c r="BR254" s="429">
        <f t="shared" si="224"/>
        <v>58.146508143671085</v>
      </c>
      <c r="BS254" s="429">
        <f t="shared" si="224"/>
        <v>58.146508143671085</v>
      </c>
      <c r="BT254" s="429">
        <f t="shared" si="224"/>
        <v>58.146508143671085</v>
      </c>
      <c r="BU254" s="429">
        <f t="shared" si="224"/>
        <v>58.146508143671085</v>
      </c>
      <c r="BV254" s="430">
        <f t="shared" si="224"/>
        <v>58.146508143671085</v>
      </c>
      <c r="BW254" s="394">
        <f t="shared" si="224"/>
        <v>416.26117870665894</v>
      </c>
      <c r="BX254" s="390">
        <f t="shared" si="225"/>
        <v>306.46933780757615</v>
      </c>
      <c r="BZ254" s="431">
        <f t="shared" si="192"/>
        <v>1.5665743221996231</v>
      </c>
      <c r="CA254" s="432">
        <f t="shared" si="192"/>
        <v>1.5665743221996231</v>
      </c>
      <c r="CB254" s="433">
        <f t="shared" si="192"/>
        <v>1.5665743221996231</v>
      </c>
      <c r="CC254" s="1"/>
    </row>
    <row r="255" spans="2:85" s="220" customFormat="1" x14ac:dyDescent="0.25">
      <c r="B255" s="1343"/>
      <c r="D255" s="1355"/>
      <c r="F255" s="268"/>
      <c r="G255" s="211" t="s">
        <v>631</v>
      </c>
      <c r="H255" s="209"/>
      <c r="I255" s="260">
        <f t="shared" ref="I255:AJ255" ca="1" si="232">I382*I403</f>
        <v>42.244838927360789</v>
      </c>
      <c r="J255" s="260">
        <f t="shared" ca="1" si="232"/>
        <v>35.656385929266079</v>
      </c>
      <c r="K255" s="260">
        <f t="shared" ca="1" si="232"/>
        <v>35.656385929266079</v>
      </c>
      <c r="L255" s="260">
        <f t="shared" ca="1" si="232"/>
        <v>35.656385929266079</v>
      </c>
      <c r="M255" s="260">
        <f t="shared" ca="1" si="232"/>
        <v>35.520148703770225</v>
      </c>
      <c r="N255" s="260">
        <f t="shared" ca="1" si="232"/>
        <v>39.675656519601354</v>
      </c>
      <c r="O255" s="261">
        <f t="shared" ca="1" si="232"/>
        <v>20502.586812739995</v>
      </c>
      <c r="P255" s="260">
        <f t="shared" ca="1" si="232"/>
        <v>20273.312577570301</v>
      </c>
      <c r="Q255" s="260">
        <f t="shared" ca="1" si="232"/>
        <v>20273.312577570301</v>
      </c>
      <c r="R255" s="260">
        <f t="shared" ca="1" si="232"/>
        <v>20273.312577570301</v>
      </c>
      <c r="S255" s="260">
        <f t="shared" ca="1" si="232"/>
        <v>20261.47123860936</v>
      </c>
      <c r="T255" s="260">
        <f t="shared" ca="1" si="232"/>
        <v>20591.155586917463</v>
      </c>
      <c r="U255" s="261">
        <f t="shared" ca="1" si="232"/>
        <v>3558.2935145290521</v>
      </c>
      <c r="V255" s="260">
        <f t="shared" ca="1" si="232"/>
        <v>3557.1313644995025</v>
      </c>
      <c r="W255" s="260">
        <f t="shared" ca="1" si="232"/>
        <v>3557.1313644995025</v>
      </c>
      <c r="X255" s="260">
        <f t="shared" ca="1" si="232"/>
        <v>3557.1313644995025</v>
      </c>
      <c r="Y255" s="260">
        <f t="shared" ca="1" si="232"/>
        <v>3556.5651247502037</v>
      </c>
      <c r="Z255" s="260">
        <f t="shared" ca="1" si="232"/>
        <v>3572.1524625971674</v>
      </c>
      <c r="AA255" s="261">
        <f t="shared" ca="1" si="232"/>
        <v>1.2221978650638246</v>
      </c>
      <c r="AB255" s="260">
        <f t="shared" ca="1" si="232"/>
        <v>1.2201194583126931</v>
      </c>
      <c r="AC255" s="260">
        <f t="shared" ca="1" si="232"/>
        <v>1.2201194583126931</v>
      </c>
      <c r="AD255" s="260">
        <f t="shared" ca="1" si="232"/>
        <v>1.2201194583126931</v>
      </c>
      <c r="AE255" s="260">
        <f t="shared" ca="1" si="232"/>
        <v>1.2191179010482858</v>
      </c>
      <c r="AF255" s="260">
        <f t="shared" ca="1" si="232"/>
        <v>1.2471815819494567</v>
      </c>
      <c r="AG255" s="261">
        <f t="shared" ca="1" si="232"/>
        <v>0</v>
      </c>
      <c r="AH255" s="260">
        <f t="shared" ca="1" si="232"/>
        <v>0</v>
      </c>
      <c r="AI255" s="260">
        <f t="shared" ca="1" si="232"/>
        <v>0</v>
      </c>
      <c r="AJ255" s="260">
        <f t="shared" ca="1" si="232"/>
        <v>0</v>
      </c>
      <c r="AK255" s="260">
        <f t="shared" ref="AK255:AX255" ca="1" si="233">AK382*AK403</f>
        <v>0</v>
      </c>
      <c r="AL255" s="260">
        <f t="shared" ca="1" si="233"/>
        <v>0</v>
      </c>
      <c r="AM255" s="261">
        <f t="shared" ca="1" si="233"/>
        <v>469.74543611537933</v>
      </c>
      <c r="AN255" s="260">
        <f t="shared" ca="1" si="233"/>
        <v>447.97467281474388</v>
      </c>
      <c r="AO255" s="260">
        <f t="shared" ca="1" si="233"/>
        <v>447.97467281474388</v>
      </c>
      <c r="AP255" s="260">
        <f t="shared" ca="1" si="233"/>
        <v>447.97467281474388</v>
      </c>
      <c r="AQ255" s="260">
        <f t="shared" ca="1" si="233"/>
        <v>446.4622199849648</v>
      </c>
      <c r="AR255" s="260">
        <f t="shared" ca="1" si="233"/>
        <v>491.99574091461335</v>
      </c>
      <c r="AS255" s="261">
        <f t="shared" ca="1" si="233"/>
        <v>29935.855457855363</v>
      </c>
      <c r="AT255" s="260">
        <f t="shared" ca="1" si="233"/>
        <v>29760.276383393182</v>
      </c>
      <c r="AU255" s="260">
        <f t="shared" ca="1" si="233"/>
        <v>29760.276383393182</v>
      </c>
      <c r="AV255" s="260">
        <f t="shared" ca="1" si="233"/>
        <v>29760.276383393182</v>
      </c>
      <c r="AW255" s="260">
        <f t="shared" ca="1" si="233"/>
        <v>29721.264785713156</v>
      </c>
      <c r="AX255" s="262">
        <f t="shared" ca="1" si="233"/>
        <v>30829.057586324103</v>
      </c>
      <c r="AY255" s="1"/>
      <c r="AZ255" s="1355"/>
      <c r="BA255" s="1"/>
      <c r="BB255" s="443" t="s">
        <v>615</v>
      </c>
      <c r="BC255" s="444" t="s">
        <v>684</v>
      </c>
      <c r="BD255" s="374">
        <f t="shared" ref="BD255:BM258" si="234">(T$449*$Q$449*$BZ255+T$450*$Q$450*$CA255+T$451*$Q$451*$CB255)*$CF$218*$CF$230</f>
        <v>0.46677451528716535</v>
      </c>
      <c r="BE255" s="417">
        <f t="shared" si="234"/>
        <v>0.46677451528716535</v>
      </c>
      <c r="BF255" s="417">
        <f t="shared" si="234"/>
        <v>0.46677451528716535</v>
      </c>
      <c r="BG255" s="417">
        <f t="shared" si="234"/>
        <v>0.46677451528716535</v>
      </c>
      <c r="BH255" s="417">
        <f t="shared" si="234"/>
        <v>0.46677451528716535</v>
      </c>
      <c r="BI255" s="417">
        <f t="shared" si="234"/>
        <v>0.46677451528716535</v>
      </c>
      <c r="BJ255" s="417">
        <f t="shared" si="234"/>
        <v>1.9958557357178184</v>
      </c>
      <c r="BK255" s="417">
        <f t="shared" si="234"/>
        <v>0.46677451528716535</v>
      </c>
      <c r="BL255" s="417">
        <f t="shared" si="234"/>
        <v>0.46677451528716535</v>
      </c>
      <c r="BM255" s="417">
        <f t="shared" si="234"/>
        <v>0.46677451528716535</v>
      </c>
      <c r="BN255" s="417">
        <f t="shared" ref="BN255:BW258" si="235">(AD$449*$Q$449*$BZ255+AD$450*$Q$450*$CA255+AD$451*$Q$451*$CB255)*$CF$218*$CF$230</f>
        <v>0.46677451528716535</v>
      </c>
      <c r="BO255" s="417">
        <f t="shared" si="235"/>
        <v>0.46677451528716535</v>
      </c>
      <c r="BP255" s="417">
        <f t="shared" si="235"/>
        <v>0.46677451528716535</v>
      </c>
      <c r="BQ255" s="417">
        <f t="shared" si="235"/>
        <v>0.46677451528716535</v>
      </c>
      <c r="BR255" s="417">
        <f t="shared" si="235"/>
        <v>0.46677451528716535</v>
      </c>
      <c r="BS255" s="417">
        <f t="shared" si="235"/>
        <v>0.46677451528716535</v>
      </c>
      <c r="BT255" s="417">
        <f t="shared" si="235"/>
        <v>0.46677451528716535</v>
      </c>
      <c r="BU255" s="417">
        <f t="shared" si="235"/>
        <v>0.46677451528716535</v>
      </c>
      <c r="BV255" s="418">
        <f t="shared" si="235"/>
        <v>0.46677451528716535</v>
      </c>
      <c r="BW255" s="419">
        <f t="shared" si="235"/>
        <v>1.9958557357178184</v>
      </c>
      <c r="BX255" s="375">
        <f t="shared" ref="BX255:BX258" si="236">(AN$449*$Q$449*$BZ255+AN$450*$Q$450*$CA255+AN$451*$Q$451*$CB255)*$CF$218*$CF$230</f>
        <v>1.4694346169522048</v>
      </c>
      <c r="BZ255" s="420">
        <f t="shared" si="192"/>
        <v>1</v>
      </c>
      <c r="CA255" s="421">
        <f t="shared" si="192"/>
        <v>1</v>
      </c>
      <c r="CB255" s="422">
        <f t="shared" si="192"/>
        <v>1</v>
      </c>
      <c r="CC255" s="1"/>
    </row>
    <row r="256" spans="2:85" s="220" customFormat="1" x14ac:dyDescent="0.25">
      <c r="B256" s="1343"/>
      <c r="D256" s="1355"/>
      <c r="F256" s="245"/>
      <c r="G256" s="245"/>
      <c r="H256" s="209"/>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K256" s="247"/>
      <c r="AL256" s="247"/>
      <c r="AM256" s="247"/>
      <c r="AN256" s="247"/>
      <c r="AO256" s="247"/>
      <c r="AP256" s="247"/>
      <c r="AQ256" s="247"/>
      <c r="AR256" s="247"/>
      <c r="AS256" s="248"/>
      <c r="AT256" s="247"/>
      <c r="AU256" s="247"/>
      <c r="AV256" s="247"/>
      <c r="AW256" s="247"/>
      <c r="AX256" s="249"/>
      <c r="AY256" s="1"/>
      <c r="AZ256" s="1355"/>
      <c r="BA256" s="1"/>
      <c r="BB256" s="409" t="s">
        <v>619</v>
      </c>
      <c r="BC256" s="445" t="s">
        <v>684</v>
      </c>
      <c r="BD256" s="376">
        <f t="shared" si="234"/>
        <v>9.5438868100640534E-2</v>
      </c>
      <c r="BE256" s="423">
        <f t="shared" si="234"/>
        <v>9.5438868100640534E-2</v>
      </c>
      <c r="BF256" s="423">
        <f t="shared" si="234"/>
        <v>9.5438868100640534E-2</v>
      </c>
      <c r="BG256" s="423">
        <f t="shared" si="234"/>
        <v>9.5438868100640534E-2</v>
      </c>
      <c r="BH256" s="423">
        <f t="shared" si="234"/>
        <v>9.5438868100640534E-2</v>
      </c>
      <c r="BI256" s="423">
        <f t="shared" si="234"/>
        <v>9.5438868100640534E-2</v>
      </c>
      <c r="BJ256" s="423">
        <f t="shared" si="234"/>
        <v>2.0225403896231673</v>
      </c>
      <c r="BK256" s="423">
        <f t="shared" si="234"/>
        <v>9.5438868100640534E-2</v>
      </c>
      <c r="BL256" s="423">
        <f t="shared" si="234"/>
        <v>9.5438868100640534E-2</v>
      </c>
      <c r="BM256" s="423">
        <f t="shared" si="234"/>
        <v>9.5438868100640534E-2</v>
      </c>
      <c r="BN256" s="423">
        <f t="shared" si="235"/>
        <v>9.5438868100640534E-2</v>
      </c>
      <c r="BO256" s="423">
        <f t="shared" si="235"/>
        <v>9.5438868100640534E-2</v>
      </c>
      <c r="BP256" s="423">
        <f t="shared" si="235"/>
        <v>9.5438868100640534E-2</v>
      </c>
      <c r="BQ256" s="423">
        <f t="shared" si="235"/>
        <v>9.5438868100640534E-2</v>
      </c>
      <c r="BR256" s="423">
        <f t="shared" si="235"/>
        <v>9.5438868100640534E-2</v>
      </c>
      <c r="BS256" s="423">
        <f t="shared" si="235"/>
        <v>9.5438868100640534E-2</v>
      </c>
      <c r="BT256" s="423">
        <f t="shared" si="235"/>
        <v>9.5438868100640534E-2</v>
      </c>
      <c r="BU256" s="423">
        <f t="shared" si="235"/>
        <v>9.5438868100640534E-2</v>
      </c>
      <c r="BV256" s="424">
        <f t="shared" si="235"/>
        <v>9.5438868100640534E-2</v>
      </c>
      <c r="BW256" s="425">
        <f t="shared" si="235"/>
        <v>2.0225403896231673</v>
      </c>
      <c r="BX256" s="377">
        <f t="shared" si="236"/>
        <v>1.4890810039571285</v>
      </c>
      <c r="BZ256" s="426">
        <f t="shared" si="192"/>
        <v>9.5687201146773287E-2</v>
      </c>
      <c r="CA256" s="427">
        <f t="shared" si="192"/>
        <v>1.0133700314245166</v>
      </c>
      <c r="CB256" s="428">
        <f t="shared" si="192"/>
        <v>0.54405757904829311</v>
      </c>
      <c r="CC256" s="1"/>
    </row>
    <row r="257" spans="2:81" s="220" customFormat="1" x14ac:dyDescent="0.25">
      <c r="B257" s="1343"/>
      <c r="D257" s="1355"/>
      <c r="F257" s="263" t="s">
        <v>763</v>
      </c>
      <c r="G257" s="208" t="s">
        <v>91</v>
      </c>
      <c r="H257" s="209"/>
      <c r="I257" s="250">
        <f t="shared" ref="I257:R266" ca="1" si="237">SUMPRODUCT(OFFSET($I$434,0,MATCH(I$8,$I$433:$O$433,0)-1,15,1),OFFSET($T$434,0,MATCH($G257,$T$433:$AN$433,0)-1,15,1),
OFFSET($AP$434,0,MATCH(LEFT(I$5,1),$AP$433:$AQ$433,0)-1,15,1))</f>
        <v>1791.1464572182997</v>
      </c>
      <c r="J257" s="250">
        <f t="shared" ca="1" si="237"/>
        <v>112.12152</v>
      </c>
      <c r="K257" s="250">
        <f t="shared" ca="1" si="237"/>
        <v>112.12152</v>
      </c>
      <c r="L257" s="264">
        <f t="shared" ca="1" si="237"/>
        <v>112.12152</v>
      </c>
      <c r="M257" s="264">
        <f t="shared" ca="1" si="237"/>
        <v>112.12152</v>
      </c>
      <c r="N257" s="264">
        <f t="shared" ca="1" si="237"/>
        <v>112.12152</v>
      </c>
      <c r="O257" s="251">
        <f t="shared" ca="1" si="237"/>
        <v>26067.678280234002</v>
      </c>
      <c r="P257" s="250">
        <f t="shared" ca="1" si="237"/>
        <v>3299.5761600000001</v>
      </c>
      <c r="Q257" s="250">
        <f t="shared" ca="1" si="237"/>
        <v>3299.5761600000001</v>
      </c>
      <c r="R257" s="250">
        <f t="shared" ca="1" si="237"/>
        <v>3299.5761600000001</v>
      </c>
      <c r="S257" s="250">
        <f t="shared" ref="S257:AB266" ca="1" si="238">SUMPRODUCT(OFFSET($I$434,0,MATCH(S$8,$I$433:$O$433,0)-1,15,1),OFFSET($T$434,0,MATCH($G257,$T$433:$AN$433,0)-1,15,1),
OFFSET($AP$434,0,MATCH(LEFT(S$5,1),$AP$433:$AQ$433,0)-1,15,1))</f>
        <v>3299.5761600000001</v>
      </c>
      <c r="T257" s="250">
        <f t="shared" ca="1" si="238"/>
        <v>3299.5761600000001</v>
      </c>
      <c r="U257" s="251">
        <f t="shared" ca="1" si="238"/>
        <v>9438.0285218061981</v>
      </c>
      <c r="V257" s="250">
        <f t="shared" ca="1" si="238"/>
        <v>3267.54144</v>
      </c>
      <c r="W257" s="250">
        <f t="shared" ca="1" si="238"/>
        <v>3267.54144</v>
      </c>
      <c r="X257" s="250">
        <f t="shared" ca="1" si="238"/>
        <v>3267.54144</v>
      </c>
      <c r="Y257" s="250">
        <f t="shared" ca="1" si="238"/>
        <v>3267.54144</v>
      </c>
      <c r="Z257" s="250">
        <f t="shared" ca="1" si="238"/>
        <v>3267.54144</v>
      </c>
      <c r="AA257" s="251">
        <f t="shared" ca="1" si="238"/>
        <v>38.987758310999993</v>
      </c>
      <c r="AB257" s="250">
        <f t="shared" ca="1" si="238"/>
        <v>16.01736</v>
      </c>
      <c r="AC257" s="250">
        <f t="shared" ref="AC257:AL266" ca="1" si="239">SUMPRODUCT(OFFSET($I$434,0,MATCH(AC$8,$I$433:$O$433,0)-1,15,1),OFFSET($T$434,0,MATCH($G257,$T$433:$AN$433,0)-1,15,1),
OFFSET($AP$434,0,MATCH(LEFT(AC$5,1),$AP$433:$AQ$433,0)-1,15,1))</f>
        <v>16.01736</v>
      </c>
      <c r="AD257" s="250">
        <f t="shared" ca="1" si="239"/>
        <v>16.01736</v>
      </c>
      <c r="AE257" s="250">
        <f t="shared" ca="1" si="239"/>
        <v>16.01736</v>
      </c>
      <c r="AF257" s="250">
        <f t="shared" ca="1" si="239"/>
        <v>16.01736</v>
      </c>
      <c r="AG257" s="251">
        <f t="shared" ca="1" si="239"/>
        <v>7559.2106941958991</v>
      </c>
      <c r="AH257" s="250">
        <f t="shared" ca="1" si="239"/>
        <v>2354.5519199999999</v>
      </c>
      <c r="AI257" s="250">
        <f t="shared" ca="1" si="239"/>
        <v>2354.5519199999999</v>
      </c>
      <c r="AJ257" s="250">
        <f t="shared" ca="1" si="239"/>
        <v>2354.5519199999999</v>
      </c>
      <c r="AK257" s="250">
        <f t="shared" ca="1" si="239"/>
        <v>2354.5519199999999</v>
      </c>
      <c r="AL257" s="250">
        <f t="shared" ca="1" si="239"/>
        <v>2354.5519199999999</v>
      </c>
      <c r="AM257" s="251">
        <f t="shared" ref="AM257:AX266" ca="1" si="240">SUMPRODUCT(OFFSET($I$434,0,MATCH(AM$8,$I$433:$O$433,0)-1,15,1),OFFSET($T$434,0,MATCH($G257,$T$433:$AN$433,0)-1,15,1),
OFFSET($AP$434,0,MATCH(LEFT(AM$5,1),$AP$433:$AQ$433,0)-1,15,1))</f>
        <v>11829.209281051</v>
      </c>
      <c r="AN257" s="250">
        <f t="shared" ca="1" si="240"/>
        <v>2178.36096</v>
      </c>
      <c r="AO257" s="250">
        <f t="shared" ca="1" si="240"/>
        <v>2178.36096</v>
      </c>
      <c r="AP257" s="250">
        <f t="shared" ca="1" si="240"/>
        <v>2178.36096</v>
      </c>
      <c r="AQ257" s="250">
        <f t="shared" ca="1" si="240"/>
        <v>2178.36096</v>
      </c>
      <c r="AR257" s="250">
        <f t="shared" ca="1" si="240"/>
        <v>2178.36096</v>
      </c>
      <c r="AS257" s="251">
        <f t="shared" ca="1" si="240"/>
        <v>63630.30286092301</v>
      </c>
      <c r="AT257" s="250">
        <f t="shared" ca="1" si="240"/>
        <v>14992.248960000001</v>
      </c>
      <c r="AU257" s="250">
        <f t="shared" ca="1" si="240"/>
        <v>14992.248960000001</v>
      </c>
      <c r="AV257" s="250">
        <f t="shared" ca="1" si="240"/>
        <v>14992.248960000001</v>
      </c>
      <c r="AW257" s="250">
        <f t="shared" ca="1" si="240"/>
        <v>14992.248960000001</v>
      </c>
      <c r="AX257" s="252">
        <f t="shared" ca="1" si="240"/>
        <v>14992.248960000001</v>
      </c>
      <c r="AY257" s="1"/>
      <c r="AZ257" s="1355"/>
      <c r="BA257" s="1"/>
      <c r="BB257" s="409" t="s">
        <v>701</v>
      </c>
      <c r="BC257" s="445" t="s">
        <v>684</v>
      </c>
      <c r="BD257" s="376">
        <f t="shared" si="234"/>
        <v>0</v>
      </c>
      <c r="BE257" s="423">
        <f t="shared" si="234"/>
        <v>0</v>
      </c>
      <c r="BF257" s="423">
        <f t="shared" si="234"/>
        <v>0</v>
      </c>
      <c r="BG257" s="423">
        <f t="shared" si="234"/>
        <v>0</v>
      </c>
      <c r="BH257" s="423">
        <f t="shared" si="234"/>
        <v>0</v>
      </c>
      <c r="BI257" s="423">
        <f t="shared" si="234"/>
        <v>0</v>
      </c>
      <c r="BJ257" s="423">
        <f t="shared" si="234"/>
        <v>0</v>
      </c>
      <c r="BK257" s="423">
        <f t="shared" si="234"/>
        <v>0</v>
      </c>
      <c r="BL257" s="423">
        <f t="shared" si="234"/>
        <v>0</v>
      </c>
      <c r="BM257" s="423">
        <f t="shared" si="234"/>
        <v>0</v>
      </c>
      <c r="BN257" s="423">
        <f t="shared" si="235"/>
        <v>0</v>
      </c>
      <c r="BO257" s="423">
        <f t="shared" si="235"/>
        <v>0</v>
      </c>
      <c r="BP257" s="423">
        <f t="shared" si="235"/>
        <v>0</v>
      </c>
      <c r="BQ257" s="423">
        <f t="shared" si="235"/>
        <v>0</v>
      </c>
      <c r="BR257" s="423">
        <f t="shared" si="235"/>
        <v>0</v>
      </c>
      <c r="BS257" s="423">
        <f t="shared" si="235"/>
        <v>0</v>
      </c>
      <c r="BT257" s="423">
        <f t="shared" si="235"/>
        <v>0</v>
      </c>
      <c r="BU257" s="423">
        <f t="shared" si="235"/>
        <v>0</v>
      </c>
      <c r="BV257" s="424">
        <f t="shared" si="235"/>
        <v>0</v>
      </c>
      <c r="BW257" s="425">
        <f t="shared" si="235"/>
        <v>0</v>
      </c>
      <c r="BX257" s="377">
        <f t="shared" si="236"/>
        <v>0</v>
      </c>
      <c r="BZ257" s="426">
        <f t="shared" si="192"/>
        <v>0</v>
      </c>
      <c r="CA257" s="427">
        <f t="shared" si="192"/>
        <v>0</v>
      </c>
      <c r="CB257" s="428">
        <f t="shared" si="192"/>
        <v>0</v>
      </c>
      <c r="CC257" s="1"/>
    </row>
    <row r="258" spans="2:81" s="220" customFormat="1" x14ac:dyDescent="0.25">
      <c r="B258" s="1343"/>
      <c r="D258" s="1355"/>
      <c r="F258" s="265"/>
      <c r="G258" s="209" t="s">
        <v>102</v>
      </c>
      <c r="H258" s="209"/>
      <c r="I258" s="253">
        <f t="shared" ca="1" si="237"/>
        <v>1099.230363183</v>
      </c>
      <c r="J258" s="253">
        <f t="shared" ca="1" si="237"/>
        <v>112.12152</v>
      </c>
      <c r="K258" s="253">
        <f t="shared" ca="1" si="237"/>
        <v>112.12152</v>
      </c>
      <c r="L258" s="266">
        <f t="shared" ca="1" si="237"/>
        <v>112.12152</v>
      </c>
      <c r="M258" s="266">
        <f t="shared" ca="1" si="237"/>
        <v>112.12152</v>
      </c>
      <c r="N258" s="266">
        <f t="shared" ca="1" si="237"/>
        <v>112.12152</v>
      </c>
      <c r="O258" s="254">
        <f t="shared" ca="1" si="237"/>
        <v>17040.284347339999</v>
      </c>
      <c r="P258" s="253">
        <f t="shared" ca="1" si="237"/>
        <v>3299.5761600000001</v>
      </c>
      <c r="Q258" s="253">
        <f t="shared" ca="1" si="237"/>
        <v>3299.5761600000001</v>
      </c>
      <c r="R258" s="253">
        <f t="shared" ca="1" si="237"/>
        <v>3299.5761600000001</v>
      </c>
      <c r="S258" s="253">
        <f t="shared" ca="1" si="238"/>
        <v>3299.5761600000001</v>
      </c>
      <c r="T258" s="253">
        <f t="shared" ca="1" si="238"/>
        <v>3299.5761600000001</v>
      </c>
      <c r="U258" s="254">
        <f t="shared" ca="1" si="238"/>
        <v>6151.5612325619995</v>
      </c>
      <c r="V258" s="253">
        <f t="shared" ca="1" si="238"/>
        <v>3267.54144</v>
      </c>
      <c r="W258" s="253">
        <f t="shared" ca="1" si="238"/>
        <v>3267.54144</v>
      </c>
      <c r="X258" s="253">
        <f t="shared" ca="1" si="238"/>
        <v>3267.54144</v>
      </c>
      <c r="Y258" s="253">
        <f t="shared" ca="1" si="238"/>
        <v>3267.54144</v>
      </c>
      <c r="Z258" s="253">
        <f t="shared" ca="1" si="238"/>
        <v>3267.54144</v>
      </c>
      <c r="AA258" s="254">
        <f t="shared" ca="1" si="238"/>
        <v>25.099592210000004</v>
      </c>
      <c r="AB258" s="253">
        <f t="shared" ca="1" si="238"/>
        <v>16.01736</v>
      </c>
      <c r="AC258" s="253">
        <f t="shared" ca="1" si="239"/>
        <v>16.01736</v>
      </c>
      <c r="AD258" s="253">
        <f t="shared" ca="1" si="239"/>
        <v>16.01736</v>
      </c>
      <c r="AE258" s="253">
        <f t="shared" ca="1" si="239"/>
        <v>16.01736</v>
      </c>
      <c r="AF258" s="253">
        <f t="shared" ca="1" si="239"/>
        <v>16.01736</v>
      </c>
      <c r="AG258" s="254">
        <f t="shared" ca="1" si="239"/>
        <v>4916.4725205589993</v>
      </c>
      <c r="AH258" s="253">
        <f t="shared" ca="1" si="239"/>
        <v>2354.5519199999999</v>
      </c>
      <c r="AI258" s="253">
        <f t="shared" ca="1" si="239"/>
        <v>2354.5519199999999</v>
      </c>
      <c r="AJ258" s="253">
        <f t="shared" ca="1" si="239"/>
        <v>2354.5519199999999</v>
      </c>
      <c r="AK258" s="253">
        <f t="shared" ca="1" si="239"/>
        <v>2354.5519199999999</v>
      </c>
      <c r="AL258" s="253">
        <f t="shared" ca="1" si="239"/>
        <v>2354.5519199999999</v>
      </c>
      <c r="AM258" s="254">
        <f t="shared" ca="1" si="240"/>
        <v>5042.0569385100007</v>
      </c>
      <c r="AN258" s="253">
        <f t="shared" ca="1" si="240"/>
        <v>2178.36096</v>
      </c>
      <c r="AO258" s="253">
        <f t="shared" ca="1" si="240"/>
        <v>2178.36096</v>
      </c>
      <c r="AP258" s="253">
        <f t="shared" ca="1" si="240"/>
        <v>2178.36096</v>
      </c>
      <c r="AQ258" s="253">
        <f t="shared" ca="1" si="240"/>
        <v>2178.36096</v>
      </c>
      <c r="AR258" s="253">
        <f t="shared" ca="1" si="240"/>
        <v>2178.36096</v>
      </c>
      <c r="AS258" s="254">
        <f t="shared" ca="1" si="240"/>
        <v>38305.125131230001</v>
      </c>
      <c r="AT258" s="253">
        <f t="shared" ca="1" si="240"/>
        <v>14992.248960000001</v>
      </c>
      <c r="AU258" s="253">
        <f t="shared" ca="1" si="240"/>
        <v>14992.248960000001</v>
      </c>
      <c r="AV258" s="253">
        <f t="shared" ca="1" si="240"/>
        <v>14992.248960000001</v>
      </c>
      <c r="AW258" s="253">
        <f t="shared" ca="1" si="240"/>
        <v>14992.248960000001</v>
      </c>
      <c r="AX258" s="255">
        <f t="shared" ca="1" si="240"/>
        <v>14992.248960000001</v>
      </c>
      <c r="AY258" s="1"/>
      <c r="AZ258" s="1355"/>
      <c r="BA258" s="1"/>
      <c r="BB258" s="446" t="s">
        <v>620</v>
      </c>
      <c r="BC258" s="445" t="s">
        <v>684</v>
      </c>
      <c r="BD258" s="391">
        <f t="shared" si="234"/>
        <v>0.73123696990604869</v>
      </c>
      <c r="BE258" s="429">
        <f t="shared" si="234"/>
        <v>0.73123696990604869</v>
      </c>
      <c r="BF258" s="429">
        <f t="shared" si="234"/>
        <v>0.73123696990604869</v>
      </c>
      <c r="BG258" s="429">
        <f t="shared" si="234"/>
        <v>0.73123696990604869</v>
      </c>
      <c r="BH258" s="429">
        <f t="shared" si="234"/>
        <v>0.73123696990604869</v>
      </c>
      <c r="BI258" s="429">
        <f t="shared" si="234"/>
        <v>0.73123696990604869</v>
      </c>
      <c r="BJ258" s="429">
        <f t="shared" si="234"/>
        <v>3.1266563463903716</v>
      </c>
      <c r="BK258" s="429">
        <f t="shared" si="234"/>
        <v>0.73123696990604869</v>
      </c>
      <c r="BL258" s="429">
        <f t="shared" si="234"/>
        <v>0.73123696990604869</v>
      </c>
      <c r="BM258" s="429">
        <f t="shared" si="234"/>
        <v>0.73123696990604869</v>
      </c>
      <c r="BN258" s="429">
        <f t="shared" si="235"/>
        <v>0.73123696990604869</v>
      </c>
      <c r="BO258" s="429">
        <f t="shared" si="235"/>
        <v>0.73123696990604869</v>
      </c>
      <c r="BP258" s="429">
        <f t="shared" si="235"/>
        <v>0.73123696990604869</v>
      </c>
      <c r="BQ258" s="429">
        <f t="shared" si="235"/>
        <v>0.73123696990604869</v>
      </c>
      <c r="BR258" s="429">
        <f t="shared" si="235"/>
        <v>0.73123696990604869</v>
      </c>
      <c r="BS258" s="429">
        <f t="shared" si="235"/>
        <v>0.73123696990604869</v>
      </c>
      <c r="BT258" s="429">
        <f t="shared" si="235"/>
        <v>0.73123696990604869</v>
      </c>
      <c r="BU258" s="429">
        <f t="shared" si="235"/>
        <v>0.73123696990604869</v>
      </c>
      <c r="BV258" s="430">
        <f t="shared" si="235"/>
        <v>0.73123696990604869</v>
      </c>
      <c r="BW258" s="394">
        <f t="shared" si="235"/>
        <v>3.1266563463903716</v>
      </c>
      <c r="BX258" s="390">
        <f t="shared" si="236"/>
        <v>2.3019785390685632</v>
      </c>
      <c r="BZ258" s="431">
        <f t="shared" si="192"/>
        <v>1.5665743221996231</v>
      </c>
      <c r="CA258" s="432">
        <f t="shared" si="192"/>
        <v>1.5665743221996231</v>
      </c>
      <c r="CB258" s="433">
        <f t="shared" si="192"/>
        <v>1.5665743221996231</v>
      </c>
      <c r="CC258" s="1"/>
    </row>
    <row r="259" spans="2:81" x14ac:dyDescent="0.25">
      <c r="B259" s="1343"/>
      <c r="D259" s="1355"/>
      <c r="F259" s="265"/>
      <c r="G259" s="209" t="s">
        <v>103</v>
      </c>
      <c r="H259" s="209"/>
      <c r="I259" s="253">
        <f t="shared" ca="1" si="237"/>
        <v>1338.5369583997003</v>
      </c>
      <c r="J259" s="253">
        <f t="shared" ca="1" si="237"/>
        <v>112.12152</v>
      </c>
      <c r="K259" s="253">
        <f t="shared" ca="1" si="237"/>
        <v>112.12152</v>
      </c>
      <c r="L259" s="266">
        <f t="shared" ca="1" si="237"/>
        <v>112.12152</v>
      </c>
      <c r="M259" s="266">
        <f t="shared" ca="1" si="237"/>
        <v>112.12152</v>
      </c>
      <c r="N259" s="266">
        <f t="shared" ca="1" si="237"/>
        <v>112.12152</v>
      </c>
      <c r="O259" s="254">
        <f t="shared" ca="1" si="237"/>
        <v>19995.525741506</v>
      </c>
      <c r="P259" s="253">
        <f t="shared" ca="1" si="237"/>
        <v>3299.5761600000001</v>
      </c>
      <c r="Q259" s="253">
        <f t="shared" ca="1" si="237"/>
        <v>3299.5761600000001</v>
      </c>
      <c r="R259" s="253">
        <f t="shared" ca="1" si="237"/>
        <v>3299.5761600000001</v>
      </c>
      <c r="S259" s="253">
        <f t="shared" ca="1" si="238"/>
        <v>3299.5761600000001</v>
      </c>
      <c r="T259" s="253">
        <f t="shared" ca="1" si="238"/>
        <v>3299.5761600000001</v>
      </c>
      <c r="U259" s="254">
        <f t="shared" ca="1" si="238"/>
        <v>8284.9360235958011</v>
      </c>
      <c r="V259" s="253">
        <f t="shared" ca="1" si="238"/>
        <v>3267.54144</v>
      </c>
      <c r="W259" s="253">
        <f t="shared" ca="1" si="238"/>
        <v>3267.54144</v>
      </c>
      <c r="X259" s="253">
        <f t="shared" ca="1" si="238"/>
        <v>3267.54144</v>
      </c>
      <c r="Y259" s="253">
        <f t="shared" ca="1" si="238"/>
        <v>3267.54144</v>
      </c>
      <c r="Z259" s="253">
        <f t="shared" ca="1" si="238"/>
        <v>3267.54144</v>
      </c>
      <c r="AA259" s="254">
        <f t="shared" ca="1" si="238"/>
        <v>34.513634358999994</v>
      </c>
      <c r="AB259" s="253">
        <f t="shared" ca="1" si="238"/>
        <v>16.01736</v>
      </c>
      <c r="AC259" s="253">
        <f t="shared" ca="1" si="239"/>
        <v>16.01736</v>
      </c>
      <c r="AD259" s="253">
        <f t="shared" ca="1" si="239"/>
        <v>16.01736</v>
      </c>
      <c r="AE259" s="253">
        <f t="shared" ca="1" si="239"/>
        <v>16.01736</v>
      </c>
      <c r="AF259" s="253">
        <f t="shared" ca="1" si="239"/>
        <v>16.01736</v>
      </c>
      <c r="AG259" s="254">
        <f t="shared" ca="1" si="239"/>
        <v>6460.7806672780998</v>
      </c>
      <c r="AH259" s="253">
        <f t="shared" ca="1" si="239"/>
        <v>2354.5519199999999</v>
      </c>
      <c r="AI259" s="253">
        <f t="shared" ca="1" si="239"/>
        <v>2354.5519199999999</v>
      </c>
      <c r="AJ259" s="253">
        <f t="shared" ca="1" si="239"/>
        <v>2354.5519199999999</v>
      </c>
      <c r="AK259" s="253">
        <f t="shared" ca="1" si="239"/>
        <v>2354.5519199999999</v>
      </c>
      <c r="AL259" s="253">
        <f t="shared" ca="1" si="239"/>
        <v>2354.5519199999999</v>
      </c>
      <c r="AM259" s="254">
        <f t="shared" ca="1" si="240"/>
        <v>10378.647984809</v>
      </c>
      <c r="AN259" s="253">
        <f t="shared" ca="1" si="240"/>
        <v>2178.36096</v>
      </c>
      <c r="AO259" s="253">
        <f t="shared" ca="1" si="240"/>
        <v>2178.36096</v>
      </c>
      <c r="AP259" s="253">
        <f t="shared" ca="1" si="240"/>
        <v>2178.36096</v>
      </c>
      <c r="AQ259" s="253">
        <f t="shared" ca="1" si="240"/>
        <v>2178.36096</v>
      </c>
      <c r="AR259" s="253">
        <f t="shared" ca="1" si="240"/>
        <v>2178.36096</v>
      </c>
      <c r="AS259" s="254">
        <f t="shared" ca="1" si="240"/>
        <v>52811.030712456995</v>
      </c>
      <c r="AT259" s="253">
        <f t="shared" ca="1" si="240"/>
        <v>14992.248960000001</v>
      </c>
      <c r="AU259" s="253">
        <f t="shared" ca="1" si="240"/>
        <v>14992.248960000001</v>
      </c>
      <c r="AV259" s="253">
        <f t="shared" ca="1" si="240"/>
        <v>14992.248960000001</v>
      </c>
      <c r="AW259" s="253">
        <f t="shared" ca="1" si="240"/>
        <v>14992.248960000001</v>
      </c>
      <c r="AX259" s="255">
        <f t="shared" ca="1" si="240"/>
        <v>14992.248960000001</v>
      </c>
      <c r="AY259" s="1"/>
      <c r="AZ259" s="1355"/>
      <c r="BA259" s="1"/>
      <c r="BB259" s="437" t="s">
        <v>619</v>
      </c>
      <c r="BC259" s="438" t="s">
        <v>700</v>
      </c>
      <c r="BD259" s="404">
        <f t="shared" ref="BD259:BF259" si="241">BD240/BD$239</f>
        <v>0.22299708249782044</v>
      </c>
      <c r="BE259" s="405">
        <f t="shared" si="241"/>
        <v>0.22299708249782044</v>
      </c>
      <c r="BF259" s="405">
        <f t="shared" si="241"/>
        <v>0.22299708249782044</v>
      </c>
      <c r="BG259" s="405">
        <f t="shared" ref="BG259:BX259" si="242">BG240/BG$239</f>
        <v>0.22299708249782044</v>
      </c>
      <c r="BH259" s="405">
        <f t="shared" si="242"/>
        <v>0.22299708249782044</v>
      </c>
      <c r="BI259" s="405">
        <f t="shared" si="242"/>
        <v>0.22299708249782044</v>
      </c>
      <c r="BJ259" s="405">
        <f t="shared" si="242"/>
        <v>1.0133700314245164</v>
      </c>
      <c r="BK259" s="405">
        <f t="shared" si="242"/>
        <v>0.22299708249782044</v>
      </c>
      <c r="BL259" s="405">
        <f t="shared" si="242"/>
        <v>0.22299708249782044</v>
      </c>
      <c r="BM259" s="405">
        <f t="shared" si="242"/>
        <v>0.22299708249782044</v>
      </c>
      <c r="BN259" s="405">
        <f t="shared" si="242"/>
        <v>0.22299708249782044</v>
      </c>
      <c r="BO259" s="405">
        <f t="shared" si="242"/>
        <v>0.22299708249782044</v>
      </c>
      <c r="BP259" s="405">
        <f t="shared" si="242"/>
        <v>0.22299708249782044</v>
      </c>
      <c r="BQ259" s="405">
        <f t="shared" si="242"/>
        <v>0.22299708249782044</v>
      </c>
      <c r="BR259" s="405">
        <f t="shared" si="242"/>
        <v>0.22299708249782044</v>
      </c>
      <c r="BS259" s="405">
        <f t="shared" si="242"/>
        <v>0.22299708249782044</v>
      </c>
      <c r="BT259" s="405">
        <f t="shared" si="242"/>
        <v>0.22299708249782044</v>
      </c>
      <c r="BU259" s="405">
        <f t="shared" si="242"/>
        <v>0.22299708249782044</v>
      </c>
      <c r="BV259" s="406">
        <f t="shared" si="242"/>
        <v>0.22299708249782044</v>
      </c>
      <c r="BW259" s="407">
        <f t="shared" si="242"/>
        <v>1.0133700314245164</v>
      </c>
      <c r="BX259" s="408">
        <f t="shared" si="242"/>
        <v>1.0133700314245166</v>
      </c>
    </row>
    <row r="260" spans="2:81" x14ac:dyDescent="0.25">
      <c r="B260" s="1343"/>
      <c r="D260" s="1355"/>
      <c r="F260" s="265"/>
      <c r="G260" s="209" t="s">
        <v>107</v>
      </c>
      <c r="H260" s="209"/>
      <c r="I260" s="253">
        <f t="shared" ca="1" si="237"/>
        <v>1220.60331435184</v>
      </c>
      <c r="J260" s="253">
        <f t="shared" ca="1" si="237"/>
        <v>112.12152</v>
      </c>
      <c r="K260" s="253">
        <f t="shared" ca="1" si="237"/>
        <v>112.12152</v>
      </c>
      <c r="L260" s="266">
        <f t="shared" ca="1" si="237"/>
        <v>112.12152</v>
      </c>
      <c r="M260" s="266">
        <f t="shared" ca="1" si="237"/>
        <v>112.12152</v>
      </c>
      <c r="N260" s="266">
        <f t="shared" ca="1" si="237"/>
        <v>112.12152</v>
      </c>
      <c r="O260" s="254">
        <f t="shared" ca="1" si="237"/>
        <v>18604.853843043198</v>
      </c>
      <c r="P260" s="253">
        <f t="shared" ca="1" si="237"/>
        <v>3299.5761600000001</v>
      </c>
      <c r="Q260" s="253">
        <f t="shared" ca="1" si="237"/>
        <v>3299.5761600000001</v>
      </c>
      <c r="R260" s="253">
        <f t="shared" ca="1" si="237"/>
        <v>3299.5761600000001</v>
      </c>
      <c r="S260" s="253">
        <f t="shared" ca="1" si="238"/>
        <v>3299.5761600000001</v>
      </c>
      <c r="T260" s="253">
        <f t="shared" ca="1" si="238"/>
        <v>3299.5761600000001</v>
      </c>
      <c r="U260" s="254">
        <f t="shared" ca="1" si="238"/>
        <v>6688.9583268257593</v>
      </c>
      <c r="V260" s="253">
        <f t="shared" ca="1" si="238"/>
        <v>3267.54144</v>
      </c>
      <c r="W260" s="253">
        <f t="shared" ca="1" si="238"/>
        <v>3267.54144</v>
      </c>
      <c r="X260" s="253">
        <f t="shared" ca="1" si="238"/>
        <v>3267.54144</v>
      </c>
      <c r="Y260" s="253">
        <f t="shared" ca="1" si="238"/>
        <v>3267.54144</v>
      </c>
      <c r="Z260" s="253">
        <f t="shared" ca="1" si="238"/>
        <v>3267.54144</v>
      </c>
      <c r="AA260" s="254">
        <f t="shared" ca="1" si="238"/>
        <v>27.460661392800002</v>
      </c>
      <c r="AB260" s="253">
        <f t="shared" ca="1" si="238"/>
        <v>16.01736</v>
      </c>
      <c r="AC260" s="253">
        <f t="shared" ca="1" si="239"/>
        <v>16.01736</v>
      </c>
      <c r="AD260" s="253">
        <f t="shared" ca="1" si="239"/>
        <v>16.01736</v>
      </c>
      <c r="AE260" s="253">
        <f t="shared" ca="1" si="239"/>
        <v>16.01736</v>
      </c>
      <c r="AF260" s="253">
        <f t="shared" ca="1" si="239"/>
        <v>16.01736</v>
      </c>
      <c r="AG260" s="254">
        <f t="shared" ca="1" si="239"/>
        <v>5358.2582062523197</v>
      </c>
      <c r="AH260" s="253">
        <f t="shared" ca="1" si="239"/>
        <v>2354.5519199999999</v>
      </c>
      <c r="AI260" s="253">
        <f t="shared" ca="1" si="239"/>
        <v>2354.5519199999999</v>
      </c>
      <c r="AJ260" s="253">
        <f t="shared" ca="1" si="239"/>
        <v>2354.5519199999999</v>
      </c>
      <c r="AK260" s="253">
        <f t="shared" ca="1" si="239"/>
        <v>2354.5519199999999</v>
      </c>
      <c r="AL260" s="253">
        <f t="shared" ca="1" si="239"/>
        <v>2354.5519199999999</v>
      </c>
      <c r="AM260" s="254">
        <f t="shared" ca="1" si="240"/>
        <v>6179.9223525247999</v>
      </c>
      <c r="AN260" s="253">
        <f t="shared" ca="1" si="240"/>
        <v>2178.36096</v>
      </c>
      <c r="AO260" s="253">
        <f t="shared" ca="1" si="240"/>
        <v>2178.36096</v>
      </c>
      <c r="AP260" s="253">
        <f t="shared" ca="1" si="240"/>
        <v>2178.36096</v>
      </c>
      <c r="AQ260" s="253">
        <f t="shared" ca="1" si="240"/>
        <v>2178.36096</v>
      </c>
      <c r="AR260" s="253">
        <f t="shared" ca="1" si="240"/>
        <v>2178.36096</v>
      </c>
      <c r="AS260" s="254">
        <f t="shared" ca="1" si="240"/>
        <v>42630.761738670408</v>
      </c>
      <c r="AT260" s="253">
        <f t="shared" ca="1" si="240"/>
        <v>14992.248960000001</v>
      </c>
      <c r="AU260" s="253">
        <f t="shared" ca="1" si="240"/>
        <v>14992.248960000001</v>
      </c>
      <c r="AV260" s="253">
        <f t="shared" ca="1" si="240"/>
        <v>14992.248960000001</v>
      </c>
      <c r="AW260" s="253">
        <f t="shared" ca="1" si="240"/>
        <v>14992.248960000001</v>
      </c>
      <c r="AX260" s="255">
        <f t="shared" ca="1" si="240"/>
        <v>14992.248960000001</v>
      </c>
      <c r="AY260" s="1"/>
      <c r="AZ260" s="1355"/>
      <c r="BA260" s="1"/>
      <c r="BB260" s="437" t="s">
        <v>701</v>
      </c>
      <c r="BC260" s="439" t="s">
        <v>700</v>
      </c>
      <c r="BD260" s="404">
        <f t="shared" ref="BD260:BF260" si="243">BD241/BD$239</f>
        <v>0</v>
      </c>
      <c r="BE260" s="405">
        <f t="shared" si="243"/>
        <v>0</v>
      </c>
      <c r="BF260" s="405">
        <f t="shared" si="243"/>
        <v>0</v>
      </c>
      <c r="BG260" s="405">
        <f t="shared" ref="BG260:BX260" si="244">BG241/BG$239</f>
        <v>0</v>
      </c>
      <c r="BH260" s="405">
        <f t="shared" si="244"/>
        <v>0</v>
      </c>
      <c r="BI260" s="405">
        <f t="shared" si="244"/>
        <v>0</v>
      </c>
      <c r="BJ260" s="405">
        <f t="shared" si="244"/>
        <v>0</v>
      </c>
      <c r="BK260" s="405">
        <f t="shared" si="244"/>
        <v>0</v>
      </c>
      <c r="BL260" s="405">
        <f t="shared" si="244"/>
        <v>0</v>
      </c>
      <c r="BM260" s="405">
        <f t="shared" si="244"/>
        <v>0</v>
      </c>
      <c r="BN260" s="405">
        <f t="shared" si="244"/>
        <v>0</v>
      </c>
      <c r="BO260" s="405">
        <f t="shared" si="244"/>
        <v>0</v>
      </c>
      <c r="BP260" s="405">
        <f t="shared" si="244"/>
        <v>0</v>
      </c>
      <c r="BQ260" s="405">
        <f t="shared" si="244"/>
        <v>0</v>
      </c>
      <c r="BR260" s="405">
        <f t="shared" si="244"/>
        <v>0</v>
      </c>
      <c r="BS260" s="405">
        <f t="shared" si="244"/>
        <v>0</v>
      </c>
      <c r="BT260" s="405">
        <f t="shared" si="244"/>
        <v>0</v>
      </c>
      <c r="BU260" s="405">
        <f t="shared" si="244"/>
        <v>0</v>
      </c>
      <c r="BV260" s="406">
        <f t="shared" si="244"/>
        <v>0</v>
      </c>
      <c r="BW260" s="407">
        <f t="shared" si="244"/>
        <v>0</v>
      </c>
      <c r="BX260" s="408">
        <f t="shared" si="244"/>
        <v>0</v>
      </c>
    </row>
    <row r="261" spans="2:81" x14ac:dyDescent="0.25">
      <c r="B261" s="1343"/>
      <c r="D261" s="1355"/>
      <c r="F261" s="265"/>
      <c r="G261" s="209" t="s">
        <v>104</v>
      </c>
      <c r="H261" s="209"/>
      <c r="I261" s="253">
        <f t="shared" ca="1" si="237"/>
        <v>1698.821015</v>
      </c>
      <c r="J261" s="253">
        <f t="shared" ca="1" si="237"/>
        <v>112.12152</v>
      </c>
      <c r="K261" s="253">
        <f t="shared" ca="1" si="237"/>
        <v>112.12152</v>
      </c>
      <c r="L261" s="266">
        <f t="shared" ca="1" si="237"/>
        <v>112.12152</v>
      </c>
      <c r="M261" s="266">
        <f t="shared" ca="1" si="237"/>
        <v>112.12152</v>
      </c>
      <c r="N261" s="266">
        <f t="shared" ca="1" si="237"/>
        <v>112.12152</v>
      </c>
      <c r="O261" s="254">
        <f t="shared" ca="1" si="237"/>
        <v>25404.98299</v>
      </c>
      <c r="P261" s="253">
        <f t="shared" ca="1" si="237"/>
        <v>3299.5761600000001</v>
      </c>
      <c r="Q261" s="253">
        <f t="shared" ca="1" si="237"/>
        <v>3299.5761600000001</v>
      </c>
      <c r="R261" s="253">
        <f t="shared" ca="1" si="237"/>
        <v>3299.5761600000001</v>
      </c>
      <c r="S261" s="253">
        <f t="shared" ca="1" si="238"/>
        <v>3299.5761600000001</v>
      </c>
      <c r="T261" s="253">
        <f t="shared" ca="1" si="238"/>
        <v>3299.5761600000001</v>
      </c>
      <c r="U261" s="254">
        <f t="shared" ca="1" si="238"/>
        <v>7205.8492449999994</v>
      </c>
      <c r="V261" s="253">
        <f t="shared" ca="1" si="238"/>
        <v>3267.54144</v>
      </c>
      <c r="W261" s="253">
        <f t="shared" ca="1" si="238"/>
        <v>3267.54144</v>
      </c>
      <c r="X261" s="253">
        <f t="shared" ca="1" si="238"/>
        <v>3267.54144</v>
      </c>
      <c r="Y261" s="253">
        <f t="shared" ca="1" si="238"/>
        <v>3267.54144</v>
      </c>
      <c r="Z261" s="253">
        <f t="shared" ca="1" si="238"/>
        <v>3267.54144</v>
      </c>
      <c r="AA261" s="254">
        <f t="shared" ca="1" si="238"/>
        <v>28.017903</v>
      </c>
      <c r="AB261" s="253">
        <f t="shared" ca="1" si="238"/>
        <v>16.01736</v>
      </c>
      <c r="AC261" s="253">
        <f t="shared" ca="1" si="239"/>
        <v>16.01736</v>
      </c>
      <c r="AD261" s="253">
        <f t="shared" ca="1" si="239"/>
        <v>16.01736</v>
      </c>
      <c r="AE261" s="253">
        <f t="shared" ca="1" si="239"/>
        <v>16.01736</v>
      </c>
      <c r="AF261" s="253">
        <f t="shared" ca="1" si="239"/>
        <v>16.01736</v>
      </c>
      <c r="AG261" s="254">
        <f t="shared" ca="1" si="239"/>
        <v>6052.4117429999988</v>
      </c>
      <c r="AH261" s="253">
        <f t="shared" ca="1" si="239"/>
        <v>2354.5519199999999</v>
      </c>
      <c r="AI261" s="253">
        <f t="shared" ca="1" si="239"/>
        <v>2354.5519199999999</v>
      </c>
      <c r="AJ261" s="253">
        <f t="shared" ca="1" si="239"/>
        <v>2354.5519199999999</v>
      </c>
      <c r="AK261" s="253">
        <f t="shared" ca="1" si="239"/>
        <v>2354.5519199999999</v>
      </c>
      <c r="AL261" s="253">
        <f t="shared" ca="1" si="239"/>
        <v>2354.5519199999999</v>
      </c>
      <c r="AM261" s="254">
        <f t="shared" ca="1" si="240"/>
        <v>4911.5062299999991</v>
      </c>
      <c r="AN261" s="253">
        <f t="shared" ca="1" si="240"/>
        <v>2178.36096</v>
      </c>
      <c r="AO261" s="253">
        <f t="shared" ca="1" si="240"/>
        <v>2178.36096</v>
      </c>
      <c r="AP261" s="253">
        <f t="shared" ca="1" si="240"/>
        <v>2178.36096</v>
      </c>
      <c r="AQ261" s="253">
        <f t="shared" ca="1" si="240"/>
        <v>2178.36096</v>
      </c>
      <c r="AR261" s="253">
        <f t="shared" ca="1" si="240"/>
        <v>2178.36096</v>
      </c>
      <c r="AS261" s="254">
        <f t="shared" ca="1" si="240"/>
        <v>48964.703550000006</v>
      </c>
      <c r="AT261" s="253">
        <f t="shared" ca="1" si="240"/>
        <v>14992.248960000001</v>
      </c>
      <c r="AU261" s="253">
        <f t="shared" ca="1" si="240"/>
        <v>14992.248960000001</v>
      </c>
      <c r="AV261" s="253">
        <f t="shared" ca="1" si="240"/>
        <v>14992.248960000001</v>
      </c>
      <c r="AW261" s="253">
        <f t="shared" ca="1" si="240"/>
        <v>14992.248960000001</v>
      </c>
      <c r="AX261" s="255">
        <f t="shared" ca="1" si="240"/>
        <v>14992.248960000001</v>
      </c>
      <c r="AY261" s="1"/>
      <c r="AZ261" s="1355"/>
      <c r="BA261" s="1"/>
      <c r="BB261" s="440" t="s">
        <v>620</v>
      </c>
      <c r="BC261" s="441" t="s">
        <v>700</v>
      </c>
      <c r="BD261" s="404">
        <f t="shared" ref="BD261:BF261" si="245">BD242/BD$239</f>
        <v>1.5665743221996231</v>
      </c>
      <c r="BE261" s="405">
        <f t="shared" si="245"/>
        <v>1.5665743221996231</v>
      </c>
      <c r="BF261" s="405">
        <f t="shared" si="245"/>
        <v>1.5665743221996231</v>
      </c>
      <c r="BG261" s="405">
        <f t="shared" ref="BG261:BX261" si="246">BG242/BG$239</f>
        <v>1.5665743221996231</v>
      </c>
      <c r="BH261" s="405">
        <f t="shared" si="246"/>
        <v>1.5665743221996231</v>
      </c>
      <c r="BI261" s="405">
        <f t="shared" si="246"/>
        <v>1.5665743221996231</v>
      </c>
      <c r="BJ261" s="405">
        <f t="shared" si="246"/>
        <v>1.5665743221996229</v>
      </c>
      <c r="BK261" s="405">
        <f t="shared" si="246"/>
        <v>1.5665743221996231</v>
      </c>
      <c r="BL261" s="405">
        <f t="shared" si="246"/>
        <v>1.5665743221996231</v>
      </c>
      <c r="BM261" s="405">
        <f t="shared" si="246"/>
        <v>1.5665743221996231</v>
      </c>
      <c r="BN261" s="405">
        <f t="shared" si="246"/>
        <v>1.5665743221996231</v>
      </c>
      <c r="BO261" s="405">
        <f t="shared" si="246"/>
        <v>1.5665743221996231</v>
      </c>
      <c r="BP261" s="405">
        <f t="shared" si="246"/>
        <v>1.5665743221996231</v>
      </c>
      <c r="BQ261" s="405">
        <f t="shared" si="246"/>
        <v>1.5665743221996231</v>
      </c>
      <c r="BR261" s="405">
        <f t="shared" si="246"/>
        <v>1.5665743221996231</v>
      </c>
      <c r="BS261" s="405">
        <f t="shared" si="246"/>
        <v>1.5665743221996231</v>
      </c>
      <c r="BT261" s="405">
        <f t="shared" si="246"/>
        <v>1.5665743221996231</v>
      </c>
      <c r="BU261" s="405">
        <f t="shared" si="246"/>
        <v>1.5665743221996231</v>
      </c>
      <c r="BV261" s="406">
        <f t="shared" si="246"/>
        <v>1.5665743221996231</v>
      </c>
      <c r="BW261" s="407">
        <f t="shared" si="246"/>
        <v>1.5665743221996229</v>
      </c>
      <c r="BX261" s="408">
        <f t="shared" si="246"/>
        <v>1.5665743221996231</v>
      </c>
    </row>
    <row r="262" spans="2:81" x14ac:dyDescent="0.25">
      <c r="B262" s="1343"/>
      <c r="D262" s="1355"/>
      <c r="F262" s="265"/>
      <c r="G262" s="209" t="s">
        <v>97</v>
      </c>
      <c r="H262" s="209"/>
      <c r="I262" s="253">
        <f t="shared" ca="1" si="237"/>
        <v>2722.9077849875002</v>
      </c>
      <c r="J262" s="253">
        <f t="shared" ca="1" si="237"/>
        <v>112.12152</v>
      </c>
      <c r="K262" s="253">
        <f t="shared" ca="1" si="237"/>
        <v>112.12152</v>
      </c>
      <c r="L262" s="266">
        <f t="shared" ca="1" si="237"/>
        <v>112.12152</v>
      </c>
      <c r="M262" s="266">
        <f t="shared" ca="1" si="237"/>
        <v>112.12152</v>
      </c>
      <c r="N262" s="266">
        <f t="shared" ca="1" si="237"/>
        <v>112.12152</v>
      </c>
      <c r="O262" s="254">
        <f t="shared" ca="1" si="237"/>
        <v>39177.604650250003</v>
      </c>
      <c r="P262" s="253">
        <f t="shared" ca="1" si="237"/>
        <v>3299.5761600000001</v>
      </c>
      <c r="Q262" s="253">
        <f t="shared" ca="1" si="237"/>
        <v>3299.5761600000001</v>
      </c>
      <c r="R262" s="253">
        <f t="shared" ca="1" si="237"/>
        <v>3299.5761600000001</v>
      </c>
      <c r="S262" s="253">
        <f t="shared" ca="1" si="238"/>
        <v>3299.5761600000001</v>
      </c>
      <c r="T262" s="253">
        <f t="shared" ca="1" si="238"/>
        <v>3299.5761600000001</v>
      </c>
      <c r="U262" s="254">
        <f t="shared" ca="1" si="238"/>
        <v>11684.852026074997</v>
      </c>
      <c r="V262" s="253">
        <f t="shared" ca="1" si="238"/>
        <v>3267.54144</v>
      </c>
      <c r="W262" s="253">
        <f t="shared" ca="1" si="238"/>
        <v>3267.54144</v>
      </c>
      <c r="X262" s="253">
        <f t="shared" ca="1" si="238"/>
        <v>3267.54144</v>
      </c>
      <c r="Y262" s="253">
        <f t="shared" ca="1" si="238"/>
        <v>3267.54144</v>
      </c>
      <c r="Z262" s="253">
        <f t="shared" ca="1" si="238"/>
        <v>3267.54144</v>
      </c>
      <c r="AA262" s="254">
        <f t="shared" ca="1" si="238"/>
        <v>45.095914575000009</v>
      </c>
      <c r="AB262" s="253">
        <f t="shared" ca="1" si="238"/>
        <v>16.01736</v>
      </c>
      <c r="AC262" s="253">
        <f t="shared" ca="1" si="239"/>
        <v>16.01736</v>
      </c>
      <c r="AD262" s="253">
        <f t="shared" ca="1" si="239"/>
        <v>16.01736</v>
      </c>
      <c r="AE262" s="253">
        <f t="shared" ca="1" si="239"/>
        <v>16.01736</v>
      </c>
      <c r="AF262" s="253">
        <f t="shared" ca="1" si="239"/>
        <v>16.01736</v>
      </c>
      <c r="AG262" s="254">
        <f t="shared" ca="1" si="239"/>
        <v>9669.1788047874998</v>
      </c>
      <c r="AH262" s="253">
        <f t="shared" ca="1" si="239"/>
        <v>2354.5519199999999</v>
      </c>
      <c r="AI262" s="253">
        <f t="shared" ca="1" si="239"/>
        <v>2354.5519199999999</v>
      </c>
      <c r="AJ262" s="253">
        <f t="shared" ca="1" si="239"/>
        <v>2354.5519199999999</v>
      </c>
      <c r="AK262" s="253">
        <f t="shared" ca="1" si="239"/>
        <v>2354.5519199999999</v>
      </c>
      <c r="AL262" s="253">
        <f t="shared" ca="1" si="239"/>
        <v>2354.5519199999999</v>
      </c>
      <c r="AM262" s="254">
        <f t="shared" ca="1" si="240"/>
        <v>12956.661946375001</v>
      </c>
      <c r="AN262" s="253">
        <f t="shared" ca="1" si="240"/>
        <v>2178.36096</v>
      </c>
      <c r="AO262" s="253">
        <f t="shared" ca="1" si="240"/>
        <v>2178.36096</v>
      </c>
      <c r="AP262" s="253">
        <f t="shared" ca="1" si="240"/>
        <v>2178.36096</v>
      </c>
      <c r="AQ262" s="253">
        <f t="shared" ca="1" si="240"/>
        <v>2178.36096</v>
      </c>
      <c r="AR262" s="253">
        <f t="shared" ca="1" si="240"/>
        <v>2178.36096</v>
      </c>
      <c r="AS262" s="254">
        <f t="shared" ca="1" si="240"/>
        <v>82631.321218375</v>
      </c>
      <c r="AT262" s="253">
        <f t="shared" ca="1" si="240"/>
        <v>14992.248960000001</v>
      </c>
      <c r="AU262" s="253">
        <f t="shared" ca="1" si="240"/>
        <v>14992.248960000001</v>
      </c>
      <c r="AV262" s="253">
        <f t="shared" ca="1" si="240"/>
        <v>14992.248960000001</v>
      </c>
      <c r="AW262" s="253">
        <f t="shared" ca="1" si="240"/>
        <v>14992.248960000001</v>
      </c>
      <c r="AX262" s="255">
        <f t="shared" ca="1" si="240"/>
        <v>14992.248960000001</v>
      </c>
      <c r="AY262" s="1"/>
      <c r="AZ262" s="1355"/>
      <c r="BA262" s="1"/>
      <c r="BB262" s="437" t="s">
        <v>619</v>
      </c>
      <c r="BC262" s="438" t="s">
        <v>702</v>
      </c>
      <c r="BD262" s="398">
        <f t="shared" ref="BD262:BF262" si="247">BD244/BD$243</f>
        <v>0.22299708249782046</v>
      </c>
      <c r="BE262" s="399">
        <f t="shared" si="247"/>
        <v>0.22299708249782046</v>
      </c>
      <c r="BF262" s="399">
        <f t="shared" si="247"/>
        <v>0.22299708249782046</v>
      </c>
      <c r="BG262" s="399">
        <f t="shared" ref="BG262:BX262" si="248">BG244/BG$243</f>
        <v>0.22299708249782046</v>
      </c>
      <c r="BH262" s="399">
        <f t="shared" si="248"/>
        <v>0.22299708249782046</v>
      </c>
      <c r="BI262" s="399">
        <f t="shared" si="248"/>
        <v>0.22299708249782046</v>
      </c>
      <c r="BJ262" s="399">
        <f t="shared" si="248"/>
        <v>1.0133700314245164</v>
      </c>
      <c r="BK262" s="399">
        <f t="shared" si="248"/>
        <v>0.22299708249782046</v>
      </c>
      <c r="BL262" s="399">
        <f t="shared" si="248"/>
        <v>0.22299708249782046</v>
      </c>
      <c r="BM262" s="399">
        <f t="shared" si="248"/>
        <v>0.22299708249782046</v>
      </c>
      <c r="BN262" s="399">
        <f t="shared" si="248"/>
        <v>0.22299708249782046</v>
      </c>
      <c r="BO262" s="399">
        <f t="shared" si="248"/>
        <v>0.22299708249782046</v>
      </c>
      <c r="BP262" s="399">
        <f t="shared" si="248"/>
        <v>0.22299708249782046</v>
      </c>
      <c r="BQ262" s="399">
        <f t="shared" si="248"/>
        <v>0.22299708249782046</v>
      </c>
      <c r="BR262" s="399">
        <f t="shared" si="248"/>
        <v>0.22299708249782046</v>
      </c>
      <c r="BS262" s="399">
        <f t="shared" si="248"/>
        <v>0.22299708249782046</v>
      </c>
      <c r="BT262" s="399">
        <f t="shared" si="248"/>
        <v>0.22299708249782046</v>
      </c>
      <c r="BU262" s="399">
        <f t="shared" si="248"/>
        <v>0.22299708249782046</v>
      </c>
      <c r="BV262" s="400">
        <f t="shared" si="248"/>
        <v>0.22299708249782046</v>
      </c>
      <c r="BW262" s="401">
        <f t="shared" si="248"/>
        <v>1.0133700314245164</v>
      </c>
      <c r="BX262" s="402">
        <f t="shared" si="248"/>
        <v>1.0133700314245166</v>
      </c>
    </row>
    <row r="263" spans="2:81" x14ac:dyDescent="0.25">
      <c r="B263" s="1343"/>
      <c r="D263" s="1355"/>
      <c r="F263" s="265"/>
      <c r="G263" s="209" t="s">
        <v>628</v>
      </c>
      <c r="H263" s="209"/>
      <c r="I263" s="253">
        <f t="shared" ca="1" si="237"/>
        <v>576.62138686531011</v>
      </c>
      <c r="J263" s="253">
        <f t="shared" ca="1" si="237"/>
        <v>0</v>
      </c>
      <c r="K263" s="253">
        <f t="shared" ca="1" si="237"/>
        <v>0</v>
      </c>
      <c r="L263" s="266">
        <f t="shared" ca="1" si="237"/>
        <v>0</v>
      </c>
      <c r="M263" s="266">
        <f t="shared" ca="1" si="237"/>
        <v>0</v>
      </c>
      <c r="N263" s="266">
        <f t="shared" ca="1" si="237"/>
        <v>0</v>
      </c>
      <c r="O263" s="254">
        <f t="shared" ca="1" si="237"/>
        <v>7883.0158938530003</v>
      </c>
      <c r="P263" s="253">
        <f t="shared" ca="1" si="237"/>
        <v>0</v>
      </c>
      <c r="Q263" s="253">
        <f t="shared" ca="1" si="237"/>
        <v>0</v>
      </c>
      <c r="R263" s="253">
        <f t="shared" ca="1" si="237"/>
        <v>0</v>
      </c>
      <c r="S263" s="253">
        <f t="shared" ca="1" si="238"/>
        <v>0</v>
      </c>
      <c r="T263" s="253">
        <f t="shared" ca="1" si="238"/>
        <v>0</v>
      </c>
      <c r="U263" s="254">
        <f t="shared" ca="1" si="238"/>
        <v>2200.8862567293399</v>
      </c>
      <c r="V263" s="253">
        <f t="shared" ca="1" si="238"/>
        <v>0</v>
      </c>
      <c r="W263" s="253">
        <f t="shared" ca="1" si="238"/>
        <v>0</v>
      </c>
      <c r="X263" s="253">
        <f t="shared" ca="1" si="238"/>
        <v>0</v>
      </c>
      <c r="Y263" s="253">
        <f t="shared" ca="1" si="238"/>
        <v>0</v>
      </c>
      <c r="Z263" s="253">
        <f t="shared" ca="1" si="238"/>
        <v>0</v>
      </c>
      <c r="AA263" s="254">
        <f t="shared" ca="1" si="238"/>
        <v>8.4646861014199999</v>
      </c>
      <c r="AB263" s="253">
        <f t="shared" ca="1" si="238"/>
        <v>0</v>
      </c>
      <c r="AC263" s="253">
        <f t="shared" ca="1" si="239"/>
        <v>0</v>
      </c>
      <c r="AD263" s="253">
        <f t="shared" ca="1" si="239"/>
        <v>0</v>
      </c>
      <c r="AE263" s="253">
        <f t="shared" ca="1" si="239"/>
        <v>0</v>
      </c>
      <c r="AF263" s="253">
        <f t="shared" ca="1" si="239"/>
        <v>0</v>
      </c>
      <c r="AG263" s="254">
        <f t="shared" ca="1" si="239"/>
        <v>1852.7217754651499</v>
      </c>
      <c r="AH263" s="253">
        <f t="shared" ca="1" si="239"/>
        <v>0</v>
      </c>
      <c r="AI263" s="253">
        <f t="shared" ca="1" si="239"/>
        <v>0</v>
      </c>
      <c r="AJ263" s="253">
        <f t="shared" ca="1" si="239"/>
        <v>0</v>
      </c>
      <c r="AK263" s="253">
        <f t="shared" ca="1" si="239"/>
        <v>0</v>
      </c>
      <c r="AL263" s="253">
        <f t="shared" ca="1" si="239"/>
        <v>0</v>
      </c>
      <c r="AM263" s="254">
        <f t="shared" ca="1" si="240"/>
        <v>3298.9896521255</v>
      </c>
      <c r="AN263" s="253">
        <f t="shared" ca="1" si="240"/>
        <v>0</v>
      </c>
      <c r="AO263" s="253">
        <f t="shared" ca="1" si="240"/>
        <v>0</v>
      </c>
      <c r="AP263" s="253">
        <f t="shared" ca="1" si="240"/>
        <v>0</v>
      </c>
      <c r="AQ263" s="253">
        <f t="shared" ca="1" si="240"/>
        <v>0</v>
      </c>
      <c r="AR263" s="253">
        <f t="shared" ca="1" si="240"/>
        <v>0</v>
      </c>
      <c r="AS263" s="254">
        <f t="shared" ca="1" si="240"/>
        <v>17083.812659016701</v>
      </c>
      <c r="AT263" s="253">
        <f t="shared" ca="1" si="240"/>
        <v>0</v>
      </c>
      <c r="AU263" s="253">
        <f t="shared" ca="1" si="240"/>
        <v>0</v>
      </c>
      <c r="AV263" s="253">
        <f t="shared" ca="1" si="240"/>
        <v>0</v>
      </c>
      <c r="AW263" s="253">
        <f t="shared" ca="1" si="240"/>
        <v>0</v>
      </c>
      <c r="AX263" s="255">
        <f t="shared" ca="1" si="240"/>
        <v>0</v>
      </c>
      <c r="AY263" s="1"/>
      <c r="AZ263" s="1355"/>
      <c r="BA263" s="1"/>
      <c r="BB263" s="437" t="s">
        <v>701</v>
      </c>
      <c r="BC263" s="439" t="s">
        <v>702</v>
      </c>
      <c r="BD263" s="404">
        <f t="shared" ref="BD263:BF263" si="249">BD245/BD$243</f>
        <v>0</v>
      </c>
      <c r="BE263" s="405">
        <f t="shared" si="249"/>
        <v>0</v>
      </c>
      <c r="BF263" s="405">
        <f t="shared" si="249"/>
        <v>0</v>
      </c>
      <c r="BG263" s="405">
        <f t="shared" ref="BG263:BX263" si="250">BG245/BG$243</f>
        <v>0</v>
      </c>
      <c r="BH263" s="405">
        <f t="shared" si="250"/>
        <v>0</v>
      </c>
      <c r="BI263" s="405">
        <f t="shared" si="250"/>
        <v>0</v>
      </c>
      <c r="BJ263" s="405">
        <f t="shared" si="250"/>
        <v>0</v>
      </c>
      <c r="BK263" s="405">
        <f t="shared" si="250"/>
        <v>0</v>
      </c>
      <c r="BL263" s="405">
        <f t="shared" si="250"/>
        <v>0</v>
      </c>
      <c r="BM263" s="405">
        <f t="shared" si="250"/>
        <v>0</v>
      </c>
      <c r="BN263" s="405">
        <f t="shared" si="250"/>
        <v>0</v>
      </c>
      <c r="BO263" s="405">
        <f t="shared" si="250"/>
        <v>0</v>
      </c>
      <c r="BP263" s="405">
        <f t="shared" si="250"/>
        <v>0</v>
      </c>
      <c r="BQ263" s="405">
        <f t="shared" si="250"/>
        <v>0</v>
      </c>
      <c r="BR263" s="405">
        <f t="shared" si="250"/>
        <v>0</v>
      </c>
      <c r="BS263" s="405">
        <f t="shared" si="250"/>
        <v>0</v>
      </c>
      <c r="BT263" s="405">
        <f t="shared" si="250"/>
        <v>0</v>
      </c>
      <c r="BU263" s="405">
        <f t="shared" si="250"/>
        <v>0</v>
      </c>
      <c r="BV263" s="406">
        <f t="shared" si="250"/>
        <v>0</v>
      </c>
      <c r="BW263" s="407">
        <f t="shared" si="250"/>
        <v>0</v>
      </c>
      <c r="BX263" s="408">
        <f t="shared" si="250"/>
        <v>0</v>
      </c>
    </row>
    <row r="264" spans="2:81" x14ac:dyDescent="0.25">
      <c r="B264" s="1343"/>
      <c r="D264" s="1355"/>
      <c r="F264" s="265"/>
      <c r="G264" s="209" t="s">
        <v>108</v>
      </c>
      <c r="H264" s="209"/>
      <c r="I264" s="253">
        <f t="shared" ca="1" si="237"/>
        <v>4269.7660070413003</v>
      </c>
      <c r="J264" s="253">
        <f t="shared" ca="1" si="237"/>
        <v>112.12152</v>
      </c>
      <c r="K264" s="253">
        <f t="shared" ca="1" si="237"/>
        <v>112.12152</v>
      </c>
      <c r="L264" s="266">
        <f t="shared" ca="1" si="237"/>
        <v>112.12152</v>
      </c>
      <c r="M264" s="266">
        <f t="shared" ca="1" si="237"/>
        <v>112.12152</v>
      </c>
      <c r="N264" s="266">
        <f t="shared" ca="1" si="237"/>
        <v>112.12152</v>
      </c>
      <c r="O264" s="254">
        <f t="shared" ca="1" si="237"/>
        <v>61274.249285774</v>
      </c>
      <c r="P264" s="253">
        <f t="shared" ca="1" si="237"/>
        <v>3299.5761600000001</v>
      </c>
      <c r="Q264" s="253">
        <f t="shared" ca="1" si="237"/>
        <v>3299.5761600000001</v>
      </c>
      <c r="R264" s="253">
        <f t="shared" ca="1" si="237"/>
        <v>3299.5761600000001</v>
      </c>
      <c r="S264" s="253">
        <f t="shared" ca="1" si="238"/>
        <v>3299.5761600000001</v>
      </c>
      <c r="T264" s="253">
        <f t="shared" ca="1" si="238"/>
        <v>3299.5761600000001</v>
      </c>
      <c r="U264" s="254">
        <f t="shared" ca="1" si="238"/>
        <v>15328.348572828203</v>
      </c>
      <c r="V264" s="253">
        <f t="shared" ca="1" si="238"/>
        <v>3267.54144</v>
      </c>
      <c r="W264" s="253">
        <f t="shared" ca="1" si="238"/>
        <v>3267.54144</v>
      </c>
      <c r="X264" s="253">
        <f t="shared" ca="1" si="238"/>
        <v>3267.54144</v>
      </c>
      <c r="Y264" s="253">
        <f t="shared" ca="1" si="238"/>
        <v>3267.54144</v>
      </c>
      <c r="Z264" s="253">
        <f t="shared" ca="1" si="238"/>
        <v>3267.54144</v>
      </c>
      <c r="AA264" s="254">
        <f t="shared" ca="1" si="238"/>
        <v>53.51143982100001</v>
      </c>
      <c r="AB264" s="253">
        <f t="shared" ca="1" si="238"/>
        <v>16.01736</v>
      </c>
      <c r="AC264" s="253">
        <f t="shared" ca="1" si="239"/>
        <v>16.01736</v>
      </c>
      <c r="AD264" s="253">
        <f t="shared" ca="1" si="239"/>
        <v>16.01736</v>
      </c>
      <c r="AE264" s="253">
        <f t="shared" ca="1" si="239"/>
        <v>16.01736</v>
      </c>
      <c r="AF264" s="253">
        <f t="shared" ca="1" si="239"/>
        <v>16.01736</v>
      </c>
      <c r="AG264" s="254">
        <f t="shared" ca="1" si="239"/>
        <v>13080.417509474901</v>
      </c>
      <c r="AH264" s="253">
        <f t="shared" ca="1" si="239"/>
        <v>2354.5519199999999</v>
      </c>
      <c r="AI264" s="253">
        <f t="shared" ca="1" si="239"/>
        <v>2354.5519199999999</v>
      </c>
      <c r="AJ264" s="253">
        <f t="shared" ca="1" si="239"/>
        <v>2354.5519199999999</v>
      </c>
      <c r="AK264" s="253">
        <f t="shared" ca="1" si="239"/>
        <v>2354.5519199999999</v>
      </c>
      <c r="AL264" s="253">
        <f t="shared" ca="1" si="239"/>
        <v>2354.5519199999999</v>
      </c>
      <c r="AM264" s="254">
        <f t="shared" ca="1" si="240"/>
        <v>13766.213746361</v>
      </c>
      <c r="AN264" s="253">
        <f t="shared" ca="1" si="240"/>
        <v>2178.36096</v>
      </c>
      <c r="AO264" s="253">
        <f t="shared" ca="1" si="240"/>
        <v>2178.36096</v>
      </c>
      <c r="AP264" s="253">
        <f t="shared" ca="1" si="240"/>
        <v>2178.36096</v>
      </c>
      <c r="AQ264" s="253">
        <f t="shared" ca="1" si="240"/>
        <v>2178.36096</v>
      </c>
      <c r="AR264" s="253">
        <f t="shared" ca="1" si="240"/>
        <v>2178.36096</v>
      </c>
      <c r="AS264" s="254">
        <f t="shared" ca="1" si="240"/>
        <v>112320.380614553</v>
      </c>
      <c r="AT264" s="253">
        <f t="shared" ca="1" si="240"/>
        <v>14992.248960000001</v>
      </c>
      <c r="AU264" s="253">
        <f t="shared" ca="1" si="240"/>
        <v>14992.248960000001</v>
      </c>
      <c r="AV264" s="253">
        <f t="shared" ca="1" si="240"/>
        <v>14992.248960000001</v>
      </c>
      <c r="AW264" s="253">
        <f t="shared" ca="1" si="240"/>
        <v>14992.248960000001</v>
      </c>
      <c r="AX264" s="255">
        <f t="shared" ca="1" si="240"/>
        <v>14992.248960000001</v>
      </c>
      <c r="AY264" s="1"/>
      <c r="AZ264" s="1355"/>
      <c r="BA264" s="1"/>
      <c r="BB264" s="440" t="s">
        <v>620</v>
      </c>
      <c r="BC264" s="441" t="s">
        <v>702</v>
      </c>
      <c r="BD264" s="412">
        <f t="shared" ref="BD264:BF264" si="251">BD246/BD$243</f>
        <v>1.5665743221996233</v>
      </c>
      <c r="BE264" s="413">
        <f t="shared" si="251"/>
        <v>1.5665743221996233</v>
      </c>
      <c r="BF264" s="413">
        <f t="shared" si="251"/>
        <v>1.5665743221996233</v>
      </c>
      <c r="BG264" s="413">
        <f t="shared" ref="BG264:BX264" si="252">BG246/BG$243</f>
        <v>1.5665743221996233</v>
      </c>
      <c r="BH264" s="413">
        <f t="shared" si="252"/>
        <v>1.5665743221996233</v>
      </c>
      <c r="BI264" s="413">
        <f t="shared" si="252"/>
        <v>1.5665743221996233</v>
      </c>
      <c r="BJ264" s="413">
        <f t="shared" si="252"/>
        <v>1.5665743221996231</v>
      </c>
      <c r="BK264" s="413">
        <f t="shared" si="252"/>
        <v>1.5665743221996233</v>
      </c>
      <c r="BL264" s="413">
        <f t="shared" si="252"/>
        <v>1.5665743221996233</v>
      </c>
      <c r="BM264" s="413">
        <f t="shared" si="252"/>
        <v>1.5665743221996233</v>
      </c>
      <c r="BN264" s="413">
        <f t="shared" si="252"/>
        <v>1.5665743221996233</v>
      </c>
      <c r="BO264" s="413">
        <f t="shared" si="252"/>
        <v>1.5665743221996233</v>
      </c>
      <c r="BP264" s="413">
        <f t="shared" si="252"/>
        <v>1.5665743221996233</v>
      </c>
      <c r="BQ264" s="413">
        <f t="shared" si="252"/>
        <v>1.5665743221996233</v>
      </c>
      <c r="BR264" s="413">
        <f t="shared" si="252"/>
        <v>1.5665743221996233</v>
      </c>
      <c r="BS264" s="413">
        <f t="shared" si="252"/>
        <v>1.5665743221996233</v>
      </c>
      <c r="BT264" s="413">
        <f t="shared" si="252"/>
        <v>1.5665743221996233</v>
      </c>
      <c r="BU264" s="413">
        <f t="shared" si="252"/>
        <v>1.5665743221996233</v>
      </c>
      <c r="BV264" s="414">
        <f t="shared" si="252"/>
        <v>1.5665743221996233</v>
      </c>
      <c r="BW264" s="415">
        <f t="shared" si="252"/>
        <v>1.5665743221996231</v>
      </c>
      <c r="BX264" s="416">
        <f t="shared" si="252"/>
        <v>1.5665743221996231</v>
      </c>
    </row>
    <row r="265" spans="2:81" x14ac:dyDescent="0.25">
      <c r="B265" s="1343"/>
      <c r="D265" s="1355"/>
      <c r="F265" s="265"/>
      <c r="G265" s="209" t="s">
        <v>98</v>
      </c>
      <c r="H265" s="209"/>
      <c r="I265" s="253">
        <f t="shared" ca="1" si="237"/>
        <v>1436.4326468678</v>
      </c>
      <c r="J265" s="253">
        <f t="shared" ca="1" si="237"/>
        <v>112.12152</v>
      </c>
      <c r="K265" s="253">
        <f t="shared" ca="1" si="237"/>
        <v>112.12152</v>
      </c>
      <c r="L265" s="266">
        <f t="shared" ca="1" si="237"/>
        <v>112.12152</v>
      </c>
      <c r="M265" s="266">
        <f t="shared" ca="1" si="237"/>
        <v>112.12152</v>
      </c>
      <c r="N265" s="266">
        <f t="shared" ca="1" si="237"/>
        <v>112.12152</v>
      </c>
      <c r="O265" s="254">
        <f t="shared" ca="1" si="237"/>
        <v>21300.226581243998</v>
      </c>
      <c r="P265" s="253">
        <f t="shared" ca="1" si="237"/>
        <v>3299.5761600000001</v>
      </c>
      <c r="Q265" s="253">
        <f t="shared" ca="1" si="237"/>
        <v>3299.5761600000001</v>
      </c>
      <c r="R265" s="253">
        <f t="shared" ca="1" si="237"/>
        <v>3299.5761600000001</v>
      </c>
      <c r="S265" s="253">
        <f t="shared" ca="1" si="238"/>
        <v>3299.5761600000001</v>
      </c>
      <c r="T265" s="253">
        <f t="shared" ca="1" si="238"/>
        <v>3299.5761600000001</v>
      </c>
      <c r="U265" s="254">
        <f t="shared" ca="1" si="238"/>
        <v>7914.0476121492011</v>
      </c>
      <c r="V265" s="253">
        <f t="shared" ca="1" si="238"/>
        <v>3267.54144</v>
      </c>
      <c r="W265" s="253">
        <f t="shared" ca="1" si="238"/>
        <v>3267.54144</v>
      </c>
      <c r="X265" s="253">
        <f t="shared" ca="1" si="238"/>
        <v>3267.54144</v>
      </c>
      <c r="Y265" s="253">
        <f t="shared" ca="1" si="238"/>
        <v>3267.54144</v>
      </c>
      <c r="Z265" s="253">
        <f t="shared" ca="1" si="238"/>
        <v>3267.54144</v>
      </c>
      <c r="AA265" s="254">
        <f t="shared" ca="1" si="238"/>
        <v>33.092446226</v>
      </c>
      <c r="AB265" s="253">
        <f t="shared" ca="1" si="238"/>
        <v>16.01736</v>
      </c>
      <c r="AC265" s="253">
        <f t="shared" ca="1" si="239"/>
        <v>16.01736</v>
      </c>
      <c r="AD265" s="253">
        <f t="shared" ca="1" si="239"/>
        <v>16.01736</v>
      </c>
      <c r="AE265" s="253">
        <f t="shared" ca="1" si="239"/>
        <v>16.01736</v>
      </c>
      <c r="AF265" s="253">
        <f t="shared" ca="1" si="239"/>
        <v>16.01736</v>
      </c>
      <c r="AG265" s="254">
        <f t="shared" ca="1" si="239"/>
        <v>6319.6631405094004</v>
      </c>
      <c r="AH265" s="253">
        <f t="shared" ca="1" si="239"/>
        <v>2354.5519199999999</v>
      </c>
      <c r="AI265" s="253">
        <f t="shared" ca="1" si="239"/>
        <v>2354.5519199999999</v>
      </c>
      <c r="AJ265" s="253">
        <f t="shared" ca="1" si="239"/>
        <v>2354.5519199999999</v>
      </c>
      <c r="AK265" s="253">
        <f t="shared" ca="1" si="239"/>
        <v>2354.5519199999999</v>
      </c>
      <c r="AL265" s="253">
        <f t="shared" ca="1" si="239"/>
        <v>2354.5519199999999</v>
      </c>
      <c r="AM265" s="254">
        <f t="shared" ca="1" si="240"/>
        <v>9115.036595566</v>
      </c>
      <c r="AN265" s="253">
        <f t="shared" ca="1" si="240"/>
        <v>2178.36096</v>
      </c>
      <c r="AO265" s="253">
        <f t="shared" ca="1" si="240"/>
        <v>2178.36096</v>
      </c>
      <c r="AP265" s="253">
        <f t="shared" ca="1" si="240"/>
        <v>2178.36096</v>
      </c>
      <c r="AQ265" s="253">
        <f t="shared" ca="1" si="240"/>
        <v>2178.36096</v>
      </c>
      <c r="AR265" s="253">
        <f t="shared" ca="1" si="240"/>
        <v>2178.36096</v>
      </c>
      <c r="AS265" s="254">
        <f t="shared" ca="1" si="240"/>
        <v>52060.293065517995</v>
      </c>
      <c r="AT265" s="253">
        <f t="shared" ca="1" si="240"/>
        <v>14992.248960000001</v>
      </c>
      <c r="AU265" s="253">
        <f t="shared" ca="1" si="240"/>
        <v>14992.248960000001</v>
      </c>
      <c r="AV265" s="253">
        <f t="shared" ca="1" si="240"/>
        <v>14992.248960000001</v>
      </c>
      <c r="AW265" s="253">
        <f t="shared" ca="1" si="240"/>
        <v>14992.248960000001</v>
      </c>
      <c r="AX265" s="255">
        <f t="shared" ca="1" si="240"/>
        <v>14992.248960000001</v>
      </c>
      <c r="AY265" s="1"/>
      <c r="AZ265" s="1355"/>
      <c r="BA265" s="1"/>
      <c r="BB265" s="437" t="s">
        <v>619</v>
      </c>
      <c r="BC265" s="438" t="s">
        <v>703</v>
      </c>
      <c r="BD265" s="398">
        <f t="shared" ref="BD265:BF265" si="253">BD248/BD$247</f>
        <v>0.22299708249782044</v>
      </c>
      <c r="BE265" s="399">
        <f t="shared" si="253"/>
        <v>0.22299708249782044</v>
      </c>
      <c r="BF265" s="399">
        <f t="shared" si="253"/>
        <v>0.22299708249782044</v>
      </c>
      <c r="BG265" s="399">
        <f t="shared" ref="BG265:BX265" si="254">BG248/BG$247</f>
        <v>0.22299708249782044</v>
      </c>
      <c r="BH265" s="399">
        <f t="shared" si="254"/>
        <v>0.22299708249782044</v>
      </c>
      <c r="BI265" s="399">
        <f t="shared" si="254"/>
        <v>0.22299708249782044</v>
      </c>
      <c r="BJ265" s="399">
        <f t="shared" si="254"/>
        <v>1.0133700314245166</v>
      </c>
      <c r="BK265" s="399">
        <f t="shared" si="254"/>
        <v>0.22299708249782044</v>
      </c>
      <c r="BL265" s="399">
        <f t="shared" si="254"/>
        <v>0.22299708249782044</v>
      </c>
      <c r="BM265" s="399">
        <f t="shared" si="254"/>
        <v>0.22299708249782044</v>
      </c>
      <c r="BN265" s="399">
        <f t="shared" si="254"/>
        <v>0.22299708249782044</v>
      </c>
      <c r="BO265" s="399">
        <f t="shared" si="254"/>
        <v>0.22299708249782044</v>
      </c>
      <c r="BP265" s="399">
        <f t="shared" si="254"/>
        <v>0.22299708249782044</v>
      </c>
      <c r="BQ265" s="399">
        <f t="shared" si="254"/>
        <v>0.22299708249782044</v>
      </c>
      <c r="BR265" s="399">
        <f t="shared" si="254"/>
        <v>0.22299708249782044</v>
      </c>
      <c r="BS265" s="399">
        <f t="shared" si="254"/>
        <v>0.22299708249782044</v>
      </c>
      <c r="BT265" s="399">
        <f t="shared" si="254"/>
        <v>0.22299708249782044</v>
      </c>
      <c r="BU265" s="399">
        <f t="shared" si="254"/>
        <v>0.22299708249782044</v>
      </c>
      <c r="BV265" s="400">
        <f t="shared" si="254"/>
        <v>0.22299708249782044</v>
      </c>
      <c r="BW265" s="401">
        <f t="shared" si="254"/>
        <v>1.0133700314245166</v>
      </c>
      <c r="BX265" s="402">
        <f t="shared" si="254"/>
        <v>1.0133700314245166</v>
      </c>
    </row>
    <row r="266" spans="2:81" x14ac:dyDescent="0.25">
      <c r="B266" s="1343"/>
      <c r="D266" s="1355"/>
      <c r="F266" s="265"/>
      <c r="G266" s="209" t="s">
        <v>629</v>
      </c>
      <c r="H266" s="209"/>
      <c r="I266" s="253">
        <f t="shared" ca="1" si="237"/>
        <v>2343.4524345069099</v>
      </c>
      <c r="J266" s="253">
        <f t="shared" ca="1" si="237"/>
        <v>112.12152</v>
      </c>
      <c r="K266" s="253">
        <f t="shared" ca="1" si="237"/>
        <v>112.12152</v>
      </c>
      <c r="L266" s="266">
        <f t="shared" ca="1" si="237"/>
        <v>112.12152</v>
      </c>
      <c r="M266" s="266">
        <f t="shared" ca="1" si="237"/>
        <v>112.12152</v>
      </c>
      <c r="N266" s="266">
        <f t="shared" ca="1" si="237"/>
        <v>112.12152</v>
      </c>
      <c r="O266" s="254">
        <f t="shared" ca="1" si="237"/>
        <v>34338.127117781798</v>
      </c>
      <c r="P266" s="253">
        <f t="shared" ca="1" si="237"/>
        <v>3299.5761600000001</v>
      </c>
      <c r="Q266" s="253">
        <f t="shared" ca="1" si="237"/>
        <v>3299.5761600000001</v>
      </c>
      <c r="R266" s="253">
        <f t="shared" ca="1" si="237"/>
        <v>3299.5761600000001</v>
      </c>
      <c r="S266" s="253">
        <f t="shared" ca="1" si="238"/>
        <v>3299.5761600000001</v>
      </c>
      <c r="T266" s="253">
        <f t="shared" ca="1" si="238"/>
        <v>3299.5761600000001</v>
      </c>
      <c r="U266" s="254">
        <f t="shared" ca="1" si="238"/>
        <v>9139.0936608217417</v>
      </c>
      <c r="V266" s="253">
        <f t="shared" ca="1" si="238"/>
        <v>3267.54144</v>
      </c>
      <c r="W266" s="253">
        <f t="shared" ca="1" si="238"/>
        <v>3267.54144</v>
      </c>
      <c r="X266" s="253">
        <f t="shared" ca="1" si="238"/>
        <v>3267.54144</v>
      </c>
      <c r="Y266" s="253">
        <f t="shared" ca="1" si="238"/>
        <v>3267.54144</v>
      </c>
      <c r="Z266" s="253">
        <f t="shared" ca="1" si="238"/>
        <v>3267.54144</v>
      </c>
      <c r="AA266" s="254">
        <f t="shared" ca="1" si="238"/>
        <v>34.3615139447</v>
      </c>
      <c r="AB266" s="253">
        <f t="shared" ca="1" si="238"/>
        <v>16.01736</v>
      </c>
      <c r="AC266" s="253">
        <f t="shared" ca="1" si="239"/>
        <v>16.01736</v>
      </c>
      <c r="AD266" s="253">
        <f t="shared" ca="1" si="239"/>
        <v>16.01736</v>
      </c>
      <c r="AE266" s="253">
        <f t="shared" ca="1" si="239"/>
        <v>16.01736</v>
      </c>
      <c r="AF266" s="253">
        <f t="shared" ca="1" si="239"/>
        <v>16.01736</v>
      </c>
      <c r="AG266" s="254">
        <f t="shared" ca="1" si="239"/>
        <v>7762.8150227864298</v>
      </c>
      <c r="AH266" s="253">
        <f t="shared" ca="1" si="239"/>
        <v>2354.5519199999999</v>
      </c>
      <c r="AI266" s="253">
        <f t="shared" ca="1" si="239"/>
        <v>2354.5519199999999</v>
      </c>
      <c r="AJ266" s="253">
        <f t="shared" ca="1" si="239"/>
        <v>2354.5519199999999</v>
      </c>
      <c r="AK266" s="253">
        <f t="shared" ca="1" si="239"/>
        <v>2354.5519199999999</v>
      </c>
      <c r="AL266" s="253">
        <f t="shared" ca="1" si="239"/>
        <v>2354.5519199999999</v>
      </c>
      <c r="AM266" s="254">
        <f t="shared" ca="1" si="240"/>
        <v>7005.5119627126987</v>
      </c>
      <c r="AN266" s="253">
        <f t="shared" ca="1" si="240"/>
        <v>2178.36096</v>
      </c>
      <c r="AO266" s="253">
        <f t="shared" ca="1" si="240"/>
        <v>2178.36096</v>
      </c>
      <c r="AP266" s="253">
        <f t="shared" ca="1" si="240"/>
        <v>2178.36096</v>
      </c>
      <c r="AQ266" s="253">
        <f t="shared" ca="1" si="240"/>
        <v>2178.36096</v>
      </c>
      <c r="AR266" s="253">
        <f t="shared" ca="1" si="240"/>
        <v>2178.36096</v>
      </c>
      <c r="AS266" s="254">
        <f t="shared" ca="1" si="240"/>
        <v>64635.147595167102</v>
      </c>
      <c r="AT266" s="253">
        <f t="shared" ca="1" si="240"/>
        <v>14992.248960000001</v>
      </c>
      <c r="AU266" s="253">
        <f t="shared" ca="1" si="240"/>
        <v>14992.248960000001</v>
      </c>
      <c r="AV266" s="253">
        <f t="shared" ca="1" si="240"/>
        <v>14992.248960000001</v>
      </c>
      <c r="AW266" s="253">
        <f t="shared" ca="1" si="240"/>
        <v>14992.248960000001</v>
      </c>
      <c r="AX266" s="255">
        <f t="shared" ca="1" si="240"/>
        <v>14992.248960000001</v>
      </c>
      <c r="AY266" s="1"/>
      <c r="AZ266" s="1355"/>
      <c r="BA266" s="1"/>
      <c r="BB266" s="437" t="s">
        <v>701</v>
      </c>
      <c r="BC266" s="439" t="s">
        <v>703</v>
      </c>
      <c r="BD266" s="404">
        <f t="shared" ref="BD266:BF266" si="255">BD249/BD$247</f>
        <v>0</v>
      </c>
      <c r="BE266" s="405">
        <f t="shared" si="255"/>
        <v>0</v>
      </c>
      <c r="BF266" s="405">
        <f t="shared" si="255"/>
        <v>0</v>
      </c>
      <c r="BG266" s="405">
        <f t="shared" ref="BG266:BX266" si="256">BG249/BG$247</f>
        <v>0</v>
      </c>
      <c r="BH266" s="405">
        <f t="shared" si="256"/>
        <v>0</v>
      </c>
      <c r="BI266" s="405">
        <f t="shared" si="256"/>
        <v>0</v>
      </c>
      <c r="BJ266" s="405">
        <f t="shared" si="256"/>
        <v>0</v>
      </c>
      <c r="BK266" s="405">
        <f t="shared" si="256"/>
        <v>0</v>
      </c>
      <c r="BL266" s="405">
        <f t="shared" si="256"/>
        <v>0</v>
      </c>
      <c r="BM266" s="405">
        <f t="shared" si="256"/>
        <v>0</v>
      </c>
      <c r="BN266" s="405">
        <f t="shared" si="256"/>
        <v>0</v>
      </c>
      <c r="BO266" s="405">
        <f t="shared" si="256"/>
        <v>0</v>
      </c>
      <c r="BP266" s="405">
        <f t="shared" si="256"/>
        <v>0</v>
      </c>
      <c r="BQ266" s="405">
        <f t="shared" si="256"/>
        <v>0</v>
      </c>
      <c r="BR266" s="405">
        <f t="shared" si="256"/>
        <v>0</v>
      </c>
      <c r="BS266" s="405">
        <f t="shared" si="256"/>
        <v>0</v>
      </c>
      <c r="BT266" s="405">
        <f t="shared" si="256"/>
        <v>0</v>
      </c>
      <c r="BU266" s="405">
        <f t="shared" si="256"/>
        <v>0</v>
      </c>
      <c r="BV266" s="406">
        <f t="shared" si="256"/>
        <v>0</v>
      </c>
      <c r="BW266" s="407">
        <f t="shared" si="256"/>
        <v>0</v>
      </c>
      <c r="BX266" s="408">
        <f t="shared" si="256"/>
        <v>0</v>
      </c>
    </row>
    <row r="267" spans="2:81" x14ac:dyDescent="0.25">
      <c r="B267" s="1343"/>
      <c r="D267" s="1355"/>
      <c r="F267" s="265"/>
      <c r="G267" s="209" t="s">
        <v>105</v>
      </c>
      <c r="H267" s="209"/>
      <c r="I267" s="253">
        <f t="shared" ref="I267:R277" ca="1" si="257">SUMPRODUCT(OFFSET($I$434,0,MATCH(I$8,$I$433:$O$433,0)-1,15,1),OFFSET($T$434,0,MATCH($G267,$T$433:$AN$433,0)-1,15,1),
OFFSET($AP$434,0,MATCH(LEFT(I$5,1),$AP$433:$AQ$433,0)-1,15,1))</f>
        <v>1099.230363183</v>
      </c>
      <c r="J267" s="253">
        <f t="shared" ca="1" si="257"/>
        <v>112.12152</v>
      </c>
      <c r="K267" s="253">
        <f t="shared" ca="1" si="257"/>
        <v>112.12152</v>
      </c>
      <c r="L267" s="266">
        <f t="shared" ca="1" si="257"/>
        <v>112.12152</v>
      </c>
      <c r="M267" s="266">
        <f t="shared" ca="1" si="257"/>
        <v>112.12152</v>
      </c>
      <c r="N267" s="266">
        <f t="shared" ca="1" si="257"/>
        <v>112.12152</v>
      </c>
      <c r="O267" s="254">
        <f t="shared" ca="1" si="257"/>
        <v>17040.284347339999</v>
      </c>
      <c r="P267" s="253">
        <f t="shared" ca="1" si="257"/>
        <v>3299.5761600000001</v>
      </c>
      <c r="Q267" s="253">
        <f t="shared" ca="1" si="257"/>
        <v>3299.5761600000001</v>
      </c>
      <c r="R267" s="253">
        <f t="shared" ca="1" si="257"/>
        <v>3299.5761600000001</v>
      </c>
      <c r="S267" s="253">
        <f t="shared" ref="S267:AB277" ca="1" si="258">SUMPRODUCT(OFFSET($I$434,0,MATCH(S$8,$I$433:$O$433,0)-1,15,1),OFFSET($T$434,0,MATCH($G267,$T$433:$AN$433,0)-1,15,1),
OFFSET($AP$434,0,MATCH(LEFT(S$5,1),$AP$433:$AQ$433,0)-1,15,1))</f>
        <v>3299.5761600000001</v>
      </c>
      <c r="T267" s="253">
        <f t="shared" ca="1" si="258"/>
        <v>3299.5761600000001</v>
      </c>
      <c r="U267" s="254">
        <f t="shared" ca="1" si="258"/>
        <v>6151.5612325619995</v>
      </c>
      <c r="V267" s="253">
        <f t="shared" ca="1" si="258"/>
        <v>3267.54144</v>
      </c>
      <c r="W267" s="253">
        <f t="shared" ca="1" si="258"/>
        <v>3267.54144</v>
      </c>
      <c r="X267" s="253">
        <f t="shared" ca="1" si="258"/>
        <v>3267.54144</v>
      </c>
      <c r="Y267" s="253">
        <f t="shared" ca="1" si="258"/>
        <v>3267.54144</v>
      </c>
      <c r="Z267" s="253">
        <f t="shared" ca="1" si="258"/>
        <v>3267.54144</v>
      </c>
      <c r="AA267" s="254">
        <f t="shared" ca="1" si="258"/>
        <v>25.099592210000004</v>
      </c>
      <c r="AB267" s="253">
        <f t="shared" ca="1" si="258"/>
        <v>16.01736</v>
      </c>
      <c r="AC267" s="253">
        <f t="shared" ref="AC267:AL277" ca="1" si="259">SUMPRODUCT(OFFSET($I$434,0,MATCH(AC$8,$I$433:$O$433,0)-1,15,1),OFFSET($T$434,0,MATCH($G267,$T$433:$AN$433,0)-1,15,1),
OFFSET($AP$434,0,MATCH(LEFT(AC$5,1),$AP$433:$AQ$433,0)-1,15,1))</f>
        <v>16.01736</v>
      </c>
      <c r="AD267" s="253">
        <f t="shared" ca="1" si="259"/>
        <v>16.01736</v>
      </c>
      <c r="AE267" s="253">
        <f t="shared" ca="1" si="259"/>
        <v>16.01736</v>
      </c>
      <c r="AF267" s="253">
        <f t="shared" ca="1" si="259"/>
        <v>16.01736</v>
      </c>
      <c r="AG267" s="254">
        <f t="shared" ca="1" si="259"/>
        <v>4916.4725205589993</v>
      </c>
      <c r="AH267" s="253">
        <f t="shared" ca="1" si="259"/>
        <v>2354.5519199999999</v>
      </c>
      <c r="AI267" s="253">
        <f t="shared" ca="1" si="259"/>
        <v>2354.5519199999999</v>
      </c>
      <c r="AJ267" s="253">
        <f t="shared" ca="1" si="259"/>
        <v>2354.5519199999999</v>
      </c>
      <c r="AK267" s="253">
        <f t="shared" ca="1" si="259"/>
        <v>2354.5519199999999</v>
      </c>
      <c r="AL267" s="253">
        <f t="shared" ca="1" si="259"/>
        <v>2354.5519199999999</v>
      </c>
      <c r="AM267" s="254">
        <f t="shared" ref="AM267:AX277" ca="1" si="260">SUMPRODUCT(OFFSET($I$434,0,MATCH(AM$8,$I$433:$O$433,0)-1,15,1),OFFSET($T$434,0,MATCH($G267,$T$433:$AN$433,0)-1,15,1),
OFFSET($AP$434,0,MATCH(LEFT(AM$5,1),$AP$433:$AQ$433,0)-1,15,1))</f>
        <v>5042.0569385100007</v>
      </c>
      <c r="AN267" s="253">
        <f t="shared" ca="1" si="260"/>
        <v>2178.36096</v>
      </c>
      <c r="AO267" s="253">
        <f t="shared" ca="1" si="260"/>
        <v>2178.36096</v>
      </c>
      <c r="AP267" s="253">
        <f t="shared" ca="1" si="260"/>
        <v>2178.36096</v>
      </c>
      <c r="AQ267" s="253">
        <f t="shared" ca="1" si="260"/>
        <v>2178.36096</v>
      </c>
      <c r="AR267" s="253">
        <f t="shared" ca="1" si="260"/>
        <v>2178.36096</v>
      </c>
      <c r="AS267" s="254">
        <f t="shared" ca="1" si="260"/>
        <v>38305.125131230001</v>
      </c>
      <c r="AT267" s="253">
        <f t="shared" ca="1" si="260"/>
        <v>14992.248960000001</v>
      </c>
      <c r="AU267" s="253">
        <f t="shared" ca="1" si="260"/>
        <v>14992.248960000001</v>
      </c>
      <c r="AV267" s="253">
        <f t="shared" ca="1" si="260"/>
        <v>14992.248960000001</v>
      </c>
      <c r="AW267" s="253">
        <f t="shared" ca="1" si="260"/>
        <v>14992.248960000001</v>
      </c>
      <c r="AX267" s="255">
        <f t="shared" ca="1" si="260"/>
        <v>14992.248960000001</v>
      </c>
      <c r="AY267" s="1"/>
      <c r="AZ267" s="1355"/>
      <c r="BA267" s="1"/>
      <c r="BB267" s="440" t="s">
        <v>620</v>
      </c>
      <c r="BC267" s="441" t="s">
        <v>703</v>
      </c>
      <c r="BD267" s="412">
        <f t="shared" ref="BD267:BF267" si="261">BD250/BD$247</f>
        <v>1.5665743221996231</v>
      </c>
      <c r="BE267" s="413">
        <f t="shared" si="261"/>
        <v>1.5665743221996231</v>
      </c>
      <c r="BF267" s="413">
        <f t="shared" si="261"/>
        <v>1.5665743221996231</v>
      </c>
      <c r="BG267" s="413">
        <f t="shared" ref="BG267:BX267" si="262">BG250/BG$247</f>
        <v>1.5665743221996231</v>
      </c>
      <c r="BH267" s="413">
        <f t="shared" si="262"/>
        <v>1.5665743221996231</v>
      </c>
      <c r="BI267" s="413">
        <f t="shared" si="262"/>
        <v>1.5665743221996231</v>
      </c>
      <c r="BJ267" s="413">
        <f t="shared" si="262"/>
        <v>1.5665743221996231</v>
      </c>
      <c r="BK267" s="413">
        <f t="shared" si="262"/>
        <v>1.5665743221996231</v>
      </c>
      <c r="BL267" s="413">
        <f t="shared" si="262"/>
        <v>1.5665743221996231</v>
      </c>
      <c r="BM267" s="413">
        <f t="shared" si="262"/>
        <v>1.5665743221996231</v>
      </c>
      <c r="BN267" s="413">
        <f t="shared" si="262"/>
        <v>1.5665743221996231</v>
      </c>
      <c r="BO267" s="413">
        <f t="shared" si="262"/>
        <v>1.5665743221996231</v>
      </c>
      <c r="BP267" s="413">
        <f t="shared" si="262"/>
        <v>1.5665743221996231</v>
      </c>
      <c r="BQ267" s="413">
        <f t="shared" si="262"/>
        <v>1.5665743221996231</v>
      </c>
      <c r="BR267" s="413">
        <f t="shared" si="262"/>
        <v>1.5665743221996231</v>
      </c>
      <c r="BS267" s="413">
        <f t="shared" si="262"/>
        <v>1.5665743221996231</v>
      </c>
      <c r="BT267" s="413">
        <f t="shared" si="262"/>
        <v>1.5665743221996231</v>
      </c>
      <c r="BU267" s="413">
        <f t="shared" si="262"/>
        <v>1.5665743221996231</v>
      </c>
      <c r="BV267" s="414">
        <f t="shared" si="262"/>
        <v>1.5665743221996231</v>
      </c>
      <c r="BW267" s="415">
        <f t="shared" si="262"/>
        <v>1.5665743221996231</v>
      </c>
      <c r="BX267" s="416">
        <f t="shared" si="262"/>
        <v>1.5665743221996231</v>
      </c>
    </row>
    <row r="268" spans="2:81" x14ac:dyDescent="0.25">
      <c r="B268" s="1343"/>
      <c r="D268" s="1355"/>
      <c r="F268" s="265"/>
      <c r="G268" s="209" t="s">
        <v>111</v>
      </c>
      <c r="H268" s="209"/>
      <c r="I268" s="253">
        <f t="shared" ca="1" si="257"/>
        <v>3493.1048763362996</v>
      </c>
      <c r="J268" s="253">
        <f t="shared" ca="1" si="257"/>
        <v>112.12152</v>
      </c>
      <c r="K268" s="253">
        <f t="shared" ca="1" si="257"/>
        <v>112.12152</v>
      </c>
      <c r="L268" s="266">
        <f t="shared" ca="1" si="257"/>
        <v>112.12152</v>
      </c>
      <c r="M268" s="266">
        <f t="shared" ca="1" si="257"/>
        <v>112.12152</v>
      </c>
      <c r="N268" s="266">
        <f t="shared" ca="1" si="257"/>
        <v>112.12152</v>
      </c>
      <c r="O268" s="254">
        <f t="shared" ca="1" si="257"/>
        <v>50300.878562874008</v>
      </c>
      <c r="P268" s="253">
        <f t="shared" ca="1" si="257"/>
        <v>3299.5761600000001</v>
      </c>
      <c r="Q268" s="253">
        <f t="shared" ca="1" si="257"/>
        <v>3299.5761600000001</v>
      </c>
      <c r="R268" s="253">
        <f t="shared" ca="1" si="257"/>
        <v>3299.5761600000001</v>
      </c>
      <c r="S268" s="253">
        <f t="shared" ca="1" si="258"/>
        <v>3299.5761600000001</v>
      </c>
      <c r="T268" s="253">
        <f t="shared" ca="1" si="258"/>
        <v>3299.5761600000001</v>
      </c>
      <c r="U268" s="254">
        <f t="shared" ca="1" si="258"/>
        <v>13898.784267958199</v>
      </c>
      <c r="V268" s="253">
        <f t="shared" ca="1" si="258"/>
        <v>3267.54144</v>
      </c>
      <c r="W268" s="253">
        <f t="shared" ca="1" si="258"/>
        <v>3267.54144</v>
      </c>
      <c r="X268" s="253">
        <f t="shared" ca="1" si="258"/>
        <v>3267.54144</v>
      </c>
      <c r="Y268" s="253">
        <f t="shared" ca="1" si="258"/>
        <v>3267.54144</v>
      </c>
      <c r="Z268" s="253">
        <f t="shared" ca="1" si="258"/>
        <v>3267.54144</v>
      </c>
      <c r="AA268" s="254">
        <f t="shared" ca="1" si="258"/>
        <v>50.343104870999994</v>
      </c>
      <c r="AB268" s="253">
        <f t="shared" ca="1" si="258"/>
        <v>16.01736</v>
      </c>
      <c r="AC268" s="253">
        <f t="shared" ca="1" si="259"/>
        <v>16.01736</v>
      </c>
      <c r="AD268" s="253">
        <f t="shared" ca="1" si="259"/>
        <v>16.01736</v>
      </c>
      <c r="AE268" s="253">
        <f t="shared" ca="1" si="259"/>
        <v>16.01736</v>
      </c>
      <c r="AF268" s="253">
        <f t="shared" ca="1" si="259"/>
        <v>16.01736</v>
      </c>
      <c r="AG268" s="254">
        <f t="shared" ca="1" si="259"/>
        <v>11598.2955534099</v>
      </c>
      <c r="AH268" s="253">
        <f t="shared" ca="1" si="259"/>
        <v>2354.5519199999999</v>
      </c>
      <c r="AI268" s="253">
        <f t="shared" ca="1" si="259"/>
        <v>2354.5519199999999</v>
      </c>
      <c r="AJ268" s="253">
        <f t="shared" ca="1" si="259"/>
        <v>2354.5519199999999</v>
      </c>
      <c r="AK268" s="253">
        <f t="shared" ca="1" si="259"/>
        <v>2354.5519199999999</v>
      </c>
      <c r="AL268" s="253">
        <f t="shared" ca="1" si="259"/>
        <v>2354.5519199999999</v>
      </c>
      <c r="AM268" s="254">
        <f t="shared" ca="1" si="260"/>
        <v>14084.714447511</v>
      </c>
      <c r="AN268" s="253">
        <f t="shared" ca="1" si="260"/>
        <v>2178.36096</v>
      </c>
      <c r="AO268" s="253">
        <f t="shared" ca="1" si="260"/>
        <v>2178.36096</v>
      </c>
      <c r="AP268" s="253">
        <f t="shared" ca="1" si="260"/>
        <v>2178.36096</v>
      </c>
      <c r="AQ268" s="253">
        <f t="shared" ca="1" si="260"/>
        <v>2178.36096</v>
      </c>
      <c r="AR268" s="253">
        <f t="shared" ca="1" si="260"/>
        <v>2178.36096</v>
      </c>
      <c r="AS268" s="254">
        <f t="shared" ca="1" si="260"/>
        <v>98912.299900503</v>
      </c>
      <c r="AT268" s="253">
        <f t="shared" ca="1" si="260"/>
        <v>14992.248960000001</v>
      </c>
      <c r="AU268" s="253">
        <f t="shared" ca="1" si="260"/>
        <v>14992.248960000001</v>
      </c>
      <c r="AV268" s="253">
        <f t="shared" ca="1" si="260"/>
        <v>14992.248960000001</v>
      </c>
      <c r="AW268" s="253">
        <f t="shared" ca="1" si="260"/>
        <v>14992.248960000001</v>
      </c>
      <c r="AX268" s="255">
        <f t="shared" ca="1" si="260"/>
        <v>14992.248960000001</v>
      </c>
      <c r="AY268" s="1"/>
      <c r="AZ268" s="1355"/>
      <c r="BA268" s="1"/>
      <c r="BB268" s="437" t="s">
        <v>619</v>
      </c>
      <c r="BC268" s="438" t="s">
        <v>704</v>
      </c>
      <c r="BD268" s="398">
        <f t="shared" ref="BD268:BF268" si="263">BD252/BD$251</f>
        <v>0.22299708249782046</v>
      </c>
      <c r="BE268" s="399">
        <f t="shared" si="263"/>
        <v>0.22299708249782046</v>
      </c>
      <c r="BF268" s="399">
        <f t="shared" si="263"/>
        <v>0.22299708249782046</v>
      </c>
      <c r="BG268" s="399">
        <f t="shared" ref="BG268:BX268" si="264">BG252/BG$251</f>
        <v>0.22299708249782046</v>
      </c>
      <c r="BH268" s="399">
        <f t="shared" si="264"/>
        <v>0.22299708249782046</v>
      </c>
      <c r="BI268" s="399">
        <f t="shared" si="264"/>
        <v>0.22299708249782046</v>
      </c>
      <c r="BJ268" s="399">
        <f t="shared" si="264"/>
        <v>1.0133700314245166</v>
      </c>
      <c r="BK268" s="399">
        <f t="shared" si="264"/>
        <v>0.22299708249782046</v>
      </c>
      <c r="BL268" s="399">
        <f t="shared" si="264"/>
        <v>0.22299708249782046</v>
      </c>
      <c r="BM268" s="399">
        <f t="shared" si="264"/>
        <v>0.22299708249782046</v>
      </c>
      <c r="BN268" s="399">
        <f t="shared" si="264"/>
        <v>0.22299708249782046</v>
      </c>
      <c r="BO268" s="399">
        <f t="shared" si="264"/>
        <v>0.22299708249782046</v>
      </c>
      <c r="BP268" s="399">
        <f t="shared" si="264"/>
        <v>0.22299708249782046</v>
      </c>
      <c r="BQ268" s="399">
        <f t="shared" si="264"/>
        <v>0.22299708249782046</v>
      </c>
      <c r="BR268" s="399">
        <f t="shared" si="264"/>
        <v>0.22299708249782046</v>
      </c>
      <c r="BS268" s="399">
        <f t="shared" si="264"/>
        <v>0.22299708249782046</v>
      </c>
      <c r="BT268" s="399">
        <f t="shared" si="264"/>
        <v>0.22299708249782046</v>
      </c>
      <c r="BU268" s="399">
        <f t="shared" si="264"/>
        <v>0.22299708249782046</v>
      </c>
      <c r="BV268" s="400">
        <f t="shared" si="264"/>
        <v>0.22299708249782046</v>
      </c>
      <c r="BW268" s="401">
        <f t="shared" si="264"/>
        <v>1.0133700314245166</v>
      </c>
      <c r="BX268" s="402">
        <f t="shared" si="264"/>
        <v>1.0133700314245169</v>
      </c>
    </row>
    <row r="269" spans="2:81" x14ac:dyDescent="0.25">
      <c r="B269" s="1343"/>
      <c r="D269" s="1355"/>
      <c r="F269" s="265"/>
      <c r="G269" s="209" t="s">
        <v>109</v>
      </c>
      <c r="H269" s="209"/>
      <c r="I269" s="253">
        <f t="shared" ca="1" si="257"/>
        <v>2396.2218469568002</v>
      </c>
      <c r="J269" s="253">
        <f t="shared" ca="1" si="257"/>
        <v>112.12152</v>
      </c>
      <c r="K269" s="253">
        <f t="shared" ca="1" si="257"/>
        <v>112.12152</v>
      </c>
      <c r="L269" s="266">
        <f t="shared" ca="1" si="257"/>
        <v>112.12152</v>
      </c>
      <c r="M269" s="266">
        <f t="shared" ca="1" si="257"/>
        <v>112.12152</v>
      </c>
      <c r="N269" s="266">
        <f t="shared" ca="1" si="257"/>
        <v>112.12152</v>
      </c>
      <c r="O269" s="254">
        <f t="shared" ca="1" si="257"/>
        <v>34742.632260463994</v>
      </c>
      <c r="P269" s="253">
        <f t="shared" ca="1" si="257"/>
        <v>3299.5761600000001</v>
      </c>
      <c r="Q269" s="253">
        <f t="shared" ca="1" si="257"/>
        <v>3299.5761600000001</v>
      </c>
      <c r="R269" s="253">
        <f t="shared" ca="1" si="257"/>
        <v>3299.5761600000001</v>
      </c>
      <c r="S269" s="253">
        <f t="shared" ca="1" si="258"/>
        <v>3299.5761600000001</v>
      </c>
      <c r="T269" s="253">
        <f t="shared" ca="1" si="258"/>
        <v>3299.5761600000001</v>
      </c>
      <c r="U269" s="254">
        <f t="shared" ca="1" si="258"/>
        <v>11551.0340853952</v>
      </c>
      <c r="V269" s="253">
        <f t="shared" ca="1" si="258"/>
        <v>3267.54144</v>
      </c>
      <c r="W269" s="253">
        <f t="shared" ca="1" si="258"/>
        <v>3267.54144</v>
      </c>
      <c r="X269" s="253">
        <f t="shared" ca="1" si="258"/>
        <v>3267.54144</v>
      </c>
      <c r="Y269" s="253">
        <f t="shared" ca="1" si="258"/>
        <v>3267.54144</v>
      </c>
      <c r="Z269" s="253">
        <f t="shared" ca="1" si="258"/>
        <v>3267.54144</v>
      </c>
      <c r="AA269" s="254">
        <f t="shared" ca="1" si="258"/>
        <v>44.834159055999997</v>
      </c>
      <c r="AB269" s="253">
        <f t="shared" ca="1" si="258"/>
        <v>16.01736</v>
      </c>
      <c r="AC269" s="253">
        <f t="shared" ca="1" si="259"/>
        <v>16.01736</v>
      </c>
      <c r="AD269" s="253">
        <f t="shared" ca="1" si="259"/>
        <v>16.01736</v>
      </c>
      <c r="AE269" s="253">
        <f t="shared" ca="1" si="259"/>
        <v>16.01736</v>
      </c>
      <c r="AF269" s="253">
        <f t="shared" ca="1" si="259"/>
        <v>16.01736</v>
      </c>
      <c r="AG269" s="254">
        <f t="shared" ca="1" si="259"/>
        <v>9310.8065900063993</v>
      </c>
      <c r="AH269" s="253">
        <f t="shared" ca="1" si="259"/>
        <v>2354.5519199999999</v>
      </c>
      <c r="AI269" s="253">
        <f t="shared" ca="1" si="259"/>
        <v>2354.5519199999999</v>
      </c>
      <c r="AJ269" s="253">
        <f t="shared" ca="1" si="259"/>
        <v>2354.5519199999999</v>
      </c>
      <c r="AK269" s="253">
        <f t="shared" ca="1" si="259"/>
        <v>2354.5519199999999</v>
      </c>
      <c r="AL269" s="253">
        <f t="shared" ca="1" si="259"/>
        <v>2354.5519199999999</v>
      </c>
      <c r="AM269" s="254">
        <f t="shared" ca="1" si="260"/>
        <v>13839.838154896001</v>
      </c>
      <c r="AN269" s="253">
        <f t="shared" ca="1" si="260"/>
        <v>2178.36096</v>
      </c>
      <c r="AO269" s="253">
        <f t="shared" ca="1" si="260"/>
        <v>2178.36096</v>
      </c>
      <c r="AP269" s="253">
        <f t="shared" ca="1" si="260"/>
        <v>2178.36096</v>
      </c>
      <c r="AQ269" s="253">
        <f t="shared" ca="1" si="260"/>
        <v>2178.36096</v>
      </c>
      <c r="AR269" s="253">
        <f t="shared" ca="1" si="260"/>
        <v>2178.36096</v>
      </c>
      <c r="AS269" s="254">
        <f t="shared" ca="1" si="260"/>
        <v>78575.855912607993</v>
      </c>
      <c r="AT269" s="253">
        <f t="shared" ca="1" si="260"/>
        <v>14992.248960000001</v>
      </c>
      <c r="AU269" s="253">
        <f t="shared" ca="1" si="260"/>
        <v>14992.248960000001</v>
      </c>
      <c r="AV269" s="253">
        <f t="shared" ca="1" si="260"/>
        <v>14992.248960000001</v>
      </c>
      <c r="AW269" s="253">
        <f t="shared" ca="1" si="260"/>
        <v>14992.248960000001</v>
      </c>
      <c r="AX269" s="255">
        <f t="shared" ca="1" si="260"/>
        <v>14992.248960000001</v>
      </c>
      <c r="AY269" s="1"/>
      <c r="AZ269" s="1355"/>
      <c r="BA269" s="1"/>
      <c r="BB269" s="437" t="s">
        <v>701</v>
      </c>
      <c r="BC269" s="439" t="s">
        <v>704</v>
      </c>
      <c r="BD269" s="404">
        <f t="shared" ref="BD269:BF269" si="265">BD253/BD$251</f>
        <v>0</v>
      </c>
      <c r="BE269" s="405">
        <f t="shared" si="265"/>
        <v>0</v>
      </c>
      <c r="BF269" s="405">
        <f t="shared" si="265"/>
        <v>0</v>
      </c>
      <c r="BG269" s="405">
        <f t="shared" ref="BG269:BX269" si="266">BG253/BG$251</f>
        <v>0</v>
      </c>
      <c r="BH269" s="405">
        <f t="shared" si="266"/>
        <v>0</v>
      </c>
      <c r="BI269" s="405">
        <f t="shared" si="266"/>
        <v>0</v>
      </c>
      <c r="BJ269" s="405">
        <f t="shared" si="266"/>
        <v>0</v>
      </c>
      <c r="BK269" s="405">
        <f t="shared" si="266"/>
        <v>0</v>
      </c>
      <c r="BL269" s="405">
        <f t="shared" si="266"/>
        <v>0</v>
      </c>
      <c r="BM269" s="405">
        <f t="shared" si="266"/>
        <v>0</v>
      </c>
      <c r="BN269" s="405">
        <f t="shared" si="266"/>
        <v>0</v>
      </c>
      <c r="BO269" s="405">
        <f t="shared" si="266"/>
        <v>0</v>
      </c>
      <c r="BP269" s="405">
        <f t="shared" si="266"/>
        <v>0</v>
      </c>
      <c r="BQ269" s="405">
        <f t="shared" si="266"/>
        <v>0</v>
      </c>
      <c r="BR269" s="405">
        <f t="shared" si="266"/>
        <v>0</v>
      </c>
      <c r="BS269" s="405">
        <f t="shared" si="266"/>
        <v>0</v>
      </c>
      <c r="BT269" s="405">
        <f t="shared" si="266"/>
        <v>0</v>
      </c>
      <c r="BU269" s="405">
        <f t="shared" si="266"/>
        <v>0</v>
      </c>
      <c r="BV269" s="406">
        <f t="shared" si="266"/>
        <v>0</v>
      </c>
      <c r="BW269" s="407">
        <f t="shared" si="266"/>
        <v>0</v>
      </c>
      <c r="BX269" s="408">
        <f t="shared" si="266"/>
        <v>0</v>
      </c>
    </row>
    <row r="270" spans="2:81" x14ac:dyDescent="0.25">
      <c r="B270" s="1343"/>
      <c r="D270" s="1355"/>
      <c r="F270" s="265"/>
      <c r="G270" s="209" t="s">
        <v>99</v>
      </c>
      <c r="H270" s="209"/>
      <c r="I270" s="253">
        <f t="shared" ca="1" si="257"/>
        <v>1436.4326468678</v>
      </c>
      <c r="J270" s="253">
        <f t="shared" ca="1" si="257"/>
        <v>112.12152</v>
      </c>
      <c r="K270" s="253">
        <f t="shared" ca="1" si="257"/>
        <v>112.12152</v>
      </c>
      <c r="L270" s="266">
        <f t="shared" ca="1" si="257"/>
        <v>112.12152</v>
      </c>
      <c r="M270" s="266">
        <f t="shared" ca="1" si="257"/>
        <v>112.12152</v>
      </c>
      <c r="N270" s="266">
        <f t="shared" ca="1" si="257"/>
        <v>112.12152</v>
      </c>
      <c r="O270" s="254">
        <f t="shared" ca="1" si="257"/>
        <v>21300.226581243998</v>
      </c>
      <c r="P270" s="253">
        <f t="shared" ca="1" si="257"/>
        <v>3299.5761600000001</v>
      </c>
      <c r="Q270" s="253">
        <f t="shared" ca="1" si="257"/>
        <v>3299.5761600000001</v>
      </c>
      <c r="R270" s="253">
        <f t="shared" ca="1" si="257"/>
        <v>3299.5761600000001</v>
      </c>
      <c r="S270" s="253">
        <f t="shared" ca="1" si="258"/>
        <v>3299.5761600000001</v>
      </c>
      <c r="T270" s="253">
        <f t="shared" ca="1" si="258"/>
        <v>3299.5761600000001</v>
      </c>
      <c r="U270" s="254">
        <f t="shared" ca="1" si="258"/>
        <v>7914.0476121492011</v>
      </c>
      <c r="V270" s="253">
        <f t="shared" ca="1" si="258"/>
        <v>3267.54144</v>
      </c>
      <c r="W270" s="253">
        <f t="shared" ca="1" si="258"/>
        <v>3267.54144</v>
      </c>
      <c r="X270" s="253">
        <f t="shared" ca="1" si="258"/>
        <v>3267.54144</v>
      </c>
      <c r="Y270" s="253">
        <f t="shared" ca="1" si="258"/>
        <v>3267.54144</v>
      </c>
      <c r="Z270" s="253">
        <f t="shared" ca="1" si="258"/>
        <v>3267.54144</v>
      </c>
      <c r="AA270" s="254">
        <f t="shared" ca="1" si="258"/>
        <v>33.092446226</v>
      </c>
      <c r="AB270" s="253">
        <f t="shared" ca="1" si="258"/>
        <v>16.01736</v>
      </c>
      <c r="AC270" s="253">
        <f t="shared" ca="1" si="259"/>
        <v>16.01736</v>
      </c>
      <c r="AD270" s="253">
        <f t="shared" ca="1" si="259"/>
        <v>16.01736</v>
      </c>
      <c r="AE270" s="253">
        <f t="shared" ca="1" si="259"/>
        <v>16.01736</v>
      </c>
      <c r="AF270" s="253">
        <f t="shared" ca="1" si="259"/>
        <v>16.01736</v>
      </c>
      <c r="AG270" s="254">
        <f t="shared" ca="1" si="259"/>
        <v>6319.6631405094004</v>
      </c>
      <c r="AH270" s="253">
        <f t="shared" ca="1" si="259"/>
        <v>2354.5519199999999</v>
      </c>
      <c r="AI270" s="253">
        <f t="shared" ca="1" si="259"/>
        <v>2354.5519199999999</v>
      </c>
      <c r="AJ270" s="253">
        <f t="shared" ca="1" si="259"/>
        <v>2354.5519199999999</v>
      </c>
      <c r="AK270" s="253">
        <f t="shared" ca="1" si="259"/>
        <v>2354.5519199999999</v>
      </c>
      <c r="AL270" s="253">
        <f t="shared" ca="1" si="259"/>
        <v>2354.5519199999999</v>
      </c>
      <c r="AM270" s="254">
        <f t="shared" ca="1" si="260"/>
        <v>9115.036595566</v>
      </c>
      <c r="AN270" s="253">
        <f t="shared" ca="1" si="260"/>
        <v>2178.36096</v>
      </c>
      <c r="AO270" s="253">
        <f t="shared" ca="1" si="260"/>
        <v>2178.36096</v>
      </c>
      <c r="AP270" s="253">
        <f t="shared" ca="1" si="260"/>
        <v>2178.36096</v>
      </c>
      <c r="AQ270" s="253">
        <f t="shared" ca="1" si="260"/>
        <v>2178.36096</v>
      </c>
      <c r="AR270" s="253">
        <f t="shared" ca="1" si="260"/>
        <v>2178.36096</v>
      </c>
      <c r="AS270" s="254">
        <f t="shared" ca="1" si="260"/>
        <v>52060.293065517995</v>
      </c>
      <c r="AT270" s="253">
        <f t="shared" ca="1" si="260"/>
        <v>14992.248960000001</v>
      </c>
      <c r="AU270" s="253">
        <f t="shared" ca="1" si="260"/>
        <v>14992.248960000001</v>
      </c>
      <c r="AV270" s="253">
        <f t="shared" ca="1" si="260"/>
        <v>14992.248960000001</v>
      </c>
      <c r="AW270" s="253">
        <f t="shared" ca="1" si="260"/>
        <v>14992.248960000001</v>
      </c>
      <c r="AX270" s="255">
        <f t="shared" ca="1" si="260"/>
        <v>14992.248960000001</v>
      </c>
      <c r="AY270" s="1"/>
      <c r="AZ270" s="1355"/>
      <c r="BA270" s="1"/>
      <c r="BB270" s="440" t="s">
        <v>620</v>
      </c>
      <c r="BC270" s="441" t="s">
        <v>704</v>
      </c>
      <c r="BD270" s="412">
        <f t="shared" ref="BD270:BF270" si="267">BD254/BD$251</f>
        <v>1.5665743221996227</v>
      </c>
      <c r="BE270" s="413">
        <f t="shared" si="267"/>
        <v>1.5665743221996227</v>
      </c>
      <c r="BF270" s="413">
        <f t="shared" si="267"/>
        <v>1.5665743221996227</v>
      </c>
      <c r="BG270" s="413">
        <f t="shared" ref="BG270:BX270" si="268">BG254/BG$251</f>
        <v>1.5665743221996227</v>
      </c>
      <c r="BH270" s="413">
        <f t="shared" si="268"/>
        <v>1.5665743221996227</v>
      </c>
      <c r="BI270" s="413">
        <f t="shared" si="268"/>
        <v>1.5665743221996227</v>
      </c>
      <c r="BJ270" s="413">
        <f t="shared" si="268"/>
        <v>1.5665743221996233</v>
      </c>
      <c r="BK270" s="413">
        <f t="shared" si="268"/>
        <v>1.5665743221996227</v>
      </c>
      <c r="BL270" s="413">
        <f t="shared" si="268"/>
        <v>1.5665743221996227</v>
      </c>
      <c r="BM270" s="413">
        <f t="shared" si="268"/>
        <v>1.5665743221996227</v>
      </c>
      <c r="BN270" s="413">
        <f t="shared" si="268"/>
        <v>1.5665743221996227</v>
      </c>
      <c r="BO270" s="413">
        <f t="shared" si="268"/>
        <v>1.5665743221996227</v>
      </c>
      <c r="BP270" s="413">
        <f t="shared" si="268"/>
        <v>1.5665743221996227</v>
      </c>
      <c r="BQ270" s="413">
        <f t="shared" si="268"/>
        <v>1.5665743221996227</v>
      </c>
      <c r="BR270" s="413">
        <f t="shared" si="268"/>
        <v>1.5665743221996227</v>
      </c>
      <c r="BS270" s="413">
        <f t="shared" si="268"/>
        <v>1.5665743221996227</v>
      </c>
      <c r="BT270" s="413">
        <f t="shared" si="268"/>
        <v>1.5665743221996227</v>
      </c>
      <c r="BU270" s="413">
        <f t="shared" si="268"/>
        <v>1.5665743221996227</v>
      </c>
      <c r="BV270" s="414">
        <f t="shared" si="268"/>
        <v>1.5665743221996227</v>
      </c>
      <c r="BW270" s="415">
        <f t="shared" si="268"/>
        <v>1.5665743221996233</v>
      </c>
      <c r="BX270" s="416">
        <f t="shared" si="268"/>
        <v>1.5665743221996231</v>
      </c>
    </row>
    <row r="271" spans="2:81" x14ac:dyDescent="0.25">
      <c r="B271" s="1343"/>
      <c r="D271" s="1355"/>
      <c r="F271" s="265"/>
      <c r="G271" s="209" t="s">
        <v>106</v>
      </c>
      <c r="H271" s="209"/>
      <c r="I271" s="253">
        <f t="shared" ca="1" si="257"/>
        <v>1220.60331435184</v>
      </c>
      <c r="J271" s="253">
        <f t="shared" ca="1" si="257"/>
        <v>112.12152</v>
      </c>
      <c r="K271" s="253">
        <f t="shared" ca="1" si="257"/>
        <v>112.12152</v>
      </c>
      <c r="L271" s="266">
        <f t="shared" ca="1" si="257"/>
        <v>112.12152</v>
      </c>
      <c r="M271" s="266">
        <f t="shared" ca="1" si="257"/>
        <v>112.12152</v>
      </c>
      <c r="N271" s="266">
        <f t="shared" ca="1" si="257"/>
        <v>112.12152</v>
      </c>
      <c r="O271" s="254">
        <f t="shared" ca="1" si="257"/>
        <v>18604.853843043198</v>
      </c>
      <c r="P271" s="253">
        <f t="shared" ca="1" si="257"/>
        <v>3299.5761600000001</v>
      </c>
      <c r="Q271" s="253">
        <f t="shared" ca="1" si="257"/>
        <v>3299.5761600000001</v>
      </c>
      <c r="R271" s="253">
        <f t="shared" ca="1" si="257"/>
        <v>3299.5761600000001</v>
      </c>
      <c r="S271" s="253">
        <f t="shared" ca="1" si="258"/>
        <v>3299.5761600000001</v>
      </c>
      <c r="T271" s="253">
        <f t="shared" ca="1" si="258"/>
        <v>3299.5761600000001</v>
      </c>
      <c r="U271" s="254">
        <f t="shared" ca="1" si="258"/>
        <v>6688.9583268257593</v>
      </c>
      <c r="V271" s="253">
        <f t="shared" ca="1" si="258"/>
        <v>3267.54144</v>
      </c>
      <c r="W271" s="253">
        <f t="shared" ca="1" si="258"/>
        <v>3267.54144</v>
      </c>
      <c r="X271" s="253">
        <f t="shared" ca="1" si="258"/>
        <v>3267.54144</v>
      </c>
      <c r="Y271" s="253">
        <f t="shared" ca="1" si="258"/>
        <v>3267.54144</v>
      </c>
      <c r="Z271" s="253">
        <f t="shared" ca="1" si="258"/>
        <v>3267.54144</v>
      </c>
      <c r="AA271" s="254">
        <f t="shared" ca="1" si="258"/>
        <v>27.460661392800002</v>
      </c>
      <c r="AB271" s="253">
        <f t="shared" ca="1" si="258"/>
        <v>16.01736</v>
      </c>
      <c r="AC271" s="253">
        <f t="shared" ca="1" si="259"/>
        <v>16.01736</v>
      </c>
      <c r="AD271" s="253">
        <f t="shared" ca="1" si="259"/>
        <v>16.01736</v>
      </c>
      <c r="AE271" s="253">
        <f t="shared" ca="1" si="259"/>
        <v>16.01736</v>
      </c>
      <c r="AF271" s="253">
        <f t="shared" ca="1" si="259"/>
        <v>16.01736</v>
      </c>
      <c r="AG271" s="254">
        <f t="shared" ca="1" si="259"/>
        <v>5358.2582062523197</v>
      </c>
      <c r="AH271" s="253">
        <f t="shared" ca="1" si="259"/>
        <v>2354.5519199999999</v>
      </c>
      <c r="AI271" s="253">
        <f t="shared" ca="1" si="259"/>
        <v>2354.5519199999999</v>
      </c>
      <c r="AJ271" s="253">
        <f t="shared" ca="1" si="259"/>
        <v>2354.5519199999999</v>
      </c>
      <c r="AK271" s="253">
        <f t="shared" ca="1" si="259"/>
        <v>2354.5519199999999</v>
      </c>
      <c r="AL271" s="253">
        <f t="shared" ca="1" si="259"/>
        <v>2354.5519199999999</v>
      </c>
      <c r="AM271" s="254">
        <f t="shared" ca="1" si="260"/>
        <v>6179.9223525247999</v>
      </c>
      <c r="AN271" s="253">
        <f t="shared" ca="1" si="260"/>
        <v>2178.36096</v>
      </c>
      <c r="AO271" s="253">
        <f t="shared" ca="1" si="260"/>
        <v>2178.36096</v>
      </c>
      <c r="AP271" s="253">
        <f t="shared" ca="1" si="260"/>
        <v>2178.36096</v>
      </c>
      <c r="AQ271" s="253">
        <f t="shared" ca="1" si="260"/>
        <v>2178.36096</v>
      </c>
      <c r="AR271" s="253">
        <f t="shared" ca="1" si="260"/>
        <v>2178.36096</v>
      </c>
      <c r="AS271" s="254">
        <f t="shared" ca="1" si="260"/>
        <v>42630.761738670408</v>
      </c>
      <c r="AT271" s="253">
        <f t="shared" ca="1" si="260"/>
        <v>14992.248960000001</v>
      </c>
      <c r="AU271" s="253">
        <f t="shared" ca="1" si="260"/>
        <v>14992.248960000001</v>
      </c>
      <c r="AV271" s="253">
        <f t="shared" ca="1" si="260"/>
        <v>14992.248960000001</v>
      </c>
      <c r="AW271" s="253">
        <f t="shared" ca="1" si="260"/>
        <v>14992.248960000001</v>
      </c>
      <c r="AX271" s="255">
        <f t="shared" ca="1" si="260"/>
        <v>14992.248960000001</v>
      </c>
      <c r="AY271" s="1"/>
      <c r="AZ271" s="1355"/>
      <c r="BA271" s="1"/>
      <c r="BB271" s="437" t="s">
        <v>619</v>
      </c>
      <c r="BC271" s="438" t="s">
        <v>684</v>
      </c>
      <c r="BD271" s="398">
        <f t="shared" ref="BD271:BF271" si="269">BD256/BD$255</f>
        <v>0.20446460758879559</v>
      </c>
      <c r="BE271" s="399">
        <f t="shared" si="269"/>
        <v>0.20446460758879559</v>
      </c>
      <c r="BF271" s="399">
        <f t="shared" si="269"/>
        <v>0.20446460758879559</v>
      </c>
      <c r="BG271" s="399">
        <f t="shared" ref="BG271:BX271" si="270">BG256/BG$255</f>
        <v>0.20446460758879559</v>
      </c>
      <c r="BH271" s="399">
        <f t="shared" si="270"/>
        <v>0.20446460758879559</v>
      </c>
      <c r="BI271" s="399">
        <f t="shared" si="270"/>
        <v>0.20446460758879559</v>
      </c>
      <c r="BJ271" s="399">
        <f t="shared" si="270"/>
        <v>1.0133700314245166</v>
      </c>
      <c r="BK271" s="399">
        <f t="shared" si="270"/>
        <v>0.20446460758879559</v>
      </c>
      <c r="BL271" s="399">
        <f t="shared" si="270"/>
        <v>0.20446460758879559</v>
      </c>
      <c r="BM271" s="399">
        <f t="shared" si="270"/>
        <v>0.20446460758879559</v>
      </c>
      <c r="BN271" s="399">
        <f t="shared" si="270"/>
        <v>0.20446460758879559</v>
      </c>
      <c r="BO271" s="399">
        <f t="shared" si="270"/>
        <v>0.20446460758879559</v>
      </c>
      <c r="BP271" s="399">
        <f t="shared" si="270"/>
        <v>0.20446460758879559</v>
      </c>
      <c r="BQ271" s="399">
        <f t="shared" si="270"/>
        <v>0.20446460758879559</v>
      </c>
      <c r="BR271" s="399">
        <f t="shared" si="270"/>
        <v>0.20446460758879559</v>
      </c>
      <c r="BS271" s="399">
        <f t="shared" si="270"/>
        <v>0.20446460758879559</v>
      </c>
      <c r="BT271" s="399">
        <f t="shared" si="270"/>
        <v>0.20446460758879559</v>
      </c>
      <c r="BU271" s="399">
        <f t="shared" si="270"/>
        <v>0.20446460758879559</v>
      </c>
      <c r="BV271" s="400">
        <f t="shared" si="270"/>
        <v>0.20446460758879559</v>
      </c>
      <c r="BW271" s="401">
        <f t="shared" si="270"/>
        <v>1.0133700314245166</v>
      </c>
      <c r="BX271" s="402">
        <f t="shared" si="270"/>
        <v>1.0133700314245166</v>
      </c>
    </row>
    <row r="272" spans="2:81" x14ac:dyDescent="0.25">
      <c r="B272" s="1343"/>
      <c r="D272" s="1355"/>
      <c r="F272" s="265"/>
      <c r="G272" s="209" t="s">
        <v>112</v>
      </c>
      <c r="H272" s="209"/>
      <c r="I272" s="253">
        <f t="shared" ca="1" si="257"/>
        <v>3262.9692263759002</v>
      </c>
      <c r="J272" s="253">
        <f t="shared" ca="1" si="257"/>
        <v>112.12152</v>
      </c>
      <c r="K272" s="253">
        <f t="shared" ca="1" si="257"/>
        <v>112.12152</v>
      </c>
      <c r="L272" s="266">
        <f t="shared" ca="1" si="257"/>
        <v>112.12152</v>
      </c>
      <c r="M272" s="266">
        <f t="shared" ca="1" si="257"/>
        <v>112.12152</v>
      </c>
      <c r="N272" s="266">
        <f t="shared" ca="1" si="257"/>
        <v>112.12152</v>
      </c>
      <c r="O272" s="254">
        <f t="shared" ca="1" si="257"/>
        <v>47052.145242282015</v>
      </c>
      <c r="P272" s="253">
        <f t="shared" ca="1" si="257"/>
        <v>3299.5761600000001</v>
      </c>
      <c r="Q272" s="253">
        <f t="shared" ca="1" si="257"/>
        <v>3299.5761600000001</v>
      </c>
      <c r="R272" s="253">
        <f t="shared" ca="1" si="257"/>
        <v>3299.5761600000001</v>
      </c>
      <c r="S272" s="253">
        <f t="shared" ca="1" si="258"/>
        <v>3299.5761600000001</v>
      </c>
      <c r="T272" s="253">
        <f t="shared" ca="1" si="258"/>
        <v>3299.5761600000001</v>
      </c>
      <c r="U272" s="254">
        <f t="shared" ca="1" si="258"/>
        <v>13194.7542270126</v>
      </c>
      <c r="V272" s="253">
        <f t="shared" ca="1" si="258"/>
        <v>3267.54144</v>
      </c>
      <c r="W272" s="253">
        <f t="shared" ca="1" si="258"/>
        <v>3267.54144</v>
      </c>
      <c r="X272" s="253">
        <f t="shared" ca="1" si="258"/>
        <v>3267.54144</v>
      </c>
      <c r="Y272" s="253">
        <f t="shared" ca="1" si="258"/>
        <v>3267.54144</v>
      </c>
      <c r="Z272" s="253">
        <f t="shared" ca="1" si="258"/>
        <v>3267.54144</v>
      </c>
      <c r="AA272" s="254">
        <f t="shared" ca="1" si="258"/>
        <v>48.292092103000002</v>
      </c>
      <c r="AB272" s="253">
        <f t="shared" ca="1" si="258"/>
        <v>16.01736</v>
      </c>
      <c r="AC272" s="253">
        <f t="shared" ca="1" si="259"/>
        <v>16.01736</v>
      </c>
      <c r="AD272" s="253">
        <f t="shared" ca="1" si="259"/>
        <v>16.01736</v>
      </c>
      <c r="AE272" s="253">
        <f t="shared" ca="1" si="259"/>
        <v>16.01736</v>
      </c>
      <c r="AF272" s="253">
        <f t="shared" ca="1" si="259"/>
        <v>16.01736</v>
      </c>
      <c r="AG272" s="254">
        <f t="shared" ca="1" si="259"/>
        <v>10986.9555310207</v>
      </c>
      <c r="AH272" s="253">
        <f t="shared" ca="1" si="259"/>
        <v>2354.5519199999999</v>
      </c>
      <c r="AI272" s="253">
        <f t="shared" ca="1" si="259"/>
        <v>2354.5519199999999</v>
      </c>
      <c r="AJ272" s="253">
        <f t="shared" ca="1" si="259"/>
        <v>2354.5519199999999</v>
      </c>
      <c r="AK272" s="253">
        <f t="shared" ca="1" si="259"/>
        <v>2354.5519199999999</v>
      </c>
      <c r="AL272" s="253">
        <f t="shared" ca="1" si="259"/>
        <v>2354.5519199999999</v>
      </c>
      <c r="AM272" s="254">
        <f t="shared" ca="1" si="260"/>
        <v>13449.451485523001</v>
      </c>
      <c r="AN272" s="253">
        <f t="shared" ca="1" si="260"/>
        <v>2178.36096</v>
      </c>
      <c r="AO272" s="253">
        <f t="shared" ca="1" si="260"/>
        <v>2178.36096</v>
      </c>
      <c r="AP272" s="253">
        <f t="shared" ca="1" si="260"/>
        <v>2178.36096</v>
      </c>
      <c r="AQ272" s="253">
        <f t="shared" ca="1" si="260"/>
        <v>2178.36096</v>
      </c>
      <c r="AR272" s="253">
        <f t="shared" ca="1" si="260"/>
        <v>2178.36096</v>
      </c>
      <c r="AS272" s="254">
        <f t="shared" ca="1" si="260"/>
        <v>93511.282325778971</v>
      </c>
      <c r="AT272" s="253">
        <f t="shared" ca="1" si="260"/>
        <v>14992.248960000001</v>
      </c>
      <c r="AU272" s="253">
        <f t="shared" ca="1" si="260"/>
        <v>14992.248960000001</v>
      </c>
      <c r="AV272" s="253">
        <f t="shared" ca="1" si="260"/>
        <v>14992.248960000001</v>
      </c>
      <c r="AW272" s="253">
        <f t="shared" ca="1" si="260"/>
        <v>14992.248960000001</v>
      </c>
      <c r="AX272" s="255">
        <f t="shared" ca="1" si="260"/>
        <v>14992.248960000001</v>
      </c>
      <c r="AY272" s="1"/>
      <c r="AZ272" s="1355"/>
      <c r="BA272" s="1"/>
      <c r="BB272" s="437" t="s">
        <v>701</v>
      </c>
      <c r="BC272" s="439" t="s">
        <v>684</v>
      </c>
      <c r="BD272" s="404">
        <f t="shared" ref="BD272:BF272" si="271">BD257/BD$255</f>
        <v>0</v>
      </c>
      <c r="BE272" s="405">
        <f t="shared" si="271"/>
        <v>0</v>
      </c>
      <c r="BF272" s="405">
        <f t="shared" si="271"/>
        <v>0</v>
      </c>
      <c r="BG272" s="405">
        <f t="shared" ref="BG272:BX272" si="272">BG257/BG$255</f>
        <v>0</v>
      </c>
      <c r="BH272" s="405">
        <f t="shared" si="272"/>
        <v>0</v>
      </c>
      <c r="BI272" s="405">
        <f t="shared" si="272"/>
        <v>0</v>
      </c>
      <c r="BJ272" s="405">
        <f t="shared" si="272"/>
        <v>0</v>
      </c>
      <c r="BK272" s="405">
        <f t="shared" si="272"/>
        <v>0</v>
      </c>
      <c r="BL272" s="405">
        <f t="shared" si="272"/>
        <v>0</v>
      </c>
      <c r="BM272" s="405">
        <f t="shared" si="272"/>
        <v>0</v>
      </c>
      <c r="BN272" s="405">
        <f t="shared" si="272"/>
        <v>0</v>
      </c>
      <c r="BO272" s="405">
        <f t="shared" si="272"/>
        <v>0</v>
      </c>
      <c r="BP272" s="405">
        <f t="shared" si="272"/>
        <v>0</v>
      </c>
      <c r="BQ272" s="405">
        <f t="shared" si="272"/>
        <v>0</v>
      </c>
      <c r="BR272" s="405">
        <f t="shared" si="272"/>
        <v>0</v>
      </c>
      <c r="BS272" s="405">
        <f t="shared" si="272"/>
        <v>0</v>
      </c>
      <c r="BT272" s="405">
        <f t="shared" si="272"/>
        <v>0</v>
      </c>
      <c r="BU272" s="405">
        <f t="shared" si="272"/>
        <v>0</v>
      </c>
      <c r="BV272" s="406">
        <f t="shared" si="272"/>
        <v>0</v>
      </c>
      <c r="BW272" s="407">
        <f t="shared" si="272"/>
        <v>0</v>
      </c>
      <c r="BX272" s="408">
        <f t="shared" si="272"/>
        <v>0</v>
      </c>
    </row>
    <row r="273" spans="2:76" x14ac:dyDescent="0.25">
      <c r="B273" s="1343"/>
      <c r="D273" s="1355"/>
      <c r="F273" s="265"/>
      <c r="G273" s="209" t="s">
        <v>110</v>
      </c>
      <c r="H273" s="209"/>
      <c r="I273" s="253">
        <f t="shared" ca="1" si="257"/>
        <v>1220.60331435184</v>
      </c>
      <c r="J273" s="253">
        <f t="shared" ca="1" si="257"/>
        <v>112.12152</v>
      </c>
      <c r="K273" s="253">
        <f t="shared" ca="1" si="257"/>
        <v>112.12152</v>
      </c>
      <c r="L273" s="266">
        <f t="shared" ca="1" si="257"/>
        <v>112.12152</v>
      </c>
      <c r="M273" s="266">
        <f t="shared" ca="1" si="257"/>
        <v>112.12152</v>
      </c>
      <c r="N273" s="266">
        <f t="shared" ca="1" si="257"/>
        <v>112.12152</v>
      </c>
      <c r="O273" s="254">
        <f t="shared" ca="1" si="257"/>
        <v>18604.853843043198</v>
      </c>
      <c r="P273" s="253">
        <f t="shared" ca="1" si="257"/>
        <v>3299.5761600000001</v>
      </c>
      <c r="Q273" s="253">
        <f t="shared" ca="1" si="257"/>
        <v>3299.5761600000001</v>
      </c>
      <c r="R273" s="253">
        <f t="shared" ca="1" si="257"/>
        <v>3299.5761600000001</v>
      </c>
      <c r="S273" s="253">
        <f t="shared" ca="1" si="258"/>
        <v>3299.5761600000001</v>
      </c>
      <c r="T273" s="253">
        <f t="shared" ca="1" si="258"/>
        <v>3299.5761600000001</v>
      </c>
      <c r="U273" s="254">
        <f t="shared" ca="1" si="258"/>
        <v>6688.9583268257593</v>
      </c>
      <c r="V273" s="253">
        <f t="shared" ca="1" si="258"/>
        <v>3267.54144</v>
      </c>
      <c r="W273" s="253">
        <f t="shared" ca="1" si="258"/>
        <v>3267.54144</v>
      </c>
      <c r="X273" s="253">
        <f t="shared" ca="1" si="258"/>
        <v>3267.54144</v>
      </c>
      <c r="Y273" s="253">
        <f t="shared" ca="1" si="258"/>
        <v>3267.54144</v>
      </c>
      <c r="Z273" s="253">
        <f t="shared" ca="1" si="258"/>
        <v>3267.54144</v>
      </c>
      <c r="AA273" s="254">
        <f t="shared" ca="1" si="258"/>
        <v>27.460661392800002</v>
      </c>
      <c r="AB273" s="253">
        <f t="shared" ca="1" si="258"/>
        <v>16.01736</v>
      </c>
      <c r="AC273" s="253">
        <f t="shared" ca="1" si="259"/>
        <v>16.01736</v>
      </c>
      <c r="AD273" s="253">
        <f t="shared" ca="1" si="259"/>
        <v>16.01736</v>
      </c>
      <c r="AE273" s="253">
        <f t="shared" ca="1" si="259"/>
        <v>16.01736</v>
      </c>
      <c r="AF273" s="253">
        <f t="shared" ca="1" si="259"/>
        <v>16.01736</v>
      </c>
      <c r="AG273" s="254">
        <f t="shared" ca="1" si="259"/>
        <v>5358.2582062523197</v>
      </c>
      <c r="AH273" s="253">
        <f t="shared" ca="1" si="259"/>
        <v>2354.5519199999999</v>
      </c>
      <c r="AI273" s="253">
        <f t="shared" ca="1" si="259"/>
        <v>2354.5519199999999</v>
      </c>
      <c r="AJ273" s="253">
        <f t="shared" ca="1" si="259"/>
        <v>2354.5519199999999</v>
      </c>
      <c r="AK273" s="253">
        <f t="shared" ca="1" si="259"/>
        <v>2354.5519199999999</v>
      </c>
      <c r="AL273" s="253">
        <f t="shared" ca="1" si="259"/>
        <v>2354.5519199999999</v>
      </c>
      <c r="AM273" s="254">
        <f t="shared" ca="1" si="260"/>
        <v>6179.9223525247999</v>
      </c>
      <c r="AN273" s="253">
        <f t="shared" ca="1" si="260"/>
        <v>2178.36096</v>
      </c>
      <c r="AO273" s="253">
        <f t="shared" ca="1" si="260"/>
        <v>2178.36096</v>
      </c>
      <c r="AP273" s="253">
        <f t="shared" ca="1" si="260"/>
        <v>2178.36096</v>
      </c>
      <c r="AQ273" s="253">
        <f t="shared" ca="1" si="260"/>
        <v>2178.36096</v>
      </c>
      <c r="AR273" s="253">
        <f t="shared" ca="1" si="260"/>
        <v>2178.36096</v>
      </c>
      <c r="AS273" s="254">
        <f t="shared" ca="1" si="260"/>
        <v>42630.761738670408</v>
      </c>
      <c r="AT273" s="253">
        <f t="shared" ca="1" si="260"/>
        <v>14992.248960000001</v>
      </c>
      <c r="AU273" s="253">
        <f t="shared" ca="1" si="260"/>
        <v>14992.248960000001</v>
      </c>
      <c r="AV273" s="253">
        <f t="shared" ca="1" si="260"/>
        <v>14992.248960000001</v>
      </c>
      <c r="AW273" s="253">
        <f t="shared" ca="1" si="260"/>
        <v>14992.248960000001</v>
      </c>
      <c r="AX273" s="255">
        <f t="shared" ca="1" si="260"/>
        <v>14992.248960000001</v>
      </c>
      <c r="AY273" s="1"/>
      <c r="AZ273" s="1356"/>
      <c r="BA273" s="1"/>
      <c r="BB273" s="440" t="s">
        <v>620</v>
      </c>
      <c r="BC273" s="441" t="s">
        <v>684</v>
      </c>
      <c r="BD273" s="412">
        <f t="shared" ref="BD273:BF273" si="273">BD258/BD$255</f>
        <v>1.5665743221996231</v>
      </c>
      <c r="BE273" s="413">
        <f t="shared" si="273"/>
        <v>1.5665743221996231</v>
      </c>
      <c r="BF273" s="413">
        <f t="shared" si="273"/>
        <v>1.5665743221996231</v>
      </c>
      <c r="BG273" s="413">
        <f t="shared" ref="BG273:BX273" si="274">BG258/BG$255</f>
        <v>1.5665743221996231</v>
      </c>
      <c r="BH273" s="413">
        <f t="shared" si="274"/>
        <v>1.5665743221996231</v>
      </c>
      <c r="BI273" s="413">
        <f t="shared" si="274"/>
        <v>1.5665743221996231</v>
      </c>
      <c r="BJ273" s="413">
        <f t="shared" si="274"/>
        <v>1.5665743221996231</v>
      </c>
      <c r="BK273" s="413">
        <f t="shared" si="274"/>
        <v>1.5665743221996231</v>
      </c>
      <c r="BL273" s="413">
        <f t="shared" si="274"/>
        <v>1.5665743221996231</v>
      </c>
      <c r="BM273" s="413">
        <f t="shared" si="274"/>
        <v>1.5665743221996231</v>
      </c>
      <c r="BN273" s="413">
        <f t="shared" si="274"/>
        <v>1.5665743221996231</v>
      </c>
      <c r="BO273" s="413">
        <f t="shared" si="274"/>
        <v>1.5665743221996231</v>
      </c>
      <c r="BP273" s="413">
        <f t="shared" si="274"/>
        <v>1.5665743221996231</v>
      </c>
      <c r="BQ273" s="413">
        <f t="shared" si="274"/>
        <v>1.5665743221996231</v>
      </c>
      <c r="BR273" s="413">
        <f t="shared" si="274"/>
        <v>1.5665743221996231</v>
      </c>
      <c r="BS273" s="413">
        <f t="shared" si="274"/>
        <v>1.5665743221996231</v>
      </c>
      <c r="BT273" s="413">
        <f t="shared" si="274"/>
        <v>1.5665743221996231</v>
      </c>
      <c r="BU273" s="413">
        <f t="shared" si="274"/>
        <v>1.5665743221996231</v>
      </c>
      <c r="BV273" s="414">
        <f t="shared" si="274"/>
        <v>1.5665743221996231</v>
      </c>
      <c r="BW273" s="415">
        <f t="shared" si="274"/>
        <v>1.5665743221996231</v>
      </c>
      <c r="BX273" s="416">
        <f t="shared" si="274"/>
        <v>1.5665743221996233</v>
      </c>
    </row>
    <row r="274" spans="2:76" x14ac:dyDescent="0.25">
      <c r="B274" s="1343"/>
      <c r="D274" s="1355"/>
      <c r="F274" s="265"/>
      <c r="G274" s="209" t="s">
        <v>100</v>
      </c>
      <c r="H274" s="209"/>
      <c r="I274" s="253">
        <f t="shared" ca="1" si="257"/>
        <v>1436.4326468678</v>
      </c>
      <c r="J274" s="253">
        <f t="shared" ca="1" si="257"/>
        <v>112.12152</v>
      </c>
      <c r="K274" s="253">
        <f t="shared" ca="1" si="257"/>
        <v>112.12152</v>
      </c>
      <c r="L274" s="266">
        <f t="shared" ca="1" si="257"/>
        <v>112.12152</v>
      </c>
      <c r="M274" s="266">
        <f t="shared" ca="1" si="257"/>
        <v>112.12152</v>
      </c>
      <c r="N274" s="266">
        <f t="shared" ca="1" si="257"/>
        <v>112.12152</v>
      </c>
      <c r="O274" s="254">
        <f t="shared" ca="1" si="257"/>
        <v>21300.226581243998</v>
      </c>
      <c r="P274" s="253">
        <f t="shared" ca="1" si="257"/>
        <v>3299.5761600000001</v>
      </c>
      <c r="Q274" s="253">
        <f t="shared" ca="1" si="257"/>
        <v>3299.5761600000001</v>
      </c>
      <c r="R274" s="253">
        <f t="shared" ca="1" si="257"/>
        <v>3299.5761600000001</v>
      </c>
      <c r="S274" s="253">
        <f t="shared" ca="1" si="258"/>
        <v>3299.5761600000001</v>
      </c>
      <c r="T274" s="253">
        <f t="shared" ca="1" si="258"/>
        <v>3299.5761600000001</v>
      </c>
      <c r="U274" s="254">
        <f t="shared" ca="1" si="258"/>
        <v>7914.0476121492011</v>
      </c>
      <c r="V274" s="253">
        <f t="shared" ca="1" si="258"/>
        <v>3267.54144</v>
      </c>
      <c r="W274" s="253">
        <f t="shared" ca="1" si="258"/>
        <v>3267.54144</v>
      </c>
      <c r="X274" s="253">
        <f t="shared" ca="1" si="258"/>
        <v>3267.54144</v>
      </c>
      <c r="Y274" s="253">
        <f t="shared" ca="1" si="258"/>
        <v>3267.54144</v>
      </c>
      <c r="Z274" s="253">
        <f t="shared" ca="1" si="258"/>
        <v>3267.54144</v>
      </c>
      <c r="AA274" s="254">
        <f t="shared" ca="1" si="258"/>
        <v>33.092446226</v>
      </c>
      <c r="AB274" s="253">
        <f t="shared" ca="1" si="258"/>
        <v>16.01736</v>
      </c>
      <c r="AC274" s="253">
        <f t="shared" ca="1" si="259"/>
        <v>16.01736</v>
      </c>
      <c r="AD274" s="253">
        <f t="shared" ca="1" si="259"/>
        <v>16.01736</v>
      </c>
      <c r="AE274" s="253">
        <f t="shared" ca="1" si="259"/>
        <v>16.01736</v>
      </c>
      <c r="AF274" s="253">
        <f t="shared" ca="1" si="259"/>
        <v>16.01736</v>
      </c>
      <c r="AG274" s="254">
        <f t="shared" ca="1" si="259"/>
        <v>6319.6631405094004</v>
      </c>
      <c r="AH274" s="253">
        <f t="shared" ca="1" si="259"/>
        <v>2354.5519199999999</v>
      </c>
      <c r="AI274" s="253">
        <f t="shared" ca="1" si="259"/>
        <v>2354.5519199999999</v>
      </c>
      <c r="AJ274" s="253">
        <f t="shared" ca="1" si="259"/>
        <v>2354.5519199999999</v>
      </c>
      <c r="AK274" s="253">
        <f t="shared" ca="1" si="259"/>
        <v>2354.5519199999999</v>
      </c>
      <c r="AL274" s="253">
        <f t="shared" ca="1" si="259"/>
        <v>2354.5519199999999</v>
      </c>
      <c r="AM274" s="254">
        <f t="shared" ca="1" si="260"/>
        <v>9115.036595566</v>
      </c>
      <c r="AN274" s="253">
        <f t="shared" ca="1" si="260"/>
        <v>2178.36096</v>
      </c>
      <c r="AO274" s="253">
        <f t="shared" ca="1" si="260"/>
        <v>2178.36096</v>
      </c>
      <c r="AP274" s="253">
        <f t="shared" ca="1" si="260"/>
        <v>2178.36096</v>
      </c>
      <c r="AQ274" s="253">
        <f t="shared" ca="1" si="260"/>
        <v>2178.36096</v>
      </c>
      <c r="AR274" s="253">
        <f t="shared" ca="1" si="260"/>
        <v>2178.36096</v>
      </c>
      <c r="AS274" s="254">
        <f t="shared" ca="1" si="260"/>
        <v>52060.293065517995</v>
      </c>
      <c r="AT274" s="253">
        <f t="shared" ca="1" si="260"/>
        <v>14992.248960000001</v>
      </c>
      <c r="AU274" s="253">
        <f t="shared" ca="1" si="260"/>
        <v>14992.248960000001</v>
      </c>
      <c r="AV274" s="253">
        <f t="shared" ca="1" si="260"/>
        <v>14992.248960000001</v>
      </c>
      <c r="AW274" s="253">
        <f t="shared" ca="1" si="260"/>
        <v>14992.248960000001</v>
      </c>
      <c r="AX274" s="255">
        <f t="shared" ca="1" si="260"/>
        <v>14992.248960000001</v>
      </c>
      <c r="AY274" s="1"/>
      <c r="AZ274" s="1"/>
      <c r="BA274" s="1"/>
      <c r="BB274" s="1"/>
      <c r="BC274" s="600" t="s">
        <v>761</v>
      </c>
      <c r="BD274" s="1"/>
      <c r="BE274" s="1"/>
      <c r="BF274" s="1"/>
    </row>
    <row r="275" spans="2:76" x14ac:dyDescent="0.25">
      <c r="B275" s="1343"/>
      <c r="D275" s="1355"/>
      <c r="F275" s="265"/>
      <c r="G275" s="256" t="s">
        <v>101</v>
      </c>
      <c r="H275" s="209"/>
      <c r="I275" s="257">
        <f t="shared" ca="1" si="257"/>
        <v>1861.8585081470001</v>
      </c>
      <c r="J275" s="257">
        <f t="shared" ca="1" si="257"/>
        <v>112.12152</v>
      </c>
      <c r="K275" s="257">
        <f t="shared" ca="1" si="257"/>
        <v>112.12152</v>
      </c>
      <c r="L275" s="267">
        <f t="shared" ca="1" si="257"/>
        <v>112.12152</v>
      </c>
      <c r="M275" s="267">
        <f t="shared" ca="1" si="257"/>
        <v>112.12152</v>
      </c>
      <c r="N275" s="267">
        <f t="shared" ca="1" si="257"/>
        <v>112.12152</v>
      </c>
      <c r="O275" s="258">
        <f t="shared" ca="1" si="257"/>
        <v>27045.50390706</v>
      </c>
      <c r="P275" s="257">
        <f t="shared" ca="1" si="257"/>
        <v>3299.5761600000001</v>
      </c>
      <c r="Q275" s="257">
        <f t="shared" ca="1" si="257"/>
        <v>3299.5761600000001</v>
      </c>
      <c r="R275" s="257">
        <f t="shared" ca="1" si="257"/>
        <v>3299.5761600000001</v>
      </c>
      <c r="S275" s="257">
        <f t="shared" ca="1" si="258"/>
        <v>3299.5761600000001</v>
      </c>
      <c r="T275" s="257">
        <f t="shared" ca="1" si="258"/>
        <v>3299.5761600000001</v>
      </c>
      <c r="U275" s="258">
        <f t="shared" ca="1" si="258"/>
        <v>9696.8470695579999</v>
      </c>
      <c r="V275" s="257">
        <f t="shared" ca="1" si="258"/>
        <v>3267.54144</v>
      </c>
      <c r="W275" s="257">
        <f t="shared" ca="1" si="258"/>
        <v>3267.54144</v>
      </c>
      <c r="X275" s="257">
        <f t="shared" ca="1" si="258"/>
        <v>3267.54144</v>
      </c>
      <c r="Y275" s="257">
        <f t="shared" ca="1" si="258"/>
        <v>3267.54144</v>
      </c>
      <c r="Z275" s="257">
        <f t="shared" ca="1" si="258"/>
        <v>3267.54144</v>
      </c>
      <c r="AA275" s="258">
        <f t="shared" ca="1" si="258"/>
        <v>39.868572589999999</v>
      </c>
      <c r="AB275" s="257">
        <f t="shared" ca="1" si="258"/>
        <v>16.01736</v>
      </c>
      <c r="AC275" s="257">
        <f t="shared" ca="1" si="259"/>
        <v>16.01736</v>
      </c>
      <c r="AD275" s="257">
        <f t="shared" ca="1" si="259"/>
        <v>16.01736</v>
      </c>
      <c r="AE275" s="257">
        <f t="shared" ca="1" si="259"/>
        <v>16.01736</v>
      </c>
      <c r="AF275" s="257">
        <f t="shared" ca="1" si="259"/>
        <v>16.01736</v>
      </c>
      <c r="AG275" s="258">
        <f t="shared" ca="1" si="259"/>
        <v>7775.4105737309992</v>
      </c>
      <c r="AH275" s="257">
        <f t="shared" ca="1" si="259"/>
        <v>2354.5519199999999</v>
      </c>
      <c r="AI275" s="257">
        <f t="shared" ca="1" si="259"/>
        <v>2354.5519199999999</v>
      </c>
      <c r="AJ275" s="257">
        <f t="shared" ca="1" si="259"/>
        <v>2354.5519199999999</v>
      </c>
      <c r="AK275" s="257">
        <f t="shared" ca="1" si="259"/>
        <v>2354.5519199999999</v>
      </c>
      <c r="AL275" s="257">
        <f t="shared" ca="1" si="259"/>
        <v>2354.5519199999999</v>
      </c>
      <c r="AM275" s="258">
        <f t="shared" ca="1" si="260"/>
        <v>12185.521463589999</v>
      </c>
      <c r="AN275" s="257">
        <f t="shared" ca="1" si="260"/>
        <v>2178.36096</v>
      </c>
      <c r="AO275" s="257">
        <f t="shared" ca="1" si="260"/>
        <v>2178.36096</v>
      </c>
      <c r="AP275" s="257">
        <f t="shared" ca="1" si="260"/>
        <v>2178.36096</v>
      </c>
      <c r="AQ275" s="257">
        <f t="shared" ca="1" si="260"/>
        <v>2178.36096</v>
      </c>
      <c r="AR275" s="257">
        <f t="shared" ca="1" si="260"/>
        <v>2178.36096</v>
      </c>
      <c r="AS275" s="258">
        <f t="shared" ca="1" si="260"/>
        <v>65590.909360069985</v>
      </c>
      <c r="AT275" s="257">
        <f t="shared" ca="1" si="260"/>
        <v>14992.248960000001</v>
      </c>
      <c r="AU275" s="257">
        <f t="shared" ca="1" si="260"/>
        <v>14992.248960000001</v>
      </c>
      <c r="AV275" s="257">
        <f t="shared" ca="1" si="260"/>
        <v>14992.248960000001</v>
      </c>
      <c r="AW275" s="257">
        <f t="shared" ca="1" si="260"/>
        <v>14992.248960000001</v>
      </c>
      <c r="AX275" s="259">
        <f t="shared" ca="1" si="260"/>
        <v>14992.248960000001</v>
      </c>
      <c r="AY275" s="1"/>
      <c r="AZ275" s="1"/>
      <c r="BA275" s="1"/>
    </row>
    <row r="276" spans="2:76" ht="15" customHeight="1" x14ac:dyDescent="0.25">
      <c r="B276" s="1343"/>
      <c r="D276" s="1355"/>
      <c r="F276" s="265"/>
      <c r="G276" s="209" t="s">
        <v>630</v>
      </c>
      <c r="H276" s="209"/>
      <c r="I276" s="253">
        <f t="shared" ca="1" si="257"/>
        <v>2104.7186841279604</v>
      </c>
      <c r="J276" s="253">
        <f t="shared" ca="1" si="257"/>
        <v>0</v>
      </c>
      <c r="K276" s="253">
        <f t="shared" ca="1" si="257"/>
        <v>0</v>
      </c>
      <c r="L276" s="266">
        <f t="shared" ca="1" si="257"/>
        <v>0</v>
      </c>
      <c r="M276" s="266">
        <f t="shared" ca="1" si="257"/>
        <v>0</v>
      </c>
      <c r="N276" s="266">
        <f t="shared" ca="1" si="257"/>
        <v>0</v>
      </c>
      <c r="O276" s="254">
        <f t="shared" ca="1" si="257"/>
        <v>28762.606691626803</v>
      </c>
      <c r="P276" s="253">
        <f t="shared" ca="1" si="257"/>
        <v>0</v>
      </c>
      <c r="Q276" s="253">
        <f t="shared" ca="1" si="257"/>
        <v>0</v>
      </c>
      <c r="R276" s="253">
        <f t="shared" ca="1" si="257"/>
        <v>0</v>
      </c>
      <c r="S276" s="253">
        <f t="shared" ca="1" si="258"/>
        <v>0</v>
      </c>
      <c r="T276" s="253">
        <f t="shared" ca="1" si="258"/>
        <v>0</v>
      </c>
      <c r="U276" s="254">
        <f t="shared" ca="1" si="258"/>
        <v>8499.2401744664421</v>
      </c>
      <c r="V276" s="253">
        <f t="shared" ca="1" si="258"/>
        <v>0</v>
      </c>
      <c r="W276" s="253">
        <f t="shared" ca="1" si="258"/>
        <v>0</v>
      </c>
      <c r="X276" s="253">
        <f t="shared" ca="1" si="258"/>
        <v>0</v>
      </c>
      <c r="Y276" s="253">
        <f t="shared" ca="1" si="258"/>
        <v>0</v>
      </c>
      <c r="Z276" s="253">
        <f t="shared" ca="1" si="258"/>
        <v>0</v>
      </c>
      <c r="AA276" s="254">
        <f t="shared" ca="1" si="258"/>
        <v>33.0673782438</v>
      </c>
      <c r="AB276" s="253">
        <f t="shared" ca="1" si="258"/>
        <v>0</v>
      </c>
      <c r="AC276" s="253">
        <f t="shared" ca="1" si="259"/>
        <v>0</v>
      </c>
      <c r="AD276" s="253">
        <f t="shared" ca="1" si="259"/>
        <v>0</v>
      </c>
      <c r="AE276" s="253">
        <f t="shared" ca="1" si="259"/>
        <v>0</v>
      </c>
      <c r="AF276" s="253">
        <f t="shared" ca="1" si="259"/>
        <v>0</v>
      </c>
      <c r="AG276" s="254">
        <f t="shared" ca="1" si="259"/>
        <v>7062.1738447426796</v>
      </c>
      <c r="AH276" s="253">
        <f t="shared" ca="1" si="259"/>
        <v>0</v>
      </c>
      <c r="AI276" s="253">
        <f t="shared" ca="1" si="259"/>
        <v>0</v>
      </c>
      <c r="AJ276" s="253">
        <f t="shared" ca="1" si="259"/>
        <v>0</v>
      </c>
      <c r="AK276" s="253">
        <f t="shared" ca="1" si="259"/>
        <v>0</v>
      </c>
      <c r="AL276" s="253">
        <f t="shared" ca="1" si="259"/>
        <v>0</v>
      </c>
      <c r="AM276" s="254">
        <f t="shared" ca="1" si="260"/>
        <v>13232.870234185199</v>
      </c>
      <c r="AN276" s="253">
        <f t="shared" ca="1" si="260"/>
        <v>0</v>
      </c>
      <c r="AO276" s="253">
        <f t="shared" ca="1" si="260"/>
        <v>0</v>
      </c>
      <c r="AP276" s="253">
        <f t="shared" ca="1" si="260"/>
        <v>0</v>
      </c>
      <c r="AQ276" s="253">
        <f t="shared" ca="1" si="260"/>
        <v>0</v>
      </c>
      <c r="AR276" s="253">
        <f t="shared" ca="1" si="260"/>
        <v>0</v>
      </c>
      <c r="AS276" s="254">
        <f t="shared" ca="1" si="260"/>
        <v>64893.117915255607</v>
      </c>
      <c r="AT276" s="253">
        <f t="shared" ca="1" si="260"/>
        <v>0</v>
      </c>
      <c r="AU276" s="253">
        <f t="shared" ca="1" si="260"/>
        <v>0</v>
      </c>
      <c r="AV276" s="253">
        <f t="shared" ca="1" si="260"/>
        <v>0</v>
      </c>
      <c r="AW276" s="253">
        <f t="shared" ca="1" si="260"/>
        <v>0</v>
      </c>
      <c r="AX276" s="255">
        <f t="shared" ca="1" si="260"/>
        <v>0</v>
      </c>
      <c r="AY276" s="1"/>
      <c r="AZ276" s="1367" t="s">
        <v>771</v>
      </c>
      <c r="BA276" s="1"/>
      <c r="BB276" s="1375" t="s">
        <v>687</v>
      </c>
      <c r="BC276" s="1376"/>
      <c r="BD276" s="374">
        <v>86.12</v>
      </c>
      <c r="BE276" s="584">
        <v>9.8740000000000006</v>
      </c>
      <c r="BF276" s="584">
        <v>78.709999999999994</v>
      </c>
      <c r="BG276" s="983">
        <v>22.45</v>
      </c>
      <c r="BH276" s="983">
        <v>0</v>
      </c>
      <c r="BI276" s="983">
        <v>72.34</v>
      </c>
      <c r="BJ276" s="983">
        <v>18.350000000000001</v>
      </c>
      <c r="BK276" s="983">
        <v>34.69</v>
      </c>
      <c r="BL276" s="983">
        <v>58.35</v>
      </c>
      <c r="BM276" s="983">
        <v>12.03</v>
      </c>
      <c r="BN276" s="983">
        <v>9.8740000000000006</v>
      </c>
      <c r="BO276" s="983">
        <v>63.64</v>
      </c>
      <c r="BP276" s="983">
        <v>94.81</v>
      </c>
      <c r="BQ276" s="983">
        <v>58.35</v>
      </c>
      <c r="BR276" s="983">
        <v>22.45</v>
      </c>
      <c r="BS276" s="983">
        <v>61.88</v>
      </c>
      <c r="BT276" s="983">
        <v>22.45</v>
      </c>
      <c r="BU276" s="983">
        <v>58.35</v>
      </c>
      <c r="BV276" s="983">
        <v>88.87</v>
      </c>
      <c r="BW276" s="983">
        <v>77.47</v>
      </c>
      <c r="BX276" s="327">
        <v>131.04</v>
      </c>
    </row>
    <row r="277" spans="2:76" x14ac:dyDescent="0.25">
      <c r="B277" s="1343"/>
      <c r="D277" s="1355"/>
      <c r="F277" s="268"/>
      <c r="G277" s="211" t="s">
        <v>631</v>
      </c>
      <c r="H277" s="209"/>
      <c r="I277" s="260">
        <f t="shared" ca="1" si="257"/>
        <v>2095.97164584851</v>
      </c>
      <c r="J277" s="260">
        <f t="shared" ca="1" si="257"/>
        <v>0</v>
      </c>
      <c r="K277" s="260">
        <f t="shared" ca="1" si="257"/>
        <v>0</v>
      </c>
      <c r="L277" s="269">
        <f t="shared" ca="1" si="257"/>
        <v>0</v>
      </c>
      <c r="M277" s="269">
        <f t="shared" ca="1" si="257"/>
        <v>0</v>
      </c>
      <c r="N277" s="269">
        <f t="shared" ca="1" si="257"/>
        <v>0</v>
      </c>
      <c r="O277" s="261">
        <f t="shared" ca="1" si="257"/>
        <v>28504.685081149801</v>
      </c>
      <c r="P277" s="260">
        <f t="shared" ca="1" si="257"/>
        <v>0</v>
      </c>
      <c r="Q277" s="260">
        <f t="shared" ca="1" si="257"/>
        <v>0</v>
      </c>
      <c r="R277" s="260">
        <f t="shared" ca="1" si="257"/>
        <v>0</v>
      </c>
      <c r="S277" s="260">
        <f t="shared" ca="1" si="258"/>
        <v>0</v>
      </c>
      <c r="T277" s="260">
        <f t="shared" ca="1" si="258"/>
        <v>0</v>
      </c>
      <c r="U277" s="261">
        <f t="shared" ca="1" si="258"/>
        <v>8243.5306906041405</v>
      </c>
      <c r="V277" s="260">
        <f t="shared" ca="1" si="258"/>
        <v>0</v>
      </c>
      <c r="W277" s="260">
        <f t="shared" ca="1" si="258"/>
        <v>0</v>
      </c>
      <c r="X277" s="260">
        <f t="shared" ca="1" si="258"/>
        <v>0</v>
      </c>
      <c r="Y277" s="260">
        <f t="shared" ca="1" si="258"/>
        <v>0</v>
      </c>
      <c r="Z277" s="260">
        <f t="shared" ca="1" si="258"/>
        <v>0</v>
      </c>
      <c r="AA277" s="261">
        <f t="shared" ca="1" si="258"/>
        <v>31.813765216699998</v>
      </c>
      <c r="AB277" s="260">
        <f t="shared" ca="1" si="258"/>
        <v>0</v>
      </c>
      <c r="AC277" s="260">
        <f t="shared" ca="1" si="259"/>
        <v>0</v>
      </c>
      <c r="AD277" s="260">
        <f t="shared" ca="1" si="259"/>
        <v>0</v>
      </c>
      <c r="AE277" s="260">
        <f t="shared" ca="1" si="259"/>
        <v>0</v>
      </c>
      <c r="AF277" s="260">
        <f t="shared" ca="1" si="259"/>
        <v>0</v>
      </c>
      <c r="AG277" s="261">
        <f t="shared" ca="1" si="259"/>
        <v>6877.9258880432299</v>
      </c>
      <c r="AH277" s="260">
        <f t="shared" ca="1" si="259"/>
        <v>0</v>
      </c>
      <c r="AI277" s="260">
        <f t="shared" ca="1" si="259"/>
        <v>0</v>
      </c>
      <c r="AJ277" s="260">
        <f t="shared" ca="1" si="259"/>
        <v>0</v>
      </c>
      <c r="AK277" s="260">
        <f t="shared" ca="1" si="259"/>
        <v>0</v>
      </c>
      <c r="AL277" s="260">
        <f t="shared" ca="1" si="259"/>
        <v>0</v>
      </c>
      <c r="AM277" s="261">
        <f t="shared" ca="1" si="260"/>
        <v>13062.539612664699</v>
      </c>
      <c r="AN277" s="260">
        <f t="shared" ca="1" si="260"/>
        <v>0</v>
      </c>
      <c r="AO277" s="260">
        <f t="shared" ca="1" si="260"/>
        <v>0</v>
      </c>
      <c r="AP277" s="260">
        <f t="shared" ca="1" si="260"/>
        <v>0</v>
      </c>
      <c r="AQ277" s="260">
        <f t="shared" ca="1" si="260"/>
        <v>0</v>
      </c>
      <c r="AR277" s="260">
        <f t="shared" ca="1" si="260"/>
        <v>0</v>
      </c>
      <c r="AS277" s="261">
        <f t="shared" ca="1" si="260"/>
        <v>63720.271455063092</v>
      </c>
      <c r="AT277" s="260">
        <f t="shared" ca="1" si="260"/>
        <v>0</v>
      </c>
      <c r="AU277" s="260">
        <f t="shared" ca="1" si="260"/>
        <v>0</v>
      </c>
      <c r="AV277" s="260">
        <f t="shared" ca="1" si="260"/>
        <v>0</v>
      </c>
      <c r="AW277" s="260">
        <f t="shared" ca="1" si="260"/>
        <v>0</v>
      </c>
      <c r="AX277" s="262">
        <f t="shared" ca="1" si="260"/>
        <v>0</v>
      </c>
      <c r="AY277" s="1"/>
      <c r="AZ277" s="1368"/>
      <c r="BA277" s="1"/>
      <c r="BB277" s="1370" t="s">
        <v>688</v>
      </c>
      <c r="BC277" s="1371"/>
      <c r="BD277" s="904">
        <v>176</v>
      </c>
      <c r="BE277">
        <v>176</v>
      </c>
      <c r="BF277">
        <v>176</v>
      </c>
      <c r="BG277">
        <v>176</v>
      </c>
      <c r="BH277">
        <v>176</v>
      </c>
      <c r="BI277">
        <v>176</v>
      </c>
      <c r="BJ277">
        <v>0</v>
      </c>
      <c r="BK277">
        <v>176</v>
      </c>
      <c r="BL277">
        <v>176</v>
      </c>
      <c r="BM277">
        <v>176</v>
      </c>
      <c r="BN277">
        <v>176</v>
      </c>
      <c r="BO277">
        <v>176</v>
      </c>
      <c r="BP277">
        <v>176</v>
      </c>
      <c r="BQ277">
        <v>176</v>
      </c>
      <c r="BR277">
        <v>176</v>
      </c>
      <c r="BS277">
        <v>176</v>
      </c>
      <c r="BT277">
        <v>176</v>
      </c>
      <c r="BU277">
        <v>176</v>
      </c>
      <c r="BV277">
        <v>176</v>
      </c>
      <c r="BW277">
        <v>0</v>
      </c>
      <c r="BX277" s="847">
        <v>0</v>
      </c>
    </row>
    <row r="278" spans="2:76" x14ac:dyDescent="0.25">
      <c r="B278" s="1343"/>
      <c r="D278" s="1355"/>
      <c r="F278" s="263" t="s">
        <v>764</v>
      </c>
      <c r="G278" s="208" t="s">
        <v>91</v>
      </c>
      <c r="H278" s="209"/>
      <c r="I278" s="250">
        <f t="shared" ref="I278:R287" ca="1" si="275">SUMPRODUCT(OFFSET($I$449,0,MATCH(I$8,$I$433:$O$433,0)-1,3,1),OFFSET($T$449,0,MATCH($G278,$T$433:$AN$433,0)-1,3,1),OFFSET($I$494,0,MATCH(I$7,$I$493:$L$493,0)-1,3,1))</f>
        <v>503.55396800000005</v>
      </c>
      <c r="J278" s="250">
        <f t="shared" ca="1" si="275"/>
        <v>179.97072151815769</v>
      </c>
      <c r="K278" s="250">
        <f t="shared" ca="1" si="275"/>
        <v>179.97072151815769</v>
      </c>
      <c r="L278" s="250">
        <f t="shared" ca="1" si="275"/>
        <v>179.97072151815769</v>
      </c>
      <c r="M278" s="250">
        <f t="shared" ca="1" si="275"/>
        <v>503.55396800000005</v>
      </c>
      <c r="N278" s="250">
        <f t="shared" ca="1" si="275"/>
        <v>788.85471611053072</v>
      </c>
      <c r="O278" s="251">
        <f t="shared" ca="1" si="275"/>
        <v>6014.1270299999996</v>
      </c>
      <c r="P278" s="250">
        <f t="shared" ca="1" si="275"/>
        <v>1329.7824497739659</v>
      </c>
      <c r="Q278" s="250">
        <f t="shared" ca="1" si="275"/>
        <v>1329.7824497739659</v>
      </c>
      <c r="R278" s="250">
        <f t="shared" ca="1" si="275"/>
        <v>1329.7824497739659</v>
      </c>
      <c r="S278" s="250">
        <f t="shared" ref="S278:AB287" ca="1" si="276">SUMPRODUCT(OFFSET($I$449,0,MATCH(S$8,$I$433:$O$433,0)-1,3,1),OFFSET($T$449,0,MATCH($G278,$T$433:$AN$433,0)-1,3,1),OFFSET($I$494,0,MATCH(S$7,$I$493:$L$493,0)-1,3,1))</f>
        <v>6014.1270299999996</v>
      </c>
      <c r="T278" s="250">
        <f t="shared" ca="1" si="276"/>
        <v>9421.5769756446825</v>
      </c>
      <c r="U278" s="251">
        <f t="shared" ca="1" si="276"/>
        <v>167276.44709999999</v>
      </c>
      <c r="V278" s="250">
        <f t="shared" ca="1" si="276"/>
        <v>24589.713802416529</v>
      </c>
      <c r="W278" s="250">
        <f t="shared" ca="1" si="276"/>
        <v>24589.713802416529</v>
      </c>
      <c r="X278" s="250">
        <f t="shared" ca="1" si="276"/>
        <v>24589.713802416529</v>
      </c>
      <c r="Y278" s="250">
        <f t="shared" ca="1" si="276"/>
        <v>167276.44709999999</v>
      </c>
      <c r="Z278" s="250">
        <f t="shared" ca="1" si="276"/>
        <v>262050.98673564362</v>
      </c>
      <c r="AA278" s="251">
        <f t="shared" ca="1" si="276"/>
        <v>41.821384000000002</v>
      </c>
      <c r="AB278" s="250">
        <f t="shared" ca="1" si="276"/>
        <v>11.371441836978853</v>
      </c>
      <c r="AC278" s="250">
        <f t="shared" ref="AC278:AL287" ca="1" si="277">SUMPRODUCT(OFFSET($I$449,0,MATCH(AC$8,$I$433:$O$433,0)-1,3,1),OFFSET($T$449,0,MATCH($G278,$T$433:$AN$433,0)-1,3,1),OFFSET($I$494,0,MATCH(AC$7,$I$493:$L$493,0)-1,3,1))</f>
        <v>11.371441836978853</v>
      </c>
      <c r="AD278" s="250">
        <f t="shared" ca="1" si="277"/>
        <v>11.371441836978853</v>
      </c>
      <c r="AE278" s="250">
        <f t="shared" ca="1" si="277"/>
        <v>41.821384000000002</v>
      </c>
      <c r="AF278" s="250">
        <f t="shared" ca="1" si="277"/>
        <v>65.516306293250167</v>
      </c>
      <c r="AG278" s="251">
        <f t="shared" ca="1" si="277"/>
        <v>9391.2142199999998</v>
      </c>
      <c r="AH278" s="250">
        <f t="shared" ca="1" si="277"/>
        <v>2550.2922506398177</v>
      </c>
      <c r="AI278" s="250">
        <f t="shared" ca="1" si="277"/>
        <v>2550.2922506398177</v>
      </c>
      <c r="AJ278" s="250">
        <f t="shared" ca="1" si="277"/>
        <v>2550.2922506398177</v>
      </c>
      <c r="AK278" s="250">
        <f t="shared" ca="1" si="277"/>
        <v>9391.2142199999998</v>
      </c>
      <c r="AL278" s="250">
        <f t="shared" ca="1" si="277"/>
        <v>14712.035051327963</v>
      </c>
      <c r="AM278" s="251">
        <f t="shared" ref="AM278:AX287" ca="1" si="278">SUMPRODUCT(OFFSET($I$449,0,MATCH(AM$8,$I$433:$O$433,0)-1,3,1),OFFSET($T$449,0,MATCH($G278,$T$433:$AN$433,0)-1,3,1),OFFSET($I$494,0,MATCH(AM$7,$I$493:$L$493,0)-1,3,1))</f>
        <v>7570.8649800000003</v>
      </c>
      <c r="AN278" s="250">
        <f t="shared" ca="1" si="278"/>
        <v>2129.007404828526</v>
      </c>
      <c r="AO278" s="250">
        <f t="shared" ca="1" si="278"/>
        <v>2129.007404828526</v>
      </c>
      <c r="AP278" s="250">
        <f t="shared" ca="1" si="278"/>
        <v>2129.007404828526</v>
      </c>
      <c r="AQ278" s="250">
        <f t="shared" ca="1" si="278"/>
        <v>7570.8649800000003</v>
      </c>
      <c r="AR278" s="250">
        <f t="shared" ca="1" si="278"/>
        <v>11860.322674508363</v>
      </c>
      <c r="AS278" s="251">
        <f t="shared" ca="1" si="278"/>
        <v>424133.01460000011</v>
      </c>
      <c r="AT278" s="250">
        <f t="shared" ca="1" si="278"/>
        <v>81247.342689196783</v>
      </c>
      <c r="AU278" s="250">
        <f t="shared" ca="1" si="278"/>
        <v>81247.342689196783</v>
      </c>
      <c r="AV278" s="250">
        <f t="shared" ca="1" si="278"/>
        <v>81247.342689196783</v>
      </c>
      <c r="AW278" s="250">
        <f t="shared" ca="1" si="278"/>
        <v>424133.01460000011</v>
      </c>
      <c r="AX278" s="252">
        <f t="shared" ca="1" si="278"/>
        <v>664435.88986947795</v>
      </c>
      <c r="AY278" s="1"/>
      <c r="AZ278" s="1368"/>
      <c r="BA278" s="1"/>
      <c r="BB278" s="1370" t="s">
        <v>689</v>
      </c>
      <c r="BC278" s="1371"/>
      <c r="BD278" s="904">
        <v>2.2789999999999999</v>
      </c>
      <c r="BE278">
        <v>0.39290000000000003</v>
      </c>
      <c r="BF278">
        <v>2.0430000000000001</v>
      </c>
      <c r="BG278">
        <v>0.70709999999999995</v>
      </c>
      <c r="BH278">
        <v>0</v>
      </c>
      <c r="BI278">
        <v>2.121</v>
      </c>
      <c r="BJ278">
        <v>0.746</v>
      </c>
      <c r="BK278">
        <v>1.4930000000000001</v>
      </c>
      <c r="BL278">
        <v>1.571</v>
      </c>
      <c r="BM278">
        <v>0.33</v>
      </c>
      <c r="BN278">
        <v>0.39290000000000003</v>
      </c>
      <c r="BO278">
        <v>2.0430000000000001</v>
      </c>
      <c r="BP278">
        <v>2.593</v>
      </c>
      <c r="BQ278">
        <v>1.571</v>
      </c>
      <c r="BR278">
        <v>0.70709999999999995</v>
      </c>
      <c r="BS278">
        <v>1.964</v>
      </c>
      <c r="BT278">
        <v>0.70709999999999995</v>
      </c>
      <c r="BU278">
        <v>1.571</v>
      </c>
      <c r="BV278">
        <v>2.3570000000000002</v>
      </c>
      <c r="BW278">
        <v>3.1</v>
      </c>
      <c r="BX278" s="847">
        <v>3.11</v>
      </c>
    </row>
    <row r="279" spans="2:76" x14ac:dyDescent="0.25">
      <c r="B279" s="1343"/>
      <c r="D279" s="1355"/>
      <c r="F279" s="265"/>
      <c r="G279" s="209" t="s">
        <v>102</v>
      </c>
      <c r="H279" s="209"/>
      <c r="I279" s="253">
        <f t="shared" ca="1" si="275"/>
        <v>503.55396800000005</v>
      </c>
      <c r="J279" s="253">
        <f t="shared" ca="1" si="275"/>
        <v>179.97072151815769</v>
      </c>
      <c r="K279" s="253">
        <f t="shared" ca="1" si="275"/>
        <v>179.97072151815769</v>
      </c>
      <c r="L279" s="253">
        <f t="shared" ca="1" si="275"/>
        <v>179.97072151815769</v>
      </c>
      <c r="M279" s="253">
        <f t="shared" ca="1" si="275"/>
        <v>503.55396800000005</v>
      </c>
      <c r="N279" s="253">
        <f t="shared" ca="1" si="275"/>
        <v>788.85471611053072</v>
      </c>
      <c r="O279" s="254">
        <f t="shared" ca="1" si="275"/>
        <v>6014.1270299999996</v>
      </c>
      <c r="P279" s="253">
        <f t="shared" ca="1" si="275"/>
        <v>1329.7824497739659</v>
      </c>
      <c r="Q279" s="253">
        <f t="shared" ca="1" si="275"/>
        <v>1329.7824497739659</v>
      </c>
      <c r="R279" s="253">
        <f t="shared" ca="1" si="275"/>
        <v>1329.7824497739659</v>
      </c>
      <c r="S279" s="253">
        <f t="shared" ca="1" si="276"/>
        <v>6014.1270299999996</v>
      </c>
      <c r="T279" s="253">
        <f t="shared" ca="1" si="276"/>
        <v>9421.5769756446825</v>
      </c>
      <c r="U279" s="254">
        <f t="shared" ca="1" si="276"/>
        <v>167276.44709999999</v>
      </c>
      <c r="V279" s="253">
        <f t="shared" ca="1" si="276"/>
        <v>24589.713802416529</v>
      </c>
      <c r="W279" s="253">
        <f t="shared" ca="1" si="276"/>
        <v>24589.713802416529</v>
      </c>
      <c r="X279" s="253">
        <f t="shared" ca="1" si="276"/>
        <v>24589.713802416529</v>
      </c>
      <c r="Y279" s="253">
        <f t="shared" ca="1" si="276"/>
        <v>167276.44709999999</v>
      </c>
      <c r="Z279" s="253">
        <f t="shared" ca="1" si="276"/>
        <v>262050.98673564362</v>
      </c>
      <c r="AA279" s="254">
        <f t="shared" ca="1" si="276"/>
        <v>41.821384000000002</v>
      </c>
      <c r="AB279" s="253">
        <f t="shared" ca="1" si="276"/>
        <v>11.371441836978853</v>
      </c>
      <c r="AC279" s="253">
        <f t="shared" ca="1" si="277"/>
        <v>11.371441836978853</v>
      </c>
      <c r="AD279" s="253">
        <f t="shared" ca="1" si="277"/>
        <v>11.371441836978853</v>
      </c>
      <c r="AE279" s="253">
        <f t="shared" ca="1" si="277"/>
        <v>41.821384000000002</v>
      </c>
      <c r="AF279" s="253">
        <f t="shared" ca="1" si="277"/>
        <v>65.516306293250167</v>
      </c>
      <c r="AG279" s="254">
        <f t="shared" ca="1" si="277"/>
        <v>9391.2142199999998</v>
      </c>
      <c r="AH279" s="253">
        <f t="shared" ca="1" si="277"/>
        <v>2550.2922506398177</v>
      </c>
      <c r="AI279" s="253">
        <f t="shared" ca="1" si="277"/>
        <v>2550.2922506398177</v>
      </c>
      <c r="AJ279" s="253">
        <f t="shared" ca="1" si="277"/>
        <v>2550.2922506398177</v>
      </c>
      <c r="AK279" s="253">
        <f t="shared" ca="1" si="277"/>
        <v>9391.2142199999998</v>
      </c>
      <c r="AL279" s="253">
        <f t="shared" ca="1" si="277"/>
        <v>14712.035051327963</v>
      </c>
      <c r="AM279" s="254">
        <f t="shared" ca="1" si="278"/>
        <v>7570.8649800000003</v>
      </c>
      <c r="AN279" s="253">
        <f t="shared" ca="1" si="278"/>
        <v>2129.007404828526</v>
      </c>
      <c r="AO279" s="253">
        <f t="shared" ca="1" si="278"/>
        <v>2129.007404828526</v>
      </c>
      <c r="AP279" s="253">
        <f t="shared" ca="1" si="278"/>
        <v>2129.007404828526</v>
      </c>
      <c r="AQ279" s="253">
        <f t="shared" ca="1" si="278"/>
        <v>7570.8649800000003</v>
      </c>
      <c r="AR279" s="253">
        <f t="shared" ca="1" si="278"/>
        <v>11860.322674508363</v>
      </c>
      <c r="AS279" s="254">
        <f t="shared" ca="1" si="278"/>
        <v>424133.01460000011</v>
      </c>
      <c r="AT279" s="253">
        <f t="shared" ca="1" si="278"/>
        <v>81247.342689196783</v>
      </c>
      <c r="AU279" s="253">
        <f t="shared" ca="1" si="278"/>
        <v>81247.342689196783</v>
      </c>
      <c r="AV279" s="253">
        <f t="shared" ca="1" si="278"/>
        <v>81247.342689196783</v>
      </c>
      <c r="AW279" s="253">
        <f t="shared" ca="1" si="278"/>
        <v>424133.01460000011</v>
      </c>
      <c r="AX279" s="255">
        <f t="shared" ca="1" si="278"/>
        <v>664435.88986947795</v>
      </c>
      <c r="AY279" s="1"/>
      <c r="AZ279" s="1368"/>
      <c r="BA279" s="1"/>
      <c r="BB279" s="1370" t="s">
        <v>690</v>
      </c>
      <c r="BC279" s="1371"/>
      <c r="BD279" s="904">
        <v>0.74050000000000005</v>
      </c>
      <c r="BE279">
        <v>0.12770000000000001</v>
      </c>
      <c r="BF279">
        <v>0.66390000000000005</v>
      </c>
      <c r="BG279">
        <v>0.2298</v>
      </c>
      <c r="BH279">
        <v>0</v>
      </c>
      <c r="BI279">
        <v>0.6895</v>
      </c>
      <c r="BJ279">
        <v>0.24199999999999999</v>
      </c>
      <c r="BK279">
        <v>0.48520000000000002</v>
      </c>
      <c r="BL279">
        <v>0.51070000000000004</v>
      </c>
      <c r="BM279">
        <v>0.1072</v>
      </c>
      <c r="BN279">
        <v>0.12770000000000001</v>
      </c>
      <c r="BO279">
        <v>0.66390000000000005</v>
      </c>
      <c r="BP279">
        <v>0.8427</v>
      </c>
      <c r="BQ279">
        <v>0.51070000000000004</v>
      </c>
      <c r="BR279">
        <v>0.2298</v>
      </c>
      <c r="BS279">
        <v>0.63839999999999997</v>
      </c>
      <c r="BT279">
        <v>0.2298</v>
      </c>
      <c r="BU279">
        <v>0.51070000000000004</v>
      </c>
      <c r="BV279">
        <v>0.7661</v>
      </c>
      <c r="BW279">
        <v>1.01</v>
      </c>
      <c r="BX279" s="847">
        <v>1.01</v>
      </c>
    </row>
    <row r="280" spans="2:76" x14ac:dyDescent="0.25">
      <c r="B280" s="1343"/>
      <c r="D280" s="1355"/>
      <c r="F280" s="265"/>
      <c r="G280" s="209" t="s">
        <v>103</v>
      </c>
      <c r="H280" s="209"/>
      <c r="I280" s="253">
        <f t="shared" ca="1" si="275"/>
        <v>503.55396800000005</v>
      </c>
      <c r="J280" s="253">
        <f t="shared" ca="1" si="275"/>
        <v>179.97072151815769</v>
      </c>
      <c r="K280" s="253">
        <f t="shared" ca="1" si="275"/>
        <v>179.97072151815769</v>
      </c>
      <c r="L280" s="253">
        <f t="shared" ca="1" si="275"/>
        <v>179.97072151815769</v>
      </c>
      <c r="M280" s="253">
        <f t="shared" ca="1" si="275"/>
        <v>503.55396800000005</v>
      </c>
      <c r="N280" s="253">
        <f t="shared" ca="1" si="275"/>
        <v>788.85471611053072</v>
      </c>
      <c r="O280" s="254">
        <f t="shared" ca="1" si="275"/>
        <v>6014.1270299999996</v>
      </c>
      <c r="P280" s="253">
        <f t="shared" ca="1" si="275"/>
        <v>1329.7824497739659</v>
      </c>
      <c r="Q280" s="253">
        <f t="shared" ca="1" si="275"/>
        <v>1329.7824497739659</v>
      </c>
      <c r="R280" s="253">
        <f t="shared" ca="1" si="275"/>
        <v>1329.7824497739659</v>
      </c>
      <c r="S280" s="253">
        <f t="shared" ca="1" si="276"/>
        <v>6014.1270299999996</v>
      </c>
      <c r="T280" s="253">
        <f t="shared" ca="1" si="276"/>
        <v>9421.5769756446825</v>
      </c>
      <c r="U280" s="254">
        <f t="shared" ca="1" si="276"/>
        <v>167276.44709999999</v>
      </c>
      <c r="V280" s="253">
        <f t="shared" ca="1" si="276"/>
        <v>24589.713802416529</v>
      </c>
      <c r="W280" s="253">
        <f t="shared" ca="1" si="276"/>
        <v>24589.713802416529</v>
      </c>
      <c r="X280" s="253">
        <f t="shared" ca="1" si="276"/>
        <v>24589.713802416529</v>
      </c>
      <c r="Y280" s="253">
        <f t="shared" ca="1" si="276"/>
        <v>167276.44709999999</v>
      </c>
      <c r="Z280" s="253">
        <f t="shared" ca="1" si="276"/>
        <v>262050.98673564362</v>
      </c>
      <c r="AA280" s="254">
        <f t="shared" ca="1" si="276"/>
        <v>41.821384000000002</v>
      </c>
      <c r="AB280" s="253">
        <f t="shared" ca="1" si="276"/>
        <v>11.371441836978853</v>
      </c>
      <c r="AC280" s="253">
        <f t="shared" ca="1" si="277"/>
        <v>11.371441836978853</v>
      </c>
      <c r="AD280" s="253">
        <f t="shared" ca="1" si="277"/>
        <v>11.371441836978853</v>
      </c>
      <c r="AE280" s="253">
        <f t="shared" ca="1" si="277"/>
        <v>41.821384000000002</v>
      </c>
      <c r="AF280" s="253">
        <f t="shared" ca="1" si="277"/>
        <v>65.516306293250167</v>
      </c>
      <c r="AG280" s="254">
        <f t="shared" ca="1" si="277"/>
        <v>9391.2142199999998</v>
      </c>
      <c r="AH280" s="253">
        <f t="shared" ca="1" si="277"/>
        <v>2550.2922506398177</v>
      </c>
      <c r="AI280" s="253">
        <f t="shared" ca="1" si="277"/>
        <v>2550.2922506398177</v>
      </c>
      <c r="AJ280" s="253">
        <f t="shared" ca="1" si="277"/>
        <v>2550.2922506398177</v>
      </c>
      <c r="AK280" s="253">
        <f t="shared" ca="1" si="277"/>
        <v>9391.2142199999998</v>
      </c>
      <c r="AL280" s="253">
        <f t="shared" ca="1" si="277"/>
        <v>14712.035051327963</v>
      </c>
      <c r="AM280" s="254">
        <f t="shared" ca="1" si="278"/>
        <v>7570.8649800000003</v>
      </c>
      <c r="AN280" s="253">
        <f t="shared" ca="1" si="278"/>
        <v>2129.007404828526</v>
      </c>
      <c r="AO280" s="253">
        <f t="shared" ca="1" si="278"/>
        <v>2129.007404828526</v>
      </c>
      <c r="AP280" s="253">
        <f t="shared" ca="1" si="278"/>
        <v>2129.007404828526</v>
      </c>
      <c r="AQ280" s="253">
        <f t="shared" ca="1" si="278"/>
        <v>7570.8649800000003</v>
      </c>
      <c r="AR280" s="253">
        <f t="shared" ca="1" si="278"/>
        <v>11860.322674508363</v>
      </c>
      <c r="AS280" s="254">
        <f t="shared" ca="1" si="278"/>
        <v>424133.01460000011</v>
      </c>
      <c r="AT280" s="253">
        <f t="shared" ca="1" si="278"/>
        <v>81247.342689196783</v>
      </c>
      <c r="AU280" s="253">
        <f t="shared" ca="1" si="278"/>
        <v>81247.342689196783</v>
      </c>
      <c r="AV280" s="253">
        <f t="shared" ca="1" si="278"/>
        <v>81247.342689196783</v>
      </c>
      <c r="AW280" s="253">
        <f t="shared" ca="1" si="278"/>
        <v>424133.01460000011</v>
      </c>
      <c r="AX280" s="255">
        <f t="shared" ca="1" si="278"/>
        <v>664435.88986947795</v>
      </c>
      <c r="AY280" s="1"/>
      <c r="AZ280" s="1368"/>
      <c r="BA280" s="1"/>
      <c r="BB280" s="1370" t="s">
        <v>691</v>
      </c>
      <c r="BC280" s="1371"/>
      <c r="BD280" s="904">
        <v>10.25</v>
      </c>
      <c r="BE280">
        <v>1.5940000000000001</v>
      </c>
      <c r="BF280">
        <v>9.2390000000000008</v>
      </c>
      <c r="BG280">
        <v>3.0310000000000001</v>
      </c>
      <c r="BH280">
        <v>0</v>
      </c>
      <c r="BI280">
        <v>9.2680000000000007</v>
      </c>
      <c r="BJ280">
        <v>5.77</v>
      </c>
      <c r="BK280">
        <v>5.9569999999999999</v>
      </c>
      <c r="BL280">
        <v>7.0309999999999997</v>
      </c>
      <c r="BM280">
        <v>1.4690000000000001</v>
      </c>
      <c r="BN280">
        <v>1.5940000000000001</v>
      </c>
      <c r="BO280">
        <v>8.7149999999999999</v>
      </c>
      <c r="BP280">
        <v>11.55</v>
      </c>
      <c r="BQ280">
        <v>7.0309999999999997</v>
      </c>
      <c r="BR280">
        <v>3.0310000000000001</v>
      </c>
      <c r="BS280">
        <v>8.4039999999999999</v>
      </c>
      <c r="BT280">
        <v>3.0310000000000001</v>
      </c>
      <c r="BU280">
        <v>7.0309999999999997</v>
      </c>
      <c r="BV280">
        <v>10.59</v>
      </c>
      <c r="BW280">
        <v>23.99</v>
      </c>
      <c r="BX280" s="847">
        <v>23.98</v>
      </c>
    </row>
    <row r="281" spans="2:76" x14ac:dyDescent="0.25">
      <c r="B281" s="1343"/>
      <c r="D281" s="1355"/>
      <c r="F281" s="265"/>
      <c r="G281" s="209" t="s">
        <v>107</v>
      </c>
      <c r="H281" s="209"/>
      <c r="I281" s="253">
        <f t="shared" ca="1" si="275"/>
        <v>503.55396800000005</v>
      </c>
      <c r="J281" s="253">
        <f t="shared" ca="1" si="275"/>
        <v>179.97072151815769</v>
      </c>
      <c r="K281" s="253">
        <f t="shared" ca="1" si="275"/>
        <v>179.97072151815769</v>
      </c>
      <c r="L281" s="253">
        <f t="shared" ca="1" si="275"/>
        <v>179.97072151815769</v>
      </c>
      <c r="M281" s="253">
        <f t="shared" ca="1" si="275"/>
        <v>503.55396800000005</v>
      </c>
      <c r="N281" s="253">
        <f t="shared" ca="1" si="275"/>
        <v>788.85471611053072</v>
      </c>
      <c r="O281" s="254">
        <f t="shared" ca="1" si="275"/>
        <v>6014.1270299999996</v>
      </c>
      <c r="P281" s="253">
        <f t="shared" ca="1" si="275"/>
        <v>1329.7824497739659</v>
      </c>
      <c r="Q281" s="253">
        <f t="shared" ca="1" si="275"/>
        <v>1329.7824497739659</v>
      </c>
      <c r="R281" s="253">
        <f t="shared" ca="1" si="275"/>
        <v>1329.7824497739659</v>
      </c>
      <c r="S281" s="253">
        <f t="shared" ca="1" si="276"/>
        <v>6014.1270299999996</v>
      </c>
      <c r="T281" s="253">
        <f t="shared" ca="1" si="276"/>
        <v>9421.5769756446825</v>
      </c>
      <c r="U281" s="254">
        <f t="shared" ca="1" si="276"/>
        <v>167276.44709999999</v>
      </c>
      <c r="V281" s="253">
        <f t="shared" ca="1" si="276"/>
        <v>24589.713802416529</v>
      </c>
      <c r="W281" s="253">
        <f t="shared" ca="1" si="276"/>
        <v>24589.713802416529</v>
      </c>
      <c r="X281" s="253">
        <f t="shared" ca="1" si="276"/>
        <v>24589.713802416529</v>
      </c>
      <c r="Y281" s="253">
        <f t="shared" ca="1" si="276"/>
        <v>167276.44709999999</v>
      </c>
      <c r="Z281" s="253">
        <f t="shared" ca="1" si="276"/>
        <v>262050.98673564362</v>
      </c>
      <c r="AA281" s="254">
        <f t="shared" ca="1" si="276"/>
        <v>41.821384000000002</v>
      </c>
      <c r="AB281" s="253">
        <f t="shared" ca="1" si="276"/>
        <v>11.371441836978853</v>
      </c>
      <c r="AC281" s="253">
        <f t="shared" ca="1" si="277"/>
        <v>11.371441836978853</v>
      </c>
      <c r="AD281" s="253">
        <f t="shared" ca="1" si="277"/>
        <v>11.371441836978853</v>
      </c>
      <c r="AE281" s="253">
        <f t="shared" ca="1" si="277"/>
        <v>41.821384000000002</v>
      </c>
      <c r="AF281" s="253">
        <f t="shared" ca="1" si="277"/>
        <v>65.516306293250167</v>
      </c>
      <c r="AG281" s="254">
        <f t="shared" ca="1" si="277"/>
        <v>9391.2142199999998</v>
      </c>
      <c r="AH281" s="253">
        <f t="shared" ca="1" si="277"/>
        <v>2550.2922506398177</v>
      </c>
      <c r="AI281" s="253">
        <f t="shared" ca="1" si="277"/>
        <v>2550.2922506398177</v>
      </c>
      <c r="AJ281" s="253">
        <f t="shared" ca="1" si="277"/>
        <v>2550.2922506398177</v>
      </c>
      <c r="AK281" s="253">
        <f t="shared" ca="1" si="277"/>
        <v>9391.2142199999998</v>
      </c>
      <c r="AL281" s="253">
        <f t="shared" ca="1" si="277"/>
        <v>14712.035051327963</v>
      </c>
      <c r="AM281" s="254">
        <f t="shared" ca="1" si="278"/>
        <v>7570.8649800000003</v>
      </c>
      <c r="AN281" s="253">
        <f t="shared" ca="1" si="278"/>
        <v>2129.007404828526</v>
      </c>
      <c r="AO281" s="253">
        <f t="shared" ca="1" si="278"/>
        <v>2129.007404828526</v>
      </c>
      <c r="AP281" s="253">
        <f t="shared" ca="1" si="278"/>
        <v>2129.007404828526</v>
      </c>
      <c r="AQ281" s="253">
        <f t="shared" ca="1" si="278"/>
        <v>7570.8649800000003</v>
      </c>
      <c r="AR281" s="253">
        <f t="shared" ca="1" si="278"/>
        <v>11860.322674508363</v>
      </c>
      <c r="AS281" s="254">
        <f t="shared" ca="1" si="278"/>
        <v>424133.01460000011</v>
      </c>
      <c r="AT281" s="253">
        <f t="shared" ca="1" si="278"/>
        <v>81247.342689196783</v>
      </c>
      <c r="AU281" s="253">
        <f t="shared" ca="1" si="278"/>
        <v>81247.342689196783</v>
      </c>
      <c r="AV281" s="253">
        <f t="shared" ca="1" si="278"/>
        <v>81247.342689196783</v>
      </c>
      <c r="AW281" s="253">
        <f t="shared" ca="1" si="278"/>
        <v>424133.01460000011</v>
      </c>
      <c r="AX281" s="255">
        <f t="shared" ca="1" si="278"/>
        <v>664435.88986947795</v>
      </c>
      <c r="AY281" s="1"/>
      <c r="AZ281" s="1368"/>
      <c r="BA281" s="1"/>
      <c r="BB281" s="1370" t="s">
        <v>692</v>
      </c>
      <c r="BC281" s="1371"/>
      <c r="BD281" s="904">
        <v>1.0149999999999999</v>
      </c>
      <c r="BE281">
        <v>0.17499999999999999</v>
      </c>
      <c r="BF281">
        <v>0.91</v>
      </c>
      <c r="BG281">
        <v>0.315</v>
      </c>
      <c r="BH281">
        <v>0</v>
      </c>
      <c r="BI281">
        <v>0.94499999999999995</v>
      </c>
      <c r="BJ281">
        <v>0</v>
      </c>
      <c r="BK281">
        <v>0.66500000000000004</v>
      </c>
      <c r="BL281">
        <v>0.7</v>
      </c>
      <c r="BM281">
        <v>0.14699999999999999</v>
      </c>
      <c r="BN281">
        <v>0.17499999999999999</v>
      </c>
      <c r="BO281">
        <v>0.91</v>
      </c>
      <c r="BP281">
        <v>1.155</v>
      </c>
      <c r="BQ281">
        <v>0.7</v>
      </c>
      <c r="BR281">
        <v>0.315</v>
      </c>
      <c r="BS281">
        <v>0.875</v>
      </c>
      <c r="BT281">
        <v>0.315</v>
      </c>
      <c r="BU281">
        <v>0.7</v>
      </c>
      <c r="BV281">
        <v>1.05</v>
      </c>
      <c r="BW281">
        <v>0</v>
      </c>
      <c r="BX281" s="847">
        <v>0</v>
      </c>
    </row>
    <row r="282" spans="2:76" x14ac:dyDescent="0.25">
      <c r="B282" s="1343"/>
      <c r="D282" s="1355"/>
      <c r="F282" s="265"/>
      <c r="G282" s="209" t="s">
        <v>104</v>
      </c>
      <c r="H282" s="209"/>
      <c r="I282" s="253">
        <f t="shared" ca="1" si="275"/>
        <v>503.55396800000005</v>
      </c>
      <c r="J282" s="253">
        <f t="shared" ca="1" si="275"/>
        <v>179.97072151815769</v>
      </c>
      <c r="K282" s="253">
        <f t="shared" ca="1" si="275"/>
        <v>179.97072151815769</v>
      </c>
      <c r="L282" s="253">
        <f t="shared" ca="1" si="275"/>
        <v>179.97072151815769</v>
      </c>
      <c r="M282" s="253">
        <f t="shared" ca="1" si="275"/>
        <v>503.55396800000005</v>
      </c>
      <c r="N282" s="253">
        <f t="shared" ca="1" si="275"/>
        <v>788.85471611053072</v>
      </c>
      <c r="O282" s="254">
        <f t="shared" ca="1" si="275"/>
        <v>6014.1270299999996</v>
      </c>
      <c r="P282" s="253">
        <f t="shared" ca="1" si="275"/>
        <v>1329.7824497739659</v>
      </c>
      <c r="Q282" s="253">
        <f t="shared" ca="1" si="275"/>
        <v>1329.7824497739659</v>
      </c>
      <c r="R282" s="253">
        <f t="shared" ca="1" si="275"/>
        <v>1329.7824497739659</v>
      </c>
      <c r="S282" s="253">
        <f t="shared" ca="1" si="276"/>
        <v>6014.1270299999996</v>
      </c>
      <c r="T282" s="253">
        <f t="shared" ca="1" si="276"/>
        <v>9421.5769756446825</v>
      </c>
      <c r="U282" s="254">
        <f t="shared" ca="1" si="276"/>
        <v>167276.44709999999</v>
      </c>
      <c r="V282" s="253">
        <f t="shared" ca="1" si="276"/>
        <v>24589.713802416529</v>
      </c>
      <c r="W282" s="253">
        <f t="shared" ca="1" si="276"/>
        <v>24589.713802416529</v>
      </c>
      <c r="X282" s="253">
        <f t="shared" ca="1" si="276"/>
        <v>24589.713802416529</v>
      </c>
      <c r="Y282" s="253">
        <f t="shared" ca="1" si="276"/>
        <v>167276.44709999999</v>
      </c>
      <c r="Z282" s="253">
        <f t="shared" ca="1" si="276"/>
        <v>262050.98673564362</v>
      </c>
      <c r="AA282" s="254">
        <f t="shared" ca="1" si="276"/>
        <v>41.821384000000002</v>
      </c>
      <c r="AB282" s="253">
        <f t="shared" ca="1" si="276"/>
        <v>11.371441836978853</v>
      </c>
      <c r="AC282" s="253">
        <f t="shared" ca="1" si="277"/>
        <v>11.371441836978853</v>
      </c>
      <c r="AD282" s="253">
        <f t="shared" ca="1" si="277"/>
        <v>11.371441836978853</v>
      </c>
      <c r="AE282" s="253">
        <f t="shared" ca="1" si="277"/>
        <v>41.821384000000002</v>
      </c>
      <c r="AF282" s="253">
        <f t="shared" ca="1" si="277"/>
        <v>65.516306293250167</v>
      </c>
      <c r="AG282" s="254">
        <f t="shared" ca="1" si="277"/>
        <v>9391.2142199999998</v>
      </c>
      <c r="AH282" s="253">
        <f t="shared" ca="1" si="277"/>
        <v>2550.2922506398177</v>
      </c>
      <c r="AI282" s="253">
        <f t="shared" ca="1" si="277"/>
        <v>2550.2922506398177</v>
      </c>
      <c r="AJ282" s="253">
        <f t="shared" ca="1" si="277"/>
        <v>2550.2922506398177</v>
      </c>
      <c r="AK282" s="253">
        <f t="shared" ca="1" si="277"/>
        <v>9391.2142199999998</v>
      </c>
      <c r="AL282" s="253">
        <f t="shared" ca="1" si="277"/>
        <v>14712.035051327963</v>
      </c>
      <c r="AM282" s="254">
        <f t="shared" ca="1" si="278"/>
        <v>7570.8649800000003</v>
      </c>
      <c r="AN282" s="253">
        <f t="shared" ca="1" si="278"/>
        <v>2129.007404828526</v>
      </c>
      <c r="AO282" s="253">
        <f t="shared" ca="1" si="278"/>
        <v>2129.007404828526</v>
      </c>
      <c r="AP282" s="253">
        <f t="shared" ca="1" si="278"/>
        <v>2129.007404828526</v>
      </c>
      <c r="AQ282" s="253">
        <f t="shared" ca="1" si="278"/>
        <v>7570.8649800000003</v>
      </c>
      <c r="AR282" s="253">
        <f t="shared" ca="1" si="278"/>
        <v>11860.322674508363</v>
      </c>
      <c r="AS282" s="254">
        <f t="shared" ca="1" si="278"/>
        <v>424133.01460000011</v>
      </c>
      <c r="AT282" s="253">
        <f t="shared" ca="1" si="278"/>
        <v>81247.342689196783</v>
      </c>
      <c r="AU282" s="253">
        <f t="shared" ca="1" si="278"/>
        <v>81247.342689196783</v>
      </c>
      <c r="AV282" s="253">
        <f t="shared" ca="1" si="278"/>
        <v>81247.342689196783</v>
      </c>
      <c r="AW282" s="253">
        <f t="shared" ca="1" si="278"/>
        <v>424133.01460000011</v>
      </c>
      <c r="AX282" s="255">
        <f t="shared" ca="1" si="278"/>
        <v>664435.88986947795</v>
      </c>
      <c r="AY282" s="1"/>
      <c r="AZ282" s="1368"/>
      <c r="BA282" s="1"/>
      <c r="BB282" s="1370" t="s">
        <v>693</v>
      </c>
      <c r="BC282" s="1371"/>
      <c r="BD282" s="904">
        <v>192.6</v>
      </c>
      <c r="BE282">
        <v>33.21</v>
      </c>
      <c r="BF282">
        <v>172.7</v>
      </c>
      <c r="BG282">
        <v>59.79</v>
      </c>
      <c r="BH282">
        <v>0</v>
      </c>
      <c r="BI282">
        <v>179.4</v>
      </c>
      <c r="BJ282">
        <v>63.11</v>
      </c>
      <c r="BK282">
        <v>126.2</v>
      </c>
      <c r="BL282">
        <v>132.9</v>
      </c>
      <c r="BM282">
        <v>27.9</v>
      </c>
      <c r="BN282">
        <v>33.21</v>
      </c>
      <c r="BO282">
        <v>172.7</v>
      </c>
      <c r="BP282">
        <v>219.2</v>
      </c>
      <c r="BQ282">
        <v>132.9</v>
      </c>
      <c r="BR282">
        <v>59.79</v>
      </c>
      <c r="BS282">
        <v>166.1</v>
      </c>
      <c r="BT282">
        <v>59.79</v>
      </c>
      <c r="BU282">
        <v>132.9</v>
      </c>
      <c r="BV282">
        <v>199.3</v>
      </c>
      <c r="BW282">
        <v>262.39</v>
      </c>
      <c r="BX282" s="847">
        <v>262.39999999999998</v>
      </c>
    </row>
    <row r="283" spans="2:76" x14ac:dyDescent="0.25">
      <c r="B283" s="1343"/>
      <c r="D283" s="1355"/>
      <c r="F283" s="270"/>
      <c r="G283" s="209" t="s">
        <v>97</v>
      </c>
      <c r="H283" s="209"/>
      <c r="I283" s="253">
        <f t="shared" ca="1" si="275"/>
        <v>503.55396800000005</v>
      </c>
      <c r="J283" s="253">
        <f t="shared" ca="1" si="275"/>
        <v>179.97072151815769</v>
      </c>
      <c r="K283" s="253">
        <f t="shared" ca="1" si="275"/>
        <v>179.97072151815769</v>
      </c>
      <c r="L283" s="253">
        <f t="shared" ca="1" si="275"/>
        <v>179.97072151815769</v>
      </c>
      <c r="M283" s="253">
        <f t="shared" ca="1" si="275"/>
        <v>503.55396800000005</v>
      </c>
      <c r="N283" s="253">
        <f t="shared" ca="1" si="275"/>
        <v>788.85471611053072</v>
      </c>
      <c r="O283" s="254">
        <f t="shared" ca="1" si="275"/>
        <v>6014.1270299999996</v>
      </c>
      <c r="P283" s="253">
        <f t="shared" ca="1" si="275"/>
        <v>1329.7824497739659</v>
      </c>
      <c r="Q283" s="253">
        <f t="shared" ca="1" si="275"/>
        <v>1329.7824497739659</v>
      </c>
      <c r="R283" s="253">
        <f t="shared" ca="1" si="275"/>
        <v>1329.7824497739659</v>
      </c>
      <c r="S283" s="253">
        <f t="shared" ca="1" si="276"/>
        <v>6014.1270299999996</v>
      </c>
      <c r="T283" s="253">
        <f t="shared" ca="1" si="276"/>
        <v>9421.5769756446825</v>
      </c>
      <c r="U283" s="254">
        <f t="shared" ca="1" si="276"/>
        <v>167276.44709999999</v>
      </c>
      <c r="V283" s="253">
        <f t="shared" ca="1" si="276"/>
        <v>24589.713802416529</v>
      </c>
      <c r="W283" s="253">
        <f t="shared" ca="1" si="276"/>
        <v>24589.713802416529</v>
      </c>
      <c r="X283" s="253">
        <f t="shared" ca="1" si="276"/>
        <v>24589.713802416529</v>
      </c>
      <c r="Y283" s="253">
        <f t="shared" ca="1" si="276"/>
        <v>167276.44709999999</v>
      </c>
      <c r="Z283" s="253">
        <f t="shared" ca="1" si="276"/>
        <v>262050.98673564362</v>
      </c>
      <c r="AA283" s="254">
        <f t="shared" ca="1" si="276"/>
        <v>41.821384000000002</v>
      </c>
      <c r="AB283" s="253">
        <f t="shared" ca="1" si="276"/>
        <v>11.371441836978853</v>
      </c>
      <c r="AC283" s="253">
        <f t="shared" ca="1" si="277"/>
        <v>11.371441836978853</v>
      </c>
      <c r="AD283" s="253">
        <f t="shared" ca="1" si="277"/>
        <v>11.371441836978853</v>
      </c>
      <c r="AE283" s="253">
        <f t="shared" ca="1" si="277"/>
        <v>41.821384000000002</v>
      </c>
      <c r="AF283" s="253">
        <f t="shared" ca="1" si="277"/>
        <v>65.516306293250167</v>
      </c>
      <c r="AG283" s="254">
        <f t="shared" ca="1" si="277"/>
        <v>9391.2142199999998</v>
      </c>
      <c r="AH283" s="253">
        <f t="shared" ca="1" si="277"/>
        <v>2550.2922506398177</v>
      </c>
      <c r="AI283" s="253">
        <f t="shared" ca="1" si="277"/>
        <v>2550.2922506398177</v>
      </c>
      <c r="AJ283" s="253">
        <f t="shared" ca="1" si="277"/>
        <v>2550.2922506398177</v>
      </c>
      <c r="AK283" s="253">
        <f t="shared" ca="1" si="277"/>
        <v>9391.2142199999998</v>
      </c>
      <c r="AL283" s="253">
        <f t="shared" ca="1" si="277"/>
        <v>14712.035051327963</v>
      </c>
      <c r="AM283" s="254">
        <f t="shared" ca="1" si="278"/>
        <v>7570.8649800000003</v>
      </c>
      <c r="AN283" s="253">
        <f t="shared" ca="1" si="278"/>
        <v>2129.007404828526</v>
      </c>
      <c r="AO283" s="253">
        <f t="shared" ca="1" si="278"/>
        <v>2129.007404828526</v>
      </c>
      <c r="AP283" s="253">
        <f t="shared" ca="1" si="278"/>
        <v>2129.007404828526</v>
      </c>
      <c r="AQ283" s="253">
        <f t="shared" ca="1" si="278"/>
        <v>7570.8649800000003</v>
      </c>
      <c r="AR283" s="253">
        <f t="shared" ca="1" si="278"/>
        <v>11860.322674508363</v>
      </c>
      <c r="AS283" s="254">
        <f t="shared" ca="1" si="278"/>
        <v>424133.01460000011</v>
      </c>
      <c r="AT283" s="253">
        <f t="shared" ca="1" si="278"/>
        <v>81247.342689196783</v>
      </c>
      <c r="AU283" s="253">
        <f t="shared" ca="1" si="278"/>
        <v>81247.342689196783</v>
      </c>
      <c r="AV283" s="253">
        <f t="shared" ca="1" si="278"/>
        <v>81247.342689196783</v>
      </c>
      <c r="AW283" s="253">
        <f t="shared" ca="1" si="278"/>
        <v>424133.01460000011</v>
      </c>
      <c r="AX283" s="255">
        <f t="shared" ca="1" si="278"/>
        <v>664435.88986947795</v>
      </c>
      <c r="AY283" s="1"/>
      <c r="AZ283" s="1368"/>
      <c r="BA283" s="1"/>
      <c r="BB283" s="1365" t="s">
        <v>694</v>
      </c>
      <c r="BC283" s="1366"/>
      <c r="BD283" s="908">
        <v>0.46260000000000001</v>
      </c>
      <c r="BE283" s="959">
        <v>0.48570000000000002</v>
      </c>
      <c r="BF283" s="959">
        <v>0.24979999999999999</v>
      </c>
      <c r="BG283" s="959">
        <v>0.48570000000000002</v>
      </c>
      <c r="BH283" s="959">
        <v>0.92520000000000002</v>
      </c>
      <c r="BI283" s="959">
        <v>1.0409999999999999</v>
      </c>
      <c r="BJ283" s="959">
        <v>0.16</v>
      </c>
      <c r="BK283" s="959">
        <v>2.0819999999999999</v>
      </c>
      <c r="BL283" s="959">
        <v>0.4163</v>
      </c>
      <c r="BM283" s="959">
        <v>1.226</v>
      </c>
      <c r="BN283" s="959">
        <v>0.48570000000000002</v>
      </c>
      <c r="BO283" s="959">
        <v>1.5029999999999999</v>
      </c>
      <c r="BP283" s="959">
        <v>0.74009999999999998</v>
      </c>
      <c r="BQ283" s="959">
        <v>0.4163</v>
      </c>
      <c r="BR283" s="959">
        <v>0.48570000000000002</v>
      </c>
      <c r="BS283" s="959">
        <v>1.3879999999999999</v>
      </c>
      <c r="BT283" s="959">
        <v>0.48570000000000002</v>
      </c>
      <c r="BU283" s="959">
        <v>0.4163</v>
      </c>
      <c r="BV283" s="959">
        <v>0.48570000000000002</v>
      </c>
      <c r="BW283" s="959">
        <v>0.48</v>
      </c>
      <c r="BX283" s="848">
        <v>0.48</v>
      </c>
    </row>
    <row r="284" spans="2:76" x14ac:dyDescent="0.25">
      <c r="B284" s="1343"/>
      <c r="D284" s="1355"/>
      <c r="F284" s="270"/>
      <c r="G284" s="209" t="s">
        <v>628</v>
      </c>
      <c r="H284" s="209"/>
      <c r="I284" s="253">
        <f t="shared" ca="1" si="275"/>
        <v>2332.3170825000002</v>
      </c>
      <c r="J284" s="253">
        <f t="shared" ca="1" si="275"/>
        <v>2363.5002351849621</v>
      </c>
      <c r="K284" s="253">
        <f t="shared" ca="1" si="275"/>
        <v>2363.5002351849621</v>
      </c>
      <c r="L284" s="253">
        <f t="shared" ca="1" si="275"/>
        <v>2363.5002351849621</v>
      </c>
      <c r="M284" s="253">
        <f t="shared" ca="1" si="275"/>
        <v>2332.3170825000002</v>
      </c>
      <c r="N284" s="253">
        <f t="shared" ca="1" si="275"/>
        <v>3653.7480526720401</v>
      </c>
      <c r="O284" s="254">
        <f t="shared" ca="1" si="275"/>
        <v>107027.4394525</v>
      </c>
      <c r="P284" s="253">
        <f t="shared" ca="1" si="275"/>
        <v>108458.39968126547</v>
      </c>
      <c r="Q284" s="253">
        <f t="shared" ca="1" si="275"/>
        <v>108458.39968126547</v>
      </c>
      <c r="R284" s="253">
        <f t="shared" ca="1" si="275"/>
        <v>108458.39968126547</v>
      </c>
      <c r="S284" s="253">
        <f t="shared" ca="1" si="276"/>
        <v>107027.4394525</v>
      </c>
      <c r="T284" s="253">
        <f t="shared" ca="1" si="276"/>
        <v>167666.43841706138</v>
      </c>
      <c r="U284" s="254">
        <f t="shared" ca="1" si="276"/>
        <v>266920.73277500004</v>
      </c>
      <c r="V284" s="253">
        <f t="shared" ca="1" si="276"/>
        <v>270489.47136005678</v>
      </c>
      <c r="W284" s="253">
        <f t="shared" ca="1" si="276"/>
        <v>270489.47136005678</v>
      </c>
      <c r="X284" s="253">
        <f t="shared" ca="1" si="276"/>
        <v>270489.47136005678</v>
      </c>
      <c r="Y284" s="253">
        <f t="shared" ca="1" si="276"/>
        <v>266920.73277500004</v>
      </c>
      <c r="Z284" s="253">
        <f t="shared" ca="1" si="276"/>
        <v>418151.16602802242</v>
      </c>
      <c r="AA284" s="254">
        <f t="shared" ca="1" si="276"/>
        <v>1023.628052875</v>
      </c>
      <c r="AB284" s="253">
        <f t="shared" ca="1" si="276"/>
        <v>1037.3139921089555</v>
      </c>
      <c r="AC284" s="253">
        <f t="shared" ca="1" si="277"/>
        <v>1037.3139921089555</v>
      </c>
      <c r="AD284" s="253">
        <f t="shared" ca="1" si="277"/>
        <v>1037.3139921089555</v>
      </c>
      <c r="AE284" s="253">
        <f t="shared" ca="1" si="277"/>
        <v>1023.628052875</v>
      </c>
      <c r="AF284" s="253">
        <f t="shared" ca="1" si="277"/>
        <v>1603.5894231171731</v>
      </c>
      <c r="AG284" s="254">
        <f t="shared" ca="1" si="277"/>
        <v>97179.878437499996</v>
      </c>
      <c r="AH284" s="253">
        <f t="shared" ca="1" si="277"/>
        <v>98479.17646604008</v>
      </c>
      <c r="AI284" s="253">
        <f t="shared" ca="1" si="277"/>
        <v>98479.17646604008</v>
      </c>
      <c r="AJ284" s="253">
        <f t="shared" ca="1" si="277"/>
        <v>98479.17646604008</v>
      </c>
      <c r="AK284" s="253">
        <f t="shared" ca="1" si="277"/>
        <v>97179.878437499996</v>
      </c>
      <c r="AL284" s="253">
        <f t="shared" ca="1" si="277"/>
        <v>152239.50219466831</v>
      </c>
      <c r="AM284" s="254">
        <f t="shared" ca="1" si="278"/>
        <v>73856.707612500002</v>
      </c>
      <c r="AN284" s="253">
        <f t="shared" ca="1" si="278"/>
        <v>74844.174114190464</v>
      </c>
      <c r="AO284" s="253">
        <f t="shared" ca="1" si="278"/>
        <v>74844.174114190464</v>
      </c>
      <c r="AP284" s="253">
        <f t="shared" ca="1" si="278"/>
        <v>74844.174114190464</v>
      </c>
      <c r="AQ284" s="253">
        <f t="shared" ca="1" si="278"/>
        <v>73856.707612500002</v>
      </c>
      <c r="AR284" s="253">
        <f t="shared" ca="1" si="278"/>
        <v>115702.02166794793</v>
      </c>
      <c r="AS284" s="254">
        <f t="shared" ca="1" si="278"/>
        <v>1113033.5410374999</v>
      </c>
      <c r="AT284" s="253">
        <f t="shared" ca="1" si="278"/>
        <v>1127914.8344577122</v>
      </c>
      <c r="AU284" s="253">
        <f t="shared" ca="1" si="278"/>
        <v>1127914.8344577122</v>
      </c>
      <c r="AV284" s="253">
        <f t="shared" ca="1" si="278"/>
        <v>1127914.8344577122</v>
      </c>
      <c r="AW284" s="253">
        <f t="shared" ca="1" si="278"/>
        <v>1113033.5410374999</v>
      </c>
      <c r="AX284" s="255">
        <f t="shared" ca="1" si="278"/>
        <v>1743649.7651362678</v>
      </c>
      <c r="AY284" s="1"/>
      <c r="AZ284" s="1368"/>
      <c r="BA284" s="1"/>
      <c r="BB284" s="1370" t="s">
        <v>700</v>
      </c>
      <c r="BC284" s="1371"/>
      <c r="BD284" s="326">
        <v>0.54830000000000001</v>
      </c>
      <c r="BE284" s="983">
        <v>0.54830000000000001</v>
      </c>
      <c r="BF284" s="983">
        <v>0.54830000000000001</v>
      </c>
      <c r="BG284" s="983">
        <v>0.54830000000000001</v>
      </c>
      <c r="BH284" s="983">
        <v>0.54830000000000001</v>
      </c>
      <c r="BI284" s="983">
        <v>0.54830000000000001</v>
      </c>
      <c r="BJ284" s="983">
        <v>3.93</v>
      </c>
      <c r="BK284" s="983">
        <v>0.54830000000000001</v>
      </c>
      <c r="BL284" s="983">
        <v>0.54830000000000001</v>
      </c>
      <c r="BM284" s="983">
        <v>0.54830000000000001</v>
      </c>
      <c r="BN284" s="983">
        <v>0.54830000000000001</v>
      </c>
      <c r="BO284" s="983">
        <v>0.54830000000000001</v>
      </c>
      <c r="BP284" s="983">
        <v>0.54830000000000001</v>
      </c>
      <c r="BQ284" s="983">
        <v>0.54830000000000001</v>
      </c>
      <c r="BR284" s="983">
        <v>0.54830000000000001</v>
      </c>
      <c r="BS284" s="983">
        <v>0.54830000000000001</v>
      </c>
      <c r="BT284" s="983">
        <v>0.54830000000000001</v>
      </c>
      <c r="BU284" s="983">
        <v>0.54830000000000001</v>
      </c>
      <c r="BV284" s="983">
        <v>0.54830000000000001</v>
      </c>
      <c r="BW284" s="983">
        <v>3.93</v>
      </c>
      <c r="BX284" s="327">
        <v>2.89</v>
      </c>
    </row>
    <row r="285" spans="2:76" x14ac:dyDescent="0.25">
      <c r="B285" s="1343"/>
      <c r="D285" s="1355"/>
      <c r="F285" s="265"/>
      <c r="G285" s="209" t="s">
        <v>108</v>
      </c>
      <c r="H285" s="209"/>
      <c r="I285" s="253">
        <f t="shared" ca="1" si="275"/>
        <v>503.55396800000005</v>
      </c>
      <c r="J285" s="253">
        <f t="shared" ca="1" si="275"/>
        <v>179.97072151815769</v>
      </c>
      <c r="K285" s="253">
        <f t="shared" ca="1" si="275"/>
        <v>179.97072151815769</v>
      </c>
      <c r="L285" s="253">
        <f t="shared" ca="1" si="275"/>
        <v>179.97072151815769</v>
      </c>
      <c r="M285" s="253">
        <f t="shared" ca="1" si="275"/>
        <v>503.55396800000005</v>
      </c>
      <c r="N285" s="253">
        <f t="shared" ca="1" si="275"/>
        <v>788.85471611053072</v>
      </c>
      <c r="O285" s="254">
        <f t="shared" ca="1" si="275"/>
        <v>6014.1270299999996</v>
      </c>
      <c r="P285" s="253">
        <f t="shared" ca="1" si="275"/>
        <v>1329.7824497739659</v>
      </c>
      <c r="Q285" s="253">
        <f t="shared" ca="1" si="275"/>
        <v>1329.7824497739659</v>
      </c>
      <c r="R285" s="253">
        <f t="shared" ca="1" si="275"/>
        <v>1329.7824497739659</v>
      </c>
      <c r="S285" s="253">
        <f t="shared" ca="1" si="276"/>
        <v>6014.1270299999996</v>
      </c>
      <c r="T285" s="253">
        <f t="shared" ca="1" si="276"/>
        <v>9421.5769756446825</v>
      </c>
      <c r="U285" s="254">
        <f t="shared" ca="1" si="276"/>
        <v>167276.44709999999</v>
      </c>
      <c r="V285" s="253">
        <f t="shared" ca="1" si="276"/>
        <v>24589.713802416529</v>
      </c>
      <c r="W285" s="253">
        <f t="shared" ca="1" si="276"/>
        <v>24589.713802416529</v>
      </c>
      <c r="X285" s="253">
        <f t="shared" ca="1" si="276"/>
        <v>24589.713802416529</v>
      </c>
      <c r="Y285" s="253">
        <f t="shared" ca="1" si="276"/>
        <v>167276.44709999999</v>
      </c>
      <c r="Z285" s="253">
        <f t="shared" ca="1" si="276"/>
        <v>262050.98673564362</v>
      </c>
      <c r="AA285" s="254">
        <f t="shared" ca="1" si="276"/>
        <v>41.821384000000002</v>
      </c>
      <c r="AB285" s="253">
        <f t="shared" ca="1" si="276"/>
        <v>11.371441836978853</v>
      </c>
      <c r="AC285" s="253">
        <f t="shared" ca="1" si="277"/>
        <v>11.371441836978853</v>
      </c>
      <c r="AD285" s="253">
        <f t="shared" ca="1" si="277"/>
        <v>11.371441836978853</v>
      </c>
      <c r="AE285" s="253">
        <f t="shared" ca="1" si="277"/>
        <v>41.821384000000002</v>
      </c>
      <c r="AF285" s="253">
        <f t="shared" ca="1" si="277"/>
        <v>65.516306293250167</v>
      </c>
      <c r="AG285" s="254">
        <f t="shared" ca="1" si="277"/>
        <v>9391.2142199999998</v>
      </c>
      <c r="AH285" s="253">
        <f t="shared" ca="1" si="277"/>
        <v>2550.2922506398177</v>
      </c>
      <c r="AI285" s="253">
        <f t="shared" ca="1" si="277"/>
        <v>2550.2922506398177</v>
      </c>
      <c r="AJ285" s="253">
        <f t="shared" ca="1" si="277"/>
        <v>2550.2922506398177</v>
      </c>
      <c r="AK285" s="253">
        <f t="shared" ca="1" si="277"/>
        <v>9391.2142199999998</v>
      </c>
      <c r="AL285" s="253">
        <f t="shared" ca="1" si="277"/>
        <v>14712.035051327963</v>
      </c>
      <c r="AM285" s="254">
        <f t="shared" ca="1" si="278"/>
        <v>7570.8649800000003</v>
      </c>
      <c r="AN285" s="253">
        <f t="shared" ca="1" si="278"/>
        <v>2129.007404828526</v>
      </c>
      <c r="AO285" s="253">
        <f t="shared" ca="1" si="278"/>
        <v>2129.007404828526</v>
      </c>
      <c r="AP285" s="253">
        <f t="shared" ca="1" si="278"/>
        <v>2129.007404828526</v>
      </c>
      <c r="AQ285" s="253">
        <f t="shared" ca="1" si="278"/>
        <v>7570.8649800000003</v>
      </c>
      <c r="AR285" s="253">
        <f t="shared" ca="1" si="278"/>
        <v>11860.322674508363</v>
      </c>
      <c r="AS285" s="254">
        <f t="shared" ca="1" si="278"/>
        <v>424133.01460000011</v>
      </c>
      <c r="AT285" s="253">
        <f t="shared" ca="1" si="278"/>
        <v>81247.342689196783</v>
      </c>
      <c r="AU285" s="253">
        <f t="shared" ca="1" si="278"/>
        <v>81247.342689196783</v>
      </c>
      <c r="AV285" s="253">
        <f t="shared" ca="1" si="278"/>
        <v>81247.342689196783</v>
      </c>
      <c r="AW285" s="253">
        <f t="shared" ca="1" si="278"/>
        <v>424133.01460000011</v>
      </c>
      <c r="AX285" s="255">
        <f t="shared" ca="1" si="278"/>
        <v>664435.88986947795</v>
      </c>
      <c r="AY285" s="1"/>
      <c r="AZ285" s="1368"/>
      <c r="BA285" s="1"/>
      <c r="BB285" s="1370" t="s">
        <v>702</v>
      </c>
      <c r="BC285" s="1371"/>
      <c r="BD285" s="904">
        <v>0.1782</v>
      </c>
      <c r="BE285">
        <v>0.1782</v>
      </c>
      <c r="BF285">
        <v>0.1782</v>
      </c>
      <c r="BG285">
        <v>0.1782</v>
      </c>
      <c r="BH285">
        <v>0.1782</v>
      </c>
      <c r="BI285">
        <v>0.1782</v>
      </c>
      <c r="BJ285">
        <v>1.67</v>
      </c>
      <c r="BK285">
        <v>0.1782</v>
      </c>
      <c r="BL285">
        <v>0.1782</v>
      </c>
      <c r="BM285">
        <v>0.1782</v>
      </c>
      <c r="BN285">
        <v>0.1782</v>
      </c>
      <c r="BO285">
        <v>0.1782</v>
      </c>
      <c r="BP285">
        <v>0.1782</v>
      </c>
      <c r="BQ285">
        <v>0.1782</v>
      </c>
      <c r="BR285">
        <v>0.1782</v>
      </c>
      <c r="BS285">
        <v>0.1782</v>
      </c>
      <c r="BT285">
        <v>0.1782</v>
      </c>
      <c r="BU285">
        <v>0.1782</v>
      </c>
      <c r="BV285">
        <v>0.1782</v>
      </c>
      <c r="BW285">
        <v>1.67</v>
      </c>
      <c r="BX285" s="847">
        <v>1.23</v>
      </c>
    </row>
    <row r="286" spans="2:76" x14ac:dyDescent="0.25">
      <c r="B286" s="1343"/>
      <c r="D286" s="1355"/>
      <c r="F286" s="265"/>
      <c r="G286" s="209" t="s">
        <v>98</v>
      </c>
      <c r="H286" s="209"/>
      <c r="I286" s="253">
        <f t="shared" ca="1" si="275"/>
        <v>503.55396800000005</v>
      </c>
      <c r="J286" s="253">
        <f t="shared" ca="1" si="275"/>
        <v>179.97072151815769</v>
      </c>
      <c r="K286" s="253">
        <f t="shared" ca="1" si="275"/>
        <v>179.97072151815769</v>
      </c>
      <c r="L286" s="253">
        <f t="shared" ca="1" si="275"/>
        <v>179.97072151815769</v>
      </c>
      <c r="M286" s="253">
        <f t="shared" ca="1" si="275"/>
        <v>503.55396800000005</v>
      </c>
      <c r="N286" s="253">
        <f t="shared" ca="1" si="275"/>
        <v>788.85471611053072</v>
      </c>
      <c r="O286" s="254">
        <f t="shared" ca="1" si="275"/>
        <v>6014.1270299999996</v>
      </c>
      <c r="P286" s="253">
        <f t="shared" ca="1" si="275"/>
        <v>1329.7824497739659</v>
      </c>
      <c r="Q286" s="253">
        <f t="shared" ca="1" si="275"/>
        <v>1329.7824497739659</v>
      </c>
      <c r="R286" s="253">
        <f t="shared" ca="1" si="275"/>
        <v>1329.7824497739659</v>
      </c>
      <c r="S286" s="253">
        <f t="shared" ca="1" si="276"/>
        <v>6014.1270299999996</v>
      </c>
      <c r="T286" s="253">
        <f t="shared" ca="1" si="276"/>
        <v>9421.5769756446825</v>
      </c>
      <c r="U286" s="254">
        <f t="shared" ca="1" si="276"/>
        <v>167276.44709999999</v>
      </c>
      <c r="V286" s="253">
        <f t="shared" ca="1" si="276"/>
        <v>24589.713802416529</v>
      </c>
      <c r="W286" s="253">
        <f t="shared" ca="1" si="276"/>
        <v>24589.713802416529</v>
      </c>
      <c r="X286" s="253">
        <f t="shared" ca="1" si="276"/>
        <v>24589.713802416529</v>
      </c>
      <c r="Y286" s="253">
        <f t="shared" ca="1" si="276"/>
        <v>167276.44709999999</v>
      </c>
      <c r="Z286" s="253">
        <f t="shared" ca="1" si="276"/>
        <v>262050.98673564362</v>
      </c>
      <c r="AA286" s="254">
        <f t="shared" ca="1" si="276"/>
        <v>41.821384000000002</v>
      </c>
      <c r="AB286" s="253">
        <f t="shared" ca="1" si="276"/>
        <v>11.371441836978853</v>
      </c>
      <c r="AC286" s="253">
        <f t="shared" ca="1" si="277"/>
        <v>11.371441836978853</v>
      </c>
      <c r="AD286" s="253">
        <f t="shared" ca="1" si="277"/>
        <v>11.371441836978853</v>
      </c>
      <c r="AE286" s="253">
        <f t="shared" ca="1" si="277"/>
        <v>41.821384000000002</v>
      </c>
      <c r="AF286" s="253">
        <f t="shared" ca="1" si="277"/>
        <v>65.516306293250167</v>
      </c>
      <c r="AG286" s="254">
        <f t="shared" ca="1" si="277"/>
        <v>9391.2142199999998</v>
      </c>
      <c r="AH286" s="253">
        <f t="shared" ca="1" si="277"/>
        <v>2550.2922506398177</v>
      </c>
      <c r="AI286" s="253">
        <f t="shared" ca="1" si="277"/>
        <v>2550.2922506398177</v>
      </c>
      <c r="AJ286" s="253">
        <f t="shared" ca="1" si="277"/>
        <v>2550.2922506398177</v>
      </c>
      <c r="AK286" s="253">
        <f t="shared" ca="1" si="277"/>
        <v>9391.2142199999998</v>
      </c>
      <c r="AL286" s="253">
        <f t="shared" ca="1" si="277"/>
        <v>14712.035051327963</v>
      </c>
      <c r="AM286" s="254">
        <f t="shared" ca="1" si="278"/>
        <v>7570.8649800000003</v>
      </c>
      <c r="AN286" s="253">
        <f t="shared" ca="1" si="278"/>
        <v>2129.007404828526</v>
      </c>
      <c r="AO286" s="253">
        <f t="shared" ca="1" si="278"/>
        <v>2129.007404828526</v>
      </c>
      <c r="AP286" s="253">
        <f t="shared" ca="1" si="278"/>
        <v>2129.007404828526</v>
      </c>
      <c r="AQ286" s="253">
        <f t="shared" ca="1" si="278"/>
        <v>7570.8649800000003</v>
      </c>
      <c r="AR286" s="253">
        <f t="shared" ca="1" si="278"/>
        <v>11860.322674508363</v>
      </c>
      <c r="AS286" s="254">
        <f t="shared" ca="1" si="278"/>
        <v>424133.01460000011</v>
      </c>
      <c r="AT286" s="253">
        <f t="shared" ca="1" si="278"/>
        <v>81247.342689196783</v>
      </c>
      <c r="AU286" s="253">
        <f t="shared" ca="1" si="278"/>
        <v>81247.342689196783</v>
      </c>
      <c r="AV286" s="253">
        <f t="shared" ca="1" si="278"/>
        <v>81247.342689196783</v>
      </c>
      <c r="AW286" s="253">
        <f t="shared" ca="1" si="278"/>
        <v>424133.01460000011</v>
      </c>
      <c r="AX286" s="255">
        <f t="shared" ca="1" si="278"/>
        <v>664435.88986947795</v>
      </c>
      <c r="AY286" s="1"/>
      <c r="AZ286" s="1368"/>
      <c r="BA286" s="1"/>
      <c r="BB286" s="1370" t="s">
        <v>703</v>
      </c>
      <c r="BC286" s="1371"/>
      <c r="BD286" s="904">
        <v>8.4730000000000008</v>
      </c>
      <c r="BE286">
        <v>8.4730000000000008</v>
      </c>
      <c r="BF286">
        <v>8.4730000000000008</v>
      </c>
      <c r="BG286">
        <v>8.4730000000000008</v>
      </c>
      <c r="BH286">
        <v>8.4730000000000008</v>
      </c>
      <c r="BI286">
        <v>8.4730000000000008</v>
      </c>
      <c r="BJ286">
        <v>60.71</v>
      </c>
      <c r="BK286">
        <v>8.4730000000000008</v>
      </c>
      <c r="BL286">
        <v>8.4730000000000008</v>
      </c>
      <c r="BM286">
        <v>8.4730000000000008</v>
      </c>
      <c r="BN286">
        <v>8.4730000000000008</v>
      </c>
      <c r="BO286">
        <v>8.4730000000000008</v>
      </c>
      <c r="BP286">
        <v>8.4730000000000008</v>
      </c>
      <c r="BQ286">
        <v>8.4730000000000008</v>
      </c>
      <c r="BR286">
        <v>8.4730000000000008</v>
      </c>
      <c r="BS286">
        <v>8.4730000000000008</v>
      </c>
      <c r="BT286">
        <v>8.4730000000000008</v>
      </c>
      <c r="BU286">
        <v>8.4730000000000008</v>
      </c>
      <c r="BV286">
        <v>8.4730000000000008</v>
      </c>
      <c r="BW286">
        <v>60.71</v>
      </c>
      <c r="BX286" s="847">
        <v>44.7</v>
      </c>
    </row>
    <row r="287" spans="2:76" x14ac:dyDescent="0.25">
      <c r="B287" s="1343"/>
      <c r="D287" s="1355"/>
      <c r="F287" s="265"/>
      <c r="G287" s="209" t="s">
        <v>629</v>
      </c>
      <c r="H287" s="209"/>
      <c r="I287" s="253">
        <f t="shared" ca="1" si="275"/>
        <v>503.55396800000005</v>
      </c>
      <c r="J287" s="253">
        <f t="shared" ca="1" si="275"/>
        <v>179.97072151815769</v>
      </c>
      <c r="K287" s="253">
        <f t="shared" ca="1" si="275"/>
        <v>179.97072151815769</v>
      </c>
      <c r="L287" s="253">
        <f t="shared" ca="1" si="275"/>
        <v>179.97072151815769</v>
      </c>
      <c r="M287" s="253">
        <f t="shared" ca="1" si="275"/>
        <v>503.55396800000005</v>
      </c>
      <c r="N287" s="253">
        <f t="shared" ca="1" si="275"/>
        <v>788.85471611053072</v>
      </c>
      <c r="O287" s="254">
        <f t="shared" ca="1" si="275"/>
        <v>6014.1270299999996</v>
      </c>
      <c r="P287" s="253">
        <f t="shared" ca="1" si="275"/>
        <v>1329.7824497739659</v>
      </c>
      <c r="Q287" s="253">
        <f t="shared" ca="1" si="275"/>
        <v>1329.7824497739659</v>
      </c>
      <c r="R287" s="253">
        <f t="shared" ca="1" si="275"/>
        <v>1329.7824497739659</v>
      </c>
      <c r="S287" s="253">
        <f t="shared" ca="1" si="276"/>
        <v>6014.1270299999996</v>
      </c>
      <c r="T287" s="253">
        <f t="shared" ca="1" si="276"/>
        <v>9421.5769756446825</v>
      </c>
      <c r="U287" s="254">
        <f t="shared" ca="1" si="276"/>
        <v>167276.44709999999</v>
      </c>
      <c r="V287" s="253">
        <f t="shared" ca="1" si="276"/>
        <v>24589.713802416529</v>
      </c>
      <c r="W287" s="253">
        <f t="shared" ca="1" si="276"/>
        <v>24589.713802416529</v>
      </c>
      <c r="X287" s="253">
        <f t="shared" ca="1" si="276"/>
        <v>24589.713802416529</v>
      </c>
      <c r="Y287" s="253">
        <f t="shared" ca="1" si="276"/>
        <v>167276.44709999999</v>
      </c>
      <c r="Z287" s="253">
        <f t="shared" ca="1" si="276"/>
        <v>262050.98673564362</v>
      </c>
      <c r="AA287" s="254">
        <f t="shared" ca="1" si="276"/>
        <v>41.821384000000002</v>
      </c>
      <c r="AB287" s="253">
        <f t="shared" ca="1" si="276"/>
        <v>11.371441836978853</v>
      </c>
      <c r="AC287" s="253">
        <f t="shared" ca="1" si="277"/>
        <v>11.371441836978853</v>
      </c>
      <c r="AD287" s="253">
        <f t="shared" ca="1" si="277"/>
        <v>11.371441836978853</v>
      </c>
      <c r="AE287" s="253">
        <f t="shared" ca="1" si="277"/>
        <v>41.821384000000002</v>
      </c>
      <c r="AF287" s="253">
        <f t="shared" ca="1" si="277"/>
        <v>65.516306293250167</v>
      </c>
      <c r="AG287" s="254">
        <f t="shared" ca="1" si="277"/>
        <v>9391.2142199999998</v>
      </c>
      <c r="AH287" s="253">
        <f t="shared" ca="1" si="277"/>
        <v>2550.2922506398177</v>
      </c>
      <c r="AI287" s="253">
        <f t="shared" ca="1" si="277"/>
        <v>2550.2922506398177</v>
      </c>
      <c r="AJ287" s="253">
        <f t="shared" ca="1" si="277"/>
        <v>2550.2922506398177</v>
      </c>
      <c r="AK287" s="253">
        <f t="shared" ca="1" si="277"/>
        <v>9391.2142199999998</v>
      </c>
      <c r="AL287" s="253">
        <f t="shared" ca="1" si="277"/>
        <v>14712.035051327963</v>
      </c>
      <c r="AM287" s="254">
        <f t="shared" ca="1" si="278"/>
        <v>7570.8649800000003</v>
      </c>
      <c r="AN287" s="253">
        <f t="shared" ca="1" si="278"/>
        <v>2129.007404828526</v>
      </c>
      <c r="AO287" s="253">
        <f t="shared" ca="1" si="278"/>
        <v>2129.007404828526</v>
      </c>
      <c r="AP287" s="253">
        <f t="shared" ca="1" si="278"/>
        <v>2129.007404828526</v>
      </c>
      <c r="AQ287" s="253">
        <f t="shared" ca="1" si="278"/>
        <v>7570.8649800000003</v>
      </c>
      <c r="AR287" s="253">
        <f t="shared" ca="1" si="278"/>
        <v>11860.322674508363</v>
      </c>
      <c r="AS287" s="254">
        <f t="shared" ca="1" si="278"/>
        <v>424133.01460000011</v>
      </c>
      <c r="AT287" s="253">
        <f t="shared" ca="1" si="278"/>
        <v>81247.342689196783</v>
      </c>
      <c r="AU287" s="253">
        <f t="shared" ca="1" si="278"/>
        <v>81247.342689196783</v>
      </c>
      <c r="AV287" s="253">
        <f t="shared" ca="1" si="278"/>
        <v>81247.342689196783</v>
      </c>
      <c r="AW287" s="253">
        <f t="shared" ca="1" si="278"/>
        <v>424133.01460000011</v>
      </c>
      <c r="AX287" s="255">
        <f t="shared" ca="1" si="278"/>
        <v>664435.88986947795</v>
      </c>
      <c r="AY287" s="1"/>
      <c r="AZ287" s="1368"/>
      <c r="BA287" s="1"/>
      <c r="BB287" s="1370" t="s">
        <v>704</v>
      </c>
      <c r="BC287" s="1371"/>
      <c r="BD287" s="904">
        <v>46.35</v>
      </c>
      <c r="BE287">
        <v>46.35</v>
      </c>
      <c r="BF287">
        <v>46.35</v>
      </c>
      <c r="BG287">
        <v>46.35</v>
      </c>
      <c r="BH287">
        <v>46.35</v>
      </c>
      <c r="BI287">
        <v>46.35</v>
      </c>
      <c r="BJ287">
        <v>332.14</v>
      </c>
      <c r="BK287">
        <v>46.35</v>
      </c>
      <c r="BL287">
        <v>46.35</v>
      </c>
      <c r="BM287">
        <v>46.35</v>
      </c>
      <c r="BN287">
        <v>46.35</v>
      </c>
      <c r="BO287">
        <v>46.35</v>
      </c>
      <c r="BP287">
        <v>46.35</v>
      </c>
      <c r="BQ287">
        <v>46.35</v>
      </c>
      <c r="BR287">
        <v>46.35</v>
      </c>
      <c r="BS287">
        <v>46.35</v>
      </c>
      <c r="BT287">
        <v>46.35</v>
      </c>
      <c r="BU287">
        <v>46.35</v>
      </c>
      <c r="BV287">
        <v>46.35</v>
      </c>
      <c r="BW287">
        <v>332.14</v>
      </c>
      <c r="BX287" s="847">
        <v>244.54</v>
      </c>
    </row>
    <row r="288" spans="2:76" x14ac:dyDescent="0.25">
      <c r="B288" s="1343"/>
      <c r="D288" s="1355"/>
      <c r="F288" s="265"/>
      <c r="G288" s="209" t="s">
        <v>105</v>
      </c>
      <c r="H288" s="209"/>
      <c r="I288" s="253">
        <f t="shared" ref="I288:R298" ca="1" si="279">SUMPRODUCT(OFFSET($I$449,0,MATCH(I$8,$I$433:$O$433,0)-1,3,1),OFFSET($T$449,0,MATCH($G288,$T$433:$AN$433,0)-1,3,1),OFFSET($I$494,0,MATCH(I$7,$I$493:$L$493,0)-1,3,1))</f>
        <v>503.55396800000005</v>
      </c>
      <c r="J288" s="253">
        <f t="shared" ca="1" si="279"/>
        <v>179.97072151815769</v>
      </c>
      <c r="K288" s="253">
        <f t="shared" ca="1" si="279"/>
        <v>179.97072151815769</v>
      </c>
      <c r="L288" s="253">
        <f t="shared" ca="1" si="279"/>
        <v>179.97072151815769</v>
      </c>
      <c r="M288" s="253">
        <f t="shared" ca="1" si="279"/>
        <v>503.55396800000005</v>
      </c>
      <c r="N288" s="253">
        <f t="shared" ca="1" si="279"/>
        <v>788.85471611053072</v>
      </c>
      <c r="O288" s="254">
        <f t="shared" ca="1" si="279"/>
        <v>6014.1270299999996</v>
      </c>
      <c r="P288" s="253">
        <f t="shared" ca="1" si="279"/>
        <v>1329.7824497739659</v>
      </c>
      <c r="Q288" s="253">
        <f t="shared" ca="1" si="279"/>
        <v>1329.7824497739659</v>
      </c>
      <c r="R288" s="253">
        <f t="shared" ca="1" si="279"/>
        <v>1329.7824497739659</v>
      </c>
      <c r="S288" s="253">
        <f t="shared" ref="S288:AB298" ca="1" si="280">SUMPRODUCT(OFFSET($I$449,0,MATCH(S$8,$I$433:$O$433,0)-1,3,1),OFFSET($T$449,0,MATCH($G288,$T$433:$AN$433,0)-1,3,1),OFFSET($I$494,0,MATCH(S$7,$I$493:$L$493,0)-1,3,1))</f>
        <v>6014.1270299999996</v>
      </c>
      <c r="T288" s="253">
        <f t="shared" ca="1" si="280"/>
        <v>9421.5769756446825</v>
      </c>
      <c r="U288" s="254">
        <f t="shared" ca="1" si="280"/>
        <v>167276.44709999999</v>
      </c>
      <c r="V288" s="253">
        <f t="shared" ca="1" si="280"/>
        <v>24589.713802416529</v>
      </c>
      <c r="W288" s="253">
        <f t="shared" ca="1" si="280"/>
        <v>24589.713802416529</v>
      </c>
      <c r="X288" s="253">
        <f t="shared" ca="1" si="280"/>
        <v>24589.713802416529</v>
      </c>
      <c r="Y288" s="253">
        <f t="shared" ca="1" si="280"/>
        <v>167276.44709999999</v>
      </c>
      <c r="Z288" s="253">
        <f t="shared" ca="1" si="280"/>
        <v>262050.98673564362</v>
      </c>
      <c r="AA288" s="254">
        <f t="shared" ca="1" si="280"/>
        <v>41.821384000000002</v>
      </c>
      <c r="AB288" s="253">
        <f t="shared" ca="1" si="280"/>
        <v>11.371441836978853</v>
      </c>
      <c r="AC288" s="253">
        <f t="shared" ref="AC288:AL298" ca="1" si="281">SUMPRODUCT(OFFSET($I$449,0,MATCH(AC$8,$I$433:$O$433,0)-1,3,1),OFFSET($T$449,0,MATCH($G288,$T$433:$AN$433,0)-1,3,1),OFFSET($I$494,0,MATCH(AC$7,$I$493:$L$493,0)-1,3,1))</f>
        <v>11.371441836978853</v>
      </c>
      <c r="AD288" s="253">
        <f t="shared" ca="1" si="281"/>
        <v>11.371441836978853</v>
      </c>
      <c r="AE288" s="253">
        <f t="shared" ca="1" si="281"/>
        <v>41.821384000000002</v>
      </c>
      <c r="AF288" s="253">
        <f t="shared" ca="1" si="281"/>
        <v>65.516306293250167</v>
      </c>
      <c r="AG288" s="254">
        <f t="shared" ca="1" si="281"/>
        <v>9391.2142199999998</v>
      </c>
      <c r="AH288" s="253">
        <f t="shared" ca="1" si="281"/>
        <v>2550.2922506398177</v>
      </c>
      <c r="AI288" s="253">
        <f t="shared" ca="1" si="281"/>
        <v>2550.2922506398177</v>
      </c>
      <c r="AJ288" s="253">
        <f t="shared" ca="1" si="281"/>
        <v>2550.2922506398177</v>
      </c>
      <c r="AK288" s="253">
        <f t="shared" ca="1" si="281"/>
        <v>9391.2142199999998</v>
      </c>
      <c r="AL288" s="253">
        <f t="shared" ca="1" si="281"/>
        <v>14712.035051327963</v>
      </c>
      <c r="AM288" s="254">
        <f t="shared" ref="AM288:AX298" ca="1" si="282">SUMPRODUCT(OFFSET($I$449,0,MATCH(AM$8,$I$433:$O$433,0)-1,3,1),OFFSET($T$449,0,MATCH($G288,$T$433:$AN$433,0)-1,3,1),OFFSET($I$494,0,MATCH(AM$7,$I$493:$L$493,0)-1,3,1))</f>
        <v>7570.8649800000003</v>
      </c>
      <c r="AN288" s="253">
        <f t="shared" ca="1" si="282"/>
        <v>2129.007404828526</v>
      </c>
      <c r="AO288" s="253">
        <f t="shared" ca="1" si="282"/>
        <v>2129.007404828526</v>
      </c>
      <c r="AP288" s="253">
        <f t="shared" ca="1" si="282"/>
        <v>2129.007404828526</v>
      </c>
      <c r="AQ288" s="253">
        <f t="shared" ca="1" si="282"/>
        <v>7570.8649800000003</v>
      </c>
      <c r="AR288" s="253">
        <f t="shared" ca="1" si="282"/>
        <v>11860.322674508363</v>
      </c>
      <c r="AS288" s="254">
        <f t="shared" ca="1" si="282"/>
        <v>424133.01460000011</v>
      </c>
      <c r="AT288" s="253">
        <f t="shared" ca="1" si="282"/>
        <v>81247.342689196783</v>
      </c>
      <c r="AU288" s="253">
        <f t="shared" ca="1" si="282"/>
        <v>81247.342689196783</v>
      </c>
      <c r="AV288" s="253">
        <f t="shared" ca="1" si="282"/>
        <v>81247.342689196783</v>
      </c>
      <c r="AW288" s="253">
        <f t="shared" ca="1" si="282"/>
        <v>424133.01460000011</v>
      </c>
      <c r="AX288" s="255">
        <f t="shared" ca="1" si="282"/>
        <v>664435.88986947795</v>
      </c>
      <c r="AY288" s="1"/>
      <c r="AZ288" s="1369"/>
      <c r="BA288" s="1"/>
      <c r="BB288" s="1365" t="s">
        <v>684</v>
      </c>
      <c r="BC288" s="1366"/>
      <c r="BD288" s="908">
        <v>0.4667</v>
      </c>
      <c r="BE288" s="959">
        <v>0.4667</v>
      </c>
      <c r="BF288" s="959">
        <v>0.4667</v>
      </c>
      <c r="BG288" s="959">
        <v>0.4667</v>
      </c>
      <c r="BH288" s="959">
        <v>0.4667</v>
      </c>
      <c r="BI288" s="959">
        <v>0.4667</v>
      </c>
      <c r="BJ288" s="959">
        <v>1.98</v>
      </c>
      <c r="BK288" s="959">
        <v>0.4667</v>
      </c>
      <c r="BL288" s="959">
        <v>0.4667</v>
      </c>
      <c r="BM288" s="959">
        <v>0.4667</v>
      </c>
      <c r="BN288" s="959">
        <v>0.4667</v>
      </c>
      <c r="BO288" s="959">
        <v>0.4667</v>
      </c>
      <c r="BP288" s="959">
        <v>0.4667</v>
      </c>
      <c r="BQ288" s="959">
        <v>0.4667</v>
      </c>
      <c r="BR288" s="959">
        <v>0.4667</v>
      </c>
      <c r="BS288" s="959">
        <v>0.4667</v>
      </c>
      <c r="BT288" s="959">
        <v>0.4667</v>
      </c>
      <c r="BU288" s="959">
        <v>0.4667</v>
      </c>
      <c r="BV288" s="959">
        <v>0.4667</v>
      </c>
      <c r="BW288" s="959">
        <v>1.98</v>
      </c>
      <c r="BX288" s="848">
        <v>1.46</v>
      </c>
    </row>
    <row r="289" spans="2:58" x14ac:dyDescent="0.25">
      <c r="B289" s="1343"/>
      <c r="D289" s="1355"/>
      <c r="F289" s="270"/>
      <c r="G289" s="209" t="s">
        <v>111</v>
      </c>
      <c r="H289" s="209"/>
      <c r="I289" s="253">
        <f t="shared" ca="1" si="279"/>
        <v>503.55396800000005</v>
      </c>
      <c r="J289" s="253">
        <f t="shared" ca="1" si="279"/>
        <v>179.97072151815769</v>
      </c>
      <c r="K289" s="253">
        <f t="shared" ca="1" si="279"/>
        <v>179.97072151815769</v>
      </c>
      <c r="L289" s="253">
        <f t="shared" ca="1" si="279"/>
        <v>179.97072151815769</v>
      </c>
      <c r="M289" s="253">
        <f t="shared" ca="1" si="279"/>
        <v>503.55396800000005</v>
      </c>
      <c r="N289" s="253">
        <f t="shared" ca="1" si="279"/>
        <v>788.85471611053072</v>
      </c>
      <c r="O289" s="254">
        <f t="shared" ca="1" si="279"/>
        <v>6014.1270299999996</v>
      </c>
      <c r="P289" s="253">
        <f t="shared" ca="1" si="279"/>
        <v>1329.7824497739659</v>
      </c>
      <c r="Q289" s="253">
        <f t="shared" ca="1" si="279"/>
        <v>1329.7824497739659</v>
      </c>
      <c r="R289" s="253">
        <f t="shared" ca="1" si="279"/>
        <v>1329.7824497739659</v>
      </c>
      <c r="S289" s="253">
        <f t="shared" ca="1" si="280"/>
        <v>6014.1270299999996</v>
      </c>
      <c r="T289" s="253">
        <f t="shared" ca="1" si="280"/>
        <v>9421.5769756446825</v>
      </c>
      <c r="U289" s="254">
        <f t="shared" ca="1" si="280"/>
        <v>167276.44709999999</v>
      </c>
      <c r="V289" s="253">
        <f t="shared" ca="1" si="280"/>
        <v>24589.713802416529</v>
      </c>
      <c r="W289" s="253">
        <f t="shared" ca="1" si="280"/>
        <v>24589.713802416529</v>
      </c>
      <c r="X289" s="253">
        <f t="shared" ca="1" si="280"/>
        <v>24589.713802416529</v>
      </c>
      <c r="Y289" s="253">
        <f t="shared" ca="1" si="280"/>
        <v>167276.44709999999</v>
      </c>
      <c r="Z289" s="253">
        <f t="shared" ca="1" si="280"/>
        <v>262050.98673564362</v>
      </c>
      <c r="AA289" s="254">
        <f t="shared" ca="1" si="280"/>
        <v>41.821384000000002</v>
      </c>
      <c r="AB289" s="253">
        <f t="shared" ca="1" si="280"/>
        <v>11.371441836978853</v>
      </c>
      <c r="AC289" s="253">
        <f t="shared" ca="1" si="281"/>
        <v>11.371441836978853</v>
      </c>
      <c r="AD289" s="253">
        <f t="shared" ca="1" si="281"/>
        <v>11.371441836978853</v>
      </c>
      <c r="AE289" s="253">
        <f t="shared" ca="1" si="281"/>
        <v>41.821384000000002</v>
      </c>
      <c r="AF289" s="253">
        <f t="shared" ca="1" si="281"/>
        <v>65.516306293250167</v>
      </c>
      <c r="AG289" s="254">
        <f t="shared" ca="1" si="281"/>
        <v>9391.2142199999998</v>
      </c>
      <c r="AH289" s="253">
        <f t="shared" ca="1" si="281"/>
        <v>2550.2922506398177</v>
      </c>
      <c r="AI289" s="253">
        <f t="shared" ca="1" si="281"/>
        <v>2550.2922506398177</v>
      </c>
      <c r="AJ289" s="253">
        <f t="shared" ca="1" si="281"/>
        <v>2550.2922506398177</v>
      </c>
      <c r="AK289" s="253">
        <f t="shared" ca="1" si="281"/>
        <v>9391.2142199999998</v>
      </c>
      <c r="AL289" s="253">
        <f t="shared" ca="1" si="281"/>
        <v>14712.035051327963</v>
      </c>
      <c r="AM289" s="254">
        <f t="shared" ca="1" si="282"/>
        <v>7570.8649800000003</v>
      </c>
      <c r="AN289" s="253">
        <f t="shared" ca="1" si="282"/>
        <v>2129.007404828526</v>
      </c>
      <c r="AO289" s="253">
        <f t="shared" ca="1" si="282"/>
        <v>2129.007404828526</v>
      </c>
      <c r="AP289" s="253">
        <f t="shared" ca="1" si="282"/>
        <v>2129.007404828526</v>
      </c>
      <c r="AQ289" s="253">
        <f t="shared" ca="1" si="282"/>
        <v>7570.8649800000003</v>
      </c>
      <c r="AR289" s="253">
        <f t="shared" ca="1" si="282"/>
        <v>11860.322674508363</v>
      </c>
      <c r="AS289" s="254">
        <f t="shared" ca="1" si="282"/>
        <v>424133.01460000011</v>
      </c>
      <c r="AT289" s="253">
        <f t="shared" ca="1" si="282"/>
        <v>81247.342689196783</v>
      </c>
      <c r="AU289" s="253">
        <f t="shared" ca="1" si="282"/>
        <v>81247.342689196783</v>
      </c>
      <c r="AV289" s="253">
        <f t="shared" ca="1" si="282"/>
        <v>81247.342689196783</v>
      </c>
      <c r="AW289" s="253">
        <f t="shared" ca="1" si="282"/>
        <v>424133.01460000011</v>
      </c>
      <c r="AX289" s="255">
        <f t="shared" ca="1" si="282"/>
        <v>664435.88986947795</v>
      </c>
      <c r="AY289" s="1"/>
      <c r="AZ289" s="1"/>
      <c r="BA289" s="1"/>
      <c r="BB289" s="1"/>
      <c r="BC289" s="985" t="s">
        <v>1557</v>
      </c>
      <c r="BD289" s="1"/>
      <c r="BE289" s="1"/>
      <c r="BF289" s="1"/>
    </row>
    <row r="290" spans="2:58" x14ac:dyDescent="0.25">
      <c r="B290" s="1343"/>
      <c r="D290" s="1355"/>
      <c r="F290" s="270"/>
      <c r="G290" s="209" t="s">
        <v>109</v>
      </c>
      <c r="H290" s="209"/>
      <c r="I290" s="253">
        <f t="shared" ca="1" si="279"/>
        <v>503.55396800000005</v>
      </c>
      <c r="J290" s="253">
        <f t="shared" ca="1" si="279"/>
        <v>179.97072151815769</v>
      </c>
      <c r="K290" s="253">
        <f t="shared" ca="1" si="279"/>
        <v>179.97072151815769</v>
      </c>
      <c r="L290" s="253">
        <f t="shared" ca="1" si="279"/>
        <v>179.97072151815769</v>
      </c>
      <c r="M290" s="253">
        <f t="shared" ca="1" si="279"/>
        <v>503.55396800000005</v>
      </c>
      <c r="N290" s="253">
        <f t="shared" ca="1" si="279"/>
        <v>788.85471611053072</v>
      </c>
      <c r="O290" s="254">
        <f t="shared" ca="1" si="279"/>
        <v>6014.1270299999996</v>
      </c>
      <c r="P290" s="253">
        <f t="shared" ca="1" si="279"/>
        <v>1329.7824497739659</v>
      </c>
      <c r="Q290" s="253">
        <f t="shared" ca="1" si="279"/>
        <v>1329.7824497739659</v>
      </c>
      <c r="R290" s="253">
        <f t="shared" ca="1" si="279"/>
        <v>1329.7824497739659</v>
      </c>
      <c r="S290" s="253">
        <f t="shared" ca="1" si="280"/>
        <v>6014.1270299999996</v>
      </c>
      <c r="T290" s="253">
        <f t="shared" ca="1" si="280"/>
        <v>9421.5769756446825</v>
      </c>
      <c r="U290" s="254">
        <f t="shared" ca="1" si="280"/>
        <v>167276.44709999999</v>
      </c>
      <c r="V290" s="253">
        <f t="shared" ca="1" si="280"/>
        <v>24589.713802416529</v>
      </c>
      <c r="W290" s="253">
        <f t="shared" ca="1" si="280"/>
        <v>24589.713802416529</v>
      </c>
      <c r="X290" s="253">
        <f t="shared" ca="1" si="280"/>
        <v>24589.713802416529</v>
      </c>
      <c r="Y290" s="253">
        <f t="shared" ca="1" si="280"/>
        <v>167276.44709999999</v>
      </c>
      <c r="Z290" s="253">
        <f t="shared" ca="1" si="280"/>
        <v>262050.98673564362</v>
      </c>
      <c r="AA290" s="254">
        <f t="shared" ca="1" si="280"/>
        <v>41.821384000000002</v>
      </c>
      <c r="AB290" s="253">
        <f t="shared" ca="1" si="280"/>
        <v>11.371441836978853</v>
      </c>
      <c r="AC290" s="253">
        <f t="shared" ca="1" si="281"/>
        <v>11.371441836978853</v>
      </c>
      <c r="AD290" s="253">
        <f t="shared" ca="1" si="281"/>
        <v>11.371441836978853</v>
      </c>
      <c r="AE290" s="253">
        <f t="shared" ca="1" si="281"/>
        <v>41.821384000000002</v>
      </c>
      <c r="AF290" s="253">
        <f t="shared" ca="1" si="281"/>
        <v>65.516306293250167</v>
      </c>
      <c r="AG290" s="254">
        <f t="shared" ca="1" si="281"/>
        <v>9391.2142199999998</v>
      </c>
      <c r="AH290" s="253">
        <f t="shared" ca="1" si="281"/>
        <v>2550.2922506398177</v>
      </c>
      <c r="AI290" s="253">
        <f t="shared" ca="1" si="281"/>
        <v>2550.2922506398177</v>
      </c>
      <c r="AJ290" s="253">
        <f t="shared" ca="1" si="281"/>
        <v>2550.2922506398177</v>
      </c>
      <c r="AK290" s="253">
        <f t="shared" ca="1" si="281"/>
        <v>9391.2142199999998</v>
      </c>
      <c r="AL290" s="253">
        <f t="shared" ca="1" si="281"/>
        <v>14712.035051327963</v>
      </c>
      <c r="AM290" s="254">
        <f t="shared" ca="1" si="282"/>
        <v>7570.8649800000003</v>
      </c>
      <c r="AN290" s="253">
        <f t="shared" ca="1" si="282"/>
        <v>2129.007404828526</v>
      </c>
      <c r="AO290" s="253">
        <f t="shared" ca="1" si="282"/>
        <v>2129.007404828526</v>
      </c>
      <c r="AP290" s="253">
        <f t="shared" ca="1" si="282"/>
        <v>2129.007404828526</v>
      </c>
      <c r="AQ290" s="253">
        <f t="shared" ca="1" si="282"/>
        <v>7570.8649800000003</v>
      </c>
      <c r="AR290" s="253">
        <f t="shared" ca="1" si="282"/>
        <v>11860.322674508363</v>
      </c>
      <c r="AS290" s="254">
        <f t="shared" ca="1" si="282"/>
        <v>424133.01460000011</v>
      </c>
      <c r="AT290" s="253">
        <f t="shared" ca="1" si="282"/>
        <v>81247.342689196783</v>
      </c>
      <c r="AU290" s="253">
        <f t="shared" ca="1" si="282"/>
        <v>81247.342689196783</v>
      </c>
      <c r="AV290" s="253">
        <f t="shared" ca="1" si="282"/>
        <v>81247.342689196783</v>
      </c>
      <c r="AW290" s="253">
        <f t="shared" ca="1" si="282"/>
        <v>424133.01460000011</v>
      </c>
      <c r="AX290" s="255">
        <f t="shared" ca="1" si="282"/>
        <v>664435.88986947795</v>
      </c>
      <c r="AY290" s="1"/>
      <c r="AZ290" s="1"/>
      <c r="BA290" s="1"/>
      <c r="BB290" s="1"/>
      <c r="BC290" s="1"/>
      <c r="BD290" s="1"/>
      <c r="BE290" s="1"/>
      <c r="BF290" s="1"/>
    </row>
    <row r="291" spans="2:58" x14ac:dyDescent="0.25">
      <c r="B291" s="1343"/>
      <c r="D291" s="1355"/>
      <c r="F291" s="270"/>
      <c r="G291" s="209" t="s">
        <v>99</v>
      </c>
      <c r="H291" s="209"/>
      <c r="I291" s="253">
        <f t="shared" ca="1" si="279"/>
        <v>503.55396800000005</v>
      </c>
      <c r="J291" s="253">
        <f t="shared" ca="1" si="279"/>
        <v>179.97072151815769</v>
      </c>
      <c r="K291" s="253">
        <f t="shared" ca="1" si="279"/>
        <v>179.97072151815769</v>
      </c>
      <c r="L291" s="253">
        <f t="shared" ca="1" si="279"/>
        <v>179.97072151815769</v>
      </c>
      <c r="M291" s="253">
        <f t="shared" ca="1" si="279"/>
        <v>503.55396800000005</v>
      </c>
      <c r="N291" s="253">
        <f t="shared" ca="1" si="279"/>
        <v>788.85471611053072</v>
      </c>
      <c r="O291" s="254">
        <f t="shared" ca="1" si="279"/>
        <v>6014.1270299999996</v>
      </c>
      <c r="P291" s="253">
        <f t="shared" ca="1" si="279"/>
        <v>1329.7824497739659</v>
      </c>
      <c r="Q291" s="253">
        <f t="shared" ca="1" si="279"/>
        <v>1329.7824497739659</v>
      </c>
      <c r="R291" s="253">
        <f t="shared" ca="1" si="279"/>
        <v>1329.7824497739659</v>
      </c>
      <c r="S291" s="253">
        <f t="shared" ca="1" si="280"/>
        <v>6014.1270299999996</v>
      </c>
      <c r="T291" s="253">
        <f t="shared" ca="1" si="280"/>
        <v>9421.5769756446825</v>
      </c>
      <c r="U291" s="254">
        <f t="shared" ca="1" si="280"/>
        <v>167276.44709999999</v>
      </c>
      <c r="V291" s="253">
        <f t="shared" ca="1" si="280"/>
        <v>24589.713802416529</v>
      </c>
      <c r="W291" s="253">
        <f t="shared" ca="1" si="280"/>
        <v>24589.713802416529</v>
      </c>
      <c r="X291" s="253">
        <f t="shared" ca="1" si="280"/>
        <v>24589.713802416529</v>
      </c>
      <c r="Y291" s="253">
        <f t="shared" ca="1" si="280"/>
        <v>167276.44709999999</v>
      </c>
      <c r="Z291" s="253">
        <f t="shared" ca="1" si="280"/>
        <v>262050.98673564362</v>
      </c>
      <c r="AA291" s="254">
        <f t="shared" ca="1" si="280"/>
        <v>41.821384000000002</v>
      </c>
      <c r="AB291" s="253">
        <f t="shared" ca="1" si="280"/>
        <v>11.371441836978853</v>
      </c>
      <c r="AC291" s="253">
        <f t="shared" ca="1" si="281"/>
        <v>11.371441836978853</v>
      </c>
      <c r="AD291" s="253">
        <f t="shared" ca="1" si="281"/>
        <v>11.371441836978853</v>
      </c>
      <c r="AE291" s="253">
        <f t="shared" ca="1" si="281"/>
        <v>41.821384000000002</v>
      </c>
      <c r="AF291" s="253">
        <f t="shared" ca="1" si="281"/>
        <v>65.516306293250167</v>
      </c>
      <c r="AG291" s="254">
        <f t="shared" ca="1" si="281"/>
        <v>9391.2142199999998</v>
      </c>
      <c r="AH291" s="253">
        <f t="shared" ca="1" si="281"/>
        <v>2550.2922506398177</v>
      </c>
      <c r="AI291" s="253">
        <f t="shared" ca="1" si="281"/>
        <v>2550.2922506398177</v>
      </c>
      <c r="AJ291" s="253">
        <f t="shared" ca="1" si="281"/>
        <v>2550.2922506398177</v>
      </c>
      <c r="AK291" s="253">
        <f t="shared" ca="1" si="281"/>
        <v>9391.2142199999998</v>
      </c>
      <c r="AL291" s="253">
        <f t="shared" ca="1" si="281"/>
        <v>14712.035051327963</v>
      </c>
      <c r="AM291" s="254">
        <f t="shared" ca="1" si="282"/>
        <v>7570.8649800000003</v>
      </c>
      <c r="AN291" s="253">
        <f t="shared" ca="1" si="282"/>
        <v>2129.007404828526</v>
      </c>
      <c r="AO291" s="253">
        <f t="shared" ca="1" si="282"/>
        <v>2129.007404828526</v>
      </c>
      <c r="AP291" s="253">
        <f t="shared" ca="1" si="282"/>
        <v>2129.007404828526</v>
      </c>
      <c r="AQ291" s="253">
        <f t="shared" ca="1" si="282"/>
        <v>7570.8649800000003</v>
      </c>
      <c r="AR291" s="253">
        <f t="shared" ca="1" si="282"/>
        <v>11860.322674508363</v>
      </c>
      <c r="AS291" s="254">
        <f t="shared" ca="1" si="282"/>
        <v>424133.01460000011</v>
      </c>
      <c r="AT291" s="253">
        <f t="shared" ca="1" si="282"/>
        <v>81247.342689196783</v>
      </c>
      <c r="AU291" s="253">
        <f t="shared" ca="1" si="282"/>
        <v>81247.342689196783</v>
      </c>
      <c r="AV291" s="253">
        <f t="shared" ca="1" si="282"/>
        <v>81247.342689196783</v>
      </c>
      <c r="AW291" s="253">
        <f t="shared" ca="1" si="282"/>
        <v>424133.01460000011</v>
      </c>
      <c r="AX291" s="255">
        <f t="shared" ca="1" si="282"/>
        <v>664435.88986947795</v>
      </c>
      <c r="AY291" s="1"/>
      <c r="AZ291" s="1"/>
      <c r="BA291" s="1"/>
      <c r="BB291" s="1"/>
      <c r="BC291" s="1"/>
      <c r="BD291" s="1"/>
      <c r="BE291" s="1"/>
      <c r="BF291" s="1"/>
    </row>
    <row r="292" spans="2:58" x14ac:dyDescent="0.25">
      <c r="B292" s="1343"/>
      <c r="D292" s="1355"/>
      <c r="F292" s="265"/>
      <c r="G292" s="209" t="s">
        <v>106</v>
      </c>
      <c r="H292" s="209"/>
      <c r="I292" s="253">
        <f t="shared" ca="1" si="279"/>
        <v>503.55396800000005</v>
      </c>
      <c r="J292" s="253">
        <f t="shared" ca="1" si="279"/>
        <v>179.97072151815769</v>
      </c>
      <c r="K292" s="253">
        <f t="shared" ca="1" si="279"/>
        <v>179.97072151815769</v>
      </c>
      <c r="L292" s="253">
        <f t="shared" ca="1" si="279"/>
        <v>179.97072151815769</v>
      </c>
      <c r="M292" s="253">
        <f t="shared" ca="1" si="279"/>
        <v>503.55396800000005</v>
      </c>
      <c r="N292" s="253">
        <f t="shared" ca="1" si="279"/>
        <v>788.85471611053072</v>
      </c>
      <c r="O292" s="254">
        <f t="shared" ca="1" si="279"/>
        <v>6014.1270299999996</v>
      </c>
      <c r="P292" s="253">
        <f t="shared" ca="1" si="279"/>
        <v>1329.7824497739659</v>
      </c>
      <c r="Q292" s="253">
        <f t="shared" ca="1" si="279"/>
        <v>1329.7824497739659</v>
      </c>
      <c r="R292" s="253">
        <f t="shared" ca="1" si="279"/>
        <v>1329.7824497739659</v>
      </c>
      <c r="S292" s="253">
        <f t="shared" ca="1" si="280"/>
        <v>6014.1270299999996</v>
      </c>
      <c r="T292" s="253">
        <f t="shared" ca="1" si="280"/>
        <v>9421.5769756446825</v>
      </c>
      <c r="U292" s="254">
        <f t="shared" ca="1" si="280"/>
        <v>167276.44709999999</v>
      </c>
      <c r="V292" s="253">
        <f t="shared" ca="1" si="280"/>
        <v>24589.713802416529</v>
      </c>
      <c r="W292" s="253">
        <f t="shared" ca="1" si="280"/>
        <v>24589.713802416529</v>
      </c>
      <c r="X292" s="253">
        <f t="shared" ca="1" si="280"/>
        <v>24589.713802416529</v>
      </c>
      <c r="Y292" s="253">
        <f t="shared" ca="1" si="280"/>
        <v>167276.44709999999</v>
      </c>
      <c r="Z292" s="253">
        <f t="shared" ca="1" si="280"/>
        <v>262050.98673564362</v>
      </c>
      <c r="AA292" s="254">
        <f t="shared" ca="1" si="280"/>
        <v>41.821384000000002</v>
      </c>
      <c r="AB292" s="253">
        <f t="shared" ca="1" si="280"/>
        <v>11.371441836978853</v>
      </c>
      <c r="AC292" s="253">
        <f t="shared" ca="1" si="281"/>
        <v>11.371441836978853</v>
      </c>
      <c r="AD292" s="253">
        <f t="shared" ca="1" si="281"/>
        <v>11.371441836978853</v>
      </c>
      <c r="AE292" s="253">
        <f t="shared" ca="1" si="281"/>
        <v>41.821384000000002</v>
      </c>
      <c r="AF292" s="253">
        <f t="shared" ca="1" si="281"/>
        <v>65.516306293250167</v>
      </c>
      <c r="AG292" s="254">
        <f t="shared" ca="1" si="281"/>
        <v>9391.2142199999998</v>
      </c>
      <c r="AH292" s="253">
        <f t="shared" ca="1" si="281"/>
        <v>2550.2922506398177</v>
      </c>
      <c r="AI292" s="253">
        <f t="shared" ca="1" si="281"/>
        <v>2550.2922506398177</v>
      </c>
      <c r="AJ292" s="253">
        <f t="shared" ca="1" si="281"/>
        <v>2550.2922506398177</v>
      </c>
      <c r="AK292" s="253">
        <f t="shared" ca="1" si="281"/>
        <v>9391.2142199999998</v>
      </c>
      <c r="AL292" s="253">
        <f t="shared" ca="1" si="281"/>
        <v>14712.035051327963</v>
      </c>
      <c r="AM292" s="254">
        <f t="shared" ca="1" si="282"/>
        <v>7570.8649800000003</v>
      </c>
      <c r="AN292" s="253">
        <f t="shared" ca="1" si="282"/>
        <v>2129.007404828526</v>
      </c>
      <c r="AO292" s="253">
        <f t="shared" ca="1" si="282"/>
        <v>2129.007404828526</v>
      </c>
      <c r="AP292" s="253">
        <f t="shared" ca="1" si="282"/>
        <v>2129.007404828526</v>
      </c>
      <c r="AQ292" s="253">
        <f t="shared" ca="1" si="282"/>
        <v>7570.8649800000003</v>
      </c>
      <c r="AR292" s="253">
        <f t="shared" ca="1" si="282"/>
        <v>11860.322674508363</v>
      </c>
      <c r="AS292" s="254">
        <f t="shared" ca="1" si="282"/>
        <v>424133.01460000011</v>
      </c>
      <c r="AT292" s="253">
        <f t="shared" ca="1" si="282"/>
        <v>81247.342689196783</v>
      </c>
      <c r="AU292" s="253">
        <f t="shared" ca="1" si="282"/>
        <v>81247.342689196783</v>
      </c>
      <c r="AV292" s="253">
        <f t="shared" ca="1" si="282"/>
        <v>81247.342689196783</v>
      </c>
      <c r="AW292" s="253">
        <f t="shared" ca="1" si="282"/>
        <v>424133.01460000011</v>
      </c>
      <c r="AX292" s="255">
        <f t="shared" ca="1" si="282"/>
        <v>664435.88986947795</v>
      </c>
      <c r="AY292" s="1"/>
      <c r="AZ292" s="1"/>
      <c r="BA292" s="1"/>
      <c r="BB292" s="1"/>
      <c r="BC292" s="1"/>
      <c r="BD292" s="1"/>
      <c r="BE292" s="1"/>
      <c r="BF292" s="1"/>
    </row>
    <row r="293" spans="2:58" x14ac:dyDescent="0.25">
      <c r="B293" s="1343"/>
      <c r="D293" s="1355"/>
      <c r="F293" s="265"/>
      <c r="G293" s="209" t="s">
        <v>112</v>
      </c>
      <c r="H293" s="209"/>
      <c r="I293" s="253">
        <f t="shared" ca="1" si="279"/>
        <v>503.55396800000005</v>
      </c>
      <c r="J293" s="253">
        <f t="shared" ca="1" si="279"/>
        <v>179.97072151815769</v>
      </c>
      <c r="K293" s="253">
        <f t="shared" ca="1" si="279"/>
        <v>179.97072151815769</v>
      </c>
      <c r="L293" s="253">
        <f t="shared" ca="1" si="279"/>
        <v>179.97072151815769</v>
      </c>
      <c r="M293" s="253">
        <f t="shared" ca="1" si="279"/>
        <v>503.55396800000005</v>
      </c>
      <c r="N293" s="253">
        <f t="shared" ca="1" si="279"/>
        <v>788.85471611053072</v>
      </c>
      <c r="O293" s="254">
        <f t="shared" ca="1" si="279"/>
        <v>6014.1270299999996</v>
      </c>
      <c r="P293" s="253">
        <f t="shared" ca="1" si="279"/>
        <v>1329.7824497739659</v>
      </c>
      <c r="Q293" s="253">
        <f t="shared" ca="1" si="279"/>
        <v>1329.7824497739659</v>
      </c>
      <c r="R293" s="253">
        <f t="shared" ca="1" si="279"/>
        <v>1329.7824497739659</v>
      </c>
      <c r="S293" s="253">
        <f t="shared" ca="1" si="280"/>
        <v>6014.1270299999996</v>
      </c>
      <c r="T293" s="253">
        <f t="shared" ca="1" si="280"/>
        <v>9421.5769756446825</v>
      </c>
      <c r="U293" s="254">
        <f t="shared" ca="1" si="280"/>
        <v>167276.44709999999</v>
      </c>
      <c r="V293" s="253">
        <f t="shared" ca="1" si="280"/>
        <v>24589.713802416529</v>
      </c>
      <c r="W293" s="253">
        <f t="shared" ca="1" si="280"/>
        <v>24589.713802416529</v>
      </c>
      <c r="X293" s="253">
        <f t="shared" ca="1" si="280"/>
        <v>24589.713802416529</v>
      </c>
      <c r="Y293" s="253">
        <f t="shared" ca="1" si="280"/>
        <v>167276.44709999999</v>
      </c>
      <c r="Z293" s="253">
        <f t="shared" ca="1" si="280"/>
        <v>262050.98673564362</v>
      </c>
      <c r="AA293" s="254">
        <f t="shared" ca="1" si="280"/>
        <v>41.821384000000002</v>
      </c>
      <c r="AB293" s="253">
        <f t="shared" ca="1" si="280"/>
        <v>11.371441836978853</v>
      </c>
      <c r="AC293" s="253">
        <f t="shared" ca="1" si="281"/>
        <v>11.371441836978853</v>
      </c>
      <c r="AD293" s="253">
        <f t="shared" ca="1" si="281"/>
        <v>11.371441836978853</v>
      </c>
      <c r="AE293" s="253">
        <f t="shared" ca="1" si="281"/>
        <v>41.821384000000002</v>
      </c>
      <c r="AF293" s="253">
        <f t="shared" ca="1" si="281"/>
        <v>65.516306293250167</v>
      </c>
      <c r="AG293" s="254">
        <f t="shared" ca="1" si="281"/>
        <v>9391.2142199999998</v>
      </c>
      <c r="AH293" s="253">
        <f t="shared" ca="1" si="281"/>
        <v>2550.2922506398177</v>
      </c>
      <c r="AI293" s="253">
        <f t="shared" ca="1" si="281"/>
        <v>2550.2922506398177</v>
      </c>
      <c r="AJ293" s="253">
        <f t="shared" ca="1" si="281"/>
        <v>2550.2922506398177</v>
      </c>
      <c r="AK293" s="253">
        <f t="shared" ca="1" si="281"/>
        <v>9391.2142199999998</v>
      </c>
      <c r="AL293" s="253">
        <f t="shared" ca="1" si="281"/>
        <v>14712.035051327963</v>
      </c>
      <c r="AM293" s="254">
        <f t="shared" ca="1" si="282"/>
        <v>7570.8649800000003</v>
      </c>
      <c r="AN293" s="253">
        <f t="shared" ca="1" si="282"/>
        <v>2129.007404828526</v>
      </c>
      <c r="AO293" s="253">
        <f t="shared" ca="1" si="282"/>
        <v>2129.007404828526</v>
      </c>
      <c r="AP293" s="253">
        <f t="shared" ca="1" si="282"/>
        <v>2129.007404828526</v>
      </c>
      <c r="AQ293" s="253">
        <f t="shared" ca="1" si="282"/>
        <v>7570.8649800000003</v>
      </c>
      <c r="AR293" s="253">
        <f t="shared" ca="1" si="282"/>
        <v>11860.322674508363</v>
      </c>
      <c r="AS293" s="254">
        <f t="shared" ca="1" si="282"/>
        <v>424133.01460000011</v>
      </c>
      <c r="AT293" s="253">
        <f t="shared" ca="1" si="282"/>
        <v>81247.342689196783</v>
      </c>
      <c r="AU293" s="253">
        <f t="shared" ca="1" si="282"/>
        <v>81247.342689196783</v>
      </c>
      <c r="AV293" s="253">
        <f t="shared" ca="1" si="282"/>
        <v>81247.342689196783</v>
      </c>
      <c r="AW293" s="253">
        <f t="shared" ca="1" si="282"/>
        <v>424133.01460000011</v>
      </c>
      <c r="AX293" s="255">
        <f t="shared" ca="1" si="282"/>
        <v>664435.88986947795</v>
      </c>
      <c r="AY293" s="1"/>
      <c r="AZ293" s="1"/>
      <c r="BA293" s="1"/>
      <c r="BB293" s="1"/>
      <c r="BC293" s="1"/>
      <c r="BD293" s="1"/>
      <c r="BE293" s="1"/>
      <c r="BF293" s="1"/>
    </row>
    <row r="294" spans="2:58" x14ac:dyDescent="0.25">
      <c r="B294" s="1343"/>
      <c r="D294" s="1355"/>
      <c r="F294" s="265"/>
      <c r="G294" s="209" t="s">
        <v>110</v>
      </c>
      <c r="H294" s="209"/>
      <c r="I294" s="253">
        <f t="shared" ca="1" si="279"/>
        <v>503.55396800000005</v>
      </c>
      <c r="J294" s="253">
        <f t="shared" ca="1" si="279"/>
        <v>179.97072151815769</v>
      </c>
      <c r="K294" s="253">
        <f t="shared" ca="1" si="279"/>
        <v>179.97072151815769</v>
      </c>
      <c r="L294" s="253">
        <f t="shared" ca="1" si="279"/>
        <v>179.97072151815769</v>
      </c>
      <c r="M294" s="253">
        <f t="shared" ca="1" si="279"/>
        <v>503.55396800000005</v>
      </c>
      <c r="N294" s="253">
        <f t="shared" ca="1" si="279"/>
        <v>788.85471611053072</v>
      </c>
      <c r="O294" s="254">
        <f t="shared" ca="1" si="279"/>
        <v>6014.1270299999996</v>
      </c>
      <c r="P294" s="253">
        <f t="shared" ca="1" si="279"/>
        <v>1329.7824497739659</v>
      </c>
      <c r="Q294" s="253">
        <f t="shared" ca="1" si="279"/>
        <v>1329.7824497739659</v>
      </c>
      <c r="R294" s="253">
        <f t="shared" ca="1" si="279"/>
        <v>1329.7824497739659</v>
      </c>
      <c r="S294" s="253">
        <f t="shared" ca="1" si="280"/>
        <v>6014.1270299999996</v>
      </c>
      <c r="T294" s="253">
        <f t="shared" ca="1" si="280"/>
        <v>9421.5769756446825</v>
      </c>
      <c r="U294" s="254">
        <f t="shared" ca="1" si="280"/>
        <v>167276.44709999999</v>
      </c>
      <c r="V294" s="253">
        <f t="shared" ca="1" si="280"/>
        <v>24589.713802416529</v>
      </c>
      <c r="W294" s="253">
        <f t="shared" ca="1" si="280"/>
        <v>24589.713802416529</v>
      </c>
      <c r="X294" s="253">
        <f t="shared" ca="1" si="280"/>
        <v>24589.713802416529</v>
      </c>
      <c r="Y294" s="253">
        <f t="shared" ca="1" si="280"/>
        <v>167276.44709999999</v>
      </c>
      <c r="Z294" s="253">
        <f t="shared" ca="1" si="280"/>
        <v>262050.98673564362</v>
      </c>
      <c r="AA294" s="254">
        <f t="shared" ca="1" si="280"/>
        <v>41.821384000000002</v>
      </c>
      <c r="AB294" s="253">
        <f t="shared" ca="1" si="280"/>
        <v>11.371441836978853</v>
      </c>
      <c r="AC294" s="253">
        <f t="shared" ca="1" si="281"/>
        <v>11.371441836978853</v>
      </c>
      <c r="AD294" s="253">
        <f t="shared" ca="1" si="281"/>
        <v>11.371441836978853</v>
      </c>
      <c r="AE294" s="253">
        <f t="shared" ca="1" si="281"/>
        <v>41.821384000000002</v>
      </c>
      <c r="AF294" s="253">
        <f t="shared" ca="1" si="281"/>
        <v>65.516306293250167</v>
      </c>
      <c r="AG294" s="254">
        <f t="shared" ca="1" si="281"/>
        <v>9391.2142199999998</v>
      </c>
      <c r="AH294" s="253">
        <f t="shared" ca="1" si="281"/>
        <v>2550.2922506398177</v>
      </c>
      <c r="AI294" s="253">
        <f t="shared" ca="1" si="281"/>
        <v>2550.2922506398177</v>
      </c>
      <c r="AJ294" s="253">
        <f t="shared" ca="1" si="281"/>
        <v>2550.2922506398177</v>
      </c>
      <c r="AK294" s="253">
        <f t="shared" ca="1" si="281"/>
        <v>9391.2142199999998</v>
      </c>
      <c r="AL294" s="253">
        <f t="shared" ca="1" si="281"/>
        <v>14712.035051327963</v>
      </c>
      <c r="AM294" s="254">
        <f t="shared" ca="1" si="282"/>
        <v>7570.8649800000003</v>
      </c>
      <c r="AN294" s="253">
        <f t="shared" ca="1" si="282"/>
        <v>2129.007404828526</v>
      </c>
      <c r="AO294" s="253">
        <f t="shared" ca="1" si="282"/>
        <v>2129.007404828526</v>
      </c>
      <c r="AP294" s="253">
        <f t="shared" ca="1" si="282"/>
        <v>2129.007404828526</v>
      </c>
      <c r="AQ294" s="253">
        <f t="shared" ca="1" si="282"/>
        <v>7570.8649800000003</v>
      </c>
      <c r="AR294" s="253">
        <f t="shared" ca="1" si="282"/>
        <v>11860.322674508363</v>
      </c>
      <c r="AS294" s="254">
        <f t="shared" ca="1" si="282"/>
        <v>424133.01460000011</v>
      </c>
      <c r="AT294" s="253">
        <f t="shared" ca="1" si="282"/>
        <v>81247.342689196783</v>
      </c>
      <c r="AU294" s="253">
        <f t="shared" ca="1" si="282"/>
        <v>81247.342689196783</v>
      </c>
      <c r="AV294" s="253">
        <f t="shared" ca="1" si="282"/>
        <v>81247.342689196783</v>
      </c>
      <c r="AW294" s="253">
        <f t="shared" ca="1" si="282"/>
        <v>424133.01460000011</v>
      </c>
      <c r="AX294" s="255">
        <f t="shared" ca="1" si="282"/>
        <v>664435.88986947795</v>
      </c>
      <c r="AY294" s="1"/>
      <c r="AZ294" s="1"/>
      <c r="BA294" s="1"/>
      <c r="BB294" s="1"/>
      <c r="BC294" s="1"/>
      <c r="BD294" s="1"/>
      <c r="BE294" s="1"/>
      <c r="BF294" s="1"/>
    </row>
    <row r="295" spans="2:58" x14ac:dyDescent="0.25">
      <c r="B295" s="1343"/>
      <c r="D295" s="1355"/>
      <c r="F295" s="265"/>
      <c r="G295" s="209" t="s">
        <v>100</v>
      </c>
      <c r="H295" s="209"/>
      <c r="I295" s="253">
        <f t="shared" ca="1" si="279"/>
        <v>503.55396800000005</v>
      </c>
      <c r="J295" s="253">
        <f t="shared" ca="1" si="279"/>
        <v>179.97072151815769</v>
      </c>
      <c r="K295" s="253">
        <f t="shared" ca="1" si="279"/>
        <v>179.97072151815769</v>
      </c>
      <c r="L295" s="253">
        <f t="shared" ca="1" si="279"/>
        <v>179.97072151815769</v>
      </c>
      <c r="M295" s="253">
        <f t="shared" ca="1" si="279"/>
        <v>503.55396800000005</v>
      </c>
      <c r="N295" s="253">
        <f t="shared" ca="1" si="279"/>
        <v>788.85471611053072</v>
      </c>
      <c r="O295" s="254">
        <f t="shared" ca="1" si="279"/>
        <v>6014.1270299999996</v>
      </c>
      <c r="P295" s="253">
        <f t="shared" ca="1" si="279"/>
        <v>1329.7824497739659</v>
      </c>
      <c r="Q295" s="253">
        <f t="shared" ca="1" si="279"/>
        <v>1329.7824497739659</v>
      </c>
      <c r="R295" s="253">
        <f t="shared" ca="1" si="279"/>
        <v>1329.7824497739659</v>
      </c>
      <c r="S295" s="253">
        <f t="shared" ca="1" si="280"/>
        <v>6014.1270299999996</v>
      </c>
      <c r="T295" s="253">
        <f t="shared" ca="1" si="280"/>
        <v>9421.5769756446825</v>
      </c>
      <c r="U295" s="254">
        <f t="shared" ca="1" si="280"/>
        <v>167276.44709999999</v>
      </c>
      <c r="V295" s="253">
        <f t="shared" ca="1" si="280"/>
        <v>24589.713802416529</v>
      </c>
      <c r="W295" s="253">
        <f t="shared" ca="1" si="280"/>
        <v>24589.713802416529</v>
      </c>
      <c r="X295" s="253">
        <f t="shared" ca="1" si="280"/>
        <v>24589.713802416529</v>
      </c>
      <c r="Y295" s="253">
        <f t="shared" ca="1" si="280"/>
        <v>167276.44709999999</v>
      </c>
      <c r="Z295" s="253">
        <f t="shared" ca="1" si="280"/>
        <v>262050.98673564362</v>
      </c>
      <c r="AA295" s="254">
        <f t="shared" ca="1" si="280"/>
        <v>41.821384000000002</v>
      </c>
      <c r="AB295" s="253">
        <f t="shared" ca="1" si="280"/>
        <v>11.371441836978853</v>
      </c>
      <c r="AC295" s="253">
        <f t="shared" ca="1" si="281"/>
        <v>11.371441836978853</v>
      </c>
      <c r="AD295" s="253">
        <f t="shared" ca="1" si="281"/>
        <v>11.371441836978853</v>
      </c>
      <c r="AE295" s="253">
        <f t="shared" ca="1" si="281"/>
        <v>41.821384000000002</v>
      </c>
      <c r="AF295" s="253">
        <f t="shared" ca="1" si="281"/>
        <v>65.516306293250167</v>
      </c>
      <c r="AG295" s="254">
        <f t="shared" ca="1" si="281"/>
        <v>9391.2142199999998</v>
      </c>
      <c r="AH295" s="253">
        <f t="shared" ca="1" si="281"/>
        <v>2550.2922506398177</v>
      </c>
      <c r="AI295" s="253">
        <f t="shared" ca="1" si="281"/>
        <v>2550.2922506398177</v>
      </c>
      <c r="AJ295" s="253">
        <f t="shared" ca="1" si="281"/>
        <v>2550.2922506398177</v>
      </c>
      <c r="AK295" s="253">
        <f t="shared" ca="1" si="281"/>
        <v>9391.2142199999998</v>
      </c>
      <c r="AL295" s="253">
        <f t="shared" ca="1" si="281"/>
        <v>14712.035051327963</v>
      </c>
      <c r="AM295" s="254">
        <f t="shared" ca="1" si="282"/>
        <v>7570.8649800000003</v>
      </c>
      <c r="AN295" s="253">
        <f t="shared" ca="1" si="282"/>
        <v>2129.007404828526</v>
      </c>
      <c r="AO295" s="253">
        <f t="shared" ca="1" si="282"/>
        <v>2129.007404828526</v>
      </c>
      <c r="AP295" s="253">
        <f t="shared" ca="1" si="282"/>
        <v>2129.007404828526</v>
      </c>
      <c r="AQ295" s="253">
        <f t="shared" ca="1" si="282"/>
        <v>7570.8649800000003</v>
      </c>
      <c r="AR295" s="253">
        <f t="shared" ca="1" si="282"/>
        <v>11860.322674508363</v>
      </c>
      <c r="AS295" s="254">
        <f t="shared" ca="1" si="282"/>
        <v>424133.01460000011</v>
      </c>
      <c r="AT295" s="253">
        <f t="shared" ca="1" si="282"/>
        <v>81247.342689196783</v>
      </c>
      <c r="AU295" s="253">
        <f t="shared" ca="1" si="282"/>
        <v>81247.342689196783</v>
      </c>
      <c r="AV295" s="253">
        <f t="shared" ca="1" si="282"/>
        <v>81247.342689196783</v>
      </c>
      <c r="AW295" s="253">
        <f t="shared" ca="1" si="282"/>
        <v>424133.01460000011</v>
      </c>
      <c r="AX295" s="255">
        <f t="shared" ca="1" si="282"/>
        <v>664435.88986947795</v>
      </c>
      <c r="AY295" s="1"/>
      <c r="AZ295" s="1"/>
      <c r="BA295" s="1"/>
      <c r="BB295" s="1"/>
      <c r="BC295" s="1"/>
      <c r="BD295" s="1"/>
      <c r="BE295" s="1"/>
      <c r="BF295" s="1"/>
    </row>
    <row r="296" spans="2:58" x14ac:dyDescent="0.25">
      <c r="B296" s="1343"/>
      <c r="D296" s="1355"/>
      <c r="F296" s="265"/>
      <c r="G296" s="256" t="s">
        <v>101</v>
      </c>
      <c r="H296" s="209"/>
      <c r="I296" s="257">
        <f t="shared" ca="1" si="279"/>
        <v>503.55396800000005</v>
      </c>
      <c r="J296" s="257">
        <f t="shared" ca="1" si="279"/>
        <v>179.97072151815769</v>
      </c>
      <c r="K296" s="257">
        <f t="shared" ca="1" si="279"/>
        <v>179.97072151815769</v>
      </c>
      <c r="L296" s="257">
        <f t="shared" ca="1" si="279"/>
        <v>179.97072151815769</v>
      </c>
      <c r="M296" s="257">
        <f t="shared" ca="1" si="279"/>
        <v>503.55396800000005</v>
      </c>
      <c r="N296" s="257">
        <f t="shared" ca="1" si="279"/>
        <v>788.85471611053072</v>
      </c>
      <c r="O296" s="258">
        <f t="shared" ca="1" si="279"/>
        <v>6014.1270299999996</v>
      </c>
      <c r="P296" s="257">
        <f t="shared" ca="1" si="279"/>
        <v>1329.7824497739659</v>
      </c>
      <c r="Q296" s="257">
        <f t="shared" ca="1" si="279"/>
        <v>1329.7824497739659</v>
      </c>
      <c r="R296" s="257">
        <f t="shared" ca="1" si="279"/>
        <v>1329.7824497739659</v>
      </c>
      <c r="S296" s="257">
        <f t="shared" ca="1" si="280"/>
        <v>6014.1270299999996</v>
      </c>
      <c r="T296" s="257">
        <f t="shared" ca="1" si="280"/>
        <v>9421.5769756446825</v>
      </c>
      <c r="U296" s="258">
        <f t="shared" ca="1" si="280"/>
        <v>167276.44709999999</v>
      </c>
      <c r="V296" s="257">
        <f t="shared" ca="1" si="280"/>
        <v>24589.713802416529</v>
      </c>
      <c r="W296" s="257">
        <f t="shared" ca="1" si="280"/>
        <v>24589.713802416529</v>
      </c>
      <c r="X296" s="257">
        <f t="shared" ca="1" si="280"/>
        <v>24589.713802416529</v>
      </c>
      <c r="Y296" s="257">
        <f t="shared" ca="1" si="280"/>
        <v>167276.44709999999</v>
      </c>
      <c r="Z296" s="257">
        <f t="shared" ca="1" si="280"/>
        <v>262050.98673564362</v>
      </c>
      <c r="AA296" s="258">
        <f t="shared" ca="1" si="280"/>
        <v>41.821384000000002</v>
      </c>
      <c r="AB296" s="257">
        <f t="shared" ca="1" si="280"/>
        <v>11.371441836978853</v>
      </c>
      <c r="AC296" s="257">
        <f t="shared" ca="1" si="281"/>
        <v>11.371441836978853</v>
      </c>
      <c r="AD296" s="257">
        <f t="shared" ca="1" si="281"/>
        <v>11.371441836978853</v>
      </c>
      <c r="AE296" s="257">
        <f t="shared" ca="1" si="281"/>
        <v>41.821384000000002</v>
      </c>
      <c r="AF296" s="257">
        <f t="shared" ca="1" si="281"/>
        <v>65.516306293250167</v>
      </c>
      <c r="AG296" s="258">
        <f t="shared" ca="1" si="281"/>
        <v>9391.2142199999998</v>
      </c>
      <c r="AH296" s="257">
        <f t="shared" ca="1" si="281"/>
        <v>2550.2922506398177</v>
      </c>
      <c r="AI296" s="257">
        <f t="shared" ca="1" si="281"/>
        <v>2550.2922506398177</v>
      </c>
      <c r="AJ296" s="257">
        <f t="shared" ca="1" si="281"/>
        <v>2550.2922506398177</v>
      </c>
      <c r="AK296" s="257">
        <f t="shared" ca="1" si="281"/>
        <v>9391.2142199999998</v>
      </c>
      <c r="AL296" s="257">
        <f t="shared" ca="1" si="281"/>
        <v>14712.035051327963</v>
      </c>
      <c r="AM296" s="258">
        <f t="shared" ca="1" si="282"/>
        <v>7570.8649800000003</v>
      </c>
      <c r="AN296" s="257">
        <f t="shared" ca="1" si="282"/>
        <v>2129.007404828526</v>
      </c>
      <c r="AO296" s="257">
        <f t="shared" ca="1" si="282"/>
        <v>2129.007404828526</v>
      </c>
      <c r="AP296" s="257">
        <f t="shared" ca="1" si="282"/>
        <v>2129.007404828526</v>
      </c>
      <c r="AQ296" s="257">
        <f t="shared" ca="1" si="282"/>
        <v>7570.8649800000003</v>
      </c>
      <c r="AR296" s="257">
        <f t="shared" ca="1" si="282"/>
        <v>11860.322674508363</v>
      </c>
      <c r="AS296" s="258">
        <f t="shared" ca="1" si="282"/>
        <v>424133.01460000011</v>
      </c>
      <c r="AT296" s="257">
        <f t="shared" ca="1" si="282"/>
        <v>81247.342689196783</v>
      </c>
      <c r="AU296" s="257">
        <f t="shared" ca="1" si="282"/>
        <v>81247.342689196783</v>
      </c>
      <c r="AV296" s="257">
        <f t="shared" ca="1" si="282"/>
        <v>81247.342689196783</v>
      </c>
      <c r="AW296" s="257">
        <f t="shared" ca="1" si="282"/>
        <v>424133.01460000011</v>
      </c>
      <c r="AX296" s="259">
        <f t="shared" ca="1" si="282"/>
        <v>664435.88986947795</v>
      </c>
      <c r="AY296" s="1"/>
      <c r="AZ296" s="1"/>
      <c r="BA296" s="1"/>
      <c r="BB296" s="1"/>
      <c r="BC296" s="1"/>
      <c r="BD296" s="1"/>
      <c r="BE296" s="1"/>
      <c r="BF296" s="1"/>
    </row>
    <row r="297" spans="2:58" x14ac:dyDescent="0.25">
      <c r="B297" s="1343"/>
      <c r="D297" s="1355"/>
      <c r="F297" s="265"/>
      <c r="G297" s="209" t="s">
        <v>630</v>
      </c>
      <c r="H297" s="209"/>
      <c r="I297" s="253">
        <f t="shared" ca="1" si="279"/>
        <v>2332.3170825000002</v>
      </c>
      <c r="J297" s="253">
        <f t="shared" ca="1" si="279"/>
        <v>2363.5002351849621</v>
      </c>
      <c r="K297" s="253">
        <f t="shared" ca="1" si="279"/>
        <v>2363.5002351849621</v>
      </c>
      <c r="L297" s="253">
        <f t="shared" ca="1" si="279"/>
        <v>2363.5002351849621</v>
      </c>
      <c r="M297" s="253">
        <f t="shared" ca="1" si="279"/>
        <v>2332.3170825000002</v>
      </c>
      <c r="N297" s="253">
        <f t="shared" ca="1" si="279"/>
        <v>3653.7480526720401</v>
      </c>
      <c r="O297" s="254">
        <f t="shared" ca="1" si="279"/>
        <v>107027.4394525</v>
      </c>
      <c r="P297" s="253">
        <f t="shared" ca="1" si="279"/>
        <v>108458.39968126547</v>
      </c>
      <c r="Q297" s="253">
        <f t="shared" ca="1" si="279"/>
        <v>108458.39968126547</v>
      </c>
      <c r="R297" s="253">
        <f t="shared" ca="1" si="279"/>
        <v>108458.39968126547</v>
      </c>
      <c r="S297" s="253">
        <f t="shared" ca="1" si="280"/>
        <v>107027.4394525</v>
      </c>
      <c r="T297" s="253">
        <f t="shared" ca="1" si="280"/>
        <v>167666.43841706138</v>
      </c>
      <c r="U297" s="254">
        <f t="shared" ca="1" si="280"/>
        <v>266920.73277500004</v>
      </c>
      <c r="V297" s="253">
        <f t="shared" ca="1" si="280"/>
        <v>270489.47136005678</v>
      </c>
      <c r="W297" s="253">
        <f t="shared" ca="1" si="280"/>
        <v>270489.47136005678</v>
      </c>
      <c r="X297" s="253">
        <f t="shared" ca="1" si="280"/>
        <v>270489.47136005678</v>
      </c>
      <c r="Y297" s="253">
        <f t="shared" ca="1" si="280"/>
        <v>266920.73277500004</v>
      </c>
      <c r="Z297" s="253">
        <f t="shared" ca="1" si="280"/>
        <v>418151.16602802242</v>
      </c>
      <c r="AA297" s="254">
        <f t="shared" ca="1" si="280"/>
        <v>1023.628052875</v>
      </c>
      <c r="AB297" s="253">
        <f t="shared" ca="1" si="280"/>
        <v>1037.3139921089555</v>
      </c>
      <c r="AC297" s="253">
        <f t="shared" ca="1" si="281"/>
        <v>1037.3139921089555</v>
      </c>
      <c r="AD297" s="253">
        <f t="shared" ca="1" si="281"/>
        <v>1037.3139921089555</v>
      </c>
      <c r="AE297" s="253">
        <f t="shared" ca="1" si="281"/>
        <v>1023.628052875</v>
      </c>
      <c r="AF297" s="253">
        <f t="shared" ca="1" si="281"/>
        <v>1603.5894231171731</v>
      </c>
      <c r="AG297" s="254">
        <f t="shared" ca="1" si="281"/>
        <v>97179.878437499996</v>
      </c>
      <c r="AH297" s="253">
        <f t="shared" ca="1" si="281"/>
        <v>98479.17646604008</v>
      </c>
      <c r="AI297" s="253">
        <f t="shared" ca="1" si="281"/>
        <v>98479.17646604008</v>
      </c>
      <c r="AJ297" s="253">
        <f t="shared" ca="1" si="281"/>
        <v>98479.17646604008</v>
      </c>
      <c r="AK297" s="253">
        <f t="shared" ca="1" si="281"/>
        <v>97179.878437499996</v>
      </c>
      <c r="AL297" s="253">
        <f t="shared" ca="1" si="281"/>
        <v>152239.50219466831</v>
      </c>
      <c r="AM297" s="254">
        <f t="shared" ca="1" si="282"/>
        <v>73856.707612500002</v>
      </c>
      <c r="AN297" s="253">
        <f t="shared" ca="1" si="282"/>
        <v>74844.174114190464</v>
      </c>
      <c r="AO297" s="253">
        <f t="shared" ca="1" si="282"/>
        <v>74844.174114190464</v>
      </c>
      <c r="AP297" s="253">
        <f t="shared" ca="1" si="282"/>
        <v>74844.174114190464</v>
      </c>
      <c r="AQ297" s="253">
        <f t="shared" ca="1" si="282"/>
        <v>73856.707612500002</v>
      </c>
      <c r="AR297" s="253">
        <f t="shared" ca="1" si="282"/>
        <v>115702.02166794793</v>
      </c>
      <c r="AS297" s="254">
        <f t="shared" ca="1" si="282"/>
        <v>1113033.5410374999</v>
      </c>
      <c r="AT297" s="253">
        <f t="shared" ca="1" si="282"/>
        <v>1127914.8344577122</v>
      </c>
      <c r="AU297" s="253">
        <f t="shared" ca="1" si="282"/>
        <v>1127914.8344577122</v>
      </c>
      <c r="AV297" s="253">
        <f t="shared" ca="1" si="282"/>
        <v>1127914.8344577122</v>
      </c>
      <c r="AW297" s="253">
        <f t="shared" ca="1" si="282"/>
        <v>1113033.5410374999</v>
      </c>
      <c r="AX297" s="255">
        <f t="shared" ca="1" si="282"/>
        <v>1743649.7651362678</v>
      </c>
      <c r="AY297" s="1"/>
      <c r="AZ297" s="1"/>
      <c r="BA297" s="1"/>
      <c r="BB297" s="1"/>
      <c r="BC297" s="1"/>
      <c r="BD297" s="1"/>
      <c r="BE297" s="1"/>
      <c r="BF297" s="1"/>
    </row>
    <row r="298" spans="2:58" x14ac:dyDescent="0.25">
      <c r="B298" s="1343"/>
      <c r="D298" s="1355"/>
      <c r="F298" s="268"/>
      <c r="G298" s="211" t="s">
        <v>631</v>
      </c>
      <c r="H298" s="209"/>
      <c r="I298" s="260">
        <f t="shared" ca="1" si="279"/>
        <v>1717.151895</v>
      </c>
      <c r="J298" s="260">
        <f t="shared" ca="1" si="279"/>
        <v>1740.1102697968183</v>
      </c>
      <c r="K298" s="260">
        <f t="shared" ca="1" si="279"/>
        <v>1740.1102697968183</v>
      </c>
      <c r="L298" s="260">
        <f t="shared" ca="1" si="279"/>
        <v>1740.1102697968183</v>
      </c>
      <c r="M298" s="260">
        <f t="shared" ca="1" si="279"/>
        <v>1717.151895</v>
      </c>
      <c r="N298" s="260">
        <f t="shared" ca="1" si="279"/>
        <v>2690.0460660234235</v>
      </c>
      <c r="O298" s="261">
        <f t="shared" ca="1" si="279"/>
        <v>78798.192515000002</v>
      </c>
      <c r="P298" s="260">
        <f t="shared" ca="1" si="279"/>
        <v>79851.72682512067</v>
      </c>
      <c r="Q298" s="260">
        <f t="shared" ca="1" si="279"/>
        <v>79851.72682512067</v>
      </c>
      <c r="R298" s="260">
        <f t="shared" ca="1" si="279"/>
        <v>79851.72682512067</v>
      </c>
      <c r="S298" s="260">
        <f t="shared" ca="1" si="280"/>
        <v>78798.192515000002</v>
      </c>
      <c r="T298" s="260">
        <f t="shared" ca="1" si="280"/>
        <v>123443.22502974154</v>
      </c>
      <c r="U298" s="261">
        <f t="shared" ca="1" si="280"/>
        <v>196518.49465000001</v>
      </c>
      <c r="V298" s="260">
        <f t="shared" ca="1" si="280"/>
        <v>199145.95309896921</v>
      </c>
      <c r="W298" s="260">
        <f t="shared" ca="1" si="280"/>
        <v>199145.95309896921</v>
      </c>
      <c r="X298" s="260">
        <f t="shared" ca="1" si="280"/>
        <v>199145.95309896921</v>
      </c>
      <c r="Y298" s="260">
        <f t="shared" ca="1" si="280"/>
        <v>196518.49465000001</v>
      </c>
      <c r="Z298" s="260">
        <f t="shared" ca="1" si="280"/>
        <v>307860.827556014</v>
      </c>
      <c r="AA298" s="261">
        <f t="shared" ca="1" si="280"/>
        <v>753.63888725000004</v>
      </c>
      <c r="AB298" s="260">
        <f t="shared" ca="1" si="280"/>
        <v>763.71506285527028</v>
      </c>
      <c r="AC298" s="260">
        <f t="shared" ca="1" si="281"/>
        <v>763.71506285527028</v>
      </c>
      <c r="AD298" s="260">
        <f t="shared" ca="1" si="281"/>
        <v>763.71506285527028</v>
      </c>
      <c r="AE298" s="260">
        <f t="shared" ca="1" si="281"/>
        <v>753.63888725000004</v>
      </c>
      <c r="AF298" s="260">
        <f t="shared" ca="1" si="281"/>
        <v>1180.6313289769471</v>
      </c>
      <c r="AG298" s="261">
        <f t="shared" ca="1" si="281"/>
        <v>71547.995624999996</v>
      </c>
      <c r="AH298" s="260">
        <f t="shared" ca="1" si="281"/>
        <v>72504.594574867428</v>
      </c>
      <c r="AI298" s="260">
        <f t="shared" ca="1" si="281"/>
        <v>72504.594574867428</v>
      </c>
      <c r="AJ298" s="260">
        <f t="shared" ca="1" si="281"/>
        <v>72504.594574867428</v>
      </c>
      <c r="AK298" s="260">
        <f t="shared" ca="1" si="281"/>
        <v>71547.995624999996</v>
      </c>
      <c r="AL298" s="260">
        <f t="shared" ca="1" si="281"/>
        <v>112085.25275097597</v>
      </c>
      <c r="AM298" s="261">
        <f t="shared" ca="1" si="282"/>
        <v>54376.476674999998</v>
      </c>
      <c r="AN298" s="260">
        <f t="shared" ca="1" si="282"/>
        <v>55103.491876899243</v>
      </c>
      <c r="AO298" s="260">
        <f t="shared" ca="1" si="282"/>
        <v>55103.491876899243</v>
      </c>
      <c r="AP298" s="260">
        <f t="shared" ca="1" si="282"/>
        <v>55103.491876899243</v>
      </c>
      <c r="AQ298" s="260">
        <f t="shared" ca="1" si="282"/>
        <v>54376.476674999998</v>
      </c>
      <c r="AR298" s="260">
        <f t="shared" ca="1" si="282"/>
        <v>85184.792090741743</v>
      </c>
      <c r="AS298" s="261">
        <f t="shared" ca="1" si="282"/>
        <v>819463.04322500003</v>
      </c>
      <c r="AT298" s="260">
        <f t="shared" ca="1" si="282"/>
        <v>830419.28986414836</v>
      </c>
      <c r="AU298" s="260">
        <f t="shared" ca="1" si="282"/>
        <v>830419.28986414836</v>
      </c>
      <c r="AV298" s="260">
        <f t="shared" ca="1" si="282"/>
        <v>830419.28986414836</v>
      </c>
      <c r="AW298" s="260">
        <f t="shared" ca="1" si="282"/>
        <v>819463.04322500003</v>
      </c>
      <c r="AX298" s="262">
        <f t="shared" ca="1" si="282"/>
        <v>1283749.7615078448</v>
      </c>
      <c r="AY298" s="1"/>
      <c r="AZ298" s="1"/>
      <c r="BA298" s="1"/>
      <c r="BB298" s="1"/>
      <c r="BC298" s="1"/>
      <c r="BD298" s="1"/>
      <c r="BE298" s="1"/>
      <c r="BF298" s="1"/>
    </row>
    <row r="299" spans="2:58" x14ac:dyDescent="0.25">
      <c r="B299" s="1343"/>
      <c r="D299" s="1355"/>
      <c r="F299" s="263" t="s">
        <v>765</v>
      </c>
      <c r="G299" s="208" t="s">
        <v>91</v>
      </c>
      <c r="H299" s="209"/>
      <c r="I299" s="250">
        <f t="shared" ref="I299:R308" si="283">INDEX($P$459:$P$484,MATCH($G299,$G$459:$G$484,0),1)
*INDEX($I$406:$O$426,MATCH($G299,$G$406:$G$426,0),MATCH(I$8,$I$405:$O$405,0))
*INDEX($S$459:$S$484,MATCH($G299,$G$459:$G$484,0),1)
*$P$485</f>
        <v>1.9487129999999999</v>
      </c>
      <c r="J299" s="250">
        <f t="shared" si="283"/>
        <v>1.9487129999999999</v>
      </c>
      <c r="K299" s="250">
        <f t="shared" si="283"/>
        <v>1.9487129999999999</v>
      </c>
      <c r="L299" s="250">
        <f t="shared" si="283"/>
        <v>1.9487129999999999</v>
      </c>
      <c r="M299" s="250">
        <f t="shared" si="283"/>
        <v>1.9487129999999999</v>
      </c>
      <c r="N299" s="250">
        <f t="shared" si="283"/>
        <v>1.9487129999999999</v>
      </c>
      <c r="O299" s="251">
        <f t="shared" si="283"/>
        <v>341.77427999999998</v>
      </c>
      <c r="P299" s="250">
        <f t="shared" si="283"/>
        <v>341.77427999999998</v>
      </c>
      <c r="Q299" s="250">
        <f t="shared" si="283"/>
        <v>341.77427999999998</v>
      </c>
      <c r="R299" s="250">
        <f t="shared" si="283"/>
        <v>341.77427999999998</v>
      </c>
      <c r="S299" s="250">
        <f t="shared" ref="S299:AB308" si="284">INDEX($P$459:$P$484,MATCH($G299,$G$459:$G$484,0),1)
*INDEX($I$406:$O$426,MATCH($G299,$G$406:$G$426,0),MATCH(S$8,$I$405:$O$405,0))
*INDEX($S$459:$S$484,MATCH($G299,$G$459:$G$484,0),1)
*$P$485</f>
        <v>341.77427999999998</v>
      </c>
      <c r="T299" s="250">
        <f t="shared" si="284"/>
        <v>341.77427999999998</v>
      </c>
      <c r="U299" s="251">
        <f t="shared" si="284"/>
        <v>584.61390000000006</v>
      </c>
      <c r="V299" s="250">
        <f t="shared" si="284"/>
        <v>584.61390000000006</v>
      </c>
      <c r="W299" s="250">
        <f t="shared" si="284"/>
        <v>584.61390000000006</v>
      </c>
      <c r="X299" s="250">
        <f t="shared" si="284"/>
        <v>584.61390000000006</v>
      </c>
      <c r="Y299" s="250">
        <f t="shared" si="284"/>
        <v>584.61390000000006</v>
      </c>
      <c r="Z299" s="250">
        <f t="shared" si="284"/>
        <v>584.61390000000006</v>
      </c>
      <c r="AA299" s="251">
        <f t="shared" si="284"/>
        <v>1.29214662</v>
      </c>
      <c r="AB299" s="250">
        <f t="shared" si="284"/>
        <v>1.29214662</v>
      </c>
      <c r="AC299" s="250">
        <f t="shared" ref="AC299:AL308" si="285">INDEX($P$459:$P$484,MATCH($G299,$G$459:$G$484,0),1)
*INDEX($I$406:$O$426,MATCH($G299,$G$406:$G$426,0),MATCH(AC$8,$I$405:$O$405,0))
*INDEX($S$459:$S$484,MATCH($G299,$G$459:$G$484,0),1)
*$P$485</f>
        <v>1.29214662</v>
      </c>
      <c r="AD299" s="250">
        <f t="shared" si="285"/>
        <v>1.29214662</v>
      </c>
      <c r="AE299" s="250">
        <f t="shared" si="285"/>
        <v>1.29214662</v>
      </c>
      <c r="AF299" s="250">
        <f t="shared" si="285"/>
        <v>1.29214662</v>
      </c>
      <c r="AG299" s="251">
        <f t="shared" si="285"/>
        <v>28.481190000000002</v>
      </c>
      <c r="AH299" s="250">
        <f t="shared" si="285"/>
        <v>28.481190000000002</v>
      </c>
      <c r="AI299" s="250">
        <f t="shared" si="285"/>
        <v>28.481190000000002</v>
      </c>
      <c r="AJ299" s="250">
        <f t="shared" si="285"/>
        <v>28.481190000000002</v>
      </c>
      <c r="AK299" s="250">
        <f t="shared" si="285"/>
        <v>28.481190000000002</v>
      </c>
      <c r="AL299" s="250">
        <f t="shared" si="285"/>
        <v>28.481190000000002</v>
      </c>
      <c r="AM299" s="251">
        <f t="shared" ref="AM299:AX308" si="286">INDEX($P$459:$P$484,MATCH($G299,$G$459:$G$484,0),1)
*INDEX($I$406:$O$426,MATCH($G299,$G$406:$G$426,0),MATCH(AM$8,$I$405:$O$405,0))
*INDEX($S$459:$S$484,MATCH($G299,$G$459:$G$484,0),1)
*$P$485</f>
        <v>149.90100000000001</v>
      </c>
      <c r="AN299" s="250">
        <f t="shared" si="286"/>
        <v>149.90100000000001</v>
      </c>
      <c r="AO299" s="250">
        <f t="shared" si="286"/>
        <v>149.90100000000001</v>
      </c>
      <c r="AP299" s="250">
        <f t="shared" si="286"/>
        <v>149.90100000000001</v>
      </c>
      <c r="AQ299" s="250">
        <f t="shared" si="286"/>
        <v>149.90100000000001</v>
      </c>
      <c r="AR299" s="250">
        <f t="shared" si="286"/>
        <v>149.90100000000001</v>
      </c>
      <c r="AS299" s="251">
        <f t="shared" si="286"/>
        <v>3597.6240000000007</v>
      </c>
      <c r="AT299" s="250">
        <f t="shared" si="286"/>
        <v>3597.6240000000007</v>
      </c>
      <c r="AU299" s="250">
        <f t="shared" si="286"/>
        <v>3597.6240000000007</v>
      </c>
      <c r="AV299" s="250">
        <f t="shared" si="286"/>
        <v>3597.6240000000007</v>
      </c>
      <c r="AW299" s="250">
        <f t="shared" si="286"/>
        <v>3597.6240000000007</v>
      </c>
      <c r="AX299" s="252">
        <f t="shared" si="286"/>
        <v>3597.6240000000007</v>
      </c>
      <c r="AY299" s="1"/>
      <c r="AZ299" s="1"/>
      <c r="BA299" s="1"/>
      <c r="BB299" s="1"/>
      <c r="BC299" s="1"/>
      <c r="BD299" s="1"/>
      <c r="BE299" s="1"/>
      <c r="BF299" s="1"/>
    </row>
    <row r="300" spans="2:58" x14ac:dyDescent="0.25">
      <c r="B300" s="1343"/>
      <c r="D300" s="1355"/>
      <c r="F300" s="265"/>
      <c r="G300" s="209" t="s">
        <v>102</v>
      </c>
      <c r="H300" s="209"/>
      <c r="I300" s="253">
        <f t="shared" si="283"/>
        <v>1.5381600000000002</v>
      </c>
      <c r="J300" s="253">
        <f t="shared" si="283"/>
        <v>1.5381600000000002</v>
      </c>
      <c r="K300" s="253">
        <f t="shared" si="283"/>
        <v>1.5381600000000002</v>
      </c>
      <c r="L300" s="253">
        <f t="shared" si="283"/>
        <v>1.5381600000000002</v>
      </c>
      <c r="M300" s="253">
        <f t="shared" si="283"/>
        <v>1.5381600000000002</v>
      </c>
      <c r="N300" s="253">
        <f t="shared" si="283"/>
        <v>1.5381600000000002</v>
      </c>
      <c r="O300" s="254">
        <f t="shared" si="283"/>
        <v>107.6712</v>
      </c>
      <c r="P300" s="253">
        <f t="shared" si="283"/>
        <v>107.6712</v>
      </c>
      <c r="Q300" s="253">
        <f t="shared" si="283"/>
        <v>107.6712</v>
      </c>
      <c r="R300" s="253">
        <f t="shared" si="283"/>
        <v>107.6712</v>
      </c>
      <c r="S300" s="253">
        <f t="shared" si="284"/>
        <v>107.6712</v>
      </c>
      <c r="T300" s="253">
        <f t="shared" si="284"/>
        <v>107.6712</v>
      </c>
      <c r="U300" s="254">
        <f t="shared" si="284"/>
        <v>617.57123999999999</v>
      </c>
      <c r="V300" s="253">
        <f t="shared" si="284"/>
        <v>617.57123999999999</v>
      </c>
      <c r="W300" s="253">
        <f t="shared" si="284"/>
        <v>617.57123999999999</v>
      </c>
      <c r="X300" s="253">
        <f t="shared" si="284"/>
        <v>617.57123999999999</v>
      </c>
      <c r="Y300" s="253">
        <f t="shared" si="284"/>
        <v>617.57123999999999</v>
      </c>
      <c r="Z300" s="253">
        <f t="shared" si="284"/>
        <v>617.57123999999999</v>
      </c>
      <c r="AA300" s="254">
        <f t="shared" si="284"/>
        <v>0.99980400000000003</v>
      </c>
      <c r="AB300" s="253">
        <f t="shared" si="284"/>
        <v>0.99980400000000003</v>
      </c>
      <c r="AC300" s="253">
        <f t="shared" si="285"/>
        <v>0.99980400000000003</v>
      </c>
      <c r="AD300" s="253">
        <f t="shared" si="285"/>
        <v>0.99980400000000003</v>
      </c>
      <c r="AE300" s="253">
        <f t="shared" si="285"/>
        <v>0.99980400000000003</v>
      </c>
      <c r="AF300" s="253">
        <f t="shared" si="285"/>
        <v>0.99980400000000003</v>
      </c>
      <c r="AG300" s="254">
        <f t="shared" si="285"/>
        <v>66.140879999999996</v>
      </c>
      <c r="AH300" s="253">
        <f t="shared" si="285"/>
        <v>66.140879999999996</v>
      </c>
      <c r="AI300" s="253">
        <f t="shared" si="285"/>
        <v>66.140879999999996</v>
      </c>
      <c r="AJ300" s="253">
        <f t="shared" si="285"/>
        <v>66.140879999999996</v>
      </c>
      <c r="AK300" s="253">
        <f t="shared" si="285"/>
        <v>66.140879999999996</v>
      </c>
      <c r="AL300" s="253">
        <f t="shared" si="285"/>
        <v>66.140879999999996</v>
      </c>
      <c r="AM300" s="254">
        <f t="shared" si="286"/>
        <v>30.763200000000005</v>
      </c>
      <c r="AN300" s="253">
        <f t="shared" si="286"/>
        <v>30.763200000000005</v>
      </c>
      <c r="AO300" s="253">
        <f t="shared" si="286"/>
        <v>30.763200000000005</v>
      </c>
      <c r="AP300" s="253">
        <f t="shared" si="286"/>
        <v>30.763200000000005</v>
      </c>
      <c r="AQ300" s="253">
        <f t="shared" si="286"/>
        <v>30.763200000000005</v>
      </c>
      <c r="AR300" s="253">
        <f t="shared" si="286"/>
        <v>30.763200000000005</v>
      </c>
      <c r="AS300" s="254">
        <f t="shared" si="286"/>
        <v>2591.7996000000003</v>
      </c>
      <c r="AT300" s="253">
        <f t="shared" si="286"/>
        <v>2591.7996000000003</v>
      </c>
      <c r="AU300" s="253">
        <f t="shared" si="286"/>
        <v>2591.7996000000003</v>
      </c>
      <c r="AV300" s="253">
        <f t="shared" si="286"/>
        <v>2591.7996000000003</v>
      </c>
      <c r="AW300" s="253">
        <f t="shared" si="286"/>
        <v>2591.7996000000003</v>
      </c>
      <c r="AX300" s="255">
        <f t="shared" si="286"/>
        <v>2591.7996000000003</v>
      </c>
      <c r="AY300" s="1"/>
      <c r="AZ300" s="1"/>
      <c r="BA300" s="1"/>
      <c r="BB300" s="1"/>
      <c r="BC300" s="1"/>
      <c r="BD300" s="1"/>
      <c r="BE300" s="1"/>
      <c r="BF300" s="1"/>
    </row>
    <row r="301" spans="2:58" x14ac:dyDescent="0.25">
      <c r="B301" s="1343"/>
      <c r="D301" s="1355"/>
      <c r="F301" s="265"/>
      <c r="G301" s="209" t="s">
        <v>103</v>
      </c>
      <c r="H301" s="209"/>
      <c r="I301" s="253">
        <f t="shared" si="283"/>
        <v>0.13064999999999999</v>
      </c>
      <c r="J301" s="253">
        <f t="shared" si="283"/>
        <v>0.13064999999999999</v>
      </c>
      <c r="K301" s="253">
        <f t="shared" si="283"/>
        <v>0.13064999999999999</v>
      </c>
      <c r="L301" s="253">
        <f t="shared" si="283"/>
        <v>0.13064999999999999</v>
      </c>
      <c r="M301" s="253">
        <f t="shared" si="283"/>
        <v>0.13064999999999999</v>
      </c>
      <c r="N301" s="253">
        <f t="shared" si="283"/>
        <v>0.13064999999999999</v>
      </c>
      <c r="O301" s="254">
        <f t="shared" si="283"/>
        <v>2.1774999999999998</v>
      </c>
      <c r="P301" s="253">
        <f t="shared" si="283"/>
        <v>2.1774999999999998</v>
      </c>
      <c r="Q301" s="253">
        <f t="shared" si="283"/>
        <v>2.1774999999999998</v>
      </c>
      <c r="R301" s="253">
        <f t="shared" si="283"/>
        <v>2.1774999999999998</v>
      </c>
      <c r="S301" s="253">
        <f t="shared" si="284"/>
        <v>2.1774999999999998</v>
      </c>
      <c r="T301" s="253">
        <f t="shared" si="284"/>
        <v>2.1774999999999998</v>
      </c>
      <c r="U301" s="254">
        <f t="shared" si="284"/>
        <v>2.1774999999999998</v>
      </c>
      <c r="V301" s="253">
        <f t="shared" si="284"/>
        <v>2.1774999999999998</v>
      </c>
      <c r="W301" s="253">
        <f t="shared" si="284"/>
        <v>2.1774999999999998</v>
      </c>
      <c r="X301" s="253">
        <f t="shared" si="284"/>
        <v>2.1774999999999998</v>
      </c>
      <c r="Y301" s="253">
        <f t="shared" si="284"/>
        <v>2.1774999999999998</v>
      </c>
      <c r="Z301" s="253">
        <f t="shared" si="284"/>
        <v>2.1774999999999998</v>
      </c>
      <c r="AA301" s="254">
        <f t="shared" si="284"/>
        <v>8.7100000000000007E-3</v>
      </c>
      <c r="AB301" s="253">
        <f t="shared" si="284"/>
        <v>8.7100000000000007E-3</v>
      </c>
      <c r="AC301" s="253">
        <f t="shared" si="285"/>
        <v>8.7100000000000007E-3</v>
      </c>
      <c r="AD301" s="253">
        <f t="shared" si="285"/>
        <v>8.7100000000000007E-3</v>
      </c>
      <c r="AE301" s="253">
        <f t="shared" si="285"/>
        <v>8.7100000000000007E-3</v>
      </c>
      <c r="AF301" s="253">
        <f t="shared" si="285"/>
        <v>8.7100000000000007E-3</v>
      </c>
      <c r="AG301" s="254">
        <f t="shared" si="285"/>
        <v>0.60970000000000013</v>
      </c>
      <c r="AH301" s="253">
        <f t="shared" si="285"/>
        <v>0.60970000000000013</v>
      </c>
      <c r="AI301" s="253">
        <f t="shared" si="285"/>
        <v>0.60970000000000013</v>
      </c>
      <c r="AJ301" s="253">
        <f t="shared" si="285"/>
        <v>0.60970000000000013</v>
      </c>
      <c r="AK301" s="253">
        <f t="shared" si="285"/>
        <v>0.60970000000000013</v>
      </c>
      <c r="AL301" s="253">
        <f t="shared" si="285"/>
        <v>0.60970000000000013</v>
      </c>
      <c r="AM301" s="254">
        <f t="shared" si="286"/>
        <v>2.3517000000000001</v>
      </c>
      <c r="AN301" s="253">
        <f t="shared" si="286"/>
        <v>2.3517000000000001</v>
      </c>
      <c r="AO301" s="253">
        <f t="shared" si="286"/>
        <v>2.3517000000000001</v>
      </c>
      <c r="AP301" s="253">
        <f t="shared" si="286"/>
        <v>2.3517000000000001</v>
      </c>
      <c r="AQ301" s="253">
        <f t="shared" si="286"/>
        <v>2.3517000000000001</v>
      </c>
      <c r="AR301" s="253">
        <f t="shared" si="286"/>
        <v>2.3517000000000001</v>
      </c>
      <c r="AS301" s="254">
        <f t="shared" si="286"/>
        <v>17.419999999999998</v>
      </c>
      <c r="AT301" s="253">
        <f t="shared" si="286"/>
        <v>17.419999999999998</v>
      </c>
      <c r="AU301" s="253">
        <f t="shared" si="286"/>
        <v>17.419999999999998</v>
      </c>
      <c r="AV301" s="253">
        <f t="shared" si="286"/>
        <v>17.419999999999998</v>
      </c>
      <c r="AW301" s="253">
        <f t="shared" si="286"/>
        <v>17.419999999999998</v>
      </c>
      <c r="AX301" s="255">
        <f t="shared" si="286"/>
        <v>17.419999999999998</v>
      </c>
      <c r="AY301" s="1"/>
      <c r="AZ301" s="1"/>
      <c r="BA301" s="1"/>
      <c r="BB301" s="1"/>
      <c r="BC301" s="1"/>
      <c r="BD301" s="1"/>
      <c r="BE301" s="1"/>
      <c r="BF301" s="1"/>
    </row>
    <row r="302" spans="2:58" x14ac:dyDescent="0.25">
      <c r="B302" s="1343"/>
      <c r="D302" s="1355"/>
      <c r="F302" s="265"/>
      <c r="G302" s="209" t="s">
        <v>107</v>
      </c>
      <c r="H302" s="209"/>
      <c r="I302" s="253">
        <f t="shared" si="283"/>
        <v>3.3984800000000002</v>
      </c>
      <c r="J302" s="253">
        <f t="shared" si="283"/>
        <v>3.3984800000000002</v>
      </c>
      <c r="K302" s="253">
        <f t="shared" si="283"/>
        <v>3.3984800000000002</v>
      </c>
      <c r="L302" s="253">
        <f t="shared" si="283"/>
        <v>3.3984800000000002</v>
      </c>
      <c r="M302" s="253">
        <f t="shared" si="283"/>
        <v>3.3984800000000002</v>
      </c>
      <c r="N302" s="253">
        <f t="shared" si="283"/>
        <v>3.3984800000000002</v>
      </c>
      <c r="O302" s="254">
        <f t="shared" si="283"/>
        <v>16.9924</v>
      </c>
      <c r="P302" s="253">
        <f t="shared" si="283"/>
        <v>16.9924</v>
      </c>
      <c r="Q302" s="253">
        <f t="shared" si="283"/>
        <v>16.9924</v>
      </c>
      <c r="R302" s="253">
        <f t="shared" si="283"/>
        <v>16.9924</v>
      </c>
      <c r="S302" s="253">
        <f t="shared" si="284"/>
        <v>16.9924</v>
      </c>
      <c r="T302" s="253">
        <f t="shared" si="284"/>
        <v>16.9924</v>
      </c>
      <c r="U302" s="254">
        <f t="shared" si="284"/>
        <v>428.88817599999993</v>
      </c>
      <c r="V302" s="253">
        <f t="shared" si="284"/>
        <v>428.88817599999993</v>
      </c>
      <c r="W302" s="253">
        <f t="shared" si="284"/>
        <v>428.88817599999993</v>
      </c>
      <c r="X302" s="253">
        <f t="shared" si="284"/>
        <v>428.88817599999993</v>
      </c>
      <c r="Y302" s="253">
        <f t="shared" si="284"/>
        <v>428.88817599999993</v>
      </c>
      <c r="Z302" s="253">
        <f t="shared" si="284"/>
        <v>428.88817599999993</v>
      </c>
      <c r="AA302" s="254">
        <f t="shared" si="284"/>
        <v>0.29294897599999997</v>
      </c>
      <c r="AB302" s="253">
        <f t="shared" si="284"/>
        <v>0.29294897599999997</v>
      </c>
      <c r="AC302" s="253">
        <f t="shared" si="285"/>
        <v>0.29294897599999997</v>
      </c>
      <c r="AD302" s="253">
        <f t="shared" si="285"/>
        <v>0.29294897599999997</v>
      </c>
      <c r="AE302" s="253">
        <f t="shared" si="285"/>
        <v>0.29294897599999997</v>
      </c>
      <c r="AF302" s="253">
        <f t="shared" si="285"/>
        <v>0.29294897599999997</v>
      </c>
      <c r="AG302" s="254">
        <f t="shared" si="285"/>
        <v>29.226927999999997</v>
      </c>
      <c r="AH302" s="253">
        <f t="shared" si="285"/>
        <v>29.226927999999997</v>
      </c>
      <c r="AI302" s="253">
        <f t="shared" si="285"/>
        <v>29.226927999999997</v>
      </c>
      <c r="AJ302" s="253">
        <f t="shared" si="285"/>
        <v>29.226927999999997</v>
      </c>
      <c r="AK302" s="253">
        <f t="shared" si="285"/>
        <v>29.226927999999997</v>
      </c>
      <c r="AL302" s="253">
        <f t="shared" si="285"/>
        <v>29.226927999999997</v>
      </c>
      <c r="AM302" s="254">
        <f t="shared" si="286"/>
        <v>33.9848</v>
      </c>
      <c r="AN302" s="253">
        <f t="shared" si="286"/>
        <v>33.9848</v>
      </c>
      <c r="AO302" s="253">
        <f t="shared" si="286"/>
        <v>33.9848</v>
      </c>
      <c r="AP302" s="253">
        <f t="shared" si="286"/>
        <v>33.9848</v>
      </c>
      <c r="AQ302" s="253">
        <f t="shared" si="286"/>
        <v>33.9848</v>
      </c>
      <c r="AR302" s="253">
        <f t="shared" si="286"/>
        <v>33.9848</v>
      </c>
      <c r="AS302" s="254">
        <f t="shared" si="286"/>
        <v>1685.64608</v>
      </c>
      <c r="AT302" s="253">
        <f t="shared" si="286"/>
        <v>1685.64608</v>
      </c>
      <c r="AU302" s="253">
        <f t="shared" si="286"/>
        <v>1685.64608</v>
      </c>
      <c r="AV302" s="253">
        <f t="shared" si="286"/>
        <v>1685.64608</v>
      </c>
      <c r="AW302" s="253">
        <f t="shared" si="286"/>
        <v>1685.64608</v>
      </c>
      <c r="AX302" s="255">
        <f t="shared" si="286"/>
        <v>1685.64608</v>
      </c>
      <c r="AY302" s="1"/>
      <c r="AZ302" s="1"/>
      <c r="BA302" s="1"/>
      <c r="BB302" s="1"/>
      <c r="BC302" s="1"/>
      <c r="BD302" s="1"/>
      <c r="BE302" s="1"/>
      <c r="BF302" s="1"/>
    </row>
    <row r="303" spans="2:58" x14ac:dyDescent="0.25">
      <c r="B303" s="1343"/>
      <c r="D303" s="1355"/>
      <c r="F303" s="265"/>
      <c r="G303" s="209" t="s">
        <v>104</v>
      </c>
      <c r="H303" s="209"/>
      <c r="I303" s="253">
        <f t="shared" si="283"/>
        <v>1.1051040000000001</v>
      </c>
      <c r="J303" s="253">
        <f t="shared" si="283"/>
        <v>1.1051040000000001</v>
      </c>
      <c r="K303" s="253">
        <f t="shared" si="283"/>
        <v>1.1051040000000001</v>
      </c>
      <c r="L303" s="253">
        <f t="shared" si="283"/>
        <v>1.1051040000000001</v>
      </c>
      <c r="M303" s="253">
        <f t="shared" si="283"/>
        <v>1.1051040000000001</v>
      </c>
      <c r="N303" s="253">
        <f t="shared" si="283"/>
        <v>1.1051040000000001</v>
      </c>
      <c r="O303" s="254">
        <f t="shared" si="283"/>
        <v>77.357279999999989</v>
      </c>
      <c r="P303" s="253">
        <f t="shared" si="283"/>
        <v>77.357279999999989</v>
      </c>
      <c r="Q303" s="253">
        <f t="shared" si="283"/>
        <v>77.357279999999989</v>
      </c>
      <c r="R303" s="253">
        <f t="shared" si="283"/>
        <v>77.357279999999989</v>
      </c>
      <c r="S303" s="253">
        <f t="shared" si="284"/>
        <v>77.357279999999989</v>
      </c>
      <c r="T303" s="253">
        <f t="shared" si="284"/>
        <v>77.357279999999989</v>
      </c>
      <c r="U303" s="254">
        <f t="shared" si="284"/>
        <v>443.69925599999999</v>
      </c>
      <c r="V303" s="253">
        <f t="shared" si="284"/>
        <v>443.69925599999999</v>
      </c>
      <c r="W303" s="253">
        <f t="shared" si="284"/>
        <v>443.69925599999999</v>
      </c>
      <c r="X303" s="253">
        <f t="shared" si="284"/>
        <v>443.69925599999999</v>
      </c>
      <c r="Y303" s="253">
        <f t="shared" si="284"/>
        <v>443.69925599999999</v>
      </c>
      <c r="Z303" s="253">
        <f t="shared" si="284"/>
        <v>443.69925599999999</v>
      </c>
      <c r="AA303" s="254">
        <f t="shared" si="284"/>
        <v>0.7183176</v>
      </c>
      <c r="AB303" s="253">
        <f t="shared" si="284"/>
        <v>0.7183176</v>
      </c>
      <c r="AC303" s="253">
        <f t="shared" si="285"/>
        <v>0.7183176</v>
      </c>
      <c r="AD303" s="253">
        <f t="shared" si="285"/>
        <v>0.7183176</v>
      </c>
      <c r="AE303" s="253">
        <f t="shared" si="285"/>
        <v>0.7183176</v>
      </c>
      <c r="AF303" s="253">
        <f t="shared" si="285"/>
        <v>0.7183176</v>
      </c>
      <c r="AG303" s="254">
        <f t="shared" si="285"/>
        <v>47.519472</v>
      </c>
      <c r="AH303" s="253">
        <f t="shared" si="285"/>
        <v>47.519472</v>
      </c>
      <c r="AI303" s="253">
        <f t="shared" si="285"/>
        <v>47.519472</v>
      </c>
      <c r="AJ303" s="253">
        <f t="shared" si="285"/>
        <v>47.519472</v>
      </c>
      <c r="AK303" s="253">
        <f t="shared" si="285"/>
        <v>47.519472</v>
      </c>
      <c r="AL303" s="253">
        <f t="shared" si="285"/>
        <v>47.519472</v>
      </c>
      <c r="AM303" s="254">
        <f t="shared" si="286"/>
        <v>22.102080000000001</v>
      </c>
      <c r="AN303" s="253">
        <f t="shared" si="286"/>
        <v>22.102080000000001</v>
      </c>
      <c r="AO303" s="253">
        <f t="shared" si="286"/>
        <v>22.102080000000001</v>
      </c>
      <c r="AP303" s="253">
        <f t="shared" si="286"/>
        <v>22.102080000000001</v>
      </c>
      <c r="AQ303" s="253">
        <f t="shared" si="286"/>
        <v>22.102080000000001</v>
      </c>
      <c r="AR303" s="253">
        <f t="shared" si="286"/>
        <v>22.102080000000001</v>
      </c>
      <c r="AS303" s="254">
        <f t="shared" si="286"/>
        <v>1862.1002400000002</v>
      </c>
      <c r="AT303" s="253">
        <f t="shared" si="286"/>
        <v>1862.1002400000002</v>
      </c>
      <c r="AU303" s="253">
        <f t="shared" si="286"/>
        <v>1862.1002400000002</v>
      </c>
      <c r="AV303" s="253">
        <f t="shared" si="286"/>
        <v>1862.1002400000002</v>
      </c>
      <c r="AW303" s="253">
        <f t="shared" si="286"/>
        <v>1862.1002400000002</v>
      </c>
      <c r="AX303" s="255">
        <f t="shared" si="286"/>
        <v>1862.1002400000002</v>
      </c>
      <c r="AY303" s="1"/>
      <c r="AZ303" s="1"/>
      <c r="BA303" s="1"/>
      <c r="BB303" s="1"/>
      <c r="BC303" s="1"/>
      <c r="BD303" s="1"/>
      <c r="BE303" s="1"/>
      <c r="BF303" s="1"/>
    </row>
    <row r="304" spans="2:58" x14ac:dyDescent="0.25">
      <c r="B304" s="1343"/>
      <c r="D304" s="1355"/>
      <c r="F304" s="265"/>
      <c r="G304" s="209" t="s">
        <v>97</v>
      </c>
      <c r="H304" s="209"/>
      <c r="I304" s="253">
        <f t="shared" si="283"/>
        <v>16.877327999999999</v>
      </c>
      <c r="J304" s="253">
        <f t="shared" si="283"/>
        <v>16.877327999999999</v>
      </c>
      <c r="K304" s="253">
        <f t="shared" si="283"/>
        <v>16.877327999999999</v>
      </c>
      <c r="L304" s="253">
        <f t="shared" si="283"/>
        <v>16.877327999999999</v>
      </c>
      <c r="M304" s="253">
        <f t="shared" si="283"/>
        <v>16.877327999999999</v>
      </c>
      <c r="N304" s="253">
        <f t="shared" si="283"/>
        <v>16.877327999999999</v>
      </c>
      <c r="O304" s="254">
        <f t="shared" si="283"/>
        <v>7.7895360000000009</v>
      </c>
      <c r="P304" s="253">
        <f t="shared" si="283"/>
        <v>7.7895360000000009</v>
      </c>
      <c r="Q304" s="253">
        <f t="shared" si="283"/>
        <v>7.7895360000000009</v>
      </c>
      <c r="R304" s="253">
        <f t="shared" si="283"/>
        <v>7.7895360000000009</v>
      </c>
      <c r="S304" s="253">
        <f t="shared" si="284"/>
        <v>7.7895360000000009</v>
      </c>
      <c r="T304" s="253">
        <f t="shared" si="284"/>
        <v>7.7895360000000009</v>
      </c>
      <c r="U304" s="254">
        <f t="shared" si="284"/>
        <v>51.281112</v>
      </c>
      <c r="V304" s="253">
        <f t="shared" si="284"/>
        <v>51.281112</v>
      </c>
      <c r="W304" s="253">
        <f t="shared" si="284"/>
        <v>51.281112</v>
      </c>
      <c r="X304" s="253">
        <f t="shared" si="284"/>
        <v>51.281112</v>
      </c>
      <c r="Y304" s="253">
        <f t="shared" si="284"/>
        <v>51.281112</v>
      </c>
      <c r="Z304" s="253">
        <f t="shared" si="284"/>
        <v>51.281112</v>
      </c>
      <c r="AA304" s="254">
        <f t="shared" si="284"/>
        <v>0.32456400000000002</v>
      </c>
      <c r="AB304" s="253">
        <f t="shared" si="284"/>
        <v>0.32456400000000002</v>
      </c>
      <c r="AC304" s="253">
        <f t="shared" si="285"/>
        <v>0.32456400000000002</v>
      </c>
      <c r="AD304" s="253">
        <f t="shared" si="285"/>
        <v>0.32456400000000002</v>
      </c>
      <c r="AE304" s="253">
        <f t="shared" si="285"/>
        <v>0.32456400000000002</v>
      </c>
      <c r="AF304" s="253">
        <f t="shared" si="285"/>
        <v>0.32456400000000002</v>
      </c>
      <c r="AG304" s="254">
        <f t="shared" si="285"/>
        <v>27.912504000000002</v>
      </c>
      <c r="AH304" s="253">
        <f t="shared" si="285"/>
        <v>27.912504000000002</v>
      </c>
      <c r="AI304" s="253">
        <f t="shared" si="285"/>
        <v>27.912504000000002</v>
      </c>
      <c r="AJ304" s="253">
        <f t="shared" si="285"/>
        <v>27.912504000000002</v>
      </c>
      <c r="AK304" s="253">
        <f t="shared" si="285"/>
        <v>27.912504000000002</v>
      </c>
      <c r="AL304" s="253">
        <f t="shared" si="285"/>
        <v>27.912504000000002</v>
      </c>
      <c r="AM304" s="254">
        <f t="shared" si="286"/>
        <v>42.19332</v>
      </c>
      <c r="AN304" s="253">
        <f t="shared" si="286"/>
        <v>42.19332</v>
      </c>
      <c r="AO304" s="253">
        <f t="shared" si="286"/>
        <v>42.19332</v>
      </c>
      <c r="AP304" s="253">
        <f t="shared" si="286"/>
        <v>42.19332</v>
      </c>
      <c r="AQ304" s="253">
        <f t="shared" si="286"/>
        <v>42.19332</v>
      </c>
      <c r="AR304" s="253">
        <f t="shared" si="286"/>
        <v>42.19332</v>
      </c>
      <c r="AS304" s="254">
        <f t="shared" si="286"/>
        <v>701.05824000000007</v>
      </c>
      <c r="AT304" s="253">
        <f t="shared" si="286"/>
        <v>701.05824000000007</v>
      </c>
      <c r="AU304" s="253">
        <f t="shared" si="286"/>
        <v>701.05824000000007</v>
      </c>
      <c r="AV304" s="253">
        <f t="shared" si="286"/>
        <v>701.05824000000007</v>
      </c>
      <c r="AW304" s="253">
        <f t="shared" si="286"/>
        <v>701.05824000000007</v>
      </c>
      <c r="AX304" s="255">
        <f t="shared" si="286"/>
        <v>701.05824000000007</v>
      </c>
      <c r="AY304" s="1"/>
      <c r="AZ304" s="1"/>
      <c r="BA304" s="1"/>
      <c r="BB304" s="1"/>
      <c r="BC304" s="1"/>
      <c r="BD304" s="1"/>
      <c r="BE304" s="1"/>
      <c r="BF304" s="1"/>
    </row>
    <row r="305" spans="2:58" x14ac:dyDescent="0.25">
      <c r="B305" s="1343"/>
      <c r="D305" s="1355"/>
      <c r="F305" s="265"/>
      <c r="G305" s="209" t="s">
        <v>628</v>
      </c>
      <c r="H305" s="209"/>
      <c r="I305" s="253">
        <f t="shared" si="283"/>
        <v>0</v>
      </c>
      <c r="J305" s="253">
        <f t="shared" si="283"/>
        <v>0</v>
      </c>
      <c r="K305" s="253">
        <f t="shared" si="283"/>
        <v>0</v>
      </c>
      <c r="L305" s="253">
        <f t="shared" si="283"/>
        <v>0</v>
      </c>
      <c r="M305" s="253">
        <f t="shared" si="283"/>
        <v>0</v>
      </c>
      <c r="N305" s="253">
        <f t="shared" si="283"/>
        <v>0</v>
      </c>
      <c r="O305" s="254">
        <f t="shared" si="283"/>
        <v>0</v>
      </c>
      <c r="P305" s="253">
        <f t="shared" si="283"/>
        <v>0</v>
      </c>
      <c r="Q305" s="253">
        <f t="shared" si="283"/>
        <v>0</v>
      </c>
      <c r="R305" s="253">
        <f t="shared" si="283"/>
        <v>0</v>
      </c>
      <c r="S305" s="253">
        <f t="shared" si="284"/>
        <v>0</v>
      </c>
      <c r="T305" s="253">
        <f t="shared" si="284"/>
        <v>0</v>
      </c>
      <c r="U305" s="254">
        <f t="shared" si="284"/>
        <v>0</v>
      </c>
      <c r="V305" s="253">
        <f t="shared" si="284"/>
        <v>0</v>
      </c>
      <c r="W305" s="253">
        <f t="shared" si="284"/>
        <v>0</v>
      </c>
      <c r="X305" s="253">
        <f t="shared" si="284"/>
        <v>0</v>
      </c>
      <c r="Y305" s="253">
        <f t="shared" si="284"/>
        <v>0</v>
      </c>
      <c r="Z305" s="253">
        <f t="shared" si="284"/>
        <v>0</v>
      </c>
      <c r="AA305" s="254">
        <f t="shared" si="284"/>
        <v>0</v>
      </c>
      <c r="AB305" s="253">
        <f t="shared" si="284"/>
        <v>0</v>
      </c>
      <c r="AC305" s="253">
        <f t="shared" si="285"/>
        <v>0</v>
      </c>
      <c r="AD305" s="253">
        <f t="shared" si="285"/>
        <v>0</v>
      </c>
      <c r="AE305" s="253">
        <f t="shared" si="285"/>
        <v>0</v>
      </c>
      <c r="AF305" s="253">
        <f t="shared" si="285"/>
        <v>0</v>
      </c>
      <c r="AG305" s="254">
        <f t="shared" si="285"/>
        <v>0</v>
      </c>
      <c r="AH305" s="253">
        <f t="shared" si="285"/>
        <v>0</v>
      </c>
      <c r="AI305" s="253">
        <f t="shared" si="285"/>
        <v>0</v>
      </c>
      <c r="AJ305" s="253">
        <f t="shared" si="285"/>
        <v>0</v>
      </c>
      <c r="AK305" s="253">
        <f t="shared" si="285"/>
        <v>0</v>
      </c>
      <c r="AL305" s="253">
        <f t="shared" si="285"/>
        <v>0</v>
      </c>
      <c r="AM305" s="254">
        <f t="shared" si="286"/>
        <v>0</v>
      </c>
      <c r="AN305" s="253">
        <f t="shared" si="286"/>
        <v>0</v>
      </c>
      <c r="AO305" s="253">
        <f t="shared" si="286"/>
        <v>0</v>
      </c>
      <c r="AP305" s="253">
        <f t="shared" si="286"/>
        <v>0</v>
      </c>
      <c r="AQ305" s="253">
        <f t="shared" si="286"/>
        <v>0</v>
      </c>
      <c r="AR305" s="253">
        <f t="shared" si="286"/>
        <v>0</v>
      </c>
      <c r="AS305" s="254">
        <f t="shared" si="286"/>
        <v>0</v>
      </c>
      <c r="AT305" s="253">
        <f t="shared" si="286"/>
        <v>0</v>
      </c>
      <c r="AU305" s="253">
        <f t="shared" si="286"/>
        <v>0</v>
      </c>
      <c r="AV305" s="253">
        <f t="shared" si="286"/>
        <v>0</v>
      </c>
      <c r="AW305" s="253">
        <f t="shared" si="286"/>
        <v>0</v>
      </c>
      <c r="AX305" s="255">
        <f t="shared" si="286"/>
        <v>0</v>
      </c>
      <c r="AY305" s="1"/>
      <c r="AZ305" s="1"/>
      <c r="BA305" s="1"/>
      <c r="BB305" s="1"/>
      <c r="BC305" s="1"/>
      <c r="BD305" s="1"/>
      <c r="BE305" s="1"/>
      <c r="BF305" s="1"/>
    </row>
    <row r="306" spans="2:58" x14ac:dyDescent="0.25">
      <c r="B306" s="1343"/>
      <c r="D306" s="1355"/>
      <c r="F306" s="265"/>
      <c r="G306" s="209" t="s">
        <v>108</v>
      </c>
      <c r="H306" s="209"/>
      <c r="I306" s="253">
        <f t="shared" si="283"/>
        <v>1.6112000000000002</v>
      </c>
      <c r="J306" s="253">
        <f t="shared" si="283"/>
        <v>1.6112000000000002</v>
      </c>
      <c r="K306" s="253">
        <f t="shared" si="283"/>
        <v>1.6112000000000002</v>
      </c>
      <c r="L306" s="253">
        <f t="shared" si="283"/>
        <v>1.6112000000000002</v>
      </c>
      <c r="M306" s="253">
        <f t="shared" si="283"/>
        <v>1.6112000000000002</v>
      </c>
      <c r="N306" s="253">
        <f t="shared" si="283"/>
        <v>1.6112000000000002</v>
      </c>
      <c r="O306" s="254">
        <f t="shared" si="283"/>
        <v>8.0559999999999992</v>
      </c>
      <c r="P306" s="253">
        <f t="shared" si="283"/>
        <v>8.0559999999999992</v>
      </c>
      <c r="Q306" s="253">
        <f t="shared" si="283"/>
        <v>8.0559999999999992</v>
      </c>
      <c r="R306" s="253">
        <f t="shared" si="283"/>
        <v>8.0559999999999992</v>
      </c>
      <c r="S306" s="253">
        <f t="shared" si="284"/>
        <v>8.0559999999999992</v>
      </c>
      <c r="T306" s="253">
        <f t="shared" si="284"/>
        <v>8.0559999999999992</v>
      </c>
      <c r="U306" s="254">
        <f t="shared" si="284"/>
        <v>203.33344</v>
      </c>
      <c r="V306" s="253">
        <f t="shared" si="284"/>
        <v>203.33344</v>
      </c>
      <c r="W306" s="253">
        <f t="shared" si="284"/>
        <v>203.33344</v>
      </c>
      <c r="X306" s="253">
        <f t="shared" si="284"/>
        <v>203.33344</v>
      </c>
      <c r="Y306" s="253">
        <f t="shared" si="284"/>
        <v>203.33344</v>
      </c>
      <c r="Z306" s="253">
        <f t="shared" si="284"/>
        <v>203.33344</v>
      </c>
      <c r="AA306" s="254">
        <f t="shared" si="284"/>
        <v>0.13888544</v>
      </c>
      <c r="AB306" s="253">
        <f t="shared" si="284"/>
        <v>0.13888544</v>
      </c>
      <c r="AC306" s="253">
        <f t="shared" si="285"/>
        <v>0.13888544</v>
      </c>
      <c r="AD306" s="253">
        <f t="shared" si="285"/>
        <v>0.13888544</v>
      </c>
      <c r="AE306" s="253">
        <f t="shared" si="285"/>
        <v>0.13888544</v>
      </c>
      <c r="AF306" s="253">
        <f t="shared" si="285"/>
        <v>0.13888544</v>
      </c>
      <c r="AG306" s="254">
        <f t="shared" si="285"/>
        <v>13.85632</v>
      </c>
      <c r="AH306" s="253">
        <f t="shared" si="285"/>
        <v>13.85632</v>
      </c>
      <c r="AI306" s="253">
        <f t="shared" si="285"/>
        <v>13.85632</v>
      </c>
      <c r="AJ306" s="253">
        <f t="shared" si="285"/>
        <v>13.85632</v>
      </c>
      <c r="AK306" s="253">
        <f t="shared" si="285"/>
        <v>13.85632</v>
      </c>
      <c r="AL306" s="253">
        <f t="shared" si="285"/>
        <v>13.85632</v>
      </c>
      <c r="AM306" s="254">
        <f t="shared" si="286"/>
        <v>16.111999999999998</v>
      </c>
      <c r="AN306" s="253">
        <f t="shared" si="286"/>
        <v>16.111999999999998</v>
      </c>
      <c r="AO306" s="253">
        <f t="shared" si="286"/>
        <v>16.111999999999998</v>
      </c>
      <c r="AP306" s="253">
        <f t="shared" si="286"/>
        <v>16.111999999999998</v>
      </c>
      <c r="AQ306" s="253">
        <f t="shared" si="286"/>
        <v>16.111999999999998</v>
      </c>
      <c r="AR306" s="253">
        <f t="shared" si="286"/>
        <v>16.111999999999998</v>
      </c>
      <c r="AS306" s="254">
        <f t="shared" si="286"/>
        <v>799.15520000000004</v>
      </c>
      <c r="AT306" s="253">
        <f t="shared" si="286"/>
        <v>799.15520000000004</v>
      </c>
      <c r="AU306" s="253">
        <f t="shared" si="286"/>
        <v>799.15520000000004</v>
      </c>
      <c r="AV306" s="253">
        <f t="shared" si="286"/>
        <v>799.15520000000004</v>
      </c>
      <c r="AW306" s="253">
        <f t="shared" si="286"/>
        <v>799.15520000000004</v>
      </c>
      <c r="AX306" s="255">
        <f t="shared" si="286"/>
        <v>799.15520000000004</v>
      </c>
      <c r="AY306" s="1"/>
      <c r="AZ306" s="1"/>
      <c r="BA306" s="1"/>
      <c r="BB306" s="1"/>
      <c r="BC306" s="1"/>
      <c r="BD306" s="1"/>
      <c r="BE306" s="1"/>
      <c r="BF306" s="1"/>
    </row>
    <row r="307" spans="2:58" s="220" customFormat="1" x14ac:dyDescent="0.25">
      <c r="B307" s="1343"/>
      <c r="D307" s="1355"/>
      <c r="F307" s="265"/>
      <c r="G307" s="209" t="s">
        <v>98</v>
      </c>
      <c r="H307" s="209"/>
      <c r="I307" s="253">
        <f t="shared" si="283"/>
        <v>3.0418959999999999</v>
      </c>
      <c r="J307" s="253">
        <f t="shared" si="283"/>
        <v>3.0418959999999999</v>
      </c>
      <c r="K307" s="253">
        <f t="shared" si="283"/>
        <v>3.0418959999999999</v>
      </c>
      <c r="L307" s="253">
        <f t="shared" si="283"/>
        <v>3.0418959999999999</v>
      </c>
      <c r="M307" s="253">
        <f t="shared" si="283"/>
        <v>3.0418959999999999</v>
      </c>
      <c r="N307" s="253">
        <f t="shared" si="283"/>
        <v>3.0418959999999999</v>
      </c>
      <c r="O307" s="254">
        <f t="shared" si="283"/>
        <v>533.50175999999999</v>
      </c>
      <c r="P307" s="253">
        <f t="shared" si="283"/>
        <v>533.50175999999999</v>
      </c>
      <c r="Q307" s="253">
        <f t="shared" si="283"/>
        <v>533.50175999999999</v>
      </c>
      <c r="R307" s="253">
        <f t="shared" si="283"/>
        <v>533.50175999999999</v>
      </c>
      <c r="S307" s="253">
        <f t="shared" si="284"/>
        <v>533.50175999999999</v>
      </c>
      <c r="T307" s="253">
        <f t="shared" si="284"/>
        <v>533.50175999999999</v>
      </c>
      <c r="U307" s="254">
        <f t="shared" si="284"/>
        <v>842.37119999999993</v>
      </c>
      <c r="V307" s="253">
        <f t="shared" si="284"/>
        <v>842.37119999999993</v>
      </c>
      <c r="W307" s="253">
        <f t="shared" si="284"/>
        <v>842.37119999999993</v>
      </c>
      <c r="X307" s="253">
        <f t="shared" si="284"/>
        <v>842.37119999999993</v>
      </c>
      <c r="Y307" s="253">
        <f t="shared" si="284"/>
        <v>842.37119999999993</v>
      </c>
      <c r="Z307" s="253">
        <f t="shared" si="284"/>
        <v>842.37119999999993</v>
      </c>
      <c r="AA307" s="254">
        <f t="shared" si="284"/>
        <v>2.0170110399999994</v>
      </c>
      <c r="AB307" s="253">
        <f t="shared" si="284"/>
        <v>2.0170110399999994</v>
      </c>
      <c r="AC307" s="253">
        <f t="shared" si="285"/>
        <v>2.0170110399999994</v>
      </c>
      <c r="AD307" s="253">
        <f t="shared" si="285"/>
        <v>2.0170110399999994</v>
      </c>
      <c r="AE307" s="253">
        <f t="shared" si="285"/>
        <v>2.0170110399999994</v>
      </c>
      <c r="AF307" s="253">
        <f t="shared" si="285"/>
        <v>2.0170110399999994</v>
      </c>
      <c r="AG307" s="254">
        <f t="shared" si="285"/>
        <v>201.23311999999999</v>
      </c>
      <c r="AH307" s="253">
        <f t="shared" si="285"/>
        <v>201.23311999999999</v>
      </c>
      <c r="AI307" s="253">
        <f t="shared" si="285"/>
        <v>201.23311999999999</v>
      </c>
      <c r="AJ307" s="253">
        <f t="shared" si="285"/>
        <v>201.23311999999999</v>
      </c>
      <c r="AK307" s="253">
        <f t="shared" si="285"/>
        <v>201.23311999999999</v>
      </c>
      <c r="AL307" s="253">
        <f t="shared" si="285"/>
        <v>201.23311999999999</v>
      </c>
      <c r="AM307" s="254">
        <f t="shared" si="286"/>
        <v>11.6996</v>
      </c>
      <c r="AN307" s="253">
        <f t="shared" si="286"/>
        <v>11.6996</v>
      </c>
      <c r="AO307" s="253">
        <f t="shared" si="286"/>
        <v>11.6996</v>
      </c>
      <c r="AP307" s="253">
        <f t="shared" si="286"/>
        <v>11.6996</v>
      </c>
      <c r="AQ307" s="253">
        <f t="shared" si="286"/>
        <v>11.6996</v>
      </c>
      <c r="AR307" s="253">
        <f t="shared" si="286"/>
        <v>11.6996</v>
      </c>
      <c r="AS307" s="254">
        <f t="shared" si="286"/>
        <v>5779.6023999999998</v>
      </c>
      <c r="AT307" s="253">
        <f t="shared" si="286"/>
        <v>5779.6023999999998</v>
      </c>
      <c r="AU307" s="253">
        <f t="shared" si="286"/>
        <v>5779.6023999999998</v>
      </c>
      <c r="AV307" s="253">
        <f t="shared" si="286"/>
        <v>5779.6023999999998</v>
      </c>
      <c r="AW307" s="253">
        <f t="shared" si="286"/>
        <v>5779.6023999999998</v>
      </c>
      <c r="AX307" s="255">
        <f t="shared" si="286"/>
        <v>5779.6023999999998</v>
      </c>
      <c r="AY307" s="1"/>
      <c r="AZ307" s="1"/>
      <c r="BA307" s="1"/>
    </row>
    <row r="308" spans="2:58" s="220" customFormat="1" x14ac:dyDescent="0.25">
      <c r="B308" s="1343"/>
      <c r="D308" s="1355"/>
      <c r="F308" s="265"/>
      <c r="G308" s="209" t="s">
        <v>629</v>
      </c>
      <c r="H308" s="209"/>
      <c r="I308" s="253">
        <f t="shared" si="283"/>
        <v>2.4307799999999999</v>
      </c>
      <c r="J308" s="253">
        <f t="shared" si="283"/>
        <v>2.4307799999999999</v>
      </c>
      <c r="K308" s="253">
        <f t="shared" si="283"/>
        <v>2.4307799999999999</v>
      </c>
      <c r="L308" s="253">
        <f t="shared" si="283"/>
        <v>2.4307799999999999</v>
      </c>
      <c r="M308" s="253">
        <f t="shared" si="283"/>
        <v>2.4307799999999999</v>
      </c>
      <c r="N308" s="253">
        <f t="shared" si="283"/>
        <v>2.4307799999999999</v>
      </c>
      <c r="O308" s="254">
        <f t="shared" si="283"/>
        <v>170.15459999999999</v>
      </c>
      <c r="P308" s="253">
        <f t="shared" si="283"/>
        <v>170.15459999999999</v>
      </c>
      <c r="Q308" s="253">
        <f t="shared" si="283"/>
        <v>170.15459999999999</v>
      </c>
      <c r="R308" s="253">
        <f t="shared" si="283"/>
        <v>170.15459999999999</v>
      </c>
      <c r="S308" s="253">
        <f t="shared" si="284"/>
        <v>170.15459999999999</v>
      </c>
      <c r="T308" s="253">
        <f t="shared" si="284"/>
        <v>170.15459999999999</v>
      </c>
      <c r="U308" s="254">
        <f t="shared" si="284"/>
        <v>975.95816999999977</v>
      </c>
      <c r="V308" s="253">
        <f t="shared" si="284"/>
        <v>975.95816999999977</v>
      </c>
      <c r="W308" s="253">
        <f t="shared" si="284"/>
        <v>975.95816999999977</v>
      </c>
      <c r="X308" s="253">
        <f t="shared" si="284"/>
        <v>975.95816999999977</v>
      </c>
      <c r="Y308" s="253">
        <f t="shared" si="284"/>
        <v>975.95816999999977</v>
      </c>
      <c r="Z308" s="253">
        <f t="shared" si="284"/>
        <v>975.95816999999977</v>
      </c>
      <c r="AA308" s="254">
        <f t="shared" si="284"/>
        <v>1.5800069999999999</v>
      </c>
      <c r="AB308" s="253">
        <f t="shared" si="284"/>
        <v>1.5800069999999999</v>
      </c>
      <c r="AC308" s="253">
        <f t="shared" si="285"/>
        <v>1.5800069999999999</v>
      </c>
      <c r="AD308" s="253">
        <f t="shared" si="285"/>
        <v>1.5800069999999999</v>
      </c>
      <c r="AE308" s="253">
        <f t="shared" si="285"/>
        <v>1.5800069999999999</v>
      </c>
      <c r="AF308" s="253">
        <f t="shared" si="285"/>
        <v>1.5800069999999999</v>
      </c>
      <c r="AG308" s="254">
        <f t="shared" si="285"/>
        <v>104.52353999999998</v>
      </c>
      <c r="AH308" s="253">
        <f t="shared" si="285"/>
        <v>104.52353999999998</v>
      </c>
      <c r="AI308" s="253">
        <f t="shared" si="285"/>
        <v>104.52353999999998</v>
      </c>
      <c r="AJ308" s="253">
        <f t="shared" si="285"/>
        <v>104.52353999999998</v>
      </c>
      <c r="AK308" s="253">
        <f t="shared" si="285"/>
        <v>104.52353999999998</v>
      </c>
      <c r="AL308" s="253">
        <f t="shared" si="285"/>
        <v>104.52353999999998</v>
      </c>
      <c r="AM308" s="254">
        <f t="shared" si="286"/>
        <v>48.615599999999993</v>
      </c>
      <c r="AN308" s="253">
        <f t="shared" si="286"/>
        <v>48.615599999999993</v>
      </c>
      <c r="AO308" s="253">
        <f t="shared" si="286"/>
        <v>48.615599999999993</v>
      </c>
      <c r="AP308" s="253">
        <f t="shared" si="286"/>
        <v>48.615599999999993</v>
      </c>
      <c r="AQ308" s="253">
        <f t="shared" si="286"/>
        <v>48.615599999999993</v>
      </c>
      <c r="AR308" s="253">
        <f t="shared" si="286"/>
        <v>48.615599999999993</v>
      </c>
      <c r="AS308" s="254">
        <f t="shared" si="286"/>
        <v>4095.8643000000002</v>
      </c>
      <c r="AT308" s="253">
        <f t="shared" si="286"/>
        <v>4095.8643000000002</v>
      </c>
      <c r="AU308" s="253">
        <f t="shared" si="286"/>
        <v>4095.8643000000002</v>
      </c>
      <c r="AV308" s="253">
        <f t="shared" si="286"/>
        <v>4095.8643000000002</v>
      </c>
      <c r="AW308" s="253">
        <f t="shared" si="286"/>
        <v>4095.8643000000002</v>
      </c>
      <c r="AX308" s="255">
        <f t="shared" si="286"/>
        <v>4095.8643000000002</v>
      </c>
      <c r="AY308" s="1"/>
      <c r="AZ308" s="1"/>
      <c r="BA308" s="1"/>
    </row>
    <row r="309" spans="2:58" s="220" customFormat="1" x14ac:dyDescent="0.25">
      <c r="B309" s="1343"/>
      <c r="D309" s="1355"/>
      <c r="F309" s="265"/>
      <c r="G309" s="209" t="s">
        <v>105</v>
      </c>
      <c r="H309" s="209"/>
      <c r="I309" s="253">
        <f t="shared" ref="I309:R319" si="287">INDEX($P$459:$P$484,MATCH($G309,$G$459:$G$484,0),1)
*INDEX($I$406:$O$426,MATCH($G309,$G$406:$G$426,0),MATCH(I$8,$I$405:$O$405,0))
*INDEX($S$459:$S$484,MATCH($G309,$G$459:$G$484,0),1)
*$P$485</f>
        <v>0.88010999999999995</v>
      </c>
      <c r="J309" s="253">
        <f t="shared" si="287"/>
        <v>0.88010999999999995</v>
      </c>
      <c r="K309" s="253">
        <f t="shared" si="287"/>
        <v>0.88010999999999995</v>
      </c>
      <c r="L309" s="253">
        <f t="shared" si="287"/>
        <v>0.88010999999999995</v>
      </c>
      <c r="M309" s="253">
        <f t="shared" si="287"/>
        <v>0.88010999999999995</v>
      </c>
      <c r="N309" s="253">
        <f t="shared" si="287"/>
        <v>0.88010999999999995</v>
      </c>
      <c r="O309" s="254">
        <f t="shared" si="287"/>
        <v>14.668499999999998</v>
      </c>
      <c r="P309" s="253">
        <f t="shared" si="287"/>
        <v>14.668499999999998</v>
      </c>
      <c r="Q309" s="253">
        <f t="shared" si="287"/>
        <v>14.668499999999998</v>
      </c>
      <c r="R309" s="253">
        <f t="shared" si="287"/>
        <v>14.668499999999998</v>
      </c>
      <c r="S309" s="253">
        <f t="shared" ref="S309:AB319" si="288">INDEX($P$459:$P$484,MATCH($G309,$G$459:$G$484,0),1)
*INDEX($I$406:$O$426,MATCH($G309,$G$406:$G$426,0),MATCH(S$8,$I$405:$O$405,0))
*INDEX($S$459:$S$484,MATCH($G309,$G$459:$G$484,0),1)
*$P$485</f>
        <v>14.668499999999998</v>
      </c>
      <c r="T309" s="253">
        <f t="shared" si="288"/>
        <v>14.668499999999998</v>
      </c>
      <c r="U309" s="254">
        <f t="shared" si="288"/>
        <v>14.668499999999998</v>
      </c>
      <c r="V309" s="253">
        <f t="shared" si="288"/>
        <v>14.668499999999998</v>
      </c>
      <c r="W309" s="253">
        <f t="shared" si="288"/>
        <v>14.668499999999998</v>
      </c>
      <c r="X309" s="253">
        <f t="shared" si="288"/>
        <v>14.668499999999998</v>
      </c>
      <c r="Y309" s="253">
        <f t="shared" si="288"/>
        <v>14.668499999999998</v>
      </c>
      <c r="Z309" s="253">
        <f t="shared" si="288"/>
        <v>14.668499999999998</v>
      </c>
      <c r="AA309" s="254">
        <f t="shared" si="288"/>
        <v>5.8673999999999997E-2</v>
      </c>
      <c r="AB309" s="253">
        <f t="shared" si="288"/>
        <v>5.8673999999999997E-2</v>
      </c>
      <c r="AC309" s="253">
        <f t="shared" ref="AC309:AL319" si="289">INDEX($P$459:$P$484,MATCH($G309,$G$459:$G$484,0),1)
*INDEX($I$406:$O$426,MATCH($G309,$G$406:$G$426,0),MATCH(AC$8,$I$405:$O$405,0))
*INDEX($S$459:$S$484,MATCH($G309,$G$459:$G$484,0),1)
*$P$485</f>
        <v>5.8673999999999997E-2</v>
      </c>
      <c r="AD309" s="253">
        <f t="shared" si="289"/>
        <v>5.8673999999999997E-2</v>
      </c>
      <c r="AE309" s="253">
        <f t="shared" si="289"/>
        <v>5.8673999999999997E-2</v>
      </c>
      <c r="AF309" s="253">
        <f t="shared" si="289"/>
        <v>5.8673999999999997E-2</v>
      </c>
      <c r="AG309" s="254">
        <f t="shared" si="289"/>
        <v>4.1071799999999996</v>
      </c>
      <c r="AH309" s="253">
        <f t="shared" si="289"/>
        <v>4.1071799999999996</v>
      </c>
      <c r="AI309" s="253">
        <f t="shared" si="289"/>
        <v>4.1071799999999996</v>
      </c>
      <c r="AJ309" s="253">
        <f t="shared" si="289"/>
        <v>4.1071799999999996</v>
      </c>
      <c r="AK309" s="253">
        <f t="shared" si="289"/>
        <v>4.1071799999999996</v>
      </c>
      <c r="AL309" s="253">
        <f t="shared" si="289"/>
        <v>4.1071799999999996</v>
      </c>
      <c r="AM309" s="254">
        <f t="shared" ref="AM309:AX319" si="290">INDEX($P$459:$P$484,MATCH($G309,$G$459:$G$484,0),1)
*INDEX($I$406:$O$426,MATCH($G309,$G$406:$G$426,0),MATCH(AM$8,$I$405:$O$405,0))
*INDEX($S$459:$S$484,MATCH($G309,$G$459:$G$484,0),1)
*$P$485</f>
        <v>15.84198</v>
      </c>
      <c r="AN309" s="253">
        <f t="shared" si="290"/>
        <v>15.84198</v>
      </c>
      <c r="AO309" s="253">
        <f t="shared" si="290"/>
        <v>15.84198</v>
      </c>
      <c r="AP309" s="253">
        <f t="shared" si="290"/>
        <v>15.84198</v>
      </c>
      <c r="AQ309" s="253">
        <f t="shared" si="290"/>
        <v>15.84198</v>
      </c>
      <c r="AR309" s="253">
        <f t="shared" si="290"/>
        <v>15.84198</v>
      </c>
      <c r="AS309" s="254">
        <f t="shared" si="290"/>
        <v>117.34799999999998</v>
      </c>
      <c r="AT309" s="253">
        <f t="shared" si="290"/>
        <v>117.34799999999998</v>
      </c>
      <c r="AU309" s="253">
        <f t="shared" si="290"/>
        <v>117.34799999999998</v>
      </c>
      <c r="AV309" s="253">
        <f t="shared" si="290"/>
        <v>117.34799999999998</v>
      </c>
      <c r="AW309" s="253">
        <f t="shared" si="290"/>
        <v>117.34799999999998</v>
      </c>
      <c r="AX309" s="255">
        <f t="shared" si="290"/>
        <v>117.34799999999998</v>
      </c>
      <c r="AY309" s="1"/>
      <c r="AZ309" s="1"/>
      <c r="BA309" s="1"/>
    </row>
    <row r="310" spans="2:58" s="220" customFormat="1" x14ac:dyDescent="0.25">
      <c r="B310" s="1343"/>
      <c r="D310" s="1355"/>
      <c r="F310" s="265"/>
      <c r="G310" s="209" t="s">
        <v>111</v>
      </c>
      <c r="H310" s="209"/>
      <c r="I310" s="253">
        <f t="shared" si="287"/>
        <v>10.779299999999999</v>
      </c>
      <c r="J310" s="253">
        <f t="shared" si="287"/>
        <v>10.779299999999999</v>
      </c>
      <c r="K310" s="253">
        <f t="shared" si="287"/>
        <v>10.779299999999999</v>
      </c>
      <c r="L310" s="253">
        <f t="shared" si="287"/>
        <v>10.779299999999999</v>
      </c>
      <c r="M310" s="253">
        <f t="shared" si="287"/>
        <v>10.779299999999999</v>
      </c>
      <c r="N310" s="253">
        <f t="shared" si="287"/>
        <v>10.779299999999999</v>
      </c>
      <c r="O310" s="254">
        <f t="shared" si="287"/>
        <v>143.72400000000002</v>
      </c>
      <c r="P310" s="253">
        <f t="shared" si="287"/>
        <v>143.72400000000002</v>
      </c>
      <c r="Q310" s="253">
        <f t="shared" si="287"/>
        <v>143.72400000000002</v>
      </c>
      <c r="R310" s="253">
        <f t="shared" si="287"/>
        <v>143.72400000000002</v>
      </c>
      <c r="S310" s="253">
        <f t="shared" si="288"/>
        <v>143.72400000000002</v>
      </c>
      <c r="T310" s="253">
        <f t="shared" si="288"/>
        <v>143.72400000000002</v>
      </c>
      <c r="U310" s="254">
        <f t="shared" si="288"/>
        <v>395.24100000000004</v>
      </c>
      <c r="V310" s="253">
        <f t="shared" si="288"/>
        <v>395.24100000000004</v>
      </c>
      <c r="W310" s="253">
        <f t="shared" si="288"/>
        <v>395.24100000000004</v>
      </c>
      <c r="X310" s="253">
        <f t="shared" si="288"/>
        <v>395.24100000000004</v>
      </c>
      <c r="Y310" s="253">
        <f t="shared" si="288"/>
        <v>395.24100000000004</v>
      </c>
      <c r="Z310" s="253">
        <f t="shared" si="288"/>
        <v>395.24100000000004</v>
      </c>
      <c r="AA310" s="254">
        <f t="shared" si="288"/>
        <v>1.0779300000000001</v>
      </c>
      <c r="AB310" s="253">
        <f t="shared" si="288"/>
        <v>1.0779300000000001</v>
      </c>
      <c r="AC310" s="253">
        <f t="shared" si="289"/>
        <v>1.0779300000000001</v>
      </c>
      <c r="AD310" s="253">
        <f t="shared" si="289"/>
        <v>1.0779300000000001</v>
      </c>
      <c r="AE310" s="253">
        <f t="shared" si="289"/>
        <v>1.0779300000000001</v>
      </c>
      <c r="AF310" s="253">
        <f t="shared" si="289"/>
        <v>1.0779300000000001</v>
      </c>
      <c r="AG310" s="254">
        <f t="shared" si="289"/>
        <v>89.827500000000001</v>
      </c>
      <c r="AH310" s="253">
        <f t="shared" si="289"/>
        <v>89.827500000000001</v>
      </c>
      <c r="AI310" s="253">
        <f t="shared" si="289"/>
        <v>89.827500000000001</v>
      </c>
      <c r="AJ310" s="253">
        <f t="shared" si="289"/>
        <v>89.827500000000001</v>
      </c>
      <c r="AK310" s="253">
        <f t="shared" si="289"/>
        <v>89.827500000000001</v>
      </c>
      <c r="AL310" s="253">
        <f t="shared" si="289"/>
        <v>89.827500000000001</v>
      </c>
      <c r="AM310" s="254">
        <f t="shared" si="290"/>
        <v>10.779299999999999</v>
      </c>
      <c r="AN310" s="253">
        <f t="shared" si="290"/>
        <v>10.779299999999999</v>
      </c>
      <c r="AO310" s="253">
        <f t="shared" si="290"/>
        <v>10.779299999999999</v>
      </c>
      <c r="AP310" s="253">
        <f t="shared" si="290"/>
        <v>10.779299999999999</v>
      </c>
      <c r="AQ310" s="253">
        <f t="shared" si="290"/>
        <v>10.779299999999999</v>
      </c>
      <c r="AR310" s="253">
        <f t="shared" si="290"/>
        <v>10.779299999999999</v>
      </c>
      <c r="AS310" s="254">
        <f t="shared" si="290"/>
        <v>1041.9989999999998</v>
      </c>
      <c r="AT310" s="253">
        <f t="shared" si="290"/>
        <v>1041.9989999999998</v>
      </c>
      <c r="AU310" s="253">
        <f t="shared" si="290"/>
        <v>1041.9989999999998</v>
      </c>
      <c r="AV310" s="253">
        <f t="shared" si="290"/>
        <v>1041.9989999999998</v>
      </c>
      <c r="AW310" s="253">
        <f t="shared" si="290"/>
        <v>1041.9989999999998</v>
      </c>
      <c r="AX310" s="255">
        <f t="shared" si="290"/>
        <v>1041.9989999999998</v>
      </c>
      <c r="AY310" s="1"/>
      <c r="AZ310" s="1"/>
      <c r="BA310" s="1"/>
    </row>
    <row r="311" spans="2:58" s="220" customFormat="1" x14ac:dyDescent="0.25">
      <c r="B311" s="1343"/>
      <c r="D311" s="1355"/>
      <c r="F311" s="265"/>
      <c r="G311" s="209" t="s">
        <v>109</v>
      </c>
      <c r="H311" s="209"/>
      <c r="I311" s="253">
        <f t="shared" si="287"/>
        <v>0.35916800000000004</v>
      </c>
      <c r="J311" s="253">
        <f t="shared" si="287"/>
        <v>0.35916800000000004</v>
      </c>
      <c r="K311" s="253">
        <f t="shared" si="287"/>
        <v>0.35916800000000004</v>
      </c>
      <c r="L311" s="253">
        <f t="shared" si="287"/>
        <v>0.35916800000000004</v>
      </c>
      <c r="M311" s="253">
        <f t="shared" si="287"/>
        <v>0.35916800000000004</v>
      </c>
      <c r="N311" s="253">
        <f t="shared" si="287"/>
        <v>0.35916800000000004</v>
      </c>
      <c r="O311" s="254">
        <f t="shared" si="287"/>
        <v>25.141760000000001</v>
      </c>
      <c r="P311" s="253">
        <f t="shared" si="287"/>
        <v>25.141760000000001</v>
      </c>
      <c r="Q311" s="253">
        <f t="shared" si="287"/>
        <v>25.141760000000001</v>
      </c>
      <c r="R311" s="253">
        <f t="shared" si="287"/>
        <v>25.141760000000001</v>
      </c>
      <c r="S311" s="253">
        <f t="shared" si="288"/>
        <v>25.141760000000001</v>
      </c>
      <c r="T311" s="253">
        <f t="shared" si="288"/>
        <v>25.141760000000001</v>
      </c>
      <c r="U311" s="254">
        <f t="shared" si="288"/>
        <v>79.016960000000012</v>
      </c>
      <c r="V311" s="253">
        <f t="shared" si="288"/>
        <v>79.016960000000012</v>
      </c>
      <c r="W311" s="253">
        <f t="shared" si="288"/>
        <v>79.016960000000012</v>
      </c>
      <c r="X311" s="253">
        <f t="shared" si="288"/>
        <v>79.016960000000012</v>
      </c>
      <c r="Y311" s="253">
        <f t="shared" si="288"/>
        <v>79.016960000000012</v>
      </c>
      <c r="Z311" s="253">
        <f t="shared" si="288"/>
        <v>79.016960000000012</v>
      </c>
      <c r="AA311" s="254">
        <f t="shared" si="288"/>
        <v>0.23345920000000001</v>
      </c>
      <c r="AB311" s="253">
        <f t="shared" si="288"/>
        <v>0.23345920000000001</v>
      </c>
      <c r="AC311" s="253">
        <f t="shared" si="289"/>
        <v>0.23345920000000001</v>
      </c>
      <c r="AD311" s="253">
        <f t="shared" si="289"/>
        <v>0.23345920000000001</v>
      </c>
      <c r="AE311" s="253">
        <f t="shared" si="289"/>
        <v>0.23345920000000001</v>
      </c>
      <c r="AF311" s="253">
        <f t="shared" si="289"/>
        <v>0.23345920000000001</v>
      </c>
      <c r="AG311" s="254">
        <f t="shared" si="289"/>
        <v>17.958400000000001</v>
      </c>
      <c r="AH311" s="253">
        <f t="shared" si="289"/>
        <v>17.958400000000001</v>
      </c>
      <c r="AI311" s="253">
        <f t="shared" si="289"/>
        <v>17.958400000000001</v>
      </c>
      <c r="AJ311" s="253">
        <f t="shared" si="289"/>
        <v>17.958400000000001</v>
      </c>
      <c r="AK311" s="253">
        <f t="shared" si="289"/>
        <v>17.958400000000001</v>
      </c>
      <c r="AL311" s="253">
        <f t="shared" si="289"/>
        <v>17.958400000000001</v>
      </c>
      <c r="AM311" s="254">
        <f t="shared" si="290"/>
        <v>7.1833600000000004</v>
      </c>
      <c r="AN311" s="253">
        <f t="shared" si="290"/>
        <v>7.1833600000000004</v>
      </c>
      <c r="AO311" s="253">
        <f t="shared" si="290"/>
        <v>7.1833600000000004</v>
      </c>
      <c r="AP311" s="253">
        <f t="shared" si="290"/>
        <v>7.1833600000000004</v>
      </c>
      <c r="AQ311" s="253">
        <f t="shared" si="290"/>
        <v>7.1833600000000004</v>
      </c>
      <c r="AR311" s="253">
        <f t="shared" si="290"/>
        <v>7.1833600000000004</v>
      </c>
      <c r="AS311" s="254">
        <f t="shared" si="290"/>
        <v>835.06560000000002</v>
      </c>
      <c r="AT311" s="253">
        <f t="shared" si="290"/>
        <v>835.06560000000002</v>
      </c>
      <c r="AU311" s="253">
        <f t="shared" si="290"/>
        <v>835.06560000000002</v>
      </c>
      <c r="AV311" s="253">
        <f t="shared" si="290"/>
        <v>835.06560000000002</v>
      </c>
      <c r="AW311" s="253">
        <f t="shared" si="290"/>
        <v>835.06560000000002</v>
      </c>
      <c r="AX311" s="255">
        <f t="shared" si="290"/>
        <v>835.06560000000002</v>
      </c>
      <c r="AY311" s="1"/>
      <c r="AZ311" s="1"/>
      <c r="BA311" s="1"/>
    </row>
    <row r="312" spans="2:58" s="220" customFormat="1" x14ac:dyDescent="0.25">
      <c r="B312" s="1343"/>
      <c r="D312" s="1355"/>
      <c r="F312" s="265"/>
      <c r="G312" s="209" t="s">
        <v>99</v>
      </c>
      <c r="H312" s="209"/>
      <c r="I312" s="253">
        <f t="shared" si="287"/>
        <v>2.6589809999999998</v>
      </c>
      <c r="J312" s="253">
        <f t="shared" si="287"/>
        <v>2.6589809999999998</v>
      </c>
      <c r="K312" s="253">
        <f t="shared" si="287"/>
        <v>2.6589809999999998</v>
      </c>
      <c r="L312" s="253">
        <f t="shared" si="287"/>
        <v>2.6589809999999998</v>
      </c>
      <c r="M312" s="253">
        <f t="shared" si="287"/>
        <v>2.6589809999999998</v>
      </c>
      <c r="N312" s="253">
        <f t="shared" si="287"/>
        <v>2.6589809999999998</v>
      </c>
      <c r="O312" s="254">
        <f t="shared" si="287"/>
        <v>190.21941000000001</v>
      </c>
      <c r="P312" s="253">
        <f t="shared" si="287"/>
        <v>190.21941000000001</v>
      </c>
      <c r="Q312" s="253">
        <f t="shared" si="287"/>
        <v>190.21941000000001</v>
      </c>
      <c r="R312" s="253">
        <f t="shared" si="287"/>
        <v>190.21941000000001</v>
      </c>
      <c r="S312" s="253">
        <f t="shared" si="288"/>
        <v>190.21941000000001</v>
      </c>
      <c r="T312" s="253">
        <f t="shared" si="288"/>
        <v>190.21941000000001</v>
      </c>
      <c r="U312" s="254">
        <f t="shared" si="288"/>
        <v>636.11006999999995</v>
      </c>
      <c r="V312" s="253">
        <f t="shared" si="288"/>
        <v>636.11006999999995</v>
      </c>
      <c r="W312" s="253">
        <f t="shared" si="288"/>
        <v>636.11006999999995</v>
      </c>
      <c r="X312" s="253">
        <f t="shared" si="288"/>
        <v>636.11006999999995</v>
      </c>
      <c r="Y312" s="253">
        <f t="shared" si="288"/>
        <v>636.11006999999995</v>
      </c>
      <c r="Z312" s="253">
        <f t="shared" si="288"/>
        <v>636.11006999999995</v>
      </c>
      <c r="AA312" s="254">
        <f t="shared" si="288"/>
        <v>1.7631089399999997</v>
      </c>
      <c r="AB312" s="253">
        <f t="shared" si="288"/>
        <v>1.7631089399999997</v>
      </c>
      <c r="AC312" s="253">
        <f t="shared" si="289"/>
        <v>1.7631089399999997</v>
      </c>
      <c r="AD312" s="253">
        <f t="shared" si="289"/>
        <v>1.7631089399999997</v>
      </c>
      <c r="AE312" s="253">
        <f t="shared" si="289"/>
        <v>1.7631089399999997</v>
      </c>
      <c r="AF312" s="253">
        <f t="shared" si="289"/>
        <v>1.7631089399999997</v>
      </c>
      <c r="AG312" s="254">
        <f t="shared" si="289"/>
        <v>175.90181999999999</v>
      </c>
      <c r="AH312" s="253">
        <f t="shared" si="289"/>
        <v>175.90181999999999</v>
      </c>
      <c r="AI312" s="253">
        <f t="shared" si="289"/>
        <v>175.90181999999999</v>
      </c>
      <c r="AJ312" s="253">
        <f t="shared" si="289"/>
        <v>175.90181999999999</v>
      </c>
      <c r="AK312" s="253">
        <f t="shared" si="289"/>
        <v>175.90181999999999</v>
      </c>
      <c r="AL312" s="253">
        <f t="shared" si="289"/>
        <v>175.90181999999999</v>
      </c>
      <c r="AM312" s="254">
        <f t="shared" si="290"/>
        <v>61.3611</v>
      </c>
      <c r="AN312" s="253">
        <f t="shared" si="290"/>
        <v>61.3611</v>
      </c>
      <c r="AO312" s="253">
        <f t="shared" si="290"/>
        <v>61.3611</v>
      </c>
      <c r="AP312" s="253">
        <f t="shared" si="290"/>
        <v>61.3611</v>
      </c>
      <c r="AQ312" s="253">
        <f t="shared" si="290"/>
        <v>61.3611</v>
      </c>
      <c r="AR312" s="253">
        <f t="shared" si="290"/>
        <v>61.3611</v>
      </c>
      <c r="AS312" s="254">
        <f t="shared" si="290"/>
        <v>5890.6656000000003</v>
      </c>
      <c r="AT312" s="253">
        <f t="shared" si="290"/>
        <v>5890.6656000000003</v>
      </c>
      <c r="AU312" s="253">
        <f t="shared" si="290"/>
        <v>5890.6656000000003</v>
      </c>
      <c r="AV312" s="253">
        <f t="shared" si="290"/>
        <v>5890.6656000000003</v>
      </c>
      <c r="AW312" s="253">
        <f t="shared" si="290"/>
        <v>5890.6656000000003</v>
      </c>
      <c r="AX312" s="255">
        <f t="shared" si="290"/>
        <v>5890.6656000000003</v>
      </c>
      <c r="AY312" s="1"/>
      <c r="AZ312" s="1"/>
      <c r="BA312" s="1"/>
    </row>
    <row r="313" spans="2:58" s="220" customFormat="1" x14ac:dyDescent="0.25">
      <c r="B313" s="1343"/>
      <c r="D313" s="1355"/>
      <c r="F313" s="265"/>
      <c r="G313" s="209" t="s">
        <v>106</v>
      </c>
      <c r="H313" s="209"/>
      <c r="I313" s="253">
        <f t="shared" si="287"/>
        <v>5.8214900000000007</v>
      </c>
      <c r="J313" s="253">
        <f t="shared" si="287"/>
        <v>5.8214900000000007</v>
      </c>
      <c r="K313" s="253">
        <f t="shared" si="287"/>
        <v>5.8214900000000007</v>
      </c>
      <c r="L313" s="253">
        <f t="shared" si="287"/>
        <v>5.8214900000000007</v>
      </c>
      <c r="M313" s="253">
        <f t="shared" si="287"/>
        <v>5.8214900000000007</v>
      </c>
      <c r="N313" s="253">
        <f t="shared" si="287"/>
        <v>5.8214900000000007</v>
      </c>
      <c r="O313" s="254">
        <f t="shared" si="287"/>
        <v>29.10745</v>
      </c>
      <c r="P313" s="253">
        <f t="shared" si="287"/>
        <v>29.10745</v>
      </c>
      <c r="Q313" s="253">
        <f t="shared" si="287"/>
        <v>29.10745</v>
      </c>
      <c r="R313" s="253">
        <f t="shared" si="287"/>
        <v>29.10745</v>
      </c>
      <c r="S313" s="253">
        <f t="shared" si="288"/>
        <v>29.10745</v>
      </c>
      <c r="T313" s="253">
        <f t="shared" si="288"/>
        <v>29.10745</v>
      </c>
      <c r="U313" s="254">
        <f t="shared" si="288"/>
        <v>734.67203799999993</v>
      </c>
      <c r="V313" s="253">
        <f t="shared" si="288"/>
        <v>734.67203799999993</v>
      </c>
      <c r="W313" s="253">
        <f t="shared" si="288"/>
        <v>734.67203799999993</v>
      </c>
      <c r="X313" s="253">
        <f t="shared" si="288"/>
        <v>734.67203799999993</v>
      </c>
      <c r="Y313" s="253">
        <f t="shared" si="288"/>
        <v>734.67203799999993</v>
      </c>
      <c r="Z313" s="253">
        <f t="shared" si="288"/>
        <v>734.67203799999993</v>
      </c>
      <c r="AA313" s="254">
        <f t="shared" si="288"/>
        <v>0.50181243799999997</v>
      </c>
      <c r="AB313" s="253">
        <f t="shared" si="288"/>
        <v>0.50181243799999997</v>
      </c>
      <c r="AC313" s="253">
        <f t="shared" si="289"/>
        <v>0.50181243799999997</v>
      </c>
      <c r="AD313" s="253">
        <f t="shared" si="289"/>
        <v>0.50181243799999997</v>
      </c>
      <c r="AE313" s="253">
        <f t="shared" si="289"/>
        <v>0.50181243799999997</v>
      </c>
      <c r="AF313" s="253">
        <f t="shared" si="289"/>
        <v>0.50181243799999997</v>
      </c>
      <c r="AG313" s="254">
        <f t="shared" si="289"/>
        <v>50.064813999999998</v>
      </c>
      <c r="AH313" s="253">
        <f t="shared" si="289"/>
        <v>50.064813999999998</v>
      </c>
      <c r="AI313" s="253">
        <f t="shared" si="289"/>
        <v>50.064813999999998</v>
      </c>
      <c r="AJ313" s="253">
        <f t="shared" si="289"/>
        <v>50.064813999999998</v>
      </c>
      <c r="AK313" s="253">
        <f t="shared" si="289"/>
        <v>50.064813999999998</v>
      </c>
      <c r="AL313" s="253">
        <f t="shared" si="289"/>
        <v>50.064813999999998</v>
      </c>
      <c r="AM313" s="254">
        <f t="shared" si="290"/>
        <v>58.2149</v>
      </c>
      <c r="AN313" s="253">
        <f t="shared" si="290"/>
        <v>58.2149</v>
      </c>
      <c r="AO313" s="253">
        <f t="shared" si="290"/>
        <v>58.2149</v>
      </c>
      <c r="AP313" s="253">
        <f t="shared" si="290"/>
        <v>58.2149</v>
      </c>
      <c r="AQ313" s="253">
        <f t="shared" si="290"/>
        <v>58.2149</v>
      </c>
      <c r="AR313" s="253">
        <f t="shared" si="290"/>
        <v>58.2149</v>
      </c>
      <c r="AS313" s="254">
        <f t="shared" si="290"/>
        <v>2887.4590399999997</v>
      </c>
      <c r="AT313" s="253">
        <f t="shared" si="290"/>
        <v>2887.4590399999997</v>
      </c>
      <c r="AU313" s="253">
        <f t="shared" si="290"/>
        <v>2887.4590399999997</v>
      </c>
      <c r="AV313" s="253">
        <f t="shared" si="290"/>
        <v>2887.4590399999997</v>
      </c>
      <c r="AW313" s="253">
        <f t="shared" si="290"/>
        <v>2887.4590399999997</v>
      </c>
      <c r="AX313" s="255">
        <f t="shared" si="290"/>
        <v>2887.4590399999997</v>
      </c>
      <c r="AY313" s="1"/>
      <c r="AZ313" s="1"/>
      <c r="BA313" s="1"/>
    </row>
    <row r="314" spans="2:58" s="220" customFormat="1" x14ac:dyDescent="0.25">
      <c r="B314" s="1343"/>
      <c r="D314" s="1355"/>
      <c r="F314" s="265"/>
      <c r="G314" s="209" t="s">
        <v>112</v>
      </c>
      <c r="H314" s="209"/>
      <c r="I314" s="253">
        <f t="shared" si="287"/>
        <v>2.5600000000000001E-2</v>
      </c>
      <c r="J314" s="253">
        <f t="shared" si="287"/>
        <v>2.5600000000000001E-2</v>
      </c>
      <c r="K314" s="253">
        <f t="shared" si="287"/>
        <v>2.5600000000000001E-2</v>
      </c>
      <c r="L314" s="253">
        <f t="shared" si="287"/>
        <v>2.5600000000000001E-2</v>
      </c>
      <c r="M314" s="253">
        <f t="shared" si="287"/>
        <v>2.5600000000000001E-2</v>
      </c>
      <c r="N314" s="253">
        <f t="shared" si="287"/>
        <v>2.5600000000000001E-2</v>
      </c>
      <c r="O314" s="254">
        <f t="shared" si="287"/>
        <v>0.14080000000000001</v>
      </c>
      <c r="P314" s="253">
        <f t="shared" si="287"/>
        <v>0.14080000000000001</v>
      </c>
      <c r="Q314" s="253">
        <f t="shared" si="287"/>
        <v>0.14080000000000001</v>
      </c>
      <c r="R314" s="253">
        <f t="shared" si="287"/>
        <v>0.14080000000000001</v>
      </c>
      <c r="S314" s="253">
        <f t="shared" si="288"/>
        <v>0.14080000000000001</v>
      </c>
      <c r="T314" s="253">
        <f t="shared" si="288"/>
        <v>0.14080000000000001</v>
      </c>
      <c r="U314" s="254">
        <f t="shared" si="288"/>
        <v>0.70400000000000007</v>
      </c>
      <c r="V314" s="253">
        <f t="shared" si="288"/>
        <v>0.70400000000000007</v>
      </c>
      <c r="W314" s="253">
        <f t="shared" si="288"/>
        <v>0.70400000000000007</v>
      </c>
      <c r="X314" s="253">
        <f t="shared" si="288"/>
        <v>0.70400000000000007</v>
      </c>
      <c r="Y314" s="253">
        <f t="shared" si="288"/>
        <v>0.70400000000000007</v>
      </c>
      <c r="Z314" s="253">
        <f t="shared" si="288"/>
        <v>0.70400000000000007</v>
      </c>
      <c r="AA314" s="254">
        <f t="shared" si="288"/>
        <v>7.0400000000000009E-4</v>
      </c>
      <c r="AB314" s="253">
        <f t="shared" si="288"/>
        <v>7.0400000000000009E-4</v>
      </c>
      <c r="AC314" s="253">
        <f t="shared" si="289"/>
        <v>7.0400000000000009E-4</v>
      </c>
      <c r="AD314" s="253">
        <f t="shared" si="289"/>
        <v>7.0400000000000009E-4</v>
      </c>
      <c r="AE314" s="253">
        <f t="shared" si="289"/>
        <v>7.0400000000000009E-4</v>
      </c>
      <c r="AF314" s="253">
        <f t="shared" si="289"/>
        <v>7.0400000000000009E-4</v>
      </c>
      <c r="AG314" s="254">
        <f t="shared" si="289"/>
        <v>6.0159999999999998E-2</v>
      </c>
      <c r="AH314" s="253">
        <f t="shared" si="289"/>
        <v>6.0159999999999998E-2</v>
      </c>
      <c r="AI314" s="253">
        <f t="shared" si="289"/>
        <v>6.0159999999999998E-2</v>
      </c>
      <c r="AJ314" s="253">
        <f t="shared" si="289"/>
        <v>6.0159999999999998E-2</v>
      </c>
      <c r="AK314" s="253">
        <f t="shared" si="289"/>
        <v>6.0159999999999998E-2</v>
      </c>
      <c r="AL314" s="253">
        <f t="shared" si="289"/>
        <v>6.0159999999999998E-2</v>
      </c>
      <c r="AM314" s="254">
        <f t="shared" si="290"/>
        <v>9.8559999999999995E-2</v>
      </c>
      <c r="AN314" s="253">
        <f t="shared" si="290"/>
        <v>9.8559999999999995E-2</v>
      </c>
      <c r="AO314" s="253">
        <f t="shared" si="290"/>
        <v>9.8559999999999995E-2</v>
      </c>
      <c r="AP314" s="253">
        <f t="shared" si="290"/>
        <v>9.8559999999999995E-2</v>
      </c>
      <c r="AQ314" s="253">
        <f t="shared" si="290"/>
        <v>9.8559999999999995E-2</v>
      </c>
      <c r="AR314" s="253">
        <f t="shared" si="290"/>
        <v>9.8559999999999995E-2</v>
      </c>
      <c r="AS314" s="254">
        <f t="shared" si="290"/>
        <v>3.9680000000000004</v>
      </c>
      <c r="AT314" s="253">
        <f t="shared" si="290"/>
        <v>3.9680000000000004</v>
      </c>
      <c r="AU314" s="253">
        <f t="shared" si="290"/>
        <v>3.9680000000000004</v>
      </c>
      <c r="AV314" s="253">
        <f t="shared" si="290"/>
        <v>3.9680000000000004</v>
      </c>
      <c r="AW314" s="253">
        <f t="shared" si="290"/>
        <v>3.9680000000000004</v>
      </c>
      <c r="AX314" s="255">
        <f t="shared" si="290"/>
        <v>3.9680000000000004</v>
      </c>
      <c r="AY314" s="1"/>
      <c r="AZ314" s="1"/>
      <c r="BA314" s="1"/>
    </row>
    <row r="315" spans="2:58" s="220" customFormat="1" x14ac:dyDescent="0.25">
      <c r="B315" s="1343"/>
      <c r="D315" s="1355"/>
      <c r="F315" s="265"/>
      <c r="G315" s="209" t="s">
        <v>110</v>
      </c>
      <c r="H315" s="209"/>
      <c r="I315" s="253">
        <f t="shared" si="287"/>
        <v>2.5184400000000005</v>
      </c>
      <c r="J315" s="253">
        <f t="shared" si="287"/>
        <v>2.5184400000000005</v>
      </c>
      <c r="K315" s="253">
        <f t="shared" si="287"/>
        <v>2.5184400000000005</v>
      </c>
      <c r="L315" s="253">
        <f t="shared" si="287"/>
        <v>2.5184400000000005</v>
      </c>
      <c r="M315" s="253">
        <f t="shared" si="287"/>
        <v>2.5184400000000005</v>
      </c>
      <c r="N315" s="253">
        <f t="shared" si="287"/>
        <v>2.5184400000000005</v>
      </c>
      <c r="O315" s="254">
        <f t="shared" si="287"/>
        <v>12.5922</v>
      </c>
      <c r="P315" s="253">
        <f t="shared" si="287"/>
        <v>12.5922</v>
      </c>
      <c r="Q315" s="253">
        <f t="shared" si="287"/>
        <v>12.5922</v>
      </c>
      <c r="R315" s="253">
        <f t="shared" si="287"/>
        <v>12.5922</v>
      </c>
      <c r="S315" s="253">
        <f t="shared" si="288"/>
        <v>12.5922</v>
      </c>
      <c r="T315" s="253">
        <f t="shared" si="288"/>
        <v>12.5922</v>
      </c>
      <c r="U315" s="254">
        <f t="shared" si="288"/>
        <v>317.82712799999996</v>
      </c>
      <c r="V315" s="253">
        <f t="shared" si="288"/>
        <v>317.82712799999996</v>
      </c>
      <c r="W315" s="253">
        <f t="shared" si="288"/>
        <v>317.82712799999996</v>
      </c>
      <c r="X315" s="253">
        <f t="shared" si="288"/>
        <v>317.82712799999996</v>
      </c>
      <c r="Y315" s="253">
        <f t="shared" si="288"/>
        <v>317.82712799999996</v>
      </c>
      <c r="Z315" s="253">
        <f t="shared" si="288"/>
        <v>317.82712799999996</v>
      </c>
      <c r="AA315" s="254">
        <f t="shared" si="288"/>
        <v>0.21708952799999998</v>
      </c>
      <c r="AB315" s="253">
        <f t="shared" si="288"/>
        <v>0.21708952799999998</v>
      </c>
      <c r="AC315" s="253">
        <f t="shared" si="289"/>
        <v>0.21708952799999998</v>
      </c>
      <c r="AD315" s="253">
        <f t="shared" si="289"/>
        <v>0.21708952799999998</v>
      </c>
      <c r="AE315" s="253">
        <f t="shared" si="289"/>
        <v>0.21708952799999998</v>
      </c>
      <c r="AF315" s="253">
        <f t="shared" si="289"/>
        <v>0.21708952799999998</v>
      </c>
      <c r="AG315" s="254">
        <f t="shared" si="289"/>
        <v>21.658584000000001</v>
      </c>
      <c r="AH315" s="253">
        <f t="shared" si="289"/>
        <v>21.658584000000001</v>
      </c>
      <c r="AI315" s="253">
        <f t="shared" si="289"/>
        <v>21.658584000000001</v>
      </c>
      <c r="AJ315" s="253">
        <f t="shared" si="289"/>
        <v>21.658584000000001</v>
      </c>
      <c r="AK315" s="253">
        <f t="shared" si="289"/>
        <v>21.658584000000001</v>
      </c>
      <c r="AL315" s="253">
        <f t="shared" si="289"/>
        <v>21.658584000000001</v>
      </c>
      <c r="AM315" s="254">
        <f t="shared" si="290"/>
        <v>25.1844</v>
      </c>
      <c r="AN315" s="253">
        <f t="shared" si="290"/>
        <v>25.1844</v>
      </c>
      <c r="AO315" s="253">
        <f t="shared" si="290"/>
        <v>25.1844</v>
      </c>
      <c r="AP315" s="253">
        <f t="shared" si="290"/>
        <v>25.1844</v>
      </c>
      <c r="AQ315" s="253">
        <f t="shared" si="290"/>
        <v>25.1844</v>
      </c>
      <c r="AR315" s="253">
        <f t="shared" si="290"/>
        <v>25.1844</v>
      </c>
      <c r="AS315" s="254">
        <f t="shared" si="290"/>
        <v>1249.14624</v>
      </c>
      <c r="AT315" s="253">
        <f t="shared" si="290"/>
        <v>1249.14624</v>
      </c>
      <c r="AU315" s="253">
        <f t="shared" si="290"/>
        <v>1249.14624</v>
      </c>
      <c r="AV315" s="253">
        <f t="shared" si="290"/>
        <v>1249.14624</v>
      </c>
      <c r="AW315" s="253">
        <f t="shared" si="290"/>
        <v>1249.14624</v>
      </c>
      <c r="AX315" s="255">
        <f t="shared" si="290"/>
        <v>1249.14624</v>
      </c>
      <c r="AY315" s="1"/>
      <c r="AZ315" s="1"/>
      <c r="BA315" s="1"/>
    </row>
    <row r="316" spans="2:58" s="220" customFormat="1" x14ac:dyDescent="0.25">
      <c r="B316" s="1343"/>
      <c r="D316" s="1355"/>
      <c r="F316" s="265"/>
      <c r="G316" s="209" t="s">
        <v>100</v>
      </c>
      <c r="H316" s="209"/>
      <c r="I316" s="253">
        <f t="shared" si="287"/>
        <v>1.8831149999999999</v>
      </c>
      <c r="J316" s="253">
        <f t="shared" si="287"/>
        <v>1.8831149999999999</v>
      </c>
      <c r="K316" s="253">
        <f t="shared" si="287"/>
        <v>1.8831149999999999</v>
      </c>
      <c r="L316" s="253">
        <f t="shared" si="287"/>
        <v>1.8831149999999999</v>
      </c>
      <c r="M316" s="253">
        <f t="shared" si="287"/>
        <v>1.8831149999999999</v>
      </c>
      <c r="N316" s="253">
        <f t="shared" si="287"/>
        <v>1.8831149999999999</v>
      </c>
      <c r="O316" s="254">
        <f t="shared" si="287"/>
        <v>330.26939999999996</v>
      </c>
      <c r="P316" s="253">
        <f t="shared" si="287"/>
        <v>330.26939999999996</v>
      </c>
      <c r="Q316" s="253">
        <f t="shared" si="287"/>
        <v>330.26939999999996</v>
      </c>
      <c r="R316" s="253">
        <f t="shared" si="287"/>
        <v>330.26939999999996</v>
      </c>
      <c r="S316" s="253">
        <f t="shared" si="288"/>
        <v>330.26939999999996</v>
      </c>
      <c r="T316" s="253">
        <f t="shared" si="288"/>
        <v>330.26939999999996</v>
      </c>
      <c r="U316" s="254">
        <f t="shared" si="288"/>
        <v>680.81850000000009</v>
      </c>
      <c r="V316" s="253">
        <f t="shared" si="288"/>
        <v>680.81850000000009</v>
      </c>
      <c r="W316" s="253">
        <f t="shared" si="288"/>
        <v>680.81850000000009</v>
      </c>
      <c r="X316" s="253">
        <f t="shared" si="288"/>
        <v>680.81850000000009</v>
      </c>
      <c r="Y316" s="253">
        <f t="shared" si="288"/>
        <v>680.81850000000009</v>
      </c>
      <c r="Z316" s="253">
        <f t="shared" si="288"/>
        <v>680.81850000000009</v>
      </c>
      <c r="AA316" s="254">
        <f t="shared" si="288"/>
        <v>1.2486500999999999</v>
      </c>
      <c r="AB316" s="253">
        <f t="shared" si="288"/>
        <v>1.2486500999999999</v>
      </c>
      <c r="AC316" s="253">
        <f t="shared" si="289"/>
        <v>1.2486500999999999</v>
      </c>
      <c r="AD316" s="253">
        <f t="shared" si="289"/>
        <v>1.2486500999999999</v>
      </c>
      <c r="AE316" s="253">
        <f t="shared" si="289"/>
        <v>1.2486500999999999</v>
      </c>
      <c r="AF316" s="253">
        <f t="shared" si="289"/>
        <v>1.2486500999999999</v>
      </c>
      <c r="AG316" s="254">
        <f t="shared" si="289"/>
        <v>124.5753</v>
      </c>
      <c r="AH316" s="253">
        <f t="shared" si="289"/>
        <v>124.5753</v>
      </c>
      <c r="AI316" s="253">
        <f t="shared" si="289"/>
        <v>124.5753</v>
      </c>
      <c r="AJ316" s="253">
        <f t="shared" si="289"/>
        <v>124.5753</v>
      </c>
      <c r="AK316" s="253">
        <f t="shared" si="289"/>
        <v>124.5753</v>
      </c>
      <c r="AL316" s="253">
        <f t="shared" si="289"/>
        <v>124.5753</v>
      </c>
      <c r="AM316" s="254">
        <f t="shared" si="290"/>
        <v>20.279700000000002</v>
      </c>
      <c r="AN316" s="253">
        <f t="shared" si="290"/>
        <v>20.279700000000002</v>
      </c>
      <c r="AO316" s="253">
        <f t="shared" si="290"/>
        <v>20.279700000000002</v>
      </c>
      <c r="AP316" s="253">
        <f t="shared" si="290"/>
        <v>20.279700000000002</v>
      </c>
      <c r="AQ316" s="253">
        <f t="shared" si="290"/>
        <v>20.279700000000002</v>
      </c>
      <c r="AR316" s="253">
        <f t="shared" si="290"/>
        <v>20.279700000000002</v>
      </c>
      <c r="AS316" s="254">
        <f t="shared" si="290"/>
        <v>4925.07</v>
      </c>
      <c r="AT316" s="253">
        <f t="shared" si="290"/>
        <v>4925.07</v>
      </c>
      <c r="AU316" s="253">
        <f t="shared" si="290"/>
        <v>4925.07</v>
      </c>
      <c r="AV316" s="253">
        <f t="shared" si="290"/>
        <v>4925.07</v>
      </c>
      <c r="AW316" s="253">
        <f t="shared" si="290"/>
        <v>4925.07</v>
      </c>
      <c r="AX316" s="255">
        <f t="shared" si="290"/>
        <v>4925.07</v>
      </c>
      <c r="AY316" s="1"/>
      <c r="AZ316" s="1"/>
      <c r="BA316" s="1"/>
    </row>
    <row r="317" spans="2:58" s="220" customFormat="1" x14ac:dyDescent="0.25">
      <c r="B317" s="1343"/>
      <c r="D317" s="1355"/>
      <c r="F317" s="265"/>
      <c r="G317" s="256" t="s">
        <v>101</v>
      </c>
      <c r="H317" s="209"/>
      <c r="I317" s="257">
        <f t="shared" si="287"/>
        <v>1.7281680000000001</v>
      </c>
      <c r="J317" s="257">
        <f t="shared" si="287"/>
        <v>1.7281680000000001</v>
      </c>
      <c r="K317" s="257">
        <f t="shared" si="287"/>
        <v>1.7281680000000001</v>
      </c>
      <c r="L317" s="257">
        <f t="shared" si="287"/>
        <v>1.7281680000000001</v>
      </c>
      <c r="M317" s="257">
        <f t="shared" si="287"/>
        <v>1.7281680000000001</v>
      </c>
      <c r="N317" s="257">
        <f t="shared" si="287"/>
        <v>1.7281680000000001</v>
      </c>
      <c r="O317" s="258">
        <f t="shared" si="287"/>
        <v>303.09408000000002</v>
      </c>
      <c r="P317" s="257">
        <f t="shared" si="287"/>
        <v>303.09408000000002</v>
      </c>
      <c r="Q317" s="257">
        <f t="shared" si="287"/>
        <v>303.09408000000002</v>
      </c>
      <c r="R317" s="257">
        <f t="shared" si="287"/>
        <v>303.09408000000002</v>
      </c>
      <c r="S317" s="257">
        <f t="shared" si="288"/>
        <v>303.09408000000002</v>
      </c>
      <c r="T317" s="257">
        <f t="shared" si="288"/>
        <v>303.09408000000002</v>
      </c>
      <c r="U317" s="258">
        <f t="shared" si="288"/>
        <v>545.0376</v>
      </c>
      <c r="V317" s="257">
        <f t="shared" si="288"/>
        <v>545.0376</v>
      </c>
      <c r="W317" s="257">
        <f t="shared" si="288"/>
        <v>545.0376</v>
      </c>
      <c r="X317" s="257">
        <f t="shared" si="288"/>
        <v>545.0376</v>
      </c>
      <c r="Y317" s="257">
        <f t="shared" si="288"/>
        <v>545.0376</v>
      </c>
      <c r="Z317" s="257">
        <f t="shared" si="288"/>
        <v>545.0376</v>
      </c>
      <c r="AA317" s="258">
        <f t="shared" si="288"/>
        <v>1.14590832</v>
      </c>
      <c r="AB317" s="257">
        <f t="shared" si="288"/>
        <v>1.14590832</v>
      </c>
      <c r="AC317" s="257">
        <f t="shared" si="289"/>
        <v>1.14590832</v>
      </c>
      <c r="AD317" s="257">
        <f t="shared" si="289"/>
        <v>1.14590832</v>
      </c>
      <c r="AE317" s="257">
        <f t="shared" si="289"/>
        <v>1.14590832</v>
      </c>
      <c r="AF317" s="257">
        <f t="shared" si="289"/>
        <v>1.14590832</v>
      </c>
      <c r="AG317" s="258">
        <f t="shared" si="289"/>
        <v>114.32496000000002</v>
      </c>
      <c r="AH317" s="257">
        <f t="shared" si="289"/>
        <v>114.32496000000002</v>
      </c>
      <c r="AI317" s="257">
        <f t="shared" si="289"/>
        <v>114.32496000000002</v>
      </c>
      <c r="AJ317" s="257">
        <f t="shared" si="289"/>
        <v>114.32496000000002</v>
      </c>
      <c r="AK317" s="257">
        <f t="shared" si="289"/>
        <v>114.32496000000002</v>
      </c>
      <c r="AL317" s="257">
        <f t="shared" si="289"/>
        <v>114.32496000000002</v>
      </c>
      <c r="AM317" s="258">
        <f t="shared" si="290"/>
        <v>13.293600000000001</v>
      </c>
      <c r="AN317" s="257">
        <f t="shared" si="290"/>
        <v>13.293600000000001</v>
      </c>
      <c r="AO317" s="257">
        <f t="shared" si="290"/>
        <v>13.293600000000001</v>
      </c>
      <c r="AP317" s="257">
        <f t="shared" si="290"/>
        <v>13.293600000000001</v>
      </c>
      <c r="AQ317" s="257">
        <f t="shared" si="290"/>
        <v>13.293600000000001</v>
      </c>
      <c r="AR317" s="257">
        <f t="shared" si="290"/>
        <v>13.293600000000001</v>
      </c>
      <c r="AS317" s="258">
        <f t="shared" si="290"/>
        <v>3296.8128000000006</v>
      </c>
      <c r="AT317" s="257">
        <f t="shared" si="290"/>
        <v>3296.8128000000006</v>
      </c>
      <c r="AU317" s="257">
        <f t="shared" si="290"/>
        <v>3296.8128000000006</v>
      </c>
      <c r="AV317" s="257">
        <f t="shared" si="290"/>
        <v>3296.8128000000006</v>
      </c>
      <c r="AW317" s="257">
        <f t="shared" si="290"/>
        <v>3296.8128000000006</v>
      </c>
      <c r="AX317" s="259">
        <f t="shared" si="290"/>
        <v>3296.8128000000006</v>
      </c>
      <c r="AY317" s="1"/>
      <c r="AZ317" s="1"/>
      <c r="BA317" s="1"/>
    </row>
    <row r="318" spans="2:58" s="220" customFormat="1" x14ac:dyDescent="0.25">
      <c r="B318" s="1343"/>
      <c r="D318" s="1355"/>
      <c r="F318" s="265"/>
      <c r="G318" s="209" t="s">
        <v>630</v>
      </c>
      <c r="H318" s="209"/>
      <c r="I318" s="253">
        <f t="shared" si="287"/>
        <v>0</v>
      </c>
      <c r="J318" s="253">
        <f t="shared" si="287"/>
        <v>0</v>
      </c>
      <c r="K318" s="253">
        <f t="shared" si="287"/>
        <v>0</v>
      </c>
      <c r="L318" s="253">
        <f t="shared" si="287"/>
        <v>0</v>
      </c>
      <c r="M318" s="253">
        <f t="shared" si="287"/>
        <v>0</v>
      </c>
      <c r="N318" s="253">
        <f t="shared" si="287"/>
        <v>0</v>
      </c>
      <c r="O318" s="254">
        <f t="shared" si="287"/>
        <v>0</v>
      </c>
      <c r="P318" s="253">
        <f t="shared" si="287"/>
        <v>0</v>
      </c>
      <c r="Q318" s="253">
        <f t="shared" si="287"/>
        <v>0</v>
      </c>
      <c r="R318" s="253">
        <f t="shared" si="287"/>
        <v>0</v>
      </c>
      <c r="S318" s="253">
        <f t="shared" si="288"/>
        <v>0</v>
      </c>
      <c r="T318" s="253">
        <f t="shared" si="288"/>
        <v>0</v>
      </c>
      <c r="U318" s="254">
        <f t="shared" si="288"/>
        <v>0</v>
      </c>
      <c r="V318" s="253">
        <f t="shared" si="288"/>
        <v>0</v>
      </c>
      <c r="W318" s="253">
        <f t="shared" si="288"/>
        <v>0</v>
      </c>
      <c r="X318" s="253">
        <f t="shared" si="288"/>
        <v>0</v>
      </c>
      <c r="Y318" s="253">
        <f t="shared" si="288"/>
        <v>0</v>
      </c>
      <c r="Z318" s="253">
        <f t="shared" si="288"/>
        <v>0</v>
      </c>
      <c r="AA318" s="254">
        <f t="shared" si="288"/>
        <v>0</v>
      </c>
      <c r="AB318" s="253">
        <f t="shared" si="288"/>
        <v>0</v>
      </c>
      <c r="AC318" s="253">
        <f t="shared" si="289"/>
        <v>0</v>
      </c>
      <c r="AD318" s="253">
        <f t="shared" si="289"/>
        <v>0</v>
      </c>
      <c r="AE318" s="253">
        <f t="shared" si="289"/>
        <v>0</v>
      </c>
      <c r="AF318" s="253">
        <f t="shared" si="289"/>
        <v>0</v>
      </c>
      <c r="AG318" s="254">
        <f t="shared" si="289"/>
        <v>0</v>
      </c>
      <c r="AH318" s="253">
        <f t="shared" si="289"/>
        <v>0</v>
      </c>
      <c r="AI318" s="253">
        <f t="shared" si="289"/>
        <v>0</v>
      </c>
      <c r="AJ318" s="253">
        <f t="shared" si="289"/>
        <v>0</v>
      </c>
      <c r="AK318" s="253">
        <f t="shared" si="289"/>
        <v>0</v>
      </c>
      <c r="AL318" s="253">
        <f t="shared" si="289"/>
        <v>0</v>
      </c>
      <c r="AM318" s="254">
        <f t="shared" si="290"/>
        <v>0</v>
      </c>
      <c r="AN318" s="253">
        <f t="shared" si="290"/>
        <v>0</v>
      </c>
      <c r="AO318" s="253">
        <f t="shared" si="290"/>
        <v>0</v>
      </c>
      <c r="AP318" s="253">
        <f t="shared" si="290"/>
        <v>0</v>
      </c>
      <c r="AQ318" s="253">
        <f t="shared" si="290"/>
        <v>0</v>
      </c>
      <c r="AR318" s="253">
        <f t="shared" si="290"/>
        <v>0</v>
      </c>
      <c r="AS318" s="254">
        <f t="shared" si="290"/>
        <v>0</v>
      </c>
      <c r="AT318" s="253">
        <f t="shared" si="290"/>
        <v>0</v>
      </c>
      <c r="AU318" s="253">
        <f t="shared" si="290"/>
        <v>0</v>
      </c>
      <c r="AV318" s="253">
        <f t="shared" si="290"/>
        <v>0</v>
      </c>
      <c r="AW318" s="253">
        <f t="shared" si="290"/>
        <v>0</v>
      </c>
      <c r="AX318" s="255">
        <f t="shared" si="290"/>
        <v>0</v>
      </c>
      <c r="AY318" s="1"/>
      <c r="AZ318" s="1"/>
      <c r="BA318" s="1"/>
    </row>
    <row r="319" spans="2:58" s="220" customFormat="1" x14ac:dyDescent="0.25">
      <c r="B319" s="1343"/>
      <c r="D319" s="1355"/>
      <c r="F319" s="268"/>
      <c r="G319" s="211" t="s">
        <v>631</v>
      </c>
      <c r="H319" s="209"/>
      <c r="I319" s="260">
        <f t="shared" si="287"/>
        <v>0</v>
      </c>
      <c r="J319" s="260">
        <f t="shared" si="287"/>
        <v>0</v>
      </c>
      <c r="K319" s="260">
        <f t="shared" si="287"/>
        <v>0</v>
      </c>
      <c r="L319" s="260">
        <f t="shared" si="287"/>
        <v>0</v>
      </c>
      <c r="M319" s="260">
        <f t="shared" si="287"/>
        <v>0</v>
      </c>
      <c r="N319" s="260">
        <f t="shared" si="287"/>
        <v>0</v>
      </c>
      <c r="O319" s="261">
        <f t="shared" si="287"/>
        <v>0</v>
      </c>
      <c r="P319" s="260">
        <f t="shared" si="287"/>
        <v>0</v>
      </c>
      <c r="Q319" s="260">
        <f t="shared" si="287"/>
        <v>0</v>
      </c>
      <c r="R319" s="260">
        <f t="shared" si="287"/>
        <v>0</v>
      </c>
      <c r="S319" s="260">
        <f t="shared" si="288"/>
        <v>0</v>
      </c>
      <c r="T319" s="260">
        <f t="shared" si="288"/>
        <v>0</v>
      </c>
      <c r="U319" s="261">
        <f t="shared" si="288"/>
        <v>0</v>
      </c>
      <c r="V319" s="260">
        <f t="shared" si="288"/>
        <v>0</v>
      </c>
      <c r="W319" s="260">
        <f t="shared" si="288"/>
        <v>0</v>
      </c>
      <c r="X319" s="260">
        <f t="shared" si="288"/>
        <v>0</v>
      </c>
      <c r="Y319" s="260">
        <f t="shared" si="288"/>
        <v>0</v>
      </c>
      <c r="Z319" s="260">
        <f t="shared" si="288"/>
        <v>0</v>
      </c>
      <c r="AA319" s="261">
        <f t="shared" si="288"/>
        <v>0</v>
      </c>
      <c r="AB319" s="260">
        <f t="shared" si="288"/>
        <v>0</v>
      </c>
      <c r="AC319" s="260">
        <f t="shared" si="289"/>
        <v>0</v>
      </c>
      <c r="AD319" s="260">
        <f t="shared" si="289"/>
        <v>0</v>
      </c>
      <c r="AE319" s="260">
        <f t="shared" si="289"/>
        <v>0</v>
      </c>
      <c r="AF319" s="260">
        <f t="shared" si="289"/>
        <v>0</v>
      </c>
      <c r="AG319" s="261">
        <f t="shared" si="289"/>
        <v>0</v>
      </c>
      <c r="AH319" s="260">
        <f t="shared" si="289"/>
        <v>0</v>
      </c>
      <c r="AI319" s="260">
        <f t="shared" si="289"/>
        <v>0</v>
      </c>
      <c r="AJ319" s="260">
        <f t="shared" si="289"/>
        <v>0</v>
      </c>
      <c r="AK319" s="260">
        <f t="shared" si="289"/>
        <v>0</v>
      </c>
      <c r="AL319" s="260">
        <f t="shared" si="289"/>
        <v>0</v>
      </c>
      <c r="AM319" s="261">
        <f t="shared" si="290"/>
        <v>0</v>
      </c>
      <c r="AN319" s="260">
        <f t="shared" si="290"/>
        <v>0</v>
      </c>
      <c r="AO319" s="260">
        <f t="shared" si="290"/>
        <v>0</v>
      </c>
      <c r="AP319" s="260">
        <f t="shared" si="290"/>
        <v>0</v>
      </c>
      <c r="AQ319" s="260">
        <f t="shared" si="290"/>
        <v>0</v>
      </c>
      <c r="AR319" s="260">
        <f t="shared" si="290"/>
        <v>0</v>
      </c>
      <c r="AS319" s="261">
        <f t="shared" si="290"/>
        <v>0</v>
      </c>
      <c r="AT319" s="260">
        <f t="shared" si="290"/>
        <v>0</v>
      </c>
      <c r="AU319" s="260">
        <f t="shared" si="290"/>
        <v>0</v>
      </c>
      <c r="AV319" s="260">
        <f t="shared" si="290"/>
        <v>0</v>
      </c>
      <c r="AW319" s="260">
        <f t="shared" si="290"/>
        <v>0</v>
      </c>
      <c r="AX319" s="262">
        <f t="shared" si="290"/>
        <v>0</v>
      </c>
      <c r="AY319" s="1"/>
      <c r="AZ319" s="1"/>
      <c r="BA319" s="1"/>
    </row>
    <row r="320" spans="2:58" s="220" customFormat="1" x14ac:dyDescent="0.25">
      <c r="B320" s="1343"/>
      <c r="D320" s="1355"/>
      <c r="F320" s="263" t="s">
        <v>766</v>
      </c>
      <c r="G320" s="208" t="s">
        <v>91</v>
      </c>
      <c r="H320" s="209"/>
      <c r="I320" s="250">
        <f t="shared" ref="I320:R329" si="291">INDEX($I$430:$O$430,1,MATCH(I$8,$I$433:$O$433,0))</f>
        <v>700</v>
      </c>
      <c r="J320" s="250">
        <f t="shared" si="291"/>
        <v>700</v>
      </c>
      <c r="K320" s="250">
        <f t="shared" si="291"/>
        <v>700</v>
      </c>
      <c r="L320" s="250">
        <f t="shared" si="291"/>
        <v>700</v>
      </c>
      <c r="M320" s="250">
        <f t="shared" si="291"/>
        <v>700</v>
      </c>
      <c r="N320" s="250">
        <f t="shared" si="291"/>
        <v>700</v>
      </c>
      <c r="O320" s="251">
        <f t="shared" si="291"/>
        <v>3650</v>
      </c>
      <c r="P320" s="250">
        <f t="shared" si="291"/>
        <v>3650</v>
      </c>
      <c r="Q320" s="250">
        <f t="shared" si="291"/>
        <v>3650</v>
      </c>
      <c r="R320" s="250">
        <f t="shared" si="291"/>
        <v>3650</v>
      </c>
      <c r="S320" s="250">
        <f t="shared" ref="S320:AB329" si="292">INDEX($I$430:$O$430,1,MATCH(S$8,$I$433:$O$433,0))</f>
        <v>3650</v>
      </c>
      <c r="T320" s="250">
        <f t="shared" si="292"/>
        <v>3650</v>
      </c>
      <c r="U320" s="251">
        <f t="shared" si="292"/>
        <v>2400</v>
      </c>
      <c r="V320" s="250">
        <f t="shared" si="292"/>
        <v>2400</v>
      </c>
      <c r="W320" s="250">
        <f t="shared" si="292"/>
        <v>2400</v>
      </c>
      <c r="X320" s="250">
        <f t="shared" si="292"/>
        <v>2400</v>
      </c>
      <c r="Y320" s="250">
        <f t="shared" si="292"/>
        <v>2400</v>
      </c>
      <c r="Z320" s="250">
        <f t="shared" si="292"/>
        <v>2400</v>
      </c>
      <c r="AA320" s="251">
        <f t="shared" si="292"/>
        <v>50</v>
      </c>
      <c r="AB320" s="250">
        <f t="shared" si="292"/>
        <v>50</v>
      </c>
      <c r="AC320" s="250">
        <f t="shared" ref="AC320:AL329" si="293">INDEX($I$430:$O$430,1,MATCH(AC$8,$I$433:$O$433,0))</f>
        <v>50</v>
      </c>
      <c r="AD320" s="250">
        <f t="shared" si="293"/>
        <v>50</v>
      </c>
      <c r="AE320" s="250">
        <f t="shared" si="293"/>
        <v>50</v>
      </c>
      <c r="AF320" s="250">
        <f t="shared" si="293"/>
        <v>50</v>
      </c>
      <c r="AG320" s="251">
        <f t="shared" si="293"/>
        <v>5475</v>
      </c>
      <c r="AH320" s="250">
        <f t="shared" si="293"/>
        <v>5475</v>
      </c>
      <c r="AI320" s="250">
        <f t="shared" si="293"/>
        <v>5475</v>
      </c>
      <c r="AJ320" s="250">
        <f t="shared" si="293"/>
        <v>5475</v>
      </c>
      <c r="AK320" s="250">
        <f t="shared" si="293"/>
        <v>5475</v>
      </c>
      <c r="AL320" s="250">
        <f t="shared" si="293"/>
        <v>5475</v>
      </c>
      <c r="AM320" s="251">
        <f t="shared" ref="AM320:AX329" si="294">INDEX($I$430:$O$430,1,MATCH(AM$8,$I$433:$O$433,0))</f>
        <v>18700</v>
      </c>
      <c r="AN320" s="250">
        <f t="shared" si="294"/>
        <v>18700</v>
      </c>
      <c r="AO320" s="250">
        <f t="shared" si="294"/>
        <v>18700</v>
      </c>
      <c r="AP320" s="250">
        <f t="shared" si="294"/>
        <v>18700</v>
      </c>
      <c r="AQ320" s="250">
        <f t="shared" si="294"/>
        <v>18700</v>
      </c>
      <c r="AR320" s="250">
        <f t="shared" si="294"/>
        <v>18700</v>
      </c>
      <c r="AS320" s="251">
        <f t="shared" si="294"/>
        <v>90400</v>
      </c>
      <c r="AT320" s="250">
        <f t="shared" si="294"/>
        <v>90400</v>
      </c>
      <c r="AU320" s="250">
        <f t="shared" si="294"/>
        <v>90400</v>
      </c>
      <c r="AV320" s="250">
        <f t="shared" si="294"/>
        <v>90400</v>
      </c>
      <c r="AW320" s="250">
        <f t="shared" si="294"/>
        <v>90400</v>
      </c>
      <c r="AX320" s="252">
        <f t="shared" si="294"/>
        <v>90400</v>
      </c>
      <c r="AY320" s="1"/>
      <c r="AZ320" s="1"/>
      <c r="BA320" s="1"/>
    </row>
    <row r="321" spans="2:80" s="220" customFormat="1" x14ac:dyDescent="0.25">
      <c r="B321" s="1343"/>
      <c r="D321" s="1355"/>
      <c r="F321" s="265"/>
      <c r="G321" s="209" t="s">
        <v>102</v>
      </c>
      <c r="H321" s="209"/>
      <c r="I321" s="253">
        <f t="shared" si="291"/>
        <v>700</v>
      </c>
      <c r="J321" s="253">
        <f t="shared" si="291"/>
        <v>700</v>
      </c>
      <c r="K321" s="253">
        <f t="shared" si="291"/>
        <v>700</v>
      </c>
      <c r="L321" s="253">
        <f t="shared" si="291"/>
        <v>700</v>
      </c>
      <c r="M321" s="253">
        <f t="shared" si="291"/>
        <v>700</v>
      </c>
      <c r="N321" s="253">
        <f t="shared" si="291"/>
        <v>700</v>
      </c>
      <c r="O321" s="254">
        <f t="shared" si="291"/>
        <v>3650</v>
      </c>
      <c r="P321" s="253">
        <f t="shared" si="291"/>
        <v>3650</v>
      </c>
      <c r="Q321" s="253">
        <f t="shared" si="291"/>
        <v>3650</v>
      </c>
      <c r="R321" s="253">
        <f t="shared" si="291"/>
        <v>3650</v>
      </c>
      <c r="S321" s="253">
        <f t="shared" si="292"/>
        <v>3650</v>
      </c>
      <c r="T321" s="253">
        <f t="shared" si="292"/>
        <v>3650</v>
      </c>
      <c r="U321" s="254">
        <f t="shared" si="292"/>
        <v>2400</v>
      </c>
      <c r="V321" s="253">
        <f t="shared" si="292"/>
        <v>2400</v>
      </c>
      <c r="W321" s="253">
        <f t="shared" si="292"/>
        <v>2400</v>
      </c>
      <c r="X321" s="253">
        <f t="shared" si="292"/>
        <v>2400</v>
      </c>
      <c r="Y321" s="253">
        <f t="shared" si="292"/>
        <v>2400</v>
      </c>
      <c r="Z321" s="253">
        <f t="shared" si="292"/>
        <v>2400</v>
      </c>
      <c r="AA321" s="254">
        <f t="shared" si="292"/>
        <v>50</v>
      </c>
      <c r="AB321" s="253">
        <f t="shared" si="292"/>
        <v>50</v>
      </c>
      <c r="AC321" s="253">
        <f t="shared" si="293"/>
        <v>50</v>
      </c>
      <c r="AD321" s="253">
        <f t="shared" si="293"/>
        <v>50</v>
      </c>
      <c r="AE321" s="253">
        <f t="shared" si="293"/>
        <v>50</v>
      </c>
      <c r="AF321" s="253">
        <f t="shared" si="293"/>
        <v>50</v>
      </c>
      <c r="AG321" s="254">
        <f t="shared" si="293"/>
        <v>5475</v>
      </c>
      <c r="AH321" s="253">
        <f t="shared" si="293"/>
        <v>5475</v>
      </c>
      <c r="AI321" s="253">
        <f t="shared" si="293"/>
        <v>5475</v>
      </c>
      <c r="AJ321" s="253">
        <f t="shared" si="293"/>
        <v>5475</v>
      </c>
      <c r="AK321" s="253">
        <f t="shared" si="293"/>
        <v>5475</v>
      </c>
      <c r="AL321" s="253">
        <f t="shared" si="293"/>
        <v>5475</v>
      </c>
      <c r="AM321" s="254">
        <f t="shared" si="294"/>
        <v>18700</v>
      </c>
      <c r="AN321" s="253">
        <f t="shared" si="294"/>
        <v>18700</v>
      </c>
      <c r="AO321" s="253">
        <f t="shared" si="294"/>
        <v>18700</v>
      </c>
      <c r="AP321" s="253">
        <f t="shared" si="294"/>
        <v>18700</v>
      </c>
      <c r="AQ321" s="253">
        <f t="shared" si="294"/>
        <v>18700</v>
      </c>
      <c r="AR321" s="253">
        <f t="shared" si="294"/>
        <v>18700</v>
      </c>
      <c r="AS321" s="254">
        <f t="shared" si="294"/>
        <v>90400</v>
      </c>
      <c r="AT321" s="253">
        <f t="shared" si="294"/>
        <v>90400</v>
      </c>
      <c r="AU321" s="253">
        <f t="shared" si="294"/>
        <v>90400</v>
      </c>
      <c r="AV321" s="253">
        <f t="shared" si="294"/>
        <v>90400</v>
      </c>
      <c r="AW321" s="253">
        <f t="shared" si="294"/>
        <v>90400</v>
      </c>
      <c r="AX321" s="255">
        <f t="shared" si="294"/>
        <v>90400</v>
      </c>
      <c r="AY321" s="1"/>
      <c r="AZ321" s="1"/>
      <c r="BA321" s="1"/>
    </row>
    <row r="322" spans="2:80" s="220" customFormat="1" x14ac:dyDescent="0.25">
      <c r="B322" s="1343"/>
      <c r="D322" s="1355"/>
      <c r="F322" s="265"/>
      <c r="G322" s="209" t="s">
        <v>103</v>
      </c>
      <c r="H322" s="209"/>
      <c r="I322" s="253">
        <f t="shared" si="291"/>
        <v>700</v>
      </c>
      <c r="J322" s="253">
        <f t="shared" si="291"/>
        <v>700</v>
      </c>
      <c r="K322" s="253">
        <f t="shared" si="291"/>
        <v>700</v>
      </c>
      <c r="L322" s="253">
        <f t="shared" si="291"/>
        <v>700</v>
      </c>
      <c r="M322" s="253">
        <f t="shared" si="291"/>
        <v>700</v>
      </c>
      <c r="N322" s="253">
        <f t="shared" si="291"/>
        <v>700</v>
      </c>
      <c r="O322" s="254">
        <f t="shared" si="291"/>
        <v>3650</v>
      </c>
      <c r="P322" s="253">
        <f t="shared" si="291"/>
        <v>3650</v>
      </c>
      <c r="Q322" s="253">
        <f t="shared" si="291"/>
        <v>3650</v>
      </c>
      <c r="R322" s="253">
        <f t="shared" si="291"/>
        <v>3650</v>
      </c>
      <c r="S322" s="253">
        <f t="shared" si="292"/>
        <v>3650</v>
      </c>
      <c r="T322" s="253">
        <f t="shared" si="292"/>
        <v>3650</v>
      </c>
      <c r="U322" s="254">
        <f t="shared" si="292"/>
        <v>2400</v>
      </c>
      <c r="V322" s="253">
        <f t="shared" si="292"/>
        <v>2400</v>
      </c>
      <c r="W322" s="253">
        <f t="shared" si="292"/>
        <v>2400</v>
      </c>
      <c r="X322" s="253">
        <f t="shared" si="292"/>
        <v>2400</v>
      </c>
      <c r="Y322" s="253">
        <f t="shared" si="292"/>
        <v>2400</v>
      </c>
      <c r="Z322" s="253">
        <f t="shared" si="292"/>
        <v>2400</v>
      </c>
      <c r="AA322" s="254">
        <f t="shared" si="292"/>
        <v>50</v>
      </c>
      <c r="AB322" s="253">
        <f t="shared" si="292"/>
        <v>50</v>
      </c>
      <c r="AC322" s="253">
        <f t="shared" si="293"/>
        <v>50</v>
      </c>
      <c r="AD322" s="253">
        <f t="shared" si="293"/>
        <v>50</v>
      </c>
      <c r="AE322" s="253">
        <f t="shared" si="293"/>
        <v>50</v>
      </c>
      <c r="AF322" s="253">
        <f t="shared" si="293"/>
        <v>50</v>
      </c>
      <c r="AG322" s="254">
        <f t="shared" si="293"/>
        <v>5475</v>
      </c>
      <c r="AH322" s="253">
        <f t="shared" si="293"/>
        <v>5475</v>
      </c>
      <c r="AI322" s="253">
        <f t="shared" si="293"/>
        <v>5475</v>
      </c>
      <c r="AJ322" s="253">
        <f t="shared" si="293"/>
        <v>5475</v>
      </c>
      <c r="AK322" s="253">
        <f t="shared" si="293"/>
        <v>5475</v>
      </c>
      <c r="AL322" s="253">
        <f t="shared" si="293"/>
        <v>5475</v>
      </c>
      <c r="AM322" s="254">
        <f t="shared" si="294"/>
        <v>18700</v>
      </c>
      <c r="AN322" s="253">
        <f t="shared" si="294"/>
        <v>18700</v>
      </c>
      <c r="AO322" s="253">
        <f t="shared" si="294"/>
        <v>18700</v>
      </c>
      <c r="AP322" s="253">
        <f t="shared" si="294"/>
        <v>18700</v>
      </c>
      <c r="AQ322" s="253">
        <f t="shared" si="294"/>
        <v>18700</v>
      </c>
      <c r="AR322" s="253">
        <f t="shared" si="294"/>
        <v>18700</v>
      </c>
      <c r="AS322" s="254">
        <f t="shared" si="294"/>
        <v>90400</v>
      </c>
      <c r="AT322" s="253">
        <f t="shared" si="294"/>
        <v>90400</v>
      </c>
      <c r="AU322" s="253">
        <f t="shared" si="294"/>
        <v>90400</v>
      </c>
      <c r="AV322" s="253">
        <f t="shared" si="294"/>
        <v>90400</v>
      </c>
      <c r="AW322" s="253">
        <f t="shared" si="294"/>
        <v>90400</v>
      </c>
      <c r="AX322" s="255">
        <f t="shared" si="294"/>
        <v>90400</v>
      </c>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row>
    <row r="323" spans="2:80" x14ac:dyDescent="0.25">
      <c r="B323" s="1343"/>
      <c r="D323" s="1355"/>
      <c r="F323" s="265"/>
      <c r="G323" s="209" t="s">
        <v>107</v>
      </c>
      <c r="H323" s="209"/>
      <c r="I323" s="253">
        <f t="shared" si="291"/>
        <v>700</v>
      </c>
      <c r="J323" s="253">
        <f t="shared" si="291"/>
        <v>700</v>
      </c>
      <c r="K323" s="253">
        <f t="shared" si="291"/>
        <v>700</v>
      </c>
      <c r="L323" s="253">
        <f t="shared" si="291"/>
        <v>700</v>
      </c>
      <c r="M323" s="253">
        <f t="shared" si="291"/>
        <v>700</v>
      </c>
      <c r="N323" s="253">
        <f t="shared" si="291"/>
        <v>700</v>
      </c>
      <c r="O323" s="254">
        <f t="shared" si="291"/>
        <v>3650</v>
      </c>
      <c r="P323" s="253">
        <f t="shared" si="291"/>
        <v>3650</v>
      </c>
      <c r="Q323" s="253">
        <f t="shared" si="291"/>
        <v>3650</v>
      </c>
      <c r="R323" s="253">
        <f t="shared" si="291"/>
        <v>3650</v>
      </c>
      <c r="S323" s="253">
        <f t="shared" si="292"/>
        <v>3650</v>
      </c>
      <c r="T323" s="253">
        <f t="shared" si="292"/>
        <v>3650</v>
      </c>
      <c r="U323" s="254">
        <f t="shared" si="292"/>
        <v>2400</v>
      </c>
      <c r="V323" s="253">
        <f t="shared" si="292"/>
        <v>2400</v>
      </c>
      <c r="W323" s="253">
        <f t="shared" si="292"/>
        <v>2400</v>
      </c>
      <c r="X323" s="253">
        <f t="shared" si="292"/>
        <v>2400</v>
      </c>
      <c r="Y323" s="253">
        <f t="shared" si="292"/>
        <v>2400</v>
      </c>
      <c r="Z323" s="253">
        <f t="shared" si="292"/>
        <v>2400</v>
      </c>
      <c r="AA323" s="254">
        <f t="shared" si="292"/>
        <v>50</v>
      </c>
      <c r="AB323" s="253">
        <f t="shared" si="292"/>
        <v>50</v>
      </c>
      <c r="AC323" s="253">
        <f t="shared" si="293"/>
        <v>50</v>
      </c>
      <c r="AD323" s="253">
        <f t="shared" si="293"/>
        <v>50</v>
      </c>
      <c r="AE323" s="253">
        <f t="shared" si="293"/>
        <v>50</v>
      </c>
      <c r="AF323" s="253">
        <f t="shared" si="293"/>
        <v>50</v>
      </c>
      <c r="AG323" s="254">
        <f t="shared" si="293"/>
        <v>5475</v>
      </c>
      <c r="AH323" s="253">
        <f t="shared" si="293"/>
        <v>5475</v>
      </c>
      <c r="AI323" s="253">
        <f t="shared" si="293"/>
        <v>5475</v>
      </c>
      <c r="AJ323" s="253">
        <f t="shared" si="293"/>
        <v>5475</v>
      </c>
      <c r="AK323" s="253">
        <f t="shared" si="293"/>
        <v>5475</v>
      </c>
      <c r="AL323" s="253">
        <f t="shared" si="293"/>
        <v>5475</v>
      </c>
      <c r="AM323" s="254">
        <f t="shared" si="294"/>
        <v>18700</v>
      </c>
      <c r="AN323" s="253">
        <f t="shared" si="294"/>
        <v>18700</v>
      </c>
      <c r="AO323" s="253">
        <f t="shared" si="294"/>
        <v>18700</v>
      </c>
      <c r="AP323" s="253">
        <f t="shared" si="294"/>
        <v>18700</v>
      </c>
      <c r="AQ323" s="253">
        <f t="shared" si="294"/>
        <v>18700</v>
      </c>
      <c r="AR323" s="253">
        <f t="shared" si="294"/>
        <v>18700</v>
      </c>
      <c r="AS323" s="254">
        <f t="shared" si="294"/>
        <v>90400</v>
      </c>
      <c r="AT323" s="253">
        <f t="shared" si="294"/>
        <v>90400</v>
      </c>
      <c r="AU323" s="253">
        <f t="shared" si="294"/>
        <v>90400</v>
      </c>
      <c r="AV323" s="253">
        <f t="shared" si="294"/>
        <v>90400</v>
      </c>
      <c r="AW323" s="253">
        <f t="shared" si="294"/>
        <v>90400</v>
      </c>
      <c r="AX323" s="255">
        <f t="shared" si="294"/>
        <v>90400</v>
      </c>
      <c r="AY323" s="1"/>
      <c r="AZ323" s="1"/>
      <c r="BA323" s="1"/>
      <c r="BB323" s="1"/>
    </row>
    <row r="324" spans="2:80" x14ac:dyDescent="0.25">
      <c r="B324" s="1343"/>
      <c r="D324" s="1355"/>
      <c r="F324" s="265"/>
      <c r="G324" s="209" t="s">
        <v>104</v>
      </c>
      <c r="H324" s="209"/>
      <c r="I324" s="253">
        <f t="shared" si="291"/>
        <v>700</v>
      </c>
      <c r="J324" s="253">
        <f t="shared" si="291"/>
        <v>700</v>
      </c>
      <c r="K324" s="253">
        <f t="shared" si="291"/>
        <v>700</v>
      </c>
      <c r="L324" s="253">
        <f t="shared" si="291"/>
        <v>700</v>
      </c>
      <c r="M324" s="253">
        <f t="shared" si="291"/>
        <v>700</v>
      </c>
      <c r="N324" s="253">
        <f t="shared" si="291"/>
        <v>700</v>
      </c>
      <c r="O324" s="254">
        <f t="shared" si="291"/>
        <v>3650</v>
      </c>
      <c r="P324" s="253">
        <f t="shared" si="291"/>
        <v>3650</v>
      </c>
      <c r="Q324" s="253">
        <f t="shared" si="291"/>
        <v>3650</v>
      </c>
      <c r="R324" s="253">
        <f t="shared" si="291"/>
        <v>3650</v>
      </c>
      <c r="S324" s="253">
        <f t="shared" si="292"/>
        <v>3650</v>
      </c>
      <c r="T324" s="253">
        <f t="shared" si="292"/>
        <v>3650</v>
      </c>
      <c r="U324" s="254">
        <f t="shared" si="292"/>
        <v>2400</v>
      </c>
      <c r="V324" s="253">
        <f t="shared" si="292"/>
        <v>2400</v>
      </c>
      <c r="W324" s="253">
        <f t="shared" si="292"/>
        <v>2400</v>
      </c>
      <c r="X324" s="253">
        <f t="shared" si="292"/>
        <v>2400</v>
      </c>
      <c r="Y324" s="253">
        <f t="shared" si="292"/>
        <v>2400</v>
      </c>
      <c r="Z324" s="253">
        <f t="shared" si="292"/>
        <v>2400</v>
      </c>
      <c r="AA324" s="254">
        <f t="shared" si="292"/>
        <v>50</v>
      </c>
      <c r="AB324" s="253">
        <f t="shared" si="292"/>
        <v>50</v>
      </c>
      <c r="AC324" s="253">
        <f t="shared" si="293"/>
        <v>50</v>
      </c>
      <c r="AD324" s="253">
        <f t="shared" si="293"/>
        <v>50</v>
      </c>
      <c r="AE324" s="253">
        <f t="shared" si="293"/>
        <v>50</v>
      </c>
      <c r="AF324" s="253">
        <f t="shared" si="293"/>
        <v>50</v>
      </c>
      <c r="AG324" s="254">
        <f t="shared" si="293"/>
        <v>5475</v>
      </c>
      <c r="AH324" s="253">
        <f t="shared" si="293"/>
        <v>5475</v>
      </c>
      <c r="AI324" s="253">
        <f t="shared" si="293"/>
        <v>5475</v>
      </c>
      <c r="AJ324" s="253">
        <f t="shared" si="293"/>
        <v>5475</v>
      </c>
      <c r="AK324" s="253">
        <f t="shared" si="293"/>
        <v>5475</v>
      </c>
      <c r="AL324" s="253">
        <f t="shared" si="293"/>
        <v>5475</v>
      </c>
      <c r="AM324" s="254">
        <f t="shared" si="294"/>
        <v>18700</v>
      </c>
      <c r="AN324" s="253">
        <f t="shared" si="294"/>
        <v>18700</v>
      </c>
      <c r="AO324" s="253">
        <f t="shared" si="294"/>
        <v>18700</v>
      </c>
      <c r="AP324" s="253">
        <f t="shared" si="294"/>
        <v>18700</v>
      </c>
      <c r="AQ324" s="253">
        <f t="shared" si="294"/>
        <v>18700</v>
      </c>
      <c r="AR324" s="253">
        <f t="shared" si="294"/>
        <v>18700</v>
      </c>
      <c r="AS324" s="254">
        <f t="shared" si="294"/>
        <v>90400</v>
      </c>
      <c r="AT324" s="253">
        <f t="shared" si="294"/>
        <v>90400</v>
      </c>
      <c r="AU324" s="253">
        <f t="shared" si="294"/>
        <v>90400</v>
      </c>
      <c r="AV324" s="253">
        <f t="shared" si="294"/>
        <v>90400</v>
      </c>
      <c r="AW324" s="253">
        <f t="shared" si="294"/>
        <v>90400</v>
      </c>
      <c r="AX324" s="255">
        <f t="shared" si="294"/>
        <v>90400</v>
      </c>
      <c r="AY324" s="1"/>
      <c r="AZ324" s="1"/>
      <c r="BA324" s="1"/>
      <c r="BB324" s="1"/>
      <c r="BC324" s="1"/>
      <c r="BD324" s="1"/>
      <c r="BE324" s="1"/>
      <c r="BF324" s="1"/>
    </row>
    <row r="325" spans="2:80" x14ac:dyDescent="0.25">
      <c r="B325" s="1343"/>
      <c r="D325" s="1355"/>
      <c r="F325" s="265"/>
      <c r="G325" s="209" t="s">
        <v>97</v>
      </c>
      <c r="H325" s="209"/>
      <c r="I325" s="253">
        <f t="shared" si="291"/>
        <v>700</v>
      </c>
      <c r="J325" s="253">
        <f t="shared" si="291"/>
        <v>700</v>
      </c>
      <c r="K325" s="253">
        <f t="shared" si="291"/>
        <v>700</v>
      </c>
      <c r="L325" s="253">
        <f t="shared" si="291"/>
        <v>700</v>
      </c>
      <c r="M325" s="253">
        <f t="shared" si="291"/>
        <v>700</v>
      </c>
      <c r="N325" s="253">
        <f t="shared" si="291"/>
        <v>700</v>
      </c>
      <c r="O325" s="254">
        <f t="shared" si="291"/>
        <v>3650</v>
      </c>
      <c r="P325" s="253">
        <f t="shared" si="291"/>
        <v>3650</v>
      </c>
      <c r="Q325" s="253">
        <f t="shared" si="291"/>
        <v>3650</v>
      </c>
      <c r="R325" s="253">
        <f t="shared" si="291"/>
        <v>3650</v>
      </c>
      <c r="S325" s="253">
        <f t="shared" si="292"/>
        <v>3650</v>
      </c>
      <c r="T325" s="253">
        <f t="shared" si="292"/>
        <v>3650</v>
      </c>
      <c r="U325" s="254">
        <f t="shared" si="292"/>
        <v>2400</v>
      </c>
      <c r="V325" s="253">
        <f t="shared" si="292"/>
        <v>2400</v>
      </c>
      <c r="W325" s="253">
        <f t="shared" si="292"/>
        <v>2400</v>
      </c>
      <c r="X325" s="253">
        <f t="shared" si="292"/>
        <v>2400</v>
      </c>
      <c r="Y325" s="253">
        <f t="shared" si="292"/>
        <v>2400</v>
      </c>
      <c r="Z325" s="253">
        <f t="shared" si="292"/>
        <v>2400</v>
      </c>
      <c r="AA325" s="254">
        <f t="shared" si="292"/>
        <v>50</v>
      </c>
      <c r="AB325" s="253">
        <f t="shared" si="292"/>
        <v>50</v>
      </c>
      <c r="AC325" s="253">
        <f t="shared" si="293"/>
        <v>50</v>
      </c>
      <c r="AD325" s="253">
        <f t="shared" si="293"/>
        <v>50</v>
      </c>
      <c r="AE325" s="253">
        <f t="shared" si="293"/>
        <v>50</v>
      </c>
      <c r="AF325" s="253">
        <f t="shared" si="293"/>
        <v>50</v>
      </c>
      <c r="AG325" s="254">
        <f t="shared" si="293"/>
        <v>5475</v>
      </c>
      <c r="AH325" s="253">
        <f t="shared" si="293"/>
        <v>5475</v>
      </c>
      <c r="AI325" s="253">
        <f t="shared" si="293"/>
        <v>5475</v>
      </c>
      <c r="AJ325" s="253">
        <f t="shared" si="293"/>
        <v>5475</v>
      </c>
      <c r="AK325" s="253">
        <f t="shared" si="293"/>
        <v>5475</v>
      </c>
      <c r="AL325" s="253">
        <f t="shared" si="293"/>
        <v>5475</v>
      </c>
      <c r="AM325" s="254">
        <f t="shared" si="294"/>
        <v>18700</v>
      </c>
      <c r="AN325" s="253">
        <f t="shared" si="294"/>
        <v>18700</v>
      </c>
      <c r="AO325" s="253">
        <f t="shared" si="294"/>
        <v>18700</v>
      </c>
      <c r="AP325" s="253">
        <f t="shared" si="294"/>
        <v>18700</v>
      </c>
      <c r="AQ325" s="253">
        <f t="shared" si="294"/>
        <v>18700</v>
      </c>
      <c r="AR325" s="253">
        <f t="shared" si="294"/>
        <v>18700</v>
      </c>
      <c r="AS325" s="254">
        <f t="shared" si="294"/>
        <v>90400</v>
      </c>
      <c r="AT325" s="253">
        <f t="shared" si="294"/>
        <v>90400</v>
      </c>
      <c r="AU325" s="253">
        <f t="shared" si="294"/>
        <v>90400</v>
      </c>
      <c r="AV325" s="253">
        <f t="shared" si="294"/>
        <v>90400</v>
      </c>
      <c r="AW325" s="253">
        <f t="shared" si="294"/>
        <v>90400</v>
      </c>
      <c r="AX325" s="255">
        <f t="shared" si="294"/>
        <v>90400</v>
      </c>
      <c r="AY325" s="1"/>
      <c r="AZ325" s="1"/>
      <c r="BA325" s="1"/>
      <c r="BB325" s="1"/>
    </row>
    <row r="326" spans="2:80" x14ac:dyDescent="0.25">
      <c r="B326" s="1343"/>
      <c r="D326" s="1355"/>
      <c r="F326" s="265"/>
      <c r="G326" s="209" t="s">
        <v>628</v>
      </c>
      <c r="H326" s="209"/>
      <c r="I326" s="253">
        <f t="shared" si="291"/>
        <v>700</v>
      </c>
      <c r="J326" s="253">
        <f t="shared" si="291"/>
        <v>700</v>
      </c>
      <c r="K326" s="253">
        <f t="shared" si="291"/>
        <v>700</v>
      </c>
      <c r="L326" s="253">
        <f t="shared" si="291"/>
        <v>700</v>
      </c>
      <c r="M326" s="253">
        <f t="shared" si="291"/>
        <v>700</v>
      </c>
      <c r="N326" s="253">
        <f t="shared" si="291"/>
        <v>700</v>
      </c>
      <c r="O326" s="254">
        <f t="shared" si="291"/>
        <v>3650</v>
      </c>
      <c r="P326" s="253">
        <f t="shared" si="291"/>
        <v>3650</v>
      </c>
      <c r="Q326" s="253">
        <f t="shared" si="291"/>
        <v>3650</v>
      </c>
      <c r="R326" s="253">
        <f t="shared" si="291"/>
        <v>3650</v>
      </c>
      <c r="S326" s="253">
        <f t="shared" si="292"/>
        <v>3650</v>
      </c>
      <c r="T326" s="253">
        <f t="shared" si="292"/>
        <v>3650</v>
      </c>
      <c r="U326" s="254">
        <f t="shared" si="292"/>
        <v>2400</v>
      </c>
      <c r="V326" s="253">
        <f t="shared" si="292"/>
        <v>2400</v>
      </c>
      <c r="W326" s="253">
        <f t="shared" si="292"/>
        <v>2400</v>
      </c>
      <c r="X326" s="253">
        <f t="shared" si="292"/>
        <v>2400</v>
      </c>
      <c r="Y326" s="253">
        <f t="shared" si="292"/>
        <v>2400</v>
      </c>
      <c r="Z326" s="253">
        <f t="shared" si="292"/>
        <v>2400</v>
      </c>
      <c r="AA326" s="254">
        <f t="shared" si="292"/>
        <v>50</v>
      </c>
      <c r="AB326" s="253">
        <f t="shared" si="292"/>
        <v>50</v>
      </c>
      <c r="AC326" s="253">
        <f t="shared" si="293"/>
        <v>50</v>
      </c>
      <c r="AD326" s="253">
        <f t="shared" si="293"/>
        <v>50</v>
      </c>
      <c r="AE326" s="253">
        <f t="shared" si="293"/>
        <v>50</v>
      </c>
      <c r="AF326" s="253">
        <f t="shared" si="293"/>
        <v>50</v>
      </c>
      <c r="AG326" s="254">
        <f t="shared" si="293"/>
        <v>5475</v>
      </c>
      <c r="AH326" s="253">
        <f t="shared" si="293"/>
        <v>5475</v>
      </c>
      <c r="AI326" s="253">
        <f t="shared" si="293"/>
        <v>5475</v>
      </c>
      <c r="AJ326" s="253">
        <f t="shared" si="293"/>
        <v>5475</v>
      </c>
      <c r="AK326" s="253">
        <f t="shared" si="293"/>
        <v>5475</v>
      </c>
      <c r="AL326" s="253">
        <f t="shared" si="293"/>
        <v>5475</v>
      </c>
      <c r="AM326" s="254">
        <f t="shared" si="294"/>
        <v>18700</v>
      </c>
      <c r="AN326" s="253">
        <f t="shared" si="294"/>
        <v>18700</v>
      </c>
      <c r="AO326" s="253">
        <f t="shared" si="294"/>
        <v>18700</v>
      </c>
      <c r="AP326" s="253">
        <f t="shared" si="294"/>
        <v>18700</v>
      </c>
      <c r="AQ326" s="253">
        <f t="shared" si="294"/>
        <v>18700</v>
      </c>
      <c r="AR326" s="253">
        <f t="shared" si="294"/>
        <v>18700</v>
      </c>
      <c r="AS326" s="254">
        <f t="shared" si="294"/>
        <v>90400</v>
      </c>
      <c r="AT326" s="253">
        <f t="shared" si="294"/>
        <v>90400</v>
      </c>
      <c r="AU326" s="253">
        <f t="shared" si="294"/>
        <v>90400</v>
      </c>
      <c r="AV326" s="253">
        <f t="shared" si="294"/>
        <v>90400</v>
      </c>
      <c r="AW326" s="253">
        <f t="shared" si="294"/>
        <v>90400</v>
      </c>
      <c r="AX326" s="255">
        <f t="shared" si="294"/>
        <v>90400</v>
      </c>
      <c r="AY326" s="1"/>
      <c r="AZ326" s="1"/>
      <c r="BA326" s="1"/>
      <c r="BB326" s="1"/>
    </row>
    <row r="327" spans="2:80" x14ac:dyDescent="0.25">
      <c r="B327" s="1343"/>
      <c r="D327" s="1355"/>
      <c r="F327" s="265"/>
      <c r="G327" s="209" t="s">
        <v>108</v>
      </c>
      <c r="H327" s="209"/>
      <c r="I327" s="253">
        <f t="shared" si="291"/>
        <v>700</v>
      </c>
      <c r="J327" s="253">
        <f t="shared" si="291"/>
        <v>700</v>
      </c>
      <c r="K327" s="253">
        <f t="shared" si="291"/>
        <v>700</v>
      </c>
      <c r="L327" s="253">
        <f t="shared" si="291"/>
        <v>700</v>
      </c>
      <c r="M327" s="253">
        <f t="shared" si="291"/>
        <v>700</v>
      </c>
      <c r="N327" s="253">
        <f t="shared" si="291"/>
        <v>700</v>
      </c>
      <c r="O327" s="254">
        <f t="shared" si="291"/>
        <v>3650</v>
      </c>
      <c r="P327" s="253">
        <f t="shared" si="291"/>
        <v>3650</v>
      </c>
      <c r="Q327" s="253">
        <f t="shared" si="291"/>
        <v>3650</v>
      </c>
      <c r="R327" s="253">
        <f t="shared" si="291"/>
        <v>3650</v>
      </c>
      <c r="S327" s="253">
        <f t="shared" si="292"/>
        <v>3650</v>
      </c>
      <c r="T327" s="253">
        <f t="shared" si="292"/>
        <v>3650</v>
      </c>
      <c r="U327" s="254">
        <f t="shared" si="292"/>
        <v>2400</v>
      </c>
      <c r="V327" s="253">
        <f t="shared" si="292"/>
        <v>2400</v>
      </c>
      <c r="W327" s="253">
        <f t="shared" si="292"/>
        <v>2400</v>
      </c>
      <c r="X327" s="253">
        <f t="shared" si="292"/>
        <v>2400</v>
      </c>
      <c r="Y327" s="253">
        <f t="shared" si="292"/>
        <v>2400</v>
      </c>
      <c r="Z327" s="253">
        <f t="shared" si="292"/>
        <v>2400</v>
      </c>
      <c r="AA327" s="254">
        <f t="shared" si="292"/>
        <v>50</v>
      </c>
      <c r="AB327" s="253">
        <f t="shared" si="292"/>
        <v>50</v>
      </c>
      <c r="AC327" s="253">
        <f t="shared" si="293"/>
        <v>50</v>
      </c>
      <c r="AD327" s="253">
        <f t="shared" si="293"/>
        <v>50</v>
      </c>
      <c r="AE327" s="253">
        <f t="shared" si="293"/>
        <v>50</v>
      </c>
      <c r="AF327" s="253">
        <f t="shared" si="293"/>
        <v>50</v>
      </c>
      <c r="AG327" s="254">
        <f t="shared" si="293"/>
        <v>5475</v>
      </c>
      <c r="AH327" s="253">
        <f t="shared" si="293"/>
        <v>5475</v>
      </c>
      <c r="AI327" s="253">
        <f t="shared" si="293"/>
        <v>5475</v>
      </c>
      <c r="AJ327" s="253">
        <f t="shared" si="293"/>
        <v>5475</v>
      </c>
      <c r="AK327" s="253">
        <f t="shared" si="293"/>
        <v>5475</v>
      </c>
      <c r="AL327" s="253">
        <f t="shared" si="293"/>
        <v>5475</v>
      </c>
      <c r="AM327" s="254">
        <f t="shared" si="294"/>
        <v>18700</v>
      </c>
      <c r="AN327" s="253">
        <f t="shared" si="294"/>
        <v>18700</v>
      </c>
      <c r="AO327" s="253">
        <f t="shared" si="294"/>
        <v>18700</v>
      </c>
      <c r="AP327" s="253">
        <f t="shared" si="294"/>
        <v>18700</v>
      </c>
      <c r="AQ327" s="253">
        <f t="shared" si="294"/>
        <v>18700</v>
      </c>
      <c r="AR327" s="253">
        <f t="shared" si="294"/>
        <v>18700</v>
      </c>
      <c r="AS327" s="254">
        <f t="shared" si="294"/>
        <v>90400</v>
      </c>
      <c r="AT327" s="253">
        <f t="shared" si="294"/>
        <v>90400</v>
      </c>
      <c r="AU327" s="253">
        <f t="shared" si="294"/>
        <v>90400</v>
      </c>
      <c r="AV327" s="253">
        <f t="shared" si="294"/>
        <v>90400</v>
      </c>
      <c r="AW327" s="253">
        <f t="shared" si="294"/>
        <v>90400</v>
      </c>
      <c r="AX327" s="255">
        <f t="shared" si="294"/>
        <v>90400</v>
      </c>
      <c r="AY327" s="1"/>
      <c r="AZ327" s="1"/>
      <c r="BA327" s="1"/>
      <c r="BB327" s="1"/>
    </row>
    <row r="328" spans="2:80" x14ac:dyDescent="0.25">
      <c r="B328" s="1343"/>
      <c r="D328" s="1355"/>
      <c r="F328" s="265"/>
      <c r="G328" s="209" t="s">
        <v>98</v>
      </c>
      <c r="H328" s="209"/>
      <c r="I328" s="253">
        <f t="shared" si="291"/>
        <v>700</v>
      </c>
      <c r="J328" s="253">
        <f t="shared" si="291"/>
        <v>700</v>
      </c>
      <c r="K328" s="253">
        <f t="shared" si="291"/>
        <v>700</v>
      </c>
      <c r="L328" s="253">
        <f t="shared" si="291"/>
        <v>700</v>
      </c>
      <c r="M328" s="253">
        <f t="shared" si="291"/>
        <v>700</v>
      </c>
      <c r="N328" s="253">
        <f t="shared" si="291"/>
        <v>700</v>
      </c>
      <c r="O328" s="254">
        <f t="shared" si="291"/>
        <v>3650</v>
      </c>
      <c r="P328" s="253">
        <f t="shared" si="291"/>
        <v>3650</v>
      </c>
      <c r="Q328" s="253">
        <f t="shared" si="291"/>
        <v>3650</v>
      </c>
      <c r="R328" s="253">
        <f t="shared" si="291"/>
        <v>3650</v>
      </c>
      <c r="S328" s="253">
        <f t="shared" si="292"/>
        <v>3650</v>
      </c>
      <c r="T328" s="253">
        <f t="shared" si="292"/>
        <v>3650</v>
      </c>
      <c r="U328" s="254">
        <f t="shared" si="292"/>
        <v>2400</v>
      </c>
      <c r="V328" s="253">
        <f t="shared" si="292"/>
        <v>2400</v>
      </c>
      <c r="W328" s="253">
        <f t="shared" si="292"/>
        <v>2400</v>
      </c>
      <c r="X328" s="253">
        <f t="shared" si="292"/>
        <v>2400</v>
      </c>
      <c r="Y328" s="253">
        <f t="shared" si="292"/>
        <v>2400</v>
      </c>
      <c r="Z328" s="253">
        <f t="shared" si="292"/>
        <v>2400</v>
      </c>
      <c r="AA328" s="254">
        <f t="shared" si="292"/>
        <v>50</v>
      </c>
      <c r="AB328" s="253">
        <f t="shared" si="292"/>
        <v>50</v>
      </c>
      <c r="AC328" s="253">
        <f t="shared" si="293"/>
        <v>50</v>
      </c>
      <c r="AD328" s="253">
        <f t="shared" si="293"/>
        <v>50</v>
      </c>
      <c r="AE328" s="253">
        <f t="shared" si="293"/>
        <v>50</v>
      </c>
      <c r="AF328" s="253">
        <f t="shared" si="293"/>
        <v>50</v>
      </c>
      <c r="AG328" s="254">
        <f t="shared" si="293"/>
        <v>5475</v>
      </c>
      <c r="AH328" s="253">
        <f t="shared" si="293"/>
        <v>5475</v>
      </c>
      <c r="AI328" s="253">
        <f t="shared" si="293"/>
        <v>5475</v>
      </c>
      <c r="AJ328" s="253">
        <f t="shared" si="293"/>
        <v>5475</v>
      </c>
      <c r="AK328" s="253">
        <f t="shared" si="293"/>
        <v>5475</v>
      </c>
      <c r="AL328" s="253">
        <f t="shared" si="293"/>
        <v>5475</v>
      </c>
      <c r="AM328" s="254">
        <f t="shared" si="294"/>
        <v>18700</v>
      </c>
      <c r="AN328" s="253">
        <f t="shared" si="294"/>
        <v>18700</v>
      </c>
      <c r="AO328" s="253">
        <f t="shared" si="294"/>
        <v>18700</v>
      </c>
      <c r="AP328" s="253">
        <f t="shared" si="294"/>
        <v>18700</v>
      </c>
      <c r="AQ328" s="253">
        <f t="shared" si="294"/>
        <v>18700</v>
      </c>
      <c r="AR328" s="253">
        <f t="shared" si="294"/>
        <v>18700</v>
      </c>
      <c r="AS328" s="254">
        <f t="shared" si="294"/>
        <v>90400</v>
      </c>
      <c r="AT328" s="253">
        <f t="shared" si="294"/>
        <v>90400</v>
      </c>
      <c r="AU328" s="253">
        <f t="shared" si="294"/>
        <v>90400</v>
      </c>
      <c r="AV328" s="253">
        <f t="shared" si="294"/>
        <v>90400</v>
      </c>
      <c r="AW328" s="253">
        <f t="shared" si="294"/>
        <v>90400</v>
      </c>
      <c r="AX328" s="255">
        <f t="shared" si="294"/>
        <v>90400</v>
      </c>
      <c r="AY328" s="1"/>
      <c r="AZ328" s="1"/>
      <c r="BA328" s="1"/>
      <c r="BB328" s="1"/>
    </row>
    <row r="329" spans="2:80" x14ac:dyDescent="0.25">
      <c r="B329" s="1343"/>
      <c r="D329" s="1355"/>
      <c r="F329" s="265"/>
      <c r="G329" s="209" t="s">
        <v>629</v>
      </c>
      <c r="H329" s="209"/>
      <c r="I329" s="253">
        <f t="shared" si="291"/>
        <v>700</v>
      </c>
      <c r="J329" s="253">
        <f t="shared" si="291"/>
        <v>700</v>
      </c>
      <c r="K329" s="253">
        <f t="shared" si="291"/>
        <v>700</v>
      </c>
      <c r="L329" s="253">
        <f t="shared" si="291"/>
        <v>700</v>
      </c>
      <c r="M329" s="253">
        <f t="shared" si="291"/>
        <v>700</v>
      </c>
      <c r="N329" s="253">
        <f t="shared" si="291"/>
        <v>700</v>
      </c>
      <c r="O329" s="254">
        <f t="shared" si="291"/>
        <v>3650</v>
      </c>
      <c r="P329" s="253">
        <f t="shared" si="291"/>
        <v>3650</v>
      </c>
      <c r="Q329" s="253">
        <f t="shared" si="291"/>
        <v>3650</v>
      </c>
      <c r="R329" s="253">
        <f t="shared" si="291"/>
        <v>3650</v>
      </c>
      <c r="S329" s="253">
        <f t="shared" si="292"/>
        <v>3650</v>
      </c>
      <c r="T329" s="253">
        <f t="shared" si="292"/>
        <v>3650</v>
      </c>
      <c r="U329" s="254">
        <f t="shared" si="292"/>
        <v>2400</v>
      </c>
      <c r="V329" s="253">
        <f t="shared" si="292"/>
        <v>2400</v>
      </c>
      <c r="W329" s="253">
        <f t="shared" si="292"/>
        <v>2400</v>
      </c>
      <c r="X329" s="253">
        <f t="shared" si="292"/>
        <v>2400</v>
      </c>
      <c r="Y329" s="253">
        <f t="shared" si="292"/>
        <v>2400</v>
      </c>
      <c r="Z329" s="253">
        <f t="shared" si="292"/>
        <v>2400</v>
      </c>
      <c r="AA329" s="254">
        <f t="shared" si="292"/>
        <v>50</v>
      </c>
      <c r="AB329" s="253">
        <f t="shared" si="292"/>
        <v>50</v>
      </c>
      <c r="AC329" s="253">
        <f t="shared" si="293"/>
        <v>50</v>
      </c>
      <c r="AD329" s="253">
        <f t="shared" si="293"/>
        <v>50</v>
      </c>
      <c r="AE329" s="253">
        <f t="shared" si="293"/>
        <v>50</v>
      </c>
      <c r="AF329" s="253">
        <f t="shared" si="293"/>
        <v>50</v>
      </c>
      <c r="AG329" s="254">
        <f t="shared" si="293"/>
        <v>5475</v>
      </c>
      <c r="AH329" s="253">
        <f t="shared" si="293"/>
        <v>5475</v>
      </c>
      <c r="AI329" s="253">
        <f t="shared" si="293"/>
        <v>5475</v>
      </c>
      <c r="AJ329" s="253">
        <f t="shared" si="293"/>
        <v>5475</v>
      </c>
      <c r="AK329" s="253">
        <f t="shared" si="293"/>
        <v>5475</v>
      </c>
      <c r="AL329" s="253">
        <f t="shared" si="293"/>
        <v>5475</v>
      </c>
      <c r="AM329" s="254">
        <f t="shared" si="294"/>
        <v>18700</v>
      </c>
      <c r="AN329" s="253">
        <f t="shared" si="294"/>
        <v>18700</v>
      </c>
      <c r="AO329" s="253">
        <f t="shared" si="294"/>
        <v>18700</v>
      </c>
      <c r="AP329" s="253">
        <f t="shared" si="294"/>
        <v>18700</v>
      </c>
      <c r="AQ329" s="253">
        <f t="shared" si="294"/>
        <v>18700</v>
      </c>
      <c r="AR329" s="253">
        <f t="shared" si="294"/>
        <v>18700</v>
      </c>
      <c r="AS329" s="254">
        <f t="shared" si="294"/>
        <v>90400</v>
      </c>
      <c r="AT329" s="253">
        <f t="shared" si="294"/>
        <v>90400</v>
      </c>
      <c r="AU329" s="253">
        <f t="shared" si="294"/>
        <v>90400</v>
      </c>
      <c r="AV329" s="253">
        <f t="shared" si="294"/>
        <v>90400</v>
      </c>
      <c r="AW329" s="253">
        <f t="shared" si="294"/>
        <v>90400</v>
      </c>
      <c r="AX329" s="255">
        <f t="shared" si="294"/>
        <v>90400</v>
      </c>
      <c r="AY329" s="1"/>
      <c r="AZ329" s="1"/>
      <c r="BA329" s="1"/>
      <c r="BB329" s="1"/>
    </row>
    <row r="330" spans="2:80" x14ac:dyDescent="0.25">
      <c r="B330" s="1343"/>
      <c r="D330" s="1355"/>
      <c r="F330" s="265"/>
      <c r="G330" s="209" t="s">
        <v>105</v>
      </c>
      <c r="H330" s="209"/>
      <c r="I330" s="253">
        <f t="shared" ref="I330:R340" si="295">INDEX($I$430:$O$430,1,MATCH(I$8,$I$433:$O$433,0))</f>
        <v>700</v>
      </c>
      <c r="J330" s="253">
        <f t="shared" si="295"/>
        <v>700</v>
      </c>
      <c r="K330" s="253">
        <f t="shared" si="295"/>
        <v>700</v>
      </c>
      <c r="L330" s="253">
        <f t="shared" si="295"/>
        <v>700</v>
      </c>
      <c r="M330" s="253">
        <f t="shared" si="295"/>
        <v>700</v>
      </c>
      <c r="N330" s="253">
        <f t="shared" si="295"/>
        <v>700</v>
      </c>
      <c r="O330" s="254">
        <f t="shared" si="295"/>
        <v>3650</v>
      </c>
      <c r="P330" s="253">
        <f t="shared" si="295"/>
        <v>3650</v>
      </c>
      <c r="Q330" s="253">
        <f t="shared" si="295"/>
        <v>3650</v>
      </c>
      <c r="R330" s="253">
        <f t="shared" si="295"/>
        <v>3650</v>
      </c>
      <c r="S330" s="253">
        <f t="shared" ref="S330:AB340" si="296">INDEX($I$430:$O$430,1,MATCH(S$8,$I$433:$O$433,0))</f>
        <v>3650</v>
      </c>
      <c r="T330" s="253">
        <f t="shared" si="296"/>
        <v>3650</v>
      </c>
      <c r="U330" s="254">
        <f t="shared" si="296"/>
        <v>2400</v>
      </c>
      <c r="V330" s="253">
        <f t="shared" si="296"/>
        <v>2400</v>
      </c>
      <c r="W330" s="253">
        <f t="shared" si="296"/>
        <v>2400</v>
      </c>
      <c r="X330" s="253">
        <f t="shared" si="296"/>
        <v>2400</v>
      </c>
      <c r="Y330" s="253">
        <f t="shared" si="296"/>
        <v>2400</v>
      </c>
      <c r="Z330" s="253">
        <f t="shared" si="296"/>
        <v>2400</v>
      </c>
      <c r="AA330" s="254">
        <f t="shared" si="296"/>
        <v>50</v>
      </c>
      <c r="AB330" s="253">
        <f t="shared" si="296"/>
        <v>50</v>
      </c>
      <c r="AC330" s="253">
        <f t="shared" ref="AC330:AL340" si="297">INDEX($I$430:$O$430,1,MATCH(AC$8,$I$433:$O$433,0))</f>
        <v>50</v>
      </c>
      <c r="AD330" s="253">
        <f t="shared" si="297"/>
        <v>50</v>
      </c>
      <c r="AE330" s="253">
        <f t="shared" si="297"/>
        <v>50</v>
      </c>
      <c r="AF330" s="253">
        <f t="shared" si="297"/>
        <v>50</v>
      </c>
      <c r="AG330" s="254">
        <f t="shared" si="297"/>
        <v>5475</v>
      </c>
      <c r="AH330" s="253">
        <f t="shared" si="297"/>
        <v>5475</v>
      </c>
      <c r="AI330" s="253">
        <f t="shared" si="297"/>
        <v>5475</v>
      </c>
      <c r="AJ330" s="253">
        <f t="shared" si="297"/>
        <v>5475</v>
      </c>
      <c r="AK330" s="253">
        <f t="shared" si="297"/>
        <v>5475</v>
      </c>
      <c r="AL330" s="253">
        <f t="shared" si="297"/>
        <v>5475</v>
      </c>
      <c r="AM330" s="254">
        <f t="shared" ref="AM330:AX340" si="298">INDEX($I$430:$O$430,1,MATCH(AM$8,$I$433:$O$433,0))</f>
        <v>18700</v>
      </c>
      <c r="AN330" s="253">
        <f t="shared" si="298"/>
        <v>18700</v>
      </c>
      <c r="AO330" s="253">
        <f t="shared" si="298"/>
        <v>18700</v>
      </c>
      <c r="AP330" s="253">
        <f t="shared" si="298"/>
        <v>18700</v>
      </c>
      <c r="AQ330" s="253">
        <f t="shared" si="298"/>
        <v>18700</v>
      </c>
      <c r="AR330" s="253">
        <f t="shared" si="298"/>
        <v>18700</v>
      </c>
      <c r="AS330" s="254">
        <f t="shared" si="298"/>
        <v>90400</v>
      </c>
      <c r="AT330" s="253">
        <f t="shared" si="298"/>
        <v>90400</v>
      </c>
      <c r="AU330" s="253">
        <f t="shared" si="298"/>
        <v>90400</v>
      </c>
      <c r="AV330" s="253">
        <f t="shared" si="298"/>
        <v>90400</v>
      </c>
      <c r="AW330" s="253">
        <f t="shared" si="298"/>
        <v>90400</v>
      </c>
      <c r="AX330" s="255">
        <f t="shared" si="298"/>
        <v>90400</v>
      </c>
      <c r="AY330" s="1"/>
      <c r="AZ330" s="1"/>
      <c r="BA330" s="1"/>
      <c r="BB330" s="1"/>
    </row>
    <row r="331" spans="2:80" x14ac:dyDescent="0.25">
      <c r="B331" s="1343"/>
      <c r="D331" s="1355"/>
      <c r="F331" s="265"/>
      <c r="G331" s="209" t="s">
        <v>111</v>
      </c>
      <c r="H331" s="209"/>
      <c r="I331" s="253">
        <f t="shared" si="295"/>
        <v>700</v>
      </c>
      <c r="J331" s="253">
        <f t="shared" si="295"/>
        <v>700</v>
      </c>
      <c r="K331" s="253">
        <f t="shared" si="295"/>
        <v>700</v>
      </c>
      <c r="L331" s="253">
        <f t="shared" si="295"/>
        <v>700</v>
      </c>
      <c r="M331" s="253">
        <f t="shared" si="295"/>
        <v>700</v>
      </c>
      <c r="N331" s="253">
        <f t="shared" si="295"/>
        <v>700</v>
      </c>
      <c r="O331" s="254">
        <f t="shared" si="295"/>
        <v>3650</v>
      </c>
      <c r="P331" s="253">
        <f t="shared" si="295"/>
        <v>3650</v>
      </c>
      <c r="Q331" s="253">
        <f t="shared" si="295"/>
        <v>3650</v>
      </c>
      <c r="R331" s="253">
        <f t="shared" si="295"/>
        <v>3650</v>
      </c>
      <c r="S331" s="253">
        <f t="shared" si="296"/>
        <v>3650</v>
      </c>
      <c r="T331" s="253">
        <f t="shared" si="296"/>
        <v>3650</v>
      </c>
      <c r="U331" s="254">
        <f t="shared" si="296"/>
        <v>2400</v>
      </c>
      <c r="V331" s="253">
        <f t="shared" si="296"/>
        <v>2400</v>
      </c>
      <c r="W331" s="253">
        <f t="shared" si="296"/>
        <v>2400</v>
      </c>
      <c r="X331" s="253">
        <f t="shared" si="296"/>
        <v>2400</v>
      </c>
      <c r="Y331" s="253">
        <f t="shared" si="296"/>
        <v>2400</v>
      </c>
      <c r="Z331" s="253">
        <f t="shared" si="296"/>
        <v>2400</v>
      </c>
      <c r="AA331" s="254">
        <f t="shared" si="296"/>
        <v>50</v>
      </c>
      <c r="AB331" s="253">
        <f t="shared" si="296"/>
        <v>50</v>
      </c>
      <c r="AC331" s="253">
        <f t="shared" si="297"/>
        <v>50</v>
      </c>
      <c r="AD331" s="253">
        <f t="shared" si="297"/>
        <v>50</v>
      </c>
      <c r="AE331" s="253">
        <f t="shared" si="297"/>
        <v>50</v>
      </c>
      <c r="AF331" s="253">
        <f t="shared" si="297"/>
        <v>50</v>
      </c>
      <c r="AG331" s="254">
        <f t="shared" si="297"/>
        <v>5475</v>
      </c>
      <c r="AH331" s="253">
        <f t="shared" si="297"/>
        <v>5475</v>
      </c>
      <c r="AI331" s="253">
        <f t="shared" si="297"/>
        <v>5475</v>
      </c>
      <c r="AJ331" s="253">
        <f t="shared" si="297"/>
        <v>5475</v>
      </c>
      <c r="AK331" s="253">
        <f t="shared" si="297"/>
        <v>5475</v>
      </c>
      <c r="AL331" s="253">
        <f t="shared" si="297"/>
        <v>5475</v>
      </c>
      <c r="AM331" s="254">
        <f t="shared" si="298"/>
        <v>18700</v>
      </c>
      <c r="AN331" s="253">
        <f t="shared" si="298"/>
        <v>18700</v>
      </c>
      <c r="AO331" s="253">
        <f t="shared" si="298"/>
        <v>18700</v>
      </c>
      <c r="AP331" s="253">
        <f t="shared" si="298"/>
        <v>18700</v>
      </c>
      <c r="AQ331" s="253">
        <f t="shared" si="298"/>
        <v>18700</v>
      </c>
      <c r="AR331" s="253">
        <f t="shared" si="298"/>
        <v>18700</v>
      </c>
      <c r="AS331" s="254">
        <f t="shared" si="298"/>
        <v>90400</v>
      </c>
      <c r="AT331" s="253">
        <f t="shared" si="298"/>
        <v>90400</v>
      </c>
      <c r="AU331" s="253">
        <f t="shared" si="298"/>
        <v>90400</v>
      </c>
      <c r="AV331" s="253">
        <f t="shared" si="298"/>
        <v>90400</v>
      </c>
      <c r="AW331" s="253">
        <f t="shared" si="298"/>
        <v>90400</v>
      </c>
      <c r="AX331" s="255">
        <f t="shared" si="298"/>
        <v>90400</v>
      </c>
      <c r="AY331" s="1"/>
      <c r="AZ331" s="1"/>
      <c r="BA331" s="1"/>
      <c r="BB331" s="1"/>
    </row>
    <row r="332" spans="2:80" x14ac:dyDescent="0.25">
      <c r="B332" s="1343"/>
      <c r="D332" s="1355"/>
      <c r="F332" s="265"/>
      <c r="G332" s="209" t="s">
        <v>109</v>
      </c>
      <c r="H332" s="209"/>
      <c r="I332" s="253">
        <f t="shared" si="295"/>
        <v>700</v>
      </c>
      <c r="J332" s="253">
        <f t="shared" si="295"/>
        <v>700</v>
      </c>
      <c r="K332" s="253">
        <f t="shared" si="295"/>
        <v>700</v>
      </c>
      <c r="L332" s="253">
        <f t="shared" si="295"/>
        <v>700</v>
      </c>
      <c r="M332" s="253">
        <f t="shared" si="295"/>
        <v>700</v>
      </c>
      <c r="N332" s="253">
        <f t="shared" si="295"/>
        <v>700</v>
      </c>
      <c r="O332" s="254">
        <f t="shared" si="295"/>
        <v>3650</v>
      </c>
      <c r="P332" s="253">
        <f t="shared" si="295"/>
        <v>3650</v>
      </c>
      <c r="Q332" s="253">
        <f t="shared" si="295"/>
        <v>3650</v>
      </c>
      <c r="R332" s="253">
        <f t="shared" si="295"/>
        <v>3650</v>
      </c>
      <c r="S332" s="253">
        <f t="shared" si="296"/>
        <v>3650</v>
      </c>
      <c r="T332" s="253">
        <f t="shared" si="296"/>
        <v>3650</v>
      </c>
      <c r="U332" s="254">
        <f t="shared" si="296"/>
        <v>2400</v>
      </c>
      <c r="V332" s="253">
        <f t="shared" si="296"/>
        <v>2400</v>
      </c>
      <c r="W332" s="253">
        <f t="shared" si="296"/>
        <v>2400</v>
      </c>
      <c r="X332" s="253">
        <f t="shared" si="296"/>
        <v>2400</v>
      </c>
      <c r="Y332" s="253">
        <f t="shared" si="296"/>
        <v>2400</v>
      </c>
      <c r="Z332" s="253">
        <f t="shared" si="296"/>
        <v>2400</v>
      </c>
      <c r="AA332" s="254">
        <f t="shared" si="296"/>
        <v>50</v>
      </c>
      <c r="AB332" s="253">
        <f t="shared" si="296"/>
        <v>50</v>
      </c>
      <c r="AC332" s="253">
        <f t="shared" si="297"/>
        <v>50</v>
      </c>
      <c r="AD332" s="253">
        <f t="shared" si="297"/>
        <v>50</v>
      </c>
      <c r="AE332" s="253">
        <f t="shared" si="297"/>
        <v>50</v>
      </c>
      <c r="AF332" s="253">
        <f t="shared" si="297"/>
        <v>50</v>
      </c>
      <c r="AG332" s="254">
        <f t="shared" si="297"/>
        <v>5475</v>
      </c>
      <c r="AH332" s="253">
        <f t="shared" si="297"/>
        <v>5475</v>
      </c>
      <c r="AI332" s="253">
        <f t="shared" si="297"/>
        <v>5475</v>
      </c>
      <c r="AJ332" s="253">
        <f t="shared" si="297"/>
        <v>5475</v>
      </c>
      <c r="AK332" s="253">
        <f t="shared" si="297"/>
        <v>5475</v>
      </c>
      <c r="AL332" s="253">
        <f t="shared" si="297"/>
        <v>5475</v>
      </c>
      <c r="AM332" s="254">
        <f t="shared" si="298"/>
        <v>18700</v>
      </c>
      <c r="AN332" s="253">
        <f t="shared" si="298"/>
        <v>18700</v>
      </c>
      <c r="AO332" s="253">
        <f t="shared" si="298"/>
        <v>18700</v>
      </c>
      <c r="AP332" s="253">
        <f t="shared" si="298"/>
        <v>18700</v>
      </c>
      <c r="AQ332" s="253">
        <f t="shared" si="298"/>
        <v>18700</v>
      </c>
      <c r="AR332" s="253">
        <f t="shared" si="298"/>
        <v>18700</v>
      </c>
      <c r="AS332" s="254">
        <f t="shared" si="298"/>
        <v>90400</v>
      </c>
      <c r="AT332" s="253">
        <f t="shared" si="298"/>
        <v>90400</v>
      </c>
      <c r="AU332" s="253">
        <f t="shared" si="298"/>
        <v>90400</v>
      </c>
      <c r="AV332" s="253">
        <f t="shared" si="298"/>
        <v>90400</v>
      </c>
      <c r="AW332" s="253">
        <f t="shared" si="298"/>
        <v>90400</v>
      </c>
      <c r="AX332" s="255">
        <f t="shared" si="298"/>
        <v>90400</v>
      </c>
      <c r="AY332" s="1"/>
      <c r="AZ332" s="1"/>
      <c r="BA332" s="1"/>
      <c r="BB332" s="1"/>
    </row>
    <row r="333" spans="2:80" x14ac:dyDescent="0.25">
      <c r="B333" s="1343"/>
      <c r="D333" s="1355"/>
      <c r="F333" s="265"/>
      <c r="G333" s="209" t="s">
        <v>99</v>
      </c>
      <c r="H333" s="209"/>
      <c r="I333" s="253">
        <f t="shared" si="295"/>
        <v>700</v>
      </c>
      <c r="J333" s="253">
        <f t="shared" si="295"/>
        <v>700</v>
      </c>
      <c r="K333" s="253">
        <f t="shared" si="295"/>
        <v>700</v>
      </c>
      <c r="L333" s="253">
        <f t="shared" si="295"/>
        <v>700</v>
      </c>
      <c r="M333" s="253">
        <f t="shared" si="295"/>
        <v>700</v>
      </c>
      <c r="N333" s="253">
        <f t="shared" si="295"/>
        <v>700</v>
      </c>
      <c r="O333" s="254">
        <f t="shared" si="295"/>
        <v>3650</v>
      </c>
      <c r="P333" s="253">
        <f t="shared" si="295"/>
        <v>3650</v>
      </c>
      <c r="Q333" s="253">
        <f t="shared" si="295"/>
        <v>3650</v>
      </c>
      <c r="R333" s="253">
        <f t="shared" si="295"/>
        <v>3650</v>
      </c>
      <c r="S333" s="253">
        <f t="shared" si="296"/>
        <v>3650</v>
      </c>
      <c r="T333" s="253">
        <f t="shared" si="296"/>
        <v>3650</v>
      </c>
      <c r="U333" s="254">
        <f t="shared" si="296"/>
        <v>2400</v>
      </c>
      <c r="V333" s="253">
        <f t="shared" si="296"/>
        <v>2400</v>
      </c>
      <c r="W333" s="253">
        <f t="shared" si="296"/>
        <v>2400</v>
      </c>
      <c r="X333" s="253">
        <f t="shared" si="296"/>
        <v>2400</v>
      </c>
      <c r="Y333" s="253">
        <f t="shared" si="296"/>
        <v>2400</v>
      </c>
      <c r="Z333" s="253">
        <f t="shared" si="296"/>
        <v>2400</v>
      </c>
      <c r="AA333" s="254">
        <f t="shared" si="296"/>
        <v>50</v>
      </c>
      <c r="AB333" s="253">
        <f t="shared" si="296"/>
        <v>50</v>
      </c>
      <c r="AC333" s="253">
        <f t="shared" si="297"/>
        <v>50</v>
      </c>
      <c r="AD333" s="253">
        <f t="shared" si="297"/>
        <v>50</v>
      </c>
      <c r="AE333" s="253">
        <f t="shared" si="297"/>
        <v>50</v>
      </c>
      <c r="AF333" s="253">
        <f t="shared" si="297"/>
        <v>50</v>
      </c>
      <c r="AG333" s="254">
        <f t="shared" si="297"/>
        <v>5475</v>
      </c>
      <c r="AH333" s="253">
        <f t="shared" si="297"/>
        <v>5475</v>
      </c>
      <c r="AI333" s="253">
        <f t="shared" si="297"/>
        <v>5475</v>
      </c>
      <c r="AJ333" s="253">
        <f t="shared" si="297"/>
        <v>5475</v>
      </c>
      <c r="AK333" s="253">
        <f t="shared" si="297"/>
        <v>5475</v>
      </c>
      <c r="AL333" s="253">
        <f t="shared" si="297"/>
        <v>5475</v>
      </c>
      <c r="AM333" s="254">
        <f t="shared" si="298"/>
        <v>18700</v>
      </c>
      <c r="AN333" s="253">
        <f t="shared" si="298"/>
        <v>18700</v>
      </c>
      <c r="AO333" s="253">
        <f t="shared" si="298"/>
        <v>18700</v>
      </c>
      <c r="AP333" s="253">
        <f t="shared" si="298"/>
        <v>18700</v>
      </c>
      <c r="AQ333" s="253">
        <f t="shared" si="298"/>
        <v>18700</v>
      </c>
      <c r="AR333" s="253">
        <f t="shared" si="298"/>
        <v>18700</v>
      </c>
      <c r="AS333" s="254">
        <f t="shared" si="298"/>
        <v>90400</v>
      </c>
      <c r="AT333" s="253">
        <f t="shared" si="298"/>
        <v>90400</v>
      </c>
      <c r="AU333" s="253">
        <f t="shared" si="298"/>
        <v>90400</v>
      </c>
      <c r="AV333" s="253">
        <f t="shared" si="298"/>
        <v>90400</v>
      </c>
      <c r="AW333" s="253">
        <f t="shared" si="298"/>
        <v>90400</v>
      </c>
      <c r="AX333" s="255">
        <f t="shared" si="298"/>
        <v>90400</v>
      </c>
      <c r="AY333" s="1"/>
      <c r="AZ333" s="1"/>
      <c r="BA333" s="1"/>
      <c r="BB333" s="1"/>
    </row>
    <row r="334" spans="2:80" x14ac:dyDescent="0.25">
      <c r="B334" s="1343"/>
      <c r="D334" s="1355"/>
      <c r="F334" s="265"/>
      <c r="G334" s="209" t="s">
        <v>106</v>
      </c>
      <c r="H334" s="209"/>
      <c r="I334" s="253">
        <f t="shared" si="295"/>
        <v>700</v>
      </c>
      <c r="J334" s="253">
        <f t="shared" si="295"/>
        <v>700</v>
      </c>
      <c r="K334" s="253">
        <f t="shared" si="295"/>
        <v>700</v>
      </c>
      <c r="L334" s="253">
        <f t="shared" si="295"/>
        <v>700</v>
      </c>
      <c r="M334" s="253">
        <f t="shared" si="295"/>
        <v>700</v>
      </c>
      <c r="N334" s="253">
        <f t="shared" si="295"/>
        <v>700</v>
      </c>
      <c r="O334" s="254">
        <f t="shared" si="295"/>
        <v>3650</v>
      </c>
      <c r="P334" s="253">
        <f t="shared" si="295"/>
        <v>3650</v>
      </c>
      <c r="Q334" s="253">
        <f t="shared" si="295"/>
        <v>3650</v>
      </c>
      <c r="R334" s="253">
        <f t="shared" si="295"/>
        <v>3650</v>
      </c>
      <c r="S334" s="253">
        <f t="shared" si="296"/>
        <v>3650</v>
      </c>
      <c r="T334" s="253">
        <f t="shared" si="296"/>
        <v>3650</v>
      </c>
      <c r="U334" s="254">
        <f t="shared" si="296"/>
        <v>2400</v>
      </c>
      <c r="V334" s="253">
        <f t="shared" si="296"/>
        <v>2400</v>
      </c>
      <c r="W334" s="253">
        <f t="shared" si="296"/>
        <v>2400</v>
      </c>
      <c r="X334" s="253">
        <f t="shared" si="296"/>
        <v>2400</v>
      </c>
      <c r="Y334" s="253">
        <f t="shared" si="296"/>
        <v>2400</v>
      </c>
      <c r="Z334" s="253">
        <f t="shared" si="296"/>
        <v>2400</v>
      </c>
      <c r="AA334" s="254">
        <f t="shared" si="296"/>
        <v>50</v>
      </c>
      <c r="AB334" s="253">
        <f t="shared" si="296"/>
        <v>50</v>
      </c>
      <c r="AC334" s="253">
        <f t="shared" si="297"/>
        <v>50</v>
      </c>
      <c r="AD334" s="253">
        <f t="shared" si="297"/>
        <v>50</v>
      </c>
      <c r="AE334" s="253">
        <f t="shared" si="297"/>
        <v>50</v>
      </c>
      <c r="AF334" s="253">
        <f t="shared" si="297"/>
        <v>50</v>
      </c>
      <c r="AG334" s="254">
        <f t="shared" si="297"/>
        <v>5475</v>
      </c>
      <c r="AH334" s="253">
        <f t="shared" si="297"/>
        <v>5475</v>
      </c>
      <c r="AI334" s="253">
        <f t="shared" si="297"/>
        <v>5475</v>
      </c>
      <c r="AJ334" s="253">
        <f t="shared" si="297"/>
        <v>5475</v>
      </c>
      <c r="AK334" s="253">
        <f t="shared" si="297"/>
        <v>5475</v>
      </c>
      <c r="AL334" s="253">
        <f t="shared" si="297"/>
        <v>5475</v>
      </c>
      <c r="AM334" s="254">
        <f t="shared" si="298"/>
        <v>18700</v>
      </c>
      <c r="AN334" s="253">
        <f t="shared" si="298"/>
        <v>18700</v>
      </c>
      <c r="AO334" s="253">
        <f t="shared" si="298"/>
        <v>18700</v>
      </c>
      <c r="AP334" s="253">
        <f t="shared" si="298"/>
        <v>18700</v>
      </c>
      <c r="AQ334" s="253">
        <f t="shared" si="298"/>
        <v>18700</v>
      </c>
      <c r="AR334" s="253">
        <f t="shared" si="298"/>
        <v>18700</v>
      </c>
      <c r="AS334" s="254">
        <f t="shared" si="298"/>
        <v>90400</v>
      </c>
      <c r="AT334" s="253">
        <f t="shared" si="298"/>
        <v>90400</v>
      </c>
      <c r="AU334" s="253">
        <f t="shared" si="298"/>
        <v>90400</v>
      </c>
      <c r="AV334" s="253">
        <f t="shared" si="298"/>
        <v>90400</v>
      </c>
      <c r="AW334" s="253">
        <f t="shared" si="298"/>
        <v>90400</v>
      </c>
      <c r="AX334" s="255">
        <f t="shared" si="298"/>
        <v>90400</v>
      </c>
      <c r="AY334" s="1"/>
      <c r="AZ334" s="1"/>
      <c r="BA334" s="1"/>
      <c r="BB334" s="1"/>
    </row>
    <row r="335" spans="2:80" x14ac:dyDescent="0.25">
      <c r="B335" s="1343"/>
      <c r="D335" s="1355"/>
      <c r="F335" s="265"/>
      <c r="G335" s="209" t="s">
        <v>112</v>
      </c>
      <c r="H335" s="209"/>
      <c r="I335" s="253">
        <f t="shared" si="295"/>
        <v>700</v>
      </c>
      <c r="J335" s="253">
        <f t="shared" si="295"/>
        <v>700</v>
      </c>
      <c r="K335" s="253">
        <f t="shared" si="295"/>
        <v>700</v>
      </c>
      <c r="L335" s="253">
        <f t="shared" si="295"/>
        <v>700</v>
      </c>
      <c r="M335" s="253">
        <f t="shared" si="295"/>
        <v>700</v>
      </c>
      <c r="N335" s="253">
        <f t="shared" si="295"/>
        <v>700</v>
      </c>
      <c r="O335" s="254">
        <f t="shared" si="295"/>
        <v>3650</v>
      </c>
      <c r="P335" s="253">
        <f t="shared" si="295"/>
        <v>3650</v>
      </c>
      <c r="Q335" s="253">
        <f t="shared" si="295"/>
        <v>3650</v>
      </c>
      <c r="R335" s="253">
        <f t="shared" si="295"/>
        <v>3650</v>
      </c>
      <c r="S335" s="253">
        <f t="shared" si="296"/>
        <v>3650</v>
      </c>
      <c r="T335" s="253">
        <f t="shared" si="296"/>
        <v>3650</v>
      </c>
      <c r="U335" s="254">
        <f t="shared" si="296"/>
        <v>2400</v>
      </c>
      <c r="V335" s="253">
        <f t="shared" si="296"/>
        <v>2400</v>
      </c>
      <c r="W335" s="253">
        <f t="shared" si="296"/>
        <v>2400</v>
      </c>
      <c r="X335" s="253">
        <f t="shared" si="296"/>
        <v>2400</v>
      </c>
      <c r="Y335" s="253">
        <f t="shared" si="296"/>
        <v>2400</v>
      </c>
      <c r="Z335" s="253">
        <f t="shared" si="296"/>
        <v>2400</v>
      </c>
      <c r="AA335" s="254">
        <f t="shared" si="296"/>
        <v>50</v>
      </c>
      <c r="AB335" s="253">
        <f t="shared" si="296"/>
        <v>50</v>
      </c>
      <c r="AC335" s="253">
        <f t="shared" si="297"/>
        <v>50</v>
      </c>
      <c r="AD335" s="253">
        <f t="shared" si="297"/>
        <v>50</v>
      </c>
      <c r="AE335" s="253">
        <f t="shared" si="297"/>
        <v>50</v>
      </c>
      <c r="AF335" s="253">
        <f t="shared" si="297"/>
        <v>50</v>
      </c>
      <c r="AG335" s="254">
        <f t="shared" si="297"/>
        <v>5475</v>
      </c>
      <c r="AH335" s="253">
        <f t="shared" si="297"/>
        <v>5475</v>
      </c>
      <c r="AI335" s="253">
        <f t="shared" si="297"/>
        <v>5475</v>
      </c>
      <c r="AJ335" s="253">
        <f t="shared" si="297"/>
        <v>5475</v>
      </c>
      <c r="AK335" s="253">
        <f t="shared" si="297"/>
        <v>5475</v>
      </c>
      <c r="AL335" s="253">
        <f t="shared" si="297"/>
        <v>5475</v>
      </c>
      <c r="AM335" s="254">
        <f t="shared" si="298"/>
        <v>18700</v>
      </c>
      <c r="AN335" s="253">
        <f t="shared" si="298"/>
        <v>18700</v>
      </c>
      <c r="AO335" s="253">
        <f t="shared" si="298"/>
        <v>18700</v>
      </c>
      <c r="AP335" s="253">
        <f t="shared" si="298"/>
        <v>18700</v>
      </c>
      <c r="AQ335" s="253">
        <f t="shared" si="298"/>
        <v>18700</v>
      </c>
      <c r="AR335" s="253">
        <f t="shared" si="298"/>
        <v>18700</v>
      </c>
      <c r="AS335" s="254">
        <f t="shared" si="298"/>
        <v>90400</v>
      </c>
      <c r="AT335" s="253">
        <f t="shared" si="298"/>
        <v>90400</v>
      </c>
      <c r="AU335" s="253">
        <f t="shared" si="298"/>
        <v>90400</v>
      </c>
      <c r="AV335" s="253">
        <f t="shared" si="298"/>
        <v>90400</v>
      </c>
      <c r="AW335" s="253">
        <f t="shared" si="298"/>
        <v>90400</v>
      </c>
      <c r="AX335" s="255">
        <f t="shared" si="298"/>
        <v>90400</v>
      </c>
      <c r="AY335" s="1"/>
      <c r="AZ335" s="1"/>
      <c r="BA335" s="1"/>
      <c r="BB335" s="1"/>
    </row>
    <row r="336" spans="2:80" x14ac:dyDescent="0.25">
      <c r="B336" s="1343"/>
      <c r="D336" s="1355"/>
      <c r="F336" s="270"/>
      <c r="G336" s="209" t="s">
        <v>110</v>
      </c>
      <c r="H336" s="209"/>
      <c r="I336" s="253">
        <f t="shared" si="295"/>
        <v>700</v>
      </c>
      <c r="J336" s="253">
        <f t="shared" si="295"/>
        <v>700</v>
      </c>
      <c r="K336" s="253">
        <f t="shared" si="295"/>
        <v>700</v>
      </c>
      <c r="L336" s="253">
        <f t="shared" si="295"/>
        <v>700</v>
      </c>
      <c r="M336" s="253">
        <f t="shared" si="295"/>
        <v>700</v>
      </c>
      <c r="N336" s="253">
        <f t="shared" si="295"/>
        <v>700</v>
      </c>
      <c r="O336" s="254">
        <f t="shared" si="295"/>
        <v>3650</v>
      </c>
      <c r="P336" s="253">
        <f t="shared" si="295"/>
        <v>3650</v>
      </c>
      <c r="Q336" s="253">
        <f t="shared" si="295"/>
        <v>3650</v>
      </c>
      <c r="R336" s="253">
        <f t="shared" si="295"/>
        <v>3650</v>
      </c>
      <c r="S336" s="253">
        <f t="shared" si="296"/>
        <v>3650</v>
      </c>
      <c r="T336" s="253">
        <f t="shared" si="296"/>
        <v>3650</v>
      </c>
      <c r="U336" s="254">
        <f t="shared" si="296"/>
        <v>2400</v>
      </c>
      <c r="V336" s="253">
        <f t="shared" si="296"/>
        <v>2400</v>
      </c>
      <c r="W336" s="253">
        <f t="shared" si="296"/>
        <v>2400</v>
      </c>
      <c r="X336" s="253">
        <f t="shared" si="296"/>
        <v>2400</v>
      </c>
      <c r="Y336" s="253">
        <f t="shared" si="296"/>
        <v>2400</v>
      </c>
      <c r="Z336" s="253">
        <f t="shared" si="296"/>
        <v>2400</v>
      </c>
      <c r="AA336" s="254">
        <f t="shared" si="296"/>
        <v>50</v>
      </c>
      <c r="AB336" s="253">
        <f t="shared" si="296"/>
        <v>50</v>
      </c>
      <c r="AC336" s="253">
        <f t="shared" si="297"/>
        <v>50</v>
      </c>
      <c r="AD336" s="253">
        <f t="shared" si="297"/>
        <v>50</v>
      </c>
      <c r="AE336" s="253">
        <f t="shared" si="297"/>
        <v>50</v>
      </c>
      <c r="AF336" s="253">
        <f t="shared" si="297"/>
        <v>50</v>
      </c>
      <c r="AG336" s="254">
        <f t="shared" si="297"/>
        <v>5475</v>
      </c>
      <c r="AH336" s="253">
        <f t="shared" si="297"/>
        <v>5475</v>
      </c>
      <c r="AI336" s="253">
        <f t="shared" si="297"/>
        <v>5475</v>
      </c>
      <c r="AJ336" s="253">
        <f t="shared" si="297"/>
        <v>5475</v>
      </c>
      <c r="AK336" s="253">
        <f t="shared" si="297"/>
        <v>5475</v>
      </c>
      <c r="AL336" s="253">
        <f t="shared" si="297"/>
        <v>5475</v>
      </c>
      <c r="AM336" s="254">
        <f t="shared" si="298"/>
        <v>18700</v>
      </c>
      <c r="AN336" s="253">
        <f t="shared" si="298"/>
        <v>18700</v>
      </c>
      <c r="AO336" s="253">
        <f t="shared" si="298"/>
        <v>18700</v>
      </c>
      <c r="AP336" s="253">
        <f t="shared" si="298"/>
        <v>18700</v>
      </c>
      <c r="AQ336" s="253">
        <f t="shared" si="298"/>
        <v>18700</v>
      </c>
      <c r="AR336" s="253">
        <f t="shared" si="298"/>
        <v>18700</v>
      </c>
      <c r="AS336" s="254">
        <f t="shared" si="298"/>
        <v>90400</v>
      </c>
      <c r="AT336" s="253">
        <f t="shared" si="298"/>
        <v>90400</v>
      </c>
      <c r="AU336" s="253">
        <f t="shared" si="298"/>
        <v>90400</v>
      </c>
      <c r="AV336" s="253">
        <f t="shared" si="298"/>
        <v>90400</v>
      </c>
      <c r="AW336" s="253">
        <f t="shared" si="298"/>
        <v>90400</v>
      </c>
      <c r="AX336" s="255">
        <f t="shared" si="298"/>
        <v>90400</v>
      </c>
      <c r="AY336" s="1"/>
      <c r="AZ336" s="1"/>
      <c r="BA336" s="1"/>
      <c r="BB336" s="1"/>
    </row>
    <row r="337" spans="2:58" x14ac:dyDescent="0.25">
      <c r="B337" s="1343"/>
      <c r="D337" s="1355"/>
      <c r="F337" s="270"/>
      <c r="G337" s="209" t="s">
        <v>100</v>
      </c>
      <c r="H337" s="209"/>
      <c r="I337" s="253">
        <f t="shared" si="295"/>
        <v>700</v>
      </c>
      <c r="J337" s="253">
        <f t="shared" si="295"/>
        <v>700</v>
      </c>
      <c r="K337" s="253">
        <f t="shared" si="295"/>
        <v>700</v>
      </c>
      <c r="L337" s="253">
        <f t="shared" si="295"/>
        <v>700</v>
      </c>
      <c r="M337" s="253">
        <f t="shared" si="295"/>
        <v>700</v>
      </c>
      <c r="N337" s="253">
        <f t="shared" si="295"/>
        <v>700</v>
      </c>
      <c r="O337" s="254">
        <f t="shared" si="295"/>
        <v>3650</v>
      </c>
      <c r="P337" s="253">
        <f t="shared" si="295"/>
        <v>3650</v>
      </c>
      <c r="Q337" s="253">
        <f t="shared" si="295"/>
        <v>3650</v>
      </c>
      <c r="R337" s="253">
        <f t="shared" si="295"/>
        <v>3650</v>
      </c>
      <c r="S337" s="253">
        <f t="shared" si="296"/>
        <v>3650</v>
      </c>
      <c r="T337" s="253">
        <f t="shared" si="296"/>
        <v>3650</v>
      </c>
      <c r="U337" s="254">
        <f t="shared" si="296"/>
        <v>2400</v>
      </c>
      <c r="V337" s="253">
        <f t="shared" si="296"/>
        <v>2400</v>
      </c>
      <c r="W337" s="253">
        <f t="shared" si="296"/>
        <v>2400</v>
      </c>
      <c r="X337" s="253">
        <f t="shared" si="296"/>
        <v>2400</v>
      </c>
      <c r="Y337" s="253">
        <f t="shared" si="296"/>
        <v>2400</v>
      </c>
      <c r="Z337" s="253">
        <f t="shared" si="296"/>
        <v>2400</v>
      </c>
      <c r="AA337" s="254">
        <f t="shared" si="296"/>
        <v>50</v>
      </c>
      <c r="AB337" s="253">
        <f t="shared" si="296"/>
        <v>50</v>
      </c>
      <c r="AC337" s="253">
        <f t="shared" si="297"/>
        <v>50</v>
      </c>
      <c r="AD337" s="253">
        <f t="shared" si="297"/>
        <v>50</v>
      </c>
      <c r="AE337" s="253">
        <f t="shared" si="297"/>
        <v>50</v>
      </c>
      <c r="AF337" s="253">
        <f t="shared" si="297"/>
        <v>50</v>
      </c>
      <c r="AG337" s="254">
        <f t="shared" si="297"/>
        <v>5475</v>
      </c>
      <c r="AH337" s="253">
        <f t="shared" si="297"/>
        <v>5475</v>
      </c>
      <c r="AI337" s="253">
        <f t="shared" si="297"/>
        <v>5475</v>
      </c>
      <c r="AJ337" s="253">
        <f t="shared" si="297"/>
        <v>5475</v>
      </c>
      <c r="AK337" s="253">
        <f t="shared" si="297"/>
        <v>5475</v>
      </c>
      <c r="AL337" s="253">
        <f t="shared" si="297"/>
        <v>5475</v>
      </c>
      <c r="AM337" s="254">
        <f t="shared" si="298"/>
        <v>18700</v>
      </c>
      <c r="AN337" s="253">
        <f t="shared" si="298"/>
        <v>18700</v>
      </c>
      <c r="AO337" s="253">
        <f t="shared" si="298"/>
        <v>18700</v>
      </c>
      <c r="AP337" s="253">
        <f t="shared" si="298"/>
        <v>18700</v>
      </c>
      <c r="AQ337" s="253">
        <f t="shared" si="298"/>
        <v>18700</v>
      </c>
      <c r="AR337" s="253">
        <f t="shared" si="298"/>
        <v>18700</v>
      </c>
      <c r="AS337" s="254">
        <f t="shared" si="298"/>
        <v>90400</v>
      </c>
      <c r="AT337" s="253">
        <f t="shared" si="298"/>
        <v>90400</v>
      </c>
      <c r="AU337" s="253">
        <f t="shared" si="298"/>
        <v>90400</v>
      </c>
      <c r="AV337" s="253">
        <f t="shared" si="298"/>
        <v>90400</v>
      </c>
      <c r="AW337" s="253">
        <f t="shared" si="298"/>
        <v>90400</v>
      </c>
      <c r="AX337" s="255">
        <f t="shared" si="298"/>
        <v>90400</v>
      </c>
      <c r="AY337" s="1"/>
      <c r="AZ337" s="1"/>
      <c r="BA337" s="1"/>
      <c r="BB337" s="1"/>
    </row>
    <row r="338" spans="2:58" x14ac:dyDescent="0.25">
      <c r="B338" s="1343"/>
      <c r="D338" s="1355"/>
      <c r="F338" s="270"/>
      <c r="G338" s="256" t="s">
        <v>101</v>
      </c>
      <c r="H338" s="209"/>
      <c r="I338" s="257">
        <f t="shared" si="295"/>
        <v>700</v>
      </c>
      <c r="J338" s="257">
        <f t="shared" si="295"/>
        <v>700</v>
      </c>
      <c r="K338" s="257">
        <f t="shared" si="295"/>
        <v>700</v>
      </c>
      <c r="L338" s="257">
        <f t="shared" si="295"/>
        <v>700</v>
      </c>
      <c r="M338" s="257">
        <f t="shared" si="295"/>
        <v>700</v>
      </c>
      <c r="N338" s="257">
        <f t="shared" si="295"/>
        <v>700</v>
      </c>
      <c r="O338" s="258">
        <f t="shared" si="295"/>
        <v>3650</v>
      </c>
      <c r="P338" s="257">
        <f t="shared" si="295"/>
        <v>3650</v>
      </c>
      <c r="Q338" s="257">
        <f t="shared" si="295"/>
        <v>3650</v>
      </c>
      <c r="R338" s="257">
        <f t="shared" si="295"/>
        <v>3650</v>
      </c>
      <c r="S338" s="257">
        <f t="shared" si="296"/>
        <v>3650</v>
      </c>
      <c r="T338" s="257">
        <f t="shared" si="296"/>
        <v>3650</v>
      </c>
      <c r="U338" s="258">
        <f t="shared" si="296"/>
        <v>2400</v>
      </c>
      <c r="V338" s="257">
        <f t="shared" si="296"/>
        <v>2400</v>
      </c>
      <c r="W338" s="257">
        <f t="shared" si="296"/>
        <v>2400</v>
      </c>
      <c r="X338" s="257">
        <f t="shared" si="296"/>
        <v>2400</v>
      </c>
      <c r="Y338" s="257">
        <f t="shared" si="296"/>
        <v>2400</v>
      </c>
      <c r="Z338" s="257">
        <f t="shared" si="296"/>
        <v>2400</v>
      </c>
      <c r="AA338" s="258">
        <f t="shared" si="296"/>
        <v>50</v>
      </c>
      <c r="AB338" s="257">
        <f t="shared" si="296"/>
        <v>50</v>
      </c>
      <c r="AC338" s="257">
        <f t="shared" si="297"/>
        <v>50</v>
      </c>
      <c r="AD338" s="257">
        <f t="shared" si="297"/>
        <v>50</v>
      </c>
      <c r="AE338" s="257">
        <f t="shared" si="297"/>
        <v>50</v>
      </c>
      <c r="AF338" s="257">
        <f t="shared" si="297"/>
        <v>50</v>
      </c>
      <c r="AG338" s="258">
        <f t="shared" si="297"/>
        <v>5475</v>
      </c>
      <c r="AH338" s="257">
        <f t="shared" si="297"/>
        <v>5475</v>
      </c>
      <c r="AI338" s="257">
        <f t="shared" si="297"/>
        <v>5475</v>
      </c>
      <c r="AJ338" s="257">
        <f t="shared" si="297"/>
        <v>5475</v>
      </c>
      <c r="AK338" s="257">
        <f t="shared" si="297"/>
        <v>5475</v>
      </c>
      <c r="AL338" s="257">
        <f t="shared" si="297"/>
        <v>5475</v>
      </c>
      <c r="AM338" s="258">
        <f t="shared" si="298"/>
        <v>18700</v>
      </c>
      <c r="AN338" s="257">
        <f t="shared" si="298"/>
        <v>18700</v>
      </c>
      <c r="AO338" s="257">
        <f t="shared" si="298"/>
        <v>18700</v>
      </c>
      <c r="AP338" s="257">
        <f t="shared" si="298"/>
        <v>18700</v>
      </c>
      <c r="AQ338" s="257">
        <f t="shared" si="298"/>
        <v>18700</v>
      </c>
      <c r="AR338" s="257">
        <f t="shared" si="298"/>
        <v>18700</v>
      </c>
      <c r="AS338" s="258">
        <f t="shared" si="298"/>
        <v>90400</v>
      </c>
      <c r="AT338" s="257">
        <f t="shared" si="298"/>
        <v>90400</v>
      </c>
      <c r="AU338" s="257">
        <f t="shared" si="298"/>
        <v>90400</v>
      </c>
      <c r="AV338" s="257">
        <f t="shared" si="298"/>
        <v>90400</v>
      </c>
      <c r="AW338" s="257">
        <f t="shared" si="298"/>
        <v>90400</v>
      </c>
      <c r="AX338" s="259">
        <f t="shared" si="298"/>
        <v>90400</v>
      </c>
      <c r="AY338" s="1"/>
      <c r="AZ338" s="1"/>
      <c r="BA338" s="1"/>
      <c r="BB338" s="1"/>
    </row>
    <row r="339" spans="2:58" x14ac:dyDescent="0.25">
      <c r="B339" s="1343"/>
      <c r="D339" s="1355"/>
      <c r="F339" s="265"/>
      <c r="G339" s="209" t="s">
        <v>630</v>
      </c>
      <c r="H339" s="209"/>
      <c r="I339" s="253">
        <f t="shared" si="295"/>
        <v>700</v>
      </c>
      <c r="J339" s="253">
        <f t="shared" si="295"/>
        <v>700</v>
      </c>
      <c r="K339" s="253">
        <f t="shared" si="295"/>
        <v>700</v>
      </c>
      <c r="L339" s="253">
        <f t="shared" si="295"/>
        <v>700</v>
      </c>
      <c r="M339" s="253">
        <f t="shared" si="295"/>
        <v>700</v>
      </c>
      <c r="N339" s="253">
        <f t="shared" si="295"/>
        <v>700</v>
      </c>
      <c r="O339" s="254">
        <f t="shared" si="295"/>
        <v>3650</v>
      </c>
      <c r="P339" s="253">
        <f t="shared" si="295"/>
        <v>3650</v>
      </c>
      <c r="Q339" s="253">
        <f t="shared" si="295"/>
        <v>3650</v>
      </c>
      <c r="R339" s="253">
        <f t="shared" si="295"/>
        <v>3650</v>
      </c>
      <c r="S339" s="253">
        <f t="shared" si="296"/>
        <v>3650</v>
      </c>
      <c r="T339" s="253">
        <f t="shared" si="296"/>
        <v>3650</v>
      </c>
      <c r="U339" s="254">
        <f t="shared" si="296"/>
        <v>2400</v>
      </c>
      <c r="V339" s="253">
        <f t="shared" si="296"/>
        <v>2400</v>
      </c>
      <c r="W339" s="253">
        <f t="shared" si="296"/>
        <v>2400</v>
      </c>
      <c r="X339" s="253">
        <f t="shared" si="296"/>
        <v>2400</v>
      </c>
      <c r="Y339" s="253">
        <f t="shared" si="296"/>
        <v>2400</v>
      </c>
      <c r="Z339" s="253">
        <f t="shared" si="296"/>
        <v>2400</v>
      </c>
      <c r="AA339" s="254">
        <f t="shared" si="296"/>
        <v>50</v>
      </c>
      <c r="AB339" s="253">
        <f t="shared" si="296"/>
        <v>50</v>
      </c>
      <c r="AC339" s="253">
        <f t="shared" si="297"/>
        <v>50</v>
      </c>
      <c r="AD339" s="253">
        <f t="shared" si="297"/>
        <v>50</v>
      </c>
      <c r="AE339" s="253">
        <f t="shared" si="297"/>
        <v>50</v>
      </c>
      <c r="AF339" s="253">
        <f t="shared" si="297"/>
        <v>50</v>
      </c>
      <c r="AG339" s="254">
        <f t="shared" si="297"/>
        <v>5475</v>
      </c>
      <c r="AH339" s="253">
        <f t="shared" si="297"/>
        <v>5475</v>
      </c>
      <c r="AI339" s="253">
        <f t="shared" si="297"/>
        <v>5475</v>
      </c>
      <c r="AJ339" s="253">
        <f t="shared" si="297"/>
        <v>5475</v>
      </c>
      <c r="AK339" s="253">
        <f t="shared" si="297"/>
        <v>5475</v>
      </c>
      <c r="AL339" s="253">
        <f t="shared" si="297"/>
        <v>5475</v>
      </c>
      <c r="AM339" s="254">
        <f t="shared" si="298"/>
        <v>18700</v>
      </c>
      <c r="AN339" s="253">
        <f t="shared" si="298"/>
        <v>18700</v>
      </c>
      <c r="AO339" s="253">
        <f t="shared" si="298"/>
        <v>18700</v>
      </c>
      <c r="AP339" s="253">
        <f t="shared" si="298"/>
        <v>18700</v>
      </c>
      <c r="AQ339" s="253">
        <f t="shared" si="298"/>
        <v>18700</v>
      </c>
      <c r="AR339" s="253">
        <f t="shared" si="298"/>
        <v>18700</v>
      </c>
      <c r="AS339" s="254">
        <f t="shared" si="298"/>
        <v>90400</v>
      </c>
      <c r="AT339" s="253">
        <f t="shared" si="298"/>
        <v>90400</v>
      </c>
      <c r="AU339" s="253">
        <f t="shared" si="298"/>
        <v>90400</v>
      </c>
      <c r="AV339" s="253">
        <f t="shared" si="298"/>
        <v>90400</v>
      </c>
      <c r="AW339" s="253">
        <f t="shared" si="298"/>
        <v>90400</v>
      </c>
      <c r="AX339" s="255">
        <f t="shared" si="298"/>
        <v>90400</v>
      </c>
      <c r="AY339" s="1"/>
      <c r="AZ339" s="1"/>
      <c r="BA339" s="1"/>
      <c r="BB339" s="1"/>
    </row>
    <row r="340" spans="2:58" x14ac:dyDescent="0.25">
      <c r="B340" s="1343"/>
      <c r="D340" s="1355"/>
      <c r="F340" s="268"/>
      <c r="G340" s="211" t="s">
        <v>631</v>
      </c>
      <c r="H340" s="209"/>
      <c r="I340" s="260">
        <f t="shared" si="295"/>
        <v>700</v>
      </c>
      <c r="J340" s="260">
        <f t="shared" si="295"/>
        <v>700</v>
      </c>
      <c r="K340" s="260">
        <f t="shared" si="295"/>
        <v>700</v>
      </c>
      <c r="L340" s="260">
        <f t="shared" si="295"/>
        <v>700</v>
      </c>
      <c r="M340" s="260">
        <f t="shared" si="295"/>
        <v>700</v>
      </c>
      <c r="N340" s="260">
        <f t="shared" si="295"/>
        <v>700</v>
      </c>
      <c r="O340" s="261">
        <f t="shared" si="295"/>
        <v>3650</v>
      </c>
      <c r="P340" s="260">
        <f t="shared" si="295"/>
        <v>3650</v>
      </c>
      <c r="Q340" s="260">
        <f t="shared" si="295"/>
        <v>3650</v>
      </c>
      <c r="R340" s="260">
        <f t="shared" si="295"/>
        <v>3650</v>
      </c>
      <c r="S340" s="260">
        <f t="shared" si="296"/>
        <v>3650</v>
      </c>
      <c r="T340" s="260">
        <f t="shared" si="296"/>
        <v>3650</v>
      </c>
      <c r="U340" s="261">
        <f t="shared" si="296"/>
        <v>2400</v>
      </c>
      <c r="V340" s="260">
        <f t="shared" si="296"/>
        <v>2400</v>
      </c>
      <c r="W340" s="260">
        <f t="shared" si="296"/>
        <v>2400</v>
      </c>
      <c r="X340" s="260">
        <f t="shared" si="296"/>
        <v>2400</v>
      </c>
      <c r="Y340" s="260">
        <f t="shared" si="296"/>
        <v>2400</v>
      </c>
      <c r="Z340" s="260">
        <f t="shared" si="296"/>
        <v>2400</v>
      </c>
      <c r="AA340" s="261">
        <f t="shared" si="296"/>
        <v>50</v>
      </c>
      <c r="AB340" s="260">
        <f t="shared" si="296"/>
        <v>50</v>
      </c>
      <c r="AC340" s="260">
        <f t="shared" si="297"/>
        <v>50</v>
      </c>
      <c r="AD340" s="260">
        <f t="shared" si="297"/>
        <v>50</v>
      </c>
      <c r="AE340" s="260">
        <f t="shared" si="297"/>
        <v>50</v>
      </c>
      <c r="AF340" s="260">
        <f t="shared" si="297"/>
        <v>50</v>
      </c>
      <c r="AG340" s="261">
        <f t="shared" si="297"/>
        <v>5475</v>
      </c>
      <c r="AH340" s="260">
        <f t="shared" si="297"/>
        <v>5475</v>
      </c>
      <c r="AI340" s="260">
        <f t="shared" si="297"/>
        <v>5475</v>
      </c>
      <c r="AJ340" s="260">
        <f t="shared" si="297"/>
        <v>5475</v>
      </c>
      <c r="AK340" s="260">
        <f t="shared" si="297"/>
        <v>5475</v>
      </c>
      <c r="AL340" s="260">
        <f t="shared" si="297"/>
        <v>5475</v>
      </c>
      <c r="AM340" s="261">
        <f t="shared" si="298"/>
        <v>18700</v>
      </c>
      <c r="AN340" s="260">
        <f t="shared" si="298"/>
        <v>18700</v>
      </c>
      <c r="AO340" s="260">
        <f t="shared" si="298"/>
        <v>18700</v>
      </c>
      <c r="AP340" s="260">
        <f t="shared" si="298"/>
        <v>18700</v>
      </c>
      <c r="AQ340" s="260">
        <f t="shared" si="298"/>
        <v>18700</v>
      </c>
      <c r="AR340" s="260">
        <f t="shared" si="298"/>
        <v>18700</v>
      </c>
      <c r="AS340" s="261">
        <f t="shared" si="298"/>
        <v>90400</v>
      </c>
      <c r="AT340" s="260">
        <f t="shared" si="298"/>
        <v>90400</v>
      </c>
      <c r="AU340" s="260">
        <f t="shared" si="298"/>
        <v>90400</v>
      </c>
      <c r="AV340" s="260">
        <f t="shared" si="298"/>
        <v>90400</v>
      </c>
      <c r="AW340" s="260">
        <f t="shared" si="298"/>
        <v>90400</v>
      </c>
      <c r="AX340" s="262">
        <f t="shared" si="298"/>
        <v>90400</v>
      </c>
      <c r="AY340" s="1"/>
      <c r="AZ340" s="1"/>
      <c r="BA340" s="1"/>
      <c r="BB340" s="1"/>
    </row>
    <row r="341" spans="2:58" x14ac:dyDescent="0.25">
      <c r="B341" s="1343"/>
      <c r="D341" s="1355"/>
      <c r="F341" s="263" t="s">
        <v>767</v>
      </c>
      <c r="G341" s="208" t="s">
        <v>91</v>
      </c>
      <c r="H341" s="209"/>
      <c r="I341" s="250">
        <f t="shared" ref="I341:R350" si="299">(INDEX($N$459:$N$484,MATCH($G341,$G$459:$G$484,0),1)*INDEX($Q$459:$Q$484,MATCH($G341,$G$459:$G$484,0),1)*$N$485*INDEX($I$459:$M$484,MATCH($G341,$G$459:$G$484,0),MATCH(I$6,$I$458:$M$458,0))
+INDEX($O$459:$O$484,MATCH($G341,$G$459:$G$484,0),1)*INDEX($R$459:$R$484,MATCH($G341,$G$459:$G$484,0),1)*$O$485)
*INDEX($I$406:$O$426,MATCH($G341,$G$406:$G$426,0),MATCH(I$8,$I$405:$O$405,0))</f>
        <v>104.74581000000001</v>
      </c>
      <c r="J341" s="250">
        <f t="shared" si="299"/>
        <v>79.264118028179098</v>
      </c>
      <c r="K341" s="250">
        <f t="shared" si="299"/>
        <v>72.702090009169254</v>
      </c>
      <c r="L341" s="250">
        <f t="shared" si="299"/>
        <v>85.826146047188942</v>
      </c>
      <c r="M341" s="250">
        <f t="shared" si="299"/>
        <v>79.264118028179098</v>
      </c>
      <c r="N341" s="250">
        <f t="shared" si="299"/>
        <v>79.264118028179098</v>
      </c>
      <c r="O341" s="251">
        <f t="shared" si="299"/>
        <v>18370.803599999999</v>
      </c>
      <c r="P341" s="250">
        <f t="shared" si="299"/>
        <v>13901.70685417295</v>
      </c>
      <c r="Q341" s="250">
        <f t="shared" si="299"/>
        <v>12750.828093915838</v>
      </c>
      <c r="R341" s="250">
        <f t="shared" si="299"/>
        <v>15052.58561443006</v>
      </c>
      <c r="S341" s="250">
        <f t="shared" ref="S341:AB350" si="300">(INDEX($N$459:$N$484,MATCH($G341,$G$459:$G$484,0),1)*INDEX($Q$459:$Q$484,MATCH($G341,$G$459:$G$484,0),1)*$N$485*INDEX($I$459:$M$484,MATCH($G341,$G$459:$G$484,0),MATCH(S$6,$I$458:$M$458,0))
+INDEX($O$459:$O$484,MATCH($G341,$G$459:$G$484,0),1)*INDEX($R$459:$R$484,MATCH($G341,$G$459:$G$484,0),1)*$O$485)
*INDEX($I$406:$O$426,MATCH($G341,$G$406:$G$426,0),MATCH(S$8,$I$405:$O$405,0))</f>
        <v>13901.70685417295</v>
      </c>
      <c r="T341" s="250">
        <f t="shared" si="300"/>
        <v>13901.70685417295</v>
      </c>
      <c r="U341" s="251">
        <f t="shared" si="300"/>
        <v>31423.743000000002</v>
      </c>
      <c r="V341" s="250">
        <f t="shared" si="300"/>
        <v>23779.235408453729</v>
      </c>
      <c r="W341" s="250">
        <f t="shared" si="300"/>
        <v>21810.627002750778</v>
      </c>
      <c r="X341" s="250">
        <f t="shared" si="300"/>
        <v>25747.843814156684</v>
      </c>
      <c r="Y341" s="250">
        <f t="shared" si="300"/>
        <v>23779.235408453729</v>
      </c>
      <c r="Z341" s="250">
        <f t="shared" si="300"/>
        <v>23779.235408453729</v>
      </c>
      <c r="AA341" s="251">
        <f t="shared" si="300"/>
        <v>69.454529399999998</v>
      </c>
      <c r="AB341" s="250">
        <f t="shared" si="300"/>
        <v>52.558207492531061</v>
      </c>
      <c r="AC341" s="250">
        <f t="shared" ref="AC341:AL350" si="301">(INDEX($N$459:$N$484,MATCH($G341,$G$459:$G$484,0),1)*INDEX($Q$459:$Q$484,MATCH($G341,$G$459:$G$484,0),1)*$N$485*INDEX($I$459:$M$484,MATCH($G341,$G$459:$G$484,0),MATCH(AC$6,$I$458:$M$458,0))
+INDEX($O$459:$O$484,MATCH($G341,$G$459:$G$484,0),1)*INDEX($R$459:$R$484,MATCH($G341,$G$459:$G$484,0),1)*$O$485)
*INDEX($I$406:$O$426,MATCH($G341,$G$406:$G$426,0),MATCH(AC$8,$I$405:$O$405,0))</f>
        <v>48.207078144541455</v>
      </c>
      <c r="AD341" s="250">
        <f t="shared" si="301"/>
        <v>56.909336840520666</v>
      </c>
      <c r="AE341" s="250">
        <f t="shared" si="301"/>
        <v>52.558207492531061</v>
      </c>
      <c r="AF341" s="250">
        <f t="shared" si="301"/>
        <v>52.558207492531061</v>
      </c>
      <c r="AG341" s="251">
        <f t="shared" si="301"/>
        <v>1530.9003000000002</v>
      </c>
      <c r="AH341" s="250">
        <f t="shared" si="301"/>
        <v>1158.4755711810792</v>
      </c>
      <c r="AI341" s="250">
        <f t="shared" si="301"/>
        <v>1062.5690078263199</v>
      </c>
      <c r="AJ341" s="250">
        <f t="shared" si="301"/>
        <v>1254.3821345358385</v>
      </c>
      <c r="AK341" s="250">
        <f t="shared" si="301"/>
        <v>1158.4755711810792</v>
      </c>
      <c r="AL341" s="250">
        <f t="shared" si="301"/>
        <v>1158.4755711810792</v>
      </c>
      <c r="AM341" s="251">
        <f t="shared" ref="AM341:AX350" si="302">(INDEX($N$459:$N$484,MATCH($G341,$G$459:$G$484,0),1)*INDEX($Q$459:$Q$484,MATCH($G341,$G$459:$G$484,0),1)*$N$485*INDEX($I$459:$M$484,MATCH($G341,$G$459:$G$484,0),MATCH(AM$6,$I$458:$M$458,0))
+INDEX($O$459:$O$484,MATCH($G341,$G$459:$G$484,0),1)*INDEX($R$459:$R$484,MATCH($G341,$G$459:$G$484,0),1)*$O$485)
*INDEX($I$406:$O$426,MATCH($G341,$G$406:$G$426,0),MATCH(AM$8,$I$405:$O$405,0))</f>
        <v>8057.3700000000008</v>
      </c>
      <c r="AN341" s="250">
        <f t="shared" si="302"/>
        <v>6097.2398483214693</v>
      </c>
      <c r="AO341" s="250">
        <f t="shared" si="302"/>
        <v>5592.468462243789</v>
      </c>
      <c r="AP341" s="250">
        <f t="shared" si="302"/>
        <v>6602.0112343991495</v>
      </c>
      <c r="AQ341" s="250">
        <f t="shared" si="302"/>
        <v>6097.2398483214693</v>
      </c>
      <c r="AR341" s="250">
        <f t="shared" si="302"/>
        <v>6097.2398483214693</v>
      </c>
      <c r="AS341" s="251">
        <f t="shared" si="302"/>
        <v>193376.88</v>
      </c>
      <c r="AT341" s="250">
        <f t="shared" si="302"/>
        <v>146333.75635971525</v>
      </c>
      <c r="AU341" s="250">
        <f t="shared" si="302"/>
        <v>134219.24309385094</v>
      </c>
      <c r="AV341" s="250">
        <f t="shared" si="302"/>
        <v>158448.26962557959</v>
      </c>
      <c r="AW341" s="250">
        <f t="shared" si="302"/>
        <v>146333.75635971525</v>
      </c>
      <c r="AX341" s="252">
        <f t="shared" si="302"/>
        <v>146333.75635971525</v>
      </c>
      <c r="AY341" s="1"/>
      <c r="AZ341" s="1"/>
      <c r="BA341" s="1"/>
      <c r="BB341" s="1"/>
    </row>
    <row r="342" spans="2:58" x14ac:dyDescent="0.25">
      <c r="B342" s="1343"/>
      <c r="D342" s="1355"/>
      <c r="F342" s="265"/>
      <c r="G342" s="209" t="s">
        <v>102</v>
      </c>
      <c r="H342" s="209"/>
      <c r="I342" s="253">
        <f t="shared" si="299"/>
        <v>76.365120000000005</v>
      </c>
      <c r="J342" s="253">
        <f t="shared" si="299"/>
        <v>68.16401508701972</v>
      </c>
      <c r="K342" s="253">
        <f t="shared" si="299"/>
        <v>53.756360564765401</v>
      </c>
      <c r="L342" s="253">
        <f t="shared" si="299"/>
        <v>82.571669609274039</v>
      </c>
      <c r="M342" s="253">
        <f t="shared" si="299"/>
        <v>68.16401508701972</v>
      </c>
      <c r="N342" s="253">
        <f t="shared" si="299"/>
        <v>68.16401508701972</v>
      </c>
      <c r="O342" s="254">
        <f t="shared" si="299"/>
        <v>5345.5583999999999</v>
      </c>
      <c r="P342" s="253">
        <f t="shared" si="299"/>
        <v>4771.4810560913802</v>
      </c>
      <c r="Q342" s="253">
        <f t="shared" si="299"/>
        <v>3762.9452395335779</v>
      </c>
      <c r="R342" s="253">
        <f t="shared" si="299"/>
        <v>5780.016872649182</v>
      </c>
      <c r="S342" s="253">
        <f t="shared" si="300"/>
        <v>4771.4810560913802</v>
      </c>
      <c r="T342" s="253">
        <f t="shared" si="300"/>
        <v>4771.4810560913802</v>
      </c>
      <c r="U342" s="254">
        <f t="shared" si="300"/>
        <v>30660.595679999995</v>
      </c>
      <c r="V342" s="253">
        <f t="shared" si="300"/>
        <v>27367.852057438413</v>
      </c>
      <c r="W342" s="253">
        <f t="shared" si="300"/>
        <v>21583.178766753306</v>
      </c>
      <c r="X342" s="253">
        <f t="shared" si="300"/>
        <v>33152.52534812352</v>
      </c>
      <c r="Y342" s="253">
        <f t="shared" si="300"/>
        <v>27367.852057438413</v>
      </c>
      <c r="Z342" s="253">
        <f t="shared" si="300"/>
        <v>27367.852057438413</v>
      </c>
      <c r="AA342" s="254">
        <f t="shared" si="300"/>
        <v>49.637327999999997</v>
      </c>
      <c r="AB342" s="253">
        <f t="shared" si="300"/>
        <v>44.306609806562811</v>
      </c>
      <c r="AC342" s="253">
        <f t="shared" si="301"/>
        <v>34.941634367097507</v>
      </c>
      <c r="AD342" s="253">
        <f t="shared" si="301"/>
        <v>53.671585246028116</v>
      </c>
      <c r="AE342" s="253">
        <f t="shared" si="301"/>
        <v>44.306609806562811</v>
      </c>
      <c r="AF342" s="253">
        <f t="shared" si="301"/>
        <v>44.306609806562811</v>
      </c>
      <c r="AG342" s="254">
        <f t="shared" si="301"/>
        <v>3283.7001599999999</v>
      </c>
      <c r="AH342" s="253">
        <f t="shared" si="301"/>
        <v>2931.0526487418479</v>
      </c>
      <c r="AI342" s="253">
        <f t="shared" si="301"/>
        <v>2311.5235042849122</v>
      </c>
      <c r="AJ342" s="253">
        <f t="shared" si="301"/>
        <v>3550.5817931987831</v>
      </c>
      <c r="AK342" s="253">
        <f t="shared" si="301"/>
        <v>2931.0526487418479</v>
      </c>
      <c r="AL342" s="253">
        <f t="shared" si="301"/>
        <v>2931.0526487418479</v>
      </c>
      <c r="AM342" s="254">
        <f t="shared" si="302"/>
        <v>1527.3024</v>
      </c>
      <c r="AN342" s="253">
        <f t="shared" si="302"/>
        <v>1363.2803017403944</v>
      </c>
      <c r="AO342" s="253">
        <f t="shared" si="302"/>
        <v>1075.1272112953081</v>
      </c>
      <c r="AP342" s="253">
        <f t="shared" si="302"/>
        <v>1651.4333921854807</v>
      </c>
      <c r="AQ342" s="253">
        <f t="shared" si="302"/>
        <v>1363.2803017403944</v>
      </c>
      <c r="AR342" s="253">
        <f t="shared" si="302"/>
        <v>1363.2803017403944</v>
      </c>
      <c r="AS342" s="254">
        <f t="shared" si="302"/>
        <v>128675.22720000001</v>
      </c>
      <c r="AT342" s="253">
        <f t="shared" si="302"/>
        <v>114856.36542162823</v>
      </c>
      <c r="AU342" s="253">
        <f t="shared" si="302"/>
        <v>90579.467551629714</v>
      </c>
      <c r="AV342" s="253">
        <f t="shared" si="302"/>
        <v>139133.26329162676</v>
      </c>
      <c r="AW342" s="253">
        <f t="shared" si="302"/>
        <v>114856.36542162823</v>
      </c>
      <c r="AX342" s="255">
        <f t="shared" si="302"/>
        <v>114856.36542162823</v>
      </c>
      <c r="AY342" s="1"/>
      <c r="AZ342" s="1"/>
      <c r="BA342" s="1"/>
      <c r="BB342" s="1"/>
    </row>
    <row r="343" spans="2:58" x14ac:dyDescent="0.25">
      <c r="B343" s="1343"/>
      <c r="D343" s="1355"/>
      <c r="F343" s="270"/>
      <c r="G343" s="209" t="s">
        <v>103</v>
      </c>
      <c r="H343" s="209"/>
      <c r="I343" s="253">
        <f t="shared" si="299"/>
        <v>33.269999999999996</v>
      </c>
      <c r="J343" s="253">
        <f t="shared" si="299"/>
        <v>29.202275437857178</v>
      </c>
      <c r="K343" s="253">
        <f t="shared" si="299"/>
        <v>22.056120035030563</v>
      </c>
      <c r="L343" s="253">
        <f t="shared" si="299"/>
        <v>36.34843084068379</v>
      </c>
      <c r="M343" s="253">
        <f t="shared" si="299"/>
        <v>29.202275437857178</v>
      </c>
      <c r="N343" s="253">
        <f t="shared" si="299"/>
        <v>29.202275437857178</v>
      </c>
      <c r="O343" s="254">
        <f t="shared" si="299"/>
        <v>554.5</v>
      </c>
      <c r="P343" s="253">
        <f t="shared" si="299"/>
        <v>486.70459063095296</v>
      </c>
      <c r="Q343" s="253">
        <f t="shared" si="299"/>
        <v>367.60200058384271</v>
      </c>
      <c r="R343" s="253">
        <f t="shared" si="299"/>
        <v>605.80718067806322</v>
      </c>
      <c r="S343" s="253">
        <f t="shared" si="300"/>
        <v>486.70459063095296</v>
      </c>
      <c r="T343" s="253">
        <f t="shared" si="300"/>
        <v>486.70459063095296</v>
      </c>
      <c r="U343" s="254">
        <f t="shared" si="300"/>
        <v>554.5</v>
      </c>
      <c r="V343" s="253">
        <f t="shared" si="300"/>
        <v>486.70459063095296</v>
      </c>
      <c r="W343" s="253">
        <f t="shared" si="300"/>
        <v>367.60200058384271</v>
      </c>
      <c r="X343" s="253">
        <f t="shared" si="300"/>
        <v>605.80718067806322</v>
      </c>
      <c r="Y343" s="253">
        <f t="shared" si="300"/>
        <v>486.70459063095296</v>
      </c>
      <c r="Z343" s="253">
        <f t="shared" si="300"/>
        <v>486.70459063095296</v>
      </c>
      <c r="AA343" s="254">
        <f t="shared" si="300"/>
        <v>2.218</v>
      </c>
      <c r="AB343" s="253">
        <f t="shared" si="300"/>
        <v>1.9468183625238118</v>
      </c>
      <c r="AC343" s="253">
        <f t="shared" si="301"/>
        <v>1.4704080023353709</v>
      </c>
      <c r="AD343" s="253">
        <f t="shared" si="301"/>
        <v>2.4232287227122531</v>
      </c>
      <c r="AE343" s="253">
        <f t="shared" si="301"/>
        <v>1.9468183625238118</v>
      </c>
      <c r="AF343" s="253">
        <f t="shared" si="301"/>
        <v>1.9468183625238118</v>
      </c>
      <c r="AG343" s="254">
        <f t="shared" si="301"/>
        <v>155.26000000000002</v>
      </c>
      <c r="AH343" s="253">
        <f t="shared" si="301"/>
        <v>136.27728537666684</v>
      </c>
      <c r="AI343" s="253">
        <f t="shared" si="301"/>
        <v>102.92856016347596</v>
      </c>
      <c r="AJ343" s="253">
        <f t="shared" si="301"/>
        <v>169.62601058985771</v>
      </c>
      <c r="AK343" s="253">
        <f t="shared" si="301"/>
        <v>136.27728537666684</v>
      </c>
      <c r="AL343" s="253">
        <f t="shared" si="301"/>
        <v>136.27728537666684</v>
      </c>
      <c r="AM343" s="254">
        <f t="shared" si="302"/>
        <v>598.86</v>
      </c>
      <c r="AN343" s="253">
        <f t="shared" si="302"/>
        <v>525.64095788142924</v>
      </c>
      <c r="AO343" s="253">
        <f t="shared" si="302"/>
        <v>397.01016063055016</v>
      </c>
      <c r="AP343" s="253">
        <f t="shared" si="302"/>
        <v>654.27175513230827</v>
      </c>
      <c r="AQ343" s="253">
        <f t="shared" si="302"/>
        <v>525.64095788142924</v>
      </c>
      <c r="AR343" s="253">
        <f t="shared" si="302"/>
        <v>525.64095788142924</v>
      </c>
      <c r="AS343" s="254">
        <f t="shared" si="302"/>
        <v>4436</v>
      </c>
      <c r="AT343" s="253">
        <f t="shared" si="302"/>
        <v>3893.6367250476237</v>
      </c>
      <c r="AU343" s="253">
        <f t="shared" si="302"/>
        <v>2940.8160046707417</v>
      </c>
      <c r="AV343" s="253">
        <f t="shared" si="302"/>
        <v>4846.4574454245057</v>
      </c>
      <c r="AW343" s="253">
        <f t="shared" si="302"/>
        <v>3893.6367250476237</v>
      </c>
      <c r="AX343" s="255">
        <f t="shared" si="302"/>
        <v>3893.6367250476237</v>
      </c>
      <c r="AY343" s="1"/>
      <c r="AZ343" s="1"/>
      <c r="BA343" s="1"/>
      <c r="BB343" s="1"/>
    </row>
    <row r="344" spans="2:58" x14ac:dyDescent="0.25">
      <c r="B344" s="1343"/>
      <c r="D344" s="1355"/>
      <c r="F344" s="270"/>
      <c r="G344" s="209" t="s">
        <v>107</v>
      </c>
      <c r="H344" s="209"/>
      <c r="I344" s="253">
        <f t="shared" si="299"/>
        <v>191.1808</v>
      </c>
      <c r="J344" s="253">
        <f t="shared" si="299"/>
        <v>150.29776594360595</v>
      </c>
      <c r="K344" s="253">
        <f t="shared" si="299"/>
        <v>132.43026016355512</v>
      </c>
      <c r="L344" s="253">
        <f t="shared" si="299"/>
        <v>168.16527172365679</v>
      </c>
      <c r="M344" s="253">
        <f t="shared" si="299"/>
        <v>150.29776594360595</v>
      </c>
      <c r="N344" s="253">
        <f t="shared" si="299"/>
        <v>150.29776594360595</v>
      </c>
      <c r="O344" s="254">
        <f t="shared" si="299"/>
        <v>955.904</v>
      </c>
      <c r="P344" s="253">
        <f t="shared" si="299"/>
        <v>751.48882971802971</v>
      </c>
      <c r="Q344" s="253">
        <f t="shared" si="299"/>
        <v>662.15130081777556</v>
      </c>
      <c r="R344" s="253">
        <f t="shared" si="299"/>
        <v>840.82635861828385</v>
      </c>
      <c r="S344" s="253">
        <f t="shared" si="300"/>
        <v>751.48882971802971</v>
      </c>
      <c r="T344" s="253">
        <f t="shared" si="300"/>
        <v>751.48882971802971</v>
      </c>
      <c r="U344" s="254">
        <f t="shared" si="300"/>
        <v>24127.016959999997</v>
      </c>
      <c r="V344" s="253">
        <f t="shared" si="300"/>
        <v>18967.57806208307</v>
      </c>
      <c r="W344" s="253">
        <f t="shared" si="300"/>
        <v>16712.698832640654</v>
      </c>
      <c r="X344" s="253">
        <f t="shared" si="300"/>
        <v>21222.457291525483</v>
      </c>
      <c r="Y344" s="253">
        <f t="shared" si="300"/>
        <v>18967.57806208307</v>
      </c>
      <c r="Z344" s="253">
        <f t="shared" si="300"/>
        <v>18967.57806208307</v>
      </c>
      <c r="AA344" s="254">
        <f t="shared" si="300"/>
        <v>16.47978496</v>
      </c>
      <c r="AB344" s="253">
        <f t="shared" si="300"/>
        <v>12.955667424338831</v>
      </c>
      <c r="AC344" s="253">
        <f t="shared" si="301"/>
        <v>11.415488426098449</v>
      </c>
      <c r="AD344" s="253">
        <f t="shared" si="301"/>
        <v>14.495846422579213</v>
      </c>
      <c r="AE344" s="253">
        <f t="shared" si="301"/>
        <v>12.955667424338831</v>
      </c>
      <c r="AF344" s="253">
        <f t="shared" si="301"/>
        <v>12.955667424338831</v>
      </c>
      <c r="AG344" s="254">
        <f t="shared" si="301"/>
        <v>1644.15488</v>
      </c>
      <c r="AH344" s="253">
        <f t="shared" si="301"/>
        <v>1292.5607871150112</v>
      </c>
      <c r="AI344" s="253">
        <f t="shared" si="301"/>
        <v>1138.900237406574</v>
      </c>
      <c r="AJ344" s="253">
        <f t="shared" si="301"/>
        <v>1446.2213368234482</v>
      </c>
      <c r="AK344" s="253">
        <f t="shared" si="301"/>
        <v>1292.5607871150112</v>
      </c>
      <c r="AL344" s="253">
        <f t="shared" si="301"/>
        <v>1292.5607871150112</v>
      </c>
      <c r="AM344" s="254">
        <f t="shared" si="302"/>
        <v>1911.808</v>
      </c>
      <c r="AN344" s="253">
        <f t="shared" si="302"/>
        <v>1502.9776594360594</v>
      </c>
      <c r="AO344" s="253">
        <f t="shared" si="302"/>
        <v>1324.3026016355511</v>
      </c>
      <c r="AP344" s="253">
        <f t="shared" si="302"/>
        <v>1681.6527172365677</v>
      </c>
      <c r="AQ344" s="253">
        <f t="shared" si="302"/>
        <v>1502.9776594360594</v>
      </c>
      <c r="AR344" s="253">
        <f t="shared" si="302"/>
        <v>1502.9776594360594</v>
      </c>
      <c r="AS344" s="254">
        <f t="shared" si="302"/>
        <v>94825.676800000001</v>
      </c>
      <c r="AT344" s="253">
        <f t="shared" si="302"/>
        <v>74547.691908028544</v>
      </c>
      <c r="AU344" s="253">
        <f t="shared" si="302"/>
        <v>65685.409041123334</v>
      </c>
      <c r="AV344" s="253">
        <f t="shared" si="302"/>
        <v>83409.974774933755</v>
      </c>
      <c r="AW344" s="253">
        <f t="shared" si="302"/>
        <v>74547.691908028544</v>
      </c>
      <c r="AX344" s="255">
        <f t="shared" si="302"/>
        <v>74547.691908028544</v>
      </c>
      <c r="AY344" s="1"/>
      <c r="AZ344" s="1"/>
      <c r="BA344" s="1"/>
      <c r="BB344" s="1"/>
    </row>
    <row r="345" spans="2:58" x14ac:dyDescent="0.25">
      <c r="B345" s="1343"/>
      <c r="D345" s="1355"/>
      <c r="F345" s="270"/>
      <c r="G345" s="209" t="s">
        <v>104</v>
      </c>
      <c r="H345" s="209"/>
      <c r="I345" s="253">
        <f t="shared" si="299"/>
        <v>34.97824</v>
      </c>
      <c r="J345" s="253">
        <f t="shared" si="299"/>
        <v>31.322251814036086</v>
      </c>
      <c r="K345" s="253">
        <f t="shared" si="299"/>
        <v>24.899432537886923</v>
      </c>
      <c r="L345" s="253">
        <f t="shared" si="299"/>
        <v>37.745071090185242</v>
      </c>
      <c r="M345" s="253">
        <f t="shared" si="299"/>
        <v>31.322251814036086</v>
      </c>
      <c r="N345" s="253">
        <f t="shared" si="299"/>
        <v>31.322251814036086</v>
      </c>
      <c r="O345" s="254">
        <f t="shared" si="299"/>
        <v>2448.4767999999999</v>
      </c>
      <c r="P345" s="253">
        <f t="shared" si="299"/>
        <v>2192.557626982526</v>
      </c>
      <c r="Q345" s="253">
        <f t="shared" si="299"/>
        <v>1742.9602776520846</v>
      </c>
      <c r="R345" s="253">
        <f t="shared" si="299"/>
        <v>2642.1549763129669</v>
      </c>
      <c r="S345" s="253">
        <f t="shared" si="300"/>
        <v>2192.557626982526</v>
      </c>
      <c r="T345" s="253">
        <f t="shared" si="300"/>
        <v>2192.557626982526</v>
      </c>
      <c r="U345" s="254">
        <f t="shared" si="300"/>
        <v>14043.763359999999</v>
      </c>
      <c r="V345" s="253">
        <f t="shared" si="300"/>
        <v>12575.884103335487</v>
      </c>
      <c r="W345" s="253">
        <f t="shared" si="300"/>
        <v>9997.1221639615997</v>
      </c>
      <c r="X345" s="253">
        <f t="shared" si="300"/>
        <v>15154.646042709373</v>
      </c>
      <c r="Y345" s="253">
        <f t="shared" si="300"/>
        <v>12575.884103335487</v>
      </c>
      <c r="Z345" s="253">
        <f t="shared" si="300"/>
        <v>12575.884103335487</v>
      </c>
      <c r="AA345" s="254">
        <f t="shared" si="300"/>
        <v>22.735855999999998</v>
      </c>
      <c r="AB345" s="253">
        <f t="shared" si="300"/>
        <v>20.359463679123454</v>
      </c>
      <c r="AC345" s="253">
        <f t="shared" si="301"/>
        <v>16.184631149626501</v>
      </c>
      <c r="AD345" s="253">
        <f t="shared" si="301"/>
        <v>24.534296208620407</v>
      </c>
      <c r="AE345" s="253">
        <f t="shared" si="301"/>
        <v>20.359463679123454</v>
      </c>
      <c r="AF345" s="253">
        <f t="shared" si="301"/>
        <v>20.359463679123454</v>
      </c>
      <c r="AG345" s="254">
        <f t="shared" si="301"/>
        <v>1504.06432</v>
      </c>
      <c r="AH345" s="253">
        <f t="shared" si="301"/>
        <v>1346.8568280035518</v>
      </c>
      <c r="AI345" s="253">
        <f t="shared" si="301"/>
        <v>1070.6755991291377</v>
      </c>
      <c r="AJ345" s="253">
        <f t="shared" si="301"/>
        <v>1623.0380568779653</v>
      </c>
      <c r="AK345" s="253">
        <f t="shared" si="301"/>
        <v>1346.8568280035518</v>
      </c>
      <c r="AL345" s="253">
        <f t="shared" si="301"/>
        <v>1346.8568280035518</v>
      </c>
      <c r="AM345" s="254">
        <f t="shared" si="302"/>
        <v>699.5648000000001</v>
      </c>
      <c r="AN345" s="253">
        <f t="shared" si="302"/>
        <v>626.44503628072175</v>
      </c>
      <c r="AO345" s="253">
        <f t="shared" si="302"/>
        <v>497.98865075773847</v>
      </c>
      <c r="AP345" s="253">
        <f t="shared" si="302"/>
        <v>754.90142180370492</v>
      </c>
      <c r="AQ345" s="253">
        <f t="shared" si="302"/>
        <v>626.44503628072175</v>
      </c>
      <c r="AR345" s="253">
        <f t="shared" si="302"/>
        <v>626.44503628072175</v>
      </c>
      <c r="AS345" s="254">
        <f t="shared" si="302"/>
        <v>58938.334400000007</v>
      </c>
      <c r="AT345" s="253">
        <f t="shared" si="302"/>
        <v>52777.994306650806</v>
      </c>
      <c r="AU345" s="253">
        <f t="shared" si="302"/>
        <v>41955.543826339468</v>
      </c>
      <c r="AV345" s="253">
        <f t="shared" si="302"/>
        <v>63600.444786962136</v>
      </c>
      <c r="AW345" s="253">
        <f t="shared" si="302"/>
        <v>52777.994306650806</v>
      </c>
      <c r="AX345" s="255">
        <f t="shared" si="302"/>
        <v>52777.994306650806</v>
      </c>
      <c r="AY345" s="1"/>
      <c r="AZ345" s="1"/>
      <c r="BA345" s="1"/>
      <c r="BB345" s="1"/>
    </row>
    <row r="346" spans="2:58" x14ac:dyDescent="0.25">
      <c r="B346" s="1343"/>
      <c r="D346" s="1355"/>
      <c r="F346" s="270"/>
      <c r="G346" s="209" t="s">
        <v>97</v>
      </c>
      <c r="H346" s="209"/>
      <c r="I346" s="253">
        <f t="shared" si="299"/>
        <v>5041.7328000000007</v>
      </c>
      <c r="J346" s="253">
        <f t="shared" si="299"/>
        <v>4018.8779806931457</v>
      </c>
      <c r="K346" s="253">
        <f t="shared" si="299"/>
        <v>3366.9062022937014</v>
      </c>
      <c r="L346" s="253">
        <f t="shared" si="299"/>
        <v>4670.849759092589</v>
      </c>
      <c r="M346" s="253">
        <f t="shared" si="299"/>
        <v>4018.8779806931457</v>
      </c>
      <c r="N346" s="253">
        <f t="shared" si="299"/>
        <v>4018.8779806931457</v>
      </c>
      <c r="O346" s="254">
        <f t="shared" si="299"/>
        <v>2326.9536000000003</v>
      </c>
      <c r="P346" s="253">
        <f t="shared" si="299"/>
        <v>1854.8667603199131</v>
      </c>
      <c r="Q346" s="253">
        <f t="shared" si="299"/>
        <v>1553.956708750939</v>
      </c>
      <c r="R346" s="253">
        <f t="shared" si="299"/>
        <v>2155.7768118888871</v>
      </c>
      <c r="S346" s="253">
        <f t="shared" si="300"/>
        <v>1854.8667603199131</v>
      </c>
      <c r="T346" s="253">
        <f t="shared" si="300"/>
        <v>1854.8667603199131</v>
      </c>
      <c r="U346" s="254">
        <f t="shared" si="300"/>
        <v>15319.111200000003</v>
      </c>
      <c r="V346" s="253">
        <f t="shared" si="300"/>
        <v>12211.206172106096</v>
      </c>
      <c r="W346" s="253">
        <f t="shared" si="300"/>
        <v>10230.214999277016</v>
      </c>
      <c r="X346" s="253">
        <f t="shared" si="300"/>
        <v>14192.197344935175</v>
      </c>
      <c r="Y346" s="253">
        <f t="shared" si="300"/>
        <v>12211.206172106096</v>
      </c>
      <c r="Z346" s="253">
        <f t="shared" si="300"/>
        <v>12211.206172106096</v>
      </c>
      <c r="AA346" s="254">
        <f t="shared" si="300"/>
        <v>96.956400000000016</v>
      </c>
      <c r="AB346" s="253">
        <f t="shared" si="300"/>
        <v>77.28611501332972</v>
      </c>
      <c r="AC346" s="253">
        <f t="shared" si="301"/>
        <v>64.748196197955792</v>
      </c>
      <c r="AD346" s="253">
        <f t="shared" si="301"/>
        <v>89.824033828703634</v>
      </c>
      <c r="AE346" s="253">
        <f t="shared" si="301"/>
        <v>77.28611501332972</v>
      </c>
      <c r="AF346" s="253">
        <f t="shared" si="301"/>
        <v>77.28611501332972</v>
      </c>
      <c r="AG346" s="254">
        <f t="shared" si="301"/>
        <v>8338.2504000000008</v>
      </c>
      <c r="AH346" s="253">
        <f t="shared" si="301"/>
        <v>6646.605891146356</v>
      </c>
      <c r="AI346" s="253">
        <f t="shared" si="301"/>
        <v>5568.344873024198</v>
      </c>
      <c r="AJ346" s="253">
        <f t="shared" si="301"/>
        <v>7724.8669092685122</v>
      </c>
      <c r="AK346" s="253">
        <f t="shared" si="301"/>
        <v>6646.605891146356</v>
      </c>
      <c r="AL346" s="253">
        <f t="shared" si="301"/>
        <v>6646.605891146356</v>
      </c>
      <c r="AM346" s="254">
        <f t="shared" si="302"/>
        <v>12604.332000000002</v>
      </c>
      <c r="AN346" s="253">
        <f t="shared" si="302"/>
        <v>10047.194951732863</v>
      </c>
      <c r="AO346" s="253">
        <f t="shared" si="302"/>
        <v>8417.2655057342545</v>
      </c>
      <c r="AP346" s="253">
        <f t="shared" si="302"/>
        <v>11677.124397731473</v>
      </c>
      <c r="AQ346" s="253">
        <f t="shared" si="302"/>
        <v>10047.194951732863</v>
      </c>
      <c r="AR346" s="253">
        <f t="shared" si="302"/>
        <v>10047.194951732863</v>
      </c>
      <c r="AS346" s="254">
        <f t="shared" si="302"/>
        <v>209425.82400000005</v>
      </c>
      <c r="AT346" s="253">
        <f t="shared" si="302"/>
        <v>166938.00842879221</v>
      </c>
      <c r="AU346" s="253">
        <f t="shared" si="302"/>
        <v>139856.10378758452</v>
      </c>
      <c r="AV346" s="253">
        <f t="shared" si="302"/>
        <v>194019.91306999986</v>
      </c>
      <c r="AW346" s="253">
        <f t="shared" si="302"/>
        <v>166938.00842879221</v>
      </c>
      <c r="AX346" s="255">
        <f t="shared" si="302"/>
        <v>166938.00842879221</v>
      </c>
      <c r="AY346" s="1"/>
      <c r="AZ346" s="1"/>
      <c r="BA346" s="1"/>
      <c r="BB346" s="1"/>
    </row>
    <row r="347" spans="2:58" x14ac:dyDescent="0.25">
      <c r="B347" s="1343"/>
      <c r="D347" s="1355"/>
      <c r="F347" s="270"/>
      <c r="G347" s="209" t="s">
        <v>628</v>
      </c>
      <c r="H347" s="209"/>
      <c r="I347" s="253">
        <f t="shared" si="299"/>
        <v>7250.6194800000003</v>
      </c>
      <c r="J347" s="253">
        <f t="shared" si="299"/>
        <v>5536.164337521137</v>
      </c>
      <c r="K347" s="253">
        <f t="shared" si="299"/>
        <v>4443.3637297227742</v>
      </c>
      <c r="L347" s="253">
        <f t="shared" si="299"/>
        <v>6628.9649453194997</v>
      </c>
      <c r="M347" s="253">
        <f t="shared" si="299"/>
        <v>5536.164337521137</v>
      </c>
      <c r="N347" s="253">
        <f t="shared" si="299"/>
        <v>5536.164337521137</v>
      </c>
      <c r="O347" s="254">
        <f t="shared" si="299"/>
        <v>3346.4397599999998</v>
      </c>
      <c r="P347" s="253">
        <f t="shared" si="299"/>
        <v>2555.1527711636018</v>
      </c>
      <c r="Q347" s="253">
        <f t="shared" si="299"/>
        <v>2050.7832598720497</v>
      </c>
      <c r="R347" s="253">
        <f t="shared" si="299"/>
        <v>3059.5222824551538</v>
      </c>
      <c r="S347" s="253">
        <f t="shared" si="300"/>
        <v>2555.1527711636018</v>
      </c>
      <c r="T347" s="253">
        <f t="shared" si="300"/>
        <v>2555.1527711636018</v>
      </c>
      <c r="U347" s="254">
        <f t="shared" si="300"/>
        <v>22030.728419999999</v>
      </c>
      <c r="V347" s="253">
        <f t="shared" si="300"/>
        <v>16821.42241016038</v>
      </c>
      <c r="W347" s="253">
        <f t="shared" si="300"/>
        <v>13500.98979415766</v>
      </c>
      <c r="X347" s="253">
        <f t="shared" si="300"/>
        <v>20141.855026163095</v>
      </c>
      <c r="Y347" s="253">
        <f t="shared" si="300"/>
        <v>16821.42241016038</v>
      </c>
      <c r="Z347" s="253">
        <f t="shared" si="300"/>
        <v>16821.42241016038</v>
      </c>
      <c r="AA347" s="254">
        <f t="shared" si="300"/>
        <v>139.43499</v>
      </c>
      <c r="AB347" s="253">
        <f t="shared" si="300"/>
        <v>106.46469879848341</v>
      </c>
      <c r="AC347" s="253">
        <f t="shared" si="301"/>
        <v>85.449302494668743</v>
      </c>
      <c r="AD347" s="253">
        <f t="shared" si="301"/>
        <v>127.48009510229808</v>
      </c>
      <c r="AE347" s="253">
        <f t="shared" si="301"/>
        <v>106.46469879848341</v>
      </c>
      <c r="AF347" s="253">
        <f t="shared" si="301"/>
        <v>106.46469879848341</v>
      </c>
      <c r="AG347" s="254">
        <f t="shared" si="301"/>
        <v>11991.40914</v>
      </c>
      <c r="AH347" s="253">
        <f t="shared" si="301"/>
        <v>9155.9640966695733</v>
      </c>
      <c r="AI347" s="253">
        <f t="shared" si="301"/>
        <v>7348.6400145415109</v>
      </c>
      <c r="AJ347" s="253">
        <f t="shared" si="301"/>
        <v>10963.288178797635</v>
      </c>
      <c r="AK347" s="253">
        <f t="shared" si="301"/>
        <v>9155.9640966695733</v>
      </c>
      <c r="AL347" s="253">
        <f t="shared" si="301"/>
        <v>9155.9640966695733</v>
      </c>
      <c r="AM347" s="254">
        <f t="shared" si="302"/>
        <v>18126.548699999999</v>
      </c>
      <c r="AN347" s="253">
        <f t="shared" si="302"/>
        <v>13840.410843802843</v>
      </c>
      <c r="AO347" s="253">
        <f t="shared" si="302"/>
        <v>11108.409324306936</v>
      </c>
      <c r="AP347" s="253">
        <f t="shared" si="302"/>
        <v>16572.41236329875</v>
      </c>
      <c r="AQ347" s="253">
        <f t="shared" si="302"/>
        <v>13840.410843802843</v>
      </c>
      <c r="AR347" s="253">
        <f t="shared" si="302"/>
        <v>13840.410843802843</v>
      </c>
      <c r="AS347" s="254">
        <f t="shared" si="302"/>
        <v>301179.5784</v>
      </c>
      <c r="AT347" s="253">
        <f t="shared" si="302"/>
        <v>229963.74940472416</v>
      </c>
      <c r="AU347" s="253">
        <f t="shared" si="302"/>
        <v>184570.49338848449</v>
      </c>
      <c r="AV347" s="253">
        <f t="shared" si="302"/>
        <v>275357.00542096386</v>
      </c>
      <c r="AW347" s="253">
        <f t="shared" si="302"/>
        <v>229963.74940472416</v>
      </c>
      <c r="AX347" s="255">
        <f t="shared" si="302"/>
        <v>229963.74940472416</v>
      </c>
      <c r="AY347" s="1"/>
      <c r="AZ347" s="1"/>
      <c r="BA347" s="1"/>
      <c r="BB347" s="1"/>
    </row>
    <row r="348" spans="2:58" x14ac:dyDescent="0.25">
      <c r="B348" s="1343"/>
      <c r="D348" s="1355"/>
      <c r="F348" s="270"/>
      <c r="G348" s="209" t="s">
        <v>108</v>
      </c>
      <c r="H348" s="209"/>
      <c r="I348" s="253">
        <f t="shared" si="299"/>
        <v>126.63499999999999</v>
      </c>
      <c r="J348" s="253">
        <f t="shared" si="299"/>
        <v>88.117434472134462</v>
      </c>
      <c r="K348" s="253">
        <f t="shared" si="299"/>
        <v>71.283732165370665</v>
      </c>
      <c r="L348" s="253">
        <f t="shared" si="299"/>
        <v>104.95113677889827</v>
      </c>
      <c r="M348" s="253">
        <f t="shared" si="299"/>
        <v>88.117434472134462</v>
      </c>
      <c r="N348" s="253">
        <f t="shared" si="299"/>
        <v>88.117434472134462</v>
      </c>
      <c r="O348" s="254">
        <f t="shared" si="299"/>
        <v>633.17499999999995</v>
      </c>
      <c r="P348" s="253">
        <f t="shared" si="299"/>
        <v>440.5871723606723</v>
      </c>
      <c r="Q348" s="253">
        <f t="shared" si="299"/>
        <v>356.41866082685328</v>
      </c>
      <c r="R348" s="253">
        <f t="shared" si="299"/>
        <v>524.75568389449131</v>
      </c>
      <c r="S348" s="253">
        <f t="shared" si="300"/>
        <v>440.5871723606723</v>
      </c>
      <c r="T348" s="253">
        <f t="shared" si="300"/>
        <v>440.5871723606723</v>
      </c>
      <c r="U348" s="254">
        <f t="shared" si="300"/>
        <v>15981.336999999998</v>
      </c>
      <c r="V348" s="253">
        <f t="shared" si="300"/>
        <v>11120.420230383368</v>
      </c>
      <c r="W348" s="253">
        <f t="shared" si="300"/>
        <v>8996.0069992697772</v>
      </c>
      <c r="X348" s="253">
        <f t="shared" si="300"/>
        <v>13244.833461496961</v>
      </c>
      <c r="Y348" s="253">
        <f t="shared" si="300"/>
        <v>11120.420230383368</v>
      </c>
      <c r="Z348" s="253">
        <f t="shared" si="300"/>
        <v>11120.420230383368</v>
      </c>
      <c r="AA348" s="254">
        <f t="shared" si="300"/>
        <v>10.915936999999998</v>
      </c>
      <c r="AB348" s="253">
        <f t="shared" si="300"/>
        <v>7.5957228514979898</v>
      </c>
      <c r="AC348" s="253">
        <f t="shared" si="301"/>
        <v>6.1446577126549498</v>
      </c>
      <c r="AD348" s="253">
        <f t="shared" si="301"/>
        <v>9.0467879903410289</v>
      </c>
      <c r="AE348" s="253">
        <f t="shared" si="301"/>
        <v>7.5957228514979898</v>
      </c>
      <c r="AF348" s="253">
        <f t="shared" si="301"/>
        <v>7.5957228514979898</v>
      </c>
      <c r="AG348" s="254">
        <f t="shared" si="301"/>
        <v>1089.0609999999999</v>
      </c>
      <c r="AH348" s="253">
        <f t="shared" si="301"/>
        <v>757.80993646035631</v>
      </c>
      <c r="AI348" s="253">
        <f t="shared" si="301"/>
        <v>613.04009662218766</v>
      </c>
      <c r="AJ348" s="253">
        <f t="shared" si="301"/>
        <v>902.57977629852508</v>
      </c>
      <c r="AK348" s="253">
        <f t="shared" si="301"/>
        <v>757.80993646035631</v>
      </c>
      <c r="AL348" s="253">
        <f t="shared" si="301"/>
        <v>757.80993646035631</v>
      </c>
      <c r="AM348" s="254">
        <f t="shared" si="302"/>
        <v>1266.3499999999999</v>
      </c>
      <c r="AN348" s="253">
        <f t="shared" si="302"/>
        <v>881.1743447213446</v>
      </c>
      <c r="AO348" s="253">
        <f t="shared" si="302"/>
        <v>712.83732165370657</v>
      </c>
      <c r="AP348" s="253">
        <f t="shared" si="302"/>
        <v>1049.5113677889826</v>
      </c>
      <c r="AQ348" s="253">
        <f t="shared" si="302"/>
        <v>881.1743447213446</v>
      </c>
      <c r="AR348" s="253">
        <f t="shared" si="302"/>
        <v>881.1743447213446</v>
      </c>
      <c r="AS348" s="254">
        <f t="shared" si="302"/>
        <v>62810.96</v>
      </c>
      <c r="AT348" s="253">
        <f t="shared" si="302"/>
        <v>43706.247498178695</v>
      </c>
      <c r="AU348" s="253">
        <f t="shared" si="302"/>
        <v>35356.731154023844</v>
      </c>
      <c r="AV348" s="253">
        <f t="shared" si="302"/>
        <v>52055.763842333537</v>
      </c>
      <c r="AW348" s="253">
        <f t="shared" si="302"/>
        <v>43706.247498178695</v>
      </c>
      <c r="AX348" s="255">
        <f t="shared" si="302"/>
        <v>43706.247498178695</v>
      </c>
      <c r="AY348" s="1"/>
      <c r="AZ348" s="1"/>
      <c r="BA348" s="1"/>
      <c r="BB348" s="1"/>
    </row>
    <row r="349" spans="2:58" x14ac:dyDescent="0.25">
      <c r="B349" s="1343"/>
      <c r="D349" s="1355"/>
      <c r="F349" s="270"/>
      <c r="G349" s="209" t="s">
        <v>98</v>
      </c>
      <c r="H349" s="209"/>
      <c r="I349" s="253">
        <f t="shared" si="299"/>
        <v>75.987729999999999</v>
      </c>
      <c r="J349" s="253">
        <f t="shared" si="299"/>
        <v>74.865107671884942</v>
      </c>
      <c r="K349" s="253">
        <f t="shared" si="299"/>
        <v>71.745765582599816</v>
      </c>
      <c r="L349" s="253">
        <f t="shared" si="299"/>
        <v>77.984449761170069</v>
      </c>
      <c r="M349" s="253">
        <f t="shared" si="299"/>
        <v>74.865107671884942</v>
      </c>
      <c r="N349" s="253">
        <f t="shared" si="299"/>
        <v>74.865107671884942</v>
      </c>
      <c r="O349" s="254">
        <f t="shared" si="299"/>
        <v>13327.078799999999</v>
      </c>
      <c r="P349" s="253">
        <f t="shared" si="299"/>
        <v>13130.188114761359</v>
      </c>
      <c r="Q349" s="253">
        <f t="shared" si="299"/>
        <v>12583.103502179045</v>
      </c>
      <c r="R349" s="253">
        <f t="shared" si="299"/>
        <v>13677.272727343674</v>
      </c>
      <c r="S349" s="253">
        <f t="shared" si="300"/>
        <v>13130.188114761359</v>
      </c>
      <c r="T349" s="253">
        <f t="shared" si="300"/>
        <v>13130.188114761359</v>
      </c>
      <c r="U349" s="254">
        <f t="shared" si="300"/>
        <v>21042.756000000001</v>
      </c>
      <c r="V349" s="253">
        <f t="shared" si="300"/>
        <v>20731.875970675832</v>
      </c>
      <c r="W349" s="253">
        <f t="shared" si="300"/>
        <v>19868.058161335335</v>
      </c>
      <c r="X349" s="253">
        <f t="shared" si="300"/>
        <v>21595.693780016329</v>
      </c>
      <c r="Y349" s="253">
        <f t="shared" si="300"/>
        <v>20731.875970675832</v>
      </c>
      <c r="Z349" s="253">
        <f t="shared" si="300"/>
        <v>20731.875970675832</v>
      </c>
      <c r="AA349" s="254">
        <f t="shared" si="300"/>
        <v>50.385710199999998</v>
      </c>
      <c r="AB349" s="253">
        <f t="shared" si="300"/>
        <v>49.641325240896016</v>
      </c>
      <c r="AC349" s="253">
        <f t="shared" si="301"/>
        <v>47.572961486308493</v>
      </c>
      <c r="AD349" s="253">
        <f t="shared" si="301"/>
        <v>51.709688995483539</v>
      </c>
      <c r="AE349" s="253">
        <f t="shared" si="301"/>
        <v>49.641325240896016</v>
      </c>
      <c r="AF349" s="253">
        <f t="shared" si="301"/>
        <v>49.641325240896016</v>
      </c>
      <c r="AG349" s="254">
        <f t="shared" si="301"/>
        <v>5026.8805999999995</v>
      </c>
      <c r="AH349" s="253">
        <f t="shared" si="301"/>
        <v>4952.6148152170044</v>
      </c>
      <c r="AI349" s="253">
        <f t="shared" si="301"/>
        <v>4746.258338541219</v>
      </c>
      <c r="AJ349" s="253">
        <f t="shared" si="301"/>
        <v>5158.9712918927898</v>
      </c>
      <c r="AK349" s="253">
        <f t="shared" si="301"/>
        <v>4952.6148152170044</v>
      </c>
      <c r="AL349" s="253">
        <f t="shared" si="301"/>
        <v>4952.6148152170044</v>
      </c>
      <c r="AM349" s="254">
        <f t="shared" si="302"/>
        <v>292.26050000000004</v>
      </c>
      <c r="AN349" s="253">
        <f t="shared" si="302"/>
        <v>287.9427218149421</v>
      </c>
      <c r="AO349" s="253">
        <f t="shared" si="302"/>
        <v>275.94525224076858</v>
      </c>
      <c r="AP349" s="253">
        <f t="shared" si="302"/>
        <v>299.94019138911568</v>
      </c>
      <c r="AQ349" s="253">
        <f t="shared" si="302"/>
        <v>287.9427218149421</v>
      </c>
      <c r="AR349" s="253">
        <f t="shared" si="302"/>
        <v>287.9427218149421</v>
      </c>
      <c r="AS349" s="254">
        <f t="shared" si="302"/>
        <v>144376.68700000001</v>
      </c>
      <c r="AT349" s="253">
        <f t="shared" si="302"/>
        <v>142243.7045765814</v>
      </c>
      <c r="AU349" s="253">
        <f t="shared" si="302"/>
        <v>136316.95460693966</v>
      </c>
      <c r="AV349" s="253">
        <f t="shared" si="302"/>
        <v>148170.45454622313</v>
      </c>
      <c r="AW349" s="253">
        <f t="shared" si="302"/>
        <v>142243.7045765814</v>
      </c>
      <c r="AX349" s="255">
        <f t="shared" si="302"/>
        <v>142243.7045765814</v>
      </c>
      <c r="AY349" s="1"/>
      <c r="AZ349" s="1"/>
      <c r="BA349" s="1"/>
      <c r="BB349" s="1"/>
    </row>
    <row r="350" spans="2:58" x14ac:dyDescent="0.25">
      <c r="B350" s="1343"/>
      <c r="D350" s="1355"/>
      <c r="F350" s="270"/>
      <c r="G350" s="209" t="s">
        <v>629</v>
      </c>
      <c r="H350" s="209"/>
      <c r="I350" s="253">
        <f t="shared" si="299"/>
        <v>67.753860000000003</v>
      </c>
      <c r="J350" s="253">
        <f t="shared" si="299"/>
        <v>60.49731814314508</v>
      </c>
      <c r="K350" s="253">
        <f t="shared" si="299"/>
        <v>47.74906663201422</v>
      </c>
      <c r="L350" s="253">
        <f t="shared" si="299"/>
        <v>73.24556965427594</v>
      </c>
      <c r="M350" s="253">
        <f t="shared" si="299"/>
        <v>60.49731814314508</v>
      </c>
      <c r="N350" s="253">
        <f t="shared" si="299"/>
        <v>60.49731814314508</v>
      </c>
      <c r="O350" s="254">
        <f t="shared" si="299"/>
        <v>4742.7701999999999</v>
      </c>
      <c r="P350" s="253">
        <f t="shared" si="299"/>
        <v>4234.8122700201548</v>
      </c>
      <c r="Q350" s="253">
        <f t="shared" si="299"/>
        <v>3342.4346642409951</v>
      </c>
      <c r="R350" s="253">
        <f t="shared" si="299"/>
        <v>5127.1898757993149</v>
      </c>
      <c r="S350" s="253">
        <f t="shared" si="300"/>
        <v>4234.8122700201548</v>
      </c>
      <c r="T350" s="253">
        <f t="shared" si="300"/>
        <v>4234.8122700201548</v>
      </c>
      <c r="U350" s="254">
        <f t="shared" si="300"/>
        <v>27203.174790000001</v>
      </c>
      <c r="V350" s="253">
        <f t="shared" si="300"/>
        <v>24289.673234472746</v>
      </c>
      <c r="W350" s="253">
        <f t="shared" si="300"/>
        <v>19171.250252753707</v>
      </c>
      <c r="X350" s="253">
        <f t="shared" si="300"/>
        <v>29408.096216191785</v>
      </c>
      <c r="Y350" s="253">
        <f t="shared" si="300"/>
        <v>24289.673234472746</v>
      </c>
      <c r="Z350" s="253">
        <f t="shared" si="300"/>
        <v>24289.673234472746</v>
      </c>
      <c r="AA350" s="254">
        <f t="shared" si="300"/>
        <v>44.040008999999998</v>
      </c>
      <c r="AB350" s="253">
        <f t="shared" si="300"/>
        <v>39.323256793044294</v>
      </c>
      <c r="AC350" s="253">
        <f t="shared" si="301"/>
        <v>31.036893310809241</v>
      </c>
      <c r="AD350" s="253">
        <f t="shared" si="301"/>
        <v>47.609620275279354</v>
      </c>
      <c r="AE350" s="253">
        <f t="shared" si="301"/>
        <v>39.323256793044294</v>
      </c>
      <c r="AF350" s="253">
        <f t="shared" si="301"/>
        <v>39.323256793044294</v>
      </c>
      <c r="AG350" s="254">
        <f t="shared" si="301"/>
        <v>2913.4159800000002</v>
      </c>
      <c r="AH350" s="253">
        <f t="shared" si="301"/>
        <v>2601.3846801552381</v>
      </c>
      <c r="AI350" s="253">
        <f t="shared" si="301"/>
        <v>2053.2098651766114</v>
      </c>
      <c r="AJ350" s="253">
        <f t="shared" si="301"/>
        <v>3149.5594951338649</v>
      </c>
      <c r="AK350" s="253">
        <f t="shared" si="301"/>
        <v>2601.3846801552381</v>
      </c>
      <c r="AL350" s="253">
        <f t="shared" si="301"/>
        <v>2601.3846801552381</v>
      </c>
      <c r="AM350" s="254">
        <f t="shared" si="302"/>
        <v>1355.0772000000002</v>
      </c>
      <c r="AN350" s="253">
        <f t="shared" si="302"/>
        <v>1209.9463628629017</v>
      </c>
      <c r="AO350" s="253">
        <f t="shared" si="302"/>
        <v>954.98133264028445</v>
      </c>
      <c r="AP350" s="253">
        <f t="shared" si="302"/>
        <v>1464.9113930855187</v>
      </c>
      <c r="AQ350" s="253">
        <f t="shared" si="302"/>
        <v>1209.9463628629017</v>
      </c>
      <c r="AR350" s="253">
        <f t="shared" si="302"/>
        <v>1209.9463628629017</v>
      </c>
      <c r="AS350" s="254">
        <f t="shared" si="302"/>
        <v>114165.25410000002</v>
      </c>
      <c r="AT350" s="253">
        <f t="shared" si="302"/>
        <v>101937.98107119947</v>
      </c>
      <c r="AU350" s="253">
        <f t="shared" si="302"/>
        <v>80457.17727494397</v>
      </c>
      <c r="AV350" s="253">
        <f t="shared" si="302"/>
        <v>123418.78486745496</v>
      </c>
      <c r="AW350" s="253">
        <f t="shared" si="302"/>
        <v>101937.98107119947</v>
      </c>
      <c r="AX350" s="255">
        <f t="shared" si="302"/>
        <v>101937.98107119947</v>
      </c>
      <c r="AY350" s="1"/>
      <c r="AZ350" s="1"/>
      <c r="BA350" s="1"/>
      <c r="BB350" s="1"/>
      <c r="BC350" s="1"/>
      <c r="BD350" s="1"/>
      <c r="BE350" s="1"/>
      <c r="BF350" s="1"/>
    </row>
    <row r="351" spans="2:58" x14ac:dyDescent="0.25">
      <c r="B351" s="1343"/>
      <c r="D351" s="1355"/>
      <c r="F351" s="270"/>
      <c r="G351" s="209" t="s">
        <v>105</v>
      </c>
      <c r="H351" s="209"/>
      <c r="I351" s="253">
        <f t="shared" ref="I351:R361" si="303">(INDEX($N$459:$N$484,MATCH($G351,$G$459:$G$484,0),1)*INDEX($Q$459:$Q$484,MATCH($G351,$G$459:$G$484,0),1)*$N$485*INDEX($I$459:$M$484,MATCH($G351,$G$459:$G$484,0),MATCH(I$6,$I$458:$M$458,0))
+INDEX($O$459:$O$484,MATCH($G351,$G$459:$G$484,0),1)*INDEX($R$459:$R$484,MATCH($G351,$G$459:$G$484,0),1)*$O$485)
*INDEX($I$406:$O$426,MATCH($G351,$G$406:$G$426,0),MATCH(I$8,$I$405:$O$405,0))</f>
        <v>36.697499999999998</v>
      </c>
      <c r="J351" s="253">
        <f t="shared" si="303"/>
        <v>32.210715445769871</v>
      </c>
      <c r="K351" s="253">
        <f t="shared" si="303"/>
        <v>24.328357829441963</v>
      </c>
      <c r="L351" s="253">
        <f t="shared" si="303"/>
        <v>40.093073062097787</v>
      </c>
      <c r="M351" s="253">
        <f t="shared" si="303"/>
        <v>32.210715445769871</v>
      </c>
      <c r="N351" s="253">
        <f t="shared" si="303"/>
        <v>32.210715445769871</v>
      </c>
      <c r="O351" s="254">
        <f t="shared" si="303"/>
        <v>611.625</v>
      </c>
      <c r="P351" s="253">
        <f t="shared" si="303"/>
        <v>536.84525742949791</v>
      </c>
      <c r="Q351" s="253">
        <f t="shared" si="303"/>
        <v>405.47263049069937</v>
      </c>
      <c r="R351" s="253">
        <f t="shared" si="303"/>
        <v>668.2178843682965</v>
      </c>
      <c r="S351" s="253">
        <f t="shared" ref="S351:AB361" si="304">(INDEX($N$459:$N$484,MATCH($G351,$G$459:$G$484,0),1)*INDEX($Q$459:$Q$484,MATCH($G351,$G$459:$G$484,0),1)*$N$485*INDEX($I$459:$M$484,MATCH($G351,$G$459:$G$484,0),MATCH(S$6,$I$458:$M$458,0))
+INDEX($O$459:$O$484,MATCH($G351,$G$459:$G$484,0),1)*INDEX($R$459:$R$484,MATCH($G351,$G$459:$G$484,0),1)*$O$485)
*INDEX($I$406:$O$426,MATCH($G351,$G$406:$G$426,0),MATCH(S$8,$I$405:$O$405,0))</f>
        <v>536.84525742949791</v>
      </c>
      <c r="T351" s="253">
        <f t="shared" si="304"/>
        <v>536.84525742949791</v>
      </c>
      <c r="U351" s="254">
        <f t="shared" si="304"/>
        <v>611.625</v>
      </c>
      <c r="V351" s="253">
        <f t="shared" si="304"/>
        <v>536.84525742949791</v>
      </c>
      <c r="W351" s="253">
        <f t="shared" si="304"/>
        <v>405.47263049069937</v>
      </c>
      <c r="X351" s="253">
        <f t="shared" si="304"/>
        <v>668.2178843682965</v>
      </c>
      <c r="Y351" s="253">
        <f t="shared" si="304"/>
        <v>536.84525742949791</v>
      </c>
      <c r="Z351" s="253">
        <f t="shared" si="304"/>
        <v>536.84525742949791</v>
      </c>
      <c r="AA351" s="254">
        <f t="shared" si="304"/>
        <v>2.4464999999999999</v>
      </c>
      <c r="AB351" s="253">
        <f t="shared" si="304"/>
        <v>2.1473810297179918</v>
      </c>
      <c r="AC351" s="253">
        <f t="shared" ref="AC351:AL361" si="305">(INDEX($N$459:$N$484,MATCH($G351,$G$459:$G$484,0),1)*INDEX($Q$459:$Q$484,MATCH($G351,$G$459:$G$484,0),1)*$N$485*INDEX($I$459:$M$484,MATCH($G351,$G$459:$G$484,0),MATCH(AC$6,$I$458:$M$458,0))
+INDEX($O$459:$O$484,MATCH($G351,$G$459:$G$484,0),1)*INDEX($R$459:$R$484,MATCH($G351,$G$459:$G$484,0),1)*$O$485)
*INDEX($I$406:$O$426,MATCH($G351,$G$406:$G$426,0),MATCH(AC$8,$I$405:$O$405,0))</f>
        <v>1.6218905219627975</v>
      </c>
      <c r="AD351" s="253">
        <f t="shared" si="305"/>
        <v>2.6728715374731862</v>
      </c>
      <c r="AE351" s="253">
        <f t="shared" si="305"/>
        <v>2.1473810297179918</v>
      </c>
      <c r="AF351" s="253">
        <f t="shared" si="305"/>
        <v>2.1473810297179918</v>
      </c>
      <c r="AG351" s="254">
        <f t="shared" si="305"/>
        <v>171.25500000000002</v>
      </c>
      <c r="AH351" s="253">
        <f t="shared" si="305"/>
        <v>150.31667208025942</v>
      </c>
      <c r="AI351" s="253">
        <f t="shared" si="305"/>
        <v>113.53233653739584</v>
      </c>
      <c r="AJ351" s="253">
        <f t="shared" si="305"/>
        <v>187.10100762312302</v>
      </c>
      <c r="AK351" s="253">
        <f t="shared" si="305"/>
        <v>150.31667208025942</v>
      </c>
      <c r="AL351" s="253">
        <f t="shared" si="305"/>
        <v>150.31667208025942</v>
      </c>
      <c r="AM351" s="254">
        <f t="shared" ref="AM351:AX361" si="306">(INDEX($N$459:$N$484,MATCH($G351,$G$459:$G$484,0),1)*INDEX($Q$459:$Q$484,MATCH($G351,$G$459:$G$484,0),1)*$N$485*INDEX($I$459:$M$484,MATCH($G351,$G$459:$G$484,0),MATCH(AM$6,$I$458:$M$458,0))
+INDEX($O$459:$O$484,MATCH($G351,$G$459:$G$484,0),1)*INDEX($R$459:$R$484,MATCH($G351,$G$459:$G$484,0),1)*$O$485)
*INDEX($I$406:$O$426,MATCH($G351,$G$406:$G$426,0),MATCH(AM$8,$I$405:$O$405,0))</f>
        <v>660.55500000000006</v>
      </c>
      <c r="AN351" s="253">
        <f t="shared" si="306"/>
        <v>579.79287802385772</v>
      </c>
      <c r="AO351" s="253">
        <f t="shared" si="306"/>
        <v>437.91044092995537</v>
      </c>
      <c r="AP351" s="253">
        <f t="shared" si="306"/>
        <v>721.67531511776031</v>
      </c>
      <c r="AQ351" s="253">
        <f t="shared" si="306"/>
        <v>579.79287802385772</v>
      </c>
      <c r="AR351" s="253">
        <f t="shared" si="306"/>
        <v>579.79287802385772</v>
      </c>
      <c r="AS351" s="254">
        <f t="shared" si="306"/>
        <v>4893</v>
      </c>
      <c r="AT351" s="253">
        <f t="shared" si="306"/>
        <v>4294.7620594359832</v>
      </c>
      <c r="AU351" s="253">
        <f t="shared" si="306"/>
        <v>3243.781043925595</v>
      </c>
      <c r="AV351" s="253">
        <f t="shared" si="306"/>
        <v>5345.743074946372</v>
      </c>
      <c r="AW351" s="253">
        <f t="shared" si="306"/>
        <v>4294.7620594359832</v>
      </c>
      <c r="AX351" s="255">
        <f t="shared" si="306"/>
        <v>4294.7620594359832</v>
      </c>
      <c r="AY351" s="1"/>
      <c r="AZ351" s="1"/>
      <c r="BA351" s="1"/>
      <c r="BB351" s="1"/>
      <c r="BC351" s="1"/>
      <c r="BD351" s="1"/>
      <c r="BE351" s="1"/>
      <c r="BF351" s="1"/>
    </row>
    <row r="352" spans="2:58" x14ac:dyDescent="0.25">
      <c r="B352" s="1343"/>
      <c r="D352" s="1355"/>
      <c r="F352" s="265"/>
      <c r="G352" s="209" t="s">
        <v>111</v>
      </c>
      <c r="H352" s="209"/>
      <c r="I352" s="253">
        <f t="shared" si="303"/>
        <v>277.51499999999999</v>
      </c>
      <c r="J352" s="253">
        <f t="shared" si="303"/>
        <v>217.34060227438064</v>
      </c>
      <c r="K352" s="253">
        <f t="shared" si="303"/>
        <v>147.77716107694962</v>
      </c>
      <c r="L352" s="253">
        <f t="shared" si="303"/>
        <v>286.90404347181169</v>
      </c>
      <c r="M352" s="253">
        <f t="shared" si="303"/>
        <v>217.34060227438064</v>
      </c>
      <c r="N352" s="253">
        <f t="shared" si="303"/>
        <v>217.34060227438064</v>
      </c>
      <c r="O352" s="254">
        <f t="shared" si="303"/>
        <v>3700.2000000000003</v>
      </c>
      <c r="P352" s="253">
        <f t="shared" si="303"/>
        <v>2897.8746969917424</v>
      </c>
      <c r="Q352" s="253">
        <f t="shared" si="303"/>
        <v>1970.3621476926619</v>
      </c>
      <c r="R352" s="253">
        <f t="shared" si="303"/>
        <v>3825.387246290823</v>
      </c>
      <c r="S352" s="253">
        <f t="shared" si="304"/>
        <v>2897.8746969917424</v>
      </c>
      <c r="T352" s="253">
        <f t="shared" si="304"/>
        <v>2897.8746969917424</v>
      </c>
      <c r="U352" s="254">
        <f t="shared" si="304"/>
        <v>10175.550000000001</v>
      </c>
      <c r="V352" s="253">
        <f t="shared" si="304"/>
        <v>7969.1554167272916</v>
      </c>
      <c r="W352" s="253">
        <f t="shared" si="304"/>
        <v>5418.4959061548207</v>
      </c>
      <c r="X352" s="253">
        <f t="shared" si="304"/>
        <v>10519.814927299763</v>
      </c>
      <c r="Y352" s="253">
        <f t="shared" si="304"/>
        <v>7969.1554167272916</v>
      </c>
      <c r="Z352" s="253">
        <f t="shared" si="304"/>
        <v>7969.1554167272916</v>
      </c>
      <c r="AA352" s="254">
        <f t="shared" si="304"/>
        <v>27.7515</v>
      </c>
      <c r="AB352" s="253">
        <f t="shared" si="304"/>
        <v>21.734060227438068</v>
      </c>
      <c r="AC352" s="253">
        <f t="shared" si="305"/>
        <v>14.777716107694964</v>
      </c>
      <c r="AD352" s="253">
        <f t="shared" si="305"/>
        <v>28.690404347181172</v>
      </c>
      <c r="AE352" s="253">
        <f t="shared" si="305"/>
        <v>21.734060227438068</v>
      </c>
      <c r="AF352" s="253">
        <f t="shared" si="305"/>
        <v>21.734060227438068</v>
      </c>
      <c r="AG352" s="254">
        <f t="shared" si="305"/>
        <v>2312.625</v>
      </c>
      <c r="AH352" s="253">
        <f t="shared" si="305"/>
        <v>1811.1716856198389</v>
      </c>
      <c r="AI352" s="253">
        <f t="shared" si="305"/>
        <v>1231.4763423079137</v>
      </c>
      <c r="AJ352" s="253">
        <f t="shared" si="305"/>
        <v>2390.8670289317643</v>
      </c>
      <c r="AK352" s="253">
        <f t="shared" si="305"/>
        <v>1811.1716856198389</v>
      </c>
      <c r="AL352" s="253">
        <f t="shared" si="305"/>
        <v>1811.1716856198389</v>
      </c>
      <c r="AM352" s="254">
        <f t="shared" si="306"/>
        <v>277.51499999999999</v>
      </c>
      <c r="AN352" s="253">
        <f t="shared" si="306"/>
        <v>217.34060227438064</v>
      </c>
      <c r="AO352" s="253">
        <f t="shared" si="306"/>
        <v>147.77716107694962</v>
      </c>
      <c r="AP352" s="253">
        <f t="shared" si="306"/>
        <v>286.90404347181169</v>
      </c>
      <c r="AQ352" s="253">
        <f t="shared" si="306"/>
        <v>217.34060227438064</v>
      </c>
      <c r="AR352" s="253">
        <f t="shared" si="306"/>
        <v>217.34060227438064</v>
      </c>
      <c r="AS352" s="254">
        <f t="shared" si="306"/>
        <v>26826.45</v>
      </c>
      <c r="AT352" s="253">
        <f t="shared" si="306"/>
        <v>21009.59155319013</v>
      </c>
      <c r="AU352" s="253">
        <f t="shared" si="306"/>
        <v>14285.125570771799</v>
      </c>
      <c r="AV352" s="253">
        <f t="shared" si="306"/>
        <v>27734.057535608463</v>
      </c>
      <c r="AW352" s="253">
        <f t="shared" si="306"/>
        <v>21009.59155319013</v>
      </c>
      <c r="AX352" s="255">
        <f t="shared" si="306"/>
        <v>21009.59155319013</v>
      </c>
      <c r="AY352" s="1"/>
      <c r="AZ352" s="1"/>
      <c r="BA352" s="1"/>
      <c r="BB352" s="1"/>
      <c r="BC352" s="1"/>
      <c r="BD352" s="1"/>
      <c r="BE352" s="1"/>
      <c r="BF352" s="1"/>
    </row>
    <row r="353" spans="2:58" x14ac:dyDescent="0.25">
      <c r="B353" s="1343"/>
      <c r="D353" s="1355"/>
      <c r="F353" s="265"/>
      <c r="G353" s="209" t="s">
        <v>109</v>
      </c>
      <c r="H353" s="209"/>
      <c r="I353" s="253">
        <f t="shared" si="303"/>
        <v>102.06319999999999</v>
      </c>
      <c r="J353" s="253">
        <f t="shared" si="303"/>
        <v>80.264511752271758</v>
      </c>
      <c r="K353" s="253">
        <f t="shared" si="303"/>
        <v>70.73762126448284</v>
      </c>
      <c r="L353" s="253">
        <f t="shared" si="303"/>
        <v>89.791402240060648</v>
      </c>
      <c r="M353" s="253">
        <f t="shared" si="303"/>
        <v>80.264511752271758</v>
      </c>
      <c r="N353" s="253">
        <f t="shared" si="303"/>
        <v>80.264511752271758</v>
      </c>
      <c r="O353" s="254">
        <f t="shared" si="303"/>
        <v>7144.4239999999991</v>
      </c>
      <c r="P353" s="253">
        <f t="shared" si="303"/>
        <v>5618.5158226590229</v>
      </c>
      <c r="Q353" s="253">
        <f t="shared" si="303"/>
        <v>4951.6334885137985</v>
      </c>
      <c r="R353" s="253">
        <f t="shared" si="303"/>
        <v>6285.3981568042454</v>
      </c>
      <c r="S353" s="253">
        <f t="shared" si="304"/>
        <v>5618.5158226590229</v>
      </c>
      <c r="T353" s="253">
        <f t="shared" si="304"/>
        <v>5618.5158226590229</v>
      </c>
      <c r="U353" s="254">
        <f t="shared" si="304"/>
        <v>22453.904000000002</v>
      </c>
      <c r="V353" s="253">
        <f t="shared" si="304"/>
        <v>17658.192585499786</v>
      </c>
      <c r="W353" s="253">
        <f t="shared" si="304"/>
        <v>15562.276678186226</v>
      </c>
      <c r="X353" s="253">
        <f t="shared" si="304"/>
        <v>19754.108492813346</v>
      </c>
      <c r="Y353" s="253">
        <f t="shared" si="304"/>
        <v>17658.192585499786</v>
      </c>
      <c r="Z353" s="253">
        <f t="shared" si="304"/>
        <v>17658.192585499786</v>
      </c>
      <c r="AA353" s="254">
        <f t="shared" si="304"/>
        <v>66.341079999999991</v>
      </c>
      <c r="AB353" s="253">
        <f t="shared" si="304"/>
        <v>52.171932638976642</v>
      </c>
      <c r="AC353" s="253">
        <f t="shared" si="305"/>
        <v>45.979453821913843</v>
      </c>
      <c r="AD353" s="253">
        <f t="shared" si="305"/>
        <v>58.36441145603942</v>
      </c>
      <c r="AE353" s="253">
        <f t="shared" si="305"/>
        <v>52.171932638976642</v>
      </c>
      <c r="AF353" s="253">
        <f t="shared" si="305"/>
        <v>52.171932638976642</v>
      </c>
      <c r="AG353" s="254">
        <f t="shared" si="305"/>
        <v>5103.16</v>
      </c>
      <c r="AH353" s="253">
        <f t="shared" si="305"/>
        <v>4013.2255876135878</v>
      </c>
      <c r="AI353" s="253">
        <f t="shared" si="305"/>
        <v>3536.8810632241421</v>
      </c>
      <c r="AJ353" s="253">
        <f t="shared" si="305"/>
        <v>4489.5701120030326</v>
      </c>
      <c r="AK353" s="253">
        <f t="shared" si="305"/>
        <v>4013.2255876135878</v>
      </c>
      <c r="AL353" s="253">
        <f t="shared" si="305"/>
        <v>4013.2255876135878</v>
      </c>
      <c r="AM353" s="254">
        <f t="shared" si="306"/>
        <v>2041.2640000000001</v>
      </c>
      <c r="AN353" s="253">
        <f t="shared" si="306"/>
        <v>1605.2902350454351</v>
      </c>
      <c r="AO353" s="253">
        <f t="shared" si="306"/>
        <v>1414.7524252896569</v>
      </c>
      <c r="AP353" s="253">
        <f t="shared" si="306"/>
        <v>1795.8280448012131</v>
      </c>
      <c r="AQ353" s="253">
        <f t="shared" si="306"/>
        <v>1605.2902350454351</v>
      </c>
      <c r="AR353" s="253">
        <f t="shared" si="306"/>
        <v>1605.2902350454351</v>
      </c>
      <c r="AS353" s="254">
        <f t="shared" si="306"/>
        <v>237296.94</v>
      </c>
      <c r="AT353" s="253">
        <f t="shared" si="306"/>
        <v>186614.98982403183</v>
      </c>
      <c r="AU353" s="253">
        <f t="shared" si="306"/>
        <v>164464.9694399226</v>
      </c>
      <c r="AV353" s="253">
        <f t="shared" si="306"/>
        <v>208765.01020814103</v>
      </c>
      <c r="AW353" s="253">
        <f t="shared" si="306"/>
        <v>186614.98982403183</v>
      </c>
      <c r="AX353" s="255">
        <f t="shared" si="306"/>
        <v>186614.98982403183</v>
      </c>
      <c r="AY353" s="1"/>
      <c r="AZ353" s="1"/>
      <c r="BA353" s="1"/>
      <c r="BB353" s="1"/>
      <c r="BC353" s="1"/>
      <c r="BD353" s="1"/>
      <c r="BE353" s="1"/>
      <c r="BF353" s="1"/>
    </row>
    <row r="354" spans="2:58" x14ac:dyDescent="0.25">
      <c r="B354" s="1343"/>
      <c r="D354" s="1355"/>
      <c r="F354" s="265"/>
      <c r="G354" s="209" t="s">
        <v>99</v>
      </c>
      <c r="H354" s="209"/>
      <c r="I354" s="253">
        <f t="shared" si="303"/>
        <v>92.652299999999997</v>
      </c>
      <c r="J354" s="253">
        <f t="shared" si="303"/>
        <v>73.749724330804455</v>
      </c>
      <c r="K354" s="253">
        <f t="shared" si="303"/>
        <v>64.218092934648396</v>
      </c>
      <c r="L354" s="253">
        <f t="shared" si="303"/>
        <v>83.281355726960498</v>
      </c>
      <c r="M354" s="253">
        <f t="shared" si="303"/>
        <v>73.749724330804455</v>
      </c>
      <c r="N354" s="253">
        <f t="shared" si="303"/>
        <v>73.749724330804455</v>
      </c>
      <c r="O354" s="254">
        <f t="shared" si="303"/>
        <v>6628.2030000000004</v>
      </c>
      <c r="P354" s="253">
        <f t="shared" si="303"/>
        <v>5275.941817511396</v>
      </c>
      <c r="Q354" s="253">
        <f t="shared" si="303"/>
        <v>4594.0635714786931</v>
      </c>
      <c r="R354" s="253">
        <f t="shared" si="303"/>
        <v>5957.8200635440971</v>
      </c>
      <c r="S354" s="253">
        <f t="shared" si="304"/>
        <v>5275.941817511396</v>
      </c>
      <c r="T354" s="253">
        <f t="shared" si="304"/>
        <v>5275.941817511396</v>
      </c>
      <c r="U354" s="254">
        <f t="shared" si="304"/>
        <v>22165.280999999999</v>
      </c>
      <c r="V354" s="253">
        <f t="shared" si="304"/>
        <v>17643.203282215527</v>
      </c>
      <c r="W354" s="253">
        <f t="shared" si="304"/>
        <v>15362.943771288961</v>
      </c>
      <c r="X354" s="253">
        <f t="shared" si="304"/>
        <v>19923.462793142087</v>
      </c>
      <c r="Y354" s="253">
        <f t="shared" si="304"/>
        <v>17643.203282215527</v>
      </c>
      <c r="Z354" s="253">
        <f t="shared" si="304"/>
        <v>17643.203282215527</v>
      </c>
      <c r="AA354" s="254">
        <f t="shared" si="304"/>
        <v>61.435601999999996</v>
      </c>
      <c r="AB354" s="253">
        <f t="shared" si="304"/>
        <v>48.9017402870411</v>
      </c>
      <c r="AC354" s="253">
        <f t="shared" si="305"/>
        <v>42.58153546897455</v>
      </c>
      <c r="AD354" s="253">
        <f t="shared" si="305"/>
        <v>55.22194510510765</v>
      </c>
      <c r="AE354" s="253">
        <f t="shared" si="305"/>
        <v>48.9017402870411</v>
      </c>
      <c r="AF354" s="253">
        <f t="shared" si="305"/>
        <v>48.9017402870411</v>
      </c>
      <c r="AG354" s="254">
        <f t="shared" si="305"/>
        <v>6129.3060000000005</v>
      </c>
      <c r="AH354" s="253">
        <f t="shared" si="305"/>
        <v>4878.8279172686025</v>
      </c>
      <c r="AI354" s="253">
        <f t="shared" si="305"/>
        <v>4248.273840292125</v>
      </c>
      <c r="AJ354" s="253">
        <f t="shared" si="305"/>
        <v>5509.3819942450791</v>
      </c>
      <c r="AK354" s="253">
        <f t="shared" si="305"/>
        <v>4878.8279172686025</v>
      </c>
      <c r="AL354" s="253">
        <f t="shared" si="305"/>
        <v>4878.8279172686025</v>
      </c>
      <c r="AM354" s="254">
        <f t="shared" si="306"/>
        <v>2138.13</v>
      </c>
      <c r="AN354" s="253">
        <f t="shared" si="306"/>
        <v>1701.9167153262565</v>
      </c>
      <c r="AO354" s="253">
        <f t="shared" si="306"/>
        <v>1481.9559907995783</v>
      </c>
      <c r="AP354" s="253">
        <f t="shared" si="306"/>
        <v>1921.8774398529345</v>
      </c>
      <c r="AQ354" s="253">
        <f t="shared" si="306"/>
        <v>1701.9167153262565</v>
      </c>
      <c r="AR354" s="253">
        <f t="shared" si="306"/>
        <v>1701.9167153262565</v>
      </c>
      <c r="AS354" s="254">
        <f t="shared" si="306"/>
        <v>205260.48</v>
      </c>
      <c r="AT354" s="253">
        <f t="shared" si="306"/>
        <v>163384.00467132064</v>
      </c>
      <c r="AU354" s="253">
        <f t="shared" si="306"/>
        <v>142267.77511675953</v>
      </c>
      <c r="AV354" s="253">
        <f t="shared" si="306"/>
        <v>184500.23422588172</v>
      </c>
      <c r="AW354" s="253">
        <f t="shared" si="306"/>
        <v>163384.00467132064</v>
      </c>
      <c r="AX354" s="255">
        <f t="shared" si="306"/>
        <v>163384.00467132064</v>
      </c>
      <c r="AY354" s="1"/>
      <c r="AZ354" s="1"/>
      <c r="BA354" s="1"/>
      <c r="BB354" s="1"/>
      <c r="BC354" s="1"/>
      <c r="BD354" s="1"/>
      <c r="BE354" s="1"/>
      <c r="BF354" s="1"/>
    </row>
    <row r="355" spans="2:58" x14ac:dyDescent="0.25">
      <c r="B355" s="1343"/>
      <c r="D355" s="1355"/>
      <c r="F355" s="265"/>
      <c r="G355" s="209" t="s">
        <v>106</v>
      </c>
      <c r="H355" s="209"/>
      <c r="I355" s="253">
        <f t="shared" si="303"/>
        <v>286.93</v>
      </c>
      <c r="J355" s="253">
        <f t="shared" si="303"/>
        <v>263.40419823269025</v>
      </c>
      <c r="K355" s="253">
        <f t="shared" si="303"/>
        <v>222.07420333334872</v>
      </c>
      <c r="L355" s="253">
        <f t="shared" si="303"/>
        <v>304.73419313203169</v>
      </c>
      <c r="M355" s="253">
        <f t="shared" si="303"/>
        <v>263.40419823269025</v>
      </c>
      <c r="N355" s="253">
        <f t="shared" si="303"/>
        <v>263.40419823269025</v>
      </c>
      <c r="O355" s="254">
        <f t="shared" si="303"/>
        <v>1434.65</v>
      </c>
      <c r="P355" s="253">
        <f t="shared" si="303"/>
        <v>1317.0209911634511</v>
      </c>
      <c r="Q355" s="253">
        <f t="shared" si="303"/>
        <v>1110.3710166667436</v>
      </c>
      <c r="R355" s="253">
        <f t="shared" si="303"/>
        <v>1523.6709656601583</v>
      </c>
      <c r="S355" s="253">
        <f t="shared" si="304"/>
        <v>1317.0209911634511</v>
      </c>
      <c r="T355" s="253">
        <f t="shared" si="304"/>
        <v>1317.0209911634511</v>
      </c>
      <c r="U355" s="254">
        <f t="shared" si="304"/>
        <v>36210.565999999999</v>
      </c>
      <c r="V355" s="253">
        <f t="shared" si="304"/>
        <v>33241.609816965502</v>
      </c>
      <c r="W355" s="253">
        <f t="shared" si="304"/>
        <v>28025.764460668604</v>
      </c>
      <c r="X355" s="253">
        <f t="shared" si="304"/>
        <v>38457.455173262395</v>
      </c>
      <c r="Y355" s="253">
        <f t="shared" si="304"/>
        <v>33241.609816965502</v>
      </c>
      <c r="Z355" s="253">
        <f t="shared" si="304"/>
        <v>33241.609816965502</v>
      </c>
      <c r="AA355" s="254">
        <f t="shared" si="304"/>
        <v>24.733366</v>
      </c>
      <c r="AB355" s="253">
        <f t="shared" si="304"/>
        <v>22.705441887657894</v>
      </c>
      <c r="AC355" s="253">
        <f t="shared" si="305"/>
        <v>19.142796327334658</v>
      </c>
      <c r="AD355" s="253">
        <f t="shared" si="305"/>
        <v>26.268087447981127</v>
      </c>
      <c r="AE355" s="253">
        <f t="shared" si="305"/>
        <v>22.705441887657894</v>
      </c>
      <c r="AF355" s="253">
        <f t="shared" si="305"/>
        <v>22.705441887657894</v>
      </c>
      <c r="AG355" s="254">
        <f t="shared" si="305"/>
        <v>2467.598</v>
      </c>
      <c r="AH355" s="253">
        <f t="shared" si="305"/>
        <v>2265.2761048011357</v>
      </c>
      <c r="AI355" s="253">
        <f t="shared" si="305"/>
        <v>1909.8381486667988</v>
      </c>
      <c r="AJ355" s="253">
        <f t="shared" si="305"/>
        <v>2620.7140609354724</v>
      </c>
      <c r="AK355" s="253">
        <f t="shared" si="305"/>
        <v>2265.2761048011357</v>
      </c>
      <c r="AL355" s="253">
        <f t="shared" si="305"/>
        <v>2265.2761048011357</v>
      </c>
      <c r="AM355" s="254">
        <f t="shared" si="306"/>
        <v>2869.3</v>
      </c>
      <c r="AN355" s="253">
        <f t="shared" si="306"/>
        <v>2634.0419823269021</v>
      </c>
      <c r="AO355" s="253">
        <f t="shared" si="306"/>
        <v>2220.7420333334871</v>
      </c>
      <c r="AP355" s="253">
        <f t="shared" si="306"/>
        <v>3047.3419313203167</v>
      </c>
      <c r="AQ355" s="253">
        <f t="shared" si="306"/>
        <v>2634.0419823269021</v>
      </c>
      <c r="AR355" s="253">
        <f t="shared" si="306"/>
        <v>2634.0419823269021</v>
      </c>
      <c r="AS355" s="254">
        <f t="shared" si="306"/>
        <v>142317.28</v>
      </c>
      <c r="AT355" s="253">
        <f t="shared" si="306"/>
        <v>130648.48232341436</v>
      </c>
      <c r="AU355" s="253">
        <f t="shared" si="306"/>
        <v>110148.80485334096</v>
      </c>
      <c r="AV355" s="253">
        <f t="shared" si="306"/>
        <v>151148.15979348772</v>
      </c>
      <c r="AW355" s="253">
        <f t="shared" si="306"/>
        <v>130648.48232341436</v>
      </c>
      <c r="AX355" s="255">
        <f t="shared" si="306"/>
        <v>130648.48232341436</v>
      </c>
      <c r="AY355" s="1"/>
      <c r="AZ355" s="1"/>
      <c r="BA355" s="1"/>
      <c r="BB355" s="1"/>
      <c r="BC355" s="1"/>
      <c r="BD355" s="1"/>
      <c r="BE355" s="1"/>
      <c r="BF355" s="1"/>
    </row>
    <row r="356" spans="2:58" x14ac:dyDescent="0.25">
      <c r="B356" s="1343"/>
      <c r="D356" s="1355"/>
      <c r="F356" s="265"/>
      <c r="G356" s="209" t="s">
        <v>112</v>
      </c>
      <c r="H356" s="209"/>
      <c r="I356" s="253">
        <f t="shared" si="303"/>
        <v>924.16</v>
      </c>
      <c r="J356" s="253">
        <f t="shared" si="303"/>
        <v>734.72497671481835</v>
      </c>
      <c r="K356" s="253">
        <f t="shared" si="303"/>
        <v>518.58239165758289</v>
      </c>
      <c r="L356" s="253">
        <f t="shared" si="303"/>
        <v>950.8675617720537</v>
      </c>
      <c r="M356" s="253">
        <f t="shared" si="303"/>
        <v>734.72497671481835</v>
      </c>
      <c r="N356" s="253">
        <f t="shared" si="303"/>
        <v>734.72497671481835</v>
      </c>
      <c r="O356" s="254">
        <f t="shared" si="303"/>
        <v>5082.88</v>
      </c>
      <c r="P356" s="253">
        <f t="shared" si="303"/>
        <v>4040.987371931501</v>
      </c>
      <c r="Q356" s="253">
        <f t="shared" si="303"/>
        <v>2852.2031541167062</v>
      </c>
      <c r="R356" s="253">
        <f t="shared" si="303"/>
        <v>5229.7715897462958</v>
      </c>
      <c r="S356" s="253">
        <f t="shared" si="304"/>
        <v>4040.987371931501</v>
      </c>
      <c r="T356" s="253">
        <f t="shared" si="304"/>
        <v>4040.987371931501</v>
      </c>
      <c r="U356" s="254">
        <f t="shared" si="304"/>
        <v>25414.400000000001</v>
      </c>
      <c r="V356" s="253">
        <f t="shared" si="304"/>
        <v>20204.936859657504</v>
      </c>
      <c r="W356" s="253">
        <f t="shared" si="304"/>
        <v>14261.015770583532</v>
      </c>
      <c r="X356" s="253">
        <f t="shared" si="304"/>
        <v>26148.857948731478</v>
      </c>
      <c r="Y356" s="253">
        <f t="shared" si="304"/>
        <v>20204.936859657504</v>
      </c>
      <c r="Z356" s="253">
        <f t="shared" si="304"/>
        <v>20204.936859657504</v>
      </c>
      <c r="AA356" s="254">
        <f t="shared" si="304"/>
        <v>25.414400000000001</v>
      </c>
      <c r="AB356" s="253">
        <f t="shared" si="304"/>
        <v>20.204936859657504</v>
      </c>
      <c r="AC356" s="253">
        <f t="shared" si="305"/>
        <v>14.261015770583532</v>
      </c>
      <c r="AD356" s="253">
        <f t="shared" si="305"/>
        <v>26.148857948731479</v>
      </c>
      <c r="AE356" s="253">
        <f t="shared" si="305"/>
        <v>20.204936859657504</v>
      </c>
      <c r="AF356" s="253">
        <f t="shared" si="305"/>
        <v>20.204936859657504</v>
      </c>
      <c r="AG356" s="254">
        <f t="shared" si="305"/>
        <v>2171.7759999999998</v>
      </c>
      <c r="AH356" s="253">
        <f t="shared" si="305"/>
        <v>1726.6036952798231</v>
      </c>
      <c r="AI356" s="253">
        <f t="shared" si="305"/>
        <v>1218.66862039532</v>
      </c>
      <c r="AJ356" s="253">
        <f t="shared" si="305"/>
        <v>2234.5387701643263</v>
      </c>
      <c r="AK356" s="253">
        <f t="shared" si="305"/>
        <v>1726.6036952798231</v>
      </c>
      <c r="AL356" s="253">
        <f t="shared" si="305"/>
        <v>1726.6036952798231</v>
      </c>
      <c r="AM356" s="254">
        <f t="shared" si="306"/>
        <v>3558.0160000000001</v>
      </c>
      <c r="AN356" s="253">
        <f t="shared" si="306"/>
        <v>2828.6911603520507</v>
      </c>
      <c r="AO356" s="253">
        <f t="shared" si="306"/>
        <v>1996.5422078816941</v>
      </c>
      <c r="AP356" s="253">
        <f t="shared" si="306"/>
        <v>3660.8401128224068</v>
      </c>
      <c r="AQ356" s="253">
        <f t="shared" si="306"/>
        <v>2828.6911603520507</v>
      </c>
      <c r="AR356" s="253">
        <f t="shared" si="306"/>
        <v>2828.6911603520507</v>
      </c>
      <c r="AS356" s="254">
        <f t="shared" si="306"/>
        <v>143244.80000000002</v>
      </c>
      <c r="AT356" s="253">
        <f t="shared" si="306"/>
        <v>113882.37139079685</v>
      </c>
      <c r="AU356" s="253">
        <f t="shared" si="306"/>
        <v>80380.270706925352</v>
      </c>
      <c r="AV356" s="253">
        <f t="shared" si="306"/>
        <v>147384.47207466833</v>
      </c>
      <c r="AW356" s="253">
        <f t="shared" si="306"/>
        <v>113882.37139079685</v>
      </c>
      <c r="AX356" s="255">
        <f t="shared" si="306"/>
        <v>113882.37139079685</v>
      </c>
      <c r="AY356" s="1"/>
      <c r="AZ356" s="1"/>
      <c r="BA356" s="1"/>
      <c r="BB356" s="1"/>
      <c r="BC356" s="1"/>
      <c r="BD356" s="1"/>
      <c r="BE356" s="1"/>
      <c r="BF356" s="1"/>
    </row>
    <row r="357" spans="2:58" x14ac:dyDescent="0.25">
      <c r="B357" s="1343"/>
      <c r="D357" s="1355"/>
      <c r="F357" s="265"/>
      <c r="G357" s="209" t="s">
        <v>110</v>
      </c>
      <c r="H357" s="209"/>
      <c r="I357" s="253">
        <f t="shared" si="303"/>
        <v>201.62400000000002</v>
      </c>
      <c r="J357" s="253">
        <f t="shared" si="303"/>
        <v>140.29762394290393</v>
      </c>
      <c r="K357" s="253">
        <f t="shared" si="303"/>
        <v>113.49556768753263</v>
      </c>
      <c r="L357" s="253">
        <f t="shared" si="303"/>
        <v>167.09968019827522</v>
      </c>
      <c r="M357" s="253">
        <f t="shared" si="303"/>
        <v>140.29762394290393</v>
      </c>
      <c r="N357" s="253">
        <f t="shared" si="303"/>
        <v>140.29762394290393</v>
      </c>
      <c r="O357" s="254">
        <f t="shared" si="303"/>
        <v>1008.12</v>
      </c>
      <c r="P357" s="253">
        <f t="shared" si="303"/>
        <v>701.4881197145196</v>
      </c>
      <c r="Q357" s="253">
        <f t="shared" si="303"/>
        <v>567.47783843766308</v>
      </c>
      <c r="R357" s="253">
        <f t="shared" si="303"/>
        <v>835.49840099137612</v>
      </c>
      <c r="S357" s="253">
        <f t="shared" si="304"/>
        <v>701.4881197145196</v>
      </c>
      <c r="T357" s="253">
        <f t="shared" si="304"/>
        <v>701.4881197145196</v>
      </c>
      <c r="U357" s="254">
        <f t="shared" si="304"/>
        <v>25444.948799999998</v>
      </c>
      <c r="V357" s="253">
        <f t="shared" si="304"/>
        <v>17705.560141594473</v>
      </c>
      <c r="W357" s="253">
        <f t="shared" si="304"/>
        <v>14323.140642166616</v>
      </c>
      <c r="X357" s="253">
        <f t="shared" si="304"/>
        <v>21087.979641022332</v>
      </c>
      <c r="Y357" s="253">
        <f t="shared" si="304"/>
        <v>17705.560141594473</v>
      </c>
      <c r="Z357" s="253">
        <f t="shared" si="304"/>
        <v>17705.560141594473</v>
      </c>
      <c r="AA357" s="254">
        <f t="shared" si="304"/>
        <v>17.3799888</v>
      </c>
      <c r="AB357" s="253">
        <f t="shared" si="304"/>
        <v>12.093655183878317</v>
      </c>
      <c r="AC357" s="253">
        <f t="shared" si="305"/>
        <v>9.7833179346653107</v>
      </c>
      <c r="AD357" s="253">
        <f t="shared" si="305"/>
        <v>14.403992433091323</v>
      </c>
      <c r="AE357" s="253">
        <f t="shared" si="305"/>
        <v>12.093655183878317</v>
      </c>
      <c r="AF357" s="253">
        <f t="shared" si="305"/>
        <v>12.093655183878317</v>
      </c>
      <c r="AG357" s="254">
        <f t="shared" si="305"/>
        <v>1733.9664</v>
      </c>
      <c r="AH357" s="253">
        <f t="shared" si="305"/>
        <v>1206.5595659089736</v>
      </c>
      <c r="AI357" s="253">
        <f t="shared" si="305"/>
        <v>976.06188211278049</v>
      </c>
      <c r="AJ357" s="253">
        <f t="shared" si="305"/>
        <v>1437.0572497051669</v>
      </c>
      <c r="AK357" s="253">
        <f t="shared" si="305"/>
        <v>1206.5595659089736</v>
      </c>
      <c r="AL357" s="253">
        <f t="shared" si="305"/>
        <v>1206.5595659089736</v>
      </c>
      <c r="AM357" s="254">
        <f t="shared" si="306"/>
        <v>2016.24</v>
      </c>
      <c r="AN357" s="253">
        <f t="shared" si="306"/>
        <v>1402.9762394290392</v>
      </c>
      <c r="AO357" s="253">
        <f t="shared" si="306"/>
        <v>1134.9556768753262</v>
      </c>
      <c r="AP357" s="253">
        <f t="shared" si="306"/>
        <v>1670.9968019827522</v>
      </c>
      <c r="AQ357" s="253">
        <f t="shared" si="306"/>
        <v>1402.9762394290392</v>
      </c>
      <c r="AR357" s="253">
        <f t="shared" si="306"/>
        <v>1402.9762394290392</v>
      </c>
      <c r="AS357" s="254">
        <f t="shared" si="306"/>
        <v>100005.504</v>
      </c>
      <c r="AT357" s="253">
        <f t="shared" si="306"/>
        <v>69587.621475680353</v>
      </c>
      <c r="AU357" s="253">
        <f t="shared" si="306"/>
        <v>56293.801573016179</v>
      </c>
      <c r="AV357" s="253">
        <f t="shared" si="306"/>
        <v>82881.44137834452</v>
      </c>
      <c r="AW357" s="253">
        <f t="shared" si="306"/>
        <v>69587.621475680353</v>
      </c>
      <c r="AX357" s="255">
        <f t="shared" si="306"/>
        <v>69587.621475680353</v>
      </c>
      <c r="AY357" s="1"/>
      <c r="AZ357" s="1"/>
      <c r="BA357" s="1"/>
      <c r="BB357" s="1"/>
      <c r="BC357" s="1"/>
      <c r="BD357" s="1"/>
      <c r="BE357" s="1"/>
      <c r="BF357" s="1"/>
    </row>
    <row r="358" spans="2:58" x14ac:dyDescent="0.25">
      <c r="B358" s="1343"/>
      <c r="D358" s="1355"/>
      <c r="F358" s="265"/>
      <c r="G358" s="209" t="s">
        <v>100</v>
      </c>
      <c r="H358" s="209"/>
      <c r="I358" s="253">
        <f t="shared" si="303"/>
        <v>103.75793999999999</v>
      </c>
      <c r="J358" s="253">
        <f t="shared" si="303"/>
        <v>82.498287336972837</v>
      </c>
      <c r="K358" s="253">
        <f t="shared" si="303"/>
        <v>71.778098917121042</v>
      </c>
      <c r="L358" s="253">
        <f t="shared" si="303"/>
        <v>93.218475756824631</v>
      </c>
      <c r="M358" s="253">
        <f t="shared" si="303"/>
        <v>82.498287336972837</v>
      </c>
      <c r="N358" s="253">
        <f t="shared" si="303"/>
        <v>82.498287336972837</v>
      </c>
      <c r="O358" s="254">
        <f t="shared" si="303"/>
        <v>18197.546399999996</v>
      </c>
      <c r="P358" s="253">
        <f t="shared" si="303"/>
        <v>14468.930394484467</v>
      </c>
      <c r="Q358" s="253">
        <f t="shared" si="303"/>
        <v>12588.774271618153</v>
      </c>
      <c r="R358" s="253">
        <f t="shared" si="303"/>
        <v>16349.086517350781</v>
      </c>
      <c r="S358" s="253">
        <f t="shared" si="304"/>
        <v>14468.930394484467</v>
      </c>
      <c r="T358" s="253">
        <f t="shared" si="304"/>
        <v>14468.930394484467</v>
      </c>
      <c r="U358" s="254">
        <f t="shared" si="304"/>
        <v>37512.485999999997</v>
      </c>
      <c r="V358" s="253">
        <f t="shared" si="304"/>
        <v>29826.303883367105</v>
      </c>
      <c r="W358" s="253">
        <f t="shared" si="304"/>
        <v>25950.543454651459</v>
      </c>
      <c r="X358" s="253">
        <f t="shared" si="304"/>
        <v>33702.064312082752</v>
      </c>
      <c r="Y358" s="253">
        <f t="shared" si="304"/>
        <v>29826.303883367105</v>
      </c>
      <c r="Z358" s="253">
        <f t="shared" si="304"/>
        <v>29826.303883367105</v>
      </c>
      <c r="AA358" s="254">
        <f t="shared" si="304"/>
        <v>68.799495599999986</v>
      </c>
      <c r="AB358" s="253">
        <f t="shared" si="304"/>
        <v>54.70271052651583</v>
      </c>
      <c r="AC358" s="253">
        <f t="shared" si="305"/>
        <v>47.594400974275644</v>
      </c>
      <c r="AD358" s="253">
        <f t="shared" si="305"/>
        <v>61.811020078756016</v>
      </c>
      <c r="AE358" s="253">
        <f t="shared" si="305"/>
        <v>54.70271052651583</v>
      </c>
      <c r="AF358" s="253">
        <f t="shared" si="305"/>
        <v>54.70271052651583</v>
      </c>
      <c r="AG358" s="254">
        <f t="shared" si="305"/>
        <v>6863.9867999999988</v>
      </c>
      <c r="AH358" s="253">
        <f t="shared" si="305"/>
        <v>5457.5790084458959</v>
      </c>
      <c r="AI358" s="253">
        <f t="shared" si="305"/>
        <v>4748.3973129787773</v>
      </c>
      <c r="AJ358" s="253">
        <f t="shared" si="305"/>
        <v>6166.7607039130144</v>
      </c>
      <c r="AK358" s="253">
        <f t="shared" si="305"/>
        <v>5457.5790084458959</v>
      </c>
      <c r="AL358" s="253">
        <f t="shared" si="305"/>
        <v>5457.5790084458959</v>
      </c>
      <c r="AM358" s="254">
        <f t="shared" si="306"/>
        <v>1117.3932</v>
      </c>
      <c r="AN358" s="253">
        <f t="shared" si="306"/>
        <v>888.44309439816914</v>
      </c>
      <c r="AO358" s="253">
        <f t="shared" si="306"/>
        <v>772.99491141514989</v>
      </c>
      <c r="AP358" s="253">
        <f t="shared" si="306"/>
        <v>1003.8912773811884</v>
      </c>
      <c r="AQ358" s="253">
        <f t="shared" si="306"/>
        <v>888.44309439816914</v>
      </c>
      <c r="AR358" s="253">
        <f t="shared" si="306"/>
        <v>888.44309439816914</v>
      </c>
      <c r="AS358" s="254">
        <f t="shared" si="306"/>
        <v>271366.92</v>
      </c>
      <c r="AT358" s="253">
        <f t="shared" si="306"/>
        <v>215764.75149669818</v>
      </c>
      <c r="AU358" s="253">
        <f t="shared" si="306"/>
        <v>187727.33562939352</v>
      </c>
      <c r="AV358" s="253">
        <f t="shared" si="306"/>
        <v>243802.16736400287</v>
      </c>
      <c r="AW358" s="253">
        <f t="shared" si="306"/>
        <v>215764.75149669818</v>
      </c>
      <c r="AX358" s="255">
        <f t="shared" si="306"/>
        <v>215764.75149669818</v>
      </c>
      <c r="AY358" s="1"/>
      <c r="AZ358" s="1"/>
      <c r="BA358" s="1"/>
      <c r="BB358" s="1"/>
      <c r="BC358" s="1"/>
      <c r="BD358" s="1"/>
      <c r="BE358" s="1"/>
      <c r="BF358" s="1"/>
    </row>
    <row r="359" spans="2:58" x14ac:dyDescent="0.25">
      <c r="B359" s="1343"/>
      <c r="D359" s="1355"/>
      <c r="F359" s="265"/>
      <c r="G359" s="256" t="s">
        <v>101</v>
      </c>
      <c r="H359" s="209"/>
      <c r="I359" s="257">
        <f t="shared" si="303"/>
        <v>137.40986999999998</v>
      </c>
      <c r="J359" s="257">
        <f t="shared" si="303"/>
        <v>105.64229983012989</v>
      </c>
      <c r="K359" s="257">
        <f t="shared" si="303"/>
        <v>93.966190878117771</v>
      </c>
      <c r="L359" s="257">
        <f t="shared" si="303"/>
        <v>117.318408782142</v>
      </c>
      <c r="M359" s="257">
        <f t="shared" si="303"/>
        <v>105.64229983012989</v>
      </c>
      <c r="N359" s="257">
        <f t="shared" si="303"/>
        <v>105.64229983012989</v>
      </c>
      <c r="O359" s="258">
        <f t="shared" si="303"/>
        <v>24099.577199999996</v>
      </c>
      <c r="P359" s="257">
        <f t="shared" si="303"/>
        <v>18528.034124053549</v>
      </c>
      <c r="Q359" s="257">
        <f t="shared" si="303"/>
        <v>16480.224246316036</v>
      </c>
      <c r="R359" s="257">
        <f t="shared" si="303"/>
        <v>20575.844001791058</v>
      </c>
      <c r="S359" s="257">
        <f t="shared" si="304"/>
        <v>18528.034124053549</v>
      </c>
      <c r="T359" s="257">
        <f t="shared" si="304"/>
        <v>18528.034124053549</v>
      </c>
      <c r="U359" s="258">
        <f t="shared" si="304"/>
        <v>43336.958999999995</v>
      </c>
      <c r="V359" s="257">
        <f t="shared" si="304"/>
        <v>33317.956100271731</v>
      </c>
      <c r="W359" s="257">
        <f t="shared" si="304"/>
        <v>29635.490969252525</v>
      </c>
      <c r="X359" s="257">
        <f t="shared" si="304"/>
        <v>37000.421231290937</v>
      </c>
      <c r="Y359" s="257">
        <f t="shared" si="304"/>
        <v>33317.956100271731</v>
      </c>
      <c r="Z359" s="257">
        <f t="shared" si="304"/>
        <v>33317.956100271731</v>
      </c>
      <c r="AA359" s="258">
        <f t="shared" si="304"/>
        <v>91.113313799999986</v>
      </c>
      <c r="AB359" s="257">
        <f t="shared" si="304"/>
        <v>70.048971118132272</v>
      </c>
      <c r="AC359" s="257">
        <f t="shared" si="305"/>
        <v>62.306812720721162</v>
      </c>
      <c r="AD359" s="257">
        <f t="shared" si="305"/>
        <v>77.791129515543389</v>
      </c>
      <c r="AE359" s="257">
        <f t="shared" si="305"/>
        <v>70.048971118132272</v>
      </c>
      <c r="AF359" s="257">
        <f t="shared" si="305"/>
        <v>70.048971118132272</v>
      </c>
      <c r="AG359" s="258">
        <f t="shared" si="305"/>
        <v>9090.1913999999997</v>
      </c>
      <c r="AH359" s="257">
        <f t="shared" si="305"/>
        <v>6988.6444503009006</v>
      </c>
      <c r="AI359" s="257">
        <f t="shared" si="305"/>
        <v>6216.2249350139446</v>
      </c>
      <c r="AJ359" s="257">
        <f t="shared" si="305"/>
        <v>7761.0639655878558</v>
      </c>
      <c r="AK359" s="257">
        <f t="shared" si="305"/>
        <v>6988.6444503009006</v>
      </c>
      <c r="AL359" s="257">
        <f t="shared" si="305"/>
        <v>6988.6444503009006</v>
      </c>
      <c r="AM359" s="258">
        <f t="shared" si="306"/>
        <v>1056.999</v>
      </c>
      <c r="AN359" s="257">
        <f t="shared" si="306"/>
        <v>812.63307561638385</v>
      </c>
      <c r="AO359" s="257">
        <f t="shared" si="306"/>
        <v>722.81685290859832</v>
      </c>
      <c r="AP359" s="257">
        <f t="shared" si="306"/>
        <v>902.44929832416938</v>
      </c>
      <c r="AQ359" s="257">
        <f t="shared" si="306"/>
        <v>812.63307561638385</v>
      </c>
      <c r="AR359" s="257">
        <f t="shared" si="306"/>
        <v>812.63307561638385</v>
      </c>
      <c r="AS359" s="258">
        <f t="shared" si="306"/>
        <v>262135.75200000001</v>
      </c>
      <c r="AT359" s="257">
        <f t="shared" si="306"/>
        <v>201533.00275286319</v>
      </c>
      <c r="AU359" s="257">
        <f t="shared" si="306"/>
        <v>179258.57952133237</v>
      </c>
      <c r="AV359" s="257">
        <f t="shared" si="306"/>
        <v>223807.42598439398</v>
      </c>
      <c r="AW359" s="257">
        <f t="shared" si="306"/>
        <v>201533.00275286319</v>
      </c>
      <c r="AX359" s="259">
        <f t="shared" si="306"/>
        <v>201533.00275286319</v>
      </c>
      <c r="AY359" s="1"/>
      <c r="AZ359" s="1"/>
      <c r="BA359" s="1"/>
      <c r="BB359" s="1"/>
      <c r="BC359" s="1"/>
      <c r="BD359" s="1"/>
      <c r="BE359" s="1"/>
      <c r="BF359" s="1"/>
    </row>
    <row r="360" spans="2:58" x14ac:dyDescent="0.25">
      <c r="B360" s="1343"/>
      <c r="D360" s="1355"/>
      <c r="F360" s="265"/>
      <c r="G360" s="209" t="s">
        <v>630</v>
      </c>
      <c r="H360" s="209"/>
      <c r="I360" s="253">
        <f t="shared" si="303"/>
        <v>2178.36</v>
      </c>
      <c r="J360" s="253">
        <f t="shared" si="303"/>
        <v>2178.36</v>
      </c>
      <c r="K360" s="253">
        <f t="shared" si="303"/>
        <v>2178.36</v>
      </c>
      <c r="L360" s="253">
        <f t="shared" si="303"/>
        <v>2178.36</v>
      </c>
      <c r="M360" s="253">
        <f t="shared" si="303"/>
        <v>2178.36</v>
      </c>
      <c r="N360" s="253">
        <f t="shared" si="303"/>
        <v>2178.36</v>
      </c>
      <c r="O360" s="254">
        <f t="shared" si="303"/>
        <v>6535.0800000000008</v>
      </c>
      <c r="P360" s="253">
        <f t="shared" si="303"/>
        <v>6535.0800000000008</v>
      </c>
      <c r="Q360" s="253">
        <f t="shared" si="303"/>
        <v>6535.0800000000008</v>
      </c>
      <c r="R360" s="253">
        <f t="shared" si="303"/>
        <v>6535.0800000000008</v>
      </c>
      <c r="S360" s="253">
        <f t="shared" si="304"/>
        <v>6535.0800000000008</v>
      </c>
      <c r="T360" s="253">
        <f t="shared" si="304"/>
        <v>6535.0800000000008</v>
      </c>
      <c r="U360" s="254">
        <f t="shared" si="304"/>
        <v>90401.940000000017</v>
      </c>
      <c r="V360" s="253">
        <f t="shared" si="304"/>
        <v>90401.940000000017</v>
      </c>
      <c r="W360" s="253">
        <f t="shared" si="304"/>
        <v>90401.940000000017</v>
      </c>
      <c r="X360" s="253">
        <f t="shared" si="304"/>
        <v>90401.940000000017</v>
      </c>
      <c r="Y360" s="253">
        <f t="shared" si="304"/>
        <v>90401.940000000017</v>
      </c>
      <c r="Z360" s="253">
        <f t="shared" si="304"/>
        <v>90401.940000000017</v>
      </c>
      <c r="AA360" s="254">
        <f t="shared" si="304"/>
        <v>204.76584000000003</v>
      </c>
      <c r="AB360" s="253">
        <f t="shared" si="304"/>
        <v>204.76584000000003</v>
      </c>
      <c r="AC360" s="253">
        <f t="shared" si="305"/>
        <v>204.76584000000003</v>
      </c>
      <c r="AD360" s="253">
        <f t="shared" si="305"/>
        <v>204.76584000000003</v>
      </c>
      <c r="AE360" s="253">
        <f t="shared" si="305"/>
        <v>204.76584000000003</v>
      </c>
      <c r="AF360" s="253">
        <f t="shared" si="305"/>
        <v>204.76584000000003</v>
      </c>
      <c r="AG360" s="254">
        <f t="shared" si="305"/>
        <v>42478.020000000004</v>
      </c>
      <c r="AH360" s="253">
        <f t="shared" si="305"/>
        <v>42478.020000000004</v>
      </c>
      <c r="AI360" s="253">
        <f t="shared" si="305"/>
        <v>42478.020000000004</v>
      </c>
      <c r="AJ360" s="253">
        <f t="shared" si="305"/>
        <v>42478.020000000004</v>
      </c>
      <c r="AK360" s="253">
        <f t="shared" si="305"/>
        <v>42478.020000000004</v>
      </c>
      <c r="AL360" s="253">
        <f t="shared" si="305"/>
        <v>42478.020000000004</v>
      </c>
      <c r="AM360" s="254">
        <f t="shared" si="306"/>
        <v>24506.550000000003</v>
      </c>
      <c r="AN360" s="253">
        <f t="shared" si="306"/>
        <v>24506.550000000003</v>
      </c>
      <c r="AO360" s="253">
        <f t="shared" si="306"/>
        <v>24506.550000000003</v>
      </c>
      <c r="AP360" s="253">
        <f t="shared" si="306"/>
        <v>24506.550000000003</v>
      </c>
      <c r="AQ360" s="253">
        <f t="shared" si="306"/>
        <v>24506.550000000003</v>
      </c>
      <c r="AR360" s="253">
        <f t="shared" si="306"/>
        <v>24506.550000000003</v>
      </c>
      <c r="AS360" s="254">
        <f t="shared" si="306"/>
        <v>479239.20000000007</v>
      </c>
      <c r="AT360" s="253">
        <f t="shared" si="306"/>
        <v>479239.20000000007</v>
      </c>
      <c r="AU360" s="253">
        <f t="shared" si="306"/>
        <v>479239.20000000007</v>
      </c>
      <c r="AV360" s="253">
        <f t="shared" si="306"/>
        <v>479239.20000000007</v>
      </c>
      <c r="AW360" s="253">
        <f t="shared" si="306"/>
        <v>479239.20000000007</v>
      </c>
      <c r="AX360" s="255">
        <f t="shared" si="306"/>
        <v>479239.20000000007</v>
      </c>
      <c r="AY360" s="1"/>
      <c r="AZ360" s="1"/>
      <c r="BA360" s="1"/>
      <c r="BB360" s="1"/>
      <c r="BC360" s="1"/>
      <c r="BD360" s="1"/>
      <c r="BE360" s="1"/>
      <c r="BF360" s="1"/>
    </row>
    <row r="361" spans="2:58" x14ac:dyDescent="0.25">
      <c r="B361" s="1343"/>
      <c r="D361" s="1355"/>
      <c r="F361" s="268"/>
      <c r="G361" s="211" t="s">
        <v>631</v>
      </c>
      <c r="H361" s="209"/>
      <c r="I361" s="260">
        <f t="shared" si="303"/>
        <v>2178.36</v>
      </c>
      <c r="J361" s="260">
        <f t="shared" si="303"/>
        <v>2178.36</v>
      </c>
      <c r="K361" s="260">
        <f t="shared" si="303"/>
        <v>2178.36</v>
      </c>
      <c r="L361" s="260">
        <f t="shared" si="303"/>
        <v>2178.36</v>
      </c>
      <c r="M361" s="260">
        <f t="shared" si="303"/>
        <v>2178.36</v>
      </c>
      <c r="N361" s="260">
        <f t="shared" si="303"/>
        <v>2178.36</v>
      </c>
      <c r="O361" s="261">
        <f t="shared" si="303"/>
        <v>6535.0800000000008</v>
      </c>
      <c r="P361" s="260">
        <f t="shared" si="303"/>
        <v>6535.0800000000008</v>
      </c>
      <c r="Q361" s="260">
        <f t="shared" si="303"/>
        <v>6535.0800000000008</v>
      </c>
      <c r="R361" s="260">
        <f t="shared" si="303"/>
        <v>6535.0800000000008</v>
      </c>
      <c r="S361" s="260">
        <f t="shared" si="304"/>
        <v>6535.0800000000008</v>
      </c>
      <c r="T361" s="260">
        <f t="shared" si="304"/>
        <v>6535.0800000000008</v>
      </c>
      <c r="U361" s="261">
        <f t="shared" si="304"/>
        <v>90401.940000000017</v>
      </c>
      <c r="V361" s="260">
        <f t="shared" si="304"/>
        <v>90401.940000000017</v>
      </c>
      <c r="W361" s="260">
        <f t="shared" si="304"/>
        <v>90401.940000000017</v>
      </c>
      <c r="X361" s="260">
        <f t="shared" si="304"/>
        <v>90401.940000000017</v>
      </c>
      <c r="Y361" s="260">
        <f t="shared" si="304"/>
        <v>90401.940000000017</v>
      </c>
      <c r="Z361" s="260">
        <f t="shared" si="304"/>
        <v>90401.940000000017</v>
      </c>
      <c r="AA361" s="261">
        <f t="shared" si="304"/>
        <v>204.76584000000003</v>
      </c>
      <c r="AB361" s="260">
        <f t="shared" si="304"/>
        <v>204.76584000000003</v>
      </c>
      <c r="AC361" s="260">
        <f t="shared" si="305"/>
        <v>204.76584000000003</v>
      </c>
      <c r="AD361" s="260">
        <f t="shared" si="305"/>
        <v>204.76584000000003</v>
      </c>
      <c r="AE361" s="260">
        <f t="shared" si="305"/>
        <v>204.76584000000003</v>
      </c>
      <c r="AF361" s="260">
        <f t="shared" si="305"/>
        <v>204.76584000000003</v>
      </c>
      <c r="AG361" s="261">
        <f t="shared" si="305"/>
        <v>42478.020000000004</v>
      </c>
      <c r="AH361" s="260">
        <f t="shared" si="305"/>
        <v>42478.020000000004</v>
      </c>
      <c r="AI361" s="260">
        <f t="shared" si="305"/>
        <v>42478.020000000004</v>
      </c>
      <c r="AJ361" s="260">
        <f t="shared" si="305"/>
        <v>42478.020000000004</v>
      </c>
      <c r="AK361" s="260">
        <f t="shared" si="305"/>
        <v>42478.020000000004</v>
      </c>
      <c r="AL361" s="260">
        <f t="shared" si="305"/>
        <v>42478.020000000004</v>
      </c>
      <c r="AM361" s="261">
        <f t="shared" si="306"/>
        <v>24506.550000000003</v>
      </c>
      <c r="AN361" s="260">
        <f t="shared" si="306"/>
        <v>24506.550000000003</v>
      </c>
      <c r="AO361" s="260">
        <f t="shared" si="306"/>
        <v>24506.550000000003</v>
      </c>
      <c r="AP361" s="260">
        <f t="shared" si="306"/>
        <v>24506.550000000003</v>
      </c>
      <c r="AQ361" s="260">
        <f t="shared" si="306"/>
        <v>24506.550000000003</v>
      </c>
      <c r="AR361" s="260">
        <f t="shared" si="306"/>
        <v>24506.550000000003</v>
      </c>
      <c r="AS361" s="261">
        <f t="shared" si="306"/>
        <v>479239.20000000007</v>
      </c>
      <c r="AT361" s="260">
        <f t="shared" si="306"/>
        <v>479239.20000000007</v>
      </c>
      <c r="AU361" s="260">
        <f t="shared" si="306"/>
        <v>479239.20000000007</v>
      </c>
      <c r="AV361" s="260">
        <f t="shared" si="306"/>
        <v>479239.20000000007</v>
      </c>
      <c r="AW361" s="260">
        <f t="shared" si="306"/>
        <v>479239.20000000007</v>
      </c>
      <c r="AX361" s="262">
        <f t="shared" si="306"/>
        <v>479239.20000000007</v>
      </c>
      <c r="AY361" s="1"/>
      <c r="AZ361" s="1"/>
      <c r="BA361" s="1"/>
      <c r="BB361" s="1"/>
      <c r="BC361" s="1"/>
      <c r="BD361" s="1"/>
      <c r="BE361" s="1"/>
      <c r="BF361" s="1"/>
    </row>
    <row r="362" spans="2:58" x14ac:dyDescent="0.25">
      <c r="B362" s="1343"/>
      <c r="D362" s="1355"/>
      <c r="F362" s="263" t="s">
        <v>768</v>
      </c>
      <c r="G362" s="208" t="s">
        <v>91</v>
      </c>
      <c r="H362" s="209"/>
      <c r="I362" s="250">
        <f t="shared" ref="I362:R371" si="307">INDEX($I$429:$O$429,1,MATCH(I$8,$I$433:$O$433,0))</f>
        <v>50</v>
      </c>
      <c r="J362" s="250">
        <f t="shared" si="307"/>
        <v>50</v>
      </c>
      <c r="K362" s="250">
        <f t="shared" si="307"/>
        <v>50</v>
      </c>
      <c r="L362" s="250">
        <f t="shared" si="307"/>
        <v>50</v>
      </c>
      <c r="M362" s="250">
        <f t="shared" si="307"/>
        <v>50</v>
      </c>
      <c r="N362" s="250">
        <f t="shared" si="307"/>
        <v>50</v>
      </c>
      <c r="O362" s="251">
        <f t="shared" si="307"/>
        <v>21200</v>
      </c>
      <c r="P362" s="250">
        <f t="shared" si="307"/>
        <v>21200</v>
      </c>
      <c r="Q362" s="250">
        <f t="shared" si="307"/>
        <v>21200</v>
      </c>
      <c r="R362" s="250">
        <f t="shared" si="307"/>
        <v>21200</v>
      </c>
      <c r="S362" s="250">
        <f t="shared" ref="S362:AB371" si="308">INDEX($I$429:$O$429,1,MATCH(S$8,$I$433:$O$433,0))</f>
        <v>21200</v>
      </c>
      <c r="T362" s="250">
        <f t="shared" si="308"/>
        <v>21200</v>
      </c>
      <c r="U362" s="251">
        <f t="shared" si="308"/>
        <v>3600</v>
      </c>
      <c r="V362" s="250">
        <f t="shared" si="308"/>
        <v>3600</v>
      </c>
      <c r="W362" s="250">
        <f t="shared" si="308"/>
        <v>3600</v>
      </c>
      <c r="X362" s="250">
        <f t="shared" si="308"/>
        <v>3600</v>
      </c>
      <c r="Y362" s="250">
        <f t="shared" si="308"/>
        <v>3600</v>
      </c>
      <c r="Z362" s="250">
        <f t="shared" si="308"/>
        <v>3600</v>
      </c>
      <c r="AA362" s="251">
        <f t="shared" si="308"/>
        <v>1.3</v>
      </c>
      <c r="AB362" s="250">
        <f t="shared" si="308"/>
        <v>1.3</v>
      </c>
      <c r="AC362" s="250">
        <f t="shared" ref="AC362:AL371" si="309">INDEX($I$429:$O$429,1,MATCH(AC$8,$I$433:$O$433,0))</f>
        <v>1.3</v>
      </c>
      <c r="AD362" s="250">
        <f t="shared" si="309"/>
        <v>1.3</v>
      </c>
      <c r="AE362" s="250">
        <f t="shared" si="309"/>
        <v>1.3</v>
      </c>
      <c r="AF362" s="250">
        <f t="shared" si="309"/>
        <v>1.3</v>
      </c>
      <c r="AG362" s="251">
        <f t="shared" si="309"/>
        <v>0</v>
      </c>
      <c r="AH362" s="250">
        <f t="shared" si="309"/>
        <v>0</v>
      </c>
      <c r="AI362" s="250">
        <f t="shared" si="309"/>
        <v>0</v>
      </c>
      <c r="AJ362" s="250">
        <f t="shared" si="309"/>
        <v>0</v>
      </c>
      <c r="AK362" s="250">
        <f t="shared" si="309"/>
        <v>0</v>
      </c>
      <c r="AL362" s="250">
        <f t="shared" si="309"/>
        <v>0</v>
      </c>
      <c r="AM362" s="251">
        <f t="shared" ref="AM362:AX371" si="310">INDEX($I$429:$O$429,1,MATCH(AM$8,$I$433:$O$433,0))</f>
        <v>600</v>
      </c>
      <c r="AN362" s="250">
        <f t="shared" si="310"/>
        <v>600</v>
      </c>
      <c r="AO362" s="250">
        <f t="shared" si="310"/>
        <v>600</v>
      </c>
      <c r="AP362" s="250">
        <f t="shared" si="310"/>
        <v>600</v>
      </c>
      <c r="AQ362" s="250">
        <f t="shared" si="310"/>
        <v>600</v>
      </c>
      <c r="AR362" s="250">
        <f t="shared" si="310"/>
        <v>600</v>
      </c>
      <c r="AS362" s="251">
        <f t="shared" si="310"/>
        <v>33000</v>
      </c>
      <c r="AT362" s="250">
        <f t="shared" si="310"/>
        <v>33000</v>
      </c>
      <c r="AU362" s="250">
        <f t="shared" si="310"/>
        <v>33000</v>
      </c>
      <c r="AV362" s="250">
        <f t="shared" si="310"/>
        <v>33000</v>
      </c>
      <c r="AW362" s="250">
        <f t="shared" si="310"/>
        <v>33000</v>
      </c>
      <c r="AX362" s="252">
        <f t="shared" si="310"/>
        <v>33000</v>
      </c>
      <c r="AY362" s="1"/>
      <c r="AZ362" s="1"/>
      <c r="BA362" s="1"/>
      <c r="BB362" s="1"/>
      <c r="BC362" s="1"/>
      <c r="BD362" s="1"/>
      <c r="BE362" s="1"/>
      <c r="BF362" s="1"/>
    </row>
    <row r="363" spans="2:58" x14ac:dyDescent="0.25">
      <c r="B363" s="1343"/>
      <c r="D363" s="1355"/>
      <c r="F363" s="265"/>
      <c r="G363" s="209" t="s">
        <v>102</v>
      </c>
      <c r="H363" s="209"/>
      <c r="I363" s="253">
        <f t="shared" si="307"/>
        <v>50</v>
      </c>
      <c r="J363" s="253">
        <f t="shared" si="307"/>
        <v>50</v>
      </c>
      <c r="K363" s="253">
        <f t="shared" si="307"/>
        <v>50</v>
      </c>
      <c r="L363" s="253">
        <f t="shared" si="307"/>
        <v>50</v>
      </c>
      <c r="M363" s="253">
        <f t="shared" si="307"/>
        <v>50</v>
      </c>
      <c r="N363" s="253">
        <f t="shared" si="307"/>
        <v>50</v>
      </c>
      <c r="O363" s="254">
        <f t="shared" si="307"/>
        <v>21200</v>
      </c>
      <c r="P363" s="253">
        <f t="shared" si="307"/>
        <v>21200</v>
      </c>
      <c r="Q363" s="253">
        <f t="shared" si="307"/>
        <v>21200</v>
      </c>
      <c r="R363" s="253">
        <f t="shared" si="307"/>
        <v>21200</v>
      </c>
      <c r="S363" s="253">
        <f t="shared" si="308"/>
        <v>21200</v>
      </c>
      <c r="T363" s="253">
        <f t="shared" si="308"/>
        <v>21200</v>
      </c>
      <c r="U363" s="254">
        <f t="shared" si="308"/>
        <v>3600</v>
      </c>
      <c r="V363" s="253">
        <f t="shared" si="308"/>
        <v>3600</v>
      </c>
      <c r="W363" s="253">
        <f t="shared" si="308"/>
        <v>3600</v>
      </c>
      <c r="X363" s="253">
        <f t="shared" si="308"/>
        <v>3600</v>
      </c>
      <c r="Y363" s="253">
        <f t="shared" si="308"/>
        <v>3600</v>
      </c>
      <c r="Z363" s="253">
        <f t="shared" si="308"/>
        <v>3600</v>
      </c>
      <c r="AA363" s="254">
        <f t="shared" si="308"/>
        <v>1.3</v>
      </c>
      <c r="AB363" s="253">
        <f t="shared" si="308"/>
        <v>1.3</v>
      </c>
      <c r="AC363" s="253">
        <f t="shared" si="309"/>
        <v>1.3</v>
      </c>
      <c r="AD363" s="253">
        <f t="shared" si="309"/>
        <v>1.3</v>
      </c>
      <c r="AE363" s="253">
        <f t="shared" si="309"/>
        <v>1.3</v>
      </c>
      <c r="AF363" s="253">
        <f t="shared" si="309"/>
        <v>1.3</v>
      </c>
      <c r="AG363" s="254">
        <f t="shared" si="309"/>
        <v>0</v>
      </c>
      <c r="AH363" s="253">
        <f t="shared" si="309"/>
        <v>0</v>
      </c>
      <c r="AI363" s="253">
        <f t="shared" si="309"/>
        <v>0</v>
      </c>
      <c r="AJ363" s="253">
        <f t="shared" si="309"/>
        <v>0</v>
      </c>
      <c r="AK363" s="253">
        <f t="shared" si="309"/>
        <v>0</v>
      </c>
      <c r="AL363" s="253">
        <f t="shared" si="309"/>
        <v>0</v>
      </c>
      <c r="AM363" s="254">
        <f t="shared" si="310"/>
        <v>600</v>
      </c>
      <c r="AN363" s="253">
        <f t="shared" si="310"/>
        <v>600</v>
      </c>
      <c r="AO363" s="253">
        <f t="shared" si="310"/>
        <v>600</v>
      </c>
      <c r="AP363" s="253">
        <f t="shared" si="310"/>
        <v>600</v>
      </c>
      <c r="AQ363" s="253">
        <f t="shared" si="310"/>
        <v>600</v>
      </c>
      <c r="AR363" s="253">
        <f t="shared" si="310"/>
        <v>600</v>
      </c>
      <c r="AS363" s="254">
        <f t="shared" si="310"/>
        <v>33000</v>
      </c>
      <c r="AT363" s="253">
        <f t="shared" si="310"/>
        <v>33000</v>
      </c>
      <c r="AU363" s="253">
        <f t="shared" si="310"/>
        <v>33000</v>
      </c>
      <c r="AV363" s="253">
        <f t="shared" si="310"/>
        <v>33000</v>
      </c>
      <c r="AW363" s="253">
        <f t="shared" si="310"/>
        <v>33000</v>
      </c>
      <c r="AX363" s="255">
        <f t="shared" si="310"/>
        <v>33000</v>
      </c>
      <c r="AY363" s="1"/>
      <c r="AZ363" s="1"/>
      <c r="BA363" s="1"/>
      <c r="BB363" s="1"/>
      <c r="BC363" s="1"/>
      <c r="BD363" s="1"/>
      <c r="BE363" s="1"/>
      <c r="BF363" s="1"/>
    </row>
    <row r="364" spans="2:58" x14ac:dyDescent="0.25">
      <c r="B364" s="1343"/>
      <c r="D364" s="1355"/>
      <c r="F364" s="265"/>
      <c r="G364" s="209" t="s">
        <v>103</v>
      </c>
      <c r="H364" s="209"/>
      <c r="I364" s="253">
        <f t="shared" si="307"/>
        <v>50</v>
      </c>
      <c r="J364" s="253">
        <f t="shared" si="307"/>
        <v>50</v>
      </c>
      <c r="K364" s="253">
        <f t="shared" si="307"/>
        <v>50</v>
      </c>
      <c r="L364" s="253">
        <f t="shared" si="307"/>
        <v>50</v>
      </c>
      <c r="M364" s="253">
        <f t="shared" si="307"/>
        <v>50</v>
      </c>
      <c r="N364" s="253">
        <f t="shared" si="307"/>
        <v>50</v>
      </c>
      <c r="O364" s="254">
        <f t="shared" si="307"/>
        <v>21200</v>
      </c>
      <c r="P364" s="253">
        <f t="shared" si="307"/>
        <v>21200</v>
      </c>
      <c r="Q364" s="253">
        <f t="shared" si="307"/>
        <v>21200</v>
      </c>
      <c r="R364" s="253">
        <f t="shared" si="307"/>
        <v>21200</v>
      </c>
      <c r="S364" s="253">
        <f t="shared" si="308"/>
        <v>21200</v>
      </c>
      <c r="T364" s="253">
        <f t="shared" si="308"/>
        <v>21200</v>
      </c>
      <c r="U364" s="254">
        <f t="shared" si="308"/>
        <v>3600</v>
      </c>
      <c r="V364" s="253">
        <f t="shared" si="308"/>
        <v>3600</v>
      </c>
      <c r="W364" s="253">
        <f t="shared" si="308"/>
        <v>3600</v>
      </c>
      <c r="X364" s="253">
        <f t="shared" si="308"/>
        <v>3600</v>
      </c>
      <c r="Y364" s="253">
        <f t="shared" si="308"/>
        <v>3600</v>
      </c>
      <c r="Z364" s="253">
        <f t="shared" si="308"/>
        <v>3600</v>
      </c>
      <c r="AA364" s="254">
        <f t="shared" si="308"/>
        <v>1.3</v>
      </c>
      <c r="AB364" s="253">
        <f t="shared" si="308"/>
        <v>1.3</v>
      </c>
      <c r="AC364" s="253">
        <f t="shared" si="309"/>
        <v>1.3</v>
      </c>
      <c r="AD364" s="253">
        <f t="shared" si="309"/>
        <v>1.3</v>
      </c>
      <c r="AE364" s="253">
        <f t="shared" si="309"/>
        <v>1.3</v>
      </c>
      <c r="AF364" s="253">
        <f t="shared" si="309"/>
        <v>1.3</v>
      </c>
      <c r="AG364" s="254">
        <f t="shared" si="309"/>
        <v>0</v>
      </c>
      <c r="AH364" s="253">
        <f t="shared" si="309"/>
        <v>0</v>
      </c>
      <c r="AI364" s="253">
        <f t="shared" si="309"/>
        <v>0</v>
      </c>
      <c r="AJ364" s="253">
        <f t="shared" si="309"/>
        <v>0</v>
      </c>
      <c r="AK364" s="253">
        <f t="shared" si="309"/>
        <v>0</v>
      </c>
      <c r="AL364" s="253">
        <f t="shared" si="309"/>
        <v>0</v>
      </c>
      <c r="AM364" s="254">
        <f t="shared" si="310"/>
        <v>600</v>
      </c>
      <c r="AN364" s="253">
        <f t="shared" si="310"/>
        <v>600</v>
      </c>
      <c r="AO364" s="253">
        <f t="shared" si="310"/>
        <v>600</v>
      </c>
      <c r="AP364" s="253">
        <f t="shared" si="310"/>
        <v>600</v>
      </c>
      <c r="AQ364" s="253">
        <f t="shared" si="310"/>
        <v>600</v>
      </c>
      <c r="AR364" s="253">
        <f t="shared" si="310"/>
        <v>600</v>
      </c>
      <c r="AS364" s="254">
        <f t="shared" si="310"/>
        <v>33000</v>
      </c>
      <c r="AT364" s="253">
        <f t="shared" si="310"/>
        <v>33000</v>
      </c>
      <c r="AU364" s="253">
        <f t="shared" si="310"/>
        <v>33000</v>
      </c>
      <c r="AV364" s="253">
        <f t="shared" si="310"/>
        <v>33000</v>
      </c>
      <c r="AW364" s="253">
        <f t="shared" si="310"/>
        <v>33000</v>
      </c>
      <c r="AX364" s="255">
        <f t="shared" si="310"/>
        <v>33000</v>
      </c>
      <c r="AY364" s="1"/>
      <c r="AZ364" s="1"/>
      <c r="BA364" s="1"/>
      <c r="BB364" s="1"/>
      <c r="BC364" s="1"/>
      <c r="BD364" s="1"/>
      <c r="BE364" s="1"/>
      <c r="BF364" s="1"/>
    </row>
    <row r="365" spans="2:58" x14ac:dyDescent="0.25">
      <c r="B365" s="1343"/>
      <c r="D365" s="1355"/>
      <c r="F365" s="265"/>
      <c r="G365" s="209" t="s">
        <v>107</v>
      </c>
      <c r="H365" s="209"/>
      <c r="I365" s="253">
        <f t="shared" si="307"/>
        <v>50</v>
      </c>
      <c r="J365" s="253">
        <f t="shared" si="307"/>
        <v>50</v>
      </c>
      <c r="K365" s="253">
        <f t="shared" si="307"/>
        <v>50</v>
      </c>
      <c r="L365" s="253">
        <f t="shared" si="307"/>
        <v>50</v>
      </c>
      <c r="M365" s="253">
        <f t="shared" si="307"/>
        <v>50</v>
      </c>
      <c r="N365" s="253">
        <f t="shared" si="307"/>
        <v>50</v>
      </c>
      <c r="O365" s="254">
        <f t="shared" si="307"/>
        <v>21200</v>
      </c>
      <c r="P365" s="253">
        <f t="shared" si="307"/>
        <v>21200</v>
      </c>
      <c r="Q365" s="253">
        <f t="shared" si="307"/>
        <v>21200</v>
      </c>
      <c r="R365" s="253">
        <f t="shared" si="307"/>
        <v>21200</v>
      </c>
      <c r="S365" s="253">
        <f t="shared" si="308"/>
        <v>21200</v>
      </c>
      <c r="T365" s="253">
        <f t="shared" si="308"/>
        <v>21200</v>
      </c>
      <c r="U365" s="254">
        <f t="shared" si="308"/>
        <v>3600</v>
      </c>
      <c r="V365" s="253">
        <f t="shared" si="308"/>
        <v>3600</v>
      </c>
      <c r="W365" s="253">
        <f t="shared" si="308"/>
        <v>3600</v>
      </c>
      <c r="X365" s="253">
        <f t="shared" si="308"/>
        <v>3600</v>
      </c>
      <c r="Y365" s="253">
        <f t="shared" si="308"/>
        <v>3600</v>
      </c>
      <c r="Z365" s="253">
        <f t="shared" si="308"/>
        <v>3600</v>
      </c>
      <c r="AA365" s="254">
        <f t="shared" si="308"/>
        <v>1.3</v>
      </c>
      <c r="AB365" s="253">
        <f t="shared" si="308"/>
        <v>1.3</v>
      </c>
      <c r="AC365" s="253">
        <f t="shared" si="309"/>
        <v>1.3</v>
      </c>
      <c r="AD365" s="253">
        <f t="shared" si="309"/>
        <v>1.3</v>
      </c>
      <c r="AE365" s="253">
        <f t="shared" si="309"/>
        <v>1.3</v>
      </c>
      <c r="AF365" s="253">
        <f t="shared" si="309"/>
        <v>1.3</v>
      </c>
      <c r="AG365" s="254">
        <f t="shared" si="309"/>
        <v>0</v>
      </c>
      <c r="AH365" s="253">
        <f t="shared" si="309"/>
        <v>0</v>
      </c>
      <c r="AI365" s="253">
        <f t="shared" si="309"/>
        <v>0</v>
      </c>
      <c r="AJ365" s="253">
        <f t="shared" si="309"/>
        <v>0</v>
      </c>
      <c r="AK365" s="253">
        <f t="shared" si="309"/>
        <v>0</v>
      </c>
      <c r="AL365" s="253">
        <f t="shared" si="309"/>
        <v>0</v>
      </c>
      <c r="AM365" s="254">
        <f t="shared" si="310"/>
        <v>600</v>
      </c>
      <c r="AN365" s="253">
        <f t="shared" si="310"/>
        <v>600</v>
      </c>
      <c r="AO365" s="253">
        <f t="shared" si="310"/>
        <v>600</v>
      </c>
      <c r="AP365" s="253">
        <f t="shared" si="310"/>
        <v>600</v>
      </c>
      <c r="AQ365" s="253">
        <f t="shared" si="310"/>
        <v>600</v>
      </c>
      <c r="AR365" s="253">
        <f t="shared" si="310"/>
        <v>600</v>
      </c>
      <c r="AS365" s="254">
        <f t="shared" si="310"/>
        <v>33000</v>
      </c>
      <c r="AT365" s="253">
        <f t="shared" si="310"/>
        <v>33000</v>
      </c>
      <c r="AU365" s="253">
        <f t="shared" si="310"/>
        <v>33000</v>
      </c>
      <c r="AV365" s="253">
        <f t="shared" si="310"/>
        <v>33000</v>
      </c>
      <c r="AW365" s="253">
        <f t="shared" si="310"/>
        <v>33000</v>
      </c>
      <c r="AX365" s="255">
        <f t="shared" si="310"/>
        <v>33000</v>
      </c>
      <c r="AY365" s="1"/>
      <c r="AZ365" s="1"/>
      <c r="BA365" s="1"/>
      <c r="BB365" s="1"/>
      <c r="BC365" s="1"/>
      <c r="BD365" s="1"/>
      <c r="BE365" s="1"/>
      <c r="BF365" s="1"/>
    </row>
    <row r="366" spans="2:58" x14ac:dyDescent="0.25">
      <c r="B366" s="1343"/>
      <c r="D366" s="1355"/>
      <c r="F366" s="265"/>
      <c r="G366" s="209" t="s">
        <v>104</v>
      </c>
      <c r="H366" s="209"/>
      <c r="I366" s="253">
        <f t="shared" si="307"/>
        <v>50</v>
      </c>
      <c r="J366" s="253">
        <f t="shared" si="307"/>
        <v>50</v>
      </c>
      <c r="K366" s="253">
        <f t="shared" si="307"/>
        <v>50</v>
      </c>
      <c r="L366" s="253">
        <f t="shared" si="307"/>
        <v>50</v>
      </c>
      <c r="M366" s="253">
        <f t="shared" si="307"/>
        <v>50</v>
      </c>
      <c r="N366" s="253">
        <f t="shared" si="307"/>
        <v>50</v>
      </c>
      <c r="O366" s="254">
        <f t="shared" si="307"/>
        <v>21200</v>
      </c>
      <c r="P366" s="253">
        <f t="shared" si="307"/>
        <v>21200</v>
      </c>
      <c r="Q366" s="253">
        <f t="shared" si="307"/>
        <v>21200</v>
      </c>
      <c r="R366" s="253">
        <f t="shared" si="307"/>
        <v>21200</v>
      </c>
      <c r="S366" s="253">
        <f t="shared" si="308"/>
        <v>21200</v>
      </c>
      <c r="T366" s="253">
        <f t="shared" si="308"/>
        <v>21200</v>
      </c>
      <c r="U366" s="254">
        <f t="shared" si="308"/>
        <v>3600</v>
      </c>
      <c r="V366" s="253">
        <f t="shared" si="308"/>
        <v>3600</v>
      </c>
      <c r="W366" s="253">
        <f t="shared" si="308"/>
        <v>3600</v>
      </c>
      <c r="X366" s="253">
        <f t="shared" si="308"/>
        <v>3600</v>
      </c>
      <c r="Y366" s="253">
        <f t="shared" si="308"/>
        <v>3600</v>
      </c>
      <c r="Z366" s="253">
        <f t="shared" si="308"/>
        <v>3600</v>
      </c>
      <c r="AA366" s="254">
        <f t="shared" si="308"/>
        <v>1.3</v>
      </c>
      <c r="AB366" s="253">
        <f t="shared" si="308"/>
        <v>1.3</v>
      </c>
      <c r="AC366" s="253">
        <f t="shared" si="309"/>
        <v>1.3</v>
      </c>
      <c r="AD366" s="253">
        <f t="shared" si="309"/>
        <v>1.3</v>
      </c>
      <c r="AE366" s="253">
        <f t="shared" si="309"/>
        <v>1.3</v>
      </c>
      <c r="AF366" s="253">
        <f t="shared" si="309"/>
        <v>1.3</v>
      </c>
      <c r="AG366" s="254">
        <f t="shared" si="309"/>
        <v>0</v>
      </c>
      <c r="AH366" s="253">
        <f t="shared" si="309"/>
        <v>0</v>
      </c>
      <c r="AI366" s="253">
        <f t="shared" si="309"/>
        <v>0</v>
      </c>
      <c r="AJ366" s="253">
        <f t="shared" si="309"/>
        <v>0</v>
      </c>
      <c r="AK366" s="253">
        <f t="shared" si="309"/>
        <v>0</v>
      </c>
      <c r="AL366" s="253">
        <f t="shared" si="309"/>
        <v>0</v>
      </c>
      <c r="AM366" s="254">
        <f t="shared" si="310"/>
        <v>600</v>
      </c>
      <c r="AN366" s="253">
        <f t="shared" si="310"/>
        <v>600</v>
      </c>
      <c r="AO366" s="253">
        <f t="shared" si="310"/>
        <v>600</v>
      </c>
      <c r="AP366" s="253">
        <f t="shared" si="310"/>
        <v>600</v>
      </c>
      <c r="AQ366" s="253">
        <f t="shared" si="310"/>
        <v>600</v>
      </c>
      <c r="AR366" s="253">
        <f t="shared" si="310"/>
        <v>600</v>
      </c>
      <c r="AS366" s="254">
        <f t="shared" si="310"/>
        <v>33000</v>
      </c>
      <c r="AT366" s="253">
        <f t="shared" si="310"/>
        <v>33000</v>
      </c>
      <c r="AU366" s="253">
        <f t="shared" si="310"/>
        <v>33000</v>
      </c>
      <c r="AV366" s="253">
        <f t="shared" si="310"/>
        <v>33000</v>
      </c>
      <c r="AW366" s="253">
        <f t="shared" si="310"/>
        <v>33000</v>
      </c>
      <c r="AX366" s="255">
        <f t="shared" si="310"/>
        <v>33000</v>
      </c>
      <c r="AY366" s="1"/>
      <c r="AZ366" s="1"/>
      <c r="BA366" s="1"/>
      <c r="BB366" s="1"/>
    </row>
    <row r="367" spans="2:58" x14ac:dyDescent="0.25">
      <c r="B367" s="1343"/>
      <c r="D367" s="1355"/>
      <c r="F367" s="265"/>
      <c r="G367" s="209" t="s">
        <v>97</v>
      </c>
      <c r="H367" s="209"/>
      <c r="I367" s="253">
        <f t="shared" si="307"/>
        <v>50</v>
      </c>
      <c r="J367" s="253">
        <f t="shared" si="307"/>
        <v>50</v>
      </c>
      <c r="K367" s="253">
        <f t="shared" si="307"/>
        <v>50</v>
      </c>
      <c r="L367" s="253">
        <f t="shared" si="307"/>
        <v>50</v>
      </c>
      <c r="M367" s="253">
        <f t="shared" si="307"/>
        <v>50</v>
      </c>
      <c r="N367" s="253">
        <f t="shared" si="307"/>
        <v>50</v>
      </c>
      <c r="O367" s="254">
        <f t="shared" si="307"/>
        <v>21200</v>
      </c>
      <c r="P367" s="253">
        <f t="shared" si="307"/>
        <v>21200</v>
      </c>
      <c r="Q367" s="253">
        <f t="shared" si="307"/>
        <v>21200</v>
      </c>
      <c r="R367" s="253">
        <f t="shared" si="307"/>
        <v>21200</v>
      </c>
      <c r="S367" s="253">
        <f t="shared" si="308"/>
        <v>21200</v>
      </c>
      <c r="T367" s="253">
        <f t="shared" si="308"/>
        <v>21200</v>
      </c>
      <c r="U367" s="254">
        <f t="shared" si="308"/>
        <v>3600</v>
      </c>
      <c r="V367" s="253">
        <f t="shared" si="308"/>
        <v>3600</v>
      </c>
      <c r="W367" s="253">
        <f t="shared" si="308"/>
        <v>3600</v>
      </c>
      <c r="X367" s="253">
        <f t="shared" si="308"/>
        <v>3600</v>
      </c>
      <c r="Y367" s="253">
        <f t="shared" si="308"/>
        <v>3600</v>
      </c>
      <c r="Z367" s="253">
        <f t="shared" si="308"/>
        <v>3600</v>
      </c>
      <c r="AA367" s="254">
        <f t="shared" si="308"/>
        <v>1.3</v>
      </c>
      <c r="AB367" s="253">
        <f t="shared" si="308"/>
        <v>1.3</v>
      </c>
      <c r="AC367" s="253">
        <f t="shared" si="309"/>
        <v>1.3</v>
      </c>
      <c r="AD367" s="253">
        <f t="shared" si="309"/>
        <v>1.3</v>
      </c>
      <c r="AE367" s="253">
        <f t="shared" si="309"/>
        <v>1.3</v>
      </c>
      <c r="AF367" s="253">
        <f t="shared" si="309"/>
        <v>1.3</v>
      </c>
      <c r="AG367" s="254">
        <f t="shared" si="309"/>
        <v>0</v>
      </c>
      <c r="AH367" s="253">
        <f t="shared" si="309"/>
        <v>0</v>
      </c>
      <c r="AI367" s="253">
        <f t="shared" si="309"/>
        <v>0</v>
      </c>
      <c r="AJ367" s="253">
        <f t="shared" si="309"/>
        <v>0</v>
      </c>
      <c r="AK367" s="253">
        <f t="shared" si="309"/>
        <v>0</v>
      </c>
      <c r="AL367" s="253">
        <f t="shared" si="309"/>
        <v>0</v>
      </c>
      <c r="AM367" s="254">
        <f t="shared" si="310"/>
        <v>600</v>
      </c>
      <c r="AN367" s="253">
        <f t="shared" si="310"/>
        <v>600</v>
      </c>
      <c r="AO367" s="253">
        <f t="shared" si="310"/>
        <v>600</v>
      </c>
      <c r="AP367" s="253">
        <f t="shared" si="310"/>
        <v>600</v>
      </c>
      <c r="AQ367" s="253">
        <f t="shared" si="310"/>
        <v>600</v>
      </c>
      <c r="AR367" s="253">
        <f t="shared" si="310"/>
        <v>600</v>
      </c>
      <c r="AS367" s="254">
        <f t="shared" si="310"/>
        <v>33000</v>
      </c>
      <c r="AT367" s="253">
        <f t="shared" si="310"/>
        <v>33000</v>
      </c>
      <c r="AU367" s="253">
        <f t="shared" si="310"/>
        <v>33000</v>
      </c>
      <c r="AV367" s="253">
        <f t="shared" si="310"/>
        <v>33000</v>
      </c>
      <c r="AW367" s="253">
        <f t="shared" si="310"/>
        <v>33000</v>
      </c>
      <c r="AX367" s="255">
        <f t="shared" si="310"/>
        <v>33000</v>
      </c>
      <c r="AY367" s="1"/>
      <c r="AZ367" s="1"/>
      <c r="BA367" s="1"/>
      <c r="BB367" s="1"/>
    </row>
    <row r="368" spans="2:58" x14ac:dyDescent="0.25">
      <c r="B368" s="1343"/>
      <c r="D368" s="1355"/>
      <c r="F368" s="265"/>
      <c r="G368" s="209" t="s">
        <v>628</v>
      </c>
      <c r="H368" s="209"/>
      <c r="I368" s="253">
        <f t="shared" si="307"/>
        <v>50</v>
      </c>
      <c r="J368" s="253">
        <f t="shared" si="307"/>
        <v>50</v>
      </c>
      <c r="K368" s="253">
        <f t="shared" si="307"/>
        <v>50</v>
      </c>
      <c r="L368" s="253">
        <f t="shared" si="307"/>
        <v>50</v>
      </c>
      <c r="M368" s="253">
        <f t="shared" si="307"/>
        <v>50</v>
      </c>
      <c r="N368" s="253">
        <f t="shared" si="307"/>
        <v>50</v>
      </c>
      <c r="O368" s="254">
        <f t="shared" si="307"/>
        <v>21200</v>
      </c>
      <c r="P368" s="253">
        <f t="shared" si="307"/>
        <v>21200</v>
      </c>
      <c r="Q368" s="253">
        <f t="shared" si="307"/>
        <v>21200</v>
      </c>
      <c r="R368" s="253">
        <f t="shared" si="307"/>
        <v>21200</v>
      </c>
      <c r="S368" s="253">
        <f t="shared" si="308"/>
        <v>21200</v>
      </c>
      <c r="T368" s="253">
        <f t="shared" si="308"/>
        <v>21200</v>
      </c>
      <c r="U368" s="254">
        <f t="shared" si="308"/>
        <v>3600</v>
      </c>
      <c r="V368" s="253">
        <f t="shared" si="308"/>
        <v>3600</v>
      </c>
      <c r="W368" s="253">
        <f t="shared" si="308"/>
        <v>3600</v>
      </c>
      <c r="X368" s="253">
        <f t="shared" si="308"/>
        <v>3600</v>
      </c>
      <c r="Y368" s="253">
        <f t="shared" si="308"/>
        <v>3600</v>
      </c>
      <c r="Z368" s="253">
        <f t="shared" si="308"/>
        <v>3600</v>
      </c>
      <c r="AA368" s="254">
        <f t="shared" si="308"/>
        <v>1.3</v>
      </c>
      <c r="AB368" s="253">
        <f t="shared" si="308"/>
        <v>1.3</v>
      </c>
      <c r="AC368" s="253">
        <f t="shared" si="309"/>
        <v>1.3</v>
      </c>
      <c r="AD368" s="253">
        <f t="shared" si="309"/>
        <v>1.3</v>
      </c>
      <c r="AE368" s="253">
        <f t="shared" si="309"/>
        <v>1.3</v>
      </c>
      <c r="AF368" s="253">
        <f t="shared" si="309"/>
        <v>1.3</v>
      </c>
      <c r="AG368" s="254">
        <f t="shared" si="309"/>
        <v>0</v>
      </c>
      <c r="AH368" s="253">
        <f t="shared" si="309"/>
        <v>0</v>
      </c>
      <c r="AI368" s="253">
        <f t="shared" si="309"/>
        <v>0</v>
      </c>
      <c r="AJ368" s="253">
        <f t="shared" si="309"/>
        <v>0</v>
      </c>
      <c r="AK368" s="253">
        <f t="shared" si="309"/>
        <v>0</v>
      </c>
      <c r="AL368" s="253">
        <f t="shared" si="309"/>
        <v>0</v>
      </c>
      <c r="AM368" s="254">
        <f t="shared" si="310"/>
        <v>600</v>
      </c>
      <c r="AN368" s="253">
        <f t="shared" si="310"/>
        <v>600</v>
      </c>
      <c r="AO368" s="253">
        <f t="shared" si="310"/>
        <v>600</v>
      </c>
      <c r="AP368" s="253">
        <f t="shared" si="310"/>
        <v>600</v>
      </c>
      <c r="AQ368" s="253">
        <f t="shared" si="310"/>
        <v>600</v>
      </c>
      <c r="AR368" s="253">
        <f t="shared" si="310"/>
        <v>600</v>
      </c>
      <c r="AS368" s="254">
        <f t="shared" si="310"/>
        <v>33000</v>
      </c>
      <c r="AT368" s="253">
        <f t="shared" si="310"/>
        <v>33000</v>
      </c>
      <c r="AU368" s="253">
        <f t="shared" si="310"/>
        <v>33000</v>
      </c>
      <c r="AV368" s="253">
        <f t="shared" si="310"/>
        <v>33000</v>
      </c>
      <c r="AW368" s="253">
        <f t="shared" si="310"/>
        <v>33000</v>
      </c>
      <c r="AX368" s="255">
        <f t="shared" si="310"/>
        <v>33000</v>
      </c>
      <c r="AY368" s="1"/>
      <c r="AZ368" s="1"/>
      <c r="BA368" s="1"/>
      <c r="BB368" s="1"/>
    </row>
    <row r="369" spans="2:67" x14ac:dyDescent="0.25">
      <c r="B369" s="1343"/>
      <c r="D369" s="1355"/>
      <c r="F369" s="265"/>
      <c r="G369" s="209" t="s">
        <v>108</v>
      </c>
      <c r="H369" s="209"/>
      <c r="I369" s="253">
        <f t="shared" si="307"/>
        <v>50</v>
      </c>
      <c r="J369" s="253">
        <f t="shared" si="307"/>
        <v>50</v>
      </c>
      <c r="K369" s="253">
        <f t="shared" si="307"/>
        <v>50</v>
      </c>
      <c r="L369" s="253">
        <f t="shared" si="307"/>
        <v>50</v>
      </c>
      <c r="M369" s="253">
        <f t="shared" si="307"/>
        <v>50</v>
      </c>
      <c r="N369" s="253">
        <f t="shared" si="307"/>
        <v>50</v>
      </c>
      <c r="O369" s="254">
        <f t="shared" si="307"/>
        <v>21200</v>
      </c>
      <c r="P369" s="253">
        <f t="shared" si="307"/>
        <v>21200</v>
      </c>
      <c r="Q369" s="253">
        <f t="shared" si="307"/>
        <v>21200</v>
      </c>
      <c r="R369" s="253">
        <f t="shared" si="307"/>
        <v>21200</v>
      </c>
      <c r="S369" s="253">
        <f t="shared" si="308"/>
        <v>21200</v>
      </c>
      <c r="T369" s="253">
        <f t="shared" si="308"/>
        <v>21200</v>
      </c>
      <c r="U369" s="254">
        <f t="shared" si="308"/>
        <v>3600</v>
      </c>
      <c r="V369" s="253">
        <f t="shared" si="308"/>
        <v>3600</v>
      </c>
      <c r="W369" s="253">
        <f t="shared" si="308"/>
        <v>3600</v>
      </c>
      <c r="X369" s="253">
        <f t="shared" si="308"/>
        <v>3600</v>
      </c>
      <c r="Y369" s="253">
        <f t="shared" si="308"/>
        <v>3600</v>
      </c>
      <c r="Z369" s="253">
        <f t="shared" si="308"/>
        <v>3600</v>
      </c>
      <c r="AA369" s="254">
        <f t="shared" si="308"/>
        <v>1.3</v>
      </c>
      <c r="AB369" s="253">
        <f t="shared" si="308"/>
        <v>1.3</v>
      </c>
      <c r="AC369" s="253">
        <f t="shared" si="309"/>
        <v>1.3</v>
      </c>
      <c r="AD369" s="253">
        <f t="shared" si="309"/>
        <v>1.3</v>
      </c>
      <c r="AE369" s="253">
        <f t="shared" si="309"/>
        <v>1.3</v>
      </c>
      <c r="AF369" s="253">
        <f t="shared" si="309"/>
        <v>1.3</v>
      </c>
      <c r="AG369" s="254">
        <f t="shared" si="309"/>
        <v>0</v>
      </c>
      <c r="AH369" s="253">
        <f t="shared" si="309"/>
        <v>0</v>
      </c>
      <c r="AI369" s="253">
        <f t="shared" si="309"/>
        <v>0</v>
      </c>
      <c r="AJ369" s="253">
        <f t="shared" si="309"/>
        <v>0</v>
      </c>
      <c r="AK369" s="253">
        <f t="shared" si="309"/>
        <v>0</v>
      </c>
      <c r="AL369" s="253">
        <f t="shared" si="309"/>
        <v>0</v>
      </c>
      <c r="AM369" s="254">
        <f t="shared" si="310"/>
        <v>600</v>
      </c>
      <c r="AN369" s="253">
        <f t="shared" si="310"/>
        <v>600</v>
      </c>
      <c r="AO369" s="253">
        <f t="shared" si="310"/>
        <v>600</v>
      </c>
      <c r="AP369" s="253">
        <f t="shared" si="310"/>
        <v>600</v>
      </c>
      <c r="AQ369" s="253">
        <f t="shared" si="310"/>
        <v>600</v>
      </c>
      <c r="AR369" s="253">
        <f t="shared" si="310"/>
        <v>600</v>
      </c>
      <c r="AS369" s="254">
        <f t="shared" si="310"/>
        <v>33000</v>
      </c>
      <c r="AT369" s="253">
        <f t="shared" si="310"/>
        <v>33000</v>
      </c>
      <c r="AU369" s="253">
        <f t="shared" si="310"/>
        <v>33000</v>
      </c>
      <c r="AV369" s="253">
        <f t="shared" si="310"/>
        <v>33000</v>
      </c>
      <c r="AW369" s="253">
        <f t="shared" si="310"/>
        <v>33000</v>
      </c>
      <c r="AX369" s="255">
        <f t="shared" si="310"/>
        <v>33000</v>
      </c>
      <c r="AY369" s="1"/>
      <c r="AZ369" s="1"/>
      <c r="BA369" s="1"/>
      <c r="BB369" s="1"/>
    </row>
    <row r="370" spans="2:67" x14ac:dyDescent="0.25">
      <c r="B370" s="1343"/>
      <c r="D370" s="1355"/>
      <c r="F370" s="265"/>
      <c r="G370" s="209" t="s">
        <v>98</v>
      </c>
      <c r="H370" s="209"/>
      <c r="I370" s="253">
        <f t="shared" si="307"/>
        <v>50</v>
      </c>
      <c r="J370" s="253">
        <f t="shared" si="307"/>
        <v>50</v>
      </c>
      <c r="K370" s="253">
        <f t="shared" si="307"/>
        <v>50</v>
      </c>
      <c r="L370" s="253">
        <f t="shared" si="307"/>
        <v>50</v>
      </c>
      <c r="M370" s="253">
        <f t="shared" si="307"/>
        <v>50</v>
      </c>
      <c r="N370" s="253">
        <f t="shared" si="307"/>
        <v>50</v>
      </c>
      <c r="O370" s="254">
        <f t="shared" si="307"/>
        <v>21200</v>
      </c>
      <c r="P370" s="253">
        <f t="shared" si="307"/>
        <v>21200</v>
      </c>
      <c r="Q370" s="253">
        <f t="shared" si="307"/>
        <v>21200</v>
      </c>
      <c r="R370" s="253">
        <f t="shared" si="307"/>
        <v>21200</v>
      </c>
      <c r="S370" s="253">
        <f t="shared" si="308"/>
        <v>21200</v>
      </c>
      <c r="T370" s="253">
        <f t="shared" si="308"/>
        <v>21200</v>
      </c>
      <c r="U370" s="254">
        <f t="shared" si="308"/>
        <v>3600</v>
      </c>
      <c r="V370" s="253">
        <f t="shared" si="308"/>
        <v>3600</v>
      </c>
      <c r="W370" s="253">
        <f t="shared" si="308"/>
        <v>3600</v>
      </c>
      <c r="X370" s="253">
        <f t="shared" si="308"/>
        <v>3600</v>
      </c>
      <c r="Y370" s="253">
        <f t="shared" si="308"/>
        <v>3600</v>
      </c>
      <c r="Z370" s="253">
        <f t="shared" si="308"/>
        <v>3600</v>
      </c>
      <c r="AA370" s="254">
        <f t="shared" si="308"/>
        <v>1.3</v>
      </c>
      <c r="AB370" s="253">
        <f t="shared" si="308"/>
        <v>1.3</v>
      </c>
      <c r="AC370" s="253">
        <f t="shared" si="309"/>
        <v>1.3</v>
      </c>
      <c r="AD370" s="253">
        <f t="shared" si="309"/>
        <v>1.3</v>
      </c>
      <c r="AE370" s="253">
        <f t="shared" si="309"/>
        <v>1.3</v>
      </c>
      <c r="AF370" s="253">
        <f t="shared" si="309"/>
        <v>1.3</v>
      </c>
      <c r="AG370" s="254">
        <f t="shared" si="309"/>
        <v>0</v>
      </c>
      <c r="AH370" s="253">
        <f t="shared" si="309"/>
        <v>0</v>
      </c>
      <c r="AI370" s="253">
        <f t="shared" si="309"/>
        <v>0</v>
      </c>
      <c r="AJ370" s="253">
        <f t="shared" si="309"/>
        <v>0</v>
      </c>
      <c r="AK370" s="253">
        <f t="shared" si="309"/>
        <v>0</v>
      </c>
      <c r="AL370" s="253">
        <f t="shared" si="309"/>
        <v>0</v>
      </c>
      <c r="AM370" s="254">
        <f t="shared" si="310"/>
        <v>600</v>
      </c>
      <c r="AN370" s="253">
        <f t="shared" si="310"/>
        <v>600</v>
      </c>
      <c r="AO370" s="253">
        <f t="shared" si="310"/>
        <v>600</v>
      </c>
      <c r="AP370" s="253">
        <f t="shared" si="310"/>
        <v>600</v>
      </c>
      <c r="AQ370" s="253">
        <f t="shared" si="310"/>
        <v>600</v>
      </c>
      <c r="AR370" s="253">
        <f t="shared" si="310"/>
        <v>600</v>
      </c>
      <c r="AS370" s="254">
        <f t="shared" si="310"/>
        <v>33000</v>
      </c>
      <c r="AT370" s="253">
        <f t="shared" si="310"/>
        <v>33000</v>
      </c>
      <c r="AU370" s="253">
        <f t="shared" si="310"/>
        <v>33000</v>
      </c>
      <c r="AV370" s="253">
        <f t="shared" si="310"/>
        <v>33000</v>
      </c>
      <c r="AW370" s="253">
        <f t="shared" si="310"/>
        <v>33000</v>
      </c>
      <c r="AX370" s="255">
        <f t="shared" si="310"/>
        <v>33000</v>
      </c>
      <c r="AY370" s="1"/>
      <c r="AZ370" s="1"/>
      <c r="BA370" s="1"/>
      <c r="BB370" s="1"/>
    </row>
    <row r="371" spans="2:67" s="220" customFormat="1" x14ac:dyDescent="0.25">
      <c r="B371" s="1343"/>
      <c r="D371" s="1355"/>
      <c r="F371" s="265"/>
      <c r="G371" s="209" t="s">
        <v>629</v>
      </c>
      <c r="H371" s="209"/>
      <c r="I371" s="253">
        <f t="shared" si="307"/>
        <v>50</v>
      </c>
      <c r="J371" s="253">
        <f t="shared" si="307"/>
        <v>50</v>
      </c>
      <c r="K371" s="253">
        <f t="shared" si="307"/>
        <v>50</v>
      </c>
      <c r="L371" s="253">
        <f t="shared" si="307"/>
        <v>50</v>
      </c>
      <c r="M371" s="253">
        <f t="shared" si="307"/>
        <v>50</v>
      </c>
      <c r="N371" s="253">
        <f t="shared" si="307"/>
        <v>50</v>
      </c>
      <c r="O371" s="254">
        <f t="shared" si="307"/>
        <v>21200</v>
      </c>
      <c r="P371" s="253">
        <f t="shared" si="307"/>
        <v>21200</v>
      </c>
      <c r="Q371" s="253">
        <f t="shared" si="307"/>
        <v>21200</v>
      </c>
      <c r="R371" s="253">
        <f t="shared" si="307"/>
        <v>21200</v>
      </c>
      <c r="S371" s="253">
        <f t="shared" si="308"/>
        <v>21200</v>
      </c>
      <c r="T371" s="253">
        <f t="shared" si="308"/>
        <v>21200</v>
      </c>
      <c r="U371" s="254">
        <f t="shared" si="308"/>
        <v>3600</v>
      </c>
      <c r="V371" s="253">
        <f t="shared" si="308"/>
        <v>3600</v>
      </c>
      <c r="W371" s="253">
        <f t="shared" si="308"/>
        <v>3600</v>
      </c>
      <c r="X371" s="253">
        <f t="shared" si="308"/>
        <v>3600</v>
      </c>
      <c r="Y371" s="253">
        <f t="shared" si="308"/>
        <v>3600</v>
      </c>
      <c r="Z371" s="253">
        <f t="shared" si="308"/>
        <v>3600</v>
      </c>
      <c r="AA371" s="254">
        <f t="shared" si="308"/>
        <v>1.3</v>
      </c>
      <c r="AB371" s="253">
        <f t="shared" si="308"/>
        <v>1.3</v>
      </c>
      <c r="AC371" s="253">
        <f t="shared" si="309"/>
        <v>1.3</v>
      </c>
      <c r="AD371" s="253">
        <f t="shared" si="309"/>
        <v>1.3</v>
      </c>
      <c r="AE371" s="253">
        <f t="shared" si="309"/>
        <v>1.3</v>
      </c>
      <c r="AF371" s="253">
        <f t="shared" si="309"/>
        <v>1.3</v>
      </c>
      <c r="AG371" s="254">
        <f t="shared" si="309"/>
        <v>0</v>
      </c>
      <c r="AH371" s="253">
        <f t="shared" si="309"/>
        <v>0</v>
      </c>
      <c r="AI371" s="253">
        <f t="shared" si="309"/>
        <v>0</v>
      </c>
      <c r="AJ371" s="253">
        <f t="shared" si="309"/>
        <v>0</v>
      </c>
      <c r="AK371" s="253">
        <f t="shared" si="309"/>
        <v>0</v>
      </c>
      <c r="AL371" s="253">
        <f t="shared" si="309"/>
        <v>0</v>
      </c>
      <c r="AM371" s="254">
        <f t="shared" si="310"/>
        <v>600</v>
      </c>
      <c r="AN371" s="253">
        <f t="shared" si="310"/>
        <v>600</v>
      </c>
      <c r="AO371" s="253">
        <f t="shared" si="310"/>
        <v>600</v>
      </c>
      <c r="AP371" s="253">
        <f t="shared" si="310"/>
        <v>600</v>
      </c>
      <c r="AQ371" s="253">
        <f t="shared" si="310"/>
        <v>600</v>
      </c>
      <c r="AR371" s="253">
        <f t="shared" si="310"/>
        <v>600</v>
      </c>
      <c r="AS371" s="254">
        <f t="shared" si="310"/>
        <v>33000</v>
      </c>
      <c r="AT371" s="253">
        <f t="shared" si="310"/>
        <v>33000</v>
      </c>
      <c r="AU371" s="253">
        <f t="shared" si="310"/>
        <v>33000</v>
      </c>
      <c r="AV371" s="253">
        <f t="shared" si="310"/>
        <v>33000</v>
      </c>
      <c r="AW371" s="253">
        <f t="shared" si="310"/>
        <v>33000</v>
      </c>
      <c r="AX371" s="255">
        <f t="shared" si="310"/>
        <v>33000</v>
      </c>
      <c r="AY371" s="1"/>
      <c r="AZ371" s="1"/>
      <c r="BA371" s="1"/>
      <c r="BB371" s="1"/>
      <c r="BG371" s="1"/>
      <c r="BH371" s="1"/>
      <c r="BI371" s="1"/>
      <c r="BJ371" s="1"/>
      <c r="BK371" s="1"/>
      <c r="BL371" s="1"/>
      <c r="BM371" s="1"/>
      <c r="BN371" s="1"/>
      <c r="BO371" s="1"/>
    </row>
    <row r="372" spans="2:67" s="220" customFormat="1" x14ac:dyDescent="0.25">
      <c r="B372" s="1343"/>
      <c r="D372" s="1355"/>
      <c r="F372" s="265"/>
      <c r="G372" s="209" t="s">
        <v>105</v>
      </c>
      <c r="H372" s="209"/>
      <c r="I372" s="253">
        <f t="shared" ref="I372:R382" si="311">INDEX($I$429:$O$429,1,MATCH(I$8,$I$433:$O$433,0))</f>
        <v>50</v>
      </c>
      <c r="J372" s="253">
        <f t="shared" si="311"/>
        <v>50</v>
      </c>
      <c r="K372" s="253">
        <f t="shared" si="311"/>
        <v>50</v>
      </c>
      <c r="L372" s="253">
        <f t="shared" si="311"/>
        <v>50</v>
      </c>
      <c r="M372" s="253">
        <f t="shared" si="311"/>
        <v>50</v>
      </c>
      <c r="N372" s="253">
        <f t="shared" si="311"/>
        <v>50</v>
      </c>
      <c r="O372" s="254">
        <f t="shared" si="311"/>
        <v>21200</v>
      </c>
      <c r="P372" s="253">
        <f t="shared" si="311"/>
        <v>21200</v>
      </c>
      <c r="Q372" s="253">
        <f t="shared" si="311"/>
        <v>21200</v>
      </c>
      <c r="R372" s="253">
        <f t="shared" si="311"/>
        <v>21200</v>
      </c>
      <c r="S372" s="253">
        <f t="shared" ref="S372:AB382" si="312">INDEX($I$429:$O$429,1,MATCH(S$8,$I$433:$O$433,0))</f>
        <v>21200</v>
      </c>
      <c r="T372" s="253">
        <f t="shared" si="312"/>
        <v>21200</v>
      </c>
      <c r="U372" s="254">
        <f t="shared" si="312"/>
        <v>3600</v>
      </c>
      <c r="V372" s="253">
        <f t="shared" si="312"/>
        <v>3600</v>
      </c>
      <c r="W372" s="253">
        <f t="shared" si="312"/>
        <v>3600</v>
      </c>
      <c r="X372" s="253">
        <f t="shared" si="312"/>
        <v>3600</v>
      </c>
      <c r="Y372" s="253">
        <f t="shared" si="312"/>
        <v>3600</v>
      </c>
      <c r="Z372" s="253">
        <f t="shared" si="312"/>
        <v>3600</v>
      </c>
      <c r="AA372" s="254">
        <f t="shared" si="312"/>
        <v>1.3</v>
      </c>
      <c r="AB372" s="253">
        <f t="shared" si="312"/>
        <v>1.3</v>
      </c>
      <c r="AC372" s="253">
        <f t="shared" ref="AC372:AL382" si="313">INDEX($I$429:$O$429,1,MATCH(AC$8,$I$433:$O$433,0))</f>
        <v>1.3</v>
      </c>
      <c r="AD372" s="253">
        <f t="shared" si="313"/>
        <v>1.3</v>
      </c>
      <c r="AE372" s="253">
        <f t="shared" si="313"/>
        <v>1.3</v>
      </c>
      <c r="AF372" s="253">
        <f t="shared" si="313"/>
        <v>1.3</v>
      </c>
      <c r="AG372" s="254">
        <f t="shared" si="313"/>
        <v>0</v>
      </c>
      <c r="AH372" s="253">
        <f t="shared" si="313"/>
        <v>0</v>
      </c>
      <c r="AI372" s="253">
        <f t="shared" si="313"/>
        <v>0</v>
      </c>
      <c r="AJ372" s="253">
        <f t="shared" si="313"/>
        <v>0</v>
      </c>
      <c r="AK372" s="253">
        <f t="shared" si="313"/>
        <v>0</v>
      </c>
      <c r="AL372" s="253">
        <f t="shared" si="313"/>
        <v>0</v>
      </c>
      <c r="AM372" s="254">
        <f t="shared" ref="AM372:AX382" si="314">INDEX($I$429:$O$429,1,MATCH(AM$8,$I$433:$O$433,0))</f>
        <v>600</v>
      </c>
      <c r="AN372" s="253">
        <f t="shared" si="314"/>
        <v>600</v>
      </c>
      <c r="AO372" s="253">
        <f t="shared" si="314"/>
        <v>600</v>
      </c>
      <c r="AP372" s="253">
        <f t="shared" si="314"/>
        <v>600</v>
      </c>
      <c r="AQ372" s="253">
        <f t="shared" si="314"/>
        <v>600</v>
      </c>
      <c r="AR372" s="253">
        <f t="shared" si="314"/>
        <v>600</v>
      </c>
      <c r="AS372" s="254">
        <f t="shared" si="314"/>
        <v>33000</v>
      </c>
      <c r="AT372" s="253">
        <f t="shared" si="314"/>
        <v>33000</v>
      </c>
      <c r="AU372" s="253">
        <f t="shared" si="314"/>
        <v>33000</v>
      </c>
      <c r="AV372" s="253">
        <f t="shared" si="314"/>
        <v>33000</v>
      </c>
      <c r="AW372" s="253">
        <f t="shared" si="314"/>
        <v>33000</v>
      </c>
      <c r="AX372" s="255">
        <f t="shared" si="314"/>
        <v>33000</v>
      </c>
      <c r="AY372" s="1"/>
      <c r="AZ372" s="1"/>
      <c r="BA372" s="1"/>
      <c r="BB372" s="1"/>
      <c r="BG372" s="1"/>
      <c r="BH372" s="1"/>
      <c r="BI372" s="1"/>
      <c r="BJ372" s="1"/>
      <c r="BK372" s="1"/>
      <c r="BL372" s="1"/>
      <c r="BM372" s="1"/>
      <c r="BN372" s="1"/>
      <c r="BO372" s="1"/>
    </row>
    <row r="373" spans="2:67" s="220" customFormat="1" x14ac:dyDescent="0.25">
      <c r="B373" s="1343"/>
      <c r="D373" s="1355"/>
      <c r="F373" s="265"/>
      <c r="G373" s="209" t="s">
        <v>111</v>
      </c>
      <c r="H373" s="209"/>
      <c r="I373" s="253">
        <f t="shared" si="311"/>
        <v>50</v>
      </c>
      <c r="J373" s="253">
        <f t="shared" si="311"/>
        <v>50</v>
      </c>
      <c r="K373" s="253">
        <f t="shared" si="311"/>
        <v>50</v>
      </c>
      <c r="L373" s="253">
        <f t="shared" si="311"/>
        <v>50</v>
      </c>
      <c r="M373" s="253">
        <f t="shared" si="311"/>
        <v>50</v>
      </c>
      <c r="N373" s="253">
        <f t="shared" si="311"/>
        <v>50</v>
      </c>
      <c r="O373" s="254">
        <f t="shared" si="311"/>
        <v>21200</v>
      </c>
      <c r="P373" s="253">
        <f t="shared" si="311"/>
        <v>21200</v>
      </c>
      <c r="Q373" s="253">
        <f t="shared" si="311"/>
        <v>21200</v>
      </c>
      <c r="R373" s="253">
        <f t="shared" si="311"/>
        <v>21200</v>
      </c>
      <c r="S373" s="253">
        <f t="shared" si="312"/>
        <v>21200</v>
      </c>
      <c r="T373" s="253">
        <f t="shared" si="312"/>
        <v>21200</v>
      </c>
      <c r="U373" s="254">
        <f t="shared" si="312"/>
        <v>3600</v>
      </c>
      <c r="V373" s="253">
        <f t="shared" si="312"/>
        <v>3600</v>
      </c>
      <c r="W373" s="253">
        <f t="shared" si="312"/>
        <v>3600</v>
      </c>
      <c r="X373" s="253">
        <f t="shared" si="312"/>
        <v>3600</v>
      </c>
      <c r="Y373" s="253">
        <f t="shared" si="312"/>
        <v>3600</v>
      </c>
      <c r="Z373" s="253">
        <f t="shared" si="312"/>
        <v>3600</v>
      </c>
      <c r="AA373" s="254">
        <f t="shared" si="312"/>
        <v>1.3</v>
      </c>
      <c r="AB373" s="253">
        <f t="shared" si="312"/>
        <v>1.3</v>
      </c>
      <c r="AC373" s="253">
        <f t="shared" si="313"/>
        <v>1.3</v>
      </c>
      <c r="AD373" s="253">
        <f t="shared" si="313"/>
        <v>1.3</v>
      </c>
      <c r="AE373" s="253">
        <f t="shared" si="313"/>
        <v>1.3</v>
      </c>
      <c r="AF373" s="253">
        <f t="shared" si="313"/>
        <v>1.3</v>
      </c>
      <c r="AG373" s="254">
        <f t="shared" si="313"/>
        <v>0</v>
      </c>
      <c r="AH373" s="253">
        <f t="shared" si="313"/>
        <v>0</v>
      </c>
      <c r="AI373" s="253">
        <f t="shared" si="313"/>
        <v>0</v>
      </c>
      <c r="AJ373" s="253">
        <f t="shared" si="313"/>
        <v>0</v>
      </c>
      <c r="AK373" s="253">
        <f t="shared" si="313"/>
        <v>0</v>
      </c>
      <c r="AL373" s="253">
        <f t="shared" si="313"/>
        <v>0</v>
      </c>
      <c r="AM373" s="254">
        <f t="shared" si="314"/>
        <v>600</v>
      </c>
      <c r="AN373" s="253">
        <f t="shared" si="314"/>
        <v>600</v>
      </c>
      <c r="AO373" s="253">
        <f t="shared" si="314"/>
        <v>600</v>
      </c>
      <c r="AP373" s="253">
        <f t="shared" si="314"/>
        <v>600</v>
      </c>
      <c r="AQ373" s="253">
        <f t="shared" si="314"/>
        <v>600</v>
      </c>
      <c r="AR373" s="253">
        <f t="shared" si="314"/>
        <v>600</v>
      </c>
      <c r="AS373" s="254">
        <f t="shared" si="314"/>
        <v>33000</v>
      </c>
      <c r="AT373" s="253">
        <f t="shared" si="314"/>
        <v>33000</v>
      </c>
      <c r="AU373" s="253">
        <f t="shared" si="314"/>
        <v>33000</v>
      </c>
      <c r="AV373" s="253">
        <f t="shared" si="314"/>
        <v>33000</v>
      </c>
      <c r="AW373" s="253">
        <f t="shared" si="314"/>
        <v>33000</v>
      </c>
      <c r="AX373" s="255">
        <f t="shared" si="314"/>
        <v>33000</v>
      </c>
      <c r="AY373" s="1"/>
      <c r="AZ373" s="1"/>
      <c r="BA373" s="1"/>
      <c r="BB373" s="1"/>
      <c r="BG373" s="1"/>
      <c r="BH373" s="1"/>
      <c r="BI373" s="1"/>
      <c r="BJ373" s="1"/>
      <c r="BK373" s="1"/>
      <c r="BL373" s="1"/>
      <c r="BM373" s="1"/>
      <c r="BN373" s="1"/>
      <c r="BO373" s="1"/>
    </row>
    <row r="374" spans="2:67" s="220" customFormat="1" x14ac:dyDescent="0.25">
      <c r="B374" s="1343"/>
      <c r="D374" s="1355"/>
      <c r="F374" s="265"/>
      <c r="G374" s="209" t="s">
        <v>109</v>
      </c>
      <c r="H374" s="209"/>
      <c r="I374" s="253">
        <f t="shared" si="311"/>
        <v>50</v>
      </c>
      <c r="J374" s="253">
        <f t="shared" si="311"/>
        <v>50</v>
      </c>
      <c r="K374" s="253">
        <f t="shared" si="311"/>
        <v>50</v>
      </c>
      <c r="L374" s="253">
        <f t="shared" si="311"/>
        <v>50</v>
      </c>
      <c r="M374" s="253">
        <f t="shared" si="311"/>
        <v>50</v>
      </c>
      <c r="N374" s="253">
        <f t="shared" si="311"/>
        <v>50</v>
      </c>
      <c r="O374" s="254">
        <f t="shared" si="311"/>
        <v>21200</v>
      </c>
      <c r="P374" s="253">
        <f t="shared" si="311"/>
        <v>21200</v>
      </c>
      <c r="Q374" s="253">
        <f t="shared" si="311"/>
        <v>21200</v>
      </c>
      <c r="R374" s="253">
        <f t="shared" si="311"/>
        <v>21200</v>
      </c>
      <c r="S374" s="253">
        <f t="shared" si="312"/>
        <v>21200</v>
      </c>
      <c r="T374" s="253">
        <f t="shared" si="312"/>
        <v>21200</v>
      </c>
      <c r="U374" s="254">
        <f t="shared" si="312"/>
        <v>3600</v>
      </c>
      <c r="V374" s="253">
        <f t="shared" si="312"/>
        <v>3600</v>
      </c>
      <c r="W374" s="253">
        <f t="shared" si="312"/>
        <v>3600</v>
      </c>
      <c r="X374" s="253">
        <f t="shared" si="312"/>
        <v>3600</v>
      </c>
      <c r="Y374" s="253">
        <f t="shared" si="312"/>
        <v>3600</v>
      </c>
      <c r="Z374" s="253">
        <f t="shared" si="312"/>
        <v>3600</v>
      </c>
      <c r="AA374" s="254">
        <f t="shared" si="312"/>
        <v>1.3</v>
      </c>
      <c r="AB374" s="253">
        <f t="shared" si="312"/>
        <v>1.3</v>
      </c>
      <c r="AC374" s="253">
        <f t="shared" si="313"/>
        <v>1.3</v>
      </c>
      <c r="AD374" s="253">
        <f t="shared" si="313"/>
        <v>1.3</v>
      </c>
      <c r="AE374" s="253">
        <f t="shared" si="313"/>
        <v>1.3</v>
      </c>
      <c r="AF374" s="253">
        <f t="shared" si="313"/>
        <v>1.3</v>
      </c>
      <c r="AG374" s="254">
        <f t="shared" si="313"/>
        <v>0</v>
      </c>
      <c r="AH374" s="253">
        <f t="shared" si="313"/>
        <v>0</v>
      </c>
      <c r="AI374" s="253">
        <f t="shared" si="313"/>
        <v>0</v>
      </c>
      <c r="AJ374" s="253">
        <f t="shared" si="313"/>
        <v>0</v>
      </c>
      <c r="AK374" s="253">
        <f t="shared" si="313"/>
        <v>0</v>
      </c>
      <c r="AL374" s="253">
        <f t="shared" si="313"/>
        <v>0</v>
      </c>
      <c r="AM374" s="254">
        <f t="shared" si="314"/>
        <v>600</v>
      </c>
      <c r="AN374" s="253">
        <f t="shared" si="314"/>
        <v>600</v>
      </c>
      <c r="AO374" s="253">
        <f t="shared" si="314"/>
        <v>600</v>
      </c>
      <c r="AP374" s="253">
        <f t="shared" si="314"/>
        <v>600</v>
      </c>
      <c r="AQ374" s="253">
        <f t="shared" si="314"/>
        <v>600</v>
      </c>
      <c r="AR374" s="253">
        <f t="shared" si="314"/>
        <v>600</v>
      </c>
      <c r="AS374" s="254">
        <f t="shared" si="314"/>
        <v>33000</v>
      </c>
      <c r="AT374" s="253">
        <f t="shared" si="314"/>
        <v>33000</v>
      </c>
      <c r="AU374" s="253">
        <f t="shared" si="314"/>
        <v>33000</v>
      </c>
      <c r="AV374" s="253">
        <f t="shared" si="314"/>
        <v>33000</v>
      </c>
      <c r="AW374" s="253">
        <f t="shared" si="314"/>
        <v>33000</v>
      </c>
      <c r="AX374" s="255">
        <f t="shared" si="314"/>
        <v>33000</v>
      </c>
      <c r="AY374" s="1"/>
      <c r="AZ374" s="1"/>
      <c r="BA374" s="1"/>
      <c r="BB374" s="1"/>
      <c r="BG374" s="1"/>
      <c r="BH374" s="1"/>
      <c r="BI374" s="1"/>
      <c r="BJ374" s="1"/>
      <c r="BK374" s="1"/>
      <c r="BL374" s="1"/>
      <c r="BM374" s="1"/>
      <c r="BN374" s="1"/>
      <c r="BO374" s="1"/>
    </row>
    <row r="375" spans="2:67" s="220" customFormat="1" x14ac:dyDescent="0.25">
      <c r="B375" s="1343"/>
      <c r="D375" s="1355"/>
      <c r="F375" s="265"/>
      <c r="G375" s="209" t="s">
        <v>99</v>
      </c>
      <c r="H375" s="209"/>
      <c r="I375" s="253">
        <f t="shared" si="311"/>
        <v>50</v>
      </c>
      <c r="J375" s="253">
        <f t="shared" si="311"/>
        <v>50</v>
      </c>
      <c r="K375" s="253">
        <f t="shared" si="311"/>
        <v>50</v>
      </c>
      <c r="L375" s="253">
        <f t="shared" si="311"/>
        <v>50</v>
      </c>
      <c r="M375" s="253">
        <f t="shared" si="311"/>
        <v>50</v>
      </c>
      <c r="N375" s="253">
        <f t="shared" si="311"/>
        <v>50</v>
      </c>
      <c r="O375" s="254">
        <f t="shared" si="311"/>
        <v>21200</v>
      </c>
      <c r="P375" s="253">
        <f t="shared" si="311"/>
        <v>21200</v>
      </c>
      <c r="Q375" s="253">
        <f t="shared" si="311"/>
        <v>21200</v>
      </c>
      <c r="R375" s="253">
        <f t="shared" si="311"/>
        <v>21200</v>
      </c>
      <c r="S375" s="253">
        <f t="shared" si="312"/>
        <v>21200</v>
      </c>
      <c r="T375" s="253">
        <f t="shared" si="312"/>
        <v>21200</v>
      </c>
      <c r="U375" s="254">
        <f t="shared" si="312"/>
        <v>3600</v>
      </c>
      <c r="V375" s="253">
        <f t="shared" si="312"/>
        <v>3600</v>
      </c>
      <c r="W375" s="253">
        <f t="shared" si="312"/>
        <v>3600</v>
      </c>
      <c r="X375" s="253">
        <f t="shared" si="312"/>
        <v>3600</v>
      </c>
      <c r="Y375" s="253">
        <f t="shared" si="312"/>
        <v>3600</v>
      </c>
      <c r="Z375" s="253">
        <f t="shared" si="312"/>
        <v>3600</v>
      </c>
      <c r="AA375" s="254">
        <f t="shared" si="312"/>
        <v>1.3</v>
      </c>
      <c r="AB375" s="253">
        <f t="shared" si="312"/>
        <v>1.3</v>
      </c>
      <c r="AC375" s="253">
        <f t="shared" si="313"/>
        <v>1.3</v>
      </c>
      <c r="AD375" s="253">
        <f t="shared" si="313"/>
        <v>1.3</v>
      </c>
      <c r="AE375" s="253">
        <f t="shared" si="313"/>
        <v>1.3</v>
      </c>
      <c r="AF375" s="253">
        <f t="shared" si="313"/>
        <v>1.3</v>
      </c>
      <c r="AG375" s="254">
        <f t="shared" si="313"/>
        <v>0</v>
      </c>
      <c r="AH375" s="253">
        <f t="shared" si="313"/>
        <v>0</v>
      </c>
      <c r="AI375" s="253">
        <f t="shared" si="313"/>
        <v>0</v>
      </c>
      <c r="AJ375" s="253">
        <f t="shared" si="313"/>
        <v>0</v>
      </c>
      <c r="AK375" s="253">
        <f t="shared" si="313"/>
        <v>0</v>
      </c>
      <c r="AL375" s="253">
        <f t="shared" si="313"/>
        <v>0</v>
      </c>
      <c r="AM375" s="254">
        <f t="shared" si="314"/>
        <v>600</v>
      </c>
      <c r="AN375" s="253">
        <f t="shared" si="314"/>
        <v>600</v>
      </c>
      <c r="AO375" s="253">
        <f t="shared" si="314"/>
        <v>600</v>
      </c>
      <c r="AP375" s="253">
        <f t="shared" si="314"/>
        <v>600</v>
      </c>
      <c r="AQ375" s="253">
        <f t="shared" si="314"/>
        <v>600</v>
      </c>
      <c r="AR375" s="253">
        <f t="shared" si="314"/>
        <v>600</v>
      </c>
      <c r="AS375" s="254">
        <f t="shared" si="314"/>
        <v>33000</v>
      </c>
      <c r="AT375" s="253">
        <f t="shared" si="314"/>
        <v>33000</v>
      </c>
      <c r="AU375" s="253">
        <f t="shared" si="314"/>
        <v>33000</v>
      </c>
      <c r="AV375" s="253">
        <f t="shared" si="314"/>
        <v>33000</v>
      </c>
      <c r="AW375" s="253">
        <f t="shared" si="314"/>
        <v>33000</v>
      </c>
      <c r="AX375" s="255">
        <f t="shared" si="314"/>
        <v>33000</v>
      </c>
      <c r="AY375" s="1"/>
      <c r="AZ375" s="1"/>
      <c r="BA375" s="1"/>
      <c r="BB375" s="1"/>
      <c r="BG375" s="1"/>
      <c r="BH375" s="1"/>
      <c r="BI375" s="1"/>
      <c r="BJ375" s="1"/>
      <c r="BK375" s="1"/>
      <c r="BL375" s="1"/>
      <c r="BM375" s="1"/>
      <c r="BN375" s="1"/>
      <c r="BO375" s="1"/>
    </row>
    <row r="376" spans="2:67" s="220" customFormat="1" x14ac:dyDescent="0.25">
      <c r="B376" s="1343"/>
      <c r="D376" s="1355"/>
      <c r="F376" s="265"/>
      <c r="G376" s="209" t="s">
        <v>106</v>
      </c>
      <c r="H376" s="209"/>
      <c r="I376" s="253">
        <f t="shared" si="311"/>
        <v>50</v>
      </c>
      <c r="J376" s="253">
        <f t="shared" si="311"/>
        <v>50</v>
      </c>
      <c r="K376" s="253">
        <f t="shared" si="311"/>
        <v>50</v>
      </c>
      <c r="L376" s="253">
        <f t="shared" si="311"/>
        <v>50</v>
      </c>
      <c r="M376" s="253">
        <f t="shared" si="311"/>
        <v>50</v>
      </c>
      <c r="N376" s="253">
        <f t="shared" si="311"/>
        <v>50</v>
      </c>
      <c r="O376" s="254">
        <f t="shared" si="311"/>
        <v>21200</v>
      </c>
      <c r="P376" s="253">
        <f t="shared" si="311"/>
        <v>21200</v>
      </c>
      <c r="Q376" s="253">
        <f t="shared" si="311"/>
        <v>21200</v>
      </c>
      <c r="R376" s="253">
        <f t="shared" si="311"/>
        <v>21200</v>
      </c>
      <c r="S376" s="253">
        <f t="shared" si="312"/>
        <v>21200</v>
      </c>
      <c r="T376" s="253">
        <f t="shared" si="312"/>
        <v>21200</v>
      </c>
      <c r="U376" s="254">
        <f t="shared" si="312"/>
        <v>3600</v>
      </c>
      <c r="V376" s="253">
        <f t="shared" si="312"/>
        <v>3600</v>
      </c>
      <c r="W376" s="253">
        <f t="shared" si="312"/>
        <v>3600</v>
      </c>
      <c r="X376" s="253">
        <f t="shared" si="312"/>
        <v>3600</v>
      </c>
      <c r="Y376" s="253">
        <f t="shared" si="312"/>
        <v>3600</v>
      </c>
      <c r="Z376" s="253">
        <f t="shared" si="312"/>
        <v>3600</v>
      </c>
      <c r="AA376" s="254">
        <f t="shared" si="312"/>
        <v>1.3</v>
      </c>
      <c r="AB376" s="253">
        <f t="shared" si="312"/>
        <v>1.3</v>
      </c>
      <c r="AC376" s="253">
        <f t="shared" si="313"/>
        <v>1.3</v>
      </c>
      <c r="AD376" s="253">
        <f t="shared" si="313"/>
        <v>1.3</v>
      </c>
      <c r="AE376" s="253">
        <f t="shared" si="313"/>
        <v>1.3</v>
      </c>
      <c r="AF376" s="253">
        <f t="shared" si="313"/>
        <v>1.3</v>
      </c>
      <c r="AG376" s="254">
        <f t="shared" si="313"/>
        <v>0</v>
      </c>
      <c r="AH376" s="253">
        <f t="shared" si="313"/>
        <v>0</v>
      </c>
      <c r="AI376" s="253">
        <f t="shared" si="313"/>
        <v>0</v>
      </c>
      <c r="AJ376" s="253">
        <f t="shared" si="313"/>
        <v>0</v>
      </c>
      <c r="AK376" s="253">
        <f t="shared" si="313"/>
        <v>0</v>
      </c>
      <c r="AL376" s="253">
        <f t="shared" si="313"/>
        <v>0</v>
      </c>
      <c r="AM376" s="254">
        <f t="shared" si="314"/>
        <v>600</v>
      </c>
      <c r="AN376" s="253">
        <f t="shared" si="314"/>
        <v>600</v>
      </c>
      <c r="AO376" s="253">
        <f t="shared" si="314"/>
        <v>600</v>
      </c>
      <c r="AP376" s="253">
        <f t="shared" si="314"/>
        <v>600</v>
      </c>
      <c r="AQ376" s="253">
        <f t="shared" si="314"/>
        <v>600</v>
      </c>
      <c r="AR376" s="253">
        <f t="shared" si="314"/>
        <v>600</v>
      </c>
      <c r="AS376" s="254">
        <f t="shared" si="314"/>
        <v>33000</v>
      </c>
      <c r="AT376" s="253">
        <f t="shared" si="314"/>
        <v>33000</v>
      </c>
      <c r="AU376" s="253">
        <f t="shared" si="314"/>
        <v>33000</v>
      </c>
      <c r="AV376" s="253">
        <f t="shared" si="314"/>
        <v>33000</v>
      </c>
      <c r="AW376" s="253">
        <f t="shared" si="314"/>
        <v>33000</v>
      </c>
      <c r="AX376" s="255">
        <f t="shared" si="314"/>
        <v>33000</v>
      </c>
      <c r="AY376" s="1"/>
      <c r="AZ376" s="1"/>
      <c r="BA376" s="1"/>
      <c r="BB376" s="1"/>
      <c r="BG376" s="1"/>
      <c r="BH376" s="1"/>
      <c r="BI376" s="1"/>
      <c r="BJ376" s="1"/>
      <c r="BK376" s="1"/>
      <c r="BL376" s="1"/>
      <c r="BM376" s="1"/>
      <c r="BN376" s="1"/>
      <c r="BO376" s="1"/>
    </row>
    <row r="377" spans="2:67" s="220" customFormat="1" x14ac:dyDescent="0.25">
      <c r="B377" s="1343"/>
      <c r="D377" s="1355"/>
      <c r="F377" s="265"/>
      <c r="G377" s="209" t="s">
        <v>112</v>
      </c>
      <c r="H377" s="209"/>
      <c r="I377" s="253">
        <f t="shared" si="311"/>
        <v>50</v>
      </c>
      <c r="J377" s="253">
        <f t="shared" si="311"/>
        <v>50</v>
      </c>
      <c r="K377" s="253">
        <f t="shared" si="311"/>
        <v>50</v>
      </c>
      <c r="L377" s="253">
        <f t="shared" si="311"/>
        <v>50</v>
      </c>
      <c r="M377" s="253">
        <f t="shared" si="311"/>
        <v>50</v>
      </c>
      <c r="N377" s="253">
        <f t="shared" si="311"/>
        <v>50</v>
      </c>
      <c r="O377" s="254">
        <f t="shared" si="311"/>
        <v>21200</v>
      </c>
      <c r="P377" s="253">
        <f t="shared" si="311"/>
        <v>21200</v>
      </c>
      <c r="Q377" s="253">
        <f t="shared" si="311"/>
        <v>21200</v>
      </c>
      <c r="R377" s="253">
        <f t="shared" si="311"/>
        <v>21200</v>
      </c>
      <c r="S377" s="253">
        <f t="shared" si="312"/>
        <v>21200</v>
      </c>
      <c r="T377" s="253">
        <f t="shared" si="312"/>
        <v>21200</v>
      </c>
      <c r="U377" s="254">
        <f t="shared" si="312"/>
        <v>3600</v>
      </c>
      <c r="V377" s="253">
        <f t="shared" si="312"/>
        <v>3600</v>
      </c>
      <c r="W377" s="253">
        <f t="shared" si="312"/>
        <v>3600</v>
      </c>
      <c r="X377" s="253">
        <f t="shared" si="312"/>
        <v>3600</v>
      </c>
      <c r="Y377" s="253">
        <f t="shared" si="312"/>
        <v>3600</v>
      </c>
      <c r="Z377" s="253">
        <f t="shared" si="312"/>
        <v>3600</v>
      </c>
      <c r="AA377" s="254">
        <f t="shared" si="312"/>
        <v>1.3</v>
      </c>
      <c r="AB377" s="253">
        <f t="shared" si="312"/>
        <v>1.3</v>
      </c>
      <c r="AC377" s="253">
        <f t="shared" si="313"/>
        <v>1.3</v>
      </c>
      <c r="AD377" s="253">
        <f t="shared" si="313"/>
        <v>1.3</v>
      </c>
      <c r="AE377" s="253">
        <f t="shared" si="313"/>
        <v>1.3</v>
      </c>
      <c r="AF377" s="253">
        <f t="shared" si="313"/>
        <v>1.3</v>
      </c>
      <c r="AG377" s="254">
        <f t="shared" si="313"/>
        <v>0</v>
      </c>
      <c r="AH377" s="253">
        <f t="shared" si="313"/>
        <v>0</v>
      </c>
      <c r="AI377" s="253">
        <f t="shared" si="313"/>
        <v>0</v>
      </c>
      <c r="AJ377" s="253">
        <f t="shared" si="313"/>
        <v>0</v>
      </c>
      <c r="AK377" s="253">
        <f t="shared" si="313"/>
        <v>0</v>
      </c>
      <c r="AL377" s="253">
        <f t="shared" si="313"/>
        <v>0</v>
      </c>
      <c r="AM377" s="254">
        <f t="shared" si="314"/>
        <v>600</v>
      </c>
      <c r="AN377" s="253">
        <f t="shared" si="314"/>
        <v>600</v>
      </c>
      <c r="AO377" s="253">
        <f t="shared" si="314"/>
        <v>600</v>
      </c>
      <c r="AP377" s="253">
        <f t="shared" si="314"/>
        <v>600</v>
      </c>
      <c r="AQ377" s="253">
        <f t="shared" si="314"/>
        <v>600</v>
      </c>
      <c r="AR377" s="253">
        <f t="shared" si="314"/>
        <v>600</v>
      </c>
      <c r="AS377" s="254">
        <f t="shared" si="314"/>
        <v>33000</v>
      </c>
      <c r="AT377" s="253">
        <f t="shared" si="314"/>
        <v>33000</v>
      </c>
      <c r="AU377" s="253">
        <f t="shared" si="314"/>
        <v>33000</v>
      </c>
      <c r="AV377" s="253">
        <f t="shared" si="314"/>
        <v>33000</v>
      </c>
      <c r="AW377" s="253">
        <f t="shared" si="314"/>
        <v>33000</v>
      </c>
      <c r="AX377" s="255">
        <f t="shared" si="314"/>
        <v>33000</v>
      </c>
      <c r="AY377" s="1"/>
      <c r="AZ377" s="1"/>
      <c r="BA377" s="1"/>
      <c r="BB377" s="1"/>
      <c r="BG377" s="1"/>
      <c r="BH377" s="1"/>
      <c r="BI377" s="1"/>
      <c r="BJ377" s="1"/>
      <c r="BK377" s="1"/>
      <c r="BL377" s="1"/>
      <c r="BM377" s="1"/>
      <c r="BN377" s="1"/>
      <c r="BO377" s="1"/>
    </row>
    <row r="378" spans="2:67" s="220" customFormat="1" x14ac:dyDescent="0.25">
      <c r="B378" s="1343"/>
      <c r="D378" s="1355"/>
      <c r="F378" s="265"/>
      <c r="G378" s="209" t="s">
        <v>110</v>
      </c>
      <c r="H378" s="209"/>
      <c r="I378" s="253">
        <f t="shared" si="311"/>
        <v>50</v>
      </c>
      <c r="J378" s="253">
        <f t="shared" si="311"/>
        <v>50</v>
      </c>
      <c r="K378" s="253">
        <f t="shared" si="311"/>
        <v>50</v>
      </c>
      <c r="L378" s="253">
        <f t="shared" si="311"/>
        <v>50</v>
      </c>
      <c r="M378" s="253">
        <f t="shared" si="311"/>
        <v>50</v>
      </c>
      <c r="N378" s="253">
        <f t="shared" si="311"/>
        <v>50</v>
      </c>
      <c r="O378" s="254">
        <f t="shared" si="311"/>
        <v>21200</v>
      </c>
      <c r="P378" s="253">
        <f t="shared" si="311"/>
        <v>21200</v>
      </c>
      <c r="Q378" s="253">
        <f t="shared" si="311"/>
        <v>21200</v>
      </c>
      <c r="R378" s="253">
        <f t="shared" si="311"/>
        <v>21200</v>
      </c>
      <c r="S378" s="253">
        <f t="shared" si="312"/>
        <v>21200</v>
      </c>
      <c r="T378" s="253">
        <f t="shared" si="312"/>
        <v>21200</v>
      </c>
      <c r="U378" s="254">
        <f t="shared" si="312"/>
        <v>3600</v>
      </c>
      <c r="V378" s="253">
        <f t="shared" si="312"/>
        <v>3600</v>
      </c>
      <c r="W378" s="253">
        <f t="shared" si="312"/>
        <v>3600</v>
      </c>
      <c r="X378" s="253">
        <f t="shared" si="312"/>
        <v>3600</v>
      </c>
      <c r="Y378" s="253">
        <f t="shared" si="312"/>
        <v>3600</v>
      </c>
      <c r="Z378" s="253">
        <f t="shared" si="312"/>
        <v>3600</v>
      </c>
      <c r="AA378" s="254">
        <f t="shared" si="312"/>
        <v>1.3</v>
      </c>
      <c r="AB378" s="253">
        <f t="shared" si="312"/>
        <v>1.3</v>
      </c>
      <c r="AC378" s="253">
        <f t="shared" si="313"/>
        <v>1.3</v>
      </c>
      <c r="AD378" s="253">
        <f t="shared" si="313"/>
        <v>1.3</v>
      </c>
      <c r="AE378" s="253">
        <f t="shared" si="313"/>
        <v>1.3</v>
      </c>
      <c r="AF378" s="253">
        <f t="shared" si="313"/>
        <v>1.3</v>
      </c>
      <c r="AG378" s="254">
        <f t="shared" si="313"/>
        <v>0</v>
      </c>
      <c r="AH378" s="253">
        <f t="shared" si="313"/>
        <v>0</v>
      </c>
      <c r="AI378" s="253">
        <f t="shared" si="313"/>
        <v>0</v>
      </c>
      <c r="AJ378" s="253">
        <f t="shared" si="313"/>
        <v>0</v>
      </c>
      <c r="AK378" s="253">
        <f t="shared" si="313"/>
        <v>0</v>
      </c>
      <c r="AL378" s="253">
        <f t="shared" si="313"/>
        <v>0</v>
      </c>
      <c r="AM378" s="254">
        <f t="shared" si="314"/>
        <v>600</v>
      </c>
      <c r="AN378" s="253">
        <f t="shared" si="314"/>
        <v>600</v>
      </c>
      <c r="AO378" s="253">
        <f t="shared" si="314"/>
        <v>600</v>
      </c>
      <c r="AP378" s="253">
        <f t="shared" si="314"/>
        <v>600</v>
      </c>
      <c r="AQ378" s="253">
        <f t="shared" si="314"/>
        <v>600</v>
      </c>
      <c r="AR378" s="253">
        <f t="shared" si="314"/>
        <v>600</v>
      </c>
      <c r="AS378" s="254">
        <f t="shared" si="314"/>
        <v>33000</v>
      </c>
      <c r="AT378" s="253">
        <f t="shared" si="314"/>
        <v>33000</v>
      </c>
      <c r="AU378" s="253">
        <f t="shared" si="314"/>
        <v>33000</v>
      </c>
      <c r="AV378" s="253">
        <f t="shared" si="314"/>
        <v>33000</v>
      </c>
      <c r="AW378" s="253">
        <f t="shared" si="314"/>
        <v>33000</v>
      </c>
      <c r="AX378" s="255">
        <f t="shared" si="314"/>
        <v>33000</v>
      </c>
      <c r="AY378" s="1"/>
      <c r="AZ378" s="1"/>
      <c r="BA378" s="1"/>
      <c r="BB378" s="1"/>
      <c r="BG378" s="1"/>
      <c r="BH378" s="1"/>
      <c r="BI378" s="1"/>
      <c r="BJ378" s="1"/>
      <c r="BK378" s="1"/>
      <c r="BL378" s="1"/>
      <c r="BM378" s="1"/>
      <c r="BN378" s="1"/>
      <c r="BO378" s="1"/>
    </row>
    <row r="379" spans="2:67" s="220" customFormat="1" x14ac:dyDescent="0.25">
      <c r="B379" s="1343"/>
      <c r="D379" s="1355"/>
      <c r="F379" s="265"/>
      <c r="G379" s="209" t="s">
        <v>100</v>
      </c>
      <c r="H379" s="209"/>
      <c r="I379" s="253">
        <f t="shared" si="311"/>
        <v>50</v>
      </c>
      <c r="J379" s="253">
        <f t="shared" si="311"/>
        <v>50</v>
      </c>
      <c r="K379" s="253">
        <f t="shared" si="311"/>
        <v>50</v>
      </c>
      <c r="L379" s="253">
        <f t="shared" si="311"/>
        <v>50</v>
      </c>
      <c r="M379" s="253">
        <f t="shared" si="311"/>
        <v>50</v>
      </c>
      <c r="N379" s="253">
        <f t="shared" si="311"/>
        <v>50</v>
      </c>
      <c r="O379" s="254">
        <f t="shared" si="311"/>
        <v>21200</v>
      </c>
      <c r="P379" s="253">
        <f t="shared" si="311"/>
        <v>21200</v>
      </c>
      <c r="Q379" s="253">
        <f t="shared" si="311"/>
        <v>21200</v>
      </c>
      <c r="R379" s="253">
        <f t="shared" si="311"/>
        <v>21200</v>
      </c>
      <c r="S379" s="253">
        <f t="shared" si="312"/>
        <v>21200</v>
      </c>
      <c r="T379" s="253">
        <f t="shared" si="312"/>
        <v>21200</v>
      </c>
      <c r="U379" s="254">
        <f t="shared" si="312"/>
        <v>3600</v>
      </c>
      <c r="V379" s="253">
        <f t="shared" si="312"/>
        <v>3600</v>
      </c>
      <c r="W379" s="253">
        <f t="shared" si="312"/>
        <v>3600</v>
      </c>
      <c r="X379" s="253">
        <f t="shared" si="312"/>
        <v>3600</v>
      </c>
      <c r="Y379" s="253">
        <f t="shared" si="312"/>
        <v>3600</v>
      </c>
      <c r="Z379" s="253">
        <f t="shared" si="312"/>
        <v>3600</v>
      </c>
      <c r="AA379" s="254">
        <f t="shared" si="312"/>
        <v>1.3</v>
      </c>
      <c r="AB379" s="253">
        <f t="shared" si="312"/>
        <v>1.3</v>
      </c>
      <c r="AC379" s="253">
        <f t="shared" si="313"/>
        <v>1.3</v>
      </c>
      <c r="AD379" s="253">
        <f t="shared" si="313"/>
        <v>1.3</v>
      </c>
      <c r="AE379" s="253">
        <f t="shared" si="313"/>
        <v>1.3</v>
      </c>
      <c r="AF379" s="253">
        <f t="shared" si="313"/>
        <v>1.3</v>
      </c>
      <c r="AG379" s="254">
        <f t="shared" si="313"/>
        <v>0</v>
      </c>
      <c r="AH379" s="253">
        <f t="shared" si="313"/>
        <v>0</v>
      </c>
      <c r="AI379" s="253">
        <f t="shared" si="313"/>
        <v>0</v>
      </c>
      <c r="AJ379" s="253">
        <f t="shared" si="313"/>
        <v>0</v>
      </c>
      <c r="AK379" s="253">
        <f t="shared" si="313"/>
        <v>0</v>
      </c>
      <c r="AL379" s="253">
        <f t="shared" si="313"/>
        <v>0</v>
      </c>
      <c r="AM379" s="254">
        <f t="shared" si="314"/>
        <v>600</v>
      </c>
      <c r="AN379" s="253">
        <f t="shared" si="314"/>
        <v>600</v>
      </c>
      <c r="AO379" s="253">
        <f t="shared" si="314"/>
        <v>600</v>
      </c>
      <c r="AP379" s="253">
        <f t="shared" si="314"/>
        <v>600</v>
      </c>
      <c r="AQ379" s="253">
        <f t="shared" si="314"/>
        <v>600</v>
      </c>
      <c r="AR379" s="253">
        <f t="shared" si="314"/>
        <v>600</v>
      </c>
      <c r="AS379" s="254">
        <f t="shared" si="314"/>
        <v>33000</v>
      </c>
      <c r="AT379" s="253">
        <f t="shared" si="314"/>
        <v>33000</v>
      </c>
      <c r="AU379" s="253">
        <f t="shared" si="314"/>
        <v>33000</v>
      </c>
      <c r="AV379" s="253">
        <f t="shared" si="314"/>
        <v>33000</v>
      </c>
      <c r="AW379" s="253">
        <f t="shared" si="314"/>
        <v>33000</v>
      </c>
      <c r="AX379" s="255">
        <f t="shared" si="314"/>
        <v>33000</v>
      </c>
      <c r="AY379" s="1"/>
      <c r="AZ379" s="1"/>
      <c r="BA379" s="1"/>
      <c r="BB379" s="1"/>
      <c r="BG379" s="1"/>
      <c r="BH379" s="1"/>
      <c r="BI379" s="1"/>
      <c r="BJ379" s="1"/>
      <c r="BK379" s="1"/>
      <c r="BL379" s="1"/>
      <c r="BM379" s="1"/>
      <c r="BN379" s="1"/>
      <c r="BO379" s="1"/>
    </row>
    <row r="380" spans="2:67" s="220" customFormat="1" x14ac:dyDescent="0.25">
      <c r="B380" s="1343"/>
      <c r="D380" s="1355"/>
      <c r="F380" s="265"/>
      <c r="G380" s="256" t="s">
        <v>101</v>
      </c>
      <c r="H380" s="209"/>
      <c r="I380" s="257">
        <f t="shared" si="311"/>
        <v>50</v>
      </c>
      <c r="J380" s="257">
        <f t="shared" si="311"/>
        <v>50</v>
      </c>
      <c r="K380" s="257">
        <f t="shared" si="311"/>
        <v>50</v>
      </c>
      <c r="L380" s="257">
        <f t="shared" si="311"/>
        <v>50</v>
      </c>
      <c r="M380" s="257">
        <f t="shared" si="311"/>
        <v>50</v>
      </c>
      <c r="N380" s="257">
        <f t="shared" si="311"/>
        <v>50</v>
      </c>
      <c r="O380" s="258">
        <f t="shared" si="311"/>
        <v>21200</v>
      </c>
      <c r="P380" s="257">
        <f t="shared" si="311"/>
        <v>21200</v>
      </c>
      <c r="Q380" s="257">
        <f t="shared" si="311"/>
        <v>21200</v>
      </c>
      <c r="R380" s="257">
        <f t="shared" si="311"/>
        <v>21200</v>
      </c>
      <c r="S380" s="257">
        <f t="shared" si="312"/>
        <v>21200</v>
      </c>
      <c r="T380" s="257">
        <f t="shared" si="312"/>
        <v>21200</v>
      </c>
      <c r="U380" s="258">
        <f t="shared" si="312"/>
        <v>3600</v>
      </c>
      <c r="V380" s="257">
        <f t="shared" si="312"/>
        <v>3600</v>
      </c>
      <c r="W380" s="257">
        <f t="shared" si="312"/>
        <v>3600</v>
      </c>
      <c r="X380" s="257">
        <f t="shared" si="312"/>
        <v>3600</v>
      </c>
      <c r="Y380" s="257">
        <f t="shared" si="312"/>
        <v>3600</v>
      </c>
      <c r="Z380" s="257">
        <f t="shared" si="312"/>
        <v>3600</v>
      </c>
      <c r="AA380" s="258">
        <f t="shared" si="312"/>
        <v>1.3</v>
      </c>
      <c r="AB380" s="257">
        <f t="shared" si="312"/>
        <v>1.3</v>
      </c>
      <c r="AC380" s="257">
        <f t="shared" si="313"/>
        <v>1.3</v>
      </c>
      <c r="AD380" s="257">
        <f t="shared" si="313"/>
        <v>1.3</v>
      </c>
      <c r="AE380" s="257">
        <f t="shared" si="313"/>
        <v>1.3</v>
      </c>
      <c r="AF380" s="257">
        <f t="shared" si="313"/>
        <v>1.3</v>
      </c>
      <c r="AG380" s="258">
        <f t="shared" si="313"/>
        <v>0</v>
      </c>
      <c r="AH380" s="257">
        <f t="shared" si="313"/>
        <v>0</v>
      </c>
      <c r="AI380" s="257">
        <f t="shared" si="313"/>
        <v>0</v>
      </c>
      <c r="AJ380" s="257">
        <f t="shared" si="313"/>
        <v>0</v>
      </c>
      <c r="AK380" s="257">
        <f t="shared" si="313"/>
        <v>0</v>
      </c>
      <c r="AL380" s="257">
        <f t="shared" si="313"/>
        <v>0</v>
      </c>
      <c r="AM380" s="258">
        <f t="shared" si="314"/>
        <v>600</v>
      </c>
      <c r="AN380" s="257">
        <f t="shared" si="314"/>
        <v>600</v>
      </c>
      <c r="AO380" s="257">
        <f t="shared" si="314"/>
        <v>600</v>
      </c>
      <c r="AP380" s="257">
        <f t="shared" si="314"/>
        <v>600</v>
      </c>
      <c r="AQ380" s="257">
        <f t="shared" si="314"/>
        <v>600</v>
      </c>
      <c r="AR380" s="257">
        <f t="shared" si="314"/>
        <v>600</v>
      </c>
      <c r="AS380" s="258">
        <f t="shared" si="314"/>
        <v>33000</v>
      </c>
      <c r="AT380" s="257">
        <f t="shared" si="314"/>
        <v>33000</v>
      </c>
      <c r="AU380" s="257">
        <f t="shared" si="314"/>
        <v>33000</v>
      </c>
      <c r="AV380" s="257">
        <f t="shared" si="314"/>
        <v>33000</v>
      </c>
      <c r="AW380" s="257">
        <f t="shared" si="314"/>
        <v>33000</v>
      </c>
      <c r="AX380" s="259">
        <f t="shared" si="314"/>
        <v>33000</v>
      </c>
      <c r="AY380" s="1"/>
      <c r="AZ380" s="1"/>
      <c r="BA380" s="1"/>
      <c r="BB380" s="1"/>
      <c r="BG380" s="1"/>
      <c r="BH380" s="1"/>
      <c r="BI380" s="1"/>
      <c r="BJ380" s="1"/>
      <c r="BK380" s="1"/>
      <c r="BL380" s="1"/>
      <c r="BM380" s="1"/>
      <c r="BN380" s="1"/>
      <c r="BO380" s="1"/>
    </row>
    <row r="381" spans="2:67" s="220" customFormat="1" x14ac:dyDescent="0.25">
      <c r="B381" s="1343"/>
      <c r="D381" s="1355"/>
      <c r="F381" s="265"/>
      <c r="G381" s="209" t="s">
        <v>630</v>
      </c>
      <c r="H381" s="209"/>
      <c r="I381" s="253">
        <f t="shared" si="311"/>
        <v>50</v>
      </c>
      <c r="J381" s="253">
        <f t="shared" si="311"/>
        <v>50</v>
      </c>
      <c r="K381" s="253">
        <f t="shared" si="311"/>
        <v>50</v>
      </c>
      <c r="L381" s="253">
        <f t="shared" si="311"/>
        <v>50</v>
      </c>
      <c r="M381" s="253">
        <f t="shared" si="311"/>
        <v>50</v>
      </c>
      <c r="N381" s="253">
        <f t="shared" si="311"/>
        <v>50</v>
      </c>
      <c r="O381" s="254">
        <f t="shared" si="311"/>
        <v>21200</v>
      </c>
      <c r="P381" s="253">
        <f t="shared" si="311"/>
        <v>21200</v>
      </c>
      <c r="Q381" s="253">
        <f t="shared" si="311"/>
        <v>21200</v>
      </c>
      <c r="R381" s="253">
        <f t="shared" si="311"/>
        <v>21200</v>
      </c>
      <c r="S381" s="253">
        <f t="shared" si="312"/>
        <v>21200</v>
      </c>
      <c r="T381" s="253">
        <f t="shared" si="312"/>
        <v>21200</v>
      </c>
      <c r="U381" s="254">
        <f t="shared" si="312"/>
        <v>3600</v>
      </c>
      <c r="V381" s="253">
        <f t="shared" si="312"/>
        <v>3600</v>
      </c>
      <c r="W381" s="253">
        <f t="shared" si="312"/>
        <v>3600</v>
      </c>
      <c r="X381" s="253">
        <f t="shared" si="312"/>
        <v>3600</v>
      </c>
      <c r="Y381" s="253">
        <f t="shared" si="312"/>
        <v>3600</v>
      </c>
      <c r="Z381" s="253">
        <f t="shared" si="312"/>
        <v>3600</v>
      </c>
      <c r="AA381" s="254">
        <f t="shared" si="312"/>
        <v>1.3</v>
      </c>
      <c r="AB381" s="253">
        <f t="shared" si="312"/>
        <v>1.3</v>
      </c>
      <c r="AC381" s="253">
        <f t="shared" si="313"/>
        <v>1.3</v>
      </c>
      <c r="AD381" s="253">
        <f t="shared" si="313"/>
        <v>1.3</v>
      </c>
      <c r="AE381" s="253">
        <f t="shared" si="313"/>
        <v>1.3</v>
      </c>
      <c r="AF381" s="253">
        <f t="shared" si="313"/>
        <v>1.3</v>
      </c>
      <c r="AG381" s="254">
        <f t="shared" si="313"/>
        <v>0</v>
      </c>
      <c r="AH381" s="253">
        <f t="shared" si="313"/>
        <v>0</v>
      </c>
      <c r="AI381" s="253">
        <f t="shared" si="313"/>
        <v>0</v>
      </c>
      <c r="AJ381" s="253">
        <f t="shared" si="313"/>
        <v>0</v>
      </c>
      <c r="AK381" s="253">
        <f t="shared" si="313"/>
        <v>0</v>
      </c>
      <c r="AL381" s="253">
        <f t="shared" si="313"/>
        <v>0</v>
      </c>
      <c r="AM381" s="254">
        <f t="shared" si="314"/>
        <v>600</v>
      </c>
      <c r="AN381" s="253">
        <f t="shared" si="314"/>
        <v>600</v>
      </c>
      <c r="AO381" s="253">
        <f t="shared" si="314"/>
        <v>600</v>
      </c>
      <c r="AP381" s="253">
        <f t="shared" si="314"/>
        <v>600</v>
      </c>
      <c r="AQ381" s="253">
        <f t="shared" si="314"/>
        <v>600</v>
      </c>
      <c r="AR381" s="253">
        <f t="shared" si="314"/>
        <v>600</v>
      </c>
      <c r="AS381" s="254">
        <f t="shared" si="314"/>
        <v>33000</v>
      </c>
      <c r="AT381" s="253">
        <f t="shared" si="314"/>
        <v>33000</v>
      </c>
      <c r="AU381" s="253">
        <f t="shared" si="314"/>
        <v>33000</v>
      </c>
      <c r="AV381" s="253">
        <f t="shared" si="314"/>
        <v>33000</v>
      </c>
      <c r="AW381" s="253">
        <f t="shared" si="314"/>
        <v>33000</v>
      </c>
      <c r="AX381" s="255">
        <f t="shared" si="314"/>
        <v>33000</v>
      </c>
      <c r="AY381" s="1"/>
      <c r="AZ381" s="1"/>
      <c r="BA381" s="1"/>
      <c r="BB381" s="1"/>
      <c r="BG381" s="1"/>
      <c r="BH381" s="1"/>
      <c r="BI381" s="1"/>
      <c r="BJ381" s="1"/>
      <c r="BK381" s="1"/>
      <c r="BL381" s="1"/>
      <c r="BM381" s="1"/>
      <c r="BN381" s="1"/>
      <c r="BO381" s="1"/>
    </row>
    <row r="382" spans="2:67" s="220" customFormat="1" x14ac:dyDescent="0.25">
      <c r="B382" s="1343"/>
      <c r="D382" s="1355"/>
      <c r="F382" s="268"/>
      <c r="G382" s="211" t="s">
        <v>631</v>
      </c>
      <c r="H382" s="209"/>
      <c r="I382" s="260">
        <f t="shared" si="311"/>
        <v>50</v>
      </c>
      <c r="J382" s="260">
        <f t="shared" si="311"/>
        <v>50</v>
      </c>
      <c r="K382" s="260">
        <f t="shared" si="311"/>
        <v>50</v>
      </c>
      <c r="L382" s="260">
        <f t="shared" si="311"/>
        <v>50</v>
      </c>
      <c r="M382" s="260">
        <f t="shared" si="311"/>
        <v>50</v>
      </c>
      <c r="N382" s="260">
        <f t="shared" si="311"/>
        <v>50</v>
      </c>
      <c r="O382" s="261">
        <f t="shared" si="311"/>
        <v>21200</v>
      </c>
      <c r="P382" s="260">
        <f t="shared" si="311"/>
        <v>21200</v>
      </c>
      <c r="Q382" s="260">
        <f t="shared" si="311"/>
        <v>21200</v>
      </c>
      <c r="R382" s="260">
        <f t="shared" si="311"/>
        <v>21200</v>
      </c>
      <c r="S382" s="260">
        <f t="shared" si="312"/>
        <v>21200</v>
      </c>
      <c r="T382" s="260">
        <f t="shared" si="312"/>
        <v>21200</v>
      </c>
      <c r="U382" s="261">
        <f t="shared" si="312"/>
        <v>3600</v>
      </c>
      <c r="V382" s="260">
        <f t="shared" si="312"/>
        <v>3600</v>
      </c>
      <c r="W382" s="260">
        <f t="shared" si="312"/>
        <v>3600</v>
      </c>
      <c r="X382" s="260">
        <f t="shared" si="312"/>
        <v>3600</v>
      </c>
      <c r="Y382" s="260">
        <f t="shared" si="312"/>
        <v>3600</v>
      </c>
      <c r="Z382" s="260">
        <f t="shared" si="312"/>
        <v>3600</v>
      </c>
      <c r="AA382" s="261">
        <f t="shared" si="312"/>
        <v>1.3</v>
      </c>
      <c r="AB382" s="260">
        <f t="shared" si="312"/>
        <v>1.3</v>
      </c>
      <c r="AC382" s="260">
        <f t="shared" si="313"/>
        <v>1.3</v>
      </c>
      <c r="AD382" s="260">
        <f t="shared" si="313"/>
        <v>1.3</v>
      </c>
      <c r="AE382" s="260">
        <f t="shared" si="313"/>
        <v>1.3</v>
      </c>
      <c r="AF382" s="260">
        <f t="shared" si="313"/>
        <v>1.3</v>
      </c>
      <c r="AG382" s="261">
        <f t="shared" si="313"/>
        <v>0</v>
      </c>
      <c r="AH382" s="260">
        <f t="shared" si="313"/>
        <v>0</v>
      </c>
      <c r="AI382" s="260">
        <f t="shared" si="313"/>
        <v>0</v>
      </c>
      <c r="AJ382" s="260">
        <f t="shared" si="313"/>
        <v>0</v>
      </c>
      <c r="AK382" s="260">
        <f t="shared" si="313"/>
        <v>0</v>
      </c>
      <c r="AL382" s="260">
        <f t="shared" si="313"/>
        <v>0</v>
      </c>
      <c r="AM382" s="261">
        <f t="shared" si="314"/>
        <v>600</v>
      </c>
      <c r="AN382" s="260">
        <f t="shared" si="314"/>
        <v>600</v>
      </c>
      <c r="AO382" s="260">
        <f t="shared" si="314"/>
        <v>600</v>
      </c>
      <c r="AP382" s="260">
        <f t="shared" si="314"/>
        <v>600</v>
      </c>
      <c r="AQ382" s="260">
        <f t="shared" si="314"/>
        <v>600</v>
      </c>
      <c r="AR382" s="260">
        <f t="shared" si="314"/>
        <v>600</v>
      </c>
      <c r="AS382" s="261">
        <f t="shared" si="314"/>
        <v>33000</v>
      </c>
      <c r="AT382" s="260">
        <f t="shared" si="314"/>
        <v>33000</v>
      </c>
      <c r="AU382" s="260">
        <f t="shared" si="314"/>
        <v>33000</v>
      </c>
      <c r="AV382" s="260">
        <f t="shared" si="314"/>
        <v>33000</v>
      </c>
      <c r="AW382" s="260">
        <f t="shared" si="314"/>
        <v>33000</v>
      </c>
      <c r="AX382" s="262">
        <f t="shared" si="314"/>
        <v>33000</v>
      </c>
      <c r="AY382" s="1"/>
      <c r="AZ382" s="1"/>
      <c r="BA382" s="1"/>
      <c r="BB382" s="1"/>
      <c r="BG382" s="1"/>
      <c r="BH382" s="1"/>
      <c r="BI382" s="1"/>
      <c r="BJ382" s="1"/>
      <c r="BK382" s="1"/>
      <c r="BL382" s="1"/>
      <c r="BM382" s="1"/>
      <c r="BN382" s="1"/>
      <c r="BO382" s="1"/>
    </row>
    <row r="383" spans="2:67" s="220" customFormat="1" x14ac:dyDescent="0.25">
      <c r="B383" s="1343"/>
      <c r="D383" s="1355"/>
      <c r="F383" s="263" t="s">
        <v>634</v>
      </c>
      <c r="G383" s="208" t="s">
        <v>91</v>
      </c>
      <c r="H383" s="209"/>
      <c r="I383" s="271">
        <f t="shared" ref="I383:N398" ca="1" si="315">(I257+I278+I299)/(I257+I278+I299+I320)</f>
        <v>0.76640575265471522</v>
      </c>
      <c r="J383" s="271">
        <f t="shared" ref="J383" ca="1" si="316">(J257+J278+J299)/(J257+J278+J299+J320)</f>
        <v>0.29580366199367353</v>
      </c>
      <c r="K383" s="271">
        <f t="shared" ca="1" si="315"/>
        <v>0.29580366199367353</v>
      </c>
      <c r="L383" s="271">
        <f t="shared" ca="1" si="315"/>
        <v>0.29580366199367353</v>
      </c>
      <c r="M383" s="271">
        <f t="shared" ca="1" si="315"/>
        <v>0.4687407840044675</v>
      </c>
      <c r="N383" s="271">
        <f t="shared" ca="1" si="315"/>
        <v>0.56329833134830631</v>
      </c>
      <c r="O383" s="272">
        <f t="shared" ref="O383:AX383" ca="1" si="317">(O257+O278+O299)/(O257+O278+O299+O320)</f>
        <v>0.89881791489891005</v>
      </c>
      <c r="P383" s="271">
        <f t="shared" ca="1" si="317"/>
        <v>0.57662176808230381</v>
      </c>
      <c r="Q383" s="271">
        <f t="shared" ca="1" si="317"/>
        <v>0.57662176808230381</v>
      </c>
      <c r="R383" s="271">
        <f t="shared" ca="1" si="317"/>
        <v>0.57662176808230381</v>
      </c>
      <c r="S383" s="271">
        <f t="shared" ca="1" si="317"/>
        <v>0.72567688696405719</v>
      </c>
      <c r="T383" s="271">
        <f t="shared" ca="1" si="317"/>
        <v>0.78160618369087753</v>
      </c>
      <c r="U383" s="272">
        <f t="shared" ca="1" si="317"/>
        <v>0.98664433967703125</v>
      </c>
      <c r="V383" s="271">
        <f t="shared" ca="1" si="317"/>
        <v>0.92218370459592858</v>
      </c>
      <c r="W383" s="271">
        <f t="shared" ca="1" si="317"/>
        <v>0.92218370459592858</v>
      </c>
      <c r="X383" s="271">
        <f t="shared" ca="1" si="317"/>
        <v>0.92218370459592858</v>
      </c>
      <c r="Y383" s="271">
        <f t="shared" ca="1" si="317"/>
        <v>0.98616942702094412</v>
      </c>
      <c r="Z383" s="271">
        <f t="shared" ca="1" si="317"/>
        <v>0.99105489417144677</v>
      </c>
      <c r="AA383" s="272">
        <f t="shared" ca="1" si="317"/>
        <v>0.62150255758582085</v>
      </c>
      <c r="AB383" s="271">
        <f t="shared" ca="1" si="317"/>
        <v>0.36452214950943318</v>
      </c>
      <c r="AC383" s="271">
        <f t="shared" ca="1" si="317"/>
        <v>0.36452214950943318</v>
      </c>
      <c r="AD383" s="271">
        <f t="shared" ca="1" si="317"/>
        <v>0.36452214950943318</v>
      </c>
      <c r="AE383" s="271">
        <f t="shared" ca="1" si="317"/>
        <v>0.54183458307783028</v>
      </c>
      <c r="AF383" s="271">
        <f t="shared" ca="1" si="317"/>
        <v>0.62356714479394537</v>
      </c>
      <c r="AG383" s="272">
        <f t="shared" ca="1" si="317"/>
        <v>0.75616714639343297</v>
      </c>
      <c r="AH383" s="271">
        <f t="shared" ca="1" si="317"/>
        <v>0.47397878041896241</v>
      </c>
      <c r="AI383" s="271">
        <f t="shared" ca="1" si="317"/>
        <v>0.47397878041896241</v>
      </c>
      <c r="AJ383" s="271">
        <f t="shared" ca="1" si="317"/>
        <v>0.47397878041896241</v>
      </c>
      <c r="AK383" s="271">
        <f t="shared" ca="1" si="317"/>
        <v>0.68259484629930234</v>
      </c>
      <c r="AL383" s="271">
        <f t="shared" ca="1" si="317"/>
        <v>0.75742208836653035</v>
      </c>
      <c r="AM383" s="272">
        <f t="shared" ca="1" si="317"/>
        <v>0.51111079491228462</v>
      </c>
      <c r="AN383" s="271">
        <f t="shared" ca="1" si="317"/>
        <v>0.19247819311538808</v>
      </c>
      <c r="AO383" s="271">
        <f t="shared" ca="1" si="317"/>
        <v>0.19247819311538808</v>
      </c>
      <c r="AP383" s="271">
        <f t="shared" ca="1" si="317"/>
        <v>0.19247819311538808</v>
      </c>
      <c r="AQ383" s="271">
        <f t="shared" ca="1" si="317"/>
        <v>0.34613388586190175</v>
      </c>
      <c r="AR383" s="271">
        <f t="shared" ca="1" si="317"/>
        <v>0.43141365893930816</v>
      </c>
      <c r="AS383" s="272">
        <f t="shared" ca="1" si="317"/>
        <v>0.84460971241385385</v>
      </c>
      <c r="AT383" s="271">
        <f t="shared" ca="1" si="317"/>
        <v>0.52480381038218959</v>
      </c>
      <c r="AU383" s="271">
        <f t="shared" ca="1" si="317"/>
        <v>0.52480381038218959</v>
      </c>
      <c r="AV383" s="271">
        <f t="shared" ca="1" si="317"/>
        <v>0.52480381038218959</v>
      </c>
      <c r="AW383" s="271">
        <f t="shared" ca="1" si="317"/>
        <v>0.83043309130143839</v>
      </c>
      <c r="AX383" s="273">
        <f t="shared" ca="1" si="317"/>
        <v>0.88311741818725653</v>
      </c>
      <c r="AY383" s="1"/>
      <c r="AZ383" s="1"/>
      <c r="BA383" s="1"/>
      <c r="BB383" s="1"/>
      <c r="BG383" s="1"/>
      <c r="BH383" s="1"/>
      <c r="BI383" s="1"/>
      <c r="BJ383" s="1"/>
      <c r="BK383" s="1"/>
      <c r="BL383" s="1"/>
      <c r="BM383" s="1"/>
      <c r="BN383" s="1"/>
      <c r="BO383" s="1"/>
    </row>
    <row r="384" spans="2:67" s="220" customFormat="1" x14ac:dyDescent="0.25">
      <c r="B384" s="1343"/>
      <c r="D384" s="1355"/>
      <c r="F384" s="265"/>
      <c r="G384" s="209" t="s">
        <v>102</v>
      </c>
      <c r="H384" s="209"/>
      <c r="I384" s="274">
        <f t="shared" ca="1" si="315"/>
        <v>0.69622307525166249</v>
      </c>
      <c r="J384" s="274">
        <f t="shared" ref="J384" ca="1" si="318">(J258+J279+J300)/(J258+J279+J300+J321)</f>
        <v>0.295512698755516</v>
      </c>
      <c r="K384" s="274">
        <f t="shared" ca="1" si="315"/>
        <v>0.295512698755516</v>
      </c>
      <c r="L384" s="274">
        <f t="shared" ca="1" si="315"/>
        <v>0.295512698755516</v>
      </c>
      <c r="M384" s="274">
        <f t="shared" ca="1" si="315"/>
        <v>0.46857519957916505</v>
      </c>
      <c r="N384" s="274">
        <f t="shared" ca="1" si="315"/>
        <v>0.56318645142972013</v>
      </c>
      <c r="O384" s="275">
        <f t="shared" ref="O384:AX384" ca="1" si="319">(O258+O279+O300)/(O258+O279+O300+O321)</f>
        <v>0.86386734452754643</v>
      </c>
      <c r="P384" s="274">
        <f t="shared" ca="1" si="319"/>
        <v>0.56480421760914568</v>
      </c>
      <c r="Q384" s="274">
        <f t="shared" ca="1" si="319"/>
        <v>0.56480421760914568</v>
      </c>
      <c r="R384" s="274">
        <f t="shared" ca="1" si="319"/>
        <v>0.56480421760914568</v>
      </c>
      <c r="S384" s="274">
        <f t="shared" ca="1" si="319"/>
        <v>0.7207638698810156</v>
      </c>
      <c r="T384" s="274">
        <f t="shared" ca="1" si="319"/>
        <v>0.77850361617698471</v>
      </c>
      <c r="U384" s="275">
        <f t="shared" ca="1" si="319"/>
        <v>0.98639807239255306</v>
      </c>
      <c r="V384" s="274">
        <f t="shared" ca="1" si="319"/>
        <v>0.9222667696167679</v>
      </c>
      <c r="W384" s="274">
        <f t="shared" ca="1" si="319"/>
        <v>0.9222667696167679</v>
      </c>
      <c r="X384" s="274">
        <f t="shared" ca="1" si="319"/>
        <v>0.9222667696167679</v>
      </c>
      <c r="Y384" s="274">
        <f t="shared" ca="1" si="319"/>
        <v>0.98617205328736302</v>
      </c>
      <c r="Z384" s="274">
        <f t="shared" ca="1" si="319"/>
        <v>0.99105599281935419</v>
      </c>
      <c r="AA384" s="275">
        <f t="shared" ca="1" si="319"/>
        <v>0.57598652323231603</v>
      </c>
      <c r="AB384" s="274">
        <f t="shared" ca="1" si="319"/>
        <v>0.36215219717030456</v>
      </c>
      <c r="AC384" s="274">
        <f t="shared" ca="1" si="319"/>
        <v>0.36215219717030456</v>
      </c>
      <c r="AD384" s="274">
        <f t="shared" ca="1" si="319"/>
        <v>0.36215219717030456</v>
      </c>
      <c r="AE384" s="274">
        <f t="shared" ca="1" si="319"/>
        <v>0.54060394116981425</v>
      </c>
      <c r="AF384" s="274">
        <f t="shared" ca="1" si="319"/>
        <v>0.62273680837476364</v>
      </c>
      <c r="AG384" s="275">
        <f t="shared" ca="1" si="319"/>
        <v>0.72416506885630305</v>
      </c>
      <c r="AH384" s="274">
        <f t="shared" ca="1" si="319"/>
        <v>0.47587518329210549</v>
      </c>
      <c r="AI384" s="274">
        <f t="shared" ca="1" si="319"/>
        <v>0.47587518329210549</v>
      </c>
      <c r="AJ384" s="274">
        <f t="shared" ca="1" si="319"/>
        <v>0.47587518329210549</v>
      </c>
      <c r="AK384" s="274">
        <f t="shared" ca="1" si="319"/>
        <v>0.68328631642053006</v>
      </c>
      <c r="AL384" s="274">
        <f t="shared" ca="1" si="319"/>
        <v>0.75782617182918699</v>
      </c>
      <c r="AM384" s="275">
        <f t="shared" ca="1" si="319"/>
        <v>0.40338859552424727</v>
      </c>
      <c r="AN384" s="274">
        <f t="shared" ca="1" si="319"/>
        <v>0.18830223070048757</v>
      </c>
      <c r="AO384" s="274">
        <f t="shared" ca="1" si="319"/>
        <v>0.18830223070048757</v>
      </c>
      <c r="AP384" s="274">
        <f t="shared" ca="1" si="319"/>
        <v>0.18830223070048757</v>
      </c>
      <c r="AQ384" s="274">
        <f t="shared" ca="1" si="319"/>
        <v>0.34339862602911092</v>
      </c>
      <c r="AR384" s="274">
        <f t="shared" ca="1" si="319"/>
        <v>0.42934648563222982</v>
      </c>
      <c r="AS384" s="275">
        <f t="shared" ca="1" si="319"/>
        <v>0.83724319918935797</v>
      </c>
      <c r="AT384" s="274">
        <f t="shared" ca="1" si="319"/>
        <v>0.52227799307910172</v>
      </c>
      <c r="AU384" s="274">
        <f t="shared" ca="1" si="319"/>
        <v>0.52227799307910172</v>
      </c>
      <c r="AV384" s="274">
        <f t="shared" ca="1" si="319"/>
        <v>0.52227799307910172</v>
      </c>
      <c r="AW384" s="274">
        <f t="shared" ca="1" si="319"/>
        <v>0.83011257060024402</v>
      </c>
      <c r="AX384" s="276">
        <f t="shared" ca="1" si="319"/>
        <v>0.8829652168433072</v>
      </c>
      <c r="AY384" s="1"/>
      <c r="AZ384" s="1"/>
      <c r="BA384" s="1"/>
      <c r="BB384" s="1"/>
      <c r="BG384" s="1"/>
      <c r="BH384" s="1"/>
      <c r="BI384" s="1"/>
      <c r="BJ384" s="1"/>
      <c r="BK384" s="1"/>
      <c r="BL384" s="1"/>
      <c r="BM384" s="1"/>
      <c r="BN384" s="1"/>
      <c r="BO384" s="1"/>
    </row>
    <row r="385" spans="2:67" s="220" customFormat="1" x14ac:dyDescent="0.25">
      <c r="B385" s="1343"/>
      <c r="D385" s="1355"/>
      <c r="F385" s="265"/>
      <c r="G385" s="209" t="s">
        <v>103</v>
      </c>
      <c r="H385" s="209"/>
      <c r="I385" s="274">
        <f t="shared" ca="1" si="315"/>
        <v>0.7246502797008979</v>
      </c>
      <c r="J385" s="274">
        <f t="shared" ref="J385" ca="1" si="320">(J259+J280+J301)/(J259+J280+J301+J322)</f>
        <v>0.29451335382016841</v>
      </c>
      <c r="K385" s="274">
        <f t="shared" ca="1" si="315"/>
        <v>0.29451335382016841</v>
      </c>
      <c r="L385" s="274">
        <f t="shared" ca="1" si="315"/>
        <v>0.29451335382016841</v>
      </c>
      <c r="M385" s="274">
        <f t="shared" ca="1" si="315"/>
        <v>0.46800673763082878</v>
      </c>
      <c r="N385" s="274">
        <f t="shared" ca="1" si="315"/>
        <v>0.5628024549313716</v>
      </c>
      <c r="O385" s="275">
        <f t="shared" ref="O385:AX385" ca="1" si="321">(O259+O280+O301)/(O259+O280+O301+O322)</f>
        <v>0.87694623134883576</v>
      </c>
      <c r="P385" s="274">
        <f t="shared" ca="1" si="321"/>
        <v>0.55926051017368295</v>
      </c>
      <c r="Q385" s="274">
        <f t="shared" ca="1" si="321"/>
        <v>0.55926051017368295</v>
      </c>
      <c r="R385" s="274">
        <f t="shared" ca="1" si="321"/>
        <v>0.55926051017368295</v>
      </c>
      <c r="S385" s="274">
        <f t="shared" ca="1" si="321"/>
        <v>0.71849193377083276</v>
      </c>
      <c r="T385" s="274">
        <f t="shared" ca="1" si="321"/>
        <v>0.77707651050214777</v>
      </c>
      <c r="U385" s="275">
        <f t="shared" ca="1" si="321"/>
        <v>0.98651409315710337</v>
      </c>
      <c r="V385" s="274">
        <f t="shared" ca="1" si="321"/>
        <v>0.9206858892422074</v>
      </c>
      <c r="W385" s="274">
        <f t="shared" ca="1" si="321"/>
        <v>0.9206858892422074</v>
      </c>
      <c r="X385" s="274">
        <f t="shared" ca="1" si="321"/>
        <v>0.9206858892422074</v>
      </c>
      <c r="Y385" s="274">
        <f t="shared" ca="1" si="321"/>
        <v>0.98612284935275807</v>
      </c>
      <c r="Z385" s="274">
        <f t="shared" ca="1" si="321"/>
        <v>0.99103543375943537</v>
      </c>
      <c r="AA385" s="275">
        <f t="shared" ca="1" si="321"/>
        <v>0.60425419884770804</v>
      </c>
      <c r="AB385" s="274">
        <f t="shared" ca="1" si="321"/>
        <v>0.35398440061853409</v>
      </c>
      <c r="AC385" s="274">
        <f t="shared" ca="1" si="321"/>
        <v>0.35398440061853409</v>
      </c>
      <c r="AD385" s="274">
        <f t="shared" ca="1" si="321"/>
        <v>0.35398440061853409</v>
      </c>
      <c r="AE385" s="274">
        <f t="shared" ca="1" si="321"/>
        <v>0.53638219405717269</v>
      </c>
      <c r="AF385" s="274">
        <f t="shared" ca="1" si="321"/>
        <v>0.61989435337146437</v>
      </c>
      <c r="AG385" s="275">
        <f t="shared" ca="1" si="321"/>
        <v>0.7432904395055302</v>
      </c>
      <c r="AH385" s="274">
        <f t="shared" ca="1" si="321"/>
        <v>0.47256641489583168</v>
      </c>
      <c r="AI385" s="274">
        <f t="shared" ca="1" si="321"/>
        <v>0.47256641489583168</v>
      </c>
      <c r="AJ385" s="274">
        <f t="shared" ca="1" si="321"/>
        <v>0.47256641489583168</v>
      </c>
      <c r="AK385" s="274">
        <f t="shared" ca="1" si="321"/>
        <v>0.68208115014346038</v>
      </c>
      <c r="AL385" s="274">
        <f t="shared" ca="1" si="321"/>
        <v>0.75712216161418722</v>
      </c>
      <c r="AM385" s="275">
        <f t="shared" ca="1" si="321"/>
        <v>0.4897940344641003</v>
      </c>
      <c r="AN385" s="274">
        <f t="shared" ca="1" si="321"/>
        <v>0.18729997812603302</v>
      </c>
      <c r="AO385" s="274">
        <f t="shared" ca="1" si="321"/>
        <v>0.18729997812603302</v>
      </c>
      <c r="AP385" s="274">
        <f t="shared" ca="1" si="321"/>
        <v>0.18729997812603302</v>
      </c>
      <c r="AQ385" s="274">
        <f t="shared" ca="1" si="321"/>
        <v>0.34274294956109153</v>
      </c>
      <c r="AR385" s="274">
        <f t="shared" ca="1" si="321"/>
        <v>0.42885129291282387</v>
      </c>
      <c r="AS385" s="275">
        <f t="shared" ca="1" si="321"/>
        <v>0.84066595014482526</v>
      </c>
      <c r="AT385" s="274">
        <f t="shared" ca="1" si="321"/>
        <v>0.51568923555950963</v>
      </c>
      <c r="AU385" s="274">
        <f t="shared" ca="1" si="321"/>
        <v>0.51568923555950963</v>
      </c>
      <c r="AV385" s="274">
        <f t="shared" ca="1" si="321"/>
        <v>0.51568923555950963</v>
      </c>
      <c r="AW385" s="274">
        <f t="shared" ca="1" si="321"/>
        <v>0.8292866603457526</v>
      </c>
      <c r="AX385" s="276">
        <f t="shared" ca="1" si="321"/>
        <v>0.88257385008825684</v>
      </c>
      <c r="AY385" s="1"/>
      <c r="AZ385" s="1"/>
      <c r="BA385" s="1"/>
      <c r="BB385" s="1"/>
      <c r="BG385" s="1"/>
      <c r="BH385" s="1"/>
      <c r="BI385" s="1"/>
      <c r="BJ385" s="1"/>
      <c r="BK385" s="1"/>
      <c r="BL385" s="1"/>
      <c r="BM385" s="1"/>
      <c r="BN385" s="1"/>
      <c r="BO385" s="1"/>
    </row>
    <row r="386" spans="2:67" s="220" customFormat="1" x14ac:dyDescent="0.25">
      <c r="B386" s="1343"/>
      <c r="D386" s="1355"/>
      <c r="F386" s="265"/>
      <c r="G386" s="209" t="s">
        <v>107</v>
      </c>
      <c r="H386" s="209"/>
      <c r="I386" s="274">
        <f t="shared" ca="1" si="315"/>
        <v>0.71164411097941871</v>
      </c>
      <c r="J386" s="274">
        <f t="shared" ref="J386" ca="1" si="322">(J260+J281+J302)/(J260+J281+J302+J323)</f>
        <v>0.29682920707440064</v>
      </c>
      <c r="K386" s="274">
        <f t="shared" ca="1" si="315"/>
        <v>0.29682920707440064</v>
      </c>
      <c r="L386" s="274">
        <f t="shared" ca="1" si="315"/>
        <v>0.29682920707440064</v>
      </c>
      <c r="M386" s="274">
        <f t="shared" ca="1" si="315"/>
        <v>0.46932468005463662</v>
      </c>
      <c r="N386" s="274">
        <f t="shared" ca="1" si="315"/>
        <v>0.56369294967636807</v>
      </c>
      <c r="O386" s="275">
        <f t="shared" ref="O386:AX386" ca="1" si="323">(O260+O281+O302)/(O260+O281+O302+O323)</f>
        <v>0.87096077745790401</v>
      </c>
      <c r="P386" s="274">
        <f t="shared" ca="1" si="323"/>
        <v>0.5600475443119608</v>
      </c>
      <c r="Q386" s="274">
        <f t="shared" ca="1" si="323"/>
        <v>0.5600475443119608</v>
      </c>
      <c r="R386" s="274">
        <f t="shared" ca="1" si="323"/>
        <v>0.5600475443119608</v>
      </c>
      <c r="S386" s="274">
        <f t="shared" ca="1" si="323"/>
        <v>0.71881321962346389</v>
      </c>
      <c r="T386" s="274">
        <f t="shared" ca="1" si="323"/>
        <v>0.77727803356022518</v>
      </c>
      <c r="U386" s="275">
        <f t="shared" ca="1" si="323"/>
        <v>0.98642490121659876</v>
      </c>
      <c r="V386" s="274">
        <f t="shared" ca="1" si="323"/>
        <v>0.9217888032629209</v>
      </c>
      <c r="W386" s="274">
        <f t="shared" ca="1" si="323"/>
        <v>0.9217888032629209</v>
      </c>
      <c r="X386" s="274">
        <f t="shared" ca="1" si="323"/>
        <v>0.9217888032629209</v>
      </c>
      <c r="Y386" s="274">
        <f t="shared" ca="1" si="323"/>
        <v>0.98615700422430319</v>
      </c>
      <c r="Z386" s="274">
        <f t="shared" ca="1" si="323"/>
        <v>0.99104969933086107</v>
      </c>
      <c r="AA386" s="275">
        <f t="shared" ca="1" si="323"/>
        <v>0.58185237420302816</v>
      </c>
      <c r="AB386" s="274">
        <f t="shared" ca="1" si="323"/>
        <v>0.35634818375326655</v>
      </c>
      <c r="AC386" s="274">
        <f t="shared" ca="1" si="323"/>
        <v>0.35634818375326655</v>
      </c>
      <c r="AD386" s="274">
        <f t="shared" ca="1" si="323"/>
        <v>0.35634818375326655</v>
      </c>
      <c r="AE386" s="274">
        <f t="shared" ca="1" si="323"/>
        <v>0.53760087700561965</v>
      </c>
      <c r="AF386" s="274">
        <f t="shared" ca="1" si="323"/>
        <v>0.62071392110100709</v>
      </c>
      <c r="AG386" s="275">
        <f t="shared" ca="1" si="323"/>
        <v>0.72967901299223592</v>
      </c>
      <c r="AH386" s="274">
        <f t="shared" ca="1" si="323"/>
        <v>0.47401646620365251</v>
      </c>
      <c r="AI386" s="274">
        <f t="shared" ca="1" si="323"/>
        <v>0.47401646620365251</v>
      </c>
      <c r="AJ386" s="274">
        <f t="shared" ca="1" si="323"/>
        <v>0.47401646620365251</v>
      </c>
      <c r="AK386" s="274">
        <f t="shared" ca="1" si="323"/>
        <v>0.68260856810681703</v>
      </c>
      <c r="AL386" s="274">
        <f t="shared" ca="1" si="323"/>
        <v>0.75743010312255432</v>
      </c>
      <c r="AM386" s="275">
        <f t="shared" ca="1" si="323"/>
        <v>0.42434566190855449</v>
      </c>
      <c r="AN386" s="274">
        <f t="shared" ca="1" si="323"/>
        <v>0.18841572080303792</v>
      </c>
      <c r="AO386" s="274">
        <f t="shared" ca="1" si="323"/>
        <v>0.18841572080303792</v>
      </c>
      <c r="AP386" s="274">
        <f t="shared" ca="1" si="323"/>
        <v>0.18841572080303792</v>
      </c>
      <c r="AQ386" s="274">
        <f t="shared" ca="1" si="323"/>
        <v>0.34347289107618351</v>
      </c>
      <c r="AR386" s="274">
        <f t="shared" ca="1" si="323"/>
        <v>0.42940258168573125</v>
      </c>
      <c r="AS386" s="275">
        <f t="shared" ca="1" si="323"/>
        <v>0.83823907411632703</v>
      </c>
      <c r="AT386" s="274">
        <f t="shared" ca="1" si="323"/>
        <v>0.51997936606886896</v>
      </c>
      <c r="AU386" s="274">
        <f t="shared" ca="1" si="323"/>
        <v>0.51997936606886896</v>
      </c>
      <c r="AV386" s="274">
        <f t="shared" ca="1" si="323"/>
        <v>0.51997936606886896</v>
      </c>
      <c r="AW386" s="274">
        <f t="shared" ca="1" si="323"/>
        <v>0.82982277216169409</v>
      </c>
      <c r="AX386" s="276">
        <f t="shared" ca="1" si="323"/>
        <v>0.88282775788561363</v>
      </c>
      <c r="AY386" s="1"/>
      <c r="AZ386" s="1"/>
      <c r="BA386" s="1"/>
      <c r="BB386" s="1"/>
      <c r="BG386" s="1"/>
      <c r="BH386" s="1"/>
      <c r="BI386" s="1"/>
      <c r="BJ386" s="1"/>
      <c r="BK386" s="1"/>
      <c r="BL386" s="1"/>
      <c r="BM386" s="1"/>
      <c r="BN386" s="1"/>
      <c r="BO386" s="1"/>
    </row>
    <row r="387" spans="2:67" x14ac:dyDescent="0.25">
      <c r="B387" s="1343"/>
      <c r="D387" s="1355"/>
      <c r="F387" s="265"/>
      <c r="G387" s="209" t="s">
        <v>104</v>
      </c>
      <c r="H387" s="209"/>
      <c r="I387" s="274">
        <f t="shared" ca="1" si="315"/>
        <v>0.75891000488201388</v>
      </c>
      <c r="J387" s="274">
        <f t="shared" ref="J387" ca="1" si="324">(J261+J282+J303)/(J261+J282+J303+J324)</f>
        <v>0.29520552671754746</v>
      </c>
      <c r="K387" s="274">
        <f t="shared" ca="1" si="315"/>
        <v>0.29520552671754746</v>
      </c>
      <c r="L387" s="274">
        <f t="shared" ca="1" si="315"/>
        <v>0.29520552671754746</v>
      </c>
      <c r="M387" s="274">
        <f t="shared" ca="1" si="315"/>
        <v>0.46840042733558152</v>
      </c>
      <c r="N387" s="274">
        <f t="shared" ca="1" si="315"/>
        <v>0.56306837707022694</v>
      </c>
      <c r="O387" s="275">
        <f t="shared" ref="O387:AX387" ca="1" si="325">(O261+O282+O303)/(O261+O282+O303+O324)</f>
        <v>0.89614887980505498</v>
      </c>
      <c r="P387" s="274">
        <f t="shared" ca="1" si="325"/>
        <v>0.56322554839198613</v>
      </c>
      <c r="Q387" s="274">
        <f t="shared" ca="1" si="325"/>
        <v>0.56322554839198613</v>
      </c>
      <c r="R387" s="274">
        <f t="shared" ca="1" si="325"/>
        <v>0.56322554839198613</v>
      </c>
      <c r="S387" s="274">
        <f t="shared" ca="1" si="325"/>
        <v>0.72011478603319445</v>
      </c>
      <c r="T387" s="274">
        <f t="shared" ca="1" si="325"/>
        <v>0.77809540756174655</v>
      </c>
      <c r="U387" s="275">
        <f t="shared" ca="1" si="325"/>
        <v>0.98646560538478389</v>
      </c>
      <c r="V387" s="274">
        <f t="shared" ca="1" si="325"/>
        <v>0.92182653473774612</v>
      </c>
      <c r="W387" s="274">
        <f t="shared" ca="1" si="325"/>
        <v>0.92182653473774612</v>
      </c>
      <c r="X387" s="274">
        <f t="shared" ca="1" si="325"/>
        <v>0.92182653473774612</v>
      </c>
      <c r="Y387" s="274">
        <f t="shared" ca="1" si="325"/>
        <v>0.98615818671724986</v>
      </c>
      <c r="Z387" s="274">
        <f t="shared" ca="1" si="325"/>
        <v>0.99105019367199365</v>
      </c>
      <c r="AA387" s="275">
        <f t="shared" ca="1" si="325"/>
        <v>0.58526050541651187</v>
      </c>
      <c r="AB387" s="274">
        <f t="shared" ca="1" si="325"/>
        <v>0.35985348889555752</v>
      </c>
      <c r="AC387" s="274">
        <f t="shared" ca="1" si="325"/>
        <v>0.35985348889555752</v>
      </c>
      <c r="AD387" s="274">
        <f t="shared" ca="1" si="325"/>
        <v>0.35985348889555752</v>
      </c>
      <c r="AE387" s="274">
        <f t="shared" ca="1" si="325"/>
        <v>0.5394127359099411</v>
      </c>
      <c r="AF387" s="274">
        <f t="shared" ca="1" si="325"/>
        <v>0.62193383775355315</v>
      </c>
      <c r="AG387" s="275">
        <f t="shared" ca="1" si="325"/>
        <v>0.73886473233843608</v>
      </c>
      <c r="AH387" s="274">
        <f t="shared" ca="1" si="325"/>
        <v>0.47493919003538887</v>
      </c>
      <c r="AI387" s="274">
        <f t="shared" ca="1" si="325"/>
        <v>0.47493919003538887</v>
      </c>
      <c r="AJ387" s="274">
        <f t="shared" ca="1" si="325"/>
        <v>0.47493919003538887</v>
      </c>
      <c r="AK387" s="274">
        <f t="shared" ca="1" si="325"/>
        <v>0.6829447854281876</v>
      </c>
      <c r="AL387" s="274">
        <f t="shared" ca="1" si="325"/>
        <v>0.75762653499660115</v>
      </c>
      <c r="AM387" s="275">
        <f t="shared" ca="1" si="325"/>
        <v>0.40072694622303617</v>
      </c>
      <c r="AN387" s="274">
        <f t="shared" ca="1" si="325"/>
        <v>0.18799696046856981</v>
      </c>
      <c r="AO387" s="274">
        <f t="shared" ca="1" si="325"/>
        <v>0.18799696046856981</v>
      </c>
      <c r="AP387" s="274">
        <f t="shared" ca="1" si="325"/>
        <v>0.18799696046856981</v>
      </c>
      <c r="AQ387" s="274">
        <f t="shared" ca="1" si="325"/>
        <v>0.34319888461599063</v>
      </c>
      <c r="AR387" s="274">
        <f t="shared" ca="1" si="325"/>
        <v>0.42919561933099298</v>
      </c>
      <c r="AS387" s="275">
        <f t="shared" ca="1" si="325"/>
        <v>0.84010183062277743</v>
      </c>
      <c r="AT387" s="274">
        <f t="shared" ca="1" si="325"/>
        <v>0.52042870759410453</v>
      </c>
      <c r="AU387" s="274">
        <f t="shared" ca="1" si="325"/>
        <v>0.52042870759410453</v>
      </c>
      <c r="AV387" s="274">
        <f t="shared" ca="1" si="325"/>
        <v>0.52042870759410453</v>
      </c>
      <c r="AW387" s="274">
        <f t="shared" ca="1" si="325"/>
        <v>0.82987928174742187</v>
      </c>
      <c r="AX387" s="276">
        <f t="shared" ca="1" si="325"/>
        <v>0.88285455041001115</v>
      </c>
      <c r="AY387" s="1"/>
      <c r="AZ387" s="1"/>
      <c r="BA387" s="1"/>
      <c r="BB387" s="1"/>
    </row>
    <row r="388" spans="2:67" x14ac:dyDescent="0.25">
      <c r="B388" s="1343"/>
      <c r="D388" s="1355"/>
      <c r="F388" s="265"/>
      <c r="G388" s="209" t="s">
        <v>97</v>
      </c>
      <c r="H388" s="209"/>
      <c r="I388" s="274">
        <f t="shared" ca="1" si="315"/>
        <v>0.82248546583909177</v>
      </c>
      <c r="J388" s="274">
        <f t="shared" ref="J388" ca="1" si="326">(J262+J283+J304)/(J262+J283+J304+J325)</f>
        <v>0.30622288208920795</v>
      </c>
      <c r="K388" s="274">
        <f t="shared" ca="1" si="315"/>
        <v>0.30622288208920795</v>
      </c>
      <c r="L388" s="274">
        <f t="shared" ca="1" si="315"/>
        <v>0.30622288208920795</v>
      </c>
      <c r="M388" s="274">
        <f t="shared" ca="1" si="315"/>
        <v>0.47469249128809021</v>
      </c>
      <c r="N388" s="274">
        <f t="shared" ca="1" si="315"/>
        <v>0.56732796123928031</v>
      </c>
      <c r="O388" s="275">
        <f t="shared" ref="O388:AX388" ca="1" si="327">(O262+O283+O304)/(O262+O283+O304+O325)</f>
        <v>0.92528074156874618</v>
      </c>
      <c r="P388" s="274">
        <f t="shared" ca="1" si="327"/>
        <v>0.55955897785400177</v>
      </c>
      <c r="Q388" s="274">
        <f t="shared" ca="1" si="327"/>
        <v>0.55955897785400177</v>
      </c>
      <c r="R388" s="274">
        <f t="shared" ca="1" si="327"/>
        <v>0.55955897785400177</v>
      </c>
      <c r="S388" s="274">
        <f t="shared" ca="1" si="327"/>
        <v>0.71861372649240618</v>
      </c>
      <c r="T388" s="274">
        <f t="shared" ca="1" si="327"/>
        <v>0.77715289239525209</v>
      </c>
      <c r="U388" s="275">
        <f t="shared" ca="1" si="327"/>
        <v>0.98677048748851715</v>
      </c>
      <c r="V388" s="274">
        <f t="shared" ca="1" si="327"/>
        <v>0.92081438800160753</v>
      </c>
      <c r="W388" s="274">
        <f t="shared" ca="1" si="327"/>
        <v>0.92081438800160753</v>
      </c>
      <c r="X388" s="274">
        <f t="shared" ca="1" si="327"/>
        <v>0.92081438800160753</v>
      </c>
      <c r="Y388" s="274">
        <f t="shared" ca="1" si="327"/>
        <v>0.98612678829410838</v>
      </c>
      <c r="Z388" s="274">
        <f t="shared" ca="1" si="327"/>
        <v>0.99103707768106941</v>
      </c>
      <c r="AA388" s="275">
        <f t="shared" ca="1" si="327"/>
        <v>0.63567967483189769</v>
      </c>
      <c r="AB388" s="274">
        <f t="shared" ca="1" si="327"/>
        <v>0.35661003147275627</v>
      </c>
      <c r="AC388" s="274">
        <f t="shared" ca="1" si="327"/>
        <v>0.35661003147275627</v>
      </c>
      <c r="AD388" s="274">
        <f t="shared" ca="1" si="327"/>
        <v>0.35661003147275627</v>
      </c>
      <c r="AE388" s="274">
        <f t="shared" ca="1" si="327"/>
        <v>0.53773603152004201</v>
      </c>
      <c r="AF388" s="274">
        <f t="shared" ca="1" si="327"/>
        <v>0.62080486072958085</v>
      </c>
      <c r="AG388" s="275">
        <f t="shared" ca="1" si="327"/>
        <v>0.77710654644654997</v>
      </c>
      <c r="AH388" s="274">
        <f t="shared" ca="1" si="327"/>
        <v>0.47395003830741705</v>
      </c>
      <c r="AI388" s="274">
        <f t="shared" ca="1" si="327"/>
        <v>0.47395003830741705</v>
      </c>
      <c r="AJ388" s="274">
        <f t="shared" ca="1" si="327"/>
        <v>0.47395003830741705</v>
      </c>
      <c r="AK388" s="274">
        <f t="shared" ca="1" si="327"/>
        <v>0.6825843815053918</v>
      </c>
      <c r="AL388" s="274">
        <f t="shared" ca="1" si="327"/>
        <v>0.75741597610593703</v>
      </c>
      <c r="AM388" s="275">
        <f t="shared" ca="1" si="327"/>
        <v>0.523806131475403</v>
      </c>
      <c r="AN388" s="274">
        <f t="shared" ca="1" si="327"/>
        <v>0.18870474607295701</v>
      </c>
      <c r="AO388" s="274">
        <f t="shared" ca="1" si="327"/>
        <v>0.18870474607295701</v>
      </c>
      <c r="AP388" s="274">
        <f t="shared" ca="1" si="327"/>
        <v>0.18870474607295701</v>
      </c>
      <c r="AQ388" s="274">
        <f t="shared" ca="1" si="327"/>
        <v>0.34366203981092935</v>
      </c>
      <c r="AR388" s="274">
        <f t="shared" ca="1" si="327"/>
        <v>0.42954546255882931</v>
      </c>
      <c r="AS388" s="275">
        <f t="shared" ca="1" si="327"/>
        <v>0.84879539625741662</v>
      </c>
      <c r="AT388" s="274">
        <f t="shared" ca="1" si="327"/>
        <v>0.51745656880411495</v>
      </c>
      <c r="AU388" s="274">
        <f t="shared" ca="1" si="327"/>
        <v>0.51745656880411495</v>
      </c>
      <c r="AV388" s="274">
        <f t="shared" ca="1" si="327"/>
        <v>0.51745656880411495</v>
      </c>
      <c r="AW388" s="274">
        <f t="shared" ca="1" si="327"/>
        <v>0.8295067666706698</v>
      </c>
      <c r="AX388" s="276">
        <f t="shared" ca="1" si="327"/>
        <v>0.88267803433819947</v>
      </c>
      <c r="AY388" s="1"/>
      <c r="AZ388" s="1"/>
      <c r="BA388" s="1"/>
      <c r="BB388" s="1"/>
    </row>
    <row r="389" spans="2:67" x14ac:dyDescent="0.25">
      <c r="B389" s="1343"/>
      <c r="D389" s="1355"/>
      <c r="F389" s="265"/>
      <c r="G389" s="209" t="s">
        <v>628</v>
      </c>
      <c r="H389" s="209"/>
      <c r="I389" s="274">
        <f t="shared" ca="1" si="315"/>
        <v>0.80603714750417832</v>
      </c>
      <c r="J389" s="274">
        <f t="shared" ref="J389" ca="1" si="328">(J263+J284+J305)/(J263+J284+J305+J326)</f>
        <v>0.7715032001759462</v>
      </c>
      <c r="K389" s="274">
        <f t="shared" ca="1" si="315"/>
        <v>0.7715032001759462</v>
      </c>
      <c r="L389" s="274">
        <f t="shared" ca="1" si="315"/>
        <v>0.7715032001759462</v>
      </c>
      <c r="M389" s="274">
        <f t="shared" ca="1" si="315"/>
        <v>0.76915342922420116</v>
      </c>
      <c r="N389" s="274">
        <f t="shared" ca="1" si="315"/>
        <v>0.83921899211177675</v>
      </c>
      <c r="O389" s="275">
        <f t="shared" ref="O389:AX389" ca="1" si="329">(O263+O284+O305)/(O263+O284+O305+O326)</f>
        <v>0.9692140183728446</v>
      </c>
      <c r="P389" s="274">
        <f t="shared" ca="1" si="329"/>
        <v>0.96744222546769654</v>
      </c>
      <c r="Q389" s="274">
        <f t="shared" ca="1" si="329"/>
        <v>0.96744222546769654</v>
      </c>
      <c r="R389" s="274">
        <f t="shared" ca="1" si="329"/>
        <v>0.96744222546769654</v>
      </c>
      <c r="S389" s="274">
        <f t="shared" ca="1" si="329"/>
        <v>0.96702128258427511</v>
      </c>
      <c r="T389" s="274">
        <f t="shared" ca="1" si="329"/>
        <v>0.97869439714177187</v>
      </c>
      <c r="U389" s="275">
        <f t="shared" ca="1" si="329"/>
        <v>0.99116092483332041</v>
      </c>
      <c r="V389" s="274">
        <f t="shared" ca="1" si="329"/>
        <v>0.9912052304984923</v>
      </c>
      <c r="W389" s="274">
        <f t="shared" ca="1" si="329"/>
        <v>0.9912052304984923</v>
      </c>
      <c r="X389" s="274">
        <f t="shared" ca="1" si="329"/>
        <v>0.9912052304984923</v>
      </c>
      <c r="Y389" s="274">
        <f t="shared" ca="1" si="329"/>
        <v>0.99108869200201888</v>
      </c>
      <c r="Z389" s="274">
        <f t="shared" ca="1" si="329"/>
        <v>0.99429320331538429</v>
      </c>
      <c r="AA389" s="275">
        <f t="shared" ca="1" si="329"/>
        <v>0.95379323952649719</v>
      </c>
      <c r="AB389" s="274">
        <f t="shared" ca="1" si="329"/>
        <v>0.95401512317245185</v>
      </c>
      <c r="AC389" s="274">
        <f t="shared" ca="1" si="329"/>
        <v>0.95401512317245185</v>
      </c>
      <c r="AD389" s="274">
        <f t="shared" ca="1" si="329"/>
        <v>0.95401512317245185</v>
      </c>
      <c r="AE389" s="274">
        <f t="shared" ca="1" si="329"/>
        <v>0.95342893671033646</v>
      </c>
      <c r="AF389" s="274">
        <f t="shared" ca="1" si="329"/>
        <v>0.96976274805523055</v>
      </c>
      <c r="AG389" s="275">
        <f t="shared" ca="1" si="329"/>
        <v>0.94761146568438015</v>
      </c>
      <c r="AH389" s="274">
        <f t="shared" ca="1" si="329"/>
        <v>0.9473325633839389</v>
      </c>
      <c r="AI389" s="274">
        <f t="shared" ca="1" si="329"/>
        <v>0.9473325633839389</v>
      </c>
      <c r="AJ389" s="274">
        <f t="shared" ca="1" si="329"/>
        <v>0.9473325633839389</v>
      </c>
      <c r="AK389" s="274">
        <f t="shared" ca="1" si="329"/>
        <v>0.94666595408484777</v>
      </c>
      <c r="AL389" s="274">
        <f t="shared" ca="1" si="329"/>
        <v>0.96528537373663859</v>
      </c>
      <c r="AM389" s="275">
        <f t="shared" ca="1" si="329"/>
        <v>0.80491509077049894</v>
      </c>
      <c r="AN389" s="274">
        <f t="shared" ca="1" si="329"/>
        <v>0.80009444546303132</v>
      </c>
      <c r="AO389" s="274">
        <f t="shared" ca="1" si="329"/>
        <v>0.80009444546303132</v>
      </c>
      <c r="AP389" s="274">
        <f t="shared" ca="1" si="329"/>
        <v>0.80009444546303132</v>
      </c>
      <c r="AQ389" s="274">
        <f t="shared" ca="1" si="329"/>
        <v>0.79796169848337906</v>
      </c>
      <c r="AR389" s="274">
        <f t="shared" ca="1" si="329"/>
        <v>0.86086518812789881</v>
      </c>
      <c r="AS389" s="275">
        <f t="shared" ca="1" si="329"/>
        <v>0.92593304820598388</v>
      </c>
      <c r="AT389" s="274">
        <f t="shared" ca="1" si="329"/>
        <v>0.92579914695019028</v>
      </c>
      <c r="AU389" s="274">
        <f t="shared" ca="1" si="329"/>
        <v>0.92579914695019028</v>
      </c>
      <c r="AV389" s="274">
        <f t="shared" ca="1" si="329"/>
        <v>0.92579914695019028</v>
      </c>
      <c r="AW389" s="274">
        <f t="shared" ca="1" si="329"/>
        <v>0.92488160175254497</v>
      </c>
      <c r="AX389" s="276">
        <f t="shared" ca="1" si="329"/>
        <v>0.95071017061890717</v>
      </c>
      <c r="AY389" s="1"/>
      <c r="AZ389" s="1"/>
      <c r="BA389" s="1"/>
      <c r="BB389" s="1"/>
    </row>
    <row r="390" spans="2:67" x14ac:dyDescent="0.25">
      <c r="B390" s="1343"/>
      <c r="D390" s="1355"/>
      <c r="F390" s="265"/>
      <c r="G390" s="209" t="s">
        <v>108</v>
      </c>
      <c r="H390" s="209"/>
      <c r="I390" s="274">
        <f t="shared" ca="1" si="315"/>
        <v>0.87214451147968641</v>
      </c>
      <c r="J390" s="274">
        <f t="shared" ref="J390" ca="1" si="330">(J264+J285+J306)/(J264+J285+J306+J327)</f>
        <v>0.29556448055512846</v>
      </c>
      <c r="K390" s="274">
        <f t="shared" ca="1" si="315"/>
        <v>0.29556448055512846</v>
      </c>
      <c r="L390" s="274">
        <f t="shared" ca="1" si="315"/>
        <v>0.29556448055512846</v>
      </c>
      <c r="M390" s="274">
        <f t="shared" ca="1" si="315"/>
        <v>0.46860466565346487</v>
      </c>
      <c r="N390" s="274">
        <f t="shared" ca="1" si="315"/>
        <v>0.56320635977348277</v>
      </c>
      <c r="O390" s="275">
        <f t="shared" ref="O390:AX390" ca="1" si="331">(O264+O285+O306)/(O264+O285+O306+O327)</f>
        <v>0.94855273364903969</v>
      </c>
      <c r="P390" s="274">
        <f t="shared" ca="1" si="331"/>
        <v>0.55957313928818253</v>
      </c>
      <c r="Q390" s="274">
        <f t="shared" ca="1" si="331"/>
        <v>0.55957313928818253</v>
      </c>
      <c r="R390" s="274">
        <f t="shared" ca="1" si="331"/>
        <v>0.55957313928818253</v>
      </c>
      <c r="S390" s="274">
        <f t="shared" ca="1" si="331"/>
        <v>0.71861950668851415</v>
      </c>
      <c r="T390" s="274">
        <f t="shared" ca="1" si="331"/>
        <v>0.77715651776758776</v>
      </c>
      <c r="U390" s="275">
        <f t="shared" ca="1" si="331"/>
        <v>0.98704160550891407</v>
      </c>
      <c r="V390" s="274">
        <f t="shared" ca="1" si="331"/>
        <v>0.92120966455958853</v>
      </c>
      <c r="W390" s="274">
        <f t="shared" ca="1" si="331"/>
        <v>0.92120966455958853</v>
      </c>
      <c r="X390" s="274">
        <f t="shared" ca="1" si="331"/>
        <v>0.92120966455958853</v>
      </c>
      <c r="Y390" s="274">
        <f t="shared" ca="1" si="331"/>
        <v>0.98613897129591632</v>
      </c>
      <c r="Z390" s="274">
        <f t="shared" ca="1" si="331"/>
        <v>0.99104216436267156</v>
      </c>
      <c r="AA390" s="275">
        <f t="shared" ca="1" si="331"/>
        <v>0.65629055811606751</v>
      </c>
      <c r="AB390" s="274">
        <f t="shared" ca="1" si="331"/>
        <v>0.35506911458137808</v>
      </c>
      <c r="AC390" s="274">
        <f t="shared" ca="1" si="331"/>
        <v>0.35506911458137808</v>
      </c>
      <c r="AD390" s="274">
        <f t="shared" ca="1" si="331"/>
        <v>0.35506911458137808</v>
      </c>
      <c r="AE390" s="274">
        <f t="shared" ca="1" si="331"/>
        <v>0.53694112142197448</v>
      </c>
      <c r="AF390" s="274">
        <f t="shared" ca="1" si="331"/>
        <v>0.6202701372318441</v>
      </c>
      <c r="AG390" s="275">
        <f t="shared" ca="1" si="331"/>
        <v>0.80418796730900333</v>
      </c>
      <c r="AH390" s="274">
        <f t="shared" ca="1" si="331"/>
        <v>0.47323862132350425</v>
      </c>
      <c r="AI390" s="274">
        <f t="shared" ca="1" si="331"/>
        <v>0.47323862132350425</v>
      </c>
      <c r="AJ390" s="274">
        <f t="shared" ca="1" si="331"/>
        <v>0.47323862132350425</v>
      </c>
      <c r="AK390" s="274">
        <f t="shared" ca="1" si="331"/>
        <v>0.6823255042164702</v>
      </c>
      <c r="AL390" s="274">
        <f t="shared" ca="1" si="331"/>
        <v>0.75726480170287724</v>
      </c>
      <c r="AM390" s="275">
        <f t="shared" ca="1" si="331"/>
        <v>0.5331208410396977</v>
      </c>
      <c r="AN390" s="274">
        <f t="shared" ca="1" si="331"/>
        <v>0.18778569948239562</v>
      </c>
      <c r="AO390" s="274">
        <f t="shared" ca="1" si="331"/>
        <v>0.18778569948239562</v>
      </c>
      <c r="AP390" s="274">
        <f t="shared" ca="1" si="331"/>
        <v>0.18778569948239562</v>
      </c>
      <c r="AQ390" s="274">
        <f t="shared" ca="1" si="331"/>
        <v>0.34306067121295525</v>
      </c>
      <c r="AR390" s="274">
        <f t="shared" ca="1" si="331"/>
        <v>0.42909123266521398</v>
      </c>
      <c r="AS390" s="275">
        <f t="shared" ca="1" si="331"/>
        <v>0.85597126954986091</v>
      </c>
      <c r="AT390" s="274">
        <f t="shared" ca="1" si="331"/>
        <v>0.5177091102047805</v>
      </c>
      <c r="AU390" s="274">
        <f t="shared" ca="1" si="331"/>
        <v>0.5177091102047805</v>
      </c>
      <c r="AV390" s="274">
        <f t="shared" ca="1" si="331"/>
        <v>0.5177091102047805</v>
      </c>
      <c r="AW390" s="274">
        <f t="shared" ca="1" si="331"/>
        <v>0.82953830372100823</v>
      </c>
      <c r="AX390" s="276">
        <f t="shared" ca="1" si="331"/>
        <v>0.8826929688315166</v>
      </c>
      <c r="AY390" s="1"/>
      <c r="AZ390" s="1"/>
      <c r="BA390" s="1"/>
      <c r="BB390" s="1"/>
    </row>
    <row r="391" spans="2:67" x14ac:dyDescent="0.25">
      <c r="B391" s="1343"/>
      <c r="D391" s="1355"/>
      <c r="F391" s="265"/>
      <c r="G391" s="209" t="s">
        <v>98</v>
      </c>
      <c r="H391" s="209"/>
      <c r="I391" s="274">
        <f t="shared" ca="1" si="315"/>
        <v>0.73515230837590739</v>
      </c>
      <c r="J391" s="274">
        <f t="shared" ref="J391" ca="1" si="332">(J265+J286+J307)/(J265+J286+J307+J328)</f>
        <v>0.29657724159098353</v>
      </c>
      <c r="K391" s="274">
        <f t="shared" ca="1" si="315"/>
        <v>0.29657724159098353</v>
      </c>
      <c r="L391" s="274">
        <f t="shared" ca="1" si="315"/>
        <v>0.29657724159098353</v>
      </c>
      <c r="M391" s="274">
        <f t="shared" ca="1" si="315"/>
        <v>0.46918118431356026</v>
      </c>
      <c r="N391" s="274">
        <f t="shared" ca="1" si="315"/>
        <v>0.56359595568975529</v>
      </c>
      <c r="O391" s="275">
        <f t="shared" ref="O391:AX391" ca="1" si="333">(O265+O286+O307)/(O265+O286+O307+O328)</f>
        <v>0.88411909455485427</v>
      </c>
      <c r="P391" s="274">
        <f t="shared" ca="1" si="333"/>
        <v>0.58583253939678426</v>
      </c>
      <c r="Q391" s="274">
        <f t="shared" ca="1" si="333"/>
        <v>0.58583253939678426</v>
      </c>
      <c r="R391" s="274">
        <f t="shared" ca="1" si="333"/>
        <v>0.58583253939678426</v>
      </c>
      <c r="S391" s="274">
        <f t="shared" ca="1" si="333"/>
        <v>0.72957364035581307</v>
      </c>
      <c r="T391" s="274">
        <f t="shared" ca="1" si="333"/>
        <v>0.78408314026331372</v>
      </c>
      <c r="U391" s="275">
        <f t="shared" ca="1" si="333"/>
        <v>0.98654956312150677</v>
      </c>
      <c r="V391" s="274">
        <f t="shared" ca="1" si="333"/>
        <v>0.92282865505012435</v>
      </c>
      <c r="W391" s="274">
        <f t="shared" ca="1" si="333"/>
        <v>0.92282865505012435</v>
      </c>
      <c r="X391" s="274">
        <f t="shared" ca="1" si="333"/>
        <v>0.92282865505012435</v>
      </c>
      <c r="Y391" s="274">
        <f t="shared" ca="1" si="333"/>
        <v>0.98618994031757945</v>
      </c>
      <c r="Z391" s="274">
        <f t="shared" ca="1" si="333"/>
        <v>0.99106347943583906</v>
      </c>
      <c r="AA391" s="275">
        <f t="shared" ca="1" si="333"/>
        <v>0.60608470328169861</v>
      </c>
      <c r="AB391" s="274">
        <f t="shared" ca="1" si="333"/>
        <v>0.37032317674949611</v>
      </c>
      <c r="AC391" s="274">
        <f t="shared" ca="1" si="333"/>
        <v>0.37032317674949611</v>
      </c>
      <c r="AD391" s="274">
        <f t="shared" ca="1" si="333"/>
        <v>0.37032317674949611</v>
      </c>
      <c r="AE391" s="274">
        <f t="shared" ca="1" si="333"/>
        <v>0.54485770925888855</v>
      </c>
      <c r="AF391" s="274">
        <f t="shared" ca="1" si="333"/>
        <v>0.6256102851860903</v>
      </c>
      <c r="AG391" s="275">
        <f t="shared" ca="1" si="333"/>
        <v>0.74400468894619953</v>
      </c>
      <c r="AH391" s="274">
        <f t="shared" ca="1" si="333"/>
        <v>0.48256686444930624</v>
      </c>
      <c r="AI391" s="274">
        <f t="shared" ca="1" si="333"/>
        <v>0.48256686444930624</v>
      </c>
      <c r="AJ391" s="274">
        <f t="shared" ca="1" si="333"/>
        <v>0.48256686444930624</v>
      </c>
      <c r="AK391" s="274">
        <f t="shared" ca="1" si="333"/>
        <v>0.68574215173052422</v>
      </c>
      <c r="AL391" s="274">
        <f t="shared" ca="1" si="333"/>
        <v>0.7592646831829063</v>
      </c>
      <c r="AM391" s="275">
        <f t="shared" ca="1" si="333"/>
        <v>0.47171561408211748</v>
      </c>
      <c r="AN391" s="274">
        <f t="shared" ca="1" si="333"/>
        <v>0.18763001053855655</v>
      </c>
      <c r="AO391" s="274">
        <f t="shared" ca="1" si="333"/>
        <v>0.18763001053855655</v>
      </c>
      <c r="AP391" s="274">
        <f t="shared" ca="1" si="333"/>
        <v>0.18763001053855655</v>
      </c>
      <c r="AQ391" s="274">
        <f t="shared" ca="1" si="333"/>
        <v>0.34295882353796425</v>
      </c>
      <c r="AR391" s="274">
        <f t="shared" ca="1" si="333"/>
        <v>0.42901431515780802</v>
      </c>
      <c r="AS391" s="275">
        <f t="shared" ca="1" si="333"/>
        <v>0.84206100881040624</v>
      </c>
      <c r="AT391" s="274">
        <f t="shared" ca="1" si="333"/>
        <v>0.5301923987017273</v>
      </c>
      <c r="AU391" s="274">
        <f t="shared" ca="1" si="333"/>
        <v>0.5301923987017273</v>
      </c>
      <c r="AV391" s="274">
        <f t="shared" ca="1" si="333"/>
        <v>0.5301923987017273</v>
      </c>
      <c r="AW391" s="274">
        <f t="shared" ca="1" si="333"/>
        <v>0.83112427002157119</v>
      </c>
      <c r="AX391" s="276">
        <f t="shared" ca="1" si="333"/>
        <v>0.88344623809878464</v>
      </c>
      <c r="AY391" s="1"/>
      <c r="AZ391" s="1"/>
      <c r="BA391" s="1"/>
      <c r="BB391" s="1"/>
    </row>
    <row r="392" spans="2:67" x14ac:dyDescent="0.25">
      <c r="B392" s="1343"/>
      <c r="D392" s="1355"/>
      <c r="F392" s="265"/>
      <c r="G392" s="209" t="s">
        <v>629</v>
      </c>
      <c r="H392" s="209"/>
      <c r="I392" s="274">
        <f t="shared" ca="1" si="315"/>
        <v>0.80278563501563327</v>
      </c>
      <c r="J392" s="274">
        <f t="shared" ref="J392" ca="1" si="334">(J266+J287+J308)/(J266+J287+J308+J329)</f>
        <v>0.29614500131788091</v>
      </c>
      <c r="K392" s="274">
        <f t="shared" ca="1" si="315"/>
        <v>0.29614500131788091</v>
      </c>
      <c r="L392" s="274">
        <f t="shared" ca="1" si="315"/>
        <v>0.29614500131788091</v>
      </c>
      <c r="M392" s="274">
        <f t="shared" ca="1" si="315"/>
        <v>0.46893507982316956</v>
      </c>
      <c r="N392" s="274">
        <f t="shared" ca="1" si="315"/>
        <v>0.56342962643507255</v>
      </c>
      <c r="O392" s="275">
        <f t="shared" ref="O392:AX392" ca="1" si="335">(O266+O287+O308)/(O266+O287+O308+O329)</f>
        <v>0.91736923334108889</v>
      </c>
      <c r="P392" s="274">
        <f t="shared" ca="1" si="335"/>
        <v>0.56802245178126165</v>
      </c>
      <c r="Q392" s="274">
        <f t="shared" ca="1" si="335"/>
        <v>0.56802245178126165</v>
      </c>
      <c r="R392" s="274">
        <f t="shared" ca="1" si="335"/>
        <v>0.56802245178126165</v>
      </c>
      <c r="S392" s="274">
        <f t="shared" ca="1" si="335"/>
        <v>0.72209231603077983</v>
      </c>
      <c r="T392" s="274">
        <f t="shared" ca="1" si="335"/>
        <v>0.77934030015446398</v>
      </c>
      <c r="U392" s="275">
        <f t="shared" ca="1" si="335"/>
        <v>0.98665120423227881</v>
      </c>
      <c r="V392" s="274">
        <f t="shared" ca="1" si="335"/>
        <v>0.92315872310961455</v>
      </c>
      <c r="W392" s="274">
        <f t="shared" ca="1" si="335"/>
        <v>0.92315872310961455</v>
      </c>
      <c r="X392" s="274">
        <f t="shared" ca="1" si="335"/>
        <v>0.92315872310961455</v>
      </c>
      <c r="Y392" s="274">
        <f t="shared" ca="1" si="335"/>
        <v>0.98620054774969634</v>
      </c>
      <c r="Z392" s="274">
        <f t="shared" ca="1" si="335"/>
        <v>0.9910679224101655</v>
      </c>
      <c r="AA392" s="275">
        <f t="shared" ca="1" si="335"/>
        <v>0.60865010057777214</v>
      </c>
      <c r="AB392" s="274">
        <f t="shared" ca="1" si="335"/>
        <v>0.36683861974898602</v>
      </c>
      <c r="AC392" s="274">
        <f t="shared" ca="1" si="335"/>
        <v>0.36683861974898602</v>
      </c>
      <c r="AD392" s="274">
        <f t="shared" ca="1" si="335"/>
        <v>0.36683861974898602</v>
      </c>
      <c r="AE392" s="274">
        <f t="shared" ca="1" si="335"/>
        <v>0.54303993106263848</v>
      </c>
      <c r="AF392" s="274">
        <f t="shared" ca="1" si="335"/>
        <v>0.62438118667306464</v>
      </c>
      <c r="AG392" s="275">
        <f t="shared" ca="1" si="335"/>
        <v>0.75916654768780334</v>
      </c>
      <c r="AH392" s="274">
        <f t="shared" ca="1" si="335"/>
        <v>0.47779397374208621</v>
      </c>
      <c r="AI392" s="274">
        <f t="shared" ca="1" si="335"/>
        <v>0.47779397374208621</v>
      </c>
      <c r="AJ392" s="274">
        <f t="shared" ca="1" si="335"/>
        <v>0.47779397374208621</v>
      </c>
      <c r="AK392" s="274">
        <f t="shared" ca="1" si="335"/>
        <v>0.68398796781330351</v>
      </c>
      <c r="AL392" s="274">
        <f t="shared" ca="1" si="335"/>
        <v>0.75823662976203732</v>
      </c>
      <c r="AM392" s="275">
        <f t="shared" ca="1" si="335"/>
        <v>0.43885958935978214</v>
      </c>
      <c r="AN392" s="274">
        <f t="shared" ca="1" si="335"/>
        <v>0.18893073362097659</v>
      </c>
      <c r="AO392" s="274">
        <f t="shared" ca="1" si="335"/>
        <v>0.18893073362097659</v>
      </c>
      <c r="AP392" s="274">
        <f t="shared" ca="1" si="335"/>
        <v>0.18893073362097659</v>
      </c>
      <c r="AQ392" s="274">
        <f t="shared" ca="1" si="335"/>
        <v>0.34380995228174038</v>
      </c>
      <c r="AR392" s="274">
        <f t="shared" ca="1" si="335"/>
        <v>0.42965720152032516</v>
      </c>
      <c r="AS392" s="275">
        <f t="shared" ca="1" si="335"/>
        <v>0.84501015681832203</v>
      </c>
      <c r="AT392" s="274">
        <f t="shared" ca="1" si="335"/>
        <v>0.52604512071379939</v>
      </c>
      <c r="AU392" s="274">
        <f t="shared" ca="1" si="335"/>
        <v>0.52604512071379939</v>
      </c>
      <c r="AV392" s="274">
        <f t="shared" ca="1" si="335"/>
        <v>0.52604512071379939</v>
      </c>
      <c r="AW392" s="274">
        <f t="shared" ca="1" si="335"/>
        <v>0.830591415368926</v>
      </c>
      <c r="AX392" s="276">
        <f t="shared" ca="1" si="335"/>
        <v>0.88319266538516183</v>
      </c>
      <c r="AY392" s="1"/>
      <c r="AZ392" s="1"/>
      <c r="BA392" s="1"/>
      <c r="BB392" s="1"/>
    </row>
    <row r="393" spans="2:67" x14ac:dyDescent="0.25">
      <c r="B393" s="1343"/>
      <c r="D393" s="1355"/>
      <c r="F393" s="265"/>
      <c r="G393" s="209" t="s">
        <v>105</v>
      </c>
      <c r="H393" s="209"/>
      <c r="I393" s="274">
        <f t="shared" ca="1" si="315"/>
        <v>0.69613630028489337</v>
      </c>
      <c r="J393" s="274">
        <f t="shared" ref="J393" ca="1" si="336">(J267+J288+J309)/(J267+J288+J309+J330)</f>
        <v>0.29504582989670519</v>
      </c>
      <c r="K393" s="274">
        <f t="shared" ca="1" si="315"/>
        <v>0.29504582989670519</v>
      </c>
      <c r="L393" s="274">
        <f t="shared" ca="1" si="315"/>
        <v>0.29504582989670519</v>
      </c>
      <c r="M393" s="274">
        <f t="shared" ca="1" si="315"/>
        <v>0.46830957912952498</v>
      </c>
      <c r="N393" s="274">
        <f t="shared" ca="1" si="315"/>
        <v>0.56300700640249624</v>
      </c>
      <c r="O393" s="275">
        <f t="shared" ref="O393:AX393" ca="1" si="337">(O267+O288+O309)/(O267+O288+O309+O330)</f>
        <v>0.86339349944847821</v>
      </c>
      <c r="P393" s="274">
        <f t="shared" ca="1" si="337"/>
        <v>0.55992427421671742</v>
      </c>
      <c r="Q393" s="274">
        <f t="shared" ca="1" si="337"/>
        <v>0.55992427421671742</v>
      </c>
      <c r="R393" s="274">
        <f t="shared" ca="1" si="337"/>
        <v>0.55992427421671742</v>
      </c>
      <c r="S393" s="274">
        <f t="shared" ca="1" si="337"/>
        <v>0.71876287047531773</v>
      </c>
      <c r="T393" s="274">
        <f t="shared" ca="1" si="337"/>
        <v>0.77724644627767581</v>
      </c>
      <c r="U393" s="275">
        <f t="shared" ca="1" si="337"/>
        <v>0.98635143616310339</v>
      </c>
      <c r="V393" s="274">
        <f t="shared" ca="1" si="337"/>
        <v>0.92071861635152186</v>
      </c>
      <c r="W393" s="274">
        <f t="shared" ca="1" si="337"/>
        <v>0.92071861635152186</v>
      </c>
      <c r="X393" s="274">
        <f t="shared" ca="1" si="337"/>
        <v>0.92071861635152186</v>
      </c>
      <c r="Y393" s="274">
        <f t="shared" ca="1" si="337"/>
        <v>0.98612385155462357</v>
      </c>
      <c r="Z393" s="274">
        <f t="shared" ca="1" si="337"/>
        <v>0.99103585199818323</v>
      </c>
      <c r="AA393" s="275">
        <f t="shared" ca="1" si="337"/>
        <v>0.57257523073251804</v>
      </c>
      <c r="AB393" s="274">
        <f t="shared" ca="1" si="337"/>
        <v>0.35440116724725462</v>
      </c>
      <c r="AC393" s="274">
        <f t="shared" ca="1" si="337"/>
        <v>0.35440116724725462</v>
      </c>
      <c r="AD393" s="274">
        <f t="shared" ca="1" si="337"/>
        <v>0.35440116724725462</v>
      </c>
      <c r="AE393" s="274">
        <f t="shared" ca="1" si="337"/>
        <v>0.53659688130813288</v>
      </c>
      <c r="AF393" s="274">
        <f t="shared" ca="1" si="337"/>
        <v>0.62003867483034125</v>
      </c>
      <c r="AG393" s="275">
        <f t="shared" ca="1" si="337"/>
        <v>0.72330029705765864</v>
      </c>
      <c r="AH393" s="274">
        <f t="shared" ca="1" si="337"/>
        <v>0.47274406291756627</v>
      </c>
      <c r="AI393" s="274">
        <f t="shared" ca="1" si="337"/>
        <v>0.47274406291756627</v>
      </c>
      <c r="AJ393" s="274">
        <f t="shared" ca="1" si="337"/>
        <v>0.47274406291756627</v>
      </c>
      <c r="AK393" s="274">
        <f t="shared" ca="1" si="337"/>
        <v>0.68214570300247646</v>
      </c>
      <c r="AL393" s="274">
        <f t="shared" ca="1" si="337"/>
        <v>0.75715983889200777</v>
      </c>
      <c r="AM393" s="275">
        <f t="shared" ca="1" si="337"/>
        <v>0.40310444227614822</v>
      </c>
      <c r="AN393" s="274">
        <f t="shared" ca="1" si="337"/>
        <v>0.18777617369940788</v>
      </c>
      <c r="AO393" s="274">
        <f t="shared" ca="1" si="337"/>
        <v>0.18777617369940788</v>
      </c>
      <c r="AP393" s="274">
        <f t="shared" ca="1" si="337"/>
        <v>0.18777617369940788</v>
      </c>
      <c r="AQ393" s="274">
        <f t="shared" ca="1" si="337"/>
        <v>0.34305443947804215</v>
      </c>
      <c r="AR393" s="274">
        <f t="shared" ca="1" si="337"/>
        <v>0.42908652623816418</v>
      </c>
      <c r="AS393" s="275">
        <f t="shared" ca="1" si="337"/>
        <v>0.83651486963098942</v>
      </c>
      <c r="AT393" s="274">
        <f t="shared" ca="1" si="337"/>
        <v>0.51594837562766416</v>
      </c>
      <c r="AU393" s="274">
        <f t="shared" ca="1" si="337"/>
        <v>0.51594837562766416</v>
      </c>
      <c r="AV393" s="274">
        <f t="shared" ca="1" si="337"/>
        <v>0.51594837562766416</v>
      </c>
      <c r="AW393" s="274">
        <f t="shared" ca="1" si="337"/>
        <v>0.82931886893741913</v>
      </c>
      <c r="AX393" s="276">
        <f t="shared" ca="1" si="337"/>
        <v>0.88258909033644206</v>
      </c>
      <c r="AY393" s="1"/>
      <c r="AZ393" s="1"/>
      <c r="BA393" s="1"/>
      <c r="BB393" s="1"/>
    </row>
    <row r="394" spans="2:67" x14ac:dyDescent="0.25">
      <c r="B394" s="1343"/>
      <c r="D394" s="1355"/>
      <c r="F394" s="265"/>
      <c r="G394" s="209" t="s">
        <v>111</v>
      </c>
      <c r="H394" s="209"/>
      <c r="I394" s="274">
        <f t="shared" ca="1" si="315"/>
        <v>0.85129916134061223</v>
      </c>
      <c r="J394" s="274">
        <f t="shared" ref="J394" ca="1" si="338">(J268+J289+J310)/(J268+J289+J310+J331)</f>
        <v>0.30200432356437945</v>
      </c>
      <c r="K394" s="274">
        <f t="shared" ca="1" si="315"/>
        <v>0.30200432356437945</v>
      </c>
      <c r="L394" s="274">
        <f t="shared" ca="1" si="315"/>
        <v>0.30200432356437945</v>
      </c>
      <c r="M394" s="274">
        <f t="shared" ca="1" si="315"/>
        <v>0.47227752778860649</v>
      </c>
      <c r="N394" s="274">
        <f t="shared" ca="1" si="315"/>
        <v>0.56569095975359163</v>
      </c>
      <c r="O394" s="275">
        <f t="shared" ref="O394:AX394" ca="1" si="339">(O268+O289+O310)/(O268+O289+O310+O331)</f>
        <v>0.93927670698213006</v>
      </c>
      <c r="P394" s="274">
        <f t="shared" ca="1" si="339"/>
        <v>0.56666695922409482</v>
      </c>
      <c r="Q394" s="274">
        <f t="shared" ca="1" si="339"/>
        <v>0.56666695922409482</v>
      </c>
      <c r="R394" s="274">
        <f t="shared" ca="1" si="339"/>
        <v>0.56666695922409482</v>
      </c>
      <c r="S394" s="274">
        <f t="shared" ca="1" si="339"/>
        <v>0.72153192635815822</v>
      </c>
      <c r="T394" s="274">
        <f t="shared" ca="1" si="339"/>
        <v>0.77898715382374439</v>
      </c>
      <c r="U394" s="275">
        <f t="shared" ca="1" si="339"/>
        <v>0.9869544282345496</v>
      </c>
      <c r="V394" s="274">
        <f t="shared" ca="1" si="339"/>
        <v>0.92170295100863886</v>
      </c>
      <c r="W394" s="274">
        <f t="shared" ca="1" si="339"/>
        <v>0.92170295100863886</v>
      </c>
      <c r="X394" s="274">
        <f t="shared" ca="1" si="339"/>
        <v>0.92170295100863886</v>
      </c>
      <c r="Y394" s="274">
        <f t="shared" ca="1" si="339"/>
        <v>0.9861543171365823</v>
      </c>
      <c r="Z394" s="274">
        <f t="shared" ca="1" si="339"/>
        <v>0.99104857610491559</v>
      </c>
      <c r="AA394" s="275">
        <f t="shared" ca="1" si="339"/>
        <v>0.65094138737611973</v>
      </c>
      <c r="AB394" s="274">
        <f t="shared" ca="1" si="339"/>
        <v>0.36278727519990062</v>
      </c>
      <c r="AC394" s="274">
        <f t="shared" ca="1" si="339"/>
        <v>0.36278727519990062</v>
      </c>
      <c r="AD394" s="274">
        <f t="shared" ca="1" si="339"/>
        <v>0.36278727519990062</v>
      </c>
      <c r="AE394" s="274">
        <f t="shared" ca="1" si="339"/>
        <v>0.54093346625696637</v>
      </c>
      <c r="AF394" s="274">
        <f t="shared" ca="1" si="339"/>
        <v>0.62295906694741321</v>
      </c>
      <c r="AG394" s="275">
        <f t="shared" ca="1" si="339"/>
        <v>0.7938189929717292</v>
      </c>
      <c r="AH394" s="274">
        <f t="shared" ca="1" si="339"/>
        <v>0.47706096502017481</v>
      </c>
      <c r="AI394" s="274">
        <f t="shared" ca="1" si="339"/>
        <v>0.47706096502017481</v>
      </c>
      <c r="AJ394" s="274">
        <f t="shared" ca="1" si="339"/>
        <v>0.47706096502017481</v>
      </c>
      <c r="AK394" s="274">
        <f t="shared" ca="1" si="339"/>
        <v>0.68371968553702356</v>
      </c>
      <c r="AL394" s="274">
        <f t="shared" ca="1" si="339"/>
        <v>0.75807963718147842</v>
      </c>
      <c r="AM394" s="275">
        <f t="shared" ca="1" si="339"/>
        <v>0.53674295652395976</v>
      </c>
      <c r="AN394" s="274">
        <f t="shared" ca="1" si="339"/>
        <v>0.18759753077032382</v>
      </c>
      <c r="AO394" s="274">
        <f t="shared" ca="1" si="339"/>
        <v>0.18759753077032382</v>
      </c>
      <c r="AP394" s="274">
        <f t="shared" ca="1" si="339"/>
        <v>0.18759753077032382</v>
      </c>
      <c r="AQ394" s="274">
        <f t="shared" ca="1" si="339"/>
        <v>0.34293757705576589</v>
      </c>
      <c r="AR394" s="274">
        <f t="shared" ca="1" si="339"/>
        <v>0.42899826976106942</v>
      </c>
      <c r="AS394" s="275">
        <f t="shared" ca="1" si="339"/>
        <v>0.85288549004368353</v>
      </c>
      <c r="AT394" s="274">
        <f t="shared" ca="1" si="339"/>
        <v>0.5183331530423233</v>
      </c>
      <c r="AU394" s="274">
        <f t="shared" ca="1" si="339"/>
        <v>0.5183331530423233</v>
      </c>
      <c r="AV394" s="274">
        <f t="shared" ca="1" si="339"/>
        <v>0.5183331530423233</v>
      </c>
      <c r="AW394" s="274">
        <f t="shared" ca="1" si="339"/>
        <v>0.82961632505590743</v>
      </c>
      <c r="AX394" s="276">
        <f t="shared" ca="1" si="339"/>
        <v>0.88272992354518065</v>
      </c>
      <c r="AY394" s="1"/>
      <c r="AZ394" s="1"/>
      <c r="BA394" s="1"/>
      <c r="BB394" s="1"/>
    </row>
    <row r="395" spans="2:67" x14ac:dyDescent="0.25">
      <c r="B395" s="1343"/>
      <c r="D395" s="1355"/>
      <c r="F395" s="265"/>
      <c r="G395" s="209" t="s">
        <v>109</v>
      </c>
      <c r="H395" s="209"/>
      <c r="I395" s="274">
        <f t="shared" ca="1" si="315"/>
        <v>0.80556284602832084</v>
      </c>
      <c r="J395" s="274">
        <f t="shared" ref="J395" ca="1" si="340">(J269+J290+J311)/(J269+J290+J311+J332)</f>
        <v>0.29467579643032094</v>
      </c>
      <c r="K395" s="274">
        <f t="shared" ca="1" si="315"/>
        <v>0.29467579643032094</v>
      </c>
      <c r="L395" s="274">
        <f t="shared" ca="1" si="315"/>
        <v>0.29467579643032094</v>
      </c>
      <c r="M395" s="274">
        <f t="shared" ca="1" si="315"/>
        <v>0.46809911364522611</v>
      </c>
      <c r="N395" s="274">
        <f t="shared" ca="1" si="315"/>
        <v>0.56286484505173462</v>
      </c>
      <c r="O395" s="275">
        <f t="shared" ref="O395:AX395" ca="1" si="341">(O269+O290+O311)/(O269+O290+O311+O332)</f>
        <v>0.91785181561656626</v>
      </c>
      <c r="P395" s="274">
        <f t="shared" ca="1" si="341"/>
        <v>0.56047927780400031</v>
      </c>
      <c r="Q395" s="274">
        <f t="shared" ca="1" si="341"/>
        <v>0.56047927780400031</v>
      </c>
      <c r="R395" s="274">
        <f t="shared" ca="1" si="341"/>
        <v>0.56047927780400031</v>
      </c>
      <c r="S395" s="274">
        <f t="shared" ca="1" si="341"/>
        <v>0.71898963964459361</v>
      </c>
      <c r="T395" s="274">
        <f t="shared" ca="1" si="341"/>
        <v>0.77738873183053425</v>
      </c>
      <c r="U395" s="275">
        <f t="shared" ca="1" si="341"/>
        <v>0.9867627469255108</v>
      </c>
      <c r="V395" s="274">
        <f t="shared" ca="1" si="341"/>
        <v>0.92088678582568817</v>
      </c>
      <c r="W395" s="274">
        <f t="shared" ca="1" si="341"/>
        <v>0.92088678582568817</v>
      </c>
      <c r="X395" s="274">
        <f t="shared" ca="1" si="341"/>
        <v>0.92088678582568817</v>
      </c>
      <c r="Y395" s="274">
        <f t="shared" ca="1" si="341"/>
        <v>0.98612901219080951</v>
      </c>
      <c r="Z395" s="274">
        <f t="shared" ca="1" si="341"/>
        <v>0.99103800597281666</v>
      </c>
      <c r="AA395" s="275">
        <f t="shared" ca="1" si="341"/>
        <v>0.63474056223674136</v>
      </c>
      <c r="AB395" s="274">
        <f t="shared" ca="1" si="341"/>
        <v>0.35585488837821594</v>
      </c>
      <c r="AC395" s="274">
        <f t="shared" ca="1" si="341"/>
        <v>0.35585488837821594</v>
      </c>
      <c r="AD395" s="274">
        <f t="shared" ca="1" si="341"/>
        <v>0.35585488837821594</v>
      </c>
      <c r="AE395" s="274">
        <f t="shared" ca="1" si="341"/>
        <v>0.53734634328246955</v>
      </c>
      <c r="AF395" s="274">
        <f t="shared" ca="1" si="341"/>
        <v>0.62054268230537313</v>
      </c>
      <c r="AG395" s="275">
        <f t="shared" ca="1" si="341"/>
        <v>0.77371338274447921</v>
      </c>
      <c r="AH395" s="274">
        <f t="shared" ca="1" si="341"/>
        <v>0.47344643612875387</v>
      </c>
      <c r="AI395" s="274">
        <f t="shared" ca="1" si="341"/>
        <v>0.47344643612875387</v>
      </c>
      <c r="AJ395" s="274">
        <f t="shared" ca="1" si="341"/>
        <v>0.47344643612875387</v>
      </c>
      <c r="AK395" s="274">
        <f t="shared" ca="1" si="341"/>
        <v>0.68240109717537145</v>
      </c>
      <c r="AL395" s="274">
        <f t="shared" ca="1" si="341"/>
        <v>0.75730893908179342</v>
      </c>
      <c r="AM395" s="275">
        <f t="shared" ca="1" si="341"/>
        <v>0.53387374974553792</v>
      </c>
      <c r="AN395" s="274">
        <f t="shared" ca="1" si="341"/>
        <v>0.18747059583932316</v>
      </c>
      <c r="AO395" s="274">
        <f t="shared" ca="1" si="341"/>
        <v>0.18747059583932316</v>
      </c>
      <c r="AP395" s="274">
        <f t="shared" ca="1" si="341"/>
        <v>0.18747059583932316</v>
      </c>
      <c r="AQ395" s="274">
        <f t="shared" ca="1" si="341"/>
        <v>0.34285454630426621</v>
      </c>
      <c r="AR395" s="274">
        <f t="shared" ca="1" si="341"/>
        <v>0.42893556603231553</v>
      </c>
      <c r="AS395" s="275">
        <f t="shared" ca="1" si="341"/>
        <v>0.84779708234472029</v>
      </c>
      <c r="AT395" s="274">
        <f t="shared" ca="1" si="341"/>
        <v>0.51780149207133808</v>
      </c>
      <c r="AU395" s="274">
        <f t="shared" ca="1" si="341"/>
        <v>0.51780149207133808</v>
      </c>
      <c r="AV395" s="274">
        <f t="shared" ca="1" si="341"/>
        <v>0.51780149207133808</v>
      </c>
      <c r="AW395" s="274">
        <f t="shared" ca="1" si="341"/>
        <v>0.82954984558672007</v>
      </c>
      <c r="AX395" s="276">
        <f t="shared" ca="1" si="341"/>
        <v>0.88269843495781908</v>
      </c>
      <c r="AY395" s="1"/>
      <c r="AZ395" s="1"/>
      <c r="BA395" s="1"/>
      <c r="BB395" s="1"/>
    </row>
    <row r="396" spans="2:67" x14ac:dyDescent="0.25">
      <c r="B396" s="1343"/>
      <c r="D396" s="1355"/>
      <c r="F396" s="265"/>
      <c r="G396" s="209" t="s">
        <v>99</v>
      </c>
      <c r="H396" s="209"/>
      <c r="I396" s="274">
        <f t="shared" ca="1" si="315"/>
        <v>0.73511393238103429</v>
      </c>
      <c r="J396" s="274">
        <f t="shared" ref="J396" ca="1" si="342">(J270+J291+J312)/(J270+J291+J312+J333)</f>
        <v>0.29630646924163745</v>
      </c>
      <c r="K396" s="274">
        <f t="shared" ca="1" si="315"/>
        <v>0.29630646924163745</v>
      </c>
      <c r="L396" s="274">
        <f t="shared" ca="1" si="315"/>
        <v>0.29630646924163745</v>
      </c>
      <c r="M396" s="274">
        <f t="shared" ca="1" si="315"/>
        <v>0.46902700607458675</v>
      </c>
      <c r="N396" s="274">
        <f t="shared" ca="1" si="315"/>
        <v>0.56349175140885388</v>
      </c>
      <c r="O396" s="275">
        <f t="shared" ref="O396:AX396" ca="1" si="343">(O270+O291+O312)/(O270+O291+O312+O333)</f>
        <v>0.88284223964452668</v>
      </c>
      <c r="P396" s="274">
        <f t="shared" ca="1" si="343"/>
        <v>0.56904582595752384</v>
      </c>
      <c r="Q396" s="274">
        <f t="shared" ca="1" si="343"/>
        <v>0.56904582595752384</v>
      </c>
      <c r="R396" s="274">
        <f t="shared" ca="1" si="343"/>
        <v>0.56904582595752384</v>
      </c>
      <c r="S396" s="274">
        <f t="shared" ca="1" si="343"/>
        <v>0.7225162325343164</v>
      </c>
      <c r="T396" s="274">
        <f t="shared" ca="1" si="343"/>
        <v>0.77960763880286721</v>
      </c>
      <c r="U396" s="275">
        <f t="shared" ca="1" si="343"/>
        <v>0.98653399697012922</v>
      </c>
      <c r="V396" s="274">
        <f t="shared" ca="1" si="343"/>
        <v>0.92231341662750477</v>
      </c>
      <c r="W396" s="274">
        <f t="shared" ca="1" si="343"/>
        <v>0.92231341662750477</v>
      </c>
      <c r="X396" s="274">
        <f t="shared" ca="1" si="343"/>
        <v>0.92231341662750477</v>
      </c>
      <c r="Y396" s="274">
        <f t="shared" ca="1" si="343"/>
        <v>0.98617353014994924</v>
      </c>
      <c r="Z396" s="274">
        <f t="shared" ca="1" si="343"/>
        <v>0.99105661070108608</v>
      </c>
      <c r="AA396" s="275">
        <f t="shared" ca="1" si="343"/>
        <v>0.60529516793519145</v>
      </c>
      <c r="AB396" s="274">
        <f t="shared" ca="1" si="343"/>
        <v>0.3683033105684369</v>
      </c>
      <c r="AC396" s="274">
        <f t="shared" ca="1" si="343"/>
        <v>0.3683033105684369</v>
      </c>
      <c r="AD396" s="274">
        <f t="shared" ca="1" si="343"/>
        <v>0.3683033105684369</v>
      </c>
      <c r="AE396" s="274">
        <f t="shared" ca="1" si="343"/>
        <v>0.54380333307529205</v>
      </c>
      <c r="AF396" s="274">
        <f t="shared" ca="1" si="343"/>
        <v>0.62489715214409947</v>
      </c>
      <c r="AG396" s="275">
        <f t="shared" ca="1" si="343"/>
        <v>0.74370112368751484</v>
      </c>
      <c r="AH396" s="274">
        <f t="shared" ca="1" si="343"/>
        <v>0.48132514700004225</v>
      </c>
      <c r="AI396" s="274">
        <f t="shared" ca="1" si="343"/>
        <v>0.48132514700004225</v>
      </c>
      <c r="AJ396" s="274">
        <f t="shared" ca="1" si="343"/>
        <v>0.48132514700004225</v>
      </c>
      <c r="AK396" s="274">
        <f t="shared" ca="1" si="343"/>
        <v>0.68528456066479981</v>
      </c>
      <c r="AL396" s="274">
        <f t="shared" ca="1" si="343"/>
        <v>0.75899624952868938</v>
      </c>
      <c r="AM396" s="275">
        <f t="shared" ca="1" si="343"/>
        <v>0.47245573879277231</v>
      </c>
      <c r="AN396" s="274">
        <f t="shared" ca="1" si="343"/>
        <v>0.18937885033890833</v>
      </c>
      <c r="AO396" s="274">
        <f t="shared" ca="1" si="343"/>
        <v>0.18937885033890833</v>
      </c>
      <c r="AP396" s="274">
        <f t="shared" ca="1" si="343"/>
        <v>0.18937885033890833</v>
      </c>
      <c r="AQ396" s="274">
        <f t="shared" ca="1" si="343"/>
        <v>0.34410329840756587</v>
      </c>
      <c r="AR396" s="274">
        <f t="shared" ca="1" si="343"/>
        <v>0.42987882634421981</v>
      </c>
      <c r="AS396" s="275">
        <f t="shared" ca="1" si="343"/>
        <v>0.84209164933588021</v>
      </c>
      <c r="AT396" s="274">
        <f t="shared" ca="1" si="343"/>
        <v>0.53046341239240646</v>
      </c>
      <c r="AU396" s="274">
        <f t="shared" ca="1" si="343"/>
        <v>0.53046341239240646</v>
      </c>
      <c r="AV396" s="274">
        <f t="shared" ca="1" si="343"/>
        <v>0.53046341239240646</v>
      </c>
      <c r="AW396" s="274">
        <f t="shared" ca="1" si="343"/>
        <v>0.83115930050526121</v>
      </c>
      <c r="AX396" s="276">
        <f t="shared" ca="1" si="343"/>
        <v>0.88346292563258544</v>
      </c>
      <c r="AY396" s="1"/>
      <c r="AZ396" s="1"/>
      <c r="BA396" s="1"/>
      <c r="BB396" s="1"/>
    </row>
    <row r="397" spans="2:67" x14ac:dyDescent="0.25">
      <c r="B397" s="1343"/>
      <c r="D397" s="1355"/>
      <c r="F397" s="265"/>
      <c r="G397" s="209" t="s">
        <v>106</v>
      </c>
      <c r="H397" s="209"/>
      <c r="I397" s="274">
        <f t="shared" ca="1" si="315"/>
        <v>0.71193163991201891</v>
      </c>
      <c r="J397" s="274">
        <f t="shared" ref="J397" ca="1" si="344">(J271+J292+J313)/(J271+J292+J313+J334)</f>
        <v>0.29853655893173464</v>
      </c>
      <c r="K397" s="274">
        <f t="shared" ca="1" si="315"/>
        <v>0.29853655893173464</v>
      </c>
      <c r="L397" s="274">
        <f t="shared" ca="1" si="315"/>
        <v>0.29853655893173464</v>
      </c>
      <c r="M397" s="274">
        <f t="shared" ca="1" si="315"/>
        <v>0.47029769144125888</v>
      </c>
      <c r="N397" s="274">
        <f t="shared" ca="1" si="315"/>
        <v>0.56435088958306923</v>
      </c>
      <c r="O397" s="275">
        <f t="shared" ref="O397:AX397" ca="1" si="345">(O271+O292+O313)/(O271+O292+O313+O334)</f>
        <v>0.87101602206012629</v>
      </c>
      <c r="P397" s="274">
        <f t="shared" ca="1" si="345"/>
        <v>0.56068906417374242</v>
      </c>
      <c r="Q397" s="274">
        <f t="shared" ca="1" si="345"/>
        <v>0.56068906417374242</v>
      </c>
      <c r="R397" s="274">
        <f t="shared" ca="1" si="345"/>
        <v>0.56068906417374242</v>
      </c>
      <c r="S397" s="274">
        <f t="shared" ca="1" si="345"/>
        <v>0.7190754101531337</v>
      </c>
      <c r="T397" s="274">
        <f t="shared" ca="1" si="345"/>
        <v>0.77744256068742701</v>
      </c>
      <c r="U397" s="275">
        <f t="shared" ca="1" si="345"/>
        <v>0.98644834020201566</v>
      </c>
      <c r="V397" s="274">
        <f t="shared" ca="1" si="345"/>
        <v>0.92256047911171579</v>
      </c>
      <c r="W397" s="274">
        <f t="shared" ca="1" si="345"/>
        <v>0.92256047911171579</v>
      </c>
      <c r="X397" s="274">
        <f t="shared" ca="1" si="345"/>
        <v>0.92256047911171579</v>
      </c>
      <c r="Y397" s="274">
        <f t="shared" ca="1" si="345"/>
        <v>0.98618137661810135</v>
      </c>
      <c r="Z397" s="274">
        <f t="shared" ca="1" si="345"/>
        <v>0.99105989424566365</v>
      </c>
      <c r="AA397" s="275">
        <f t="shared" ca="1" si="345"/>
        <v>0.58258148547338318</v>
      </c>
      <c r="AB397" s="274">
        <f t="shared" ca="1" si="345"/>
        <v>0.35807413427908064</v>
      </c>
      <c r="AC397" s="274">
        <f t="shared" ca="1" si="345"/>
        <v>0.35807413427908064</v>
      </c>
      <c r="AD397" s="274">
        <f t="shared" ca="1" si="345"/>
        <v>0.35807413427908064</v>
      </c>
      <c r="AE397" s="274">
        <f t="shared" ca="1" si="345"/>
        <v>0.53849230940018777</v>
      </c>
      <c r="AF397" s="274">
        <f t="shared" ca="1" si="345"/>
        <v>0.62131390380481122</v>
      </c>
      <c r="AG397" s="275">
        <f t="shared" ca="1" si="345"/>
        <v>0.72995684512442838</v>
      </c>
      <c r="AH397" s="274">
        <f t="shared" ca="1" si="345"/>
        <v>0.47506732723525574</v>
      </c>
      <c r="AI397" s="274">
        <f t="shared" ca="1" si="345"/>
        <v>0.47506732723525574</v>
      </c>
      <c r="AJ397" s="274">
        <f t="shared" ca="1" si="345"/>
        <v>0.47506732723525574</v>
      </c>
      <c r="AK397" s="274">
        <f t="shared" ca="1" si="345"/>
        <v>0.68299151241869083</v>
      </c>
      <c r="AL397" s="274">
        <f t="shared" ca="1" si="345"/>
        <v>0.75765384257756163</v>
      </c>
      <c r="AM397" s="275">
        <f t="shared" ca="1" si="345"/>
        <v>0.42477471728458921</v>
      </c>
      <c r="AN397" s="274">
        <f t="shared" ca="1" si="345"/>
        <v>0.18926827970075097</v>
      </c>
      <c r="AO397" s="274">
        <f t="shared" ca="1" si="345"/>
        <v>0.18926827970075097</v>
      </c>
      <c r="AP397" s="274">
        <f t="shared" ca="1" si="345"/>
        <v>0.18926827970075097</v>
      </c>
      <c r="AQ397" s="274">
        <f t="shared" ca="1" si="345"/>
        <v>0.34403091091357324</v>
      </c>
      <c r="AR397" s="274">
        <f t="shared" ca="1" si="345"/>
        <v>0.42982413473261311</v>
      </c>
      <c r="AS397" s="275">
        <f t="shared" ca="1" si="345"/>
        <v>0.83858619660239231</v>
      </c>
      <c r="AT397" s="274">
        <f t="shared" ca="1" si="345"/>
        <v>0.52302323245537163</v>
      </c>
      <c r="AU397" s="274">
        <f t="shared" ca="1" si="345"/>
        <v>0.52302323245537163</v>
      </c>
      <c r="AV397" s="274">
        <f t="shared" ca="1" si="345"/>
        <v>0.52302323245537163</v>
      </c>
      <c r="AW397" s="274">
        <f t="shared" ca="1" si="345"/>
        <v>0.83020691248973544</v>
      </c>
      <c r="AX397" s="276">
        <f t="shared" ca="1" si="345"/>
        <v>0.88300999714610418</v>
      </c>
      <c r="AY397" s="1"/>
      <c r="AZ397" s="1"/>
      <c r="BA397" s="1"/>
      <c r="BB397" s="1"/>
    </row>
    <row r="398" spans="2:67" x14ac:dyDescent="0.25">
      <c r="B398" s="1343"/>
      <c r="D398" s="1355"/>
      <c r="F398" s="265"/>
      <c r="G398" s="209" t="s">
        <v>112</v>
      </c>
      <c r="H398" s="209"/>
      <c r="I398" s="274">
        <f t="shared" ca="1" si="315"/>
        <v>0.84327944634089491</v>
      </c>
      <c r="J398" s="274">
        <f t="shared" ref="J398" ca="1" si="346">(J272+J293+J314)/(J272+J293+J314+J335)</f>
        <v>0.29443865364940258</v>
      </c>
      <c r="K398" s="274">
        <f t="shared" ca="1" si="315"/>
        <v>0.29443865364940258</v>
      </c>
      <c r="L398" s="274">
        <f t="shared" ca="1" si="315"/>
        <v>0.29443865364940258</v>
      </c>
      <c r="M398" s="274">
        <f t="shared" ca="1" si="315"/>
        <v>0.46796426149949344</v>
      </c>
      <c r="N398" s="274">
        <f t="shared" ca="1" si="315"/>
        <v>0.56277376814221658</v>
      </c>
      <c r="O398" s="275">
        <f t="shared" ref="O398:AX398" ca="1" si="347">(O272+O293+O314)/(O272+O293+O314+O335)</f>
        <v>0.93564473135231119</v>
      </c>
      <c r="P398" s="274">
        <f t="shared" ca="1" si="347"/>
        <v>0.5591520912857163</v>
      </c>
      <c r="Q398" s="274">
        <f t="shared" ca="1" si="347"/>
        <v>0.5591520912857163</v>
      </c>
      <c r="R398" s="274">
        <f t="shared" ca="1" si="347"/>
        <v>0.5591520912857163</v>
      </c>
      <c r="S398" s="274">
        <f t="shared" ca="1" si="347"/>
        <v>0.71844770711406869</v>
      </c>
      <c r="T398" s="274">
        <f t="shared" ca="1" si="347"/>
        <v>0.77704877730812871</v>
      </c>
      <c r="U398" s="275">
        <f t="shared" ca="1" si="347"/>
        <v>0.98687605952533652</v>
      </c>
      <c r="V398" s="274">
        <f t="shared" ca="1" si="347"/>
        <v>0.92068202680914424</v>
      </c>
      <c r="W398" s="274">
        <f t="shared" ca="1" si="347"/>
        <v>0.92068202680914424</v>
      </c>
      <c r="X398" s="274">
        <f t="shared" ca="1" si="347"/>
        <v>0.92068202680914424</v>
      </c>
      <c r="Y398" s="274">
        <f t="shared" ca="1" si="347"/>
        <v>0.98612273111853432</v>
      </c>
      <c r="Z398" s="274">
        <f t="shared" ca="1" si="347"/>
        <v>0.99103538441935535</v>
      </c>
      <c r="AA398" s="275">
        <f t="shared" ca="1" si="347"/>
        <v>0.64314818126727591</v>
      </c>
      <c r="AB398" s="274">
        <f t="shared" ca="1" si="347"/>
        <v>0.35391756984047551</v>
      </c>
      <c r="AC398" s="274">
        <f t="shared" ca="1" si="347"/>
        <v>0.35391756984047551</v>
      </c>
      <c r="AD398" s="274">
        <f t="shared" ca="1" si="347"/>
        <v>0.35391756984047551</v>
      </c>
      <c r="AE398" s="274">
        <f t="shared" ca="1" si="347"/>
        <v>0.53634777507392284</v>
      </c>
      <c r="AF398" s="274">
        <f t="shared" ca="1" si="347"/>
        <v>0.61987121777732179</v>
      </c>
      <c r="AG398" s="275">
        <f t="shared" ca="1" si="347"/>
        <v>0.78822762111955225</v>
      </c>
      <c r="AH398" s="274">
        <f t="shared" ca="1" si="347"/>
        <v>0.47253849114594676</v>
      </c>
      <c r="AI398" s="274">
        <f t="shared" ca="1" si="347"/>
        <v>0.47253849114594676</v>
      </c>
      <c r="AJ398" s="274">
        <f t="shared" ca="1" si="347"/>
        <v>0.47253849114594676</v>
      </c>
      <c r="AK398" s="274">
        <f t="shared" ca="1" si="347"/>
        <v>0.6820710049203621</v>
      </c>
      <c r="AL398" s="274">
        <f t="shared" ca="1" si="347"/>
        <v>0.75711624052570026</v>
      </c>
      <c r="AM398" s="275">
        <f t="shared" ca="1" si="347"/>
        <v>0.52920935020482507</v>
      </c>
      <c r="AN398" s="274">
        <f t="shared" ca="1" si="347"/>
        <v>0.18722038975008237</v>
      </c>
      <c r="AO398" s="274">
        <f t="shared" ca="1" si="347"/>
        <v>0.18722038975008237</v>
      </c>
      <c r="AP398" s="274">
        <f t="shared" ca="1" si="347"/>
        <v>0.18722038975008237</v>
      </c>
      <c r="AQ398" s="274">
        <f t="shared" ca="1" si="347"/>
        <v>0.34269089587698293</v>
      </c>
      <c r="AR398" s="274">
        <f t="shared" ca="1" si="347"/>
        <v>0.42881198546423765</v>
      </c>
      <c r="AS398" s="275">
        <f t="shared" ca="1" si="347"/>
        <v>0.85132759155059079</v>
      </c>
      <c r="AT398" s="274">
        <f t="shared" ca="1" si="347"/>
        <v>0.51565432972929781</v>
      </c>
      <c r="AU398" s="274">
        <f t="shared" ca="1" si="347"/>
        <v>0.51565432972929781</v>
      </c>
      <c r="AV398" s="274">
        <f t="shared" ca="1" si="347"/>
        <v>0.51565432972929781</v>
      </c>
      <c r="AW398" s="274">
        <f t="shared" ca="1" si="347"/>
        <v>0.82928232359584686</v>
      </c>
      <c r="AX398" s="276">
        <f t="shared" ca="1" si="347"/>
        <v>0.88257179819076559</v>
      </c>
      <c r="AY398" s="1"/>
      <c r="AZ398" s="1"/>
      <c r="BA398" s="1"/>
      <c r="BB398" s="1"/>
    </row>
    <row r="399" spans="2:67" x14ac:dyDescent="0.25">
      <c r="B399" s="1343"/>
      <c r="D399" s="1355"/>
      <c r="F399" s="265"/>
      <c r="G399" s="209" t="s">
        <v>110</v>
      </c>
      <c r="H399" s="209"/>
      <c r="I399" s="274">
        <f t="shared" ref="I399:N403" ca="1" si="348">(I273+I294+I315)/(I273+I294+I315+I336)</f>
        <v>0.71153953799744329</v>
      </c>
      <c r="J399" s="274">
        <f t="shared" ref="J399" ca="1" si="349">(J273+J294+J315)/(J273+J294+J315+J336)</f>
        <v>0.29620703556940364</v>
      </c>
      <c r="K399" s="274">
        <f t="shared" ca="1" si="348"/>
        <v>0.29620703556940364</v>
      </c>
      <c r="L399" s="274">
        <f t="shared" ca="1" si="348"/>
        <v>0.29620703556940364</v>
      </c>
      <c r="M399" s="274">
        <f t="shared" ca="1" si="348"/>
        <v>0.46897039568217469</v>
      </c>
      <c r="N399" s="274">
        <f t="shared" ca="1" si="348"/>
        <v>0.56345349290592339</v>
      </c>
      <c r="O399" s="275">
        <f t="shared" ref="O399:AX399" ca="1" si="350">(O273+O294+O315)/(O273+O294+O315+O336)</f>
        <v>0.87094070083820674</v>
      </c>
      <c r="P399" s="274">
        <f t="shared" ca="1" si="350"/>
        <v>0.55981407949289352</v>
      </c>
      <c r="Q399" s="274">
        <f t="shared" ca="1" si="350"/>
        <v>0.55981407949289352</v>
      </c>
      <c r="R399" s="274">
        <f t="shared" ca="1" si="350"/>
        <v>0.55981407949289352</v>
      </c>
      <c r="S399" s="274">
        <f t="shared" ca="1" si="350"/>
        <v>0.71871787052467828</v>
      </c>
      <c r="T399" s="274">
        <f t="shared" ca="1" si="350"/>
        <v>0.77721821688359538</v>
      </c>
      <c r="U399" s="275">
        <f t="shared" ca="1" si="350"/>
        <v>0.98641636806562694</v>
      </c>
      <c r="V399" s="274">
        <f t="shared" ca="1" si="350"/>
        <v>0.92150470860800815</v>
      </c>
      <c r="W399" s="274">
        <f t="shared" ca="1" si="350"/>
        <v>0.92150470860800815</v>
      </c>
      <c r="X399" s="274">
        <f t="shared" ca="1" si="350"/>
        <v>0.92150470860800815</v>
      </c>
      <c r="Y399" s="274">
        <f t="shared" ca="1" si="350"/>
        <v>0.98614813084610164</v>
      </c>
      <c r="Z399" s="274">
        <f t="shared" ca="1" si="350"/>
        <v>0.99104599076762867</v>
      </c>
      <c r="AA399" s="275">
        <f t="shared" ca="1" si="350"/>
        <v>0.58158692920130084</v>
      </c>
      <c r="AB399" s="274">
        <f t="shared" ca="1" si="350"/>
        <v>0.35571901668069161</v>
      </c>
      <c r="AC399" s="274">
        <f t="shared" ca="1" si="350"/>
        <v>0.35571901668069161</v>
      </c>
      <c r="AD399" s="274">
        <f t="shared" ca="1" si="350"/>
        <v>0.35571901668069161</v>
      </c>
      <c r="AE399" s="274">
        <f t="shared" ca="1" si="350"/>
        <v>0.53727625462216499</v>
      </c>
      <c r="AF399" s="274">
        <f t="shared" ca="1" si="350"/>
        <v>0.62049553576879402</v>
      </c>
      <c r="AG399" s="275">
        <f t="shared" ca="1" si="350"/>
        <v>0.72957796246465334</v>
      </c>
      <c r="AH399" s="274">
        <f t="shared" ca="1" si="350"/>
        <v>0.47363374993505081</v>
      </c>
      <c r="AI399" s="274">
        <f t="shared" ca="1" si="350"/>
        <v>0.47363374993505081</v>
      </c>
      <c r="AJ399" s="274">
        <f t="shared" ca="1" si="350"/>
        <v>0.47363374993505081</v>
      </c>
      <c r="AK399" s="274">
        <f t="shared" ca="1" si="350"/>
        <v>0.68246925315676388</v>
      </c>
      <c r="AL399" s="274">
        <f t="shared" ca="1" si="350"/>
        <v>0.75734873839073369</v>
      </c>
      <c r="AM399" s="275">
        <f t="shared" ca="1" si="350"/>
        <v>0.42418967001157093</v>
      </c>
      <c r="AN399" s="274">
        <f t="shared" ca="1" si="350"/>
        <v>0.18810562637435821</v>
      </c>
      <c r="AO399" s="274">
        <f t="shared" ca="1" si="350"/>
        <v>0.18810562637435821</v>
      </c>
      <c r="AP399" s="274">
        <f t="shared" ca="1" si="350"/>
        <v>0.18810562637435821</v>
      </c>
      <c r="AQ399" s="274">
        <f t="shared" ca="1" si="350"/>
        <v>0.3432699825312695</v>
      </c>
      <c r="AR399" s="274">
        <f t="shared" ca="1" si="350"/>
        <v>0.42924931878298594</v>
      </c>
      <c r="AS399" s="275">
        <f t="shared" ca="1" si="350"/>
        <v>0.8381126289439258</v>
      </c>
      <c r="AT399" s="274">
        <f t="shared" ca="1" si="350"/>
        <v>0.51886419050134125</v>
      </c>
      <c r="AU399" s="274">
        <f t="shared" ca="1" si="350"/>
        <v>0.51886419050134125</v>
      </c>
      <c r="AV399" s="274">
        <f t="shared" ca="1" si="350"/>
        <v>0.51886419050134125</v>
      </c>
      <c r="AW399" s="274">
        <f t="shared" ca="1" si="350"/>
        <v>0.82968282130620541</v>
      </c>
      <c r="AX399" s="276">
        <f t="shared" ca="1" si="350"/>
        <v>0.88276142774474997</v>
      </c>
      <c r="AY399" s="1"/>
      <c r="AZ399" s="1"/>
      <c r="BA399" s="1"/>
      <c r="BB399" s="1"/>
    </row>
    <row r="400" spans="2:67" x14ac:dyDescent="0.25">
      <c r="B400" s="1343"/>
      <c r="D400" s="1355"/>
      <c r="F400" s="265"/>
      <c r="G400" s="209" t="s">
        <v>100</v>
      </c>
      <c r="H400" s="209"/>
      <c r="I400" s="274">
        <f t="shared" ca="1" si="348"/>
        <v>0.7350361404704735</v>
      </c>
      <c r="J400" s="274">
        <f t="shared" ref="J400" ca="1" si="351">(J274+J295+J316)/(J274+J295+J316+J337)</f>
        <v>0.29575718813385632</v>
      </c>
      <c r="K400" s="274">
        <f t="shared" ca="1" si="348"/>
        <v>0.29575718813385632</v>
      </c>
      <c r="L400" s="274">
        <f t="shared" ca="1" si="348"/>
        <v>0.29575718813385632</v>
      </c>
      <c r="M400" s="274">
        <f t="shared" ca="1" si="348"/>
        <v>0.46871433391566575</v>
      </c>
      <c r="N400" s="274">
        <f t="shared" ca="1" si="348"/>
        <v>0.56328045906522639</v>
      </c>
      <c r="O400" s="275">
        <f t="shared" ref="O400:AX400" ca="1" si="352">(O274+O295+O316)/(O274+O295+O316+O337)</f>
        <v>0.88336654515094903</v>
      </c>
      <c r="P400" s="274">
        <f t="shared" ca="1" si="352"/>
        <v>0.57605601590958577</v>
      </c>
      <c r="Q400" s="274">
        <f t="shared" ca="1" si="352"/>
        <v>0.57605601590958577</v>
      </c>
      <c r="R400" s="274">
        <f t="shared" ca="1" si="352"/>
        <v>0.57605601590958577</v>
      </c>
      <c r="S400" s="274">
        <f t="shared" ca="1" si="352"/>
        <v>0.72543948204424569</v>
      </c>
      <c r="T400" s="274">
        <f t="shared" ca="1" si="352"/>
        <v>0.78145574173636645</v>
      </c>
      <c r="U400" s="275">
        <f t="shared" ca="1" si="352"/>
        <v>0.98653737409145625</v>
      </c>
      <c r="V400" s="274">
        <f t="shared" ca="1" si="352"/>
        <v>0.92242568105623313</v>
      </c>
      <c r="W400" s="274">
        <f t="shared" ca="1" si="352"/>
        <v>0.92242568105623313</v>
      </c>
      <c r="X400" s="274">
        <f t="shared" ca="1" si="352"/>
        <v>0.92242568105623313</v>
      </c>
      <c r="Y400" s="274">
        <f t="shared" ca="1" si="352"/>
        <v>0.98617709046929514</v>
      </c>
      <c r="Z400" s="274">
        <f t="shared" ca="1" si="352"/>
        <v>0.99105810043978848</v>
      </c>
      <c r="AA400" s="275">
        <f t="shared" ca="1" si="352"/>
        <v>0.60368566097621479</v>
      </c>
      <c r="AB400" s="274">
        <f t="shared" ca="1" si="352"/>
        <v>0.36417064937365096</v>
      </c>
      <c r="AC400" s="274">
        <f t="shared" ca="1" si="352"/>
        <v>0.36417064937365096</v>
      </c>
      <c r="AD400" s="274">
        <f t="shared" ca="1" si="352"/>
        <v>0.36417064937365096</v>
      </c>
      <c r="AE400" s="274">
        <f t="shared" ca="1" si="352"/>
        <v>0.54165189834707028</v>
      </c>
      <c r="AF400" s="274">
        <f t="shared" ca="1" si="352"/>
        <v>0.62344383380148882</v>
      </c>
      <c r="AG400" s="275">
        <f t="shared" ca="1" si="352"/>
        <v>0.74308382429877828</v>
      </c>
      <c r="AH400" s="274">
        <f t="shared" ca="1" si="352"/>
        <v>0.47879080654549289</v>
      </c>
      <c r="AI400" s="274">
        <f t="shared" ca="1" si="352"/>
        <v>0.47879080654549289</v>
      </c>
      <c r="AJ400" s="274">
        <f t="shared" ca="1" si="352"/>
        <v>0.47879080654549289</v>
      </c>
      <c r="AK400" s="274">
        <f t="shared" ca="1" si="352"/>
        <v>0.6843532876571613</v>
      </c>
      <c r="AL400" s="274">
        <f t="shared" ca="1" si="352"/>
        <v>0.75845050721596052</v>
      </c>
      <c r="AM400" s="275">
        <f t="shared" ca="1" si="352"/>
        <v>0.47184363502920401</v>
      </c>
      <c r="AN400" s="274">
        <f t="shared" ca="1" si="352"/>
        <v>0.18793269953775246</v>
      </c>
      <c r="AO400" s="274">
        <f t="shared" ca="1" si="352"/>
        <v>0.18793269953775246</v>
      </c>
      <c r="AP400" s="274">
        <f t="shared" ca="1" si="352"/>
        <v>0.18793269953775246</v>
      </c>
      <c r="AQ400" s="274">
        <f t="shared" ca="1" si="352"/>
        <v>0.34315684169358129</v>
      </c>
      <c r="AR400" s="274">
        <f t="shared" ca="1" si="352"/>
        <v>0.42916386550299102</v>
      </c>
      <c r="AS400" s="275">
        <f t="shared" ca="1" si="352"/>
        <v>0.84182485894984349</v>
      </c>
      <c r="AT400" s="274">
        <f t="shared" ca="1" si="352"/>
        <v>0.528096679096559</v>
      </c>
      <c r="AU400" s="274">
        <f t="shared" ca="1" si="352"/>
        <v>0.528096679096559</v>
      </c>
      <c r="AV400" s="274">
        <f t="shared" ca="1" si="352"/>
        <v>0.528096679096559</v>
      </c>
      <c r="AW400" s="274">
        <f t="shared" ca="1" si="352"/>
        <v>0.83085425469221585</v>
      </c>
      <c r="AX400" s="276">
        <f t="shared" ca="1" si="352"/>
        <v>0.88331768236677688</v>
      </c>
      <c r="AY400" s="1"/>
      <c r="AZ400" s="1"/>
      <c r="BA400" s="1"/>
      <c r="BB400" s="1"/>
    </row>
    <row r="401" spans="2:58" x14ac:dyDescent="0.25">
      <c r="B401" s="1343"/>
      <c r="D401" s="1355"/>
      <c r="F401" s="265"/>
      <c r="G401" s="256" t="s">
        <v>101</v>
      </c>
      <c r="H401" s="209"/>
      <c r="I401" s="277">
        <f t="shared" ca="1" si="348"/>
        <v>0.7717744044976208</v>
      </c>
      <c r="J401" s="277">
        <f t="shared" ref="J401" ca="1" si="353">(J275+J296+J317)/(J275+J296+J317+J338)</f>
        <v>0.29564738931112627</v>
      </c>
      <c r="K401" s="277">
        <f t="shared" ca="1" si="348"/>
        <v>0.29564738931112627</v>
      </c>
      <c r="L401" s="277">
        <f t="shared" ca="1" si="348"/>
        <v>0.29564738931112627</v>
      </c>
      <c r="M401" s="277">
        <f t="shared" ca="1" si="348"/>
        <v>0.46865184652258174</v>
      </c>
      <c r="N401" s="277">
        <f t="shared" ca="1" si="348"/>
        <v>0.56323823769081971</v>
      </c>
      <c r="O401" s="278">
        <f t="shared" ref="O401:AX401" ca="1" si="354">(O275+O296+O317)/(O275+O296+O317+O338)</f>
        <v>0.9013852668692286</v>
      </c>
      <c r="P401" s="277">
        <f t="shared" ca="1" si="354"/>
        <v>0.57471364749275078</v>
      </c>
      <c r="Q401" s="277">
        <f t="shared" ca="1" si="354"/>
        <v>0.57471364749275078</v>
      </c>
      <c r="R401" s="277">
        <f t="shared" ca="1" si="354"/>
        <v>0.57471364749275078</v>
      </c>
      <c r="S401" s="277">
        <f t="shared" ca="1" si="354"/>
        <v>0.72487708029927556</v>
      </c>
      <c r="T401" s="277">
        <f t="shared" ca="1" si="354"/>
        <v>0.78109956312898066</v>
      </c>
      <c r="U401" s="278">
        <f t="shared" ca="1" si="354"/>
        <v>0.98666061442213704</v>
      </c>
      <c r="V401" s="277">
        <f t="shared" ca="1" si="354"/>
        <v>0.92208372239435821</v>
      </c>
      <c r="W401" s="277">
        <f t="shared" ca="1" si="354"/>
        <v>0.92208372239435821</v>
      </c>
      <c r="X401" s="277">
        <f t="shared" ca="1" si="354"/>
        <v>0.92208372239435821</v>
      </c>
      <c r="Y401" s="277">
        <f t="shared" ca="1" si="354"/>
        <v>0.98616627199196294</v>
      </c>
      <c r="Z401" s="277">
        <f t="shared" ca="1" si="354"/>
        <v>0.99105357452078602</v>
      </c>
      <c r="AA401" s="278">
        <f t="shared" ca="1" si="354"/>
        <v>0.6235956303376623</v>
      </c>
      <c r="AB401" s="277">
        <f t="shared" ca="1" si="354"/>
        <v>0.36333883578283205</v>
      </c>
      <c r="AC401" s="277">
        <f t="shared" ca="1" si="354"/>
        <v>0.36333883578283205</v>
      </c>
      <c r="AD401" s="277">
        <f t="shared" ca="1" si="354"/>
        <v>0.36333883578283205</v>
      </c>
      <c r="AE401" s="277">
        <f t="shared" ca="1" si="354"/>
        <v>0.54121980539800829</v>
      </c>
      <c r="AF401" s="277">
        <f t="shared" ca="1" si="354"/>
        <v>0.6231522436988074</v>
      </c>
      <c r="AG401" s="278">
        <f t="shared" ca="1" si="354"/>
        <v>0.7594035819532281</v>
      </c>
      <c r="AH401" s="277">
        <f t="shared" ca="1" si="354"/>
        <v>0.47828170750415611</v>
      </c>
      <c r="AI401" s="277">
        <f t="shared" ca="1" si="354"/>
        <v>0.47828170750415611</v>
      </c>
      <c r="AJ401" s="277">
        <f t="shared" ca="1" si="354"/>
        <v>0.47828170750415611</v>
      </c>
      <c r="AK401" s="277">
        <f t="shared" ca="1" si="354"/>
        <v>0.68416664392378079</v>
      </c>
      <c r="AL401" s="277">
        <f t="shared" ca="1" si="354"/>
        <v>0.75834122163807838</v>
      </c>
      <c r="AM401" s="278">
        <f t="shared" ca="1" si="354"/>
        <v>0.51390289758555241</v>
      </c>
      <c r="AN401" s="277">
        <f t="shared" ca="1" si="354"/>
        <v>0.18768626077867476</v>
      </c>
      <c r="AO401" s="277">
        <f t="shared" ca="1" si="354"/>
        <v>0.18768626077867476</v>
      </c>
      <c r="AP401" s="277">
        <f t="shared" ca="1" si="354"/>
        <v>0.18768626077867476</v>
      </c>
      <c r="AQ401" s="277">
        <f t="shared" ca="1" si="354"/>
        <v>0.34299562012702972</v>
      </c>
      <c r="AR401" s="277">
        <f t="shared" ca="1" si="354"/>
        <v>0.42904210435585011</v>
      </c>
      <c r="AS401" s="278">
        <f t="shared" ca="1" si="354"/>
        <v>0.84505178800804837</v>
      </c>
      <c r="AT401" s="277">
        <f t="shared" ca="1" si="354"/>
        <v>0.52405121986933412</v>
      </c>
      <c r="AU401" s="277">
        <f t="shared" ca="1" si="354"/>
        <v>0.52405121986933412</v>
      </c>
      <c r="AV401" s="277">
        <f t="shared" ca="1" si="354"/>
        <v>0.52405121986933412</v>
      </c>
      <c r="AW401" s="277">
        <f t="shared" ca="1" si="354"/>
        <v>0.83033736023557447</v>
      </c>
      <c r="AX401" s="279">
        <f t="shared" ca="1" si="354"/>
        <v>0.88307194094632657</v>
      </c>
      <c r="AY401" s="1"/>
      <c r="AZ401" s="1"/>
      <c r="BA401" s="1"/>
      <c r="BB401" s="1"/>
    </row>
    <row r="402" spans="2:58" x14ac:dyDescent="0.25">
      <c r="B402" s="1343"/>
      <c r="D402" s="1355"/>
      <c r="F402" s="265"/>
      <c r="G402" s="209" t="s">
        <v>630</v>
      </c>
      <c r="H402" s="209"/>
      <c r="I402" s="274">
        <f t="shared" ca="1" si="348"/>
        <v>0.86373464546471468</v>
      </c>
      <c r="J402" s="274">
        <f t="shared" ref="J402" ca="1" si="355">(J276+J297+J318)/(J276+J297+J318+J339)</f>
        <v>0.7715032001759462</v>
      </c>
      <c r="K402" s="274">
        <f t="shared" ca="1" si="348"/>
        <v>0.7715032001759462</v>
      </c>
      <c r="L402" s="274">
        <f t="shared" ca="1" si="348"/>
        <v>0.7715032001759462</v>
      </c>
      <c r="M402" s="274">
        <f t="shared" ca="1" si="348"/>
        <v>0.76915342922420116</v>
      </c>
      <c r="N402" s="274">
        <f t="shared" ca="1" si="348"/>
        <v>0.83921899211177675</v>
      </c>
      <c r="O402" s="275">
        <f t="shared" ref="O402:AX402" ca="1" si="356">(O276+O297+O318)/(O276+O297+O318+O339)</f>
        <v>0.97382387555847971</v>
      </c>
      <c r="P402" s="274">
        <f t="shared" ca="1" si="356"/>
        <v>0.96744222546769654</v>
      </c>
      <c r="Q402" s="274">
        <f t="shared" ca="1" si="356"/>
        <v>0.96744222546769654</v>
      </c>
      <c r="R402" s="274">
        <f t="shared" ca="1" si="356"/>
        <v>0.96744222546769654</v>
      </c>
      <c r="S402" s="274">
        <f t="shared" ca="1" si="356"/>
        <v>0.96702128258427511</v>
      </c>
      <c r="T402" s="274">
        <f t="shared" ca="1" si="356"/>
        <v>0.97869439714177187</v>
      </c>
      <c r="U402" s="275">
        <f t="shared" ca="1" si="356"/>
        <v>0.99136131223928758</v>
      </c>
      <c r="V402" s="274">
        <f t="shared" ca="1" si="356"/>
        <v>0.9912052304984923</v>
      </c>
      <c r="W402" s="274">
        <f t="shared" ca="1" si="356"/>
        <v>0.9912052304984923</v>
      </c>
      <c r="X402" s="274">
        <f t="shared" ca="1" si="356"/>
        <v>0.9912052304984923</v>
      </c>
      <c r="Y402" s="274">
        <f t="shared" ca="1" si="356"/>
        <v>0.99108869200201888</v>
      </c>
      <c r="Z402" s="274">
        <f t="shared" ca="1" si="356"/>
        <v>0.99429320331538429</v>
      </c>
      <c r="AA402" s="275">
        <f t="shared" ca="1" si="356"/>
        <v>0.95482045141412297</v>
      </c>
      <c r="AB402" s="274">
        <f t="shared" ca="1" si="356"/>
        <v>0.95401512317245185</v>
      </c>
      <c r="AC402" s="274">
        <f t="shared" ca="1" si="356"/>
        <v>0.95401512317245185</v>
      </c>
      <c r="AD402" s="274">
        <f t="shared" ca="1" si="356"/>
        <v>0.95401512317245185</v>
      </c>
      <c r="AE402" s="274">
        <f t="shared" ca="1" si="356"/>
        <v>0.95342893671033646</v>
      </c>
      <c r="AF402" s="274">
        <f t="shared" ca="1" si="356"/>
        <v>0.96976274805523055</v>
      </c>
      <c r="AG402" s="275">
        <f t="shared" ca="1" si="356"/>
        <v>0.95009891456146867</v>
      </c>
      <c r="AH402" s="274">
        <f t="shared" ca="1" si="356"/>
        <v>0.9473325633839389</v>
      </c>
      <c r="AI402" s="274">
        <f t="shared" ca="1" si="356"/>
        <v>0.9473325633839389</v>
      </c>
      <c r="AJ402" s="274">
        <f t="shared" ca="1" si="356"/>
        <v>0.9473325633839389</v>
      </c>
      <c r="AK402" s="274">
        <f t="shared" ca="1" si="356"/>
        <v>0.94666595408484777</v>
      </c>
      <c r="AL402" s="274">
        <f t="shared" ca="1" si="356"/>
        <v>0.96528537373663859</v>
      </c>
      <c r="AM402" s="275">
        <f t="shared" ca="1" si="356"/>
        <v>0.82323400489317722</v>
      </c>
      <c r="AN402" s="274">
        <f t="shared" ca="1" si="356"/>
        <v>0.80009444546303132</v>
      </c>
      <c r="AO402" s="274">
        <f t="shared" ca="1" si="356"/>
        <v>0.80009444546303132</v>
      </c>
      <c r="AP402" s="274">
        <f t="shared" ca="1" si="356"/>
        <v>0.80009444546303132</v>
      </c>
      <c r="AQ402" s="274">
        <f t="shared" ca="1" si="356"/>
        <v>0.79796169848337906</v>
      </c>
      <c r="AR402" s="274">
        <f t="shared" ca="1" si="356"/>
        <v>0.86086518812789881</v>
      </c>
      <c r="AS402" s="275">
        <f t="shared" ca="1" si="356"/>
        <v>0.92872498629442801</v>
      </c>
      <c r="AT402" s="274">
        <f t="shared" ca="1" si="356"/>
        <v>0.92579914695019028</v>
      </c>
      <c r="AU402" s="274">
        <f t="shared" ca="1" si="356"/>
        <v>0.92579914695019028</v>
      </c>
      <c r="AV402" s="274">
        <f t="shared" ca="1" si="356"/>
        <v>0.92579914695019028</v>
      </c>
      <c r="AW402" s="274">
        <f t="shared" ca="1" si="356"/>
        <v>0.92488160175254497</v>
      </c>
      <c r="AX402" s="276">
        <f t="shared" ca="1" si="356"/>
        <v>0.95071017061890717</v>
      </c>
      <c r="AY402" s="1"/>
      <c r="AZ402" s="1"/>
      <c r="BA402" s="1"/>
      <c r="BB402" s="1"/>
    </row>
    <row r="403" spans="2:58" x14ac:dyDescent="0.25">
      <c r="B403" s="1343"/>
      <c r="D403" s="1355"/>
      <c r="F403" s="268"/>
      <c r="G403" s="211" t="s">
        <v>631</v>
      </c>
      <c r="H403" s="209"/>
      <c r="I403" s="280">
        <f t="shared" ca="1" si="348"/>
        <v>0.84489677854721579</v>
      </c>
      <c r="J403" s="280">
        <f t="shared" ref="J403" ca="1" si="357">(J277+J298+J319)/(J277+J298+J319+J340)</f>
        <v>0.71312771858532154</v>
      </c>
      <c r="K403" s="280">
        <f t="shared" ca="1" si="348"/>
        <v>0.71312771858532154</v>
      </c>
      <c r="L403" s="280">
        <f t="shared" ca="1" si="348"/>
        <v>0.71312771858532154</v>
      </c>
      <c r="M403" s="280">
        <f t="shared" ca="1" si="348"/>
        <v>0.71040297407540454</v>
      </c>
      <c r="N403" s="280">
        <f t="shared" ca="1" si="348"/>
        <v>0.79351313039202709</v>
      </c>
      <c r="O403" s="281">
        <f t="shared" ref="O403:AX403" ca="1" si="358">(O277+O298+O319)/(O277+O298+O319+O340)</f>
        <v>0.96710315154433946</v>
      </c>
      <c r="P403" s="280">
        <f t="shared" ca="1" si="358"/>
        <v>0.95628832913067452</v>
      </c>
      <c r="Q403" s="280">
        <f t="shared" ca="1" si="358"/>
        <v>0.95628832913067452</v>
      </c>
      <c r="R403" s="280">
        <f t="shared" ca="1" si="358"/>
        <v>0.95628832913067452</v>
      </c>
      <c r="S403" s="280">
        <f t="shared" ca="1" si="358"/>
        <v>0.95572977540610193</v>
      </c>
      <c r="T403" s="280">
        <f t="shared" ca="1" si="358"/>
        <v>0.97128092391120102</v>
      </c>
      <c r="U403" s="281">
        <f t="shared" ca="1" si="358"/>
        <v>0.98841486514695898</v>
      </c>
      <c r="V403" s="280">
        <f t="shared" ca="1" si="358"/>
        <v>0.98809204569430631</v>
      </c>
      <c r="W403" s="280">
        <f t="shared" ca="1" si="358"/>
        <v>0.98809204569430631</v>
      </c>
      <c r="X403" s="280">
        <f t="shared" ca="1" si="358"/>
        <v>0.98809204569430631</v>
      </c>
      <c r="Y403" s="280">
        <f t="shared" ca="1" si="358"/>
        <v>0.98793475687505661</v>
      </c>
      <c r="Z403" s="280">
        <f t="shared" ca="1" si="358"/>
        <v>0.99226457294365755</v>
      </c>
      <c r="AA403" s="281">
        <f t="shared" ca="1" si="358"/>
        <v>0.94015220389524956</v>
      </c>
      <c r="AB403" s="280">
        <f t="shared" ca="1" si="358"/>
        <v>0.93855342947130238</v>
      </c>
      <c r="AC403" s="280">
        <f t="shared" ca="1" si="358"/>
        <v>0.93855342947130238</v>
      </c>
      <c r="AD403" s="280">
        <f t="shared" ca="1" si="358"/>
        <v>0.93855342947130238</v>
      </c>
      <c r="AE403" s="280">
        <f t="shared" ca="1" si="358"/>
        <v>0.93778300080637367</v>
      </c>
      <c r="AF403" s="280">
        <f t="shared" ca="1" si="358"/>
        <v>0.95937044765342827</v>
      </c>
      <c r="AG403" s="281">
        <f t="shared" ca="1" si="358"/>
        <v>0.93474445928285954</v>
      </c>
      <c r="AH403" s="280">
        <f t="shared" ca="1" si="358"/>
        <v>0.92978932463231123</v>
      </c>
      <c r="AI403" s="280">
        <f t="shared" ca="1" si="358"/>
        <v>0.92978932463231123</v>
      </c>
      <c r="AJ403" s="280">
        <f t="shared" ca="1" si="358"/>
        <v>0.92978932463231123</v>
      </c>
      <c r="AK403" s="280">
        <f t="shared" ca="1" si="358"/>
        <v>0.92891733234246043</v>
      </c>
      <c r="AL403" s="280">
        <f t="shared" ca="1" si="358"/>
        <v>0.95342813687550065</v>
      </c>
      <c r="AM403" s="281">
        <f t="shared" ca="1" si="358"/>
        <v>0.78290906019229889</v>
      </c>
      <c r="AN403" s="280">
        <f t="shared" ca="1" si="358"/>
        <v>0.74662445469123984</v>
      </c>
      <c r="AO403" s="280">
        <f t="shared" ca="1" si="358"/>
        <v>0.74662445469123984</v>
      </c>
      <c r="AP403" s="280">
        <f t="shared" ca="1" si="358"/>
        <v>0.74662445469123984</v>
      </c>
      <c r="AQ403" s="280">
        <f t="shared" ca="1" si="358"/>
        <v>0.7441036999749413</v>
      </c>
      <c r="AR403" s="280">
        <f t="shared" ca="1" si="358"/>
        <v>0.81999290152435556</v>
      </c>
      <c r="AS403" s="281">
        <f t="shared" ca="1" si="358"/>
        <v>0.90714713508652611</v>
      </c>
      <c r="AT403" s="280">
        <f t="shared" ca="1" si="358"/>
        <v>0.90182655707252068</v>
      </c>
      <c r="AU403" s="280">
        <f t="shared" ca="1" si="358"/>
        <v>0.90182655707252068</v>
      </c>
      <c r="AV403" s="280">
        <f t="shared" ca="1" si="358"/>
        <v>0.90182655707252068</v>
      </c>
      <c r="AW403" s="280">
        <f t="shared" ca="1" si="358"/>
        <v>0.90064438744585318</v>
      </c>
      <c r="AX403" s="282">
        <f t="shared" ca="1" si="358"/>
        <v>0.93421386625224556</v>
      </c>
      <c r="AY403" s="1"/>
      <c r="AZ403" s="1"/>
      <c r="BA403" s="1"/>
      <c r="BB403" s="1"/>
    </row>
    <row r="404" spans="2:58" x14ac:dyDescent="0.25">
      <c r="B404" s="1343"/>
      <c r="D404" s="1355"/>
      <c r="G404" s="292" t="s">
        <v>637</v>
      </c>
      <c r="P404" s="1"/>
      <c r="Q404" s="1"/>
      <c r="BB404" s="1"/>
      <c r="BC404" s="1"/>
      <c r="BD404" s="1"/>
      <c r="BE404" s="1"/>
      <c r="BF404" s="1"/>
    </row>
    <row r="405" spans="2:58" x14ac:dyDescent="0.25">
      <c r="B405" s="1343"/>
      <c r="D405" s="1355"/>
      <c r="G405" s="293" t="s">
        <v>639</v>
      </c>
      <c r="I405" s="570" t="s">
        <v>621</v>
      </c>
      <c r="J405" s="294" t="s">
        <v>622</v>
      </c>
      <c r="K405" s="294" t="s">
        <v>623</v>
      </c>
      <c r="L405" s="294" t="s">
        <v>624</v>
      </c>
      <c r="M405" s="294" t="s">
        <v>625</v>
      </c>
      <c r="N405" s="294" t="s">
        <v>626</v>
      </c>
      <c r="O405" s="295" t="s">
        <v>627</v>
      </c>
      <c r="P405" s="220" t="s">
        <v>638</v>
      </c>
      <c r="Q405" s="1"/>
      <c r="BB405" s="1"/>
      <c r="BC405" s="1"/>
      <c r="BD405" s="1"/>
      <c r="BE405" s="1"/>
      <c r="BF405" s="1"/>
    </row>
    <row r="406" spans="2:58" x14ac:dyDescent="0.25">
      <c r="B406" s="1343"/>
      <c r="D406" s="1355"/>
      <c r="G406" s="296" t="s">
        <v>91</v>
      </c>
      <c r="I406" s="374">
        <v>1.2999999999999999E-2</v>
      </c>
      <c r="J406" s="584">
        <v>2.2799999999999998</v>
      </c>
      <c r="K406" s="584">
        <v>3.9</v>
      </c>
      <c r="L406" s="597">
        <v>8.6199999999999992E-3</v>
      </c>
      <c r="M406" s="584">
        <v>0.19</v>
      </c>
      <c r="N406" s="584">
        <v>1</v>
      </c>
      <c r="O406" s="375">
        <v>24</v>
      </c>
      <c r="Q406" s="1"/>
      <c r="BB406" s="1"/>
      <c r="BC406" s="1"/>
      <c r="BD406" s="1"/>
      <c r="BE406" s="1"/>
      <c r="BF406" s="1"/>
    </row>
    <row r="407" spans="2:58" x14ac:dyDescent="0.25">
      <c r="B407" s="1343"/>
      <c r="D407" s="1355"/>
      <c r="G407" s="297" t="s">
        <v>101</v>
      </c>
      <c r="I407" s="376">
        <v>1.2999999999999999E-2</v>
      </c>
      <c r="J407" s="588">
        <v>2.2799999999999998</v>
      </c>
      <c r="K407" s="588">
        <v>4.0999999999999996</v>
      </c>
      <c r="L407" s="598">
        <v>8.6199999999999992E-3</v>
      </c>
      <c r="M407" s="588">
        <v>0.86</v>
      </c>
      <c r="N407" s="588">
        <v>0.1</v>
      </c>
      <c r="O407" s="377">
        <v>24.8</v>
      </c>
      <c r="Q407" s="1"/>
      <c r="BB407" s="1"/>
      <c r="BC407" s="1"/>
      <c r="BD407" s="1"/>
      <c r="BE407" s="1"/>
      <c r="BF407" s="1"/>
    </row>
    <row r="408" spans="2:58" x14ac:dyDescent="0.25">
      <c r="B408" s="1343"/>
      <c r="D408" s="1355"/>
      <c r="G408" s="297" t="s">
        <v>99</v>
      </c>
      <c r="I408" s="376">
        <v>1.2999999999999999E-2</v>
      </c>
      <c r="J408" s="588">
        <v>0.93</v>
      </c>
      <c r="K408" s="588">
        <v>3.11</v>
      </c>
      <c r="L408" s="598">
        <v>8.6199999999999992E-3</v>
      </c>
      <c r="M408" s="588">
        <v>0.86</v>
      </c>
      <c r="N408" s="588">
        <v>0.3</v>
      </c>
      <c r="O408" s="377">
        <v>28.8</v>
      </c>
      <c r="Q408" s="1"/>
      <c r="BB408" s="1"/>
      <c r="BC408" s="1"/>
      <c r="BD408" s="1"/>
      <c r="BE408" s="1"/>
      <c r="BF408" s="1"/>
    </row>
    <row r="409" spans="2:58" x14ac:dyDescent="0.25">
      <c r="B409" s="1343"/>
      <c r="D409" s="1355"/>
      <c r="G409" s="297" t="s">
        <v>98</v>
      </c>
      <c r="I409" s="376">
        <v>1.2999999999999999E-2</v>
      </c>
      <c r="J409" s="588">
        <v>2.2799999999999998</v>
      </c>
      <c r="K409" s="588">
        <v>3.6</v>
      </c>
      <c r="L409" s="598">
        <v>8.6199999999999992E-3</v>
      </c>
      <c r="M409" s="588">
        <v>0.86</v>
      </c>
      <c r="N409" s="588">
        <v>0.05</v>
      </c>
      <c r="O409" s="377">
        <v>24.7</v>
      </c>
      <c r="Q409" s="1"/>
      <c r="BB409" s="1"/>
      <c r="BC409" s="1"/>
      <c r="BD409" s="1"/>
      <c r="BE409" s="1"/>
      <c r="BF409" s="1"/>
    </row>
    <row r="410" spans="2:58" x14ac:dyDescent="0.25">
      <c r="B410" s="1343"/>
      <c r="D410" s="1355"/>
      <c r="G410" s="297" t="s">
        <v>100</v>
      </c>
      <c r="I410" s="376">
        <v>1.2999999999999999E-2</v>
      </c>
      <c r="J410" s="588">
        <v>2.2799999999999998</v>
      </c>
      <c r="K410" s="588">
        <v>4.7</v>
      </c>
      <c r="L410" s="598">
        <v>8.6199999999999992E-3</v>
      </c>
      <c r="M410" s="588">
        <v>0.86</v>
      </c>
      <c r="N410" s="588">
        <v>0.14000000000000001</v>
      </c>
      <c r="O410" s="377">
        <v>34</v>
      </c>
      <c r="Q410" s="1"/>
      <c r="BB410" s="1"/>
      <c r="BC410" s="1"/>
      <c r="BD410" s="1"/>
      <c r="BE410" s="1"/>
      <c r="BF410" s="1"/>
    </row>
    <row r="411" spans="2:58" x14ac:dyDescent="0.25">
      <c r="B411" s="1343"/>
      <c r="D411" s="1355"/>
      <c r="G411" s="297" t="s">
        <v>97</v>
      </c>
      <c r="I411" s="376">
        <v>0.52</v>
      </c>
      <c r="J411" s="588">
        <v>0.24</v>
      </c>
      <c r="K411" s="588">
        <v>1.58</v>
      </c>
      <c r="L411" s="598">
        <v>0.01</v>
      </c>
      <c r="M411" s="588">
        <v>0.86</v>
      </c>
      <c r="N411" s="588">
        <v>1.3</v>
      </c>
      <c r="O411" s="377">
        <v>21.6</v>
      </c>
      <c r="Q411" s="1"/>
      <c r="BB411" s="1"/>
      <c r="BC411" s="1"/>
      <c r="BD411" s="1"/>
      <c r="BE411" s="1"/>
      <c r="BF411" s="1"/>
    </row>
    <row r="412" spans="2:58" x14ac:dyDescent="0.25">
      <c r="B412" s="1343"/>
      <c r="D412" s="1355"/>
      <c r="G412" s="297" t="s">
        <v>628</v>
      </c>
      <c r="I412" s="376">
        <v>0.52</v>
      </c>
      <c r="J412" s="588">
        <v>0.24</v>
      </c>
      <c r="K412" s="588">
        <v>1.58</v>
      </c>
      <c r="L412" s="598">
        <v>0.01</v>
      </c>
      <c r="M412" s="588">
        <v>0.86</v>
      </c>
      <c r="N412" s="588">
        <v>1.3</v>
      </c>
      <c r="O412" s="377">
        <v>21.6</v>
      </c>
      <c r="Q412" s="1"/>
      <c r="BB412" s="1"/>
      <c r="BC412" s="1"/>
      <c r="BD412" s="1"/>
      <c r="BE412" s="1"/>
      <c r="BF412" s="1"/>
    </row>
    <row r="413" spans="2:58" x14ac:dyDescent="0.25">
      <c r="B413" s="1343"/>
      <c r="D413" s="1355"/>
      <c r="G413" s="297" t="s">
        <v>104</v>
      </c>
      <c r="I413" s="376">
        <v>0.02</v>
      </c>
      <c r="J413" s="588">
        <v>1.4</v>
      </c>
      <c r="K413" s="588">
        <v>8.0299999999999994</v>
      </c>
      <c r="L413" s="598">
        <v>1.2999999999999999E-2</v>
      </c>
      <c r="M413" s="588">
        <v>0.86</v>
      </c>
      <c r="N413" s="588">
        <v>0.4</v>
      </c>
      <c r="O413" s="377">
        <v>33.700000000000003</v>
      </c>
      <c r="Q413" s="1"/>
      <c r="BB413" s="1"/>
      <c r="BC413" s="1"/>
      <c r="BD413" s="1"/>
      <c r="BE413" s="1"/>
      <c r="BF413" s="1"/>
    </row>
    <row r="414" spans="2:58" x14ac:dyDescent="0.25">
      <c r="B414" s="1343"/>
      <c r="D414" s="1355"/>
      <c r="G414" s="297" t="s">
        <v>109</v>
      </c>
      <c r="I414" s="376">
        <v>0.02</v>
      </c>
      <c r="J414" s="588">
        <v>1.4</v>
      </c>
      <c r="K414" s="588">
        <v>4.4000000000000004</v>
      </c>
      <c r="L414" s="598">
        <v>1.2999999999999999E-2</v>
      </c>
      <c r="M414" s="588">
        <v>1</v>
      </c>
      <c r="N414" s="588">
        <v>0.4</v>
      </c>
      <c r="O414" s="377">
        <v>46.5</v>
      </c>
      <c r="Q414" s="1"/>
      <c r="BB414" s="1"/>
      <c r="BC414" s="1"/>
      <c r="BD414" s="1"/>
      <c r="BE414" s="1"/>
      <c r="BF414" s="1"/>
    </row>
    <row r="415" spans="2:58" x14ac:dyDescent="0.25">
      <c r="B415" s="1343"/>
      <c r="D415" s="1355"/>
      <c r="G415" s="297" t="s">
        <v>110</v>
      </c>
      <c r="I415" s="376">
        <v>0.1</v>
      </c>
      <c r="J415" s="588">
        <v>0.5</v>
      </c>
      <c r="K415" s="588">
        <v>12.62</v>
      </c>
      <c r="L415" s="598">
        <v>8.6199999999999992E-3</v>
      </c>
      <c r="M415" s="588">
        <v>0.86</v>
      </c>
      <c r="N415" s="588">
        <v>1</v>
      </c>
      <c r="O415" s="377">
        <v>49.6</v>
      </c>
      <c r="Q415" s="1"/>
      <c r="BB415" s="1"/>
      <c r="BC415" s="1"/>
      <c r="BD415" s="1"/>
      <c r="BE415" s="1"/>
      <c r="BF415" s="1"/>
    </row>
    <row r="416" spans="2:58" x14ac:dyDescent="0.25">
      <c r="B416" s="1343"/>
      <c r="D416" s="1355"/>
      <c r="G416" s="297" t="s">
        <v>108</v>
      </c>
      <c r="I416" s="376">
        <v>0.1</v>
      </c>
      <c r="J416" s="588">
        <v>0.5</v>
      </c>
      <c r="K416" s="588">
        <v>12.62</v>
      </c>
      <c r="L416" s="598">
        <v>8.6199999999999992E-3</v>
      </c>
      <c r="M416" s="588">
        <v>0.86</v>
      </c>
      <c r="N416" s="588">
        <v>1</v>
      </c>
      <c r="O416" s="377">
        <v>49.6</v>
      </c>
      <c r="Q416" s="1"/>
      <c r="BB416" s="1"/>
      <c r="BC416" s="1"/>
      <c r="BD416" s="1"/>
      <c r="BE416" s="1"/>
      <c r="BF416" s="1"/>
    </row>
    <row r="417" spans="2:67" x14ac:dyDescent="0.25">
      <c r="B417" s="1343"/>
      <c r="D417" s="1355"/>
      <c r="G417" s="297" t="s">
        <v>629</v>
      </c>
      <c r="I417" s="376">
        <v>0.02</v>
      </c>
      <c r="J417" s="588">
        <v>1.4</v>
      </c>
      <c r="K417" s="588">
        <v>8.0299999999999994</v>
      </c>
      <c r="L417" s="598">
        <v>1.2999999999999999E-2</v>
      </c>
      <c r="M417" s="588">
        <v>0.86</v>
      </c>
      <c r="N417" s="588">
        <v>0.4</v>
      </c>
      <c r="O417" s="377">
        <v>33.700000000000003</v>
      </c>
      <c r="Q417" s="1"/>
      <c r="BB417" s="1"/>
      <c r="BC417" s="1"/>
      <c r="BD417" s="1"/>
      <c r="BE417" s="1"/>
      <c r="BF417" s="1"/>
    </row>
    <row r="418" spans="2:67" x14ac:dyDescent="0.25">
      <c r="B418" s="1343"/>
      <c r="D418" s="1355"/>
      <c r="G418" s="297" t="s">
        <v>105</v>
      </c>
      <c r="I418" s="376">
        <v>0.03</v>
      </c>
      <c r="J418" s="588">
        <v>0.5</v>
      </c>
      <c r="K418" s="588">
        <v>0.5</v>
      </c>
      <c r="L418" s="598">
        <v>2E-3</v>
      </c>
      <c r="M418" s="588">
        <v>0.14000000000000001</v>
      </c>
      <c r="N418" s="588">
        <v>0.54</v>
      </c>
      <c r="O418" s="377">
        <v>4</v>
      </c>
      <c r="Q418" s="1"/>
      <c r="BB418" s="1"/>
      <c r="BC418" s="1"/>
      <c r="BD418" s="1"/>
      <c r="BE418" s="1"/>
      <c r="BF418" s="1"/>
    </row>
    <row r="419" spans="2:67" x14ac:dyDescent="0.25">
      <c r="B419" s="1343"/>
      <c r="D419" s="1355"/>
      <c r="G419" s="297" t="s">
        <v>111</v>
      </c>
      <c r="I419" s="376">
        <v>0.03</v>
      </c>
      <c r="J419" s="588">
        <v>0.4</v>
      </c>
      <c r="K419" s="588">
        <v>1.1000000000000001</v>
      </c>
      <c r="L419" s="598">
        <v>3.0000000000000001E-3</v>
      </c>
      <c r="M419" s="588">
        <v>0.25</v>
      </c>
      <c r="N419" s="588">
        <v>0.03</v>
      </c>
      <c r="O419" s="377">
        <v>2.9</v>
      </c>
      <c r="Q419" s="1"/>
      <c r="BB419" s="1"/>
      <c r="BC419" s="1"/>
      <c r="BD419" s="1"/>
      <c r="BE419" s="1"/>
      <c r="BF419" s="1"/>
    </row>
    <row r="420" spans="2:67" x14ac:dyDescent="0.25">
      <c r="B420" s="1343"/>
      <c r="D420" s="1355"/>
      <c r="G420" s="297" t="s">
        <v>112</v>
      </c>
      <c r="I420" s="376">
        <v>0.04</v>
      </c>
      <c r="J420" s="588">
        <v>0.22</v>
      </c>
      <c r="K420" s="588">
        <v>1.1000000000000001</v>
      </c>
      <c r="L420" s="598">
        <v>1.1000000000000001E-3</v>
      </c>
      <c r="M420" s="588">
        <v>9.4E-2</v>
      </c>
      <c r="N420" s="588">
        <v>0.154</v>
      </c>
      <c r="O420" s="377">
        <v>6.2</v>
      </c>
      <c r="Q420" s="1"/>
      <c r="BB420" s="1"/>
      <c r="BC420" s="1"/>
      <c r="BD420" s="1"/>
      <c r="BE420" s="1"/>
      <c r="BF420" s="1"/>
    </row>
    <row r="421" spans="2:67" x14ac:dyDescent="0.25">
      <c r="B421" s="1343"/>
      <c r="D421" s="1355"/>
      <c r="G421" s="297" t="s">
        <v>102</v>
      </c>
      <c r="I421" s="376">
        <v>0.02</v>
      </c>
      <c r="J421" s="588">
        <v>1.4</v>
      </c>
      <c r="K421" s="588">
        <v>8.0299999999999994</v>
      </c>
      <c r="L421" s="598">
        <v>1.2999999999999999E-2</v>
      </c>
      <c r="M421" s="588">
        <v>0.86</v>
      </c>
      <c r="N421" s="588">
        <v>0.4</v>
      </c>
      <c r="O421" s="377">
        <v>33.700000000000003</v>
      </c>
      <c r="Q421" s="1"/>
      <c r="BB421" s="1"/>
      <c r="BC421" s="1"/>
      <c r="BD421" s="1"/>
      <c r="BE421" s="1"/>
      <c r="BF421" s="1"/>
    </row>
    <row r="422" spans="2:67" x14ac:dyDescent="0.25">
      <c r="B422" s="1343"/>
      <c r="D422" s="1355"/>
      <c r="G422" s="297" t="s">
        <v>103</v>
      </c>
      <c r="I422" s="376">
        <v>0.03</v>
      </c>
      <c r="J422" s="588">
        <v>0.5</v>
      </c>
      <c r="K422" s="588">
        <v>0.5</v>
      </c>
      <c r="L422" s="598">
        <v>2E-3</v>
      </c>
      <c r="M422" s="588">
        <v>0.14000000000000001</v>
      </c>
      <c r="N422" s="588">
        <v>0.54</v>
      </c>
      <c r="O422" s="377">
        <v>4</v>
      </c>
      <c r="Q422" s="1"/>
      <c r="BB422" s="1"/>
      <c r="BC422" s="1"/>
      <c r="BD422" s="1"/>
      <c r="BE422" s="1"/>
      <c r="BF422" s="1"/>
    </row>
    <row r="423" spans="2:67" x14ac:dyDescent="0.25">
      <c r="B423" s="1343"/>
      <c r="D423" s="1355"/>
      <c r="G423" s="297" t="s">
        <v>106</v>
      </c>
      <c r="I423" s="376">
        <v>0.1</v>
      </c>
      <c r="J423" s="588">
        <v>0.5</v>
      </c>
      <c r="K423" s="588">
        <v>12.62</v>
      </c>
      <c r="L423" s="598">
        <v>8.6199999999999992E-3</v>
      </c>
      <c r="M423" s="588">
        <v>0.86</v>
      </c>
      <c r="N423" s="588">
        <v>1</v>
      </c>
      <c r="O423" s="377">
        <v>49.6</v>
      </c>
      <c r="Q423" s="1"/>
      <c r="BB423" s="1"/>
      <c r="BC423" s="1"/>
      <c r="BD423" s="1"/>
      <c r="BE423" s="1"/>
      <c r="BF423" s="1"/>
    </row>
    <row r="424" spans="2:67" x14ac:dyDescent="0.25">
      <c r="B424" s="1343"/>
      <c r="D424" s="1355"/>
      <c r="G424" s="298" t="s">
        <v>107</v>
      </c>
      <c r="I424" s="391">
        <v>0.1</v>
      </c>
      <c r="J424" s="392">
        <v>0.5</v>
      </c>
      <c r="K424" s="392">
        <v>12.62</v>
      </c>
      <c r="L424" s="599">
        <v>8.6199999999999992E-3</v>
      </c>
      <c r="M424" s="392">
        <v>0.86</v>
      </c>
      <c r="N424" s="392">
        <v>1</v>
      </c>
      <c r="O424" s="390">
        <v>49.6</v>
      </c>
      <c r="Q424" s="1"/>
      <c r="BB424" s="1"/>
      <c r="BC424" s="1"/>
      <c r="BD424" s="1"/>
      <c r="BE424" s="1"/>
      <c r="BF424" s="1"/>
    </row>
    <row r="425" spans="2:67" x14ac:dyDescent="0.25">
      <c r="B425" s="1343"/>
      <c r="D425" s="1355"/>
      <c r="G425" s="297" t="s">
        <v>630</v>
      </c>
      <c r="I425" s="376">
        <v>0.2</v>
      </c>
      <c r="J425" s="588">
        <v>0.6</v>
      </c>
      <c r="K425" s="588">
        <v>8.3000000000000007</v>
      </c>
      <c r="L425" s="598">
        <v>1.8800000000000001E-2</v>
      </c>
      <c r="M425" s="588">
        <v>3.9</v>
      </c>
      <c r="N425" s="588">
        <v>2.25</v>
      </c>
      <c r="O425" s="377">
        <v>44</v>
      </c>
      <c r="Q425" s="1"/>
      <c r="BB425" s="1"/>
      <c r="BC425" s="1"/>
      <c r="BD425" s="1"/>
      <c r="BE425" s="1"/>
      <c r="BF425" s="1"/>
    </row>
    <row r="426" spans="2:67" x14ac:dyDescent="0.25">
      <c r="B426" s="1343"/>
      <c r="D426" s="1355"/>
      <c r="G426" s="298" t="s">
        <v>631</v>
      </c>
      <c r="I426" s="391">
        <v>0.2</v>
      </c>
      <c r="J426" s="392">
        <v>0.6</v>
      </c>
      <c r="K426" s="392">
        <v>8.3000000000000007</v>
      </c>
      <c r="L426" s="599">
        <v>1.8800000000000001E-2</v>
      </c>
      <c r="M426" s="392">
        <v>3.9</v>
      </c>
      <c r="N426" s="392">
        <v>2.25</v>
      </c>
      <c r="O426" s="390">
        <v>44</v>
      </c>
      <c r="Q426" s="1"/>
      <c r="BB426" s="1"/>
      <c r="BC426" s="1"/>
      <c r="BD426" s="1"/>
      <c r="BE426" s="1"/>
      <c r="BF426" s="1"/>
    </row>
    <row r="427" spans="2:67" s="220" customFormat="1" x14ac:dyDescent="0.25">
      <c r="B427" s="1343"/>
      <c r="D427" s="1355"/>
      <c r="F427" s="1"/>
      <c r="G427" s="1"/>
      <c r="H427" s="1" t="s">
        <v>268</v>
      </c>
      <c r="I427" s="1"/>
      <c r="J427" s="1"/>
      <c r="K427" s="1"/>
      <c r="L427" s="1"/>
      <c r="M427" s="1"/>
      <c r="N427" s="1"/>
      <c r="O427" s="1"/>
      <c r="P427" s="1"/>
      <c r="Q427" s="1"/>
      <c r="R427" s="1"/>
      <c r="S427" s="215"/>
      <c r="T427" s="354"/>
      <c r="U427" s="354"/>
      <c r="V427" s="354"/>
      <c r="W427" s="354"/>
      <c r="X427" s="354"/>
      <c r="Y427" s="354"/>
      <c r="Z427" s="354"/>
      <c r="AA427" s="354"/>
      <c r="AB427" s="354"/>
      <c r="AC427" s="354"/>
      <c r="AD427" s="354"/>
      <c r="AE427" s="354"/>
      <c r="AF427" s="354"/>
      <c r="AG427" s="354"/>
      <c r="AH427" s="354"/>
      <c r="AI427" s="354"/>
      <c r="AJ427" s="354"/>
      <c r="AK427" s="354"/>
      <c r="AL427" s="354"/>
      <c r="AM427" s="1"/>
      <c r="AN427" s="1"/>
      <c r="AO427" s="1"/>
      <c r="AP427" s="1"/>
      <c r="AQ427" s="1"/>
      <c r="AR427" s="1"/>
      <c r="AS427" s="373"/>
      <c r="AT427" s="1"/>
      <c r="AU427" s="373"/>
      <c r="AX427" s="1"/>
      <c r="BG427" s="1"/>
      <c r="BH427" s="1"/>
      <c r="BI427" s="1"/>
      <c r="BJ427" s="1"/>
      <c r="BK427" s="1"/>
      <c r="BL427" s="1"/>
      <c r="BM427" s="1"/>
      <c r="BN427" s="1"/>
      <c r="BO427" s="1"/>
    </row>
    <row r="428" spans="2:67" s="220" customFormat="1" x14ac:dyDescent="0.25">
      <c r="B428" s="1343"/>
      <c r="D428" s="1355"/>
      <c r="F428" s="1"/>
      <c r="G428" s="1"/>
      <c r="H428" s="1" t="s">
        <v>268</v>
      </c>
      <c r="I428" s="570" t="s">
        <v>621</v>
      </c>
      <c r="J428" s="294" t="s">
        <v>622</v>
      </c>
      <c r="K428" s="294" t="s">
        <v>623</v>
      </c>
      <c r="L428" s="294" t="s">
        <v>624</v>
      </c>
      <c r="M428" s="294" t="s">
        <v>625</v>
      </c>
      <c r="N428" s="294" t="s">
        <v>626</v>
      </c>
      <c r="O428" s="295" t="s">
        <v>627</v>
      </c>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X428" s="1"/>
      <c r="BG428" s="1"/>
      <c r="BH428" s="1"/>
      <c r="BI428" s="1"/>
      <c r="BJ428" s="1"/>
      <c r="BK428" s="1"/>
      <c r="BL428" s="1"/>
      <c r="BM428" s="1"/>
      <c r="BN428" s="1"/>
      <c r="BO428" s="1"/>
    </row>
    <row r="429" spans="2:67" s="220" customFormat="1" x14ac:dyDescent="0.25">
      <c r="B429" s="1343"/>
      <c r="D429" s="1355"/>
      <c r="F429" s="1"/>
      <c r="G429" s="296" t="s">
        <v>681</v>
      </c>
      <c r="H429" s="1" t="s">
        <v>268</v>
      </c>
      <c r="I429" s="251">
        <v>50</v>
      </c>
      <c r="J429" s="250">
        <v>21200</v>
      </c>
      <c r="K429" s="250">
        <v>3600</v>
      </c>
      <c r="L429" s="250">
        <v>1.3</v>
      </c>
      <c r="M429" s="250">
        <v>0</v>
      </c>
      <c r="N429" s="250">
        <v>600</v>
      </c>
      <c r="O429" s="252">
        <v>33000</v>
      </c>
      <c r="Q429" s="1"/>
      <c r="R429" s="1"/>
      <c r="S429" s="1"/>
      <c r="AC429" s="1"/>
      <c r="AD429" s="1"/>
      <c r="AE429" s="1"/>
      <c r="AN429" s="1"/>
      <c r="AO429" s="1"/>
      <c r="AP429" s="1"/>
      <c r="AQ429" s="1"/>
      <c r="BG429" s="1"/>
      <c r="BH429" s="1"/>
      <c r="BI429" s="1"/>
      <c r="BJ429" s="1"/>
      <c r="BK429" s="1"/>
      <c r="BL429" s="1"/>
      <c r="BM429" s="1"/>
      <c r="BN429" s="1"/>
      <c r="BO429" s="1"/>
    </row>
    <row r="430" spans="2:67" s="220" customFormat="1" x14ac:dyDescent="0.25">
      <c r="B430" s="1343"/>
      <c r="D430" s="1356"/>
      <c r="F430" s="1"/>
      <c r="G430" s="298" t="s">
        <v>682</v>
      </c>
      <c r="H430" s="1" t="s">
        <v>268</v>
      </c>
      <c r="I430" s="261">
        <v>700</v>
      </c>
      <c r="J430" s="260">
        <v>3650</v>
      </c>
      <c r="K430" s="260">
        <v>2400</v>
      </c>
      <c r="L430" s="260">
        <v>50</v>
      </c>
      <c r="M430" s="260">
        <v>5475</v>
      </c>
      <c r="N430" s="260">
        <v>18700</v>
      </c>
      <c r="O430" s="262">
        <v>90400</v>
      </c>
      <c r="Q430" s="1"/>
      <c r="R430" s="1"/>
      <c r="S430" s="1"/>
      <c r="AC430" s="1"/>
      <c r="AD430" s="1"/>
      <c r="AE430" s="1"/>
      <c r="AN430" s="1"/>
      <c r="AO430" s="1"/>
      <c r="AP430" s="1"/>
      <c r="AQ430" s="1"/>
      <c r="BG430" s="1"/>
      <c r="BH430" s="1"/>
      <c r="BI430" s="1"/>
      <c r="BJ430" s="1"/>
      <c r="BK430" s="1"/>
      <c r="BL430" s="1"/>
      <c r="BM430" s="1"/>
      <c r="BN430" s="1"/>
      <c r="BO430" s="1"/>
    </row>
    <row r="431" spans="2:67" x14ac:dyDescent="0.25">
      <c r="B431" s="1343"/>
      <c r="BB431" s="1"/>
      <c r="BC431" s="1"/>
      <c r="BD431" s="1"/>
      <c r="BE431" s="1"/>
      <c r="BF431" s="1"/>
    </row>
    <row r="432" spans="2:67" ht="15" customHeight="1" x14ac:dyDescent="0.25">
      <c r="B432" s="1343"/>
      <c r="D432" s="1345" t="s">
        <v>782</v>
      </c>
      <c r="G432" s="293"/>
      <c r="I432" s="300" t="s">
        <v>640</v>
      </c>
      <c r="J432" s="299"/>
      <c r="K432" s="299"/>
      <c r="L432" s="299"/>
      <c r="M432" s="299"/>
      <c r="N432" s="299"/>
      <c r="O432" s="301"/>
      <c r="P432" s="300"/>
      <c r="Q432" s="299"/>
      <c r="R432" s="299"/>
      <c r="S432" s="301"/>
      <c r="T432" s="299" t="s">
        <v>641</v>
      </c>
      <c r="U432" s="299"/>
      <c r="V432" s="299"/>
      <c r="W432" s="299"/>
      <c r="X432" s="299"/>
      <c r="Y432" s="299"/>
      <c r="Z432" s="299"/>
      <c r="AA432" s="299"/>
      <c r="AB432" s="299"/>
      <c r="AC432" s="299"/>
      <c r="AD432" s="299"/>
      <c r="AE432" s="299"/>
      <c r="AF432" s="299"/>
      <c r="AG432" s="299"/>
      <c r="AH432" s="299"/>
      <c r="AI432" s="299"/>
      <c r="AJ432" s="299"/>
      <c r="AK432" s="299"/>
      <c r="AL432" s="299"/>
      <c r="AM432" s="299"/>
      <c r="AN432" s="301"/>
      <c r="AO432" s="1"/>
      <c r="AP432" s="1" t="s">
        <v>642</v>
      </c>
      <c r="AS432" s="1"/>
      <c r="AT432" s="1"/>
      <c r="AU432" s="1"/>
      <c r="AV432" s="1"/>
      <c r="AW432" s="1"/>
      <c r="AY432" s="1"/>
      <c r="BB432" s="1"/>
      <c r="BC432" s="1"/>
      <c r="BE432" s="1"/>
      <c r="BF432" s="1"/>
    </row>
    <row r="433" spans="2:58" x14ac:dyDescent="0.25">
      <c r="B433" s="1343"/>
      <c r="D433" s="1346"/>
      <c r="G433" s="293" t="s">
        <v>643</v>
      </c>
      <c r="H433" s="1" t="s">
        <v>268</v>
      </c>
      <c r="I433" s="570" t="s">
        <v>621</v>
      </c>
      <c r="J433" s="294" t="s">
        <v>622</v>
      </c>
      <c r="K433" s="294" t="s">
        <v>623</v>
      </c>
      <c r="L433" s="294" t="s">
        <v>624</v>
      </c>
      <c r="M433" s="294" t="s">
        <v>625</v>
      </c>
      <c r="N433" s="294" t="s">
        <v>626</v>
      </c>
      <c r="O433" s="295" t="s">
        <v>627</v>
      </c>
      <c r="P433" s="300" t="s">
        <v>644</v>
      </c>
      <c r="Q433" s="299" t="s">
        <v>645</v>
      </c>
      <c r="R433" s="299" t="s">
        <v>646</v>
      </c>
      <c r="S433" s="301" t="s">
        <v>647</v>
      </c>
      <c r="T433" s="299" t="s">
        <v>91</v>
      </c>
      <c r="U433" s="299" t="s">
        <v>102</v>
      </c>
      <c r="V433" s="299" t="s">
        <v>103</v>
      </c>
      <c r="W433" s="299" t="s">
        <v>107</v>
      </c>
      <c r="X433" s="299" t="s">
        <v>104</v>
      </c>
      <c r="Y433" s="299" t="s">
        <v>97</v>
      </c>
      <c r="Z433" s="299" t="s">
        <v>628</v>
      </c>
      <c r="AA433" s="299" t="s">
        <v>108</v>
      </c>
      <c r="AB433" s="299" t="s">
        <v>98</v>
      </c>
      <c r="AC433" s="299" t="s">
        <v>629</v>
      </c>
      <c r="AD433" s="299" t="s">
        <v>105</v>
      </c>
      <c r="AE433" s="299" t="s">
        <v>111</v>
      </c>
      <c r="AF433" s="299" t="s">
        <v>109</v>
      </c>
      <c r="AG433" s="299" t="s">
        <v>99</v>
      </c>
      <c r="AH433" s="299" t="s">
        <v>106</v>
      </c>
      <c r="AI433" s="299" t="s">
        <v>112</v>
      </c>
      <c r="AJ433" s="299" t="s">
        <v>110</v>
      </c>
      <c r="AK433" s="299" t="s">
        <v>100</v>
      </c>
      <c r="AL433" s="301" t="s">
        <v>101</v>
      </c>
      <c r="AM433" s="300" t="s">
        <v>630</v>
      </c>
      <c r="AN433" s="301" t="s">
        <v>631</v>
      </c>
      <c r="AO433" s="1"/>
      <c r="AP433" s="302" t="s">
        <v>92</v>
      </c>
      <c r="AQ433" s="303" t="s">
        <v>122</v>
      </c>
      <c r="AS433" s="1"/>
      <c r="AT433" s="1"/>
      <c r="AU433" s="1"/>
      <c r="AV433" s="1"/>
      <c r="AW433" s="1"/>
      <c r="AY433" s="1"/>
      <c r="BE433" s="1"/>
      <c r="BF433" s="1"/>
    </row>
    <row r="434" spans="2:58" x14ac:dyDescent="0.25">
      <c r="B434" s="1343"/>
      <c r="D434" s="1346"/>
      <c r="G434" s="534" t="s">
        <v>648</v>
      </c>
      <c r="H434" s="1" t="s">
        <v>268</v>
      </c>
      <c r="I434" s="374">
        <v>2.7959999999999998</v>
      </c>
      <c r="J434" s="584">
        <v>36.301400000000001</v>
      </c>
      <c r="K434" s="584">
        <v>12.116</v>
      </c>
      <c r="L434" s="584">
        <v>4.6600000000000003E-2</v>
      </c>
      <c r="M434" s="584">
        <v>9.7393999999999998</v>
      </c>
      <c r="N434" s="584">
        <v>25.583400000000001</v>
      </c>
      <c r="O434" s="584">
        <v>94.597999999999999</v>
      </c>
      <c r="P434" s="585">
        <v>0.46600000000000003</v>
      </c>
      <c r="Q434" s="586">
        <v>0</v>
      </c>
      <c r="R434" s="586">
        <v>0</v>
      </c>
      <c r="S434" s="587">
        <v>0</v>
      </c>
      <c r="T434" s="304">
        <v>94.49</v>
      </c>
      <c r="U434" s="304">
        <v>10.83</v>
      </c>
      <c r="V434" s="304">
        <v>86.36</v>
      </c>
      <c r="W434" s="304">
        <v>24.63</v>
      </c>
      <c r="X434" s="304">
        <v>0</v>
      </c>
      <c r="Y434" s="304">
        <v>79.37</v>
      </c>
      <c r="Z434" s="304">
        <v>1.28</v>
      </c>
      <c r="AA434" s="304">
        <v>38.06</v>
      </c>
      <c r="AB434" s="304">
        <v>64.02</v>
      </c>
      <c r="AC434" s="304">
        <v>13.2</v>
      </c>
      <c r="AD434" s="304">
        <v>10.83</v>
      </c>
      <c r="AE434" s="304">
        <v>69.819999999999993</v>
      </c>
      <c r="AF434" s="304">
        <v>104</v>
      </c>
      <c r="AG434" s="304">
        <v>64.02</v>
      </c>
      <c r="AH434" s="304">
        <v>24.63</v>
      </c>
      <c r="AI434" s="304">
        <v>67.900000000000006</v>
      </c>
      <c r="AJ434" s="304">
        <v>24.63</v>
      </c>
      <c r="AK434" s="304">
        <v>64.02</v>
      </c>
      <c r="AL434" s="305">
        <v>97.51</v>
      </c>
      <c r="AM434" s="306">
        <v>5.42</v>
      </c>
      <c r="AN434" s="305">
        <v>97.27</v>
      </c>
      <c r="AO434" s="1"/>
      <c r="AP434" s="307">
        <v>1</v>
      </c>
      <c r="AQ434" s="308">
        <v>0</v>
      </c>
      <c r="AS434" s="1"/>
      <c r="AT434" s="310"/>
      <c r="AU434" s="310"/>
      <c r="AV434" s="1"/>
      <c r="AW434" s="1"/>
      <c r="AY434" s="1"/>
      <c r="BE434" s="1"/>
      <c r="BF434" s="1"/>
    </row>
    <row r="435" spans="2:58" x14ac:dyDescent="0.25">
      <c r="B435" s="1343"/>
      <c r="D435" s="1346"/>
      <c r="G435" s="534" t="s">
        <v>649</v>
      </c>
      <c r="H435" s="1" t="s">
        <v>268</v>
      </c>
      <c r="I435" s="376">
        <v>1.8</v>
      </c>
      <c r="J435" s="588">
        <v>23.37</v>
      </c>
      <c r="K435" s="588">
        <v>7.8</v>
      </c>
      <c r="L435" s="588">
        <v>0.03</v>
      </c>
      <c r="M435" s="588">
        <v>6.27</v>
      </c>
      <c r="N435" s="588">
        <v>16.47</v>
      </c>
      <c r="O435" s="588">
        <v>60.9</v>
      </c>
      <c r="P435" s="589">
        <v>0.3</v>
      </c>
      <c r="Q435" s="590">
        <v>0</v>
      </c>
      <c r="R435" s="590">
        <v>0</v>
      </c>
      <c r="S435" s="591">
        <v>0</v>
      </c>
      <c r="T435" s="311">
        <v>62.7</v>
      </c>
      <c r="U435" s="311">
        <v>7.1890000000000001</v>
      </c>
      <c r="V435" s="311">
        <v>57.31</v>
      </c>
      <c r="W435" s="311">
        <v>16.34</v>
      </c>
      <c r="X435" s="311">
        <v>0</v>
      </c>
      <c r="Y435" s="311">
        <v>52.67</v>
      </c>
      <c r="Z435" s="311">
        <v>0</v>
      </c>
      <c r="AA435" s="311">
        <v>25.25</v>
      </c>
      <c r="AB435" s="311">
        <v>42.48</v>
      </c>
      <c r="AC435" s="311">
        <v>8.7590000000000003</v>
      </c>
      <c r="AD435" s="311">
        <v>7.1890000000000001</v>
      </c>
      <c r="AE435" s="311">
        <v>46.33</v>
      </c>
      <c r="AF435" s="311">
        <v>69.03</v>
      </c>
      <c r="AG435" s="311">
        <v>42.48</v>
      </c>
      <c r="AH435" s="311">
        <v>16.34</v>
      </c>
      <c r="AI435" s="311">
        <v>45.06</v>
      </c>
      <c r="AJ435" s="311">
        <v>16.34</v>
      </c>
      <c r="AK435" s="311">
        <v>42.48</v>
      </c>
      <c r="AL435" s="312">
        <v>64.709999999999994</v>
      </c>
      <c r="AM435" s="313">
        <v>0</v>
      </c>
      <c r="AN435" s="312">
        <v>0</v>
      </c>
      <c r="AO435" s="1"/>
      <c r="AP435" s="314">
        <v>1</v>
      </c>
      <c r="AQ435" s="315">
        <v>0</v>
      </c>
      <c r="AS435" s="1"/>
      <c r="AT435" s="1"/>
      <c r="AU435" s="1"/>
      <c r="AV435" s="1"/>
      <c r="AW435" s="1"/>
      <c r="AY435" s="1"/>
      <c r="BE435" s="1"/>
      <c r="BF435" s="1"/>
    </row>
    <row r="436" spans="2:58" x14ac:dyDescent="0.25">
      <c r="B436" s="1343"/>
      <c r="D436" s="1346"/>
      <c r="G436" s="534" t="s">
        <v>650</v>
      </c>
      <c r="H436" s="1" t="s">
        <v>268</v>
      </c>
      <c r="I436" s="376">
        <v>6.84</v>
      </c>
      <c r="J436" s="588">
        <v>94.004999999999995</v>
      </c>
      <c r="K436" s="588">
        <v>18.195</v>
      </c>
      <c r="L436" s="588">
        <v>0.06</v>
      </c>
      <c r="M436" s="588">
        <v>16.754999999999999</v>
      </c>
      <c r="N436" s="588">
        <v>18.405000000000001</v>
      </c>
      <c r="O436" s="588">
        <v>157.22999999999999</v>
      </c>
      <c r="P436" s="589">
        <v>0.15</v>
      </c>
      <c r="Q436" s="590">
        <v>0.15</v>
      </c>
      <c r="R436" s="590">
        <v>0.15</v>
      </c>
      <c r="S436" s="591">
        <v>0</v>
      </c>
      <c r="T436" s="311">
        <v>16.809999999999999</v>
      </c>
      <c r="U436" s="311">
        <v>28.47</v>
      </c>
      <c r="V436" s="311">
        <v>14.64</v>
      </c>
      <c r="W436" s="311">
        <v>28.47</v>
      </c>
      <c r="X436" s="311">
        <v>0</v>
      </c>
      <c r="Y436" s="311">
        <v>61.02</v>
      </c>
      <c r="Z436" s="311">
        <v>0</v>
      </c>
      <c r="AA436" s="311">
        <v>122</v>
      </c>
      <c r="AB436" s="311">
        <v>14.71</v>
      </c>
      <c r="AC436" s="311">
        <v>6.577</v>
      </c>
      <c r="AD436" s="311">
        <v>28.47</v>
      </c>
      <c r="AE436" s="311">
        <v>88.13</v>
      </c>
      <c r="AF436" s="311">
        <v>43.39</v>
      </c>
      <c r="AG436" s="311">
        <v>14.71</v>
      </c>
      <c r="AH436" s="311">
        <v>28.47</v>
      </c>
      <c r="AI436" s="311">
        <v>81.36</v>
      </c>
      <c r="AJ436" s="311">
        <v>28.47</v>
      </c>
      <c r="AK436" s="311">
        <v>14.71</v>
      </c>
      <c r="AL436" s="312">
        <v>21.02</v>
      </c>
      <c r="AM436" s="313">
        <v>0</v>
      </c>
      <c r="AN436" s="312">
        <v>0</v>
      </c>
      <c r="AO436" s="1"/>
      <c r="AP436" s="314">
        <v>1</v>
      </c>
      <c r="AQ436" s="316">
        <v>0</v>
      </c>
      <c r="AS436" s="1"/>
      <c r="AT436" s="1"/>
      <c r="AU436" s="1"/>
      <c r="AV436" s="1"/>
      <c r="AW436" s="1"/>
      <c r="AY436" s="1"/>
    </row>
    <row r="437" spans="2:58" x14ac:dyDescent="0.25">
      <c r="B437" s="1343"/>
      <c r="D437" s="1346"/>
      <c r="G437" s="534" t="s">
        <v>1546</v>
      </c>
      <c r="H437" s="1" t="s">
        <v>268</v>
      </c>
      <c r="I437" s="592">
        <v>4.92</v>
      </c>
      <c r="J437" s="423">
        <v>63.878</v>
      </c>
      <c r="K437" s="423">
        <v>21.32</v>
      </c>
      <c r="L437" s="423">
        <v>8.2000000000000003E-2</v>
      </c>
      <c r="M437" s="423">
        <v>17.138000000000002</v>
      </c>
      <c r="N437" s="423">
        <v>45.018000000000001</v>
      </c>
      <c r="O437" s="423">
        <v>166.46</v>
      </c>
      <c r="P437" s="589">
        <v>0.82</v>
      </c>
      <c r="Q437" s="590">
        <v>0</v>
      </c>
      <c r="R437" s="590">
        <v>0</v>
      </c>
      <c r="S437" s="591">
        <v>0</v>
      </c>
      <c r="T437" s="311">
        <v>0</v>
      </c>
      <c r="U437" s="311">
        <v>0</v>
      </c>
      <c r="V437" s="311">
        <v>0</v>
      </c>
      <c r="W437" s="311">
        <v>0</v>
      </c>
      <c r="X437" s="311">
        <v>0</v>
      </c>
      <c r="Y437" s="311">
        <v>0</v>
      </c>
      <c r="Z437" s="311">
        <v>0</v>
      </c>
      <c r="AA437" s="311">
        <v>0</v>
      </c>
      <c r="AB437" s="311">
        <v>0</v>
      </c>
      <c r="AC437" s="311">
        <v>0</v>
      </c>
      <c r="AD437" s="311">
        <v>0</v>
      </c>
      <c r="AE437" s="311">
        <v>0</v>
      </c>
      <c r="AF437" s="311">
        <v>0</v>
      </c>
      <c r="AG437" s="311">
        <v>0</v>
      </c>
      <c r="AH437" s="311">
        <v>0</v>
      </c>
      <c r="AI437" s="311">
        <v>0</v>
      </c>
      <c r="AJ437" s="311">
        <v>0</v>
      </c>
      <c r="AK437" s="311">
        <v>0</v>
      </c>
      <c r="AL437" s="312">
        <v>0</v>
      </c>
      <c r="AM437" s="313">
        <v>0</v>
      </c>
      <c r="AN437" s="312">
        <v>0</v>
      </c>
      <c r="AO437" s="1"/>
      <c r="AP437" s="317">
        <v>1</v>
      </c>
      <c r="AQ437" s="316">
        <v>0</v>
      </c>
      <c r="AS437" s="1"/>
      <c r="AT437" s="1"/>
      <c r="AU437" s="1"/>
      <c r="AV437" s="1"/>
      <c r="AW437" s="1"/>
      <c r="AY437" s="1"/>
    </row>
    <row r="438" spans="2:58" x14ac:dyDescent="0.25">
      <c r="B438" s="1343"/>
      <c r="D438" s="1346"/>
      <c r="G438" s="581" t="s">
        <v>651</v>
      </c>
      <c r="H438" s="1" t="s">
        <v>268</v>
      </c>
      <c r="I438" s="592">
        <v>2.1</v>
      </c>
      <c r="J438" s="423">
        <v>27.265000000000001</v>
      </c>
      <c r="K438" s="423">
        <v>9.1</v>
      </c>
      <c r="L438" s="423">
        <v>3.5000000000000003E-2</v>
      </c>
      <c r="M438" s="423">
        <v>7.3150000000000004</v>
      </c>
      <c r="N438" s="423">
        <v>19.215</v>
      </c>
      <c r="O438" s="423">
        <v>71.05</v>
      </c>
      <c r="P438" s="589">
        <v>0.35</v>
      </c>
      <c r="Q438" s="590">
        <v>0</v>
      </c>
      <c r="R438" s="590">
        <v>0</v>
      </c>
      <c r="S438" s="591">
        <v>0</v>
      </c>
      <c r="T438" s="311">
        <v>0</v>
      </c>
      <c r="U438" s="311">
        <v>0</v>
      </c>
      <c r="V438" s="311">
        <v>0</v>
      </c>
      <c r="W438" s="311">
        <v>0</v>
      </c>
      <c r="X438" s="311">
        <v>0</v>
      </c>
      <c r="Y438" s="311">
        <v>0</v>
      </c>
      <c r="Z438" s="311">
        <v>0</v>
      </c>
      <c r="AA438" s="311">
        <v>0</v>
      </c>
      <c r="AB438" s="311">
        <v>0</v>
      </c>
      <c r="AC438" s="311">
        <v>0</v>
      </c>
      <c r="AD438" s="311">
        <v>0</v>
      </c>
      <c r="AE438" s="311">
        <v>0</v>
      </c>
      <c r="AF438" s="311">
        <v>0</v>
      </c>
      <c r="AG438" s="311">
        <v>0</v>
      </c>
      <c r="AH438" s="311">
        <v>0</v>
      </c>
      <c r="AI438" s="311">
        <v>0</v>
      </c>
      <c r="AJ438" s="311">
        <v>0</v>
      </c>
      <c r="AK438" s="311">
        <v>0</v>
      </c>
      <c r="AL438" s="312">
        <v>0</v>
      </c>
      <c r="AM438" s="313">
        <v>0</v>
      </c>
      <c r="AN438" s="312">
        <v>6.3</v>
      </c>
      <c r="AO438" s="1"/>
      <c r="AP438" s="317">
        <v>1</v>
      </c>
      <c r="AQ438" s="316">
        <v>0</v>
      </c>
      <c r="AS438" s="1"/>
      <c r="AT438" s="1"/>
      <c r="AU438" s="1"/>
      <c r="AV438" s="1"/>
      <c r="AW438" s="1"/>
      <c r="AY438" s="1"/>
    </row>
    <row r="439" spans="2:58" x14ac:dyDescent="0.25">
      <c r="B439" s="1343"/>
      <c r="D439" s="1346"/>
      <c r="G439" s="534" t="s">
        <v>652</v>
      </c>
      <c r="H439" s="1" t="s">
        <v>268</v>
      </c>
      <c r="I439" s="376">
        <v>1.658394127</v>
      </c>
      <c r="J439" s="588">
        <v>22.65624146</v>
      </c>
      <c r="K439" s="588">
        <v>8.8832002780000003</v>
      </c>
      <c r="L439" s="588">
        <v>3.6270589999999998E-2</v>
      </c>
      <c r="M439" s="588">
        <v>6.9747766709999999</v>
      </c>
      <c r="N439" s="588">
        <v>15.87730019</v>
      </c>
      <c r="O439" s="588">
        <v>62.940271869999997</v>
      </c>
      <c r="P439" s="589">
        <v>0.26500000000000001</v>
      </c>
      <c r="Q439" s="590">
        <v>0</v>
      </c>
      <c r="R439" s="590">
        <v>0</v>
      </c>
      <c r="S439" s="591">
        <v>0.24399999999999999</v>
      </c>
      <c r="T439" s="311">
        <v>252.9</v>
      </c>
      <c r="U439" s="311">
        <v>29</v>
      </c>
      <c r="V439" s="311">
        <v>231.1</v>
      </c>
      <c r="W439" s="311">
        <v>65.92</v>
      </c>
      <c r="X439" s="311">
        <v>0</v>
      </c>
      <c r="Y439" s="311">
        <v>212.5</v>
      </c>
      <c r="Z439" s="311">
        <v>162.13</v>
      </c>
      <c r="AA439" s="311">
        <v>101.9</v>
      </c>
      <c r="AB439" s="311">
        <v>171.4</v>
      </c>
      <c r="AC439" s="311">
        <v>35.33</v>
      </c>
      <c r="AD439" s="311">
        <v>29</v>
      </c>
      <c r="AE439" s="311">
        <v>186.9</v>
      </c>
      <c r="AF439" s="311">
        <v>278.39999999999998</v>
      </c>
      <c r="AG439" s="311">
        <v>171.4</v>
      </c>
      <c r="AH439" s="311">
        <v>65.92</v>
      </c>
      <c r="AI439" s="311">
        <v>181.7</v>
      </c>
      <c r="AJ439" s="311">
        <v>65.92</v>
      </c>
      <c r="AK439" s="311">
        <v>171.4</v>
      </c>
      <c r="AL439" s="312">
        <v>261</v>
      </c>
      <c r="AM439" s="313">
        <v>684.48</v>
      </c>
      <c r="AN439" s="312">
        <v>556.13</v>
      </c>
      <c r="AO439" s="1"/>
      <c r="AP439" s="318">
        <v>1</v>
      </c>
      <c r="AQ439" s="319">
        <v>0</v>
      </c>
      <c r="AS439" s="1"/>
      <c r="AT439" s="1"/>
      <c r="AU439" s="1"/>
      <c r="AV439" s="1"/>
      <c r="AW439" s="1"/>
      <c r="AY439" s="1"/>
    </row>
    <row r="440" spans="2:58" x14ac:dyDescent="0.25">
      <c r="B440" s="1343"/>
      <c r="D440" s="1346"/>
      <c r="G440" s="534" t="s">
        <v>653</v>
      </c>
      <c r="H440" s="1" t="s">
        <v>268</v>
      </c>
      <c r="I440" s="376">
        <v>23.835000000000001</v>
      </c>
      <c r="J440" s="588">
        <v>326.64800000000002</v>
      </c>
      <c r="K440" s="588">
        <v>57.305</v>
      </c>
      <c r="L440" s="588">
        <v>0.193</v>
      </c>
      <c r="M440" s="588">
        <v>54.929000000000002</v>
      </c>
      <c r="N440" s="588">
        <v>50.268000000000001</v>
      </c>
      <c r="O440" s="588">
        <v>522.89</v>
      </c>
      <c r="P440" s="589">
        <v>0.22</v>
      </c>
      <c r="Q440" s="590">
        <v>0.56999999999999995</v>
      </c>
      <c r="R440" s="590">
        <v>0</v>
      </c>
      <c r="S440" s="591">
        <v>0</v>
      </c>
      <c r="T440" s="311">
        <v>24.85</v>
      </c>
      <c r="U440" s="311">
        <v>22.81</v>
      </c>
      <c r="V440" s="311">
        <v>11.73</v>
      </c>
      <c r="W440" s="311">
        <v>22.81</v>
      </c>
      <c r="X440" s="311">
        <v>0</v>
      </c>
      <c r="Y440" s="311">
        <v>48.89</v>
      </c>
      <c r="Z440" s="311">
        <v>12.46</v>
      </c>
      <c r="AA440" s="311">
        <v>97.77</v>
      </c>
      <c r="AB440" s="311">
        <v>22.53</v>
      </c>
      <c r="AC440" s="311">
        <v>3.976</v>
      </c>
      <c r="AD440" s="311">
        <v>22.81</v>
      </c>
      <c r="AE440" s="311">
        <v>70.61</v>
      </c>
      <c r="AF440" s="311">
        <v>34.76</v>
      </c>
      <c r="AG440" s="311">
        <v>22.53</v>
      </c>
      <c r="AH440" s="311">
        <v>22.81</v>
      </c>
      <c r="AI440" s="311">
        <v>65.180000000000007</v>
      </c>
      <c r="AJ440" s="311">
        <v>22.81</v>
      </c>
      <c r="AK440" s="311">
        <v>22.53</v>
      </c>
      <c r="AL440" s="312">
        <v>24.79</v>
      </c>
      <c r="AM440" s="313">
        <v>38.770000000000003</v>
      </c>
      <c r="AN440" s="312">
        <v>0</v>
      </c>
      <c r="AO440" s="1"/>
      <c r="AP440" s="314">
        <v>1</v>
      </c>
      <c r="AQ440" s="316">
        <v>0</v>
      </c>
      <c r="AS440" s="1"/>
      <c r="AT440" s="1"/>
      <c r="AU440" s="1"/>
      <c r="AV440" s="1"/>
      <c r="AW440" s="1"/>
      <c r="AY440" s="1"/>
    </row>
    <row r="441" spans="2:58" x14ac:dyDescent="0.25">
      <c r="B441" s="1343"/>
      <c r="D441" s="1346"/>
      <c r="G441" s="534" t="s">
        <v>654</v>
      </c>
      <c r="H441" s="1" t="s">
        <v>268</v>
      </c>
      <c r="I441" s="376">
        <v>1.26</v>
      </c>
      <c r="J441" s="588">
        <v>16.359000000000002</v>
      </c>
      <c r="K441" s="588">
        <v>5.46</v>
      </c>
      <c r="L441" s="588">
        <v>2.1000000000000001E-2</v>
      </c>
      <c r="M441" s="588">
        <v>4.3890000000000002</v>
      </c>
      <c r="N441" s="588">
        <v>11.529</v>
      </c>
      <c r="O441" s="588">
        <v>42.63</v>
      </c>
      <c r="P441" s="589">
        <v>0.21</v>
      </c>
      <c r="Q441" s="590">
        <v>0</v>
      </c>
      <c r="R441" s="590">
        <v>0</v>
      </c>
      <c r="S441" s="591">
        <v>0</v>
      </c>
      <c r="T441" s="311">
        <v>34.049999999999997</v>
      </c>
      <c r="U441" s="311">
        <v>3.9039999999999999</v>
      </c>
      <c r="V441" s="311">
        <v>31.12</v>
      </c>
      <c r="W441" s="311">
        <v>8.8729999999999993</v>
      </c>
      <c r="X441" s="311">
        <v>0</v>
      </c>
      <c r="Y441" s="311">
        <v>28.6</v>
      </c>
      <c r="Z441" s="311">
        <v>5.7</v>
      </c>
      <c r="AA441" s="311">
        <v>13.71</v>
      </c>
      <c r="AB441" s="311">
        <v>23.07</v>
      </c>
      <c r="AC441" s="311">
        <v>4.7560000000000002</v>
      </c>
      <c r="AD441" s="311">
        <v>3.9039999999999999</v>
      </c>
      <c r="AE441" s="311">
        <v>25.16</v>
      </c>
      <c r="AF441" s="311">
        <v>37.479999999999997</v>
      </c>
      <c r="AG441" s="311">
        <v>23.07</v>
      </c>
      <c r="AH441" s="311">
        <v>8.8729999999999993</v>
      </c>
      <c r="AI441" s="311">
        <v>24.47</v>
      </c>
      <c r="AJ441" s="311">
        <v>8.8729999999999993</v>
      </c>
      <c r="AK441" s="311">
        <v>23.07</v>
      </c>
      <c r="AL441" s="312">
        <v>35.130000000000003</v>
      </c>
      <c r="AM441" s="313">
        <v>24.08</v>
      </c>
      <c r="AN441" s="312">
        <v>12.36</v>
      </c>
      <c r="AO441" s="1"/>
      <c r="AP441" s="314">
        <v>1</v>
      </c>
      <c r="AQ441" s="316">
        <v>0</v>
      </c>
      <c r="AS441" s="1"/>
      <c r="AT441" s="1"/>
      <c r="AU441" s="1"/>
      <c r="AV441" s="1"/>
      <c r="AW441" s="1"/>
      <c r="AY441" s="1"/>
    </row>
    <row r="442" spans="2:58" x14ac:dyDescent="0.25">
      <c r="B442" s="1343"/>
      <c r="D442" s="1346"/>
      <c r="G442" s="534" t="s">
        <v>655</v>
      </c>
      <c r="H442" s="1" t="s">
        <v>268</v>
      </c>
      <c r="I442" s="376">
        <v>18.96</v>
      </c>
      <c r="J442" s="588">
        <v>260.64</v>
      </c>
      <c r="K442" s="588">
        <v>43.44</v>
      </c>
      <c r="L442" s="588">
        <v>0.14399999999999999</v>
      </c>
      <c r="M442" s="588">
        <v>42.384</v>
      </c>
      <c r="N442" s="588">
        <v>32.159999999999997</v>
      </c>
      <c r="O442" s="588">
        <v>402.72</v>
      </c>
      <c r="P442" s="589">
        <v>0</v>
      </c>
      <c r="Q442" s="590">
        <v>0.48</v>
      </c>
      <c r="R442" s="590">
        <v>0</v>
      </c>
      <c r="S442" s="591">
        <v>0</v>
      </c>
      <c r="T442" s="311">
        <v>3.3860000000000001</v>
      </c>
      <c r="U442" s="311">
        <v>3.1080000000000001</v>
      </c>
      <c r="V442" s="311">
        <v>1.5980000000000001</v>
      </c>
      <c r="W442" s="311">
        <v>3.1080000000000001</v>
      </c>
      <c r="X442" s="311">
        <v>33.369999999999997</v>
      </c>
      <c r="Y442" s="311">
        <v>6.66</v>
      </c>
      <c r="Z442" s="311">
        <v>4.6299999999999997E-6</v>
      </c>
      <c r="AA442" s="311">
        <v>13.32</v>
      </c>
      <c r="AB442" s="311">
        <v>3.07</v>
      </c>
      <c r="AC442" s="311">
        <v>41.51</v>
      </c>
      <c r="AD442" s="311">
        <v>3.1080000000000001</v>
      </c>
      <c r="AE442" s="311">
        <v>9.6199999999999992</v>
      </c>
      <c r="AF442" s="311">
        <v>4.7359999999999998</v>
      </c>
      <c r="AG442" s="311">
        <v>3.07</v>
      </c>
      <c r="AH442" s="311">
        <v>3.1080000000000001</v>
      </c>
      <c r="AI442" s="311">
        <v>8.8800000000000008</v>
      </c>
      <c r="AJ442" s="311">
        <v>3.1080000000000001</v>
      </c>
      <c r="AK442" s="311">
        <v>3.07</v>
      </c>
      <c r="AL442" s="312">
        <v>3.3769999999999998</v>
      </c>
      <c r="AM442" s="320">
        <v>1.4399999999999999E-5</v>
      </c>
      <c r="AN442" s="321">
        <v>46.04</v>
      </c>
      <c r="AO442" s="1"/>
      <c r="AP442" s="314">
        <v>1</v>
      </c>
      <c r="AQ442" s="316">
        <v>0</v>
      </c>
      <c r="AS442" s="1"/>
      <c r="AT442" s="1"/>
      <c r="AU442" s="1"/>
      <c r="AV442" s="1"/>
      <c r="AW442" s="1"/>
      <c r="AY442" s="1"/>
    </row>
    <row r="443" spans="2:58" x14ac:dyDescent="0.25">
      <c r="B443" s="1343"/>
      <c r="D443" s="1346"/>
      <c r="G443" s="534" t="s">
        <v>656</v>
      </c>
      <c r="H443" s="1" t="s">
        <v>268</v>
      </c>
      <c r="I443" s="376">
        <v>8.2949999999999999</v>
      </c>
      <c r="J443" s="588">
        <v>114.03</v>
      </c>
      <c r="K443" s="588">
        <v>19.004999999999999</v>
      </c>
      <c r="L443" s="588">
        <v>6.3E-2</v>
      </c>
      <c r="M443" s="588">
        <v>18.542999999999999</v>
      </c>
      <c r="N443" s="588">
        <v>14.07</v>
      </c>
      <c r="O443" s="588">
        <v>176.19</v>
      </c>
      <c r="P443" s="589">
        <v>0</v>
      </c>
      <c r="Q443" s="590">
        <v>0.21</v>
      </c>
      <c r="R443" s="590">
        <v>0</v>
      </c>
      <c r="S443" s="591">
        <v>0</v>
      </c>
      <c r="T443" s="311">
        <v>0.1827</v>
      </c>
      <c r="U443" s="311">
        <v>0.16769999999999999</v>
      </c>
      <c r="V443" s="311">
        <v>8.6269999999999999E-2</v>
      </c>
      <c r="W443" s="311">
        <v>0.16769999999999999</v>
      </c>
      <c r="X443" s="311">
        <v>1.8009999999999999</v>
      </c>
      <c r="Y443" s="311">
        <v>0.3594</v>
      </c>
      <c r="Z443" s="311">
        <v>1.06E-4</v>
      </c>
      <c r="AA443" s="311">
        <v>0.71889999999999998</v>
      </c>
      <c r="AB443" s="311">
        <v>0.16569999999999999</v>
      </c>
      <c r="AC443" s="311">
        <v>2.2400000000000002</v>
      </c>
      <c r="AD443" s="311">
        <v>0.16769999999999999</v>
      </c>
      <c r="AE443" s="311">
        <v>0.51919999999999999</v>
      </c>
      <c r="AF443" s="311">
        <v>0.25559999999999999</v>
      </c>
      <c r="AG443" s="311">
        <v>0.16569999999999999</v>
      </c>
      <c r="AH443" s="311">
        <v>0.16769999999999999</v>
      </c>
      <c r="AI443" s="311">
        <v>0.4793</v>
      </c>
      <c r="AJ443" s="311">
        <v>0.16769999999999999</v>
      </c>
      <c r="AK443" s="311">
        <v>0.16569999999999999</v>
      </c>
      <c r="AL443" s="312">
        <v>0.1822</v>
      </c>
      <c r="AM443" s="320">
        <v>3.2899999999999997E-4</v>
      </c>
      <c r="AN443" s="321">
        <v>0</v>
      </c>
      <c r="AO443" s="1"/>
      <c r="AP443" s="314">
        <v>1</v>
      </c>
      <c r="AQ443" s="316">
        <v>0</v>
      </c>
      <c r="AS443" s="1"/>
      <c r="AT443" s="1"/>
      <c r="AU443" s="1"/>
      <c r="AV443" s="1"/>
      <c r="AW443" s="1"/>
      <c r="AX443" s="1"/>
      <c r="AZ443" s="1"/>
    </row>
    <row r="444" spans="2:58" x14ac:dyDescent="0.25">
      <c r="B444" s="1343"/>
      <c r="D444" s="1346"/>
      <c r="G444" s="534" t="s">
        <v>657</v>
      </c>
      <c r="H444" s="1" t="s">
        <v>268</v>
      </c>
      <c r="I444" s="376">
        <v>8.7119999999999997</v>
      </c>
      <c r="J444" s="588">
        <v>120.736</v>
      </c>
      <c r="K444" s="588">
        <v>20.966000000000001</v>
      </c>
      <c r="L444" s="588">
        <v>6.6000000000000003E-2</v>
      </c>
      <c r="M444" s="588">
        <v>19.975999999999999</v>
      </c>
      <c r="N444" s="588">
        <v>14.916</v>
      </c>
      <c r="O444" s="588">
        <v>185.94399999999999</v>
      </c>
      <c r="P444" s="589">
        <v>0</v>
      </c>
      <c r="Q444" s="590">
        <v>0.22</v>
      </c>
      <c r="R444" s="590">
        <v>0.22</v>
      </c>
      <c r="S444" s="591">
        <v>0</v>
      </c>
      <c r="T444" s="311">
        <v>7.4930000000000003</v>
      </c>
      <c r="U444" s="311">
        <v>9.9909999999999997</v>
      </c>
      <c r="V444" s="311">
        <v>5.1379999999999999</v>
      </c>
      <c r="W444" s="311">
        <v>9.9909999999999997</v>
      </c>
      <c r="X444" s="311">
        <v>107.3</v>
      </c>
      <c r="Y444" s="311">
        <v>21.41</v>
      </c>
      <c r="Z444" s="311">
        <v>0</v>
      </c>
      <c r="AA444" s="311">
        <v>42.82</v>
      </c>
      <c r="AB444" s="311">
        <v>6.556</v>
      </c>
      <c r="AC444" s="311">
        <v>133.4</v>
      </c>
      <c r="AD444" s="311">
        <v>9.9909999999999997</v>
      </c>
      <c r="AE444" s="311">
        <v>30.93</v>
      </c>
      <c r="AF444" s="311">
        <v>15.22</v>
      </c>
      <c r="AG444" s="311">
        <v>6.556</v>
      </c>
      <c r="AH444" s="311">
        <v>9.9909999999999997</v>
      </c>
      <c r="AI444" s="311">
        <v>28.55</v>
      </c>
      <c r="AJ444" s="311">
        <v>9.9909999999999997</v>
      </c>
      <c r="AK444" s="311">
        <v>6.556</v>
      </c>
      <c r="AL444" s="312">
        <v>9.3659999999999997</v>
      </c>
      <c r="AM444" s="313">
        <v>0</v>
      </c>
      <c r="AN444" s="312">
        <v>0</v>
      </c>
      <c r="AO444" s="1"/>
      <c r="AP444" s="314">
        <v>1</v>
      </c>
      <c r="AQ444" s="316">
        <v>0</v>
      </c>
      <c r="AS444" s="1"/>
      <c r="AT444" s="1"/>
      <c r="AU444" s="1"/>
      <c r="AV444" s="1"/>
      <c r="AW444" s="1"/>
      <c r="AX444" s="1"/>
      <c r="AZ444" s="1"/>
    </row>
    <row r="445" spans="2:58" x14ac:dyDescent="0.25">
      <c r="B445" s="1343"/>
      <c r="D445" s="1346"/>
      <c r="G445" s="581" t="s">
        <v>658</v>
      </c>
      <c r="H445" s="1" t="s">
        <v>268</v>
      </c>
      <c r="I445" s="404">
        <v>0.06</v>
      </c>
      <c r="J445" s="405">
        <v>3.48</v>
      </c>
      <c r="K445" s="405">
        <v>2.88</v>
      </c>
      <c r="L445" s="405">
        <v>0</v>
      </c>
      <c r="M445" s="405">
        <v>1.5</v>
      </c>
      <c r="N445" s="405">
        <v>0.48</v>
      </c>
      <c r="O445" s="405">
        <v>3.72</v>
      </c>
      <c r="P445" s="589">
        <v>0</v>
      </c>
      <c r="Q445" s="590">
        <v>0</v>
      </c>
      <c r="R445" s="590">
        <v>0.6</v>
      </c>
      <c r="S445" s="591">
        <v>0</v>
      </c>
      <c r="T445" s="311">
        <v>21.88</v>
      </c>
      <c r="U445" s="311">
        <v>80.53</v>
      </c>
      <c r="V445" s="311">
        <v>60.44</v>
      </c>
      <c r="W445" s="311">
        <v>62.03</v>
      </c>
      <c r="X445" s="311">
        <v>67.33</v>
      </c>
      <c r="Y445" s="311">
        <v>113.1</v>
      </c>
      <c r="Z445" s="311">
        <v>0</v>
      </c>
      <c r="AA445" s="311">
        <v>364.9</v>
      </c>
      <c r="AB445" s="311">
        <v>19.149999999999999</v>
      </c>
      <c r="AC445" s="311">
        <v>103</v>
      </c>
      <c r="AD445" s="311">
        <v>80.53</v>
      </c>
      <c r="AE445" s="311">
        <v>295.89999999999998</v>
      </c>
      <c r="AF445" s="311">
        <v>163.1</v>
      </c>
      <c r="AG445" s="311">
        <v>19.149999999999999</v>
      </c>
      <c r="AH445" s="311">
        <v>62.03</v>
      </c>
      <c r="AI445" s="311">
        <v>261.8</v>
      </c>
      <c r="AJ445" s="311">
        <v>62.03</v>
      </c>
      <c r="AK445" s="311">
        <v>19.149999999999999</v>
      </c>
      <c r="AL445" s="312">
        <v>27.36</v>
      </c>
      <c r="AM445" s="313">
        <v>0</v>
      </c>
      <c r="AN445" s="312">
        <v>0</v>
      </c>
      <c r="AO445" s="1"/>
      <c r="AP445" s="314">
        <v>1</v>
      </c>
      <c r="AQ445" s="316">
        <v>0</v>
      </c>
      <c r="AS445" s="1"/>
      <c r="AT445" s="1"/>
      <c r="AU445" s="1"/>
      <c r="AV445" s="1"/>
      <c r="AW445" s="1"/>
      <c r="AX445" s="1"/>
      <c r="AZ445" s="1"/>
    </row>
    <row r="446" spans="2:58" x14ac:dyDescent="0.25">
      <c r="B446" s="1343"/>
      <c r="D446" s="1346"/>
      <c r="G446" s="581" t="s">
        <v>659</v>
      </c>
      <c r="H446" s="1" t="s">
        <v>268</v>
      </c>
      <c r="I446" s="404">
        <v>0.05</v>
      </c>
      <c r="J446" s="405">
        <v>2.9</v>
      </c>
      <c r="K446" s="405">
        <v>2.4</v>
      </c>
      <c r="L446" s="405">
        <v>0</v>
      </c>
      <c r="M446" s="405">
        <v>1.25</v>
      </c>
      <c r="N446" s="405">
        <v>0.4</v>
      </c>
      <c r="O446" s="405">
        <v>3.1</v>
      </c>
      <c r="P446" s="589">
        <v>0</v>
      </c>
      <c r="Q446" s="590">
        <v>0</v>
      </c>
      <c r="R446" s="590">
        <v>0.5</v>
      </c>
      <c r="S446" s="591">
        <v>0</v>
      </c>
      <c r="T446" s="311">
        <v>1.48</v>
      </c>
      <c r="U446" s="311">
        <v>5.444</v>
      </c>
      <c r="V446" s="311">
        <v>4.0860000000000003</v>
      </c>
      <c r="W446" s="311">
        <v>4.194</v>
      </c>
      <c r="X446" s="311">
        <v>4.5519999999999996</v>
      </c>
      <c r="Y446" s="311">
        <v>7.6459999999999999</v>
      </c>
      <c r="Z446" s="311">
        <v>0</v>
      </c>
      <c r="AA446" s="311">
        <v>24.67</v>
      </c>
      <c r="AB446" s="311">
        <v>1.2949999999999999</v>
      </c>
      <c r="AC446" s="311">
        <v>6.9610000000000003</v>
      </c>
      <c r="AD446" s="311">
        <v>5.444</v>
      </c>
      <c r="AE446" s="311">
        <v>20.010000000000002</v>
      </c>
      <c r="AF446" s="311">
        <v>11.02</v>
      </c>
      <c r="AG446" s="311">
        <v>1.2949999999999999</v>
      </c>
      <c r="AH446" s="311">
        <v>4.194</v>
      </c>
      <c r="AI446" s="311">
        <v>17.7</v>
      </c>
      <c r="AJ446" s="311">
        <v>4.194</v>
      </c>
      <c r="AK446" s="311">
        <v>1.2949999999999999</v>
      </c>
      <c r="AL446" s="312">
        <v>1.849</v>
      </c>
      <c r="AM446" s="313">
        <v>0</v>
      </c>
      <c r="AN446" s="312">
        <v>0</v>
      </c>
      <c r="AO446" s="1"/>
      <c r="AP446" s="314">
        <v>1</v>
      </c>
      <c r="AQ446" s="316">
        <v>0</v>
      </c>
      <c r="AS446" s="1"/>
      <c r="AT446" s="1"/>
      <c r="AU446" s="1"/>
      <c r="AV446" s="1"/>
      <c r="AW446" s="323"/>
      <c r="AX446" s="323"/>
      <c r="AZ446" s="323"/>
    </row>
    <row r="447" spans="2:58" x14ac:dyDescent="0.25">
      <c r="B447" s="1343"/>
      <c r="D447" s="1346"/>
      <c r="G447" s="582" t="s">
        <v>1547</v>
      </c>
      <c r="H447" s="1" t="s">
        <v>268</v>
      </c>
      <c r="I447" s="593">
        <v>12.64</v>
      </c>
      <c r="J447" s="417">
        <v>173.76</v>
      </c>
      <c r="K447" s="417">
        <v>28.96</v>
      </c>
      <c r="L447" s="417">
        <v>9.6000000000000002E-2</v>
      </c>
      <c r="M447" s="417">
        <v>28.256</v>
      </c>
      <c r="N447" s="417">
        <v>21.44</v>
      </c>
      <c r="O447" s="417">
        <v>268.48</v>
      </c>
      <c r="P447" s="585">
        <v>0</v>
      </c>
      <c r="Q447" s="586">
        <v>0.32</v>
      </c>
      <c r="R447" s="586">
        <v>0</v>
      </c>
      <c r="S447" s="587">
        <v>0</v>
      </c>
      <c r="T447" s="304">
        <v>0</v>
      </c>
      <c r="U447" s="304">
        <v>0</v>
      </c>
      <c r="V447" s="304">
        <v>0</v>
      </c>
      <c r="W447" s="304">
        <v>0</v>
      </c>
      <c r="X447" s="304">
        <v>0</v>
      </c>
      <c r="Y447" s="304">
        <v>0</v>
      </c>
      <c r="Z447" s="304">
        <v>0</v>
      </c>
      <c r="AA447" s="304">
        <v>0</v>
      </c>
      <c r="AB447" s="304">
        <v>0</v>
      </c>
      <c r="AC447" s="304">
        <v>0</v>
      </c>
      <c r="AD447" s="304">
        <v>0</v>
      </c>
      <c r="AE447" s="304">
        <v>0</v>
      </c>
      <c r="AF447" s="304">
        <v>0</v>
      </c>
      <c r="AG447" s="304">
        <v>0</v>
      </c>
      <c r="AH447" s="304">
        <v>0</v>
      </c>
      <c r="AI447" s="304">
        <v>0</v>
      </c>
      <c r="AJ447" s="304">
        <v>0</v>
      </c>
      <c r="AK447" s="304">
        <v>0</v>
      </c>
      <c r="AL447" s="305">
        <v>0</v>
      </c>
      <c r="AM447" s="306">
        <v>0</v>
      </c>
      <c r="AN447" s="305">
        <v>0</v>
      </c>
      <c r="AO447" s="1"/>
      <c r="AP447" s="324">
        <v>1</v>
      </c>
      <c r="AQ447" s="325">
        <v>1</v>
      </c>
      <c r="AS447" s="1"/>
    </row>
    <row r="448" spans="2:58" x14ac:dyDescent="0.25">
      <c r="B448" s="1343"/>
      <c r="D448" s="1346"/>
      <c r="G448" s="531" t="s">
        <v>662</v>
      </c>
      <c r="H448" s="1" t="s">
        <v>268</v>
      </c>
      <c r="I448" s="391">
        <v>0.28030379999999999</v>
      </c>
      <c r="J448" s="392">
        <v>8.2489404000000004</v>
      </c>
      <c r="K448" s="392">
        <v>8.1688536000000003</v>
      </c>
      <c r="L448" s="392">
        <v>4.00434E-2</v>
      </c>
      <c r="M448" s="392">
        <v>5.8863798000000003</v>
      </c>
      <c r="N448" s="392">
        <v>5.4459023999999996</v>
      </c>
      <c r="O448" s="392">
        <v>37.480622400000001</v>
      </c>
      <c r="P448" s="594">
        <v>0</v>
      </c>
      <c r="Q448" s="595">
        <v>0</v>
      </c>
      <c r="R448" s="595">
        <v>0</v>
      </c>
      <c r="S448" s="596">
        <v>1</v>
      </c>
      <c r="T448" s="328">
        <v>400</v>
      </c>
      <c r="U448" s="328">
        <v>400</v>
      </c>
      <c r="V448" s="328">
        <v>400</v>
      </c>
      <c r="W448" s="328">
        <v>400</v>
      </c>
      <c r="X448" s="328">
        <v>400</v>
      </c>
      <c r="Y448" s="328">
        <v>400</v>
      </c>
      <c r="Z448" s="328">
        <v>0</v>
      </c>
      <c r="AA448" s="328">
        <v>400</v>
      </c>
      <c r="AB448" s="328">
        <v>400</v>
      </c>
      <c r="AC448" s="328">
        <v>400</v>
      </c>
      <c r="AD448" s="328">
        <v>400</v>
      </c>
      <c r="AE448" s="328">
        <v>400</v>
      </c>
      <c r="AF448" s="328">
        <v>400</v>
      </c>
      <c r="AG448" s="328">
        <v>400</v>
      </c>
      <c r="AH448" s="328">
        <v>400</v>
      </c>
      <c r="AI448" s="328">
        <v>400</v>
      </c>
      <c r="AJ448" s="328">
        <v>400</v>
      </c>
      <c r="AK448" s="328">
        <v>400</v>
      </c>
      <c r="AL448" s="329">
        <v>400</v>
      </c>
      <c r="AM448" s="330">
        <v>0</v>
      </c>
      <c r="AN448" s="329">
        <v>0</v>
      </c>
      <c r="AO448" s="1"/>
      <c r="AP448" s="331">
        <v>1</v>
      </c>
      <c r="AQ448" s="332">
        <v>1</v>
      </c>
      <c r="AS448" s="1"/>
    </row>
    <row r="449" spans="2:48" x14ac:dyDescent="0.25">
      <c r="B449" s="1343"/>
      <c r="D449" s="1346"/>
      <c r="G449" s="534" t="s">
        <v>665</v>
      </c>
      <c r="H449" s="1" t="s">
        <v>268</v>
      </c>
      <c r="I449" s="376">
        <v>5.9520000000000003E-2</v>
      </c>
      <c r="J449" s="588">
        <v>1.2299249999999999</v>
      </c>
      <c r="K449" s="588">
        <v>42.059249999999999</v>
      </c>
      <c r="L449" s="588">
        <v>7.2075000000000004E-3</v>
      </c>
      <c r="M449" s="588">
        <v>1.620525</v>
      </c>
      <c r="N449" s="588">
        <v>1.2601500000000001</v>
      </c>
      <c r="O449" s="588">
        <v>94.674000000000021</v>
      </c>
      <c r="P449" s="589">
        <v>7.1000000000000004E-3</v>
      </c>
      <c r="Q449" s="590">
        <v>4.5999999999999999E-3</v>
      </c>
      <c r="R449" s="590">
        <v>5.7999999999999996E-3</v>
      </c>
      <c r="S449" s="591">
        <v>0</v>
      </c>
      <c r="T449" s="311">
        <v>3522</v>
      </c>
      <c r="U449" s="311">
        <v>3522</v>
      </c>
      <c r="V449" s="311">
        <v>3522</v>
      </c>
      <c r="W449" s="311">
        <v>3522</v>
      </c>
      <c r="X449" s="311">
        <v>3522</v>
      </c>
      <c r="Y449" s="311">
        <v>3522</v>
      </c>
      <c r="Z449" s="311">
        <v>0</v>
      </c>
      <c r="AA449" s="311">
        <v>3522</v>
      </c>
      <c r="AB449" s="311">
        <v>3522</v>
      </c>
      <c r="AC449" s="311">
        <v>3522</v>
      </c>
      <c r="AD449" s="311">
        <v>3522</v>
      </c>
      <c r="AE449" s="311">
        <v>3522</v>
      </c>
      <c r="AF449" s="311">
        <v>3522</v>
      </c>
      <c r="AG449" s="311">
        <v>3522</v>
      </c>
      <c r="AH449" s="311">
        <v>3522</v>
      </c>
      <c r="AI449" s="311">
        <v>3522</v>
      </c>
      <c r="AJ449" s="311">
        <v>3522</v>
      </c>
      <c r="AK449" s="311">
        <v>3522</v>
      </c>
      <c r="AL449" s="312">
        <v>3522</v>
      </c>
      <c r="AM449" s="313">
        <v>0</v>
      </c>
      <c r="AN449" s="312">
        <v>0</v>
      </c>
      <c r="AO449" s="1"/>
      <c r="AS449" s="1"/>
    </row>
    <row r="450" spans="2:48" x14ac:dyDescent="0.25">
      <c r="B450" s="1343"/>
      <c r="D450" s="1346"/>
      <c r="G450" s="581" t="s">
        <v>670</v>
      </c>
      <c r="H450" s="1" t="s">
        <v>268</v>
      </c>
      <c r="I450" s="404">
        <v>3.8249999999999999E-2</v>
      </c>
      <c r="J450" s="405">
        <v>1.75525</v>
      </c>
      <c r="K450" s="405">
        <v>4.3775000000000004</v>
      </c>
      <c r="L450" s="405">
        <v>1.67875E-2</v>
      </c>
      <c r="M450" s="405">
        <v>1.59375</v>
      </c>
      <c r="N450" s="405">
        <v>1.2112499999999999</v>
      </c>
      <c r="O450" s="405">
        <v>18.25375</v>
      </c>
      <c r="P450" s="589">
        <v>4.1000000000000003E-3</v>
      </c>
      <c r="Q450" s="590">
        <v>1.5E-3</v>
      </c>
      <c r="R450" s="590">
        <v>5.7999999999999996E-3</v>
      </c>
      <c r="S450" s="591">
        <v>0</v>
      </c>
      <c r="T450" s="311">
        <v>0</v>
      </c>
      <c r="U450" s="311">
        <v>0</v>
      </c>
      <c r="V450" s="311">
        <v>0</v>
      </c>
      <c r="W450" s="311">
        <v>0</v>
      </c>
      <c r="X450" s="311">
        <v>0</v>
      </c>
      <c r="Y450" s="311">
        <v>0</v>
      </c>
      <c r="Z450" s="266">
        <v>60975.61</v>
      </c>
      <c r="AA450" s="311">
        <v>0</v>
      </c>
      <c r="AB450" s="311">
        <v>0</v>
      </c>
      <c r="AC450" s="311">
        <v>0</v>
      </c>
      <c r="AD450" s="311">
        <v>0</v>
      </c>
      <c r="AE450" s="311">
        <v>0</v>
      </c>
      <c r="AF450" s="311">
        <v>0</v>
      </c>
      <c r="AG450" s="311">
        <v>0</v>
      </c>
      <c r="AH450" s="311">
        <v>0</v>
      </c>
      <c r="AI450" s="311">
        <v>0</v>
      </c>
      <c r="AJ450" s="311">
        <v>0</v>
      </c>
      <c r="AK450" s="311">
        <v>0</v>
      </c>
      <c r="AL450" s="312">
        <v>0</v>
      </c>
      <c r="AM450" s="338">
        <v>60975.61</v>
      </c>
      <c r="AN450" s="339">
        <v>44892.86</v>
      </c>
      <c r="AO450" s="1"/>
      <c r="AP450" s="340"/>
      <c r="AR450" s="341"/>
      <c r="AS450" s="1"/>
    </row>
    <row r="451" spans="2:48" x14ac:dyDescent="0.25">
      <c r="B451" s="1343"/>
      <c r="D451" s="1346"/>
      <c r="G451" s="534" t="s">
        <v>673</v>
      </c>
      <c r="H451" s="1" t="s">
        <v>268</v>
      </c>
      <c r="I451" s="404">
        <v>0.95152000000000003</v>
      </c>
      <c r="J451" s="405">
        <v>5.446200000000001</v>
      </c>
      <c r="K451" s="405">
        <v>61.973999999999997</v>
      </c>
      <c r="L451" s="405">
        <v>5.3210000000000007E-2</v>
      </c>
      <c r="M451" s="405">
        <v>11.9253</v>
      </c>
      <c r="N451" s="405">
        <v>10.1412</v>
      </c>
      <c r="O451" s="405">
        <v>293.59399999999999</v>
      </c>
      <c r="P451" s="589">
        <v>3.2099999999999997E-2</v>
      </c>
      <c r="Q451" s="590">
        <v>1.6799999999999999E-2</v>
      </c>
      <c r="R451" s="590">
        <v>2.0500000000000001E-2</v>
      </c>
      <c r="S451" s="591">
        <v>0</v>
      </c>
      <c r="T451" s="311">
        <v>308.89999999999998</v>
      </c>
      <c r="U451" s="311">
        <v>308.89999999999998</v>
      </c>
      <c r="V451" s="311">
        <v>308.89999999999998</v>
      </c>
      <c r="W451" s="311">
        <v>308.89999999999998</v>
      </c>
      <c r="X451" s="311">
        <v>308.89999999999998</v>
      </c>
      <c r="Y451" s="311">
        <v>308.89999999999998</v>
      </c>
      <c r="Z451" s="311">
        <v>0</v>
      </c>
      <c r="AA451" s="311">
        <v>308.89999999999998</v>
      </c>
      <c r="AB451" s="311">
        <v>308.89999999999998</v>
      </c>
      <c r="AC451" s="311">
        <v>308.89999999999998</v>
      </c>
      <c r="AD451" s="311">
        <v>308.89999999999998</v>
      </c>
      <c r="AE451" s="311">
        <v>308.89999999999998</v>
      </c>
      <c r="AF451" s="311">
        <v>308.89999999999998</v>
      </c>
      <c r="AG451" s="311">
        <v>308.89999999999998</v>
      </c>
      <c r="AH451" s="311">
        <v>308.89999999999998</v>
      </c>
      <c r="AI451" s="311">
        <v>308.89999999999998</v>
      </c>
      <c r="AJ451" s="311">
        <v>308.89999999999998</v>
      </c>
      <c r="AK451" s="311">
        <v>308.89999999999998</v>
      </c>
      <c r="AL451" s="312">
        <v>308.89999999999998</v>
      </c>
      <c r="AM451" s="313">
        <v>0</v>
      </c>
      <c r="AN451" s="312">
        <v>0</v>
      </c>
      <c r="AO451" s="1"/>
      <c r="AS451" s="1"/>
    </row>
    <row r="452" spans="2:48" x14ac:dyDescent="0.25">
      <c r="B452" s="1343"/>
      <c r="D452" s="1346"/>
      <c r="G452" s="898" t="s">
        <v>675</v>
      </c>
      <c r="H452" s="1" t="s">
        <v>268</v>
      </c>
      <c r="I452" s="345"/>
      <c r="J452" s="346"/>
      <c r="K452" s="346"/>
      <c r="L452" s="346"/>
      <c r="M452" s="346"/>
      <c r="N452" s="346"/>
      <c r="O452" s="571"/>
      <c r="P452" s="263"/>
      <c r="Q452" s="207"/>
      <c r="R452" s="207"/>
      <c r="S452" s="208"/>
      <c r="T452" s="347">
        <v>0.185</v>
      </c>
      <c r="U452" s="347">
        <v>0.3448</v>
      </c>
      <c r="V452" s="347">
        <v>0.45660000000000001</v>
      </c>
      <c r="W452" s="347">
        <v>0.31790000000000002</v>
      </c>
      <c r="X452" s="347">
        <v>0.3448</v>
      </c>
      <c r="Y452" s="347">
        <v>0.3836</v>
      </c>
      <c r="Z452" s="347">
        <v>0</v>
      </c>
      <c r="AA452" s="348">
        <v>0.31790000000000002</v>
      </c>
      <c r="AB452" s="348">
        <v>0.19420000000000001</v>
      </c>
      <c r="AC452" s="348">
        <v>0.3448</v>
      </c>
      <c r="AD452" s="348">
        <v>0.23769999999999999</v>
      </c>
      <c r="AE452" s="348">
        <v>2.3340000000000001</v>
      </c>
      <c r="AF452" s="348">
        <v>0.3135</v>
      </c>
      <c r="AG452" s="348">
        <v>0.26550000000000001</v>
      </c>
      <c r="AH452" s="348">
        <v>0.1171</v>
      </c>
      <c r="AI452" s="348">
        <v>0.2467</v>
      </c>
      <c r="AJ452" s="348">
        <v>0.32240000000000002</v>
      </c>
      <c r="AK452" s="348">
        <v>0.2626</v>
      </c>
      <c r="AL452" s="349">
        <v>0.20519999999999999</v>
      </c>
      <c r="AM452" s="350">
        <v>0</v>
      </c>
      <c r="AN452" s="349">
        <v>0</v>
      </c>
      <c r="AO452" s="1"/>
      <c r="AP452" s="351">
        <v>1</v>
      </c>
      <c r="AQ452" s="352">
        <v>0</v>
      </c>
      <c r="AS452" s="1"/>
    </row>
    <row r="453" spans="2:48" x14ac:dyDescent="0.25">
      <c r="B453" s="1343"/>
      <c r="D453" s="1346"/>
      <c r="G453" s="534" t="s">
        <v>676</v>
      </c>
      <c r="H453" s="1" t="s">
        <v>268</v>
      </c>
      <c r="I453" s="353"/>
      <c r="J453" s="354"/>
      <c r="K453" s="354"/>
      <c r="L453" s="354"/>
      <c r="M453" s="354"/>
      <c r="N453" s="354"/>
      <c r="O453" s="572"/>
      <c r="P453" s="265"/>
      <c r="Q453" s="1"/>
      <c r="S453" s="209"/>
      <c r="T453" s="355">
        <v>0.53290000000000004</v>
      </c>
      <c r="U453" s="355">
        <v>1.4490000000000001</v>
      </c>
      <c r="V453" s="355">
        <v>2.9940000000000002</v>
      </c>
      <c r="W453" s="355">
        <v>2.1070000000000002</v>
      </c>
      <c r="X453" s="355">
        <v>1.4490000000000001</v>
      </c>
      <c r="Y453" s="355">
        <v>1.415</v>
      </c>
      <c r="Z453" s="355">
        <v>0</v>
      </c>
      <c r="AA453" s="356">
        <v>2.1070000000000002</v>
      </c>
      <c r="AB453" s="356">
        <v>0.63260000000000005</v>
      </c>
      <c r="AC453" s="356">
        <v>1.4490000000000001</v>
      </c>
      <c r="AD453" s="356">
        <v>1.1619999999999999</v>
      </c>
      <c r="AE453" s="356">
        <v>6.7210000000000001</v>
      </c>
      <c r="AF453" s="356">
        <v>1.7869999999999999</v>
      </c>
      <c r="AG453" s="356">
        <v>0.82589999999999997</v>
      </c>
      <c r="AH453" s="356">
        <v>0.77300000000000002</v>
      </c>
      <c r="AI453" s="356">
        <v>2.9750000000000001</v>
      </c>
      <c r="AJ453" s="356">
        <v>2.427</v>
      </c>
      <c r="AK453" s="356">
        <v>0.79879999999999995</v>
      </c>
      <c r="AL453" s="357">
        <v>0.33979999999999999</v>
      </c>
      <c r="AM453" s="358">
        <v>0</v>
      </c>
      <c r="AN453" s="357">
        <v>0</v>
      </c>
      <c r="AO453" s="1"/>
      <c r="AP453" s="359">
        <v>1</v>
      </c>
      <c r="AQ453" s="360">
        <v>0</v>
      </c>
      <c r="AS453" s="1"/>
    </row>
    <row r="454" spans="2:48" x14ac:dyDescent="0.25">
      <c r="B454" s="1343"/>
      <c r="D454" s="1346"/>
      <c r="G454" s="531" t="s">
        <v>678</v>
      </c>
      <c r="H454" s="1" t="s">
        <v>268</v>
      </c>
      <c r="I454" s="573"/>
      <c r="J454" s="574"/>
      <c r="K454" s="574"/>
      <c r="L454" s="574"/>
      <c r="M454" s="574"/>
      <c r="N454" s="574"/>
      <c r="O454" s="575"/>
      <c r="P454" s="268"/>
      <c r="Q454" s="210"/>
      <c r="R454" s="210"/>
      <c r="S454" s="211"/>
      <c r="T454" s="355">
        <v>1.6950000000000001</v>
      </c>
      <c r="U454" s="355">
        <v>2.7949999999999999</v>
      </c>
      <c r="V454" s="355">
        <v>3.645</v>
      </c>
      <c r="W454" s="355">
        <v>3.2160000000000002</v>
      </c>
      <c r="X454" s="355">
        <v>2.7949999999999999</v>
      </c>
      <c r="Y454" s="355">
        <v>1.99</v>
      </c>
      <c r="Z454" s="355">
        <v>0</v>
      </c>
      <c r="AA454" s="356">
        <v>3.2160000000000002</v>
      </c>
      <c r="AB454" s="356">
        <v>1.357</v>
      </c>
      <c r="AC454" s="356">
        <v>2.7949999999999999</v>
      </c>
      <c r="AD454" s="356">
        <v>1.966</v>
      </c>
      <c r="AE454" s="356">
        <v>5.6109999999999998</v>
      </c>
      <c r="AF454" s="356">
        <v>3.0379999999999998</v>
      </c>
      <c r="AG454" s="356">
        <v>1.46</v>
      </c>
      <c r="AH454" s="356">
        <v>2.657</v>
      </c>
      <c r="AI454" s="356">
        <v>4.694</v>
      </c>
      <c r="AJ454" s="356">
        <v>3.3940000000000001</v>
      </c>
      <c r="AK454" s="356">
        <v>1.4910000000000001</v>
      </c>
      <c r="AL454" s="357">
        <v>0.97040000000000004</v>
      </c>
      <c r="AM454" s="358">
        <v>0</v>
      </c>
      <c r="AN454" s="357">
        <v>0</v>
      </c>
      <c r="AO454" s="341"/>
      <c r="AP454" s="361">
        <v>1</v>
      </c>
      <c r="AQ454" s="362">
        <v>0</v>
      </c>
      <c r="AR454" s="363"/>
      <c r="AS454" s="1"/>
    </row>
    <row r="455" spans="2:48" x14ac:dyDescent="0.25">
      <c r="B455" s="1343"/>
      <c r="D455" s="1346"/>
      <c r="G455" s="292" t="s">
        <v>679</v>
      </c>
      <c r="H455" s="1" t="s">
        <v>268</v>
      </c>
      <c r="I455" s="364"/>
      <c r="J455" s="245"/>
      <c r="K455" s="245"/>
      <c r="L455" s="245"/>
      <c r="M455" s="245"/>
      <c r="N455" s="245"/>
      <c r="O455" s="245"/>
      <c r="P455" s="364"/>
      <c r="Q455" s="245"/>
      <c r="R455" s="245"/>
      <c r="S455" s="246"/>
      <c r="T455" s="365">
        <f t="shared" ref="T455:AN455" si="359">INDEX($P$459:$P$484,MATCH(T$433,$G$459:$G$484,0),1)</f>
        <v>172.3</v>
      </c>
      <c r="U455" s="365">
        <f t="shared" si="359"/>
        <v>88.4</v>
      </c>
      <c r="V455" s="365">
        <f t="shared" si="359"/>
        <v>43.55</v>
      </c>
      <c r="W455" s="365">
        <f t="shared" si="359"/>
        <v>36.94</v>
      </c>
      <c r="X455" s="365">
        <f t="shared" si="359"/>
        <v>62.79</v>
      </c>
      <c r="Y455" s="365">
        <f t="shared" si="359"/>
        <v>37.74</v>
      </c>
      <c r="Z455" s="365">
        <f t="shared" si="359"/>
        <v>0</v>
      </c>
      <c r="AA455" s="365">
        <f t="shared" si="359"/>
        <v>16.96</v>
      </c>
      <c r="AB455" s="365">
        <f t="shared" si="359"/>
        <v>265.89999999999998</v>
      </c>
      <c r="AC455" s="365">
        <f t="shared" si="359"/>
        <v>139.69999999999999</v>
      </c>
      <c r="AD455" s="365">
        <f t="shared" si="359"/>
        <v>139.69999999999999</v>
      </c>
      <c r="AE455" s="365">
        <f t="shared" si="359"/>
        <v>1711</v>
      </c>
      <c r="AF455" s="365">
        <f t="shared" si="359"/>
        <v>19.52</v>
      </c>
      <c r="AG455" s="365">
        <f t="shared" si="359"/>
        <v>235.1</v>
      </c>
      <c r="AH455" s="365">
        <f t="shared" si="359"/>
        <v>65.41</v>
      </c>
      <c r="AI455" s="365">
        <f t="shared" si="359"/>
        <v>2</v>
      </c>
      <c r="AJ455" s="365">
        <f t="shared" si="359"/>
        <v>27.08</v>
      </c>
      <c r="AK455" s="365">
        <f t="shared" si="359"/>
        <v>166.5</v>
      </c>
      <c r="AL455" s="366">
        <f t="shared" si="359"/>
        <v>152.80000000000001</v>
      </c>
      <c r="AM455" s="367">
        <f t="shared" si="359"/>
        <v>0</v>
      </c>
      <c r="AN455" s="368">
        <f t="shared" si="359"/>
        <v>0</v>
      </c>
      <c r="AO455" s="1"/>
      <c r="AP455" s="369">
        <v>1</v>
      </c>
      <c r="AQ455" s="370">
        <v>1</v>
      </c>
      <c r="AS455" s="1"/>
    </row>
    <row r="456" spans="2:48" x14ac:dyDescent="0.25">
      <c r="B456" s="1343"/>
      <c r="D456" s="1346"/>
      <c r="H456" s="1" t="s">
        <v>268</v>
      </c>
      <c r="Q456" s="1"/>
      <c r="AD456" s="220"/>
      <c r="AG456" s="1"/>
      <c r="AP456" s="220"/>
      <c r="AQ456" s="220"/>
      <c r="AS456" s="1"/>
      <c r="AT456" s="1"/>
      <c r="AU456" s="1"/>
    </row>
    <row r="457" spans="2:48" x14ac:dyDescent="0.25">
      <c r="B457" s="1343"/>
      <c r="D457" s="1346"/>
      <c r="I457" s="576" t="s">
        <v>708</v>
      </c>
      <c r="J457" s="577"/>
      <c r="K457" s="577"/>
      <c r="L457" s="577"/>
      <c r="M457" s="578"/>
      <c r="N457" s="1010" t="s">
        <v>636</v>
      </c>
      <c r="O457" s="1011"/>
      <c r="P457" s="1010" t="s">
        <v>709</v>
      </c>
      <c r="Q457" s="1012"/>
      <c r="R457" s="1012"/>
      <c r="S457" s="1011"/>
      <c r="U457" s="1"/>
      <c r="AD457" s="220"/>
      <c r="AE457" s="220"/>
      <c r="AG457" s="1"/>
      <c r="AH457" s="1"/>
      <c r="AP457" s="220"/>
      <c r="AQ457" s="220"/>
      <c r="AR457" s="220"/>
      <c r="AS457" s="1"/>
      <c r="AT457" s="1"/>
      <c r="AU457" s="1"/>
      <c r="AV457" s="1"/>
    </row>
    <row r="458" spans="2:48" x14ac:dyDescent="0.25">
      <c r="B458" s="1343"/>
      <c r="D458" s="1346"/>
      <c r="G458" s="458" t="s">
        <v>710</v>
      </c>
      <c r="I458" s="459" t="s">
        <v>615</v>
      </c>
      <c r="J458" s="460" t="s">
        <v>618</v>
      </c>
      <c r="K458" s="460" t="s">
        <v>616</v>
      </c>
      <c r="L458" s="460" t="s">
        <v>617</v>
      </c>
      <c r="M458" s="460" t="s">
        <v>711</v>
      </c>
      <c r="N458" s="459" t="s">
        <v>712</v>
      </c>
      <c r="O458" s="460" t="s">
        <v>713</v>
      </c>
      <c r="P458" s="461" t="s">
        <v>714</v>
      </c>
      <c r="Q458" s="462" t="s">
        <v>715</v>
      </c>
      <c r="R458" s="460" t="s">
        <v>716</v>
      </c>
      <c r="S458" s="463" t="s">
        <v>717</v>
      </c>
      <c r="AD458" s="220"/>
      <c r="AG458" s="1"/>
      <c r="AH458" s="1"/>
      <c r="AP458" s="220"/>
      <c r="AQ458" s="220"/>
      <c r="AR458" s="220"/>
      <c r="AS458" s="1"/>
      <c r="AT458" s="1"/>
      <c r="AU458" s="1"/>
      <c r="AV458" s="1"/>
    </row>
    <row r="459" spans="2:48" x14ac:dyDescent="0.25">
      <c r="B459" s="1343"/>
      <c r="D459" s="1346"/>
      <c r="G459" s="579" t="s">
        <v>91</v>
      </c>
      <c r="I459" s="464">
        <v>1</v>
      </c>
      <c r="J459" s="465">
        <f>'A7(c)'!F8</f>
        <v>0.66852682612198233</v>
      </c>
      <c r="K459" s="465">
        <f>J459-M459</f>
        <v>0.58316607939672327</v>
      </c>
      <c r="L459" s="465">
        <f>J459+M459</f>
        <v>0.75388757284724139</v>
      </c>
      <c r="M459" s="465">
        <f>'A7(c)'!G8</f>
        <v>8.5360746725259007E-2</v>
      </c>
      <c r="N459" s="251">
        <v>6797</v>
      </c>
      <c r="O459" s="466">
        <v>2493</v>
      </c>
      <c r="P459" s="467">
        <v>172.3</v>
      </c>
      <c r="Q459" s="468">
        <v>0.87</v>
      </c>
      <c r="R459" s="468">
        <v>0.86</v>
      </c>
      <c r="S459" s="469">
        <v>0.87</v>
      </c>
      <c r="V459" s="341"/>
      <c r="W459" s="341"/>
      <c r="AD459" s="220"/>
      <c r="AG459" s="1"/>
      <c r="AH459" s="1"/>
      <c r="AP459" s="220"/>
      <c r="AQ459" s="220"/>
      <c r="AR459" s="220"/>
      <c r="AS459" s="1"/>
      <c r="AT459" s="1"/>
      <c r="AU459" s="1"/>
      <c r="AV459" s="1"/>
    </row>
    <row r="460" spans="2:48" x14ac:dyDescent="0.25">
      <c r="B460" s="1343"/>
      <c r="D460" s="1346"/>
      <c r="G460" s="533" t="s">
        <v>97</v>
      </c>
      <c r="I460" s="470">
        <v>1</v>
      </c>
      <c r="J460" s="471">
        <f>'A7(c)'!F9</f>
        <v>0.76354363276020898</v>
      </c>
      <c r="K460" s="471">
        <f>J460-M460</f>
        <v>0.61282539264117808</v>
      </c>
      <c r="L460" s="471">
        <f>J460+M460</f>
        <v>0.91426187287923988</v>
      </c>
      <c r="M460" s="471">
        <f>'A7(c)'!G9</f>
        <v>0.15071824011903087</v>
      </c>
      <c r="N460" s="254">
        <v>9673</v>
      </c>
      <c r="O460" s="339">
        <v>1601</v>
      </c>
      <c r="P460" s="472">
        <v>37.74</v>
      </c>
      <c r="Q460" s="473">
        <v>0.86</v>
      </c>
      <c r="R460" s="473">
        <v>0.86</v>
      </c>
      <c r="S460" s="474">
        <v>0.86</v>
      </c>
      <c r="V460" s="341"/>
      <c r="W460" s="341"/>
      <c r="AD460" s="220"/>
      <c r="AG460" s="1"/>
      <c r="AH460" s="1"/>
      <c r="AP460" s="220"/>
      <c r="AQ460" s="220"/>
      <c r="AR460" s="220"/>
      <c r="AS460" s="1"/>
      <c r="AT460" s="1"/>
      <c r="AU460" s="1"/>
      <c r="AV460" s="1"/>
    </row>
    <row r="461" spans="2:48" x14ac:dyDescent="0.25">
      <c r="B461" s="1343"/>
      <c r="D461" s="1346"/>
      <c r="G461" s="533" t="s">
        <v>628</v>
      </c>
      <c r="I461" s="470">
        <f>I460</f>
        <v>1</v>
      </c>
      <c r="J461" s="471">
        <f>'A7(c)'!F10</f>
        <v>0.76354363276020898</v>
      </c>
      <c r="K461" s="471">
        <f>K460</f>
        <v>0.61282539264117808</v>
      </c>
      <c r="L461" s="471">
        <f>L460</f>
        <v>0.91426187287923988</v>
      </c>
      <c r="M461" s="471">
        <f>'A7(c)'!G10</f>
        <v>0.15071824011903087</v>
      </c>
      <c r="N461" s="254">
        <v>46478.33</v>
      </c>
      <c r="O461" s="475">
        <v>0</v>
      </c>
      <c r="P461" s="476">
        <v>0</v>
      </c>
      <c r="Q461" s="473">
        <v>0.3</v>
      </c>
      <c r="R461" s="477">
        <v>0.3</v>
      </c>
      <c r="S461" s="474">
        <v>0.3</v>
      </c>
      <c r="V461" s="341"/>
      <c r="W461" s="341"/>
      <c r="AD461" s="220"/>
      <c r="AG461" s="1"/>
      <c r="AH461" s="1"/>
      <c r="AP461" s="220"/>
      <c r="AQ461" s="220"/>
      <c r="AR461" s="220"/>
      <c r="AS461" s="1"/>
      <c r="AT461" s="1"/>
      <c r="AU461" s="1"/>
      <c r="AV461" s="1"/>
    </row>
    <row r="462" spans="2:48" x14ac:dyDescent="0.25">
      <c r="B462" s="1343"/>
      <c r="D462" s="1346"/>
      <c r="G462" s="533" t="s">
        <v>98</v>
      </c>
      <c r="I462" s="470">
        <v>1</v>
      </c>
      <c r="J462" s="471">
        <f>'A7(c)'!F11</f>
        <v>0.97971235840651649</v>
      </c>
      <c r="K462" s="471">
        <f t="shared" ref="K462:K484" si="360">J462-M462</f>
        <v>0.92334068938658709</v>
      </c>
      <c r="L462" s="471">
        <f t="shared" ref="L462:L484" si="361">J462+M462</f>
        <v>1.036084027426446</v>
      </c>
      <c r="M462" s="471">
        <f>'A7(c)'!G11</f>
        <v>5.6371669019929418E-2</v>
      </c>
      <c r="N462" s="254">
        <v>4837</v>
      </c>
      <c r="O462" s="339">
        <v>1869</v>
      </c>
      <c r="P462" s="472">
        <v>265.89999999999998</v>
      </c>
      <c r="Q462" s="473">
        <v>0.88</v>
      </c>
      <c r="R462" s="473">
        <v>0.85</v>
      </c>
      <c r="S462" s="474">
        <v>0.88</v>
      </c>
      <c r="V462" s="341"/>
      <c r="W462" s="341"/>
      <c r="AD462" s="220"/>
      <c r="AG462" s="1"/>
      <c r="AH462" s="1"/>
      <c r="AP462" s="220"/>
      <c r="AQ462" s="220"/>
      <c r="AR462" s="220"/>
      <c r="AS462" s="1"/>
      <c r="AT462" s="1"/>
      <c r="AU462" s="1"/>
      <c r="AV462" s="1"/>
    </row>
    <row r="463" spans="2:48" x14ac:dyDescent="0.25">
      <c r="B463" s="1343"/>
      <c r="D463" s="1346"/>
      <c r="G463" s="533" t="s">
        <v>99</v>
      </c>
      <c r="I463" s="470">
        <v>1</v>
      </c>
      <c r="J463" s="471">
        <f>'A7(c)'!F12</f>
        <v>0.70974031487509404</v>
      </c>
      <c r="K463" s="471">
        <f t="shared" si="360"/>
        <v>0.56337675171880031</v>
      </c>
      <c r="L463" s="471">
        <f t="shared" si="361"/>
        <v>0.85610387803138777</v>
      </c>
      <c r="M463" s="471">
        <f>'A7(c)'!G12</f>
        <v>0.1463635631562937</v>
      </c>
      <c r="N463" s="254">
        <v>5758</v>
      </c>
      <c r="O463" s="339">
        <v>2521</v>
      </c>
      <c r="P463" s="472">
        <v>235.1</v>
      </c>
      <c r="Q463" s="473">
        <v>0.87</v>
      </c>
      <c r="R463" s="473">
        <v>0.84</v>
      </c>
      <c r="S463" s="474">
        <v>0.87</v>
      </c>
      <c r="V463" s="341"/>
      <c r="W463" s="341"/>
      <c r="AD463" s="220"/>
      <c r="AG463" s="1"/>
      <c r="AH463" s="1"/>
      <c r="AP463" s="220"/>
      <c r="AQ463" s="220"/>
      <c r="AR463" s="220"/>
      <c r="AS463" s="1"/>
      <c r="AT463" s="1"/>
      <c r="AU463" s="1"/>
      <c r="AV463" s="1"/>
    </row>
    <row r="464" spans="2:48" x14ac:dyDescent="0.25">
      <c r="B464" s="1343"/>
      <c r="D464" s="1346"/>
      <c r="G464" s="533" t="s">
        <v>100</v>
      </c>
      <c r="I464" s="470">
        <v>1</v>
      </c>
      <c r="J464" s="471">
        <f>'A7(c)'!F13</f>
        <v>0.70974031487509404</v>
      </c>
      <c r="K464" s="471">
        <f t="shared" si="360"/>
        <v>0.56337675171880031</v>
      </c>
      <c r="L464" s="471">
        <f t="shared" si="361"/>
        <v>0.85610387803138777</v>
      </c>
      <c r="M464" s="471">
        <f>'A7(c)'!G13</f>
        <v>0.1463635631562937</v>
      </c>
      <c r="N464" s="254">
        <v>6476</v>
      </c>
      <c r="O464" s="339">
        <v>2698</v>
      </c>
      <c r="P464" s="472">
        <v>166.5</v>
      </c>
      <c r="Q464" s="473">
        <v>0.87</v>
      </c>
      <c r="R464" s="473">
        <v>0.87</v>
      </c>
      <c r="S464" s="474">
        <v>0.87</v>
      </c>
      <c r="V464" s="341"/>
      <c r="W464" s="341"/>
      <c r="AG464" s="1"/>
      <c r="AP464" s="220"/>
      <c r="AQ464" s="220"/>
      <c r="AS464" s="1"/>
      <c r="AT464" s="1"/>
      <c r="AU464" s="1"/>
    </row>
    <row r="465" spans="2:46" x14ac:dyDescent="0.25">
      <c r="B465" s="1343"/>
      <c r="D465" s="1346"/>
      <c r="G465" s="533" t="s">
        <v>101</v>
      </c>
      <c r="I465" s="470">
        <v>1</v>
      </c>
      <c r="J465" s="471">
        <f>'A7(c)'!F14</f>
        <v>0.64611267121742311</v>
      </c>
      <c r="K465" s="471">
        <f t="shared" si="360"/>
        <v>0.51604206822491239</v>
      </c>
      <c r="L465" s="471">
        <f t="shared" si="361"/>
        <v>0.77618327420993383</v>
      </c>
      <c r="M465" s="471">
        <f>'A7(c)'!G14</f>
        <v>0.13007060299251069</v>
      </c>
      <c r="N465" s="254">
        <v>7937</v>
      </c>
      <c r="O465" s="339">
        <v>4072</v>
      </c>
      <c r="P465" s="472">
        <v>152.80000000000001</v>
      </c>
      <c r="Q465" s="473">
        <v>0.87</v>
      </c>
      <c r="R465" s="473">
        <v>0.9</v>
      </c>
      <c r="S465" s="474">
        <v>0.87</v>
      </c>
      <c r="V465" s="341"/>
      <c r="W465" s="341"/>
      <c r="AP465" s="220"/>
      <c r="AS465" s="1"/>
      <c r="AT465" s="1"/>
    </row>
    <row r="466" spans="2:46" x14ac:dyDescent="0.25">
      <c r="B466" s="1343"/>
      <c r="D466" s="1346"/>
      <c r="G466" s="533" t="s">
        <v>102</v>
      </c>
      <c r="I466" s="470">
        <v>1</v>
      </c>
      <c r="J466" s="471">
        <f>'A7(c)'!F15</f>
        <v>0.87773596146249411</v>
      </c>
      <c r="K466" s="471">
        <f t="shared" si="360"/>
        <v>0.66294319311784078</v>
      </c>
      <c r="L466" s="471">
        <f t="shared" si="361"/>
        <v>1.0925287298071473</v>
      </c>
      <c r="M466" s="471">
        <f>'A7(c)'!G15</f>
        <v>0.21479276834465333</v>
      </c>
      <c r="N466" s="254">
        <v>3855</v>
      </c>
      <c r="O466" s="339">
        <v>533.79999999999995</v>
      </c>
      <c r="P466" s="472">
        <v>88.4</v>
      </c>
      <c r="Q466" s="473">
        <v>0.87</v>
      </c>
      <c r="R466" s="473">
        <v>0.87</v>
      </c>
      <c r="S466" s="474">
        <v>0.87</v>
      </c>
      <c r="V466" s="341"/>
      <c r="W466" s="341"/>
      <c r="AP466" s="220"/>
      <c r="AS466" s="1"/>
      <c r="AT466" s="1"/>
    </row>
    <row r="467" spans="2:46" x14ac:dyDescent="0.25">
      <c r="B467" s="1343"/>
      <c r="D467" s="1346"/>
      <c r="G467" s="533" t="s">
        <v>103</v>
      </c>
      <c r="I467" s="470">
        <v>1</v>
      </c>
      <c r="J467" s="471">
        <f>'A7(c)'!F16</f>
        <v>0.87773596146249411</v>
      </c>
      <c r="K467" s="471">
        <f t="shared" si="360"/>
        <v>0.66294319311784078</v>
      </c>
      <c r="L467" s="471">
        <f t="shared" si="361"/>
        <v>1.0925287298071473</v>
      </c>
      <c r="M467" s="471">
        <f>'A7(c)'!G16</f>
        <v>0.21479276834465333</v>
      </c>
      <c r="N467" s="254">
        <v>11090</v>
      </c>
      <c r="O467" s="475">
        <v>0</v>
      </c>
      <c r="P467" s="472">
        <v>43.55</v>
      </c>
      <c r="Q467" s="473">
        <v>0.1</v>
      </c>
      <c r="R467" s="477">
        <v>1</v>
      </c>
      <c r="S467" s="474">
        <v>0.1</v>
      </c>
      <c r="V467" s="341"/>
      <c r="W467" s="341"/>
      <c r="AP467" s="220"/>
      <c r="AS467" s="1"/>
      <c r="AT467" s="1"/>
    </row>
    <row r="468" spans="2:46" x14ac:dyDescent="0.25">
      <c r="B468" s="1343"/>
      <c r="D468" s="1346"/>
      <c r="G468" s="533" t="s">
        <v>104</v>
      </c>
      <c r="I468" s="470">
        <v>1</v>
      </c>
      <c r="J468" s="471">
        <f>'A7(c)'!F17</f>
        <v>0.87773596146249411</v>
      </c>
      <c r="K468" s="471">
        <f t="shared" si="360"/>
        <v>0.66294319311784078</v>
      </c>
      <c r="L468" s="471">
        <f t="shared" si="361"/>
        <v>1.0925287298071473</v>
      </c>
      <c r="M468" s="471">
        <f>'A7(c)'!G17</f>
        <v>0.21479276834465333</v>
      </c>
      <c r="N468" s="254">
        <v>1699</v>
      </c>
      <c r="O468" s="339">
        <v>288.39999999999998</v>
      </c>
      <c r="P468" s="472">
        <v>62.79</v>
      </c>
      <c r="Q468" s="473">
        <v>0.88</v>
      </c>
      <c r="R468" s="473">
        <v>0.88</v>
      </c>
      <c r="S468" s="474">
        <v>0.88</v>
      </c>
      <c r="V468" s="341"/>
      <c r="W468" s="341"/>
      <c r="AP468" s="220"/>
      <c r="AS468" s="1"/>
    </row>
    <row r="469" spans="2:46" x14ac:dyDescent="0.25">
      <c r="B469" s="1343"/>
      <c r="D469" s="1346"/>
      <c r="G469" s="533" t="s">
        <v>108</v>
      </c>
      <c r="I469" s="470">
        <v>1</v>
      </c>
      <c r="J469" s="471">
        <f>'A7(c)'!F18</f>
        <v>0.69583791583791577</v>
      </c>
      <c r="K469" s="471">
        <f t="shared" si="360"/>
        <v>0.5629070333270475</v>
      </c>
      <c r="L469" s="471">
        <f t="shared" si="361"/>
        <v>0.82876879834878403</v>
      </c>
      <c r="M469" s="471">
        <f>'A7(c)'!G18</f>
        <v>0.13293088251086829</v>
      </c>
      <c r="N469" s="254">
        <v>1333</v>
      </c>
      <c r="O469" s="475">
        <v>0</v>
      </c>
      <c r="P469" s="472">
        <v>16.96</v>
      </c>
      <c r="Q469" s="473">
        <v>0.95</v>
      </c>
      <c r="R469" s="477">
        <v>1</v>
      </c>
      <c r="S469" s="474">
        <v>0.95</v>
      </c>
      <c r="V469" s="341"/>
      <c r="W469" s="341"/>
    </row>
    <row r="470" spans="2:46" x14ac:dyDescent="0.25">
      <c r="B470" s="1343"/>
      <c r="D470" s="1346"/>
      <c r="G470" s="533" t="s">
        <v>629</v>
      </c>
      <c r="I470" s="470">
        <v>1</v>
      </c>
      <c r="J470" s="471">
        <f>'A7(c)'!F19</f>
        <v>0.87773596146249411</v>
      </c>
      <c r="K470" s="471">
        <f t="shared" si="360"/>
        <v>0.66294319311784078</v>
      </c>
      <c r="L470" s="471">
        <f t="shared" si="361"/>
        <v>1.0925287298071473</v>
      </c>
      <c r="M470" s="471">
        <f>'A7(c)'!G19</f>
        <v>0.21479276834465333</v>
      </c>
      <c r="N470" s="254">
        <v>3411</v>
      </c>
      <c r="O470" s="339">
        <v>482.9</v>
      </c>
      <c r="P470" s="472">
        <v>139.69999999999999</v>
      </c>
      <c r="Q470" s="473">
        <v>0.87</v>
      </c>
      <c r="R470" s="473">
        <v>0.87</v>
      </c>
      <c r="S470" s="474">
        <v>0.87</v>
      </c>
      <c r="V470" s="341"/>
      <c r="W470" s="341"/>
    </row>
    <row r="471" spans="2:46" x14ac:dyDescent="0.25">
      <c r="B471" s="1343"/>
      <c r="D471" s="1346"/>
      <c r="G471" s="533" t="s">
        <v>105</v>
      </c>
      <c r="I471" s="470">
        <v>1</v>
      </c>
      <c r="J471" s="471">
        <f>'A7(c)'!F20</f>
        <v>0.87773596146249411</v>
      </c>
      <c r="K471" s="471">
        <f t="shared" si="360"/>
        <v>0.66294319311784078</v>
      </c>
      <c r="L471" s="471">
        <f t="shared" si="361"/>
        <v>1.0925287298071473</v>
      </c>
      <c r="M471" s="471">
        <f>'A7(c)'!G20</f>
        <v>0.21479276834465333</v>
      </c>
      <c r="N471" s="254">
        <v>5825</v>
      </c>
      <c r="O471" s="475">
        <v>0</v>
      </c>
      <c r="P471" s="472">
        <v>139.69999999999999</v>
      </c>
      <c r="Q471" s="473">
        <v>0.21</v>
      </c>
      <c r="R471" s="477">
        <v>1</v>
      </c>
      <c r="S471" s="474">
        <v>0.21</v>
      </c>
      <c r="V471" s="341"/>
      <c r="W471" s="341"/>
    </row>
    <row r="472" spans="2:46" x14ac:dyDescent="0.25">
      <c r="B472" s="1343"/>
      <c r="D472" s="1346"/>
      <c r="G472" s="533" t="s">
        <v>107</v>
      </c>
      <c r="I472" s="470">
        <v>1</v>
      </c>
      <c r="J472" s="471">
        <f>'A7(c)'!F21</f>
        <v>0.69583791583791577</v>
      </c>
      <c r="K472" s="471">
        <f t="shared" si="360"/>
        <v>0.5629070333270475</v>
      </c>
      <c r="L472" s="471">
        <f t="shared" si="361"/>
        <v>0.82876879834878403</v>
      </c>
      <c r="M472" s="471">
        <f>'A7(c)'!G21</f>
        <v>0.13293088251086829</v>
      </c>
      <c r="N472" s="254">
        <v>1461</v>
      </c>
      <c r="O472" s="339">
        <v>645.1</v>
      </c>
      <c r="P472" s="472">
        <v>36.94</v>
      </c>
      <c r="Q472" s="473">
        <v>0.92</v>
      </c>
      <c r="R472" s="473">
        <v>0.88</v>
      </c>
      <c r="S472" s="474">
        <v>0.92</v>
      </c>
      <c r="V472" s="341"/>
      <c r="W472" s="341"/>
    </row>
    <row r="473" spans="2:46" x14ac:dyDescent="0.25">
      <c r="B473" s="1343"/>
      <c r="D473" s="1346"/>
      <c r="G473" s="533" t="s">
        <v>109</v>
      </c>
      <c r="I473" s="470">
        <v>1</v>
      </c>
      <c r="J473" s="471">
        <f>'A7(c)'!F22</f>
        <v>0.69583791583791577</v>
      </c>
      <c r="K473" s="471">
        <f t="shared" si="360"/>
        <v>0.5629070333270475</v>
      </c>
      <c r="L473" s="471">
        <f t="shared" si="361"/>
        <v>0.82876879834878403</v>
      </c>
      <c r="M473" s="471">
        <f>'A7(c)'!G22</f>
        <v>0.13293088251086829</v>
      </c>
      <c r="N473" s="254">
        <v>3895</v>
      </c>
      <c r="O473" s="339">
        <v>1727</v>
      </c>
      <c r="P473" s="472">
        <v>19.52</v>
      </c>
      <c r="Q473" s="473">
        <v>0.92</v>
      </c>
      <c r="R473" s="473">
        <v>0.88</v>
      </c>
      <c r="S473" s="474">
        <v>0.92</v>
      </c>
      <c r="V473" s="341"/>
      <c r="W473" s="341"/>
    </row>
    <row r="474" spans="2:46" x14ac:dyDescent="0.25">
      <c r="B474" s="1343"/>
      <c r="D474" s="1346"/>
      <c r="G474" s="533" t="s">
        <v>110</v>
      </c>
      <c r="I474" s="470">
        <v>1</v>
      </c>
      <c r="J474" s="471">
        <f>'A7(c)'!F23</f>
        <v>0.69583791583791577</v>
      </c>
      <c r="K474" s="471">
        <f t="shared" si="360"/>
        <v>0.5629070333270475</v>
      </c>
      <c r="L474" s="471">
        <f t="shared" si="361"/>
        <v>0.82876879834878403</v>
      </c>
      <c r="M474" s="471">
        <f>'A7(c)'!G23</f>
        <v>0.13293088251086829</v>
      </c>
      <c r="N474" s="254">
        <v>2168</v>
      </c>
      <c r="O474" s="475">
        <v>0</v>
      </c>
      <c r="P474" s="472">
        <v>27.08</v>
      </c>
      <c r="Q474" s="473">
        <v>0.93</v>
      </c>
      <c r="R474" s="477">
        <v>1</v>
      </c>
      <c r="S474" s="474">
        <v>0.93</v>
      </c>
      <c r="V474" s="341"/>
      <c r="W474" s="341"/>
    </row>
    <row r="475" spans="2:46" x14ac:dyDescent="0.25">
      <c r="B475" s="1343"/>
      <c r="D475" s="1346"/>
      <c r="G475" s="533" t="s">
        <v>106</v>
      </c>
      <c r="I475" s="470">
        <v>1</v>
      </c>
      <c r="J475" s="471">
        <f>'A7(c)'!F24</f>
        <v>0.87773596146249411</v>
      </c>
      <c r="K475" s="471">
        <f t="shared" si="360"/>
        <v>0.66294319311784078</v>
      </c>
      <c r="L475" s="471">
        <f t="shared" si="361"/>
        <v>1.0925287298071473</v>
      </c>
      <c r="M475" s="471">
        <f>'A7(c)'!G24</f>
        <v>0.21479276834465333</v>
      </c>
      <c r="N475" s="254">
        <v>2162</v>
      </c>
      <c r="O475" s="339">
        <v>1074</v>
      </c>
      <c r="P475" s="472">
        <v>65.41</v>
      </c>
      <c r="Q475" s="473">
        <v>0.89</v>
      </c>
      <c r="R475" s="473">
        <v>0.88</v>
      </c>
      <c r="S475" s="474">
        <v>0.89</v>
      </c>
      <c r="V475" s="341"/>
      <c r="W475" s="341"/>
    </row>
    <row r="476" spans="2:46" x14ac:dyDescent="0.25">
      <c r="B476" s="1343"/>
      <c r="D476" s="1346"/>
      <c r="G476" s="533" t="s">
        <v>111</v>
      </c>
      <c r="I476" s="470">
        <v>1</v>
      </c>
      <c r="J476" s="471">
        <f>'A7(c)'!F25</f>
        <v>0.78316704421159455</v>
      </c>
      <c r="K476" s="471">
        <f t="shared" si="360"/>
        <v>0.53250152632091829</v>
      </c>
      <c r="L476" s="471">
        <f t="shared" si="361"/>
        <v>1.0338325621022708</v>
      </c>
      <c r="M476" s="471">
        <f>'A7(c)'!G25</f>
        <v>0.25066551789067631</v>
      </c>
      <c r="N476" s="254">
        <v>44050</v>
      </c>
      <c r="O476" s="475">
        <v>0</v>
      </c>
      <c r="P476" s="472">
        <v>1711</v>
      </c>
      <c r="Q476" s="473">
        <v>0.21</v>
      </c>
      <c r="R476" s="477">
        <v>1</v>
      </c>
      <c r="S476" s="474">
        <v>0.21</v>
      </c>
      <c r="V476" s="341"/>
      <c r="W476" s="341"/>
    </row>
    <row r="477" spans="2:46" x14ac:dyDescent="0.25">
      <c r="B477" s="1343"/>
      <c r="D477" s="1346"/>
      <c r="G477" s="580" t="s">
        <v>112</v>
      </c>
      <c r="I477" s="478">
        <v>1</v>
      </c>
      <c r="J477" s="479">
        <f>'A7(c)'!F26</f>
        <v>0.7950192355380219</v>
      </c>
      <c r="K477" s="479">
        <f t="shared" si="360"/>
        <v>0.56113918764887349</v>
      </c>
      <c r="L477" s="479">
        <f t="shared" si="361"/>
        <v>1.0288992834271704</v>
      </c>
      <c r="M477" s="479">
        <f>'A7(c)'!G26</f>
        <v>0.23388004788914843</v>
      </c>
      <c r="N477" s="258">
        <v>72200</v>
      </c>
      <c r="O477" s="480">
        <v>0</v>
      </c>
      <c r="P477" s="481">
        <v>2</v>
      </c>
      <c r="Q477" s="482">
        <v>0.32</v>
      </c>
      <c r="R477" s="483">
        <v>1</v>
      </c>
      <c r="S477" s="484">
        <v>0.32</v>
      </c>
      <c r="V477" s="341"/>
      <c r="W477" s="341"/>
    </row>
    <row r="478" spans="2:46" x14ac:dyDescent="0.25">
      <c r="B478" s="1343"/>
      <c r="D478" s="1346"/>
      <c r="G478" s="533" t="s">
        <v>113</v>
      </c>
      <c r="I478" s="470">
        <v>1</v>
      </c>
      <c r="J478" s="471">
        <f>'A7(c)'!F27</f>
        <v>1.0189162942842958</v>
      </c>
      <c r="K478" s="471">
        <f t="shared" si="360"/>
        <v>0.98341484548783042</v>
      </c>
      <c r="L478" s="471">
        <f t="shared" si="361"/>
        <v>1.0544177430807611</v>
      </c>
      <c r="M478" s="471">
        <f>'A7(c)'!G27</f>
        <v>3.5501448796465315E-2</v>
      </c>
      <c r="N478" s="254">
        <v>370.52</v>
      </c>
      <c r="O478" s="485"/>
      <c r="P478" s="472"/>
      <c r="Q478" s="473"/>
      <c r="R478" s="486"/>
      <c r="S478" s="487"/>
      <c r="V478" s="341"/>
      <c r="W478" s="341"/>
    </row>
    <row r="479" spans="2:46" x14ac:dyDescent="0.25">
      <c r="B479" s="1343"/>
      <c r="D479" s="1346"/>
      <c r="G479" s="533" t="s">
        <v>114</v>
      </c>
      <c r="I479" s="470">
        <v>1</v>
      </c>
      <c r="J479" s="471">
        <f>'A7(c)'!F28</f>
        <v>1.0542084541432855</v>
      </c>
      <c r="K479" s="471">
        <f t="shared" si="360"/>
        <v>0.97273393585143386</v>
      </c>
      <c r="L479" s="471">
        <f t="shared" si="361"/>
        <v>1.1356829724351369</v>
      </c>
      <c r="M479" s="471">
        <f>'A7(c)'!G28</f>
        <v>8.1474518291851553E-2</v>
      </c>
      <c r="N479" s="254">
        <v>16.760000000000002</v>
      </c>
      <c r="O479" s="485"/>
      <c r="P479" s="472"/>
      <c r="Q479" s="473"/>
      <c r="R479" s="486"/>
      <c r="S479" s="487"/>
      <c r="V479" s="341"/>
      <c r="W479" s="341"/>
    </row>
    <row r="480" spans="2:46" x14ac:dyDescent="0.25">
      <c r="B480" s="1343"/>
      <c r="D480" s="1346"/>
      <c r="G480" s="533" t="s">
        <v>2366</v>
      </c>
      <c r="I480" s="470">
        <v>1</v>
      </c>
      <c r="J480" s="471">
        <f>'A7(c)'!F29</f>
        <v>0.99800746185133227</v>
      </c>
      <c r="K480" s="471">
        <f t="shared" si="360"/>
        <v>0.92465534108388525</v>
      </c>
      <c r="L480" s="471">
        <f t="shared" si="361"/>
        <v>1.0713595826187792</v>
      </c>
      <c r="M480" s="471">
        <f>'A7(c)'!G29</f>
        <v>7.3352120767446988E-2</v>
      </c>
      <c r="N480" s="254">
        <v>11700</v>
      </c>
      <c r="O480" s="485"/>
      <c r="P480" s="472"/>
      <c r="Q480" s="473"/>
      <c r="R480" s="486"/>
      <c r="S480" s="487"/>
      <c r="V480" s="341"/>
      <c r="W480" s="341"/>
    </row>
    <row r="481" spans="2:23" x14ac:dyDescent="0.25">
      <c r="B481" s="1343"/>
      <c r="D481" s="1346"/>
      <c r="G481" s="533" t="s">
        <v>115</v>
      </c>
      <c r="I481" s="470">
        <v>1</v>
      </c>
      <c r="J481" s="471">
        <f>'A7(c)'!F30</f>
        <v>0.85614044645762133</v>
      </c>
      <c r="K481" s="471">
        <f t="shared" si="360"/>
        <v>0.78406137982835156</v>
      </c>
      <c r="L481" s="471">
        <f t="shared" si="361"/>
        <v>0.9282195130868911</v>
      </c>
      <c r="M481" s="471">
        <f>'A7(c)'!G30</f>
        <v>7.2079066629269717E-2</v>
      </c>
      <c r="N481" s="254">
        <v>661972</v>
      </c>
      <c r="O481" s="485"/>
      <c r="P481" s="472"/>
      <c r="Q481" s="473"/>
      <c r="R481" s="486"/>
      <c r="S481" s="487"/>
      <c r="V481" s="341"/>
      <c r="W481" s="341"/>
    </row>
    <row r="482" spans="2:23" x14ac:dyDescent="0.25">
      <c r="B482" s="1343"/>
      <c r="D482" s="1346"/>
      <c r="G482" s="580" t="s">
        <v>116</v>
      </c>
      <c r="I482" s="478">
        <v>1</v>
      </c>
      <c r="J482" s="479">
        <f>'A7(c)'!F31</f>
        <v>0.89470537923169602</v>
      </c>
      <c r="K482" s="479">
        <f t="shared" si="360"/>
        <v>0.86430062630480176</v>
      </c>
      <c r="L482" s="479">
        <f t="shared" si="361"/>
        <v>0.92511013215859028</v>
      </c>
      <c r="M482" s="479">
        <f>'A7(c)'!G31</f>
        <v>3.0404752926894263E-2</v>
      </c>
      <c r="N482" s="258">
        <v>17.760000000000002</v>
      </c>
      <c r="O482" s="489"/>
      <c r="P482" s="481"/>
      <c r="Q482" s="482"/>
      <c r="R482" s="490"/>
      <c r="S482" s="491"/>
      <c r="V482" s="341"/>
      <c r="W482" s="341"/>
    </row>
    <row r="483" spans="2:23" x14ac:dyDescent="0.25">
      <c r="B483" s="1343"/>
      <c r="D483" s="1346"/>
      <c r="G483" s="897" t="s">
        <v>630</v>
      </c>
      <c r="I483" s="492">
        <v>1</v>
      </c>
      <c r="J483" s="493">
        <v>1</v>
      </c>
      <c r="K483" s="493">
        <f t="shared" si="360"/>
        <v>1</v>
      </c>
      <c r="L483" s="493">
        <f t="shared" si="361"/>
        <v>1</v>
      </c>
      <c r="M483" s="1247">
        <v>0</v>
      </c>
      <c r="N483" s="494">
        <v>68073.75</v>
      </c>
      <c r="O483" s="495">
        <v>0</v>
      </c>
      <c r="P483" s="496">
        <v>0</v>
      </c>
      <c r="Q483" s="497">
        <v>0.16</v>
      </c>
      <c r="R483" s="498">
        <v>1</v>
      </c>
      <c r="S483" s="499">
        <v>1</v>
      </c>
      <c r="V483" s="341"/>
      <c r="W483" s="341"/>
    </row>
    <row r="484" spans="2:23" x14ac:dyDescent="0.25">
      <c r="B484" s="1343"/>
      <c r="D484" s="1346"/>
      <c r="G484" s="896" t="s">
        <v>631</v>
      </c>
      <c r="I484" s="500">
        <v>1</v>
      </c>
      <c r="J484" s="501">
        <v>1</v>
      </c>
      <c r="K484" s="501">
        <f t="shared" si="360"/>
        <v>1</v>
      </c>
      <c r="L484" s="501">
        <f t="shared" si="361"/>
        <v>1</v>
      </c>
      <c r="M484" s="1248">
        <v>0</v>
      </c>
      <c r="N484" s="261">
        <v>68073.75</v>
      </c>
      <c r="O484" s="502">
        <v>0</v>
      </c>
      <c r="P484" s="503">
        <v>0</v>
      </c>
      <c r="Q484" s="504">
        <v>0.16</v>
      </c>
      <c r="R484" s="505">
        <v>1</v>
      </c>
      <c r="S484" s="506">
        <v>1</v>
      </c>
      <c r="V484" s="341"/>
      <c r="W484" s="341"/>
    </row>
    <row r="485" spans="2:23" x14ac:dyDescent="0.25">
      <c r="B485" s="1343"/>
      <c r="D485" s="1346"/>
      <c r="I485" s="576" t="s">
        <v>496</v>
      </c>
      <c r="J485" s="577"/>
      <c r="K485" s="577"/>
      <c r="L485" s="577"/>
      <c r="M485" s="578"/>
      <c r="N485" s="507">
        <v>1</v>
      </c>
      <c r="O485" s="507">
        <v>1</v>
      </c>
      <c r="P485" s="583">
        <v>1</v>
      </c>
      <c r="Q485" s="508"/>
      <c r="R485" s="508"/>
      <c r="S485" s="509"/>
      <c r="V485" s="341"/>
      <c r="W485" s="341"/>
    </row>
    <row r="486" spans="2:23" x14ac:dyDescent="0.25">
      <c r="B486" s="1343"/>
      <c r="D486" s="1346"/>
      <c r="I486" s="459" t="s">
        <v>615</v>
      </c>
      <c r="J486" s="460" t="s">
        <v>618</v>
      </c>
      <c r="K486" s="460" t="s">
        <v>616</v>
      </c>
      <c r="L486" s="460" t="s">
        <v>617</v>
      </c>
      <c r="M486" s="463" t="s">
        <v>711</v>
      </c>
      <c r="N486" s="218"/>
      <c r="O486" s="218"/>
      <c r="P486" s="218"/>
      <c r="Q486" s="510"/>
      <c r="R486" s="510"/>
      <c r="S486" s="510"/>
    </row>
    <row r="487" spans="2:23" x14ac:dyDescent="0.25">
      <c r="B487" s="1343"/>
      <c r="D487" s="1346"/>
      <c r="G487" s="579" t="s">
        <v>113</v>
      </c>
      <c r="I487" s="464">
        <v>1</v>
      </c>
      <c r="J487" s="465">
        <f>'A7(c)'!H27</f>
        <v>1.0834586466165415</v>
      </c>
      <c r="K487" s="465">
        <f>J487-M487</f>
        <v>1.0526315789473686</v>
      </c>
      <c r="L487" s="465">
        <f>J487+M487</f>
        <v>1.1142857142857143</v>
      </c>
      <c r="M487" s="511">
        <f>'A7(c)'!I27</f>
        <v>3.0827067669172981E-2</v>
      </c>
      <c r="N487" s="1"/>
      <c r="O487" s="1"/>
      <c r="P487" s="1"/>
      <c r="Q487" s="512"/>
    </row>
    <row r="488" spans="2:23" x14ac:dyDescent="0.25">
      <c r="B488" s="1343"/>
      <c r="D488" s="1346"/>
      <c r="G488" s="533" t="s">
        <v>114</v>
      </c>
      <c r="I488" s="470">
        <v>1</v>
      </c>
      <c r="J488" s="471">
        <f>'A7(c)'!H28</f>
        <v>1.4442141917087079</v>
      </c>
      <c r="K488" s="471">
        <f>J488-M488</f>
        <v>1.1116370471069761</v>
      </c>
      <c r="L488" s="471">
        <f>J488+M488</f>
        <v>1.7767913363104397</v>
      </c>
      <c r="M488" s="513">
        <f>'A7(c)'!I28</f>
        <v>0.33257714460173193</v>
      </c>
      <c r="N488" s="1"/>
      <c r="O488" s="1"/>
      <c r="P488" s="1"/>
      <c r="Q488" s="512"/>
      <c r="S488" s="514"/>
    </row>
    <row r="489" spans="2:23" x14ac:dyDescent="0.25">
      <c r="B489" s="1343"/>
      <c r="D489" s="1346"/>
      <c r="G489" s="533" t="s">
        <v>2366</v>
      </c>
      <c r="I489" s="470">
        <v>1</v>
      </c>
      <c r="J489" s="471">
        <f>'A7(c)'!H29</f>
        <v>1.3333333333333333</v>
      </c>
      <c r="K489" s="471">
        <f>J489-M489</f>
        <v>1.2</v>
      </c>
      <c r="L489" s="471">
        <f>J489+M489</f>
        <v>1.4666666666666666</v>
      </c>
      <c r="M489" s="513">
        <f>'A7(c)'!I29</f>
        <v>0.1333333333333333</v>
      </c>
      <c r="N489" s="1"/>
      <c r="O489" s="1"/>
      <c r="P489" s="1"/>
      <c r="Q489" s="512"/>
    </row>
    <row r="490" spans="2:23" x14ac:dyDescent="0.25">
      <c r="B490" s="1343"/>
      <c r="D490" s="1346"/>
      <c r="G490" s="533" t="s">
        <v>115</v>
      </c>
      <c r="I490" s="470">
        <v>1</v>
      </c>
      <c r="J490" s="471">
        <f>'A7(c)'!H30</f>
        <v>1.0633116883116882</v>
      </c>
      <c r="K490" s="471">
        <f>J490-M490</f>
        <v>1.0633116883116882</v>
      </c>
      <c r="L490" s="471">
        <f>J490+M490</f>
        <v>1.0633116883116882</v>
      </c>
      <c r="M490" s="513">
        <f>'A7(c)'!I30</f>
        <v>0</v>
      </c>
      <c r="N490" s="1"/>
      <c r="O490" s="1"/>
      <c r="P490" s="1"/>
      <c r="Q490" s="512"/>
    </row>
    <row r="491" spans="2:23" x14ac:dyDescent="0.25">
      <c r="B491" s="1343"/>
      <c r="D491" s="1346"/>
      <c r="G491" s="896" t="s">
        <v>116</v>
      </c>
      <c r="I491" s="500">
        <v>1</v>
      </c>
      <c r="J491" s="501">
        <f>'A7(c)'!H31</f>
        <v>1.4442141917087079</v>
      </c>
      <c r="K491" s="501">
        <f>J491-M491</f>
        <v>1.1116370471069761</v>
      </c>
      <c r="L491" s="501">
        <f>J491+M491</f>
        <v>1.7767913363104397</v>
      </c>
      <c r="M491" s="515">
        <f>'A7(c)'!I31</f>
        <v>0.33257714460173193</v>
      </c>
      <c r="N491" s="1"/>
      <c r="O491" s="1"/>
      <c r="P491" s="1"/>
      <c r="Q491" s="512"/>
    </row>
    <row r="492" spans="2:23" x14ac:dyDescent="0.25">
      <c r="B492" s="1343"/>
      <c r="D492" s="1346"/>
      <c r="I492" s="1"/>
      <c r="J492" s="1"/>
      <c r="K492" s="1"/>
      <c r="L492" s="1"/>
      <c r="M492" s="451"/>
      <c r="N492" s="218"/>
      <c r="O492" s="1"/>
      <c r="P492" s="326" t="s">
        <v>660</v>
      </c>
      <c r="Q492" s="327"/>
      <c r="R492" s="326" t="s">
        <v>661</v>
      </c>
      <c r="S492" s="327"/>
      <c r="T492" s="220"/>
    </row>
    <row r="493" spans="2:23" x14ac:dyDescent="0.25">
      <c r="B493" s="1343"/>
      <c r="D493" s="1346"/>
      <c r="G493" s="458"/>
      <c r="I493" s="459" t="s">
        <v>615</v>
      </c>
      <c r="J493" s="460" t="s">
        <v>619</v>
      </c>
      <c r="K493" s="460" t="s">
        <v>701</v>
      </c>
      <c r="L493" s="463" t="s">
        <v>620</v>
      </c>
      <c r="M493" s="516"/>
      <c r="N493" s="1"/>
      <c r="O493" s="1"/>
      <c r="P493" s="333" t="s">
        <v>663</v>
      </c>
      <c r="Q493" s="334" t="s">
        <v>664</v>
      </c>
      <c r="R493" s="333"/>
      <c r="S493" s="334"/>
      <c r="T493" s="220"/>
    </row>
    <row r="494" spans="2:23" x14ac:dyDescent="0.25">
      <c r="B494" s="1343"/>
      <c r="D494" s="1346"/>
      <c r="G494" s="387" t="s">
        <v>697</v>
      </c>
      <c r="I494" s="517">
        <v>1</v>
      </c>
      <c r="J494" s="518">
        <f>Q494/(P494*$P$500)</f>
        <v>9.5687201146773287E-2</v>
      </c>
      <c r="K494" s="519">
        <v>0</v>
      </c>
      <c r="L494" s="520">
        <f>'A7(c)'!$M$36</f>
        <v>1.5665743221996231</v>
      </c>
      <c r="M494" s="516"/>
      <c r="O494" s="335" t="s">
        <v>666</v>
      </c>
      <c r="P494" s="336">
        <v>26006200</v>
      </c>
      <c r="Q494" s="337">
        <v>182653</v>
      </c>
      <c r="R494" s="336" t="s">
        <v>667</v>
      </c>
      <c r="S494" s="337" t="s">
        <v>668</v>
      </c>
      <c r="T494" s="1" t="s">
        <v>669</v>
      </c>
      <c r="U494" s="1"/>
    </row>
    <row r="495" spans="2:23" x14ac:dyDescent="0.25">
      <c r="B495" s="1343"/>
      <c r="D495" s="1346"/>
      <c r="G495" s="522" t="s">
        <v>698</v>
      </c>
      <c r="I495" s="523">
        <v>1</v>
      </c>
      <c r="J495" s="524">
        <f>Q495/(P495*$P$500)</f>
        <v>1.0133700314245166</v>
      </c>
      <c r="K495" s="524">
        <v>0</v>
      </c>
      <c r="L495" s="525">
        <f>'A7(c)'!$M$36</f>
        <v>1.5665743221996231</v>
      </c>
      <c r="M495" s="516"/>
      <c r="O495" s="215" t="s">
        <v>671</v>
      </c>
      <c r="P495" s="320">
        <v>11701480</v>
      </c>
      <c r="Q495" s="342">
        <v>870372</v>
      </c>
      <c r="R495" s="320" t="s">
        <v>672</v>
      </c>
      <c r="S495" s="342" t="s">
        <v>668</v>
      </c>
      <c r="T495" s="1" t="s">
        <v>669</v>
      </c>
      <c r="U495" s="1"/>
    </row>
    <row r="496" spans="2:23" x14ac:dyDescent="0.25">
      <c r="B496" s="1343"/>
      <c r="D496" s="1346"/>
      <c r="G496" s="410" t="s">
        <v>699</v>
      </c>
      <c r="I496" s="526">
        <v>1</v>
      </c>
      <c r="J496" s="527">
        <f>Q496/(P496*$P$500)</f>
        <v>0.54405757904829311</v>
      </c>
      <c r="K496" s="528">
        <v>0</v>
      </c>
      <c r="L496" s="529">
        <f>'A7(c)'!$M$36</f>
        <v>1.5665743221996231</v>
      </c>
      <c r="M496" s="521"/>
      <c r="O496" s="335" t="s">
        <v>674</v>
      </c>
      <c r="P496" s="343">
        <v>169720000</v>
      </c>
      <c r="Q496" s="344">
        <v>6777569</v>
      </c>
      <c r="R496" s="343" t="s">
        <v>667</v>
      </c>
      <c r="S496" s="344" t="s">
        <v>668</v>
      </c>
      <c r="T496" s="220" t="s">
        <v>268</v>
      </c>
    </row>
    <row r="497" spans="2:21" x14ac:dyDescent="0.25">
      <c r="B497" s="1343"/>
      <c r="D497" s="1346"/>
      <c r="G497" s="220"/>
      <c r="L497" s="1"/>
      <c r="M497" s="1"/>
      <c r="N497" s="1"/>
      <c r="O497" s="1"/>
      <c r="P497" s="1"/>
      <c r="Q497" s="1"/>
      <c r="T497" s="220"/>
    </row>
    <row r="498" spans="2:21" x14ac:dyDescent="0.25">
      <c r="B498" s="1343"/>
      <c r="D498" s="1346"/>
      <c r="I498" s="976" t="s">
        <v>92</v>
      </c>
      <c r="J498" s="977" t="s">
        <v>122</v>
      </c>
      <c r="L498" s="521"/>
      <c r="M498" s="1"/>
      <c r="N498" s="1"/>
      <c r="O498" s="1"/>
      <c r="P498" s="326" t="s">
        <v>677</v>
      </c>
      <c r="Q498" s="327"/>
      <c r="T498" s="220"/>
    </row>
    <row r="499" spans="2:21" x14ac:dyDescent="0.25">
      <c r="B499" s="1343"/>
      <c r="D499" s="1346"/>
      <c r="G499" s="309" t="s">
        <v>718</v>
      </c>
      <c r="I499" s="978">
        <v>1</v>
      </c>
      <c r="J499" s="511">
        <f>'A7(c)'!J36</f>
        <v>1.1054181316985423</v>
      </c>
      <c r="K499" s="1"/>
      <c r="L499" s="521"/>
      <c r="M499" s="1"/>
      <c r="N499" s="1"/>
      <c r="O499" s="1"/>
      <c r="P499" s="333" t="s">
        <v>500</v>
      </c>
      <c r="Q499" s="334" t="s">
        <v>188</v>
      </c>
      <c r="T499" s="220"/>
    </row>
    <row r="500" spans="2:21" x14ac:dyDescent="0.25">
      <c r="B500" s="1343"/>
      <c r="D500" s="1346"/>
      <c r="G500" s="322" t="s">
        <v>719</v>
      </c>
      <c r="I500" s="979">
        <v>1</v>
      </c>
      <c r="J500" s="515">
        <f>'A7(c)'!J37</f>
        <v>0.95992196589332923</v>
      </c>
      <c r="K500" s="1"/>
      <c r="L500" s="1"/>
      <c r="M500" s="1"/>
      <c r="N500" s="1"/>
      <c r="O500" s="1"/>
      <c r="P500" s="371">
        <v>7.3399999999999993E-2</v>
      </c>
      <c r="Q500" s="372">
        <v>1221303</v>
      </c>
      <c r="R500" s="456" t="s">
        <v>680</v>
      </c>
      <c r="S500" s="457"/>
      <c r="T500" s="220" t="s">
        <v>268</v>
      </c>
      <c r="U500" s="220" t="s">
        <v>268</v>
      </c>
    </row>
    <row r="501" spans="2:21" x14ac:dyDescent="0.25">
      <c r="B501" s="1343"/>
      <c r="D501" s="1346"/>
      <c r="G501" s="309" t="s">
        <v>720</v>
      </c>
      <c r="I501" s="978">
        <v>1</v>
      </c>
      <c r="J501" s="511">
        <f>'A7(c)'!K36</f>
        <v>0.95635467282063591</v>
      </c>
      <c r="K501" s="1"/>
      <c r="L501" s="1"/>
      <c r="M501" s="1"/>
      <c r="N501" s="1"/>
      <c r="O501" s="1"/>
      <c r="P501" s="1"/>
      <c r="Q501" s="1"/>
    </row>
    <row r="502" spans="2:21" x14ac:dyDescent="0.25">
      <c r="B502" s="1343"/>
      <c r="D502" s="1346"/>
      <c r="G502" s="322" t="s">
        <v>721</v>
      </c>
      <c r="I502" s="979">
        <v>1</v>
      </c>
      <c r="J502" s="530">
        <f>'A7(c)'!K37</f>
        <v>0.8941141413572069</v>
      </c>
      <c r="K502" s="1"/>
      <c r="L502" s="1"/>
      <c r="M502" s="1"/>
      <c r="N502" s="1"/>
      <c r="O502" s="1"/>
      <c r="P502" s="1"/>
      <c r="Q502" s="1"/>
    </row>
    <row r="503" spans="2:21" x14ac:dyDescent="0.25">
      <c r="B503" s="1343"/>
      <c r="D503" s="1346"/>
      <c r="G503" s="309" t="s">
        <v>2191</v>
      </c>
      <c r="I503" s="978">
        <v>1</v>
      </c>
      <c r="J503" s="511">
        <f>'A7(c)'!L29</f>
        <v>0.84700850935273531</v>
      </c>
      <c r="K503" s="1"/>
      <c r="L503" s="1"/>
      <c r="M503" s="1"/>
      <c r="N503" s="1"/>
      <c r="O503" s="1"/>
      <c r="P503" s="1"/>
      <c r="Q503" s="1"/>
    </row>
    <row r="504" spans="2:21" x14ac:dyDescent="0.25">
      <c r="B504" s="1344"/>
      <c r="D504" s="1347"/>
      <c r="G504" s="322" t="s">
        <v>2158</v>
      </c>
      <c r="I504" s="979">
        <v>1</v>
      </c>
      <c r="J504" s="530">
        <f>'A7(c)'!L30</f>
        <v>0.96412260529986116</v>
      </c>
      <c r="K504" s="1"/>
      <c r="L504" s="1"/>
      <c r="M504" s="1"/>
      <c r="N504" s="1"/>
      <c r="O504" s="1"/>
      <c r="P504" s="1"/>
      <c r="Q504" s="1"/>
    </row>
  </sheetData>
  <mergeCells count="35">
    <mergeCell ref="BB3:CF3"/>
    <mergeCell ref="BB276:BC276"/>
    <mergeCell ref="BB277:BC277"/>
    <mergeCell ref="BB278:BC278"/>
    <mergeCell ref="BB279:BC279"/>
    <mergeCell ref="BH200:BH208"/>
    <mergeCell ref="AZ214:AZ237"/>
    <mergeCell ref="AZ239:AZ273"/>
    <mergeCell ref="D54:D95"/>
    <mergeCell ref="BB288:BC288"/>
    <mergeCell ref="AZ276:AZ288"/>
    <mergeCell ref="BB280:BC280"/>
    <mergeCell ref="BB281:BC281"/>
    <mergeCell ref="BB282:BC282"/>
    <mergeCell ref="BB283:BC283"/>
    <mergeCell ref="BB284:BC284"/>
    <mergeCell ref="BB285:BC285"/>
    <mergeCell ref="BB286:BC286"/>
    <mergeCell ref="BB287:BC287"/>
    <mergeCell ref="D140:D144"/>
    <mergeCell ref="D145:D147"/>
    <mergeCell ref="B214:B504"/>
    <mergeCell ref="D432:D504"/>
    <mergeCell ref="F6:F8"/>
    <mergeCell ref="D98:D102"/>
    <mergeCell ref="D114:D139"/>
    <mergeCell ref="D214:D430"/>
    <mergeCell ref="F211:G211"/>
    <mergeCell ref="D176:D208"/>
    <mergeCell ref="D148:D168"/>
    <mergeCell ref="D105:D111"/>
    <mergeCell ref="D169:D174"/>
    <mergeCell ref="D9:D29"/>
    <mergeCell ref="D30:D50"/>
    <mergeCell ref="B9:B174"/>
  </mergeCells>
  <conditionalFormatting sqref="B201:BG208 BI201:CA208 B1:CA1 C2:CA2 B3:CA9 B175:CA200 C170:C174 C10:CA169 E170:CA174 B209:CA214 C215:CA432 C433:C503 E503:F503 K503:L503 E433:CA446 E456:CA491 BB447:CA455 W492:CA500 B505:CA1048576 E447:AS448 E452:AS455 E449:AP451 AR449:AS451 E492:N497 E498:L502 N498:N500 N501:CA503">
    <cfRule type="expression" dxfId="74" priority="5">
      <formula>AND(B1=A1,ISNUMBER(A1))</formula>
    </cfRule>
  </conditionalFormatting>
  <conditionalFormatting sqref="C504 E504:F504 K504:CA504">
    <cfRule type="expression" dxfId="73" priority="2">
      <formula>AND(C504=B504,ISNUMBER(B504))</formula>
    </cfRule>
  </conditionalFormatting>
  <conditionalFormatting sqref="G503:J504">
    <cfRule type="expression" dxfId="72" priority="1">
      <formula>AND(G503=F503,ISNUMBER(F503))</formula>
    </cfRule>
  </conditionalFormatting>
  <conditionalFormatting sqref="O492:V500">
    <cfRule type="expression" dxfId="71" priority="53">
      <formula>AND(O492=AS447,ISNUMBER(AS447))</formula>
    </cfRule>
  </conditionalFormatting>
  <pageMargins left="0.7" right="0.7" top="0.78740157499999996" bottom="0.78740157499999996"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B367E-2144-4975-B24C-E35D897D638A}">
  <sheetPr>
    <outlinePr summaryBelow="0" summaryRight="0"/>
  </sheetPr>
  <dimension ref="A1:CO1200"/>
  <sheetViews>
    <sheetView zoomScaleNormal="100" workbookViewId="0">
      <pane ySplit="5" topLeftCell="A6" activePane="bottomLeft" state="frozen"/>
      <selection pane="bottomLeft"/>
    </sheetView>
  </sheetViews>
  <sheetFormatPr baseColWidth="10" defaultColWidth="11.42578125" defaultRowHeight="15" customHeight="1" outlineLevelRow="1" x14ac:dyDescent="0.25"/>
  <cols>
    <col min="1" max="1" width="3.7109375" style="1" customWidth="1"/>
    <col min="2" max="3" width="25.7109375" style="1109" customWidth="1"/>
    <col min="4" max="4" width="90.7109375" style="1109" customWidth="1"/>
    <col min="5" max="5" width="15.7109375" style="1156" customWidth="1"/>
    <col min="6" max="6" width="3.7109375" style="1124" customWidth="1"/>
    <col min="7" max="7" width="20.7109375" style="1157" customWidth="1"/>
    <col min="8" max="8" width="3.7109375" style="1126" customWidth="1"/>
    <col min="9" max="9" width="30.7109375" style="1157" customWidth="1"/>
    <col min="10" max="10" width="5.7109375" style="1" customWidth="1"/>
    <col min="11" max="11" width="15.7109375" style="1" customWidth="1"/>
    <col min="12" max="12" width="3.7109375" style="323" customWidth="1"/>
    <col min="13" max="16384" width="11.42578125" style="1"/>
  </cols>
  <sheetData>
    <row r="1" spans="1:93" ht="15" customHeight="1" x14ac:dyDescent="0.25">
      <c r="C1" s="1110"/>
      <c r="D1" s="1110"/>
      <c r="E1" s="1111"/>
      <c r="F1" s="1112"/>
      <c r="G1" s="1113"/>
      <c r="H1" s="1112"/>
      <c r="I1" s="1113"/>
      <c r="J1" s="1113"/>
    </row>
    <row r="2" spans="1:93" ht="15" customHeight="1" x14ac:dyDescent="0.25">
      <c r="B2" s="1114" t="s">
        <v>1246</v>
      </c>
      <c r="C2" s="1110"/>
      <c r="D2" s="1110"/>
      <c r="E2" s="1111"/>
      <c r="F2" s="1112"/>
      <c r="G2" s="1113"/>
      <c r="H2" s="1112"/>
      <c r="I2" s="1113"/>
      <c r="J2" s="1113"/>
    </row>
    <row r="3" spans="1:93" ht="15" customHeight="1" x14ac:dyDescent="0.25">
      <c r="B3" s="1110"/>
      <c r="C3" s="1110"/>
      <c r="D3" s="1110"/>
      <c r="E3" s="1111"/>
      <c r="F3" s="1112"/>
      <c r="G3" s="1113"/>
      <c r="H3" s="1112"/>
      <c r="I3" s="1113"/>
      <c r="J3" s="1113"/>
      <c r="K3" s="218"/>
      <c r="L3" s="895"/>
      <c r="M3" s="218"/>
      <c r="N3" s="218"/>
      <c r="O3" s="218"/>
      <c r="P3" s="218"/>
      <c r="Q3" s="218"/>
      <c r="R3" s="218"/>
      <c r="S3" s="218"/>
      <c r="T3" s="218"/>
      <c r="U3" s="218"/>
      <c r="V3" s="218"/>
      <c r="W3" s="218"/>
      <c r="X3" s="218"/>
      <c r="Y3" s="1109"/>
      <c r="Z3" s="218"/>
    </row>
    <row r="4" spans="1:93" ht="15" customHeight="1" x14ac:dyDescent="0.25">
      <c r="A4" s="1115"/>
      <c r="B4" s="1116" t="s">
        <v>821</v>
      </c>
      <c r="C4" s="1117" t="s">
        <v>822</v>
      </c>
      <c r="D4" s="1117" t="s">
        <v>823</v>
      </c>
      <c r="E4" s="1378" t="s">
        <v>824</v>
      </c>
      <c r="F4" s="1379"/>
      <c r="G4" s="1379"/>
      <c r="H4" s="1379"/>
      <c r="I4" s="1379"/>
      <c r="J4" s="1379"/>
      <c r="K4" s="1380"/>
      <c r="L4" s="1118"/>
      <c r="M4" s="1206" t="s">
        <v>2351</v>
      </c>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c r="AT4" s="1119"/>
      <c r="AU4" s="1119"/>
      <c r="AV4" s="1119"/>
      <c r="AW4" s="1119"/>
      <c r="AX4" s="1119"/>
      <c r="AY4" s="1119"/>
      <c r="AZ4" s="1119"/>
      <c r="BA4" s="1119"/>
      <c r="BB4" s="1119"/>
      <c r="BC4" s="1119"/>
      <c r="BD4" s="1119"/>
      <c r="BE4" s="1119"/>
      <c r="BF4" s="1119"/>
      <c r="BG4" s="1119"/>
      <c r="BH4" s="1119"/>
      <c r="BI4" s="1119"/>
      <c r="BJ4" s="1119"/>
      <c r="BK4" s="1119"/>
      <c r="BL4" s="1119"/>
      <c r="BM4" s="1119"/>
      <c r="BN4" s="1119"/>
      <c r="BO4" s="1119"/>
      <c r="BP4" s="1119"/>
      <c r="BQ4" s="1119"/>
      <c r="BR4" s="1119"/>
      <c r="BS4" s="1119"/>
      <c r="BT4" s="1119"/>
      <c r="BU4" s="1119"/>
      <c r="BV4" s="1119"/>
      <c r="BW4" s="1119"/>
      <c r="BX4" s="1119"/>
      <c r="BY4" s="1119"/>
      <c r="BZ4" s="1119"/>
      <c r="CA4" s="1119"/>
      <c r="CB4" s="1119"/>
      <c r="CC4" s="1119"/>
      <c r="CD4" s="1119"/>
      <c r="CE4" s="1119"/>
      <c r="CF4" s="1119"/>
      <c r="CG4" s="1119"/>
      <c r="CH4" s="1119"/>
      <c r="CI4" s="1119"/>
      <c r="CJ4" s="1119"/>
      <c r="CK4" s="1119"/>
      <c r="CL4" s="1119"/>
      <c r="CM4" s="1119"/>
      <c r="CN4" s="1119"/>
      <c r="CO4" s="1119"/>
    </row>
    <row r="5" spans="1:93" ht="15" customHeight="1" x14ac:dyDescent="0.25">
      <c r="E5" s="1120" t="s">
        <v>1656</v>
      </c>
      <c r="F5" s="1381" t="s">
        <v>1657</v>
      </c>
      <c r="G5" s="1382"/>
      <c r="H5" s="1382"/>
      <c r="I5" s="1383"/>
      <c r="J5" s="1121" t="s">
        <v>244</v>
      </c>
      <c r="K5" s="1122" t="s">
        <v>1658</v>
      </c>
      <c r="M5" s="1206" t="s">
        <v>2352</v>
      </c>
    </row>
    <row r="6" spans="1:93" ht="15" customHeight="1" x14ac:dyDescent="0.25">
      <c r="E6" s="1123"/>
      <c r="G6" s="1125"/>
      <c r="I6" s="1125"/>
      <c r="J6" s="1125"/>
    </row>
    <row r="7" spans="1:93" ht="15" customHeight="1" x14ac:dyDescent="0.25">
      <c r="B7" s="1127" t="s">
        <v>825</v>
      </c>
      <c r="C7" s="1128"/>
      <c r="D7" s="1207" t="s">
        <v>977</v>
      </c>
      <c r="E7" s="1123">
        <v>6797</v>
      </c>
      <c r="F7" s="1129" t="s">
        <v>1660</v>
      </c>
      <c r="G7" s="1130" t="s">
        <v>1659</v>
      </c>
      <c r="H7" s="1131" t="s">
        <v>125</v>
      </c>
      <c r="I7" s="1130"/>
      <c r="J7" s="208" t="s">
        <v>221</v>
      </c>
      <c r="K7" s="898">
        <v>87.91</v>
      </c>
    </row>
    <row r="8" spans="1:93" ht="15" customHeight="1" collapsed="1" x14ac:dyDescent="0.25">
      <c r="B8" s="1132" t="s">
        <v>825</v>
      </c>
      <c r="C8" s="1107"/>
      <c r="D8" s="1209" t="s">
        <v>978</v>
      </c>
      <c r="E8" s="1133">
        <v>2493</v>
      </c>
      <c r="F8" s="1134" t="s">
        <v>1660</v>
      </c>
      <c r="G8" s="1135" t="s">
        <v>1659</v>
      </c>
      <c r="H8" s="1136" t="s">
        <v>125</v>
      </c>
      <c r="I8" s="1135"/>
      <c r="J8" s="211" t="s">
        <v>221</v>
      </c>
      <c r="K8" s="531">
        <v>12.09</v>
      </c>
    </row>
    <row r="9" spans="1:93" ht="15" hidden="1" customHeight="1" outlineLevel="1" x14ac:dyDescent="0.25">
      <c r="B9" s="1137" t="s">
        <v>827</v>
      </c>
      <c r="C9" s="1138" t="s">
        <v>979</v>
      </c>
      <c r="D9" s="1138" t="s">
        <v>980</v>
      </c>
      <c r="E9" s="1139">
        <v>0</v>
      </c>
      <c r="F9" s="1140" t="s">
        <v>125</v>
      </c>
      <c r="G9" s="954"/>
      <c r="H9" s="1141" t="s">
        <v>125</v>
      </c>
      <c r="I9" s="954"/>
      <c r="J9" s="955" t="s">
        <v>186</v>
      </c>
      <c r="M9" s="1" t="s">
        <v>997</v>
      </c>
    </row>
    <row r="10" spans="1:93" ht="15" hidden="1" customHeight="1" outlineLevel="1" x14ac:dyDescent="0.25">
      <c r="B10" s="1142" t="s">
        <v>827</v>
      </c>
      <c r="C10" s="1143" t="s">
        <v>981</v>
      </c>
      <c r="D10" s="1143" t="s">
        <v>982</v>
      </c>
      <c r="E10" s="1144">
        <v>10000</v>
      </c>
      <c r="F10" s="1145" t="s">
        <v>125</v>
      </c>
      <c r="G10" s="1146"/>
      <c r="H10" s="1147" t="s">
        <v>125</v>
      </c>
      <c r="I10" s="1146"/>
      <c r="J10" s="1148" t="s">
        <v>181</v>
      </c>
      <c r="M10" s="1" t="s">
        <v>998</v>
      </c>
    </row>
    <row r="11" spans="1:93" ht="15" hidden="1" customHeight="1" outlineLevel="1" x14ac:dyDescent="0.25">
      <c r="B11" s="1142" t="s">
        <v>827</v>
      </c>
      <c r="C11" s="1143" t="s">
        <v>981</v>
      </c>
      <c r="D11" s="1143" t="s">
        <v>983</v>
      </c>
      <c r="E11" s="1144">
        <v>0</v>
      </c>
      <c r="F11" s="1145" t="s">
        <v>125</v>
      </c>
      <c r="G11" s="1146"/>
      <c r="H11" s="1147" t="s">
        <v>125</v>
      </c>
      <c r="I11" s="1146"/>
      <c r="J11" s="1148" t="s">
        <v>182</v>
      </c>
      <c r="M11" s="1" t="s">
        <v>999</v>
      </c>
    </row>
    <row r="12" spans="1:93" ht="15" hidden="1" customHeight="1" outlineLevel="1" x14ac:dyDescent="0.25">
      <c r="B12" s="1142" t="s">
        <v>827</v>
      </c>
      <c r="C12" s="1143" t="s">
        <v>981</v>
      </c>
      <c r="D12" s="1143" t="s">
        <v>984</v>
      </c>
      <c r="E12" s="1144">
        <v>0</v>
      </c>
      <c r="F12" s="1145" t="s">
        <v>125</v>
      </c>
      <c r="G12" s="1146"/>
      <c r="H12" s="1147" t="s">
        <v>125</v>
      </c>
      <c r="I12" s="1146"/>
      <c r="J12" s="1148" t="s">
        <v>182</v>
      </c>
      <c r="M12" s="1" t="s">
        <v>999</v>
      </c>
    </row>
    <row r="13" spans="1:93" ht="15" hidden="1" customHeight="1" outlineLevel="1" x14ac:dyDescent="0.25">
      <c r="B13" s="1142" t="s">
        <v>827</v>
      </c>
      <c r="C13" s="1143" t="s">
        <v>981</v>
      </c>
      <c r="D13" s="1143" t="s">
        <v>985</v>
      </c>
      <c r="E13" s="1144">
        <v>0</v>
      </c>
      <c r="F13" s="1145" t="s">
        <v>125</v>
      </c>
      <c r="G13" s="1146"/>
      <c r="H13" s="1147" t="s">
        <v>125</v>
      </c>
      <c r="I13" s="1146"/>
      <c r="J13" s="1148" t="s">
        <v>182</v>
      </c>
      <c r="M13" s="1" t="s">
        <v>999</v>
      </c>
    </row>
    <row r="14" spans="1:93" ht="15" hidden="1" customHeight="1" outlineLevel="1" x14ac:dyDescent="0.25">
      <c r="B14" s="1142" t="s">
        <v>827</v>
      </c>
      <c r="C14" s="1143" t="s">
        <v>981</v>
      </c>
      <c r="D14" s="1143" t="s">
        <v>986</v>
      </c>
      <c r="E14" s="1144">
        <v>0</v>
      </c>
      <c r="F14" s="1145" t="s">
        <v>125</v>
      </c>
      <c r="G14" s="1146"/>
      <c r="H14" s="1147" t="s">
        <v>125</v>
      </c>
      <c r="I14" s="1146"/>
      <c r="J14" s="1148" t="s">
        <v>182</v>
      </c>
      <c r="M14" s="1" t="s">
        <v>999</v>
      </c>
    </row>
    <row r="15" spans="1:93" ht="15" hidden="1" customHeight="1" outlineLevel="1" x14ac:dyDescent="0.25">
      <c r="B15" s="1142" t="s">
        <v>827</v>
      </c>
      <c r="C15" s="1143" t="s">
        <v>981</v>
      </c>
      <c r="D15" s="1143" t="s">
        <v>987</v>
      </c>
      <c r="E15" s="1144">
        <v>0</v>
      </c>
      <c r="F15" s="1145" t="s">
        <v>125</v>
      </c>
      <c r="G15" s="1146"/>
      <c r="H15" s="1147" t="s">
        <v>125</v>
      </c>
      <c r="I15" s="1146"/>
      <c r="J15" s="1148" t="s">
        <v>182</v>
      </c>
      <c r="M15" s="1" t="s">
        <v>999</v>
      </c>
    </row>
    <row r="16" spans="1:93" ht="15" hidden="1" customHeight="1" outlineLevel="1" x14ac:dyDescent="0.25">
      <c r="B16" s="1142" t="s">
        <v>830</v>
      </c>
      <c r="C16" s="1143"/>
      <c r="D16" s="1143" t="s">
        <v>665</v>
      </c>
      <c r="E16" s="1144">
        <v>3522</v>
      </c>
      <c r="F16" s="1145" t="s">
        <v>1660</v>
      </c>
      <c r="G16" s="1146" t="s">
        <v>726</v>
      </c>
      <c r="H16" s="1147" t="s">
        <v>125</v>
      </c>
      <c r="I16" s="1146"/>
      <c r="J16" s="1148" t="s">
        <v>221</v>
      </c>
      <c r="M16" s="1" t="s">
        <v>1000</v>
      </c>
    </row>
    <row r="17" spans="2:13" ht="15" hidden="1" customHeight="1" outlineLevel="1" x14ac:dyDescent="0.25">
      <c r="B17" s="1142" t="s">
        <v>830</v>
      </c>
      <c r="C17" s="1143"/>
      <c r="D17" s="1143" t="s">
        <v>673</v>
      </c>
      <c r="E17" s="1144">
        <v>308.89999999999998</v>
      </c>
      <c r="F17" s="1145" t="s">
        <v>1660</v>
      </c>
      <c r="G17" s="1146" t="s">
        <v>723</v>
      </c>
      <c r="H17" s="1147" t="s">
        <v>125</v>
      </c>
      <c r="I17" s="1146"/>
      <c r="J17" s="1148" t="s">
        <v>221</v>
      </c>
      <c r="M17" s="1" t="s">
        <v>1001</v>
      </c>
    </row>
    <row r="18" spans="2:13" ht="15" hidden="1" customHeight="1" outlineLevel="1" x14ac:dyDescent="0.25">
      <c r="B18" s="1142" t="s">
        <v>830</v>
      </c>
      <c r="C18" s="1143"/>
      <c r="D18" s="1143" t="s">
        <v>653</v>
      </c>
      <c r="E18" s="1144">
        <v>24.85</v>
      </c>
      <c r="F18" s="1145" t="s">
        <v>1660</v>
      </c>
      <c r="G18" s="1146" t="s">
        <v>1661</v>
      </c>
      <c r="H18" s="1147" t="s">
        <v>125</v>
      </c>
      <c r="I18" s="1146"/>
      <c r="J18" s="1148" t="s">
        <v>221</v>
      </c>
      <c r="M18" s="1" t="s">
        <v>1002</v>
      </c>
    </row>
    <row r="19" spans="2:13" ht="15" hidden="1" customHeight="1" outlineLevel="1" x14ac:dyDescent="0.25">
      <c r="B19" s="1142" t="s">
        <v>830</v>
      </c>
      <c r="C19" s="1143"/>
      <c r="D19" s="1143" t="s">
        <v>654</v>
      </c>
      <c r="E19" s="1144">
        <v>34.049999999999997</v>
      </c>
      <c r="F19" s="1145" t="s">
        <v>1660</v>
      </c>
      <c r="G19" s="1146" t="s">
        <v>1661</v>
      </c>
      <c r="H19" s="1147" t="s">
        <v>125</v>
      </c>
      <c r="I19" s="1146"/>
      <c r="J19" s="1148" t="s">
        <v>221</v>
      </c>
      <c r="M19" s="1" t="s">
        <v>1003</v>
      </c>
    </row>
    <row r="20" spans="2:13" ht="15" hidden="1" customHeight="1" outlineLevel="1" x14ac:dyDescent="0.25">
      <c r="B20" s="1142" t="s">
        <v>830</v>
      </c>
      <c r="C20" s="1143"/>
      <c r="D20" s="1143" t="s">
        <v>652</v>
      </c>
      <c r="E20" s="1144">
        <v>252.9</v>
      </c>
      <c r="F20" s="1145" t="s">
        <v>1660</v>
      </c>
      <c r="G20" s="1146" t="s">
        <v>1661</v>
      </c>
      <c r="H20" s="1147" t="s">
        <v>125</v>
      </c>
      <c r="I20" s="1146"/>
      <c r="J20" s="1148" t="s">
        <v>221</v>
      </c>
      <c r="M20" s="1" t="s">
        <v>1004</v>
      </c>
    </row>
    <row r="21" spans="2:13" ht="15" hidden="1" customHeight="1" outlineLevel="1" x14ac:dyDescent="0.25">
      <c r="B21" s="1142" t="s">
        <v>830</v>
      </c>
      <c r="C21" s="1143"/>
      <c r="D21" s="1143" t="s">
        <v>650</v>
      </c>
      <c r="E21" s="1144">
        <v>16.809999999999999</v>
      </c>
      <c r="F21" s="1145" t="s">
        <v>1660</v>
      </c>
      <c r="G21" s="1146" t="s">
        <v>1661</v>
      </c>
      <c r="H21" s="1147" t="s">
        <v>125</v>
      </c>
      <c r="I21" s="1146"/>
      <c r="J21" s="1148" t="s">
        <v>221</v>
      </c>
      <c r="M21" s="1" t="s">
        <v>1005</v>
      </c>
    </row>
    <row r="22" spans="2:13" ht="15" hidden="1" customHeight="1" outlineLevel="1" x14ac:dyDescent="0.25">
      <c r="B22" s="1142" t="s">
        <v>830</v>
      </c>
      <c r="C22" s="1143"/>
      <c r="D22" s="1143" t="s">
        <v>649</v>
      </c>
      <c r="E22" s="1144">
        <v>62.7</v>
      </c>
      <c r="F22" s="1145" t="s">
        <v>1660</v>
      </c>
      <c r="G22" s="1146" t="s">
        <v>1661</v>
      </c>
      <c r="H22" s="1147" t="s">
        <v>125</v>
      </c>
      <c r="I22" s="1146"/>
      <c r="J22" s="1148" t="s">
        <v>221</v>
      </c>
      <c r="M22" s="1" t="s">
        <v>1006</v>
      </c>
    </row>
    <row r="23" spans="2:13" ht="15" hidden="1" customHeight="1" outlineLevel="1" x14ac:dyDescent="0.25">
      <c r="B23" s="1142" t="s">
        <v>830</v>
      </c>
      <c r="C23" s="1143"/>
      <c r="D23" s="1143" t="s">
        <v>648</v>
      </c>
      <c r="E23" s="1144">
        <v>94.49</v>
      </c>
      <c r="F23" s="1145" t="s">
        <v>1660</v>
      </c>
      <c r="G23" s="1146" t="s">
        <v>1661</v>
      </c>
      <c r="H23" s="1147" t="s">
        <v>125</v>
      </c>
      <c r="I23" s="1146"/>
      <c r="J23" s="1148" t="s">
        <v>221</v>
      </c>
      <c r="M23" s="1" t="s">
        <v>1007</v>
      </c>
    </row>
    <row r="24" spans="2:13" ht="15" hidden="1" customHeight="1" outlineLevel="1" x14ac:dyDescent="0.25">
      <c r="B24" s="1142" t="s">
        <v>830</v>
      </c>
      <c r="C24" s="1143"/>
      <c r="D24" s="1143" t="s">
        <v>657</v>
      </c>
      <c r="E24" s="1144">
        <v>7493</v>
      </c>
      <c r="F24" s="1145" t="s">
        <v>1660</v>
      </c>
      <c r="G24" s="1146" t="s">
        <v>1661</v>
      </c>
      <c r="H24" s="1147" t="s">
        <v>125</v>
      </c>
      <c r="I24" s="1146"/>
      <c r="J24" s="1148" t="s">
        <v>221</v>
      </c>
      <c r="M24" s="1" t="s">
        <v>1008</v>
      </c>
    </row>
    <row r="25" spans="2:13" ht="15" hidden="1" customHeight="1" outlineLevel="1" x14ac:dyDescent="0.25">
      <c r="B25" s="1142" t="s">
        <v>830</v>
      </c>
      <c r="C25" s="1143"/>
      <c r="D25" s="1143" t="s">
        <v>656</v>
      </c>
      <c r="E25" s="1144">
        <v>0.1827</v>
      </c>
      <c r="F25" s="1145" t="s">
        <v>1660</v>
      </c>
      <c r="G25" s="1146" t="s">
        <v>1661</v>
      </c>
      <c r="H25" s="1147" t="s">
        <v>125</v>
      </c>
      <c r="I25" s="1146"/>
      <c r="J25" s="1148" t="s">
        <v>221</v>
      </c>
      <c r="M25" s="1" t="s">
        <v>1009</v>
      </c>
    </row>
    <row r="26" spans="2:13" ht="15" hidden="1" customHeight="1" outlineLevel="1" x14ac:dyDescent="0.25">
      <c r="B26" s="1142" t="s">
        <v>830</v>
      </c>
      <c r="C26" s="1143"/>
      <c r="D26" s="1143" t="s">
        <v>655</v>
      </c>
      <c r="E26" s="1144">
        <v>3386</v>
      </c>
      <c r="F26" s="1145" t="s">
        <v>1660</v>
      </c>
      <c r="G26" s="1146" t="s">
        <v>1661</v>
      </c>
      <c r="H26" s="1147" t="s">
        <v>125</v>
      </c>
      <c r="I26" s="1146"/>
      <c r="J26" s="1148" t="s">
        <v>221</v>
      </c>
      <c r="M26" s="1" t="s">
        <v>1010</v>
      </c>
    </row>
    <row r="27" spans="2:13" ht="15" hidden="1" customHeight="1" outlineLevel="1" x14ac:dyDescent="0.25">
      <c r="B27" s="1142" t="s">
        <v>830</v>
      </c>
      <c r="C27" s="1143"/>
      <c r="D27" s="1143" t="s">
        <v>658</v>
      </c>
      <c r="E27" s="1144">
        <v>21.88</v>
      </c>
      <c r="F27" s="1145" t="s">
        <v>1660</v>
      </c>
      <c r="G27" s="1146" t="s">
        <v>1661</v>
      </c>
      <c r="H27" s="1147" t="s">
        <v>125</v>
      </c>
      <c r="I27" s="1146"/>
      <c r="J27" s="1148" t="s">
        <v>221</v>
      </c>
      <c r="M27" s="1" t="s">
        <v>1011</v>
      </c>
    </row>
    <row r="28" spans="2:13" ht="15" hidden="1" customHeight="1" outlineLevel="1" x14ac:dyDescent="0.25">
      <c r="B28" s="1142" t="s">
        <v>830</v>
      </c>
      <c r="C28" s="1143"/>
      <c r="D28" s="1143" t="s">
        <v>659</v>
      </c>
      <c r="E28" s="1144">
        <v>1.48</v>
      </c>
      <c r="F28" s="1145" t="s">
        <v>1660</v>
      </c>
      <c r="G28" s="1146" t="s">
        <v>1661</v>
      </c>
      <c r="H28" s="1147" t="s">
        <v>125</v>
      </c>
      <c r="I28" s="1146"/>
      <c r="J28" s="1148" t="s">
        <v>221</v>
      </c>
      <c r="M28" s="1" t="s">
        <v>1012</v>
      </c>
    </row>
    <row r="29" spans="2:13" ht="15" hidden="1" customHeight="1" outlineLevel="1" x14ac:dyDescent="0.25">
      <c r="B29" s="1142" t="s">
        <v>830</v>
      </c>
      <c r="C29" s="1143"/>
      <c r="D29" s="1143" t="s">
        <v>988</v>
      </c>
      <c r="E29" s="1144">
        <v>1</v>
      </c>
      <c r="F29" s="1145" t="s">
        <v>125</v>
      </c>
      <c r="G29" s="1146"/>
      <c r="H29" s="1147" t="s">
        <v>125</v>
      </c>
      <c r="I29" s="1146"/>
      <c r="J29" s="1148" t="s">
        <v>188</v>
      </c>
      <c r="M29" s="1" t="s">
        <v>1013</v>
      </c>
    </row>
    <row r="30" spans="2:13" ht="15" hidden="1" customHeight="1" outlineLevel="1" x14ac:dyDescent="0.25">
      <c r="B30" s="1142" t="s">
        <v>830</v>
      </c>
      <c r="C30" s="1143"/>
      <c r="D30" s="1143" t="s">
        <v>662</v>
      </c>
      <c r="E30" s="1144">
        <v>400</v>
      </c>
      <c r="F30" s="1145" t="s">
        <v>125</v>
      </c>
      <c r="G30" s="1146"/>
      <c r="H30" s="1147" t="s">
        <v>125</v>
      </c>
      <c r="I30" s="1146"/>
      <c r="J30" s="1148" t="s">
        <v>221</v>
      </c>
      <c r="M30" s="1" t="s">
        <v>1014</v>
      </c>
    </row>
    <row r="31" spans="2:13" ht="15" hidden="1" customHeight="1" outlineLevel="1" x14ac:dyDescent="0.25">
      <c r="B31" s="1142" t="s">
        <v>830</v>
      </c>
      <c r="C31" s="1143"/>
      <c r="D31" s="1143" t="s">
        <v>989</v>
      </c>
      <c r="E31" s="1144">
        <v>172.3</v>
      </c>
      <c r="F31" s="1145" t="s">
        <v>125</v>
      </c>
      <c r="G31" s="1146"/>
      <c r="H31" s="1147" t="s">
        <v>125</v>
      </c>
      <c r="I31" s="1146"/>
      <c r="J31" s="1148" t="s">
        <v>221</v>
      </c>
      <c r="M31" s="1" t="s">
        <v>1052</v>
      </c>
    </row>
    <row r="32" spans="2:13" ht="15" hidden="1" customHeight="1" outlineLevel="1" x14ac:dyDescent="0.25">
      <c r="B32" s="1142" t="s">
        <v>830</v>
      </c>
      <c r="C32" s="1143"/>
      <c r="D32" s="1143" t="s">
        <v>990</v>
      </c>
      <c r="E32" s="1144">
        <v>114.9</v>
      </c>
      <c r="F32" s="1145" t="s">
        <v>1660</v>
      </c>
      <c r="G32" s="1146" t="s">
        <v>722</v>
      </c>
      <c r="H32" s="1147" t="s">
        <v>125</v>
      </c>
      <c r="I32" s="1146"/>
      <c r="J32" s="1148" t="s">
        <v>836</v>
      </c>
      <c r="M32" s="1" t="s">
        <v>1015</v>
      </c>
    </row>
    <row r="33" spans="2:13" ht="15" hidden="1" customHeight="1" outlineLevel="1" x14ac:dyDescent="0.25">
      <c r="B33" s="1142" t="s">
        <v>830</v>
      </c>
      <c r="C33" s="1143"/>
      <c r="D33" s="1143" t="s">
        <v>990</v>
      </c>
      <c r="E33" s="1144">
        <v>54.75</v>
      </c>
      <c r="F33" s="1145" t="s">
        <v>1660</v>
      </c>
      <c r="G33" s="1146" t="s">
        <v>1662</v>
      </c>
      <c r="H33" s="1147" t="s">
        <v>125</v>
      </c>
      <c r="I33" s="1146"/>
      <c r="J33" s="1148" t="s">
        <v>836</v>
      </c>
      <c r="M33" s="1" t="s">
        <v>1016</v>
      </c>
    </row>
    <row r="34" spans="2:13" ht="15" hidden="1" customHeight="1" outlineLevel="1" x14ac:dyDescent="0.25">
      <c r="B34" s="1142" t="s">
        <v>830</v>
      </c>
      <c r="C34" s="1143"/>
      <c r="D34" s="1143" t="s">
        <v>675</v>
      </c>
      <c r="E34" s="1144">
        <v>0.185</v>
      </c>
      <c r="F34" s="1145" t="s">
        <v>1660</v>
      </c>
      <c r="G34" s="1146" t="s">
        <v>1661</v>
      </c>
      <c r="H34" s="1147" t="s">
        <v>125</v>
      </c>
      <c r="I34" s="1146"/>
      <c r="J34" s="1148" t="s">
        <v>221</v>
      </c>
      <c r="M34" s="1" t="s">
        <v>1017</v>
      </c>
    </row>
    <row r="35" spans="2:13" ht="15" hidden="1" customHeight="1" outlineLevel="1" x14ac:dyDescent="0.25">
      <c r="B35" s="1142" t="s">
        <v>830</v>
      </c>
      <c r="C35" s="1143"/>
      <c r="D35" s="1143" t="s">
        <v>676</v>
      </c>
      <c r="E35" s="1144">
        <v>0.53290000000000004</v>
      </c>
      <c r="F35" s="1145" t="s">
        <v>1660</v>
      </c>
      <c r="G35" s="1146" t="s">
        <v>1661</v>
      </c>
      <c r="H35" s="1147" t="s">
        <v>125</v>
      </c>
      <c r="I35" s="1146"/>
      <c r="J35" s="1148" t="s">
        <v>221</v>
      </c>
      <c r="M35" s="1" t="s">
        <v>1018</v>
      </c>
    </row>
    <row r="36" spans="2:13" ht="15" hidden="1" customHeight="1" outlineLevel="1" x14ac:dyDescent="0.25">
      <c r="B36" s="1142" t="s">
        <v>830</v>
      </c>
      <c r="C36" s="1143"/>
      <c r="D36" s="1143" t="s">
        <v>678</v>
      </c>
      <c r="E36" s="1144">
        <v>1695</v>
      </c>
      <c r="F36" s="1145" t="s">
        <v>1660</v>
      </c>
      <c r="G36" s="1146" t="s">
        <v>1661</v>
      </c>
      <c r="H36" s="1147" t="s">
        <v>125</v>
      </c>
      <c r="I36" s="1146"/>
      <c r="J36" s="1148" t="s">
        <v>221</v>
      </c>
      <c r="M36" s="1" t="s">
        <v>1019</v>
      </c>
    </row>
    <row r="37" spans="2:13" ht="15" hidden="1" customHeight="1" outlineLevel="1" x14ac:dyDescent="0.25">
      <c r="B37" s="1142" t="s">
        <v>830</v>
      </c>
      <c r="C37" s="1143"/>
      <c r="D37" s="1143" t="s">
        <v>991</v>
      </c>
      <c r="E37" s="1144">
        <v>0.185</v>
      </c>
      <c r="F37" s="1145" t="s">
        <v>1660</v>
      </c>
      <c r="G37" s="1146" t="s">
        <v>1661</v>
      </c>
      <c r="H37" s="1147" t="s">
        <v>125</v>
      </c>
      <c r="I37" s="1146"/>
      <c r="J37" s="1148" t="s">
        <v>221</v>
      </c>
      <c r="M37" s="1" t="s">
        <v>1020</v>
      </c>
    </row>
    <row r="38" spans="2:13" ht="15" hidden="1" customHeight="1" outlineLevel="1" x14ac:dyDescent="0.25">
      <c r="B38" s="1142" t="s">
        <v>830</v>
      </c>
      <c r="C38" s="1143"/>
      <c r="D38" s="1143" t="s">
        <v>992</v>
      </c>
      <c r="E38" s="1144">
        <v>0.53290000000000004</v>
      </c>
      <c r="F38" s="1145" t="s">
        <v>1660</v>
      </c>
      <c r="G38" s="1146" t="s">
        <v>1661</v>
      </c>
      <c r="H38" s="1147" t="s">
        <v>125</v>
      </c>
      <c r="I38" s="1146"/>
      <c r="J38" s="1148" t="s">
        <v>221</v>
      </c>
      <c r="M38" s="1" t="s">
        <v>1021</v>
      </c>
    </row>
    <row r="39" spans="2:13" ht="15" hidden="1" customHeight="1" outlineLevel="1" x14ac:dyDescent="0.25">
      <c r="B39" s="1142" t="s">
        <v>830</v>
      </c>
      <c r="C39" s="1143"/>
      <c r="D39" s="1143" t="s">
        <v>993</v>
      </c>
      <c r="E39" s="1144">
        <v>1695</v>
      </c>
      <c r="F39" s="1145" t="s">
        <v>1660</v>
      </c>
      <c r="G39" s="1146" t="s">
        <v>1661</v>
      </c>
      <c r="H39" s="1147" t="s">
        <v>125</v>
      </c>
      <c r="I39" s="1146"/>
      <c r="J39" s="1148" t="s">
        <v>221</v>
      </c>
      <c r="M39" s="1" t="s">
        <v>1022</v>
      </c>
    </row>
    <row r="40" spans="2:13" ht="15" hidden="1" customHeight="1" outlineLevel="1" x14ac:dyDescent="0.25">
      <c r="B40" s="1142" t="s">
        <v>994</v>
      </c>
      <c r="C40" s="1143"/>
      <c r="D40" s="1143" t="s">
        <v>834</v>
      </c>
      <c r="E40" s="1144">
        <v>4110</v>
      </c>
      <c r="F40" s="1145" t="s">
        <v>1660</v>
      </c>
      <c r="G40" s="1146" t="s">
        <v>718</v>
      </c>
      <c r="H40" s="1147" t="s">
        <v>125</v>
      </c>
      <c r="I40" s="1146"/>
      <c r="J40" s="1148" t="s">
        <v>304</v>
      </c>
      <c r="M40" s="1" t="s">
        <v>1023</v>
      </c>
    </row>
    <row r="41" spans="2:13" ht="15" hidden="1" customHeight="1" outlineLevel="1" x14ac:dyDescent="0.25">
      <c r="B41" s="1142" t="s">
        <v>839</v>
      </c>
      <c r="C41" s="1143"/>
      <c r="D41" s="1143" t="s">
        <v>925</v>
      </c>
      <c r="E41" s="1144">
        <v>176</v>
      </c>
      <c r="F41" s="1145" t="s">
        <v>125</v>
      </c>
      <c r="G41" s="1146"/>
      <c r="H41" s="1147" t="s">
        <v>125</v>
      </c>
      <c r="I41" s="1146"/>
      <c r="J41" s="1148" t="s">
        <v>221</v>
      </c>
      <c r="M41" s="1" t="s">
        <v>1024</v>
      </c>
    </row>
    <row r="42" spans="2:13" ht="15" hidden="1" customHeight="1" outlineLevel="1" x14ac:dyDescent="0.25">
      <c r="B42" s="1142" t="s">
        <v>839</v>
      </c>
      <c r="C42" s="1143"/>
      <c r="D42" s="1143" t="s">
        <v>925</v>
      </c>
      <c r="E42" s="1144">
        <v>86.12</v>
      </c>
      <c r="F42" s="1145" t="s">
        <v>1660</v>
      </c>
      <c r="G42" s="1146" t="s">
        <v>1661</v>
      </c>
      <c r="H42" s="1147" t="s">
        <v>125</v>
      </c>
      <c r="I42" s="1146"/>
      <c r="J42" s="1148" t="s">
        <v>221</v>
      </c>
      <c r="M42" s="1" t="s">
        <v>1025</v>
      </c>
    </row>
    <row r="43" spans="2:13" ht="15" hidden="1" customHeight="1" outlineLevel="1" x14ac:dyDescent="0.25">
      <c r="B43" s="1142" t="s">
        <v>839</v>
      </c>
      <c r="C43" s="1143"/>
      <c r="D43" s="1143" t="s">
        <v>843</v>
      </c>
      <c r="E43" s="1144">
        <v>2.2789999999999999</v>
      </c>
      <c r="F43" s="1145" t="s">
        <v>1660</v>
      </c>
      <c r="G43" s="1146" t="s">
        <v>1661</v>
      </c>
      <c r="H43" s="1147" t="s">
        <v>125</v>
      </c>
      <c r="I43" s="1146"/>
      <c r="J43" s="1148" t="s">
        <v>221</v>
      </c>
      <c r="M43" s="1" t="s">
        <v>1026</v>
      </c>
    </row>
    <row r="44" spans="2:13" ht="15" hidden="1" customHeight="1" outlineLevel="1" x14ac:dyDescent="0.25">
      <c r="B44" s="1142" t="s">
        <v>839</v>
      </c>
      <c r="C44" s="1143"/>
      <c r="D44" s="1143" t="s">
        <v>843</v>
      </c>
      <c r="E44" s="1144">
        <v>0.74050000000000005</v>
      </c>
      <c r="F44" s="1145" t="s">
        <v>1660</v>
      </c>
      <c r="G44" s="1146" t="s">
        <v>1661</v>
      </c>
      <c r="H44" s="1147" t="s">
        <v>125</v>
      </c>
      <c r="I44" s="1146"/>
      <c r="J44" s="1148" t="s">
        <v>221</v>
      </c>
      <c r="M44" s="1" t="s">
        <v>1027</v>
      </c>
    </row>
    <row r="45" spans="2:13" ht="15" hidden="1" customHeight="1" outlineLevel="1" x14ac:dyDescent="0.25">
      <c r="B45" s="1142" t="s">
        <v>839</v>
      </c>
      <c r="C45" s="1143"/>
      <c r="D45" s="1143" t="s">
        <v>846</v>
      </c>
      <c r="E45" s="1144">
        <v>10.25</v>
      </c>
      <c r="F45" s="1145" t="s">
        <v>1660</v>
      </c>
      <c r="G45" s="1146" t="s">
        <v>1661</v>
      </c>
      <c r="H45" s="1147" t="s">
        <v>125</v>
      </c>
      <c r="I45" s="1146"/>
      <c r="J45" s="1148" t="s">
        <v>221</v>
      </c>
      <c r="M45" s="1" t="s">
        <v>1028</v>
      </c>
    </row>
    <row r="46" spans="2:13" ht="15" hidden="1" customHeight="1" outlineLevel="1" x14ac:dyDescent="0.25">
      <c r="B46" s="1142" t="s">
        <v>839</v>
      </c>
      <c r="C46" s="1143"/>
      <c r="D46" s="1143" t="s">
        <v>995</v>
      </c>
      <c r="E46" s="1144">
        <v>1.0149999999999999</v>
      </c>
      <c r="F46" s="1145" t="s">
        <v>1660</v>
      </c>
      <c r="G46" s="1146" t="s">
        <v>1661</v>
      </c>
      <c r="H46" s="1147" t="s">
        <v>125</v>
      </c>
      <c r="I46" s="1146"/>
      <c r="J46" s="1148" t="s">
        <v>221</v>
      </c>
      <c r="M46" s="1" t="s">
        <v>1029</v>
      </c>
    </row>
    <row r="47" spans="2:13" ht="15" hidden="1" customHeight="1" outlineLevel="1" x14ac:dyDescent="0.25">
      <c r="B47" s="1142" t="s">
        <v>839</v>
      </c>
      <c r="C47" s="1143"/>
      <c r="D47" s="1143" t="s">
        <v>996</v>
      </c>
      <c r="E47" s="1144">
        <v>0</v>
      </c>
      <c r="F47" s="1145" t="s">
        <v>125</v>
      </c>
      <c r="G47" s="1146"/>
      <c r="H47" s="1147" t="s">
        <v>125</v>
      </c>
      <c r="I47" s="1146"/>
      <c r="J47" s="1148" t="s">
        <v>221</v>
      </c>
      <c r="M47" s="1" t="s">
        <v>999</v>
      </c>
    </row>
    <row r="48" spans="2:13" ht="15" hidden="1" customHeight="1" outlineLevel="1" x14ac:dyDescent="0.25">
      <c r="B48" s="1142" t="s">
        <v>839</v>
      </c>
      <c r="C48" s="1143"/>
      <c r="D48" s="1143" t="s">
        <v>843</v>
      </c>
      <c r="E48" s="1144">
        <v>0.54830000000000001</v>
      </c>
      <c r="F48" s="1145" t="s">
        <v>1660</v>
      </c>
      <c r="G48" s="1146" t="s">
        <v>683</v>
      </c>
      <c r="H48" s="1147" t="s">
        <v>125</v>
      </c>
      <c r="I48" s="1146"/>
      <c r="J48" s="1148" t="s">
        <v>221</v>
      </c>
      <c r="M48" s="1" t="s">
        <v>1030</v>
      </c>
    </row>
    <row r="49" spans="2:13" ht="15" hidden="1" customHeight="1" outlineLevel="1" x14ac:dyDescent="0.25">
      <c r="B49" s="1142" t="s">
        <v>839</v>
      </c>
      <c r="C49" s="1143"/>
      <c r="D49" s="1143" t="s">
        <v>843</v>
      </c>
      <c r="E49" s="1144">
        <v>0.1782</v>
      </c>
      <c r="F49" s="1145" t="s">
        <v>1660</v>
      </c>
      <c r="G49" s="1146" t="s">
        <v>683</v>
      </c>
      <c r="H49" s="1147" t="s">
        <v>125</v>
      </c>
      <c r="I49" s="1146"/>
      <c r="J49" s="1148" t="s">
        <v>221</v>
      </c>
      <c r="M49" s="1" t="s">
        <v>1031</v>
      </c>
    </row>
    <row r="50" spans="2:13" ht="15" hidden="1" customHeight="1" outlineLevel="1" x14ac:dyDescent="0.25">
      <c r="B50" s="1142" t="s">
        <v>839</v>
      </c>
      <c r="C50" s="1143"/>
      <c r="D50" s="1143" t="s">
        <v>846</v>
      </c>
      <c r="E50" s="1144">
        <v>8.4730000000000008</v>
      </c>
      <c r="F50" s="1145" t="s">
        <v>1660</v>
      </c>
      <c r="G50" s="1146" t="s">
        <v>683</v>
      </c>
      <c r="H50" s="1147" t="s">
        <v>125</v>
      </c>
      <c r="I50" s="1146"/>
      <c r="J50" s="1148" t="s">
        <v>221</v>
      </c>
      <c r="M50" s="1" t="s">
        <v>1032</v>
      </c>
    </row>
    <row r="51" spans="2:13" ht="15" hidden="1" customHeight="1" outlineLevel="1" x14ac:dyDescent="0.25">
      <c r="B51" s="1142" t="s">
        <v>839</v>
      </c>
      <c r="C51" s="1143"/>
      <c r="D51" s="1143" t="s">
        <v>843</v>
      </c>
      <c r="E51" s="1144">
        <v>1.0649999999999999</v>
      </c>
      <c r="F51" s="1145" t="s">
        <v>125</v>
      </c>
      <c r="G51" s="1146"/>
      <c r="H51" s="1147" t="s">
        <v>125</v>
      </c>
      <c r="I51" s="1146"/>
      <c r="J51" s="1148" t="s">
        <v>221</v>
      </c>
      <c r="M51" s="1" t="s">
        <v>1033</v>
      </c>
    </row>
    <row r="52" spans="2:13" ht="15" hidden="1" customHeight="1" outlineLevel="1" x14ac:dyDescent="0.25">
      <c r="B52" s="1142" t="s">
        <v>839</v>
      </c>
      <c r="C52" s="1143"/>
      <c r="D52" s="1143" t="s">
        <v>843</v>
      </c>
      <c r="E52" s="1144">
        <v>0.23960000000000001</v>
      </c>
      <c r="F52" s="1145" t="s">
        <v>125</v>
      </c>
      <c r="G52" s="1146"/>
      <c r="H52" s="1147" t="s">
        <v>125</v>
      </c>
      <c r="I52" s="1146"/>
      <c r="J52" s="1148" t="s">
        <v>221</v>
      </c>
      <c r="M52" s="1" t="s">
        <v>1034</v>
      </c>
    </row>
    <row r="53" spans="2:13" ht="15" hidden="1" customHeight="1" outlineLevel="1" x14ac:dyDescent="0.25">
      <c r="B53" s="1142" t="s">
        <v>931</v>
      </c>
      <c r="C53" s="1143"/>
      <c r="D53" s="1143" t="s">
        <v>932</v>
      </c>
      <c r="E53" s="1144">
        <v>192.6</v>
      </c>
      <c r="F53" s="1145" t="s">
        <v>1660</v>
      </c>
      <c r="G53" s="1146" t="s">
        <v>1661</v>
      </c>
      <c r="H53" s="1147" t="s">
        <v>125</v>
      </c>
      <c r="I53" s="1146"/>
      <c r="J53" s="1148" t="s">
        <v>221</v>
      </c>
      <c r="M53" s="1" t="s">
        <v>1025</v>
      </c>
    </row>
    <row r="54" spans="2:13" ht="15" hidden="1" customHeight="1" outlineLevel="1" x14ac:dyDescent="0.25">
      <c r="B54" s="1142" t="s">
        <v>931</v>
      </c>
      <c r="C54" s="1143"/>
      <c r="D54" s="1143" t="s">
        <v>947</v>
      </c>
      <c r="E54" s="1144">
        <v>0.46260000000000001</v>
      </c>
      <c r="F54" s="1145" t="s">
        <v>1660</v>
      </c>
      <c r="G54" s="1146" t="s">
        <v>1661</v>
      </c>
      <c r="H54" s="1147" t="s">
        <v>125</v>
      </c>
      <c r="I54" s="1146"/>
      <c r="J54" s="1148" t="s">
        <v>221</v>
      </c>
      <c r="M54" s="1" t="s">
        <v>1035</v>
      </c>
    </row>
    <row r="55" spans="2:13" ht="15" hidden="1" customHeight="1" outlineLevel="1" x14ac:dyDescent="0.25">
      <c r="B55" s="1142" t="s">
        <v>931</v>
      </c>
      <c r="C55" s="1143"/>
      <c r="D55" s="1143" t="s">
        <v>934</v>
      </c>
      <c r="E55" s="1144">
        <v>37.86</v>
      </c>
      <c r="F55" s="1145" t="s">
        <v>1660</v>
      </c>
      <c r="G55" s="1146" t="s">
        <v>1663</v>
      </c>
      <c r="H55" s="1147" t="s">
        <v>1660</v>
      </c>
      <c r="I55" s="1146" t="s">
        <v>1664</v>
      </c>
      <c r="J55" s="1148" t="s">
        <v>935</v>
      </c>
      <c r="M55" s="1" t="s">
        <v>1036</v>
      </c>
    </row>
    <row r="56" spans="2:13" ht="15" hidden="1" customHeight="1" outlineLevel="1" x14ac:dyDescent="0.25">
      <c r="B56" s="1142" t="s">
        <v>931</v>
      </c>
      <c r="C56" s="1143"/>
      <c r="D56" s="1143" t="s">
        <v>937</v>
      </c>
      <c r="E56" s="1144">
        <v>20760</v>
      </c>
      <c r="F56" s="1145" t="s">
        <v>1660</v>
      </c>
      <c r="G56" s="1146" t="s">
        <v>1665</v>
      </c>
      <c r="H56" s="1147" t="s">
        <v>1660</v>
      </c>
      <c r="I56" s="1146" t="s">
        <v>1666</v>
      </c>
      <c r="J56" s="1148" t="s">
        <v>935</v>
      </c>
      <c r="M56" s="1" t="s">
        <v>1036</v>
      </c>
    </row>
    <row r="57" spans="2:13" ht="15" hidden="1" customHeight="1" outlineLevel="1" x14ac:dyDescent="0.25">
      <c r="B57" s="1142" t="s">
        <v>931</v>
      </c>
      <c r="C57" s="1143"/>
      <c r="D57" s="1143" t="s">
        <v>938</v>
      </c>
      <c r="E57" s="1144">
        <v>3323</v>
      </c>
      <c r="F57" s="1145" t="s">
        <v>1660</v>
      </c>
      <c r="G57" s="1146" t="s">
        <v>1667</v>
      </c>
      <c r="H57" s="1147" t="s">
        <v>1660</v>
      </c>
      <c r="I57" s="1146" t="s">
        <v>1668</v>
      </c>
      <c r="J57" s="1148" t="s">
        <v>935</v>
      </c>
      <c r="M57" s="1" t="s">
        <v>1036</v>
      </c>
    </row>
    <row r="58" spans="2:13" ht="15" hidden="1" customHeight="1" outlineLevel="1" x14ac:dyDescent="0.25">
      <c r="B58" s="1142" t="s">
        <v>931</v>
      </c>
      <c r="C58" s="1143"/>
      <c r="D58" s="1143" t="s">
        <v>939</v>
      </c>
      <c r="E58" s="1144">
        <v>0.73380000000000001</v>
      </c>
      <c r="F58" s="1145" t="s">
        <v>1660</v>
      </c>
      <c r="G58" s="1146" t="s">
        <v>1669</v>
      </c>
      <c r="H58" s="1147" t="s">
        <v>1660</v>
      </c>
      <c r="I58" s="1146" t="s">
        <v>1670</v>
      </c>
      <c r="J58" s="1148" t="s">
        <v>935</v>
      </c>
      <c r="M58" s="1" t="s">
        <v>1036</v>
      </c>
    </row>
    <row r="59" spans="2:13" ht="15" hidden="1" customHeight="1" outlineLevel="1" x14ac:dyDescent="0.25">
      <c r="B59" s="1142" t="s">
        <v>931</v>
      </c>
      <c r="C59" s="1143"/>
      <c r="D59" s="1143" t="s">
        <v>940</v>
      </c>
      <c r="E59" s="1144">
        <v>0</v>
      </c>
      <c r="F59" s="1145" t="s">
        <v>125</v>
      </c>
      <c r="G59" s="1146"/>
      <c r="H59" s="1147" t="s">
        <v>125</v>
      </c>
      <c r="I59" s="1146"/>
      <c r="J59" s="1148" t="s">
        <v>935</v>
      </c>
      <c r="M59" s="1" t="s">
        <v>1036</v>
      </c>
    </row>
    <row r="60" spans="2:13" ht="15" hidden="1" customHeight="1" outlineLevel="1" x14ac:dyDescent="0.25">
      <c r="B60" s="1142" t="s">
        <v>931</v>
      </c>
      <c r="C60" s="1143"/>
      <c r="D60" s="1143" t="s">
        <v>941</v>
      </c>
      <c r="E60" s="1144">
        <v>287.7</v>
      </c>
      <c r="F60" s="1145" t="s">
        <v>1660</v>
      </c>
      <c r="G60" s="1146" t="s">
        <v>1671</v>
      </c>
      <c r="H60" s="1147" t="s">
        <v>1660</v>
      </c>
      <c r="I60" s="1146" t="s">
        <v>1672</v>
      </c>
      <c r="J60" s="1148" t="s">
        <v>935</v>
      </c>
      <c r="M60" s="1" t="s">
        <v>1036</v>
      </c>
    </row>
    <row r="61" spans="2:13" ht="15" hidden="1" customHeight="1" outlineLevel="1" x14ac:dyDescent="0.25">
      <c r="B61" s="1142" t="s">
        <v>931</v>
      </c>
      <c r="C61" s="1143"/>
      <c r="D61" s="1143" t="s">
        <v>942</v>
      </c>
      <c r="E61" s="1144">
        <v>27700</v>
      </c>
      <c r="F61" s="1145" t="s">
        <v>1660</v>
      </c>
      <c r="G61" s="1146" t="s">
        <v>1673</v>
      </c>
      <c r="H61" s="1147" t="s">
        <v>1660</v>
      </c>
      <c r="I61" s="1146" t="s">
        <v>1674</v>
      </c>
      <c r="J61" s="1148" t="s">
        <v>935</v>
      </c>
      <c r="M61" s="1" t="s">
        <v>1036</v>
      </c>
    </row>
    <row r="62" spans="2:13" ht="15" hidden="1" customHeight="1" outlineLevel="1" x14ac:dyDescent="0.25">
      <c r="B62" s="1142" t="s">
        <v>931</v>
      </c>
      <c r="C62" s="1143"/>
      <c r="D62" s="1143" t="s">
        <v>932</v>
      </c>
      <c r="E62" s="1144">
        <v>46.35</v>
      </c>
      <c r="F62" s="1145" t="s">
        <v>1660</v>
      </c>
      <c r="G62" s="1146" t="s">
        <v>683</v>
      </c>
      <c r="H62" s="1147" t="s">
        <v>125</v>
      </c>
      <c r="I62" s="1146"/>
      <c r="J62" s="1148" t="s">
        <v>221</v>
      </c>
      <c r="M62" s="1" t="s">
        <v>1032</v>
      </c>
    </row>
    <row r="63" spans="2:13" ht="15" hidden="1" customHeight="1" outlineLevel="1" x14ac:dyDescent="0.25">
      <c r="B63" s="1142" t="s">
        <v>931</v>
      </c>
      <c r="C63" s="1143"/>
      <c r="D63" s="1143" t="s">
        <v>947</v>
      </c>
      <c r="E63" s="1144">
        <v>0.4667</v>
      </c>
      <c r="F63" s="1145" t="s">
        <v>1660</v>
      </c>
      <c r="G63" s="1146" t="s">
        <v>684</v>
      </c>
      <c r="H63" s="1147" t="s">
        <v>125</v>
      </c>
      <c r="I63" s="1146"/>
      <c r="J63" s="1148" t="s">
        <v>221</v>
      </c>
      <c r="M63" s="1" t="s">
        <v>1037</v>
      </c>
    </row>
    <row r="64" spans="2:13" ht="15" hidden="1" customHeight="1" outlineLevel="1" x14ac:dyDescent="0.25">
      <c r="B64" s="1142" t="s">
        <v>931</v>
      </c>
      <c r="C64" s="1143"/>
      <c r="D64" s="1143" t="s">
        <v>932</v>
      </c>
      <c r="E64" s="1144">
        <v>90.02</v>
      </c>
      <c r="F64" s="1145" t="s">
        <v>125</v>
      </c>
      <c r="G64" s="1146"/>
      <c r="H64" s="1147" t="s">
        <v>125</v>
      </c>
      <c r="I64" s="1146"/>
      <c r="J64" s="1148" t="s">
        <v>221</v>
      </c>
      <c r="M64" s="1" t="s">
        <v>1038</v>
      </c>
    </row>
    <row r="65" spans="2:13" ht="15" hidden="1" customHeight="1" outlineLevel="1" x14ac:dyDescent="0.25">
      <c r="B65" s="1142" t="s">
        <v>945</v>
      </c>
      <c r="C65" s="1143" t="s">
        <v>946</v>
      </c>
      <c r="D65" s="1143" t="s">
        <v>934</v>
      </c>
      <c r="E65" s="1144">
        <v>2078</v>
      </c>
      <c r="F65" s="1145" t="s">
        <v>1660</v>
      </c>
      <c r="G65" s="1146" t="s">
        <v>1675</v>
      </c>
      <c r="H65" s="1147" t="s">
        <v>1660</v>
      </c>
      <c r="I65" s="1146" t="s">
        <v>1676</v>
      </c>
      <c r="J65" s="1148" t="s">
        <v>935</v>
      </c>
      <c r="M65" s="1" t="s">
        <v>1036</v>
      </c>
    </row>
    <row r="66" spans="2:13" ht="15" hidden="1" customHeight="1" outlineLevel="1" x14ac:dyDescent="0.25">
      <c r="B66" s="1142" t="s">
        <v>945</v>
      </c>
      <c r="C66" s="1143" t="s">
        <v>946</v>
      </c>
      <c r="D66" s="1143" t="s">
        <v>937</v>
      </c>
      <c r="E66" s="1144">
        <v>137500</v>
      </c>
      <c r="F66" s="1145" t="s">
        <v>1660</v>
      </c>
      <c r="G66" s="1146" t="s">
        <v>1677</v>
      </c>
      <c r="H66" s="1147" t="s">
        <v>1660</v>
      </c>
      <c r="I66" s="1146" t="s">
        <v>1678</v>
      </c>
      <c r="J66" s="1148" t="s">
        <v>935</v>
      </c>
      <c r="M66" s="1" t="s">
        <v>1036</v>
      </c>
    </row>
    <row r="67" spans="2:13" ht="15" hidden="1" customHeight="1" outlineLevel="1" x14ac:dyDescent="0.25">
      <c r="B67" s="1142" t="s">
        <v>945</v>
      </c>
      <c r="C67" s="1143" t="s">
        <v>946</v>
      </c>
      <c r="D67" s="1143" t="s">
        <v>938</v>
      </c>
      <c r="E67" s="1144">
        <v>992.5</v>
      </c>
      <c r="F67" s="1145" t="s">
        <v>1660</v>
      </c>
      <c r="G67" s="1146" t="s">
        <v>1679</v>
      </c>
      <c r="H67" s="1147" t="s">
        <v>1660</v>
      </c>
      <c r="I67" s="1146" t="s">
        <v>1680</v>
      </c>
      <c r="J67" s="1148" t="s">
        <v>935</v>
      </c>
      <c r="M67" s="1" t="s">
        <v>1036</v>
      </c>
    </row>
    <row r="68" spans="2:13" ht="15" hidden="1" customHeight="1" outlineLevel="1" x14ac:dyDescent="0.25">
      <c r="B68" s="1142" t="s">
        <v>945</v>
      </c>
      <c r="C68" s="1143" t="s">
        <v>946</v>
      </c>
      <c r="D68" s="1143" t="s">
        <v>939</v>
      </c>
      <c r="E68" s="1144">
        <v>30.99</v>
      </c>
      <c r="F68" s="1145" t="s">
        <v>1660</v>
      </c>
      <c r="G68" s="1146" t="s">
        <v>1681</v>
      </c>
      <c r="H68" s="1147" t="s">
        <v>1660</v>
      </c>
      <c r="I68" s="1146" t="s">
        <v>1682</v>
      </c>
      <c r="J68" s="1148" t="s">
        <v>935</v>
      </c>
      <c r="M68" s="1" t="s">
        <v>1036</v>
      </c>
    </row>
    <row r="69" spans="2:13" ht="15" hidden="1" customHeight="1" outlineLevel="1" x14ac:dyDescent="0.25">
      <c r="B69" s="1142" t="s">
        <v>945</v>
      </c>
      <c r="C69" s="1143" t="s">
        <v>946</v>
      </c>
      <c r="D69" s="1143" t="s">
        <v>940</v>
      </c>
      <c r="E69" s="1144">
        <v>13660</v>
      </c>
      <c r="F69" s="1145" t="s">
        <v>1660</v>
      </c>
      <c r="G69" s="1146" t="s">
        <v>1683</v>
      </c>
      <c r="H69" s="1147" t="s">
        <v>1660</v>
      </c>
      <c r="I69" s="1146" t="s">
        <v>1684</v>
      </c>
      <c r="J69" s="1148" t="s">
        <v>935</v>
      </c>
      <c r="M69" s="1" t="s">
        <v>1036</v>
      </c>
    </row>
    <row r="70" spans="2:13" ht="15" hidden="1" customHeight="1" outlineLevel="1" x14ac:dyDescent="0.25">
      <c r="B70" s="1142" t="s">
        <v>945</v>
      </c>
      <c r="C70" s="1143" t="s">
        <v>946</v>
      </c>
      <c r="D70" s="1143" t="s">
        <v>941</v>
      </c>
      <c r="E70" s="1144">
        <v>13680</v>
      </c>
      <c r="F70" s="1145" t="s">
        <v>1660</v>
      </c>
      <c r="G70" s="1146" t="s">
        <v>1681</v>
      </c>
      <c r="H70" s="1147" t="s">
        <v>1660</v>
      </c>
      <c r="I70" s="1146" t="s">
        <v>1685</v>
      </c>
      <c r="J70" s="1148" t="s">
        <v>935</v>
      </c>
      <c r="M70" s="1" t="s">
        <v>1036</v>
      </c>
    </row>
    <row r="71" spans="2:13" ht="15" hidden="1" customHeight="1" outlineLevel="1" x14ac:dyDescent="0.25">
      <c r="B71" s="1149" t="s">
        <v>945</v>
      </c>
      <c r="C71" s="1150" t="s">
        <v>946</v>
      </c>
      <c r="D71" s="1150" t="s">
        <v>942</v>
      </c>
      <c r="E71" s="1151">
        <v>444000</v>
      </c>
      <c r="F71" s="1152" t="s">
        <v>1660</v>
      </c>
      <c r="G71" s="1153" t="s">
        <v>1686</v>
      </c>
      <c r="H71" s="1154" t="s">
        <v>1660</v>
      </c>
      <c r="I71" s="1153" t="s">
        <v>1687</v>
      </c>
      <c r="J71" s="1155" t="s">
        <v>935</v>
      </c>
      <c r="M71" s="1" t="s">
        <v>1036</v>
      </c>
    </row>
    <row r="72" spans="2:13" ht="15" customHeight="1" x14ac:dyDescent="0.25">
      <c r="F72" s="1124" t="s">
        <v>125</v>
      </c>
      <c r="H72" s="1126" t="s">
        <v>125</v>
      </c>
    </row>
    <row r="73" spans="2:13" ht="15" customHeight="1" x14ac:dyDescent="0.25">
      <c r="B73" s="1127" t="s">
        <v>825</v>
      </c>
      <c r="C73" s="1128"/>
      <c r="D73" s="1207" t="s">
        <v>1092</v>
      </c>
      <c r="E73" s="1123">
        <v>9673</v>
      </c>
      <c r="F73" s="1129" t="s">
        <v>1660</v>
      </c>
      <c r="G73" s="1130" t="s">
        <v>1688</v>
      </c>
      <c r="H73" s="1131" t="s">
        <v>125</v>
      </c>
      <c r="I73" s="1130"/>
      <c r="J73" s="208" t="s">
        <v>221</v>
      </c>
      <c r="K73" s="898">
        <v>94.16</v>
      </c>
      <c r="L73" s="680"/>
      <c r="M73" s="363"/>
    </row>
    <row r="74" spans="2:13" ht="15" customHeight="1" collapsed="1" x14ac:dyDescent="0.25">
      <c r="B74" s="1132" t="s">
        <v>825</v>
      </c>
      <c r="C74" s="1107"/>
      <c r="D74" s="1209" t="s">
        <v>1093</v>
      </c>
      <c r="E74" s="1133">
        <v>1601</v>
      </c>
      <c r="F74" s="1134" t="s">
        <v>1660</v>
      </c>
      <c r="G74" s="1135" t="s">
        <v>1688</v>
      </c>
      <c r="H74" s="1136" t="s">
        <v>125</v>
      </c>
      <c r="I74" s="1135"/>
      <c r="J74" s="211" t="s">
        <v>221</v>
      </c>
      <c r="K74" s="531">
        <v>5.84</v>
      </c>
      <c r="L74" s="680"/>
      <c r="M74" s="363"/>
    </row>
    <row r="75" spans="2:13" ht="15" hidden="1" customHeight="1" outlineLevel="1" x14ac:dyDescent="0.25">
      <c r="B75" s="1137" t="s">
        <v>827</v>
      </c>
      <c r="C75" s="1138" t="s">
        <v>979</v>
      </c>
      <c r="D75" s="1138" t="s">
        <v>980</v>
      </c>
      <c r="E75" s="1139">
        <v>19.920000000000002</v>
      </c>
      <c r="F75" s="1140" t="s">
        <v>125</v>
      </c>
      <c r="G75" s="954"/>
      <c r="H75" s="1141" t="s">
        <v>125</v>
      </c>
      <c r="I75" s="954"/>
      <c r="J75" s="955" t="s">
        <v>186</v>
      </c>
      <c r="M75" s="1" t="s">
        <v>997</v>
      </c>
    </row>
    <row r="76" spans="2:13" ht="15" hidden="1" customHeight="1" outlineLevel="1" x14ac:dyDescent="0.25">
      <c r="B76" s="1142" t="s">
        <v>827</v>
      </c>
      <c r="C76" s="1143" t="s">
        <v>981</v>
      </c>
      <c r="D76" s="1143" t="s">
        <v>982</v>
      </c>
      <c r="E76" s="1144">
        <v>10000</v>
      </c>
      <c r="F76" s="1145" t="s">
        <v>125</v>
      </c>
      <c r="G76" s="1146"/>
      <c r="H76" s="1147" t="s">
        <v>125</v>
      </c>
      <c r="I76" s="1146"/>
      <c r="J76" s="1148" t="s">
        <v>181</v>
      </c>
      <c r="M76" s="1" t="s">
        <v>998</v>
      </c>
    </row>
    <row r="77" spans="2:13" ht="15" hidden="1" customHeight="1" outlineLevel="1" x14ac:dyDescent="0.25">
      <c r="B77" s="1142" t="s">
        <v>827</v>
      </c>
      <c r="C77" s="1143" t="s">
        <v>981</v>
      </c>
      <c r="D77" s="1143" t="s">
        <v>983</v>
      </c>
      <c r="E77" s="1144">
        <v>0</v>
      </c>
      <c r="F77" s="1145" t="s">
        <v>125</v>
      </c>
      <c r="G77" s="1146"/>
      <c r="H77" s="1147" t="s">
        <v>125</v>
      </c>
      <c r="I77" s="1146"/>
      <c r="J77" s="1148" t="s">
        <v>182</v>
      </c>
      <c r="M77" s="1" t="s">
        <v>999</v>
      </c>
    </row>
    <row r="78" spans="2:13" ht="15" hidden="1" customHeight="1" outlineLevel="1" x14ac:dyDescent="0.25">
      <c r="B78" s="1142" t="s">
        <v>827</v>
      </c>
      <c r="C78" s="1143" t="s">
        <v>981</v>
      </c>
      <c r="D78" s="1143" t="s">
        <v>984</v>
      </c>
      <c r="E78" s="1144">
        <v>0</v>
      </c>
      <c r="F78" s="1145" t="s">
        <v>125</v>
      </c>
      <c r="G78" s="1146"/>
      <c r="H78" s="1147" t="s">
        <v>125</v>
      </c>
      <c r="I78" s="1146"/>
      <c r="J78" s="1148" t="s">
        <v>182</v>
      </c>
      <c r="M78" s="1" t="s">
        <v>999</v>
      </c>
    </row>
    <row r="79" spans="2:13" ht="15" hidden="1" customHeight="1" outlineLevel="1" x14ac:dyDescent="0.25">
      <c r="B79" s="1142" t="s">
        <v>827</v>
      </c>
      <c r="C79" s="1143" t="s">
        <v>981</v>
      </c>
      <c r="D79" s="1143" t="s">
        <v>985</v>
      </c>
      <c r="E79" s="1144">
        <v>3.6269999999999998</v>
      </c>
      <c r="F79" s="1145" t="s">
        <v>125</v>
      </c>
      <c r="G79" s="1146"/>
      <c r="H79" s="1147" t="s">
        <v>125</v>
      </c>
      <c r="I79" s="1146"/>
      <c r="J79" s="1148" t="s">
        <v>182</v>
      </c>
      <c r="M79" s="1" t="s">
        <v>999</v>
      </c>
    </row>
    <row r="80" spans="2:13" ht="15" hidden="1" customHeight="1" outlineLevel="1" x14ac:dyDescent="0.25">
      <c r="B80" s="1142" t="s">
        <v>827</v>
      </c>
      <c r="C80" s="1143" t="s">
        <v>981</v>
      </c>
      <c r="D80" s="1143" t="s">
        <v>986</v>
      </c>
      <c r="E80" s="1144">
        <v>111.1</v>
      </c>
      <c r="F80" s="1145" t="s">
        <v>125</v>
      </c>
      <c r="G80" s="1146"/>
      <c r="H80" s="1147" t="s">
        <v>125</v>
      </c>
      <c r="I80" s="1146"/>
      <c r="J80" s="1148" t="s">
        <v>182</v>
      </c>
      <c r="M80" s="1" t="s">
        <v>999</v>
      </c>
    </row>
    <row r="81" spans="2:13" ht="15" hidden="1" customHeight="1" outlineLevel="1" x14ac:dyDescent="0.25">
      <c r="B81" s="1142" t="s">
        <v>827</v>
      </c>
      <c r="C81" s="1143" t="s">
        <v>981</v>
      </c>
      <c r="D81" s="1143" t="s">
        <v>987</v>
      </c>
      <c r="E81" s="1144">
        <v>114.7</v>
      </c>
      <c r="F81" s="1145" t="s">
        <v>125</v>
      </c>
      <c r="G81" s="1146"/>
      <c r="H81" s="1147" t="s">
        <v>125</v>
      </c>
      <c r="I81" s="1146"/>
      <c r="J81" s="1148" t="s">
        <v>182</v>
      </c>
      <c r="M81" s="1" t="s">
        <v>999</v>
      </c>
    </row>
    <row r="82" spans="2:13" ht="15" hidden="1" customHeight="1" outlineLevel="1" x14ac:dyDescent="0.25">
      <c r="B82" s="1142" t="s">
        <v>830</v>
      </c>
      <c r="C82" s="1143"/>
      <c r="D82" s="1143" t="s">
        <v>665</v>
      </c>
      <c r="E82" s="1144">
        <v>3522</v>
      </c>
      <c r="F82" s="1145" t="s">
        <v>1660</v>
      </c>
      <c r="G82" s="1146" t="s">
        <v>726</v>
      </c>
      <c r="H82" s="1147" t="s">
        <v>125</v>
      </c>
      <c r="I82" s="1146"/>
      <c r="J82" s="1148" t="s">
        <v>221</v>
      </c>
      <c r="M82" s="1" t="s">
        <v>1000</v>
      </c>
    </row>
    <row r="83" spans="2:13" ht="15" hidden="1" customHeight="1" outlineLevel="1" x14ac:dyDescent="0.25">
      <c r="B83" s="1142" t="s">
        <v>830</v>
      </c>
      <c r="C83" s="1143"/>
      <c r="D83" s="1143" t="s">
        <v>673</v>
      </c>
      <c r="E83" s="1144">
        <v>308.89999999999998</v>
      </c>
      <c r="F83" s="1145" t="s">
        <v>1660</v>
      </c>
      <c r="G83" s="1146" t="s">
        <v>723</v>
      </c>
      <c r="H83" s="1147" t="s">
        <v>125</v>
      </c>
      <c r="I83" s="1146"/>
      <c r="J83" s="1148" t="s">
        <v>221</v>
      </c>
      <c r="M83" s="1" t="s">
        <v>1001</v>
      </c>
    </row>
    <row r="84" spans="2:13" ht="15" hidden="1" customHeight="1" outlineLevel="1" x14ac:dyDescent="0.25">
      <c r="B84" s="1142" t="s">
        <v>830</v>
      </c>
      <c r="C84" s="1143"/>
      <c r="D84" s="1143" t="s">
        <v>653</v>
      </c>
      <c r="E84" s="1144">
        <v>48.89</v>
      </c>
      <c r="F84" s="1145" t="s">
        <v>1660</v>
      </c>
      <c r="G84" s="1146" t="s">
        <v>1661</v>
      </c>
      <c r="H84" s="1147" t="s">
        <v>125</v>
      </c>
      <c r="I84" s="1146"/>
      <c r="J84" s="1148" t="s">
        <v>221</v>
      </c>
      <c r="M84" s="1" t="s">
        <v>1094</v>
      </c>
    </row>
    <row r="85" spans="2:13" ht="15" hidden="1" customHeight="1" outlineLevel="1" x14ac:dyDescent="0.25">
      <c r="B85" s="1142" t="s">
        <v>830</v>
      </c>
      <c r="C85" s="1143"/>
      <c r="D85" s="1143" t="s">
        <v>654</v>
      </c>
      <c r="E85" s="1144">
        <v>28.6</v>
      </c>
      <c r="F85" s="1145" t="s">
        <v>1660</v>
      </c>
      <c r="G85" s="1146" t="s">
        <v>1661</v>
      </c>
      <c r="H85" s="1147" t="s">
        <v>125</v>
      </c>
      <c r="I85" s="1146"/>
      <c r="J85" s="1148" t="s">
        <v>221</v>
      </c>
      <c r="M85" s="1" t="s">
        <v>1095</v>
      </c>
    </row>
    <row r="86" spans="2:13" ht="15" hidden="1" customHeight="1" outlineLevel="1" x14ac:dyDescent="0.25">
      <c r="B86" s="1142" t="s">
        <v>830</v>
      </c>
      <c r="C86" s="1143"/>
      <c r="D86" s="1143" t="s">
        <v>652</v>
      </c>
      <c r="E86" s="1144">
        <v>212.5</v>
      </c>
      <c r="F86" s="1145" t="s">
        <v>1660</v>
      </c>
      <c r="G86" s="1146" t="s">
        <v>1661</v>
      </c>
      <c r="H86" s="1147" t="s">
        <v>125</v>
      </c>
      <c r="I86" s="1146"/>
      <c r="J86" s="1148" t="s">
        <v>221</v>
      </c>
      <c r="M86" s="1" t="s">
        <v>1096</v>
      </c>
    </row>
    <row r="87" spans="2:13" ht="15" hidden="1" customHeight="1" outlineLevel="1" x14ac:dyDescent="0.25">
      <c r="B87" s="1142" t="s">
        <v>830</v>
      </c>
      <c r="C87" s="1143"/>
      <c r="D87" s="1143" t="s">
        <v>650</v>
      </c>
      <c r="E87" s="1144">
        <v>61.02</v>
      </c>
      <c r="F87" s="1145" t="s">
        <v>1660</v>
      </c>
      <c r="G87" s="1146" t="s">
        <v>1661</v>
      </c>
      <c r="H87" s="1147" t="s">
        <v>125</v>
      </c>
      <c r="I87" s="1146"/>
      <c r="J87" s="1148" t="s">
        <v>221</v>
      </c>
      <c r="M87" s="1" t="s">
        <v>1097</v>
      </c>
    </row>
    <row r="88" spans="2:13" ht="15" hidden="1" customHeight="1" outlineLevel="1" x14ac:dyDescent="0.25">
      <c r="B88" s="1142" t="s">
        <v>830</v>
      </c>
      <c r="C88" s="1143"/>
      <c r="D88" s="1143" t="s">
        <v>649</v>
      </c>
      <c r="E88" s="1144">
        <v>52.67</v>
      </c>
      <c r="F88" s="1145" t="s">
        <v>1660</v>
      </c>
      <c r="G88" s="1146" t="s">
        <v>1661</v>
      </c>
      <c r="H88" s="1147" t="s">
        <v>125</v>
      </c>
      <c r="I88" s="1146"/>
      <c r="J88" s="1148" t="s">
        <v>221</v>
      </c>
      <c r="M88" s="1" t="s">
        <v>1098</v>
      </c>
    </row>
    <row r="89" spans="2:13" ht="15" hidden="1" customHeight="1" outlineLevel="1" x14ac:dyDescent="0.25">
      <c r="B89" s="1142" t="s">
        <v>830</v>
      </c>
      <c r="C89" s="1143"/>
      <c r="D89" s="1143" t="s">
        <v>648</v>
      </c>
      <c r="E89" s="1144">
        <v>79.37</v>
      </c>
      <c r="F89" s="1145" t="s">
        <v>1660</v>
      </c>
      <c r="G89" s="1146" t="s">
        <v>1661</v>
      </c>
      <c r="H89" s="1147" t="s">
        <v>125</v>
      </c>
      <c r="I89" s="1146"/>
      <c r="J89" s="1148" t="s">
        <v>221</v>
      </c>
      <c r="M89" s="1" t="s">
        <v>1099</v>
      </c>
    </row>
    <row r="90" spans="2:13" ht="15" hidden="1" customHeight="1" outlineLevel="1" x14ac:dyDescent="0.25">
      <c r="B90" s="1142" t="s">
        <v>830</v>
      </c>
      <c r="C90" s="1143"/>
      <c r="D90" s="1143" t="s">
        <v>657</v>
      </c>
      <c r="E90" s="1144">
        <v>21.41</v>
      </c>
      <c r="F90" s="1145" t="s">
        <v>1660</v>
      </c>
      <c r="G90" s="1146" t="s">
        <v>1661</v>
      </c>
      <c r="H90" s="1147" t="s">
        <v>125</v>
      </c>
      <c r="I90" s="1146"/>
      <c r="J90" s="1148" t="s">
        <v>221</v>
      </c>
      <c r="M90" s="1" t="s">
        <v>1100</v>
      </c>
    </row>
    <row r="91" spans="2:13" ht="15" hidden="1" customHeight="1" outlineLevel="1" x14ac:dyDescent="0.25">
      <c r="B91" s="1142" t="s">
        <v>830</v>
      </c>
      <c r="C91" s="1143"/>
      <c r="D91" s="1143" t="s">
        <v>656</v>
      </c>
      <c r="E91" s="1144">
        <v>0.3594</v>
      </c>
      <c r="F91" s="1145" t="s">
        <v>1660</v>
      </c>
      <c r="G91" s="1146" t="s">
        <v>1661</v>
      </c>
      <c r="H91" s="1147" t="s">
        <v>125</v>
      </c>
      <c r="I91" s="1146"/>
      <c r="J91" s="1148" t="s">
        <v>221</v>
      </c>
      <c r="M91" s="1" t="s">
        <v>1101</v>
      </c>
    </row>
    <row r="92" spans="2:13" ht="15" hidden="1" customHeight="1" outlineLevel="1" x14ac:dyDescent="0.25">
      <c r="B92" s="1142" t="s">
        <v>830</v>
      </c>
      <c r="C92" s="1143"/>
      <c r="D92" s="1143" t="s">
        <v>655</v>
      </c>
      <c r="E92" s="1144">
        <v>6.66</v>
      </c>
      <c r="F92" s="1145" t="s">
        <v>1660</v>
      </c>
      <c r="G92" s="1146" t="s">
        <v>1661</v>
      </c>
      <c r="H92" s="1147" t="s">
        <v>125</v>
      </c>
      <c r="I92" s="1146"/>
      <c r="J92" s="1148" t="s">
        <v>221</v>
      </c>
      <c r="M92" s="1" t="s">
        <v>1102</v>
      </c>
    </row>
    <row r="93" spans="2:13" ht="15" hidden="1" customHeight="1" outlineLevel="1" x14ac:dyDescent="0.25">
      <c r="B93" s="1142" t="s">
        <v>830</v>
      </c>
      <c r="C93" s="1143"/>
      <c r="D93" s="1143" t="s">
        <v>658</v>
      </c>
      <c r="E93" s="1144">
        <v>113.1</v>
      </c>
      <c r="F93" s="1145" t="s">
        <v>1660</v>
      </c>
      <c r="G93" s="1146" t="s">
        <v>1661</v>
      </c>
      <c r="H93" s="1147" t="s">
        <v>125</v>
      </c>
      <c r="I93" s="1146"/>
      <c r="J93" s="1148" t="s">
        <v>221</v>
      </c>
      <c r="M93" s="1" t="s">
        <v>1103</v>
      </c>
    </row>
    <row r="94" spans="2:13" ht="15" hidden="1" customHeight="1" outlineLevel="1" x14ac:dyDescent="0.25">
      <c r="B94" s="1142" t="s">
        <v>830</v>
      </c>
      <c r="C94" s="1143"/>
      <c r="D94" s="1143" t="s">
        <v>659</v>
      </c>
      <c r="E94" s="1144">
        <v>7.6459999999999999</v>
      </c>
      <c r="F94" s="1145" t="s">
        <v>1660</v>
      </c>
      <c r="G94" s="1146" t="s">
        <v>1661</v>
      </c>
      <c r="H94" s="1147" t="s">
        <v>125</v>
      </c>
      <c r="I94" s="1146"/>
      <c r="J94" s="1148" t="s">
        <v>221</v>
      </c>
      <c r="M94" s="1" t="s">
        <v>1104</v>
      </c>
    </row>
    <row r="95" spans="2:13" ht="15" hidden="1" customHeight="1" outlineLevel="1" x14ac:dyDescent="0.25">
      <c r="B95" s="1142" t="s">
        <v>830</v>
      </c>
      <c r="C95" s="1143"/>
      <c r="D95" s="1143" t="s">
        <v>988</v>
      </c>
      <c r="E95" s="1144">
        <v>1</v>
      </c>
      <c r="F95" s="1145" t="s">
        <v>125</v>
      </c>
      <c r="G95" s="1146"/>
      <c r="H95" s="1147" t="s">
        <v>125</v>
      </c>
      <c r="I95" s="1146"/>
      <c r="J95" s="1148" t="s">
        <v>188</v>
      </c>
      <c r="M95" s="1" t="s">
        <v>1013</v>
      </c>
    </row>
    <row r="96" spans="2:13" ht="15" hidden="1" customHeight="1" outlineLevel="1" x14ac:dyDescent="0.25">
      <c r="B96" s="1142" t="s">
        <v>830</v>
      </c>
      <c r="C96" s="1143"/>
      <c r="D96" s="1143" t="s">
        <v>662</v>
      </c>
      <c r="E96" s="1144">
        <v>400</v>
      </c>
      <c r="F96" s="1145" t="s">
        <v>125</v>
      </c>
      <c r="G96" s="1146"/>
      <c r="H96" s="1147" t="s">
        <v>125</v>
      </c>
      <c r="I96" s="1146"/>
      <c r="J96" s="1148" t="s">
        <v>221</v>
      </c>
      <c r="M96" s="1" t="s">
        <v>1014</v>
      </c>
    </row>
    <row r="97" spans="2:13" ht="15" hidden="1" customHeight="1" outlineLevel="1" x14ac:dyDescent="0.25">
      <c r="B97" s="1142" t="s">
        <v>830</v>
      </c>
      <c r="C97" s="1143"/>
      <c r="D97" s="1143" t="s">
        <v>1105</v>
      </c>
      <c r="E97" s="1144">
        <v>37.74</v>
      </c>
      <c r="F97" s="1145" t="s">
        <v>125</v>
      </c>
      <c r="G97" s="1146"/>
      <c r="H97" s="1147" t="s">
        <v>125</v>
      </c>
      <c r="I97" s="1146"/>
      <c r="J97" s="1148" t="s">
        <v>221</v>
      </c>
      <c r="M97" s="1" t="s">
        <v>1052</v>
      </c>
    </row>
    <row r="98" spans="2:13" ht="15" hidden="1" customHeight="1" outlineLevel="1" x14ac:dyDescent="0.25">
      <c r="B98" s="1142" t="s">
        <v>830</v>
      </c>
      <c r="C98" s="1143"/>
      <c r="D98" s="1143" t="s">
        <v>990</v>
      </c>
      <c r="E98" s="1144">
        <v>114.9</v>
      </c>
      <c r="F98" s="1145" t="s">
        <v>1660</v>
      </c>
      <c r="G98" s="1146" t="s">
        <v>722</v>
      </c>
      <c r="H98" s="1147" t="s">
        <v>125</v>
      </c>
      <c r="I98" s="1146"/>
      <c r="J98" s="1148" t="s">
        <v>836</v>
      </c>
      <c r="M98" s="1" t="s">
        <v>1015</v>
      </c>
    </row>
    <row r="99" spans="2:13" ht="15" hidden="1" customHeight="1" outlineLevel="1" x14ac:dyDescent="0.25">
      <c r="B99" s="1142" t="s">
        <v>830</v>
      </c>
      <c r="C99" s="1143"/>
      <c r="D99" s="1143" t="s">
        <v>990</v>
      </c>
      <c r="E99" s="1144">
        <v>53.69</v>
      </c>
      <c r="F99" s="1145" t="s">
        <v>1660</v>
      </c>
      <c r="G99" s="1146" t="s">
        <v>1689</v>
      </c>
      <c r="H99" s="1147" t="s">
        <v>125</v>
      </c>
      <c r="I99" s="1146"/>
      <c r="J99" s="1148" t="s">
        <v>836</v>
      </c>
      <c r="M99" s="1" t="s">
        <v>1016</v>
      </c>
    </row>
    <row r="100" spans="2:13" ht="15" hidden="1" customHeight="1" outlineLevel="1" x14ac:dyDescent="0.25">
      <c r="B100" s="1142" t="s">
        <v>830</v>
      </c>
      <c r="C100" s="1143"/>
      <c r="D100" s="1143" t="s">
        <v>675</v>
      </c>
      <c r="E100" s="1144">
        <v>0.3836</v>
      </c>
      <c r="F100" s="1145" t="s">
        <v>1660</v>
      </c>
      <c r="G100" s="1146" t="s">
        <v>1661</v>
      </c>
      <c r="H100" s="1147" t="s">
        <v>125</v>
      </c>
      <c r="I100" s="1146"/>
      <c r="J100" s="1148" t="s">
        <v>221</v>
      </c>
      <c r="M100" s="1" t="s">
        <v>1017</v>
      </c>
    </row>
    <row r="101" spans="2:13" ht="15" hidden="1" customHeight="1" outlineLevel="1" x14ac:dyDescent="0.25">
      <c r="B101" s="1142" t="s">
        <v>830</v>
      </c>
      <c r="C101" s="1143"/>
      <c r="D101" s="1143" t="s">
        <v>676</v>
      </c>
      <c r="E101" s="1144">
        <v>1.415</v>
      </c>
      <c r="F101" s="1145" t="s">
        <v>1660</v>
      </c>
      <c r="G101" s="1146" t="s">
        <v>1661</v>
      </c>
      <c r="H101" s="1147" t="s">
        <v>125</v>
      </c>
      <c r="I101" s="1146"/>
      <c r="J101" s="1148" t="s">
        <v>221</v>
      </c>
      <c r="M101" s="1" t="s">
        <v>1018</v>
      </c>
    </row>
    <row r="102" spans="2:13" ht="15" hidden="1" customHeight="1" outlineLevel="1" x14ac:dyDescent="0.25">
      <c r="B102" s="1142" t="s">
        <v>830</v>
      </c>
      <c r="C102" s="1143"/>
      <c r="D102" s="1143" t="s">
        <v>678</v>
      </c>
      <c r="E102" s="1144">
        <v>1.99</v>
      </c>
      <c r="F102" s="1145" t="s">
        <v>1660</v>
      </c>
      <c r="G102" s="1146" t="s">
        <v>1661</v>
      </c>
      <c r="H102" s="1147" t="s">
        <v>125</v>
      </c>
      <c r="I102" s="1146"/>
      <c r="J102" s="1148" t="s">
        <v>221</v>
      </c>
      <c r="M102" s="1" t="s">
        <v>1019</v>
      </c>
    </row>
    <row r="103" spans="2:13" ht="15" hidden="1" customHeight="1" outlineLevel="1" x14ac:dyDescent="0.25">
      <c r="B103" s="1142" t="s">
        <v>830</v>
      </c>
      <c r="C103" s="1143"/>
      <c r="D103" s="1143" t="s">
        <v>991</v>
      </c>
      <c r="E103" s="1144">
        <v>0.3836</v>
      </c>
      <c r="F103" s="1145" t="s">
        <v>1660</v>
      </c>
      <c r="G103" s="1146" t="s">
        <v>1661</v>
      </c>
      <c r="H103" s="1147" t="s">
        <v>125</v>
      </c>
      <c r="I103" s="1146"/>
      <c r="J103" s="1148" t="s">
        <v>221</v>
      </c>
      <c r="M103" s="1" t="s">
        <v>1020</v>
      </c>
    </row>
    <row r="104" spans="2:13" ht="15" hidden="1" customHeight="1" outlineLevel="1" x14ac:dyDescent="0.25">
      <c r="B104" s="1142" t="s">
        <v>830</v>
      </c>
      <c r="C104" s="1143"/>
      <c r="D104" s="1143" t="s">
        <v>992</v>
      </c>
      <c r="E104" s="1144">
        <v>1.415</v>
      </c>
      <c r="F104" s="1145" t="s">
        <v>1660</v>
      </c>
      <c r="G104" s="1146" t="s">
        <v>1661</v>
      </c>
      <c r="H104" s="1147" t="s">
        <v>125</v>
      </c>
      <c r="I104" s="1146"/>
      <c r="J104" s="1148" t="s">
        <v>221</v>
      </c>
      <c r="M104" s="1" t="s">
        <v>1021</v>
      </c>
    </row>
    <row r="105" spans="2:13" ht="15" hidden="1" customHeight="1" outlineLevel="1" x14ac:dyDescent="0.25">
      <c r="B105" s="1142" t="s">
        <v>830</v>
      </c>
      <c r="C105" s="1143"/>
      <c r="D105" s="1143" t="s">
        <v>993</v>
      </c>
      <c r="E105" s="1144">
        <v>1.99</v>
      </c>
      <c r="F105" s="1145" t="s">
        <v>1660</v>
      </c>
      <c r="G105" s="1146" t="s">
        <v>1661</v>
      </c>
      <c r="H105" s="1147" t="s">
        <v>125</v>
      </c>
      <c r="I105" s="1146"/>
      <c r="J105" s="1148" t="s">
        <v>221</v>
      </c>
      <c r="M105" s="1" t="s">
        <v>1022</v>
      </c>
    </row>
    <row r="106" spans="2:13" ht="15" hidden="1" customHeight="1" outlineLevel="1" x14ac:dyDescent="0.25">
      <c r="B106" s="1142" t="s">
        <v>994</v>
      </c>
      <c r="C106" s="1143"/>
      <c r="D106" s="1143" t="s">
        <v>834</v>
      </c>
      <c r="E106" s="1144">
        <v>4227</v>
      </c>
      <c r="F106" s="1145" t="s">
        <v>1660</v>
      </c>
      <c r="G106" s="1146" t="s">
        <v>718</v>
      </c>
      <c r="H106" s="1147" t="s">
        <v>125</v>
      </c>
      <c r="I106" s="1146"/>
      <c r="J106" s="1148" t="s">
        <v>304</v>
      </c>
      <c r="K106" s="1" t="s">
        <v>125</v>
      </c>
      <c r="M106" s="1" t="s">
        <v>1023</v>
      </c>
    </row>
    <row r="107" spans="2:13" ht="15" hidden="1" customHeight="1" outlineLevel="1" x14ac:dyDescent="0.25">
      <c r="B107" s="1142" t="s">
        <v>994</v>
      </c>
      <c r="C107" s="1143"/>
      <c r="D107" s="1143" t="s">
        <v>834</v>
      </c>
      <c r="E107" s="1144">
        <v>13.37</v>
      </c>
      <c r="F107" s="1145" t="s">
        <v>1660</v>
      </c>
      <c r="G107" s="1146" t="s">
        <v>718</v>
      </c>
      <c r="H107" s="1147" t="s">
        <v>125</v>
      </c>
      <c r="I107" s="1146"/>
      <c r="J107" s="1148" t="s">
        <v>304</v>
      </c>
      <c r="K107" s="1" t="s">
        <v>125</v>
      </c>
      <c r="M107" s="1" t="s">
        <v>1053</v>
      </c>
    </row>
    <row r="108" spans="2:13" ht="15" hidden="1" customHeight="1" outlineLevel="1" x14ac:dyDescent="0.25">
      <c r="B108" s="1142" t="s">
        <v>994</v>
      </c>
      <c r="C108" s="1143"/>
      <c r="D108" s="1143" t="s">
        <v>1054</v>
      </c>
      <c r="E108" s="1144">
        <v>9.5980000000000008</v>
      </c>
      <c r="F108" s="1145" t="s">
        <v>1660</v>
      </c>
      <c r="G108" s="1146" t="s">
        <v>720</v>
      </c>
      <c r="H108" s="1147" t="s">
        <v>125</v>
      </c>
      <c r="I108" s="1146"/>
      <c r="J108" s="1148" t="s">
        <v>304</v>
      </c>
      <c r="K108" s="1" t="s">
        <v>125</v>
      </c>
      <c r="M108" s="1" t="s">
        <v>1055</v>
      </c>
    </row>
    <row r="109" spans="2:13" ht="15" hidden="1" customHeight="1" outlineLevel="1" x14ac:dyDescent="0.25">
      <c r="B109" s="1142" t="s">
        <v>839</v>
      </c>
      <c r="C109" s="1143"/>
      <c r="D109" s="1143" t="s">
        <v>925</v>
      </c>
      <c r="E109" s="1144">
        <v>176</v>
      </c>
      <c r="F109" s="1145" t="s">
        <v>125</v>
      </c>
      <c r="G109" s="1146"/>
      <c r="H109" s="1147" t="s">
        <v>125</v>
      </c>
      <c r="I109" s="1146"/>
      <c r="J109" s="1148" t="s">
        <v>221</v>
      </c>
      <c r="K109" s="1" t="s">
        <v>125</v>
      </c>
      <c r="M109" s="1" t="s">
        <v>1024</v>
      </c>
    </row>
    <row r="110" spans="2:13" ht="15" hidden="1" customHeight="1" outlineLevel="1" x14ac:dyDescent="0.25">
      <c r="B110" s="1142" t="s">
        <v>839</v>
      </c>
      <c r="C110" s="1143"/>
      <c r="D110" s="1143" t="s">
        <v>925</v>
      </c>
      <c r="E110" s="1144">
        <v>72.34</v>
      </c>
      <c r="F110" s="1145" t="s">
        <v>1660</v>
      </c>
      <c r="G110" s="1146" t="s">
        <v>1661</v>
      </c>
      <c r="H110" s="1147" t="s">
        <v>125</v>
      </c>
      <c r="I110" s="1146"/>
      <c r="J110" s="1148" t="s">
        <v>221</v>
      </c>
      <c r="K110" s="1" t="s">
        <v>125</v>
      </c>
      <c r="M110" s="1" t="s">
        <v>1025</v>
      </c>
    </row>
    <row r="111" spans="2:13" ht="15" hidden="1" customHeight="1" outlineLevel="1" x14ac:dyDescent="0.25">
      <c r="B111" s="1142" t="s">
        <v>839</v>
      </c>
      <c r="C111" s="1143"/>
      <c r="D111" s="1143" t="s">
        <v>843</v>
      </c>
      <c r="E111" s="1144">
        <v>2.121</v>
      </c>
      <c r="F111" s="1145" t="s">
        <v>1660</v>
      </c>
      <c r="G111" s="1146" t="s">
        <v>1661</v>
      </c>
      <c r="H111" s="1147" t="s">
        <v>1660</v>
      </c>
      <c r="I111" s="1146" t="s">
        <v>1558</v>
      </c>
      <c r="J111" s="1148" t="s">
        <v>221</v>
      </c>
      <c r="K111" s="1" t="s">
        <v>125</v>
      </c>
      <c r="M111" s="1" t="s">
        <v>1026</v>
      </c>
    </row>
    <row r="112" spans="2:13" ht="15" hidden="1" customHeight="1" outlineLevel="1" x14ac:dyDescent="0.25">
      <c r="B112" s="1142" t="s">
        <v>839</v>
      </c>
      <c r="C112" s="1143"/>
      <c r="D112" s="1143" t="s">
        <v>843</v>
      </c>
      <c r="E112" s="1144">
        <v>0.6895</v>
      </c>
      <c r="F112" s="1145" t="s">
        <v>1660</v>
      </c>
      <c r="G112" s="1146" t="s">
        <v>1661</v>
      </c>
      <c r="H112" s="1147" t="s">
        <v>1660</v>
      </c>
      <c r="I112" s="1146" t="s">
        <v>1690</v>
      </c>
      <c r="J112" s="1148" t="s">
        <v>221</v>
      </c>
      <c r="K112" s="1" t="s">
        <v>125</v>
      </c>
      <c r="M112" s="1" t="s">
        <v>1027</v>
      </c>
    </row>
    <row r="113" spans="2:13" ht="15" hidden="1" customHeight="1" outlineLevel="1" x14ac:dyDescent="0.25">
      <c r="B113" s="1142" t="s">
        <v>839</v>
      </c>
      <c r="C113" s="1143"/>
      <c r="D113" s="1143" t="s">
        <v>846</v>
      </c>
      <c r="E113" s="1144">
        <v>9.2680000000000007</v>
      </c>
      <c r="F113" s="1145" t="s">
        <v>1660</v>
      </c>
      <c r="G113" s="1146" t="s">
        <v>1661</v>
      </c>
      <c r="H113" s="1147" t="s">
        <v>125</v>
      </c>
      <c r="I113" s="1146"/>
      <c r="J113" s="1148" t="s">
        <v>221</v>
      </c>
      <c r="K113" s="1" t="s">
        <v>125</v>
      </c>
      <c r="M113" s="1" t="s">
        <v>1028</v>
      </c>
    </row>
    <row r="114" spans="2:13" ht="15" hidden="1" customHeight="1" outlineLevel="1" x14ac:dyDescent="0.25">
      <c r="B114" s="1142" t="s">
        <v>839</v>
      </c>
      <c r="C114" s="1143"/>
      <c r="D114" s="1143" t="s">
        <v>995</v>
      </c>
      <c r="E114" s="1144">
        <v>0.94499999999999995</v>
      </c>
      <c r="F114" s="1145" t="s">
        <v>1660</v>
      </c>
      <c r="G114" s="1146" t="s">
        <v>1661</v>
      </c>
      <c r="H114" s="1147" t="s">
        <v>125</v>
      </c>
      <c r="I114" s="1146"/>
      <c r="J114" s="1148" t="s">
        <v>221</v>
      </c>
      <c r="K114" s="1" t="s">
        <v>125</v>
      </c>
      <c r="M114" s="1" t="s">
        <v>1029</v>
      </c>
    </row>
    <row r="115" spans="2:13" ht="15" hidden="1" customHeight="1" outlineLevel="1" x14ac:dyDescent="0.25">
      <c r="B115" s="1142" t="s">
        <v>839</v>
      </c>
      <c r="C115" s="1143"/>
      <c r="D115" s="1143" t="s">
        <v>996</v>
      </c>
      <c r="E115" s="1144">
        <v>97.97</v>
      </c>
      <c r="F115" s="1145" t="s">
        <v>125</v>
      </c>
      <c r="G115" s="1146"/>
      <c r="H115" s="1147" t="s">
        <v>125</v>
      </c>
      <c r="I115" s="1146"/>
      <c r="J115" s="1148" t="s">
        <v>221</v>
      </c>
      <c r="K115" s="1" t="s">
        <v>125</v>
      </c>
      <c r="M115" s="1" t="s">
        <v>999</v>
      </c>
    </row>
    <row r="116" spans="2:13" ht="15" hidden="1" customHeight="1" outlineLevel="1" x14ac:dyDescent="0.25">
      <c r="B116" s="1142" t="s">
        <v>839</v>
      </c>
      <c r="C116" s="1143"/>
      <c r="D116" s="1143" t="s">
        <v>843</v>
      </c>
      <c r="E116" s="1144">
        <v>0.54830000000000001</v>
      </c>
      <c r="F116" s="1145" t="s">
        <v>1660</v>
      </c>
      <c r="G116" s="1146" t="s">
        <v>683</v>
      </c>
      <c r="H116" s="1147" t="s">
        <v>1660</v>
      </c>
      <c r="I116" s="1146" t="s">
        <v>1561</v>
      </c>
      <c r="J116" s="1148" t="s">
        <v>221</v>
      </c>
      <c r="K116" s="1" t="s">
        <v>125</v>
      </c>
      <c r="M116" s="1" t="s">
        <v>1030</v>
      </c>
    </row>
    <row r="117" spans="2:13" ht="15" hidden="1" customHeight="1" outlineLevel="1" x14ac:dyDescent="0.25">
      <c r="B117" s="1142" t="s">
        <v>839</v>
      </c>
      <c r="C117" s="1143"/>
      <c r="D117" s="1143" t="s">
        <v>843</v>
      </c>
      <c r="E117" s="1144">
        <v>0.1782</v>
      </c>
      <c r="F117" s="1145" t="s">
        <v>1660</v>
      </c>
      <c r="G117" s="1146" t="s">
        <v>683</v>
      </c>
      <c r="H117" s="1147" t="s">
        <v>1660</v>
      </c>
      <c r="I117" s="1146" t="s">
        <v>1562</v>
      </c>
      <c r="J117" s="1148" t="s">
        <v>221</v>
      </c>
      <c r="K117" s="1" t="s">
        <v>125</v>
      </c>
      <c r="M117" s="1" t="s">
        <v>1031</v>
      </c>
    </row>
    <row r="118" spans="2:13" ht="15" hidden="1" customHeight="1" outlineLevel="1" x14ac:dyDescent="0.25">
      <c r="B118" s="1142" t="s">
        <v>839</v>
      </c>
      <c r="C118" s="1143"/>
      <c r="D118" s="1143" t="s">
        <v>846</v>
      </c>
      <c r="E118" s="1144">
        <v>8.4730000000000008</v>
      </c>
      <c r="F118" s="1145" t="s">
        <v>1660</v>
      </c>
      <c r="G118" s="1146" t="s">
        <v>683</v>
      </c>
      <c r="H118" s="1147" t="s">
        <v>1660</v>
      </c>
      <c r="I118" s="1146" t="s">
        <v>1564</v>
      </c>
      <c r="J118" s="1148" t="s">
        <v>221</v>
      </c>
      <c r="K118" s="1" t="s">
        <v>125</v>
      </c>
      <c r="M118" s="1" t="s">
        <v>1032</v>
      </c>
    </row>
    <row r="119" spans="2:13" ht="15" hidden="1" customHeight="1" outlineLevel="1" x14ac:dyDescent="0.25">
      <c r="B119" s="1142" t="s">
        <v>839</v>
      </c>
      <c r="C119" s="1143"/>
      <c r="D119" s="1143" t="s">
        <v>843</v>
      </c>
      <c r="E119" s="1144">
        <v>1.163</v>
      </c>
      <c r="F119" s="1145" t="s">
        <v>125</v>
      </c>
      <c r="G119" s="1146"/>
      <c r="H119" s="1147" t="s">
        <v>125</v>
      </c>
      <c r="I119" s="1146"/>
      <c r="J119" s="1148" t="s">
        <v>221</v>
      </c>
      <c r="K119" s="1" t="s">
        <v>125</v>
      </c>
      <c r="M119" s="1" t="s">
        <v>1033</v>
      </c>
    </row>
    <row r="120" spans="2:13" ht="15" hidden="1" customHeight="1" outlineLevel="1" x14ac:dyDescent="0.25">
      <c r="B120" s="1142" t="s">
        <v>839</v>
      </c>
      <c r="C120" s="1143"/>
      <c r="D120" s="1143" t="s">
        <v>843</v>
      </c>
      <c r="E120" s="1144">
        <v>0.2616</v>
      </c>
      <c r="F120" s="1145" t="s">
        <v>125</v>
      </c>
      <c r="G120" s="1146"/>
      <c r="H120" s="1147" t="s">
        <v>125</v>
      </c>
      <c r="I120" s="1146"/>
      <c r="J120" s="1148" t="s">
        <v>221</v>
      </c>
      <c r="K120" s="1" t="s">
        <v>125</v>
      </c>
      <c r="M120" s="1" t="s">
        <v>1034</v>
      </c>
    </row>
    <row r="121" spans="2:13" ht="15" hidden="1" customHeight="1" outlineLevel="1" x14ac:dyDescent="0.25">
      <c r="B121" s="1142" t="s">
        <v>931</v>
      </c>
      <c r="C121" s="1143"/>
      <c r="D121" s="1143" t="s">
        <v>932</v>
      </c>
      <c r="E121" s="1144">
        <v>179.4</v>
      </c>
      <c r="F121" s="1145" t="s">
        <v>1660</v>
      </c>
      <c r="G121" s="1146" t="s">
        <v>1661</v>
      </c>
      <c r="H121" s="1147" t="s">
        <v>1660</v>
      </c>
      <c r="I121" s="1146" t="s">
        <v>1691</v>
      </c>
      <c r="J121" s="1148" t="s">
        <v>221</v>
      </c>
      <c r="K121" s="1" t="s">
        <v>125</v>
      </c>
      <c r="M121" s="1" t="s">
        <v>1025</v>
      </c>
    </row>
    <row r="122" spans="2:13" ht="15" hidden="1" customHeight="1" outlineLevel="1" x14ac:dyDescent="0.25">
      <c r="B122" s="1142" t="s">
        <v>931</v>
      </c>
      <c r="C122" s="1143"/>
      <c r="D122" s="1143" t="s">
        <v>947</v>
      </c>
      <c r="E122" s="1144">
        <v>1.0409999999999999</v>
      </c>
      <c r="F122" s="1145" t="s">
        <v>1660</v>
      </c>
      <c r="G122" s="1146" t="s">
        <v>1661</v>
      </c>
      <c r="H122" s="1147" t="s">
        <v>125</v>
      </c>
      <c r="I122" s="1146"/>
      <c r="J122" s="1148" t="s">
        <v>221</v>
      </c>
      <c r="K122" s="1" t="s">
        <v>125</v>
      </c>
      <c r="M122" s="1" t="s">
        <v>1035</v>
      </c>
    </row>
    <row r="123" spans="2:13" ht="15" hidden="1" customHeight="1" outlineLevel="1" x14ac:dyDescent="0.25">
      <c r="B123" s="1142" t="s">
        <v>931</v>
      </c>
      <c r="C123" s="1143"/>
      <c r="D123" s="1143" t="s">
        <v>934</v>
      </c>
      <c r="E123" s="1144">
        <v>40.82</v>
      </c>
      <c r="F123" s="1145" t="s">
        <v>1660</v>
      </c>
      <c r="G123" s="1146" t="s">
        <v>1692</v>
      </c>
      <c r="H123" s="1147" t="s">
        <v>1660</v>
      </c>
      <c r="I123" s="1146" t="s">
        <v>1693</v>
      </c>
      <c r="J123" s="1148" t="s">
        <v>935</v>
      </c>
      <c r="K123" s="1" t="s">
        <v>125</v>
      </c>
      <c r="M123" s="1" t="s">
        <v>1036</v>
      </c>
    </row>
    <row r="124" spans="2:13" ht="15" hidden="1" customHeight="1" outlineLevel="1" x14ac:dyDescent="0.25">
      <c r="B124" s="1142" t="s">
        <v>931</v>
      </c>
      <c r="C124" s="1143"/>
      <c r="D124" s="1143" t="s">
        <v>937</v>
      </c>
      <c r="E124" s="1144">
        <v>20770</v>
      </c>
      <c r="F124" s="1145" t="s">
        <v>1660</v>
      </c>
      <c r="G124" s="1146" t="s">
        <v>1694</v>
      </c>
      <c r="H124" s="1147" t="s">
        <v>1660</v>
      </c>
      <c r="I124" s="1146" t="s">
        <v>1695</v>
      </c>
      <c r="J124" s="1148" t="s">
        <v>935</v>
      </c>
      <c r="K124" s="1" t="s">
        <v>125</v>
      </c>
      <c r="M124" s="1" t="s">
        <v>1036</v>
      </c>
    </row>
    <row r="125" spans="2:13" ht="15" hidden="1" customHeight="1" outlineLevel="1" x14ac:dyDescent="0.25">
      <c r="B125" s="1142" t="s">
        <v>931</v>
      </c>
      <c r="C125" s="1143"/>
      <c r="D125" s="1143" t="s">
        <v>938</v>
      </c>
      <c r="E125" s="1144">
        <v>3405</v>
      </c>
      <c r="F125" s="1145" t="s">
        <v>1660</v>
      </c>
      <c r="G125" s="1146" t="s">
        <v>1696</v>
      </c>
      <c r="H125" s="1147" t="s">
        <v>1660</v>
      </c>
      <c r="I125" s="1146" t="s">
        <v>1697</v>
      </c>
      <c r="J125" s="1148" t="s">
        <v>935</v>
      </c>
      <c r="K125" s="1" t="s">
        <v>125</v>
      </c>
      <c r="M125" s="1" t="s">
        <v>1036</v>
      </c>
    </row>
    <row r="126" spans="2:13" ht="15" hidden="1" customHeight="1" outlineLevel="1" x14ac:dyDescent="0.25">
      <c r="B126" s="1142" t="s">
        <v>931</v>
      </c>
      <c r="C126" s="1143"/>
      <c r="D126" s="1143" t="s">
        <v>939</v>
      </c>
      <c r="E126" s="1144">
        <v>0.76229999999999998</v>
      </c>
      <c r="F126" s="1145" t="s">
        <v>1660</v>
      </c>
      <c r="G126" s="1146" t="s">
        <v>1698</v>
      </c>
      <c r="H126" s="1147" t="s">
        <v>1660</v>
      </c>
      <c r="I126" s="1146" t="s">
        <v>1699</v>
      </c>
      <c r="J126" s="1148" t="s">
        <v>935</v>
      </c>
      <c r="K126" s="1" t="s">
        <v>125</v>
      </c>
      <c r="M126" s="1" t="s">
        <v>1036</v>
      </c>
    </row>
    <row r="127" spans="2:13" ht="15" hidden="1" customHeight="1" outlineLevel="1" x14ac:dyDescent="0.25">
      <c r="B127" s="1142" t="s">
        <v>931</v>
      </c>
      <c r="C127" s="1143"/>
      <c r="D127" s="1143" t="s">
        <v>940</v>
      </c>
      <c r="E127" s="1144">
        <v>0</v>
      </c>
      <c r="F127" s="1145" t="s">
        <v>125</v>
      </c>
      <c r="G127" s="1146"/>
      <c r="H127" s="1147" t="s">
        <v>125</v>
      </c>
      <c r="I127" s="1146"/>
      <c r="J127" s="1148" t="s">
        <v>935</v>
      </c>
      <c r="K127" s="1" t="s">
        <v>125</v>
      </c>
      <c r="M127" s="1" t="s">
        <v>1036</v>
      </c>
    </row>
    <row r="128" spans="2:13" ht="15" hidden="1" customHeight="1" outlineLevel="1" collapsed="1" x14ac:dyDescent="0.25">
      <c r="B128" s="1142" t="s">
        <v>931</v>
      </c>
      <c r="C128" s="1143"/>
      <c r="D128" s="1143" t="s">
        <v>941</v>
      </c>
      <c r="E128" s="1144">
        <v>297.10000000000002</v>
      </c>
      <c r="F128" s="1145" t="s">
        <v>1660</v>
      </c>
      <c r="G128" s="1146" t="s">
        <v>1700</v>
      </c>
      <c r="H128" s="1147" t="s">
        <v>1660</v>
      </c>
      <c r="I128" s="1146" t="s">
        <v>1701</v>
      </c>
      <c r="J128" s="1148" t="s">
        <v>935</v>
      </c>
      <c r="K128" s="1" t="s">
        <v>125</v>
      </c>
      <c r="M128" s="1" t="s">
        <v>1036</v>
      </c>
    </row>
    <row r="129" spans="2:13" ht="15" hidden="1" customHeight="1" outlineLevel="1" x14ac:dyDescent="0.25">
      <c r="B129" s="1142" t="s">
        <v>931</v>
      </c>
      <c r="C129" s="1143"/>
      <c r="D129" s="1143" t="s">
        <v>942</v>
      </c>
      <c r="E129" s="1144">
        <v>27880</v>
      </c>
      <c r="F129" s="1145" t="s">
        <v>1660</v>
      </c>
      <c r="G129" s="1146" t="s">
        <v>1702</v>
      </c>
      <c r="H129" s="1147" t="s">
        <v>1660</v>
      </c>
      <c r="I129" s="1146" t="s">
        <v>1703</v>
      </c>
      <c r="J129" s="1148" t="s">
        <v>935</v>
      </c>
      <c r="K129" s="1" t="s">
        <v>125</v>
      </c>
      <c r="M129" s="1" t="s">
        <v>1036</v>
      </c>
    </row>
    <row r="130" spans="2:13" ht="15" hidden="1" customHeight="1" outlineLevel="1" x14ac:dyDescent="0.25">
      <c r="B130" s="1142" t="s">
        <v>931</v>
      </c>
      <c r="C130" s="1143"/>
      <c r="D130" s="1143" t="s">
        <v>932</v>
      </c>
      <c r="E130" s="1144">
        <v>46.35</v>
      </c>
      <c r="F130" s="1145" t="s">
        <v>1660</v>
      </c>
      <c r="G130" s="1146" t="s">
        <v>683</v>
      </c>
      <c r="H130" s="1147" t="s">
        <v>1660</v>
      </c>
      <c r="I130" s="1146" t="s">
        <v>1704</v>
      </c>
      <c r="J130" s="1148" t="s">
        <v>221</v>
      </c>
      <c r="K130" s="1" t="s">
        <v>125</v>
      </c>
      <c r="M130" s="1" t="s">
        <v>1032</v>
      </c>
    </row>
    <row r="131" spans="2:13" ht="15" hidden="1" customHeight="1" outlineLevel="1" x14ac:dyDescent="0.25">
      <c r="B131" s="1142" t="s">
        <v>931</v>
      </c>
      <c r="C131" s="1143"/>
      <c r="D131" s="1143" t="s">
        <v>947</v>
      </c>
      <c r="E131" s="1144">
        <v>0.4667</v>
      </c>
      <c r="F131" s="1145" t="s">
        <v>1660</v>
      </c>
      <c r="G131" s="1146" t="s">
        <v>684</v>
      </c>
      <c r="H131" s="1147" t="s">
        <v>125</v>
      </c>
      <c r="I131" s="1146"/>
      <c r="J131" s="1148" t="s">
        <v>221</v>
      </c>
      <c r="K131" s="1" t="s">
        <v>125</v>
      </c>
      <c r="M131" s="1" t="s">
        <v>1037</v>
      </c>
    </row>
    <row r="132" spans="2:13" ht="15" hidden="1" customHeight="1" outlineLevel="1" x14ac:dyDescent="0.25">
      <c r="B132" s="1142" t="s">
        <v>931</v>
      </c>
      <c r="C132" s="1143"/>
      <c r="D132" s="1143" t="s">
        <v>932</v>
      </c>
      <c r="E132" s="1144">
        <v>98.3</v>
      </c>
      <c r="F132" s="1145" t="s">
        <v>125</v>
      </c>
      <c r="G132" s="1146"/>
      <c r="H132" s="1147" t="s">
        <v>125</v>
      </c>
      <c r="I132" s="1146"/>
      <c r="J132" s="1148" t="s">
        <v>221</v>
      </c>
      <c r="K132" s="1" t="s">
        <v>125</v>
      </c>
      <c r="M132" s="1" t="s">
        <v>1038</v>
      </c>
    </row>
    <row r="133" spans="2:13" ht="15" hidden="1" customHeight="1" outlineLevel="1" x14ac:dyDescent="0.25">
      <c r="B133" s="1142" t="s">
        <v>945</v>
      </c>
      <c r="C133" s="1143" t="s">
        <v>946</v>
      </c>
      <c r="D133" s="1143" t="s">
        <v>934</v>
      </c>
      <c r="E133" s="1144">
        <v>-1034</v>
      </c>
      <c r="F133" s="1145" t="s">
        <v>1660</v>
      </c>
      <c r="G133" s="1146" t="s">
        <v>1705</v>
      </c>
      <c r="H133" s="1147" t="s">
        <v>1660</v>
      </c>
      <c r="I133" s="1146" t="s">
        <v>1706</v>
      </c>
      <c r="J133" s="1148" t="s">
        <v>935</v>
      </c>
      <c r="K133" s="1" t="s">
        <v>125</v>
      </c>
      <c r="M133" s="1" t="s">
        <v>1036</v>
      </c>
    </row>
    <row r="134" spans="2:13" ht="15" hidden="1" customHeight="1" outlineLevel="1" x14ac:dyDescent="0.25">
      <c r="B134" s="1142" t="s">
        <v>945</v>
      </c>
      <c r="C134" s="1143" t="s">
        <v>946</v>
      </c>
      <c r="D134" s="1143" t="s">
        <v>937</v>
      </c>
      <c r="E134" s="1144">
        <v>152600</v>
      </c>
      <c r="F134" s="1145" t="s">
        <v>1660</v>
      </c>
      <c r="G134" s="1146" t="s">
        <v>1707</v>
      </c>
      <c r="H134" s="1147" t="s">
        <v>1660</v>
      </c>
      <c r="I134" s="1146" t="s">
        <v>1708</v>
      </c>
      <c r="J134" s="1148" t="s">
        <v>935</v>
      </c>
      <c r="K134" s="1" t="s">
        <v>125</v>
      </c>
      <c r="M134" s="1" t="s">
        <v>1036</v>
      </c>
    </row>
    <row r="135" spans="2:13" ht="15" hidden="1" customHeight="1" outlineLevel="1" x14ac:dyDescent="0.25">
      <c r="B135" s="1142" t="s">
        <v>945</v>
      </c>
      <c r="C135" s="1143" t="s">
        <v>946</v>
      </c>
      <c r="D135" s="1143" t="s">
        <v>938</v>
      </c>
      <c r="E135" s="1144">
        <v>24030</v>
      </c>
      <c r="F135" s="1145" t="s">
        <v>1660</v>
      </c>
      <c r="G135" s="1146" t="s">
        <v>1709</v>
      </c>
      <c r="H135" s="1147" t="s">
        <v>1660</v>
      </c>
      <c r="I135" s="1146" t="s">
        <v>1710</v>
      </c>
      <c r="J135" s="1148" t="s">
        <v>935</v>
      </c>
      <c r="K135" s="1" t="s">
        <v>125</v>
      </c>
      <c r="M135" s="1" t="s">
        <v>1036</v>
      </c>
    </row>
    <row r="136" spans="2:13" ht="15" hidden="1" customHeight="1" outlineLevel="1" x14ac:dyDescent="0.25">
      <c r="B136" s="1142" t="s">
        <v>945</v>
      </c>
      <c r="C136" s="1143" t="s">
        <v>946</v>
      </c>
      <c r="D136" s="1143" t="s">
        <v>939</v>
      </c>
      <c r="E136" s="1144">
        <v>13.41</v>
      </c>
      <c r="F136" s="1145" t="s">
        <v>1660</v>
      </c>
      <c r="G136" s="1146" t="s">
        <v>1711</v>
      </c>
      <c r="H136" s="1147" t="s">
        <v>1660</v>
      </c>
      <c r="I136" s="1146" t="s">
        <v>1712</v>
      </c>
      <c r="J136" s="1148" t="s">
        <v>935</v>
      </c>
      <c r="K136" s="1" t="s">
        <v>125</v>
      </c>
      <c r="M136" s="1" t="s">
        <v>1036</v>
      </c>
    </row>
    <row r="137" spans="2:13" ht="15" hidden="1" customHeight="1" outlineLevel="1" x14ac:dyDescent="0.25">
      <c r="B137" s="1142" t="s">
        <v>945</v>
      </c>
      <c r="C137" s="1143" t="s">
        <v>946</v>
      </c>
      <c r="D137" s="1143" t="s">
        <v>940</v>
      </c>
      <c r="E137" s="1144">
        <v>10440</v>
      </c>
      <c r="F137" s="1145" t="s">
        <v>1660</v>
      </c>
      <c r="G137" s="1108" t="s">
        <v>1713</v>
      </c>
      <c r="H137" s="1147" t="s">
        <v>1660</v>
      </c>
      <c r="I137" s="1108" t="s">
        <v>1714</v>
      </c>
      <c r="J137" s="1148" t="s">
        <v>935</v>
      </c>
      <c r="K137" s="1" t="s">
        <v>125</v>
      </c>
      <c r="M137" s="1" t="s">
        <v>1036</v>
      </c>
    </row>
    <row r="138" spans="2:13" ht="15" hidden="1" customHeight="1" outlineLevel="1" x14ac:dyDescent="0.25">
      <c r="B138" s="1142" t="s">
        <v>945</v>
      </c>
      <c r="C138" s="1143" t="s">
        <v>946</v>
      </c>
      <c r="D138" s="1143" t="s">
        <v>941</v>
      </c>
      <c r="E138" s="1144">
        <v>11820</v>
      </c>
      <c r="F138" s="1145" t="s">
        <v>1660</v>
      </c>
      <c r="G138" s="1108" t="s">
        <v>1715</v>
      </c>
      <c r="H138" s="1147" t="s">
        <v>1660</v>
      </c>
      <c r="I138" s="1108" t="s">
        <v>1716</v>
      </c>
      <c r="J138" s="1148" t="s">
        <v>935</v>
      </c>
      <c r="K138" s="1" t="s">
        <v>125</v>
      </c>
      <c r="M138" s="1" t="s">
        <v>1036</v>
      </c>
    </row>
    <row r="139" spans="2:13" ht="15" hidden="1" customHeight="1" outlineLevel="1" x14ac:dyDescent="0.25">
      <c r="B139" s="1149" t="s">
        <v>945</v>
      </c>
      <c r="C139" s="1150" t="s">
        <v>946</v>
      </c>
      <c r="D139" s="1150" t="s">
        <v>942</v>
      </c>
      <c r="E139" s="1151">
        <v>456800</v>
      </c>
      <c r="F139" s="1152" t="s">
        <v>1660</v>
      </c>
      <c r="G139" s="1158" t="s">
        <v>1717</v>
      </c>
      <c r="H139" s="1154" t="s">
        <v>1660</v>
      </c>
      <c r="I139" s="1158" t="s">
        <v>1718</v>
      </c>
      <c r="J139" s="1155" t="s">
        <v>935</v>
      </c>
      <c r="K139" s="1" t="s">
        <v>125</v>
      </c>
      <c r="M139" s="1" t="s">
        <v>1036</v>
      </c>
    </row>
    <row r="140" spans="2:13" ht="15" customHeight="1" x14ac:dyDescent="0.25">
      <c r="F140" s="1124" t="s">
        <v>125</v>
      </c>
      <c r="H140" s="1126" t="s">
        <v>125</v>
      </c>
    </row>
    <row r="141" spans="2:13" ht="15" customHeight="1" x14ac:dyDescent="0.25">
      <c r="B141" s="1127" t="s">
        <v>825</v>
      </c>
      <c r="C141" s="1128"/>
      <c r="D141" s="1207" t="s">
        <v>1119</v>
      </c>
      <c r="E141" s="1123">
        <v>4837</v>
      </c>
      <c r="F141" s="1129" t="s">
        <v>1660</v>
      </c>
      <c r="G141" s="1130" t="s">
        <v>1719</v>
      </c>
      <c r="H141" s="1131" t="s">
        <v>125</v>
      </c>
      <c r="I141" s="1130"/>
      <c r="J141" s="208" t="s">
        <v>221</v>
      </c>
      <c r="K141" s="898">
        <v>87.34</v>
      </c>
      <c r="L141" s="680"/>
      <c r="M141" s="363"/>
    </row>
    <row r="142" spans="2:13" ht="15" customHeight="1" collapsed="1" x14ac:dyDescent="0.25">
      <c r="B142" s="1132" t="s">
        <v>825</v>
      </c>
      <c r="C142" s="1107"/>
      <c r="D142" s="1209" t="s">
        <v>1120</v>
      </c>
      <c r="E142" s="1133">
        <v>1869</v>
      </c>
      <c r="F142" s="1134" t="s">
        <v>1660</v>
      </c>
      <c r="G142" s="1135" t="s">
        <v>1719</v>
      </c>
      <c r="H142" s="1136" t="s">
        <v>125</v>
      </c>
      <c r="I142" s="1135"/>
      <c r="J142" s="211" t="s">
        <v>221</v>
      </c>
      <c r="K142" s="531">
        <v>12.66</v>
      </c>
      <c r="L142" s="680"/>
      <c r="M142" s="363"/>
    </row>
    <row r="143" spans="2:13" ht="15" hidden="1" customHeight="1" outlineLevel="1" x14ac:dyDescent="0.25">
      <c r="B143" s="1137" t="s">
        <v>827</v>
      </c>
      <c r="C143" s="1138" t="s">
        <v>979</v>
      </c>
      <c r="D143" s="1138" t="s">
        <v>980</v>
      </c>
      <c r="E143" s="1139">
        <v>12.99</v>
      </c>
      <c r="F143" s="1140" t="s">
        <v>125</v>
      </c>
      <c r="G143" s="954"/>
      <c r="H143" s="1141" t="s">
        <v>125</v>
      </c>
      <c r="I143" s="954"/>
      <c r="J143" s="955" t="s">
        <v>186</v>
      </c>
      <c r="M143" s="1" t="s">
        <v>997</v>
      </c>
    </row>
    <row r="144" spans="2:13" ht="15" hidden="1" customHeight="1" outlineLevel="1" x14ac:dyDescent="0.25">
      <c r="B144" s="1142" t="s">
        <v>827</v>
      </c>
      <c r="C144" s="1143" t="s">
        <v>981</v>
      </c>
      <c r="D144" s="1143" t="s">
        <v>982</v>
      </c>
      <c r="E144" s="1144">
        <v>10000</v>
      </c>
      <c r="F144" s="1145" t="s">
        <v>125</v>
      </c>
      <c r="G144" s="1146"/>
      <c r="H144" s="1147" t="s">
        <v>125</v>
      </c>
      <c r="I144" s="1146"/>
      <c r="J144" s="1148" t="s">
        <v>181</v>
      </c>
      <c r="M144" s="1" t="s">
        <v>998</v>
      </c>
    </row>
    <row r="145" spans="2:13" ht="15" hidden="1" customHeight="1" outlineLevel="1" x14ac:dyDescent="0.25">
      <c r="B145" s="1142" t="s">
        <v>827</v>
      </c>
      <c r="C145" s="1143" t="s">
        <v>981</v>
      </c>
      <c r="D145" s="1143" t="s">
        <v>983</v>
      </c>
      <c r="E145" s="1144">
        <v>0</v>
      </c>
      <c r="F145" s="1145" t="s">
        <v>125</v>
      </c>
      <c r="G145" s="1146"/>
      <c r="H145" s="1147" t="s">
        <v>125</v>
      </c>
      <c r="I145" s="1146"/>
      <c r="J145" s="1148" t="s">
        <v>182</v>
      </c>
      <c r="M145" s="1" t="s">
        <v>999</v>
      </c>
    </row>
    <row r="146" spans="2:13" ht="15" hidden="1" customHeight="1" outlineLevel="1" x14ac:dyDescent="0.25">
      <c r="B146" s="1142" t="s">
        <v>827</v>
      </c>
      <c r="C146" s="1143" t="s">
        <v>981</v>
      </c>
      <c r="D146" s="1143" t="s">
        <v>984</v>
      </c>
      <c r="E146" s="1144">
        <v>0</v>
      </c>
      <c r="F146" s="1145" t="s">
        <v>125</v>
      </c>
      <c r="G146" s="1146"/>
      <c r="H146" s="1147" t="s">
        <v>125</v>
      </c>
      <c r="I146" s="1146"/>
      <c r="J146" s="1148" t="s">
        <v>182</v>
      </c>
      <c r="M146" s="1" t="s">
        <v>999</v>
      </c>
    </row>
    <row r="147" spans="2:13" ht="15" hidden="1" customHeight="1" outlineLevel="1" x14ac:dyDescent="0.25">
      <c r="B147" s="1142" t="s">
        <v>827</v>
      </c>
      <c r="C147" s="1143" t="s">
        <v>981</v>
      </c>
      <c r="D147" s="1143" t="s">
        <v>985</v>
      </c>
      <c r="E147" s="1144">
        <v>0</v>
      </c>
      <c r="F147" s="1145" t="s">
        <v>125</v>
      </c>
      <c r="G147" s="1146"/>
      <c r="H147" s="1147" t="s">
        <v>125</v>
      </c>
      <c r="I147" s="1146"/>
      <c r="J147" s="1148" t="s">
        <v>182</v>
      </c>
      <c r="M147" s="1" t="s">
        <v>999</v>
      </c>
    </row>
    <row r="148" spans="2:13" ht="15" hidden="1" customHeight="1" outlineLevel="1" x14ac:dyDescent="0.25">
      <c r="B148" s="1142" t="s">
        <v>827</v>
      </c>
      <c r="C148" s="1143" t="s">
        <v>981</v>
      </c>
      <c r="D148" s="1143" t="s">
        <v>986</v>
      </c>
      <c r="E148" s="1144">
        <v>0</v>
      </c>
      <c r="F148" s="1145" t="s">
        <v>125</v>
      </c>
      <c r="G148" s="1146"/>
      <c r="H148" s="1147" t="s">
        <v>125</v>
      </c>
      <c r="I148" s="1146"/>
      <c r="J148" s="1148" t="s">
        <v>182</v>
      </c>
      <c r="M148" s="1" t="s">
        <v>999</v>
      </c>
    </row>
    <row r="149" spans="2:13" ht="15" hidden="1" customHeight="1" outlineLevel="1" x14ac:dyDescent="0.25">
      <c r="B149" s="1142" t="s">
        <v>827</v>
      </c>
      <c r="C149" s="1143" t="s">
        <v>981</v>
      </c>
      <c r="D149" s="1143" t="s">
        <v>987</v>
      </c>
      <c r="E149" s="1144">
        <v>0</v>
      </c>
      <c r="F149" s="1145" t="s">
        <v>125</v>
      </c>
      <c r="G149" s="1146"/>
      <c r="H149" s="1147" t="s">
        <v>125</v>
      </c>
      <c r="I149" s="1146"/>
      <c r="J149" s="1148" t="s">
        <v>182</v>
      </c>
      <c r="M149" s="1" t="s">
        <v>999</v>
      </c>
    </row>
    <row r="150" spans="2:13" ht="15" hidden="1" customHeight="1" outlineLevel="1" x14ac:dyDescent="0.25">
      <c r="B150" s="1142" t="s">
        <v>830</v>
      </c>
      <c r="C150" s="1143"/>
      <c r="D150" s="1143" t="s">
        <v>665</v>
      </c>
      <c r="E150" s="1144">
        <v>3522</v>
      </c>
      <c r="F150" s="1145" t="s">
        <v>1660</v>
      </c>
      <c r="G150" s="1146" t="s">
        <v>726</v>
      </c>
      <c r="H150" s="1147" t="s">
        <v>125</v>
      </c>
      <c r="I150" s="1146"/>
      <c r="J150" s="1148" t="s">
        <v>221</v>
      </c>
      <c r="M150" s="1" t="s">
        <v>1000</v>
      </c>
    </row>
    <row r="151" spans="2:13" ht="15" hidden="1" customHeight="1" outlineLevel="1" x14ac:dyDescent="0.25">
      <c r="B151" s="1142" t="s">
        <v>830</v>
      </c>
      <c r="C151" s="1143"/>
      <c r="D151" s="1143" t="s">
        <v>673</v>
      </c>
      <c r="E151" s="1144">
        <v>308.89999999999998</v>
      </c>
      <c r="F151" s="1145" t="s">
        <v>1660</v>
      </c>
      <c r="G151" s="1146" t="s">
        <v>723</v>
      </c>
      <c r="H151" s="1147" t="s">
        <v>125</v>
      </c>
      <c r="I151" s="1146"/>
      <c r="J151" s="1148" t="s">
        <v>221</v>
      </c>
      <c r="M151" s="1" t="s">
        <v>1001</v>
      </c>
    </row>
    <row r="152" spans="2:13" ht="15" hidden="1" customHeight="1" outlineLevel="1" x14ac:dyDescent="0.25">
      <c r="B152" s="1142" t="s">
        <v>830</v>
      </c>
      <c r="C152" s="1143"/>
      <c r="D152" s="1143" t="s">
        <v>653</v>
      </c>
      <c r="E152" s="1144">
        <v>22.53</v>
      </c>
      <c r="F152" s="1145" t="s">
        <v>1660</v>
      </c>
      <c r="G152" s="1146" t="s">
        <v>1661</v>
      </c>
      <c r="H152" s="1147" t="s">
        <v>125</v>
      </c>
      <c r="I152" s="1146"/>
      <c r="J152" s="1148" t="s">
        <v>221</v>
      </c>
      <c r="M152" s="1" t="s">
        <v>1121</v>
      </c>
    </row>
    <row r="153" spans="2:13" ht="15" hidden="1" customHeight="1" outlineLevel="1" x14ac:dyDescent="0.25">
      <c r="B153" s="1142" t="s">
        <v>830</v>
      </c>
      <c r="C153" s="1143"/>
      <c r="D153" s="1143" t="s">
        <v>654</v>
      </c>
      <c r="E153" s="1144">
        <v>23.07</v>
      </c>
      <c r="F153" s="1145" t="s">
        <v>1660</v>
      </c>
      <c r="G153" s="1146" t="s">
        <v>1661</v>
      </c>
      <c r="H153" s="1147" t="s">
        <v>125</v>
      </c>
      <c r="I153" s="1146"/>
      <c r="J153" s="1148" t="s">
        <v>221</v>
      </c>
      <c r="M153" s="1" t="s">
        <v>1122</v>
      </c>
    </row>
    <row r="154" spans="2:13" ht="15" hidden="1" customHeight="1" outlineLevel="1" x14ac:dyDescent="0.25">
      <c r="B154" s="1142" t="s">
        <v>830</v>
      </c>
      <c r="C154" s="1143"/>
      <c r="D154" s="1143" t="s">
        <v>652</v>
      </c>
      <c r="E154" s="1144">
        <v>171.4</v>
      </c>
      <c r="F154" s="1145" t="s">
        <v>1660</v>
      </c>
      <c r="G154" s="1146" t="s">
        <v>1661</v>
      </c>
      <c r="H154" s="1147" t="s">
        <v>125</v>
      </c>
      <c r="I154" s="1146"/>
      <c r="J154" s="1148" t="s">
        <v>221</v>
      </c>
      <c r="M154" s="1" t="s">
        <v>1123</v>
      </c>
    </row>
    <row r="155" spans="2:13" ht="15" hidden="1" customHeight="1" outlineLevel="1" x14ac:dyDescent="0.25">
      <c r="B155" s="1142" t="s">
        <v>830</v>
      </c>
      <c r="C155" s="1143"/>
      <c r="D155" s="1143" t="s">
        <v>650</v>
      </c>
      <c r="E155" s="1144">
        <v>14.71</v>
      </c>
      <c r="F155" s="1145" t="s">
        <v>1660</v>
      </c>
      <c r="G155" s="1146" t="s">
        <v>1661</v>
      </c>
      <c r="H155" s="1147" t="s">
        <v>125</v>
      </c>
      <c r="I155" s="1146"/>
      <c r="J155" s="1148" t="s">
        <v>221</v>
      </c>
      <c r="M155" s="1" t="s">
        <v>1124</v>
      </c>
    </row>
    <row r="156" spans="2:13" ht="15" hidden="1" customHeight="1" outlineLevel="1" x14ac:dyDescent="0.25">
      <c r="B156" s="1142" t="s">
        <v>830</v>
      </c>
      <c r="C156" s="1143"/>
      <c r="D156" s="1143" t="s">
        <v>649</v>
      </c>
      <c r="E156" s="1144">
        <v>42.48</v>
      </c>
      <c r="F156" s="1145" t="s">
        <v>1660</v>
      </c>
      <c r="G156" s="1146" t="s">
        <v>1661</v>
      </c>
      <c r="H156" s="1147" t="s">
        <v>125</v>
      </c>
      <c r="I156" s="1146"/>
      <c r="J156" s="1148" t="s">
        <v>221</v>
      </c>
      <c r="M156" s="1" t="s">
        <v>1125</v>
      </c>
    </row>
    <row r="157" spans="2:13" ht="15" hidden="1" customHeight="1" outlineLevel="1" x14ac:dyDescent="0.25">
      <c r="B157" s="1142" t="s">
        <v>830</v>
      </c>
      <c r="C157" s="1143"/>
      <c r="D157" s="1143" t="s">
        <v>648</v>
      </c>
      <c r="E157" s="1144">
        <v>64.02</v>
      </c>
      <c r="F157" s="1145" t="s">
        <v>1660</v>
      </c>
      <c r="G157" s="1146" t="s">
        <v>1661</v>
      </c>
      <c r="H157" s="1147" t="s">
        <v>125</v>
      </c>
      <c r="I157" s="1146"/>
      <c r="J157" s="1148" t="s">
        <v>221</v>
      </c>
      <c r="M157" s="1" t="s">
        <v>1126</v>
      </c>
    </row>
    <row r="158" spans="2:13" ht="15" hidden="1" customHeight="1" outlineLevel="1" x14ac:dyDescent="0.25">
      <c r="B158" s="1142" t="s">
        <v>830</v>
      </c>
      <c r="C158" s="1143"/>
      <c r="D158" s="1143" t="s">
        <v>657</v>
      </c>
      <c r="E158" s="1144">
        <v>6.556</v>
      </c>
      <c r="F158" s="1145" t="s">
        <v>1660</v>
      </c>
      <c r="G158" s="1146" t="s">
        <v>1661</v>
      </c>
      <c r="H158" s="1147" t="s">
        <v>125</v>
      </c>
      <c r="I158" s="1146"/>
      <c r="J158" s="1148" t="s">
        <v>221</v>
      </c>
      <c r="M158" s="1" t="s">
        <v>1127</v>
      </c>
    </row>
    <row r="159" spans="2:13" ht="15" hidden="1" customHeight="1" outlineLevel="1" x14ac:dyDescent="0.25">
      <c r="B159" s="1142" t="s">
        <v>830</v>
      </c>
      <c r="C159" s="1143"/>
      <c r="D159" s="1143" t="s">
        <v>656</v>
      </c>
      <c r="E159" s="1144">
        <v>0.16569999999999999</v>
      </c>
      <c r="F159" s="1145" t="s">
        <v>1660</v>
      </c>
      <c r="G159" s="1146" t="s">
        <v>1661</v>
      </c>
      <c r="H159" s="1147" t="s">
        <v>125</v>
      </c>
      <c r="I159" s="1146"/>
      <c r="J159" s="1148" t="s">
        <v>221</v>
      </c>
      <c r="M159" s="1" t="s">
        <v>1128</v>
      </c>
    </row>
    <row r="160" spans="2:13" ht="15" hidden="1" customHeight="1" outlineLevel="1" x14ac:dyDescent="0.25">
      <c r="B160" s="1142" t="s">
        <v>830</v>
      </c>
      <c r="C160" s="1143"/>
      <c r="D160" s="1143" t="s">
        <v>655</v>
      </c>
      <c r="E160" s="1144">
        <v>3.07</v>
      </c>
      <c r="F160" s="1145" t="s">
        <v>1660</v>
      </c>
      <c r="G160" s="1146" t="s">
        <v>1661</v>
      </c>
      <c r="H160" s="1147" t="s">
        <v>125</v>
      </c>
      <c r="I160" s="1146"/>
      <c r="J160" s="1148" t="s">
        <v>221</v>
      </c>
      <c r="M160" s="1" t="s">
        <v>1129</v>
      </c>
    </row>
    <row r="161" spans="2:13" ht="15" hidden="1" customHeight="1" outlineLevel="1" x14ac:dyDescent="0.25">
      <c r="B161" s="1142" t="s">
        <v>830</v>
      </c>
      <c r="C161" s="1143"/>
      <c r="D161" s="1143" t="s">
        <v>658</v>
      </c>
      <c r="E161" s="1144">
        <v>19.149999999999999</v>
      </c>
      <c r="F161" s="1145" t="s">
        <v>1660</v>
      </c>
      <c r="G161" s="1146" t="s">
        <v>1661</v>
      </c>
      <c r="H161" s="1147" t="s">
        <v>125</v>
      </c>
      <c r="I161" s="1146"/>
      <c r="J161" s="1148" t="s">
        <v>221</v>
      </c>
      <c r="M161" s="1" t="s">
        <v>1130</v>
      </c>
    </row>
    <row r="162" spans="2:13" ht="15" hidden="1" customHeight="1" outlineLevel="1" x14ac:dyDescent="0.25">
      <c r="B162" s="1142" t="s">
        <v>830</v>
      </c>
      <c r="C162" s="1143"/>
      <c r="D162" s="1143" t="s">
        <v>659</v>
      </c>
      <c r="E162" s="1144">
        <v>1.2949999999999999</v>
      </c>
      <c r="F162" s="1145" t="s">
        <v>1660</v>
      </c>
      <c r="G162" s="1146" t="s">
        <v>1661</v>
      </c>
      <c r="H162" s="1147" t="s">
        <v>125</v>
      </c>
      <c r="I162" s="1146"/>
      <c r="J162" s="1148" t="s">
        <v>221</v>
      </c>
      <c r="M162" s="1" t="s">
        <v>1131</v>
      </c>
    </row>
    <row r="163" spans="2:13" ht="15" hidden="1" customHeight="1" outlineLevel="1" x14ac:dyDescent="0.25">
      <c r="B163" s="1142" t="s">
        <v>830</v>
      </c>
      <c r="C163" s="1143"/>
      <c r="D163" s="1143" t="s">
        <v>988</v>
      </c>
      <c r="E163" s="1144">
        <v>1</v>
      </c>
      <c r="F163" s="1145" t="s">
        <v>125</v>
      </c>
      <c r="G163" s="1146"/>
      <c r="H163" s="1147" t="s">
        <v>125</v>
      </c>
      <c r="I163" s="1146"/>
      <c r="J163" s="1148" t="s">
        <v>188</v>
      </c>
      <c r="M163" s="1" t="s">
        <v>1013</v>
      </c>
    </row>
    <row r="164" spans="2:13" ht="15" hidden="1" customHeight="1" outlineLevel="1" x14ac:dyDescent="0.25">
      <c r="B164" s="1142" t="s">
        <v>830</v>
      </c>
      <c r="C164" s="1143"/>
      <c r="D164" s="1143" t="s">
        <v>662</v>
      </c>
      <c r="E164" s="1144">
        <v>400</v>
      </c>
      <c r="F164" s="1145" t="s">
        <v>125</v>
      </c>
      <c r="G164" s="1146"/>
      <c r="H164" s="1147" t="s">
        <v>125</v>
      </c>
      <c r="I164" s="1146"/>
      <c r="J164" s="1148" t="s">
        <v>221</v>
      </c>
      <c r="M164" s="1" t="s">
        <v>1014</v>
      </c>
    </row>
    <row r="165" spans="2:13" ht="15" hidden="1" customHeight="1" outlineLevel="1" x14ac:dyDescent="0.25">
      <c r="B165" s="1142" t="s">
        <v>830</v>
      </c>
      <c r="C165" s="1143"/>
      <c r="D165" s="1143" t="s">
        <v>1132</v>
      </c>
      <c r="E165" s="1144">
        <v>265.89999999999998</v>
      </c>
      <c r="F165" s="1145" t="s">
        <v>125</v>
      </c>
      <c r="G165" s="1146"/>
      <c r="H165" s="1147" t="s">
        <v>125</v>
      </c>
      <c r="I165" s="1146"/>
      <c r="J165" s="1148" t="s">
        <v>221</v>
      </c>
      <c r="M165" s="1" t="s">
        <v>1052</v>
      </c>
    </row>
    <row r="166" spans="2:13" ht="15" hidden="1" customHeight="1" outlineLevel="1" x14ac:dyDescent="0.25">
      <c r="B166" s="1142" t="s">
        <v>830</v>
      </c>
      <c r="C166" s="1143"/>
      <c r="D166" s="1143" t="s">
        <v>990</v>
      </c>
      <c r="E166" s="1144">
        <v>114.9</v>
      </c>
      <c r="F166" s="1145" t="s">
        <v>1660</v>
      </c>
      <c r="G166" s="1146" t="s">
        <v>722</v>
      </c>
      <c r="H166" s="1147" t="s">
        <v>125</v>
      </c>
      <c r="I166" s="1146"/>
      <c r="J166" s="1148" t="s">
        <v>836</v>
      </c>
      <c r="M166" s="1" t="s">
        <v>1015</v>
      </c>
    </row>
    <row r="167" spans="2:13" ht="15" hidden="1" customHeight="1" outlineLevel="1" x14ac:dyDescent="0.25">
      <c r="B167" s="1142" t="s">
        <v>830</v>
      </c>
      <c r="C167" s="1143"/>
      <c r="D167" s="1143" t="s">
        <v>990</v>
      </c>
      <c r="E167" s="1144">
        <v>51.82</v>
      </c>
      <c r="F167" s="1145" t="s">
        <v>1660</v>
      </c>
      <c r="G167" s="1146" t="s">
        <v>1720</v>
      </c>
      <c r="H167" s="1147" t="s">
        <v>125</v>
      </c>
      <c r="I167" s="1146"/>
      <c r="J167" s="1148" t="s">
        <v>836</v>
      </c>
      <c r="M167" s="1" t="s">
        <v>1016</v>
      </c>
    </row>
    <row r="168" spans="2:13" ht="15" hidden="1" customHeight="1" outlineLevel="1" x14ac:dyDescent="0.25">
      <c r="B168" s="1142" t="s">
        <v>830</v>
      </c>
      <c r="C168" s="1143"/>
      <c r="D168" s="1143" t="s">
        <v>675</v>
      </c>
      <c r="E168" s="1144">
        <v>0.19420000000000001</v>
      </c>
      <c r="F168" s="1145" t="s">
        <v>1660</v>
      </c>
      <c r="G168" s="1146" t="s">
        <v>1661</v>
      </c>
      <c r="H168" s="1147" t="s">
        <v>125</v>
      </c>
      <c r="I168" s="1146"/>
      <c r="J168" s="1148" t="s">
        <v>221</v>
      </c>
      <c r="M168" s="1" t="s">
        <v>1017</v>
      </c>
    </row>
    <row r="169" spans="2:13" ht="15" hidden="1" customHeight="1" outlineLevel="1" x14ac:dyDescent="0.25">
      <c r="B169" s="1142" t="s">
        <v>830</v>
      </c>
      <c r="C169" s="1143"/>
      <c r="D169" s="1143" t="s">
        <v>676</v>
      </c>
      <c r="E169" s="1144">
        <v>0.63260000000000005</v>
      </c>
      <c r="F169" s="1145" t="s">
        <v>1660</v>
      </c>
      <c r="G169" s="1146" t="s">
        <v>1661</v>
      </c>
      <c r="H169" s="1147" t="s">
        <v>125</v>
      </c>
      <c r="I169" s="1146"/>
      <c r="J169" s="1148" t="s">
        <v>221</v>
      </c>
      <c r="M169" s="1" t="s">
        <v>1018</v>
      </c>
    </row>
    <row r="170" spans="2:13" ht="15" hidden="1" customHeight="1" outlineLevel="1" x14ac:dyDescent="0.25">
      <c r="B170" s="1142" t="s">
        <v>830</v>
      </c>
      <c r="C170" s="1143"/>
      <c r="D170" s="1143" t="s">
        <v>678</v>
      </c>
      <c r="E170" s="1144">
        <v>1.357</v>
      </c>
      <c r="F170" s="1145" t="s">
        <v>1660</v>
      </c>
      <c r="G170" s="1146" t="s">
        <v>1661</v>
      </c>
      <c r="H170" s="1147" t="s">
        <v>125</v>
      </c>
      <c r="I170" s="1146"/>
      <c r="J170" s="1148" t="s">
        <v>221</v>
      </c>
      <c r="M170" s="1" t="s">
        <v>1019</v>
      </c>
    </row>
    <row r="171" spans="2:13" ht="15" hidden="1" customHeight="1" outlineLevel="1" x14ac:dyDescent="0.25">
      <c r="B171" s="1142" t="s">
        <v>830</v>
      </c>
      <c r="C171" s="1143"/>
      <c r="D171" s="1143" t="s">
        <v>991</v>
      </c>
      <c r="E171" s="1144">
        <v>0.19420000000000001</v>
      </c>
      <c r="F171" s="1145" t="s">
        <v>1660</v>
      </c>
      <c r="G171" s="1146" t="s">
        <v>1661</v>
      </c>
      <c r="H171" s="1147" t="s">
        <v>125</v>
      </c>
      <c r="I171" s="1146"/>
      <c r="J171" s="1148" t="s">
        <v>221</v>
      </c>
      <c r="M171" s="1" t="s">
        <v>1020</v>
      </c>
    </row>
    <row r="172" spans="2:13" ht="15" hidden="1" customHeight="1" outlineLevel="1" x14ac:dyDescent="0.25">
      <c r="B172" s="1142" t="s">
        <v>830</v>
      </c>
      <c r="C172" s="1143"/>
      <c r="D172" s="1143" t="s">
        <v>992</v>
      </c>
      <c r="E172" s="1144">
        <v>0.63260000000000005</v>
      </c>
      <c r="F172" s="1145" t="s">
        <v>1660</v>
      </c>
      <c r="G172" s="1146" t="s">
        <v>1661</v>
      </c>
      <c r="H172" s="1147" t="s">
        <v>125</v>
      </c>
      <c r="I172" s="1146"/>
      <c r="J172" s="1148" t="s">
        <v>221</v>
      </c>
      <c r="M172" s="1" t="s">
        <v>1021</v>
      </c>
    </row>
    <row r="173" spans="2:13" ht="15" hidden="1" customHeight="1" outlineLevel="1" x14ac:dyDescent="0.25">
      <c r="B173" s="1142" t="s">
        <v>830</v>
      </c>
      <c r="C173" s="1143"/>
      <c r="D173" s="1143" t="s">
        <v>993</v>
      </c>
      <c r="E173" s="1144">
        <v>1.357</v>
      </c>
      <c r="F173" s="1145" t="s">
        <v>1660</v>
      </c>
      <c r="G173" s="1146" t="s">
        <v>1661</v>
      </c>
      <c r="H173" s="1147" t="s">
        <v>125</v>
      </c>
      <c r="I173" s="1146"/>
      <c r="J173" s="1148" t="s">
        <v>221</v>
      </c>
      <c r="M173" s="1" t="s">
        <v>1022</v>
      </c>
    </row>
    <row r="174" spans="2:13" ht="15" hidden="1" customHeight="1" outlineLevel="1" x14ac:dyDescent="0.25">
      <c r="B174" s="1142" t="s">
        <v>994</v>
      </c>
      <c r="C174" s="1143"/>
      <c r="D174" s="1143" t="s">
        <v>834</v>
      </c>
      <c r="E174" s="1144">
        <v>4031</v>
      </c>
      <c r="F174" s="1145" t="s">
        <v>1660</v>
      </c>
      <c r="G174" s="1146" t="s">
        <v>718</v>
      </c>
      <c r="H174" s="1147" t="s">
        <v>125</v>
      </c>
      <c r="I174" s="1146"/>
      <c r="J174" s="1148" t="s">
        <v>304</v>
      </c>
      <c r="M174" s="1" t="s">
        <v>1023</v>
      </c>
    </row>
    <row r="175" spans="2:13" ht="15" hidden="1" customHeight="1" outlineLevel="1" x14ac:dyDescent="0.25">
      <c r="B175" s="1142" t="s">
        <v>994</v>
      </c>
      <c r="C175" s="1143"/>
      <c r="D175" s="1143" t="s">
        <v>834</v>
      </c>
      <c r="E175" s="1144">
        <v>8.7200000000000006</v>
      </c>
      <c r="F175" s="1145" t="s">
        <v>1660</v>
      </c>
      <c r="G175" s="1146" t="s">
        <v>718</v>
      </c>
      <c r="H175" s="1147" t="s">
        <v>125</v>
      </c>
      <c r="I175" s="1146"/>
      <c r="J175" s="1148" t="s">
        <v>304</v>
      </c>
      <c r="M175" s="1" t="s">
        <v>1053</v>
      </c>
    </row>
    <row r="176" spans="2:13" ht="15" hidden="1" customHeight="1" outlineLevel="1" x14ac:dyDescent="0.25">
      <c r="B176" s="1142" t="s">
        <v>994</v>
      </c>
      <c r="C176" s="1143"/>
      <c r="D176" s="1143" t="s">
        <v>1054</v>
      </c>
      <c r="E176" s="1144">
        <v>6.2610000000000001</v>
      </c>
      <c r="F176" s="1145" t="s">
        <v>1660</v>
      </c>
      <c r="G176" s="1146" t="s">
        <v>720</v>
      </c>
      <c r="H176" s="1147" t="s">
        <v>125</v>
      </c>
      <c r="I176" s="1146"/>
      <c r="J176" s="1148" t="s">
        <v>304</v>
      </c>
      <c r="M176" s="1" t="s">
        <v>1055</v>
      </c>
    </row>
    <row r="177" spans="2:13" ht="15" hidden="1" customHeight="1" outlineLevel="1" x14ac:dyDescent="0.25">
      <c r="B177" s="1142" t="s">
        <v>839</v>
      </c>
      <c r="C177" s="1143"/>
      <c r="D177" s="1143" t="s">
        <v>925</v>
      </c>
      <c r="E177" s="1144">
        <v>176</v>
      </c>
      <c r="F177" s="1145" t="s">
        <v>125</v>
      </c>
      <c r="G177" s="1146"/>
      <c r="H177" s="1147" t="s">
        <v>125</v>
      </c>
      <c r="I177" s="1146"/>
      <c r="J177" s="1148" t="s">
        <v>221</v>
      </c>
      <c r="M177" s="1" t="s">
        <v>1024</v>
      </c>
    </row>
    <row r="178" spans="2:13" ht="15" hidden="1" customHeight="1" outlineLevel="1" x14ac:dyDescent="0.25">
      <c r="B178" s="1142" t="s">
        <v>839</v>
      </c>
      <c r="C178" s="1143"/>
      <c r="D178" s="1143" t="s">
        <v>925</v>
      </c>
      <c r="E178" s="1144">
        <v>58.35</v>
      </c>
      <c r="F178" s="1145" t="s">
        <v>1660</v>
      </c>
      <c r="G178" s="1146" t="s">
        <v>1661</v>
      </c>
      <c r="H178" s="1147" t="s">
        <v>125</v>
      </c>
      <c r="I178" s="1146"/>
      <c r="J178" s="1148" t="s">
        <v>221</v>
      </c>
      <c r="M178" s="1" t="s">
        <v>1025</v>
      </c>
    </row>
    <row r="179" spans="2:13" ht="15" hidden="1" customHeight="1" outlineLevel="1" x14ac:dyDescent="0.25">
      <c r="B179" s="1142" t="s">
        <v>839</v>
      </c>
      <c r="C179" s="1143"/>
      <c r="D179" s="1143" t="s">
        <v>843</v>
      </c>
      <c r="E179" s="1144">
        <v>1.571</v>
      </c>
      <c r="F179" s="1145" t="s">
        <v>1660</v>
      </c>
      <c r="G179" s="1146" t="s">
        <v>1661</v>
      </c>
      <c r="H179" s="1147" t="s">
        <v>1660</v>
      </c>
      <c r="I179" s="1146" t="s">
        <v>1558</v>
      </c>
      <c r="J179" s="1148" t="s">
        <v>221</v>
      </c>
      <c r="M179" s="1" t="s">
        <v>1026</v>
      </c>
    </row>
    <row r="180" spans="2:13" ht="15" hidden="1" customHeight="1" outlineLevel="1" x14ac:dyDescent="0.25">
      <c r="B180" s="1142" t="s">
        <v>839</v>
      </c>
      <c r="C180" s="1143"/>
      <c r="D180" s="1143" t="s">
        <v>843</v>
      </c>
      <c r="E180" s="1144">
        <v>0.51070000000000004</v>
      </c>
      <c r="F180" s="1145" t="s">
        <v>1660</v>
      </c>
      <c r="G180" s="1146" t="s">
        <v>1661</v>
      </c>
      <c r="H180" s="1147" t="s">
        <v>1660</v>
      </c>
      <c r="I180" s="1146" t="s">
        <v>1721</v>
      </c>
      <c r="J180" s="1148" t="s">
        <v>221</v>
      </c>
      <c r="M180" s="1" t="s">
        <v>1027</v>
      </c>
    </row>
    <row r="181" spans="2:13" ht="15" hidden="1" customHeight="1" outlineLevel="1" x14ac:dyDescent="0.25">
      <c r="B181" s="1142" t="s">
        <v>839</v>
      </c>
      <c r="C181" s="1143"/>
      <c r="D181" s="1143" t="s">
        <v>846</v>
      </c>
      <c r="E181" s="1144">
        <v>7.0309999999999997</v>
      </c>
      <c r="F181" s="1145" t="s">
        <v>1660</v>
      </c>
      <c r="G181" s="1146" t="s">
        <v>1661</v>
      </c>
      <c r="H181" s="1147" t="s">
        <v>125</v>
      </c>
      <c r="I181" s="1146"/>
      <c r="J181" s="1148" t="s">
        <v>221</v>
      </c>
      <c r="M181" s="1" t="s">
        <v>1028</v>
      </c>
    </row>
    <row r="182" spans="2:13" ht="15" hidden="1" customHeight="1" outlineLevel="1" x14ac:dyDescent="0.25">
      <c r="B182" s="1142" t="s">
        <v>839</v>
      </c>
      <c r="C182" s="1143"/>
      <c r="D182" s="1143" t="s">
        <v>995</v>
      </c>
      <c r="E182" s="1144">
        <v>0.7</v>
      </c>
      <c r="F182" s="1145" t="s">
        <v>1660</v>
      </c>
      <c r="G182" s="1146" t="s">
        <v>1661</v>
      </c>
      <c r="H182" s="1147" t="s">
        <v>125</v>
      </c>
      <c r="I182" s="1146"/>
      <c r="J182" s="1148" t="s">
        <v>221</v>
      </c>
      <c r="M182" s="1" t="s">
        <v>1029</v>
      </c>
    </row>
    <row r="183" spans="2:13" ht="15" hidden="1" customHeight="1" outlineLevel="1" x14ac:dyDescent="0.25">
      <c r="B183" s="1142" t="s">
        <v>839</v>
      </c>
      <c r="C183" s="1143"/>
      <c r="D183" s="1143" t="s">
        <v>996</v>
      </c>
      <c r="E183" s="1144">
        <v>0</v>
      </c>
      <c r="F183" s="1145" t="s">
        <v>125</v>
      </c>
      <c r="G183" s="1146"/>
      <c r="H183" s="1147" t="s">
        <v>125</v>
      </c>
      <c r="I183" s="1146"/>
      <c r="J183" s="1148" t="s">
        <v>221</v>
      </c>
      <c r="M183" s="1" t="s">
        <v>999</v>
      </c>
    </row>
    <row r="184" spans="2:13" ht="15" hidden="1" customHeight="1" outlineLevel="1" x14ac:dyDescent="0.25">
      <c r="B184" s="1142" t="s">
        <v>839</v>
      </c>
      <c r="C184" s="1143"/>
      <c r="D184" s="1143" t="s">
        <v>843</v>
      </c>
      <c r="E184" s="1144">
        <v>0.54830000000000001</v>
      </c>
      <c r="F184" s="1145" t="s">
        <v>1660</v>
      </c>
      <c r="G184" s="1146" t="s">
        <v>683</v>
      </c>
      <c r="H184" s="1147" t="s">
        <v>1660</v>
      </c>
      <c r="I184" s="1146" t="s">
        <v>1561</v>
      </c>
      <c r="J184" s="1148" t="s">
        <v>221</v>
      </c>
      <c r="M184" s="1" t="s">
        <v>1030</v>
      </c>
    </row>
    <row r="185" spans="2:13" ht="15" hidden="1" customHeight="1" outlineLevel="1" x14ac:dyDescent="0.25">
      <c r="B185" s="1142" t="s">
        <v>839</v>
      </c>
      <c r="C185" s="1143"/>
      <c r="D185" s="1143" t="s">
        <v>843</v>
      </c>
      <c r="E185" s="1144">
        <v>0.1782</v>
      </c>
      <c r="F185" s="1145" t="s">
        <v>1660</v>
      </c>
      <c r="G185" s="1146" t="s">
        <v>683</v>
      </c>
      <c r="H185" s="1147" t="s">
        <v>1660</v>
      </c>
      <c r="I185" s="1146" t="s">
        <v>1562</v>
      </c>
      <c r="J185" s="1148" t="s">
        <v>221</v>
      </c>
      <c r="M185" s="1" t="s">
        <v>1031</v>
      </c>
    </row>
    <row r="186" spans="2:13" ht="15" hidden="1" customHeight="1" outlineLevel="1" x14ac:dyDescent="0.25">
      <c r="B186" s="1142" t="s">
        <v>839</v>
      </c>
      <c r="C186" s="1143"/>
      <c r="D186" s="1143" t="s">
        <v>846</v>
      </c>
      <c r="E186" s="1144">
        <v>8.4730000000000008</v>
      </c>
      <c r="F186" s="1145" t="s">
        <v>1660</v>
      </c>
      <c r="G186" s="1146" t="s">
        <v>683</v>
      </c>
      <c r="H186" s="1147" t="s">
        <v>1660</v>
      </c>
      <c r="I186" s="1146" t="s">
        <v>1564</v>
      </c>
      <c r="J186" s="1148" t="s">
        <v>221</v>
      </c>
      <c r="M186" s="1" t="s">
        <v>1032</v>
      </c>
    </row>
    <row r="187" spans="2:13" ht="15" hidden="1" customHeight="1" outlineLevel="1" x14ac:dyDescent="0.25">
      <c r="B187" s="1142" t="s">
        <v>839</v>
      </c>
      <c r="C187" s="1143"/>
      <c r="D187" s="1143" t="s">
        <v>843</v>
      </c>
      <c r="E187" s="1144">
        <v>0.62909999999999999</v>
      </c>
      <c r="F187" s="1145" t="s">
        <v>125</v>
      </c>
      <c r="G187" s="1146"/>
      <c r="H187" s="1147" t="s">
        <v>125</v>
      </c>
      <c r="I187" s="1146"/>
      <c r="J187" s="1148" t="s">
        <v>221</v>
      </c>
      <c r="M187" s="1" t="s">
        <v>1033</v>
      </c>
    </row>
    <row r="188" spans="2:13" ht="15" hidden="1" customHeight="1" outlineLevel="1" x14ac:dyDescent="0.25">
      <c r="B188" s="1142" t="s">
        <v>839</v>
      </c>
      <c r="C188" s="1143"/>
      <c r="D188" s="1143" t="s">
        <v>843</v>
      </c>
      <c r="E188" s="1144">
        <v>0.14149999999999999</v>
      </c>
      <c r="F188" s="1145" t="s">
        <v>125</v>
      </c>
      <c r="G188" s="1146"/>
      <c r="H188" s="1147" t="s">
        <v>125</v>
      </c>
      <c r="I188" s="1146"/>
      <c r="J188" s="1148" t="s">
        <v>221</v>
      </c>
      <c r="M188" s="1" t="s">
        <v>1034</v>
      </c>
    </row>
    <row r="189" spans="2:13" ht="15" hidden="1" customHeight="1" outlineLevel="1" x14ac:dyDescent="0.25">
      <c r="B189" s="1142" t="s">
        <v>931</v>
      </c>
      <c r="C189" s="1143"/>
      <c r="D189" s="1143" t="s">
        <v>932</v>
      </c>
      <c r="E189" s="1144">
        <v>132.9</v>
      </c>
      <c r="F189" s="1145" t="s">
        <v>1660</v>
      </c>
      <c r="G189" s="1146" t="s">
        <v>1661</v>
      </c>
      <c r="H189" s="1147" t="s">
        <v>1660</v>
      </c>
      <c r="I189" s="1146" t="s">
        <v>1691</v>
      </c>
      <c r="J189" s="1148" t="s">
        <v>221</v>
      </c>
      <c r="M189" s="1" t="s">
        <v>1025</v>
      </c>
    </row>
    <row r="190" spans="2:13" ht="15" hidden="1" customHeight="1" outlineLevel="1" x14ac:dyDescent="0.25">
      <c r="B190" s="1142" t="s">
        <v>931</v>
      </c>
      <c r="C190" s="1143"/>
      <c r="D190" s="1143" t="s">
        <v>947</v>
      </c>
      <c r="E190" s="1144">
        <v>0.4163</v>
      </c>
      <c r="F190" s="1145" t="s">
        <v>1660</v>
      </c>
      <c r="G190" s="1146" t="s">
        <v>1661</v>
      </c>
      <c r="H190" s="1147" t="s">
        <v>125</v>
      </c>
      <c r="I190" s="1146"/>
      <c r="J190" s="1148" t="s">
        <v>221</v>
      </c>
      <c r="M190" s="1" t="s">
        <v>1035</v>
      </c>
    </row>
    <row r="191" spans="2:13" ht="15" hidden="1" customHeight="1" outlineLevel="1" x14ac:dyDescent="0.25">
      <c r="B191" s="1142" t="s">
        <v>931</v>
      </c>
      <c r="C191" s="1143"/>
      <c r="D191" s="1143" t="s">
        <v>934</v>
      </c>
      <c r="E191" s="1144">
        <v>36.15</v>
      </c>
      <c r="F191" s="1145" t="s">
        <v>1660</v>
      </c>
      <c r="G191" s="1146" t="s">
        <v>1722</v>
      </c>
      <c r="H191" s="1147" t="s">
        <v>1660</v>
      </c>
      <c r="I191" s="1146" t="s">
        <v>1723</v>
      </c>
      <c r="J191" s="1148" t="s">
        <v>935</v>
      </c>
      <c r="M191" s="1" t="s">
        <v>1036</v>
      </c>
    </row>
    <row r="192" spans="2:13" ht="15" hidden="1" customHeight="1" outlineLevel="1" x14ac:dyDescent="0.25">
      <c r="B192" s="1142" t="s">
        <v>931</v>
      </c>
      <c r="C192" s="1143"/>
      <c r="D192" s="1143" t="s">
        <v>937</v>
      </c>
      <c r="E192" s="1144">
        <v>20760</v>
      </c>
      <c r="F192" s="1145" t="s">
        <v>1660</v>
      </c>
      <c r="G192" s="1146" t="s">
        <v>1724</v>
      </c>
      <c r="H192" s="1147" t="s">
        <v>1660</v>
      </c>
      <c r="I192" s="1146" t="s">
        <v>1725</v>
      </c>
      <c r="J192" s="1148" t="s">
        <v>935</v>
      </c>
      <c r="M192" s="1" t="s">
        <v>1036</v>
      </c>
    </row>
    <row r="193" spans="2:13" ht="15" hidden="1" customHeight="1" outlineLevel="1" x14ac:dyDescent="0.25">
      <c r="B193" s="1142" t="s">
        <v>931</v>
      </c>
      <c r="C193" s="1143"/>
      <c r="D193" s="1143" t="s">
        <v>938</v>
      </c>
      <c r="E193" s="1144">
        <v>3273</v>
      </c>
      <c r="F193" s="1145" t="s">
        <v>1660</v>
      </c>
      <c r="G193" s="1146" t="s">
        <v>1726</v>
      </c>
      <c r="H193" s="1147" t="s">
        <v>1660</v>
      </c>
      <c r="I193" s="1146" t="s">
        <v>1727</v>
      </c>
      <c r="J193" s="1148" t="s">
        <v>935</v>
      </c>
      <c r="M193" s="1" t="s">
        <v>1036</v>
      </c>
    </row>
    <row r="194" spans="2:13" ht="15" hidden="1" customHeight="1" outlineLevel="1" x14ac:dyDescent="0.25">
      <c r="B194" s="1142" t="s">
        <v>931</v>
      </c>
      <c r="C194" s="1143"/>
      <c r="D194" s="1143" t="s">
        <v>939</v>
      </c>
      <c r="E194" s="1144">
        <v>0.70309999999999995</v>
      </c>
      <c r="F194" s="1145" t="s">
        <v>1660</v>
      </c>
      <c r="G194" s="1146" t="s">
        <v>1728</v>
      </c>
      <c r="H194" s="1147" t="s">
        <v>1660</v>
      </c>
      <c r="I194" s="1146" t="s">
        <v>1729</v>
      </c>
      <c r="J194" s="1148" t="s">
        <v>935</v>
      </c>
      <c r="M194" s="1" t="s">
        <v>1036</v>
      </c>
    </row>
    <row r="195" spans="2:13" ht="15" hidden="1" customHeight="1" outlineLevel="1" x14ac:dyDescent="0.25">
      <c r="B195" s="1142" t="s">
        <v>931</v>
      </c>
      <c r="C195" s="1143"/>
      <c r="D195" s="1143" t="s">
        <v>940</v>
      </c>
      <c r="E195" s="1144">
        <v>0</v>
      </c>
      <c r="F195" s="1145" t="s">
        <v>125</v>
      </c>
      <c r="G195" s="1146"/>
      <c r="H195" s="1147" t="s">
        <v>125</v>
      </c>
      <c r="I195" s="1146"/>
      <c r="J195" s="1148" t="s">
        <v>935</v>
      </c>
      <c r="M195" s="1" t="s">
        <v>1036</v>
      </c>
    </row>
    <row r="196" spans="2:13" ht="15" hidden="1" customHeight="1" outlineLevel="1" x14ac:dyDescent="0.25">
      <c r="B196" s="1142" t="s">
        <v>931</v>
      </c>
      <c r="C196" s="1143"/>
      <c r="D196" s="1143" t="s">
        <v>941</v>
      </c>
      <c r="E196" s="1144">
        <v>262.10000000000002</v>
      </c>
      <c r="F196" s="1145" t="s">
        <v>1660</v>
      </c>
      <c r="G196" s="1146" t="s">
        <v>1730</v>
      </c>
      <c r="H196" s="1147" t="s">
        <v>1660</v>
      </c>
      <c r="I196" s="1146" t="s">
        <v>1731</v>
      </c>
      <c r="J196" s="1148" t="s">
        <v>935</v>
      </c>
      <c r="M196" s="1" t="s">
        <v>1036</v>
      </c>
    </row>
    <row r="197" spans="2:13" ht="15" hidden="1" customHeight="1" outlineLevel="1" x14ac:dyDescent="0.25">
      <c r="B197" s="1142" t="s">
        <v>931</v>
      </c>
      <c r="C197" s="1143"/>
      <c r="D197" s="1143" t="s">
        <v>942</v>
      </c>
      <c r="E197" s="1144">
        <v>27590</v>
      </c>
      <c r="F197" s="1145" t="s">
        <v>1660</v>
      </c>
      <c r="G197" s="1146" t="s">
        <v>1732</v>
      </c>
      <c r="H197" s="1147" t="s">
        <v>1660</v>
      </c>
      <c r="I197" s="1146" t="s">
        <v>1733</v>
      </c>
      <c r="J197" s="1148" t="s">
        <v>935</v>
      </c>
      <c r="M197" s="1" t="s">
        <v>1036</v>
      </c>
    </row>
    <row r="198" spans="2:13" ht="15" hidden="1" customHeight="1" outlineLevel="1" x14ac:dyDescent="0.25">
      <c r="B198" s="1142" t="s">
        <v>931</v>
      </c>
      <c r="C198" s="1143"/>
      <c r="D198" s="1143" t="s">
        <v>932</v>
      </c>
      <c r="E198" s="1144">
        <v>46.35</v>
      </c>
      <c r="F198" s="1145" t="s">
        <v>1660</v>
      </c>
      <c r="G198" s="1146" t="s">
        <v>683</v>
      </c>
      <c r="H198" s="1147" t="s">
        <v>1660</v>
      </c>
      <c r="I198" s="1146" t="s">
        <v>1704</v>
      </c>
      <c r="J198" s="1148" t="s">
        <v>221</v>
      </c>
      <c r="M198" s="1" t="s">
        <v>1032</v>
      </c>
    </row>
    <row r="199" spans="2:13" ht="15" hidden="1" customHeight="1" outlineLevel="1" x14ac:dyDescent="0.25">
      <c r="B199" s="1142" t="s">
        <v>931</v>
      </c>
      <c r="C199" s="1143"/>
      <c r="D199" s="1143" t="s">
        <v>947</v>
      </c>
      <c r="E199" s="1144">
        <v>0.4667</v>
      </c>
      <c r="F199" s="1145" t="s">
        <v>1660</v>
      </c>
      <c r="G199" s="1146" t="s">
        <v>684</v>
      </c>
      <c r="H199" s="1147" t="s">
        <v>125</v>
      </c>
      <c r="I199" s="1146"/>
      <c r="J199" s="1148" t="s">
        <v>221</v>
      </c>
      <c r="M199" s="1" t="s">
        <v>1037</v>
      </c>
    </row>
    <row r="200" spans="2:13" ht="15" hidden="1" customHeight="1" outlineLevel="1" x14ac:dyDescent="0.25">
      <c r="B200" s="1142" t="s">
        <v>931</v>
      </c>
      <c r="C200" s="1143"/>
      <c r="D200" s="1143" t="s">
        <v>932</v>
      </c>
      <c r="E200" s="1144">
        <v>53.19</v>
      </c>
      <c r="F200" s="1145" t="s">
        <v>125</v>
      </c>
      <c r="G200" s="1146"/>
      <c r="H200" s="1147" t="s">
        <v>125</v>
      </c>
      <c r="I200" s="1146"/>
      <c r="J200" s="1148" t="s">
        <v>221</v>
      </c>
      <c r="M200" s="1" t="s">
        <v>1038</v>
      </c>
    </row>
    <row r="201" spans="2:13" ht="15" hidden="1" customHeight="1" outlineLevel="1" x14ac:dyDescent="0.25">
      <c r="B201" s="1142" t="s">
        <v>945</v>
      </c>
      <c r="C201" s="1143" t="s">
        <v>946</v>
      </c>
      <c r="D201" s="1143" t="s">
        <v>934</v>
      </c>
      <c r="E201" s="1144">
        <v>1746</v>
      </c>
      <c r="F201" s="1145" t="s">
        <v>1660</v>
      </c>
      <c r="G201" s="1146" t="s">
        <v>1734</v>
      </c>
      <c r="H201" s="1147" t="s">
        <v>1660</v>
      </c>
      <c r="I201" s="1146" t="s">
        <v>1735</v>
      </c>
      <c r="J201" s="1148" t="s">
        <v>935</v>
      </c>
      <c r="M201" s="1" t="s">
        <v>1036</v>
      </c>
    </row>
    <row r="202" spans="2:13" ht="15" hidden="1" customHeight="1" outlineLevel="1" x14ac:dyDescent="0.25">
      <c r="B202" s="1142" t="s">
        <v>945</v>
      </c>
      <c r="C202" s="1143" t="s">
        <v>946</v>
      </c>
      <c r="D202" s="1143" t="s">
        <v>937</v>
      </c>
      <c r="E202" s="1144">
        <v>140300</v>
      </c>
      <c r="F202" s="1145" t="s">
        <v>1660</v>
      </c>
      <c r="G202" s="1146" t="s">
        <v>1736</v>
      </c>
      <c r="H202" s="1147" t="s">
        <v>1660</v>
      </c>
      <c r="I202" s="1146" t="s">
        <v>1737</v>
      </c>
      <c r="J202" s="1148" t="s">
        <v>935</v>
      </c>
      <c r="M202" s="1" t="s">
        <v>1036</v>
      </c>
    </row>
    <row r="203" spans="2:13" ht="15" hidden="1" customHeight="1" outlineLevel="1" x14ac:dyDescent="0.25">
      <c r="B203" s="1142" t="s">
        <v>945</v>
      </c>
      <c r="C203" s="1143" t="s">
        <v>946</v>
      </c>
      <c r="D203" s="1143" t="s">
        <v>938</v>
      </c>
      <c r="E203" s="1144">
        <v>4909</v>
      </c>
      <c r="F203" s="1145" t="s">
        <v>1660</v>
      </c>
      <c r="G203" s="1146" t="s">
        <v>1738</v>
      </c>
      <c r="H203" s="1147" t="s">
        <v>1660</v>
      </c>
      <c r="I203" s="1146" t="s">
        <v>1739</v>
      </c>
      <c r="J203" s="1148" t="s">
        <v>935</v>
      </c>
      <c r="M203" s="1" t="s">
        <v>1036</v>
      </c>
    </row>
    <row r="204" spans="2:13" ht="15" hidden="1" customHeight="1" outlineLevel="1" x14ac:dyDescent="0.25">
      <c r="B204" s="1142" t="s">
        <v>945</v>
      </c>
      <c r="C204" s="1143" t="s">
        <v>946</v>
      </c>
      <c r="D204" s="1143" t="s">
        <v>939</v>
      </c>
      <c r="E204" s="1144">
        <v>35.64</v>
      </c>
      <c r="F204" s="1145" t="s">
        <v>1660</v>
      </c>
      <c r="G204" s="1146" t="s">
        <v>1740</v>
      </c>
      <c r="H204" s="1147" t="s">
        <v>1660</v>
      </c>
      <c r="I204" s="1146" t="s">
        <v>1741</v>
      </c>
      <c r="J204" s="1148" t="s">
        <v>935</v>
      </c>
      <c r="M204" s="1" t="s">
        <v>1036</v>
      </c>
    </row>
    <row r="205" spans="2:13" ht="15" hidden="1" customHeight="1" outlineLevel="1" x14ac:dyDescent="0.25">
      <c r="B205" s="1142" t="s">
        <v>945</v>
      </c>
      <c r="C205" s="1143" t="s">
        <v>946</v>
      </c>
      <c r="D205" s="1143" t="s">
        <v>940</v>
      </c>
      <c r="E205" s="1144">
        <v>10410</v>
      </c>
      <c r="F205" s="1145" t="s">
        <v>1660</v>
      </c>
      <c r="G205" s="1108" t="s">
        <v>1742</v>
      </c>
      <c r="H205" s="1147" t="s">
        <v>1660</v>
      </c>
      <c r="I205" s="1108" t="s">
        <v>1743</v>
      </c>
      <c r="J205" s="1148" t="s">
        <v>935</v>
      </c>
      <c r="M205" s="1" t="s">
        <v>1036</v>
      </c>
    </row>
    <row r="206" spans="2:13" ht="15" hidden="1" customHeight="1" outlineLevel="1" x14ac:dyDescent="0.25">
      <c r="B206" s="1142" t="s">
        <v>945</v>
      </c>
      <c r="C206" s="1143" t="s">
        <v>946</v>
      </c>
      <c r="D206" s="1143" t="s">
        <v>941</v>
      </c>
      <c r="E206" s="1144">
        <v>14140</v>
      </c>
      <c r="F206" s="1145" t="s">
        <v>1660</v>
      </c>
      <c r="G206" s="1108" t="s">
        <v>1744</v>
      </c>
      <c r="H206" s="1147" t="s">
        <v>1660</v>
      </c>
      <c r="I206" s="1108" t="s">
        <v>1745</v>
      </c>
      <c r="J206" s="1148" t="s">
        <v>935</v>
      </c>
      <c r="M206" s="1" t="s">
        <v>1036</v>
      </c>
    </row>
    <row r="207" spans="2:13" ht="15" hidden="1" customHeight="1" outlineLevel="1" x14ac:dyDescent="0.25">
      <c r="B207" s="1149" t="s">
        <v>945</v>
      </c>
      <c r="C207" s="1150" t="s">
        <v>946</v>
      </c>
      <c r="D207" s="1150" t="s">
        <v>942</v>
      </c>
      <c r="E207" s="1151">
        <v>430100</v>
      </c>
      <c r="F207" s="1152" t="s">
        <v>1660</v>
      </c>
      <c r="G207" s="1158" t="s">
        <v>1746</v>
      </c>
      <c r="H207" s="1154" t="s">
        <v>1660</v>
      </c>
      <c r="I207" s="1158" t="s">
        <v>1747</v>
      </c>
      <c r="J207" s="1155" t="s">
        <v>935</v>
      </c>
      <c r="M207" s="1" t="s">
        <v>1036</v>
      </c>
    </row>
    <row r="208" spans="2:13" ht="15" customHeight="1" x14ac:dyDescent="0.25">
      <c r="F208" s="1124" t="s">
        <v>125</v>
      </c>
      <c r="H208" s="1126" t="s">
        <v>125</v>
      </c>
    </row>
    <row r="209" spans="2:13" ht="15" customHeight="1" x14ac:dyDescent="0.25">
      <c r="B209" s="1127" t="s">
        <v>825</v>
      </c>
      <c r="C209" s="1128"/>
      <c r="D209" s="1207" t="s">
        <v>1176</v>
      </c>
      <c r="E209" s="1123">
        <v>5758</v>
      </c>
      <c r="F209" s="1129" t="s">
        <v>1660</v>
      </c>
      <c r="G209" s="1130" t="s">
        <v>1748</v>
      </c>
      <c r="H209" s="1131" t="s">
        <v>125</v>
      </c>
      <c r="I209" s="1130"/>
      <c r="J209" s="208" t="s">
        <v>221</v>
      </c>
      <c r="K209" s="898">
        <v>85.9</v>
      </c>
    </row>
    <row r="210" spans="2:13" ht="15" customHeight="1" collapsed="1" x14ac:dyDescent="0.25">
      <c r="B210" s="1132" t="s">
        <v>825</v>
      </c>
      <c r="C210" s="1107"/>
      <c r="D210" s="1209" t="s">
        <v>1177</v>
      </c>
      <c r="E210" s="1133">
        <v>2521</v>
      </c>
      <c r="F210" s="1134" t="s">
        <v>1660</v>
      </c>
      <c r="G210" s="1135" t="s">
        <v>1748</v>
      </c>
      <c r="H210" s="1136" t="s">
        <v>125</v>
      </c>
      <c r="I210" s="1135"/>
      <c r="J210" s="211" t="s">
        <v>221</v>
      </c>
      <c r="K210" s="531">
        <v>14.1</v>
      </c>
    </row>
    <row r="211" spans="2:13" ht="15" hidden="1" customHeight="1" outlineLevel="1" x14ac:dyDescent="0.25">
      <c r="B211" s="1137" t="s">
        <v>827</v>
      </c>
      <c r="C211" s="1138" t="s">
        <v>979</v>
      </c>
      <c r="D211" s="1138" t="s">
        <v>980</v>
      </c>
      <c r="E211" s="1139">
        <v>0</v>
      </c>
      <c r="F211" s="1145" t="s">
        <v>125</v>
      </c>
      <c r="G211" s="1146"/>
      <c r="H211" s="1147" t="s">
        <v>125</v>
      </c>
      <c r="I211" s="954"/>
      <c r="J211" s="955" t="s">
        <v>186</v>
      </c>
      <c r="K211" s="1" t="s">
        <v>125</v>
      </c>
      <c r="M211" s="1" t="s">
        <v>997</v>
      </c>
    </row>
    <row r="212" spans="2:13" ht="15" hidden="1" customHeight="1" outlineLevel="1" x14ac:dyDescent="0.25">
      <c r="B212" s="1142" t="s">
        <v>827</v>
      </c>
      <c r="C212" s="1143" t="s">
        <v>981</v>
      </c>
      <c r="D212" s="1143" t="s">
        <v>982</v>
      </c>
      <c r="E212" s="1144">
        <v>10000</v>
      </c>
      <c r="F212" s="1145" t="s">
        <v>125</v>
      </c>
      <c r="G212" s="1146"/>
      <c r="H212" s="1147" t="s">
        <v>125</v>
      </c>
      <c r="I212" s="1146"/>
      <c r="J212" s="1148" t="s">
        <v>181</v>
      </c>
      <c r="K212" s="1" t="s">
        <v>125</v>
      </c>
      <c r="M212" s="1" t="s">
        <v>998</v>
      </c>
    </row>
    <row r="213" spans="2:13" ht="15" hidden="1" customHeight="1" outlineLevel="1" x14ac:dyDescent="0.25">
      <c r="B213" s="1142" t="s">
        <v>827</v>
      </c>
      <c r="C213" s="1143" t="s">
        <v>981</v>
      </c>
      <c r="D213" s="1143" t="s">
        <v>983</v>
      </c>
      <c r="E213" s="1144">
        <v>0</v>
      </c>
      <c r="F213" s="1145" t="s">
        <v>125</v>
      </c>
      <c r="G213" s="1146"/>
      <c r="H213" s="1147" t="s">
        <v>125</v>
      </c>
      <c r="I213" s="1146"/>
      <c r="J213" s="1148" t="s">
        <v>182</v>
      </c>
      <c r="K213" s="1" t="s">
        <v>125</v>
      </c>
      <c r="M213" s="1" t="s">
        <v>999</v>
      </c>
    </row>
    <row r="214" spans="2:13" ht="15" hidden="1" customHeight="1" outlineLevel="1" x14ac:dyDescent="0.25">
      <c r="B214" s="1142" t="s">
        <v>827</v>
      </c>
      <c r="C214" s="1143" t="s">
        <v>981</v>
      </c>
      <c r="D214" s="1143" t="s">
        <v>984</v>
      </c>
      <c r="E214" s="1144">
        <v>0</v>
      </c>
      <c r="F214" s="1145" t="s">
        <v>125</v>
      </c>
      <c r="G214" s="1146"/>
      <c r="H214" s="1147" t="s">
        <v>125</v>
      </c>
      <c r="I214" s="1146"/>
      <c r="J214" s="1148" t="s">
        <v>182</v>
      </c>
      <c r="K214" s="1" t="s">
        <v>125</v>
      </c>
      <c r="M214" s="1" t="s">
        <v>999</v>
      </c>
    </row>
    <row r="215" spans="2:13" ht="15" hidden="1" customHeight="1" outlineLevel="1" x14ac:dyDescent="0.25">
      <c r="B215" s="1142" t="s">
        <v>827</v>
      </c>
      <c r="C215" s="1143" t="s">
        <v>981</v>
      </c>
      <c r="D215" s="1143" t="s">
        <v>985</v>
      </c>
      <c r="E215" s="1144">
        <v>0</v>
      </c>
      <c r="F215" s="1145" t="s">
        <v>125</v>
      </c>
      <c r="G215" s="1146"/>
      <c r="H215" s="1147" t="s">
        <v>125</v>
      </c>
      <c r="I215" s="1146"/>
      <c r="J215" s="1148" t="s">
        <v>182</v>
      </c>
      <c r="K215" s="1" t="s">
        <v>125</v>
      </c>
      <c r="M215" s="1" t="s">
        <v>999</v>
      </c>
    </row>
    <row r="216" spans="2:13" ht="15" hidden="1" customHeight="1" outlineLevel="1" x14ac:dyDescent="0.25">
      <c r="B216" s="1142" t="s">
        <v>827</v>
      </c>
      <c r="C216" s="1143" t="s">
        <v>981</v>
      </c>
      <c r="D216" s="1143" t="s">
        <v>986</v>
      </c>
      <c r="E216" s="1144">
        <v>0</v>
      </c>
      <c r="F216" s="1145" t="s">
        <v>125</v>
      </c>
      <c r="G216" s="1146"/>
      <c r="H216" s="1147" t="s">
        <v>125</v>
      </c>
      <c r="I216" s="1146"/>
      <c r="J216" s="1148" t="s">
        <v>182</v>
      </c>
      <c r="K216" s="1" t="s">
        <v>125</v>
      </c>
      <c r="M216" s="1" t="s">
        <v>999</v>
      </c>
    </row>
    <row r="217" spans="2:13" ht="15" hidden="1" customHeight="1" outlineLevel="1" x14ac:dyDescent="0.25">
      <c r="B217" s="1142" t="s">
        <v>827</v>
      </c>
      <c r="C217" s="1143" t="s">
        <v>981</v>
      </c>
      <c r="D217" s="1143" t="s">
        <v>987</v>
      </c>
      <c r="E217" s="1144">
        <v>0</v>
      </c>
      <c r="F217" s="1145" t="s">
        <v>125</v>
      </c>
      <c r="G217" s="1146"/>
      <c r="H217" s="1147" t="s">
        <v>125</v>
      </c>
      <c r="I217" s="1146"/>
      <c r="J217" s="1148" t="s">
        <v>182</v>
      </c>
      <c r="K217" s="1" t="s">
        <v>125</v>
      </c>
      <c r="M217" s="1" t="s">
        <v>999</v>
      </c>
    </row>
    <row r="218" spans="2:13" ht="15" hidden="1" customHeight="1" outlineLevel="1" x14ac:dyDescent="0.25">
      <c r="B218" s="1142" t="s">
        <v>830</v>
      </c>
      <c r="C218" s="1143"/>
      <c r="D218" s="1143" t="s">
        <v>665</v>
      </c>
      <c r="E218" s="1144">
        <v>3522</v>
      </c>
      <c r="F218" s="1145" t="s">
        <v>1660</v>
      </c>
      <c r="G218" s="1146" t="s">
        <v>726</v>
      </c>
      <c r="H218" s="1147" t="s">
        <v>125</v>
      </c>
      <c r="I218" s="1146"/>
      <c r="J218" s="1148" t="s">
        <v>221</v>
      </c>
      <c r="K218" s="1" t="s">
        <v>125</v>
      </c>
      <c r="M218" s="1" t="s">
        <v>1000</v>
      </c>
    </row>
    <row r="219" spans="2:13" ht="15" hidden="1" customHeight="1" outlineLevel="1" x14ac:dyDescent="0.25">
      <c r="B219" s="1142" t="s">
        <v>830</v>
      </c>
      <c r="C219" s="1143"/>
      <c r="D219" s="1143" t="s">
        <v>673</v>
      </c>
      <c r="E219" s="1144">
        <v>308.89999999999998</v>
      </c>
      <c r="F219" s="1145" t="s">
        <v>1660</v>
      </c>
      <c r="G219" s="1146" t="s">
        <v>723</v>
      </c>
      <c r="H219" s="1147" t="s">
        <v>125</v>
      </c>
      <c r="I219" s="1146"/>
      <c r="J219" s="1148" t="s">
        <v>221</v>
      </c>
      <c r="K219" s="1" t="s">
        <v>125</v>
      </c>
      <c r="M219" s="1" t="s">
        <v>1001</v>
      </c>
    </row>
    <row r="220" spans="2:13" ht="15" hidden="1" customHeight="1" outlineLevel="1" x14ac:dyDescent="0.25">
      <c r="B220" s="1142" t="s">
        <v>830</v>
      </c>
      <c r="C220" s="1143"/>
      <c r="D220" s="1143" t="s">
        <v>653</v>
      </c>
      <c r="E220" s="1144">
        <v>22.53</v>
      </c>
      <c r="F220" s="1145" t="s">
        <v>1660</v>
      </c>
      <c r="G220" s="1146" t="s">
        <v>1661</v>
      </c>
      <c r="H220" s="1147" t="s">
        <v>125</v>
      </c>
      <c r="I220" s="1146"/>
      <c r="J220" s="1148" t="s">
        <v>221</v>
      </c>
      <c r="K220" s="1" t="s">
        <v>125</v>
      </c>
      <c r="M220" s="1" t="s">
        <v>1178</v>
      </c>
    </row>
    <row r="221" spans="2:13" ht="15" hidden="1" customHeight="1" outlineLevel="1" x14ac:dyDescent="0.25">
      <c r="B221" s="1142" t="s">
        <v>830</v>
      </c>
      <c r="C221" s="1143"/>
      <c r="D221" s="1143" t="s">
        <v>654</v>
      </c>
      <c r="E221" s="1144">
        <v>23.07</v>
      </c>
      <c r="F221" s="1145" t="s">
        <v>1660</v>
      </c>
      <c r="G221" s="1146" t="s">
        <v>1661</v>
      </c>
      <c r="H221" s="1147" t="s">
        <v>125</v>
      </c>
      <c r="I221" s="1146"/>
      <c r="J221" s="1148" t="s">
        <v>221</v>
      </c>
      <c r="K221" s="1" t="s">
        <v>125</v>
      </c>
      <c r="M221" s="1" t="s">
        <v>1179</v>
      </c>
    </row>
    <row r="222" spans="2:13" ht="15" hidden="1" customHeight="1" outlineLevel="1" x14ac:dyDescent="0.25">
      <c r="B222" s="1142" t="s">
        <v>830</v>
      </c>
      <c r="C222" s="1143"/>
      <c r="D222" s="1143" t="s">
        <v>652</v>
      </c>
      <c r="E222" s="1144">
        <v>171.4</v>
      </c>
      <c r="F222" s="1145" t="s">
        <v>1660</v>
      </c>
      <c r="G222" s="1146" t="s">
        <v>1661</v>
      </c>
      <c r="H222" s="1147" t="s">
        <v>125</v>
      </c>
      <c r="I222" s="1146"/>
      <c r="J222" s="1148" t="s">
        <v>221</v>
      </c>
      <c r="K222" s="1" t="s">
        <v>125</v>
      </c>
      <c r="M222" s="1" t="s">
        <v>1180</v>
      </c>
    </row>
    <row r="223" spans="2:13" ht="15" hidden="1" customHeight="1" outlineLevel="1" x14ac:dyDescent="0.25">
      <c r="B223" s="1142" t="s">
        <v>830</v>
      </c>
      <c r="C223" s="1143"/>
      <c r="D223" s="1143" t="s">
        <v>650</v>
      </c>
      <c r="E223" s="1144">
        <v>14.71</v>
      </c>
      <c r="F223" s="1145" t="s">
        <v>1660</v>
      </c>
      <c r="G223" s="1146" t="s">
        <v>1661</v>
      </c>
      <c r="H223" s="1147" t="s">
        <v>125</v>
      </c>
      <c r="I223" s="1146"/>
      <c r="J223" s="1148" t="s">
        <v>221</v>
      </c>
      <c r="K223" s="1" t="s">
        <v>125</v>
      </c>
      <c r="M223" s="1" t="s">
        <v>1181</v>
      </c>
    </row>
    <row r="224" spans="2:13" ht="15" hidden="1" customHeight="1" outlineLevel="1" x14ac:dyDescent="0.25">
      <c r="B224" s="1142" t="s">
        <v>830</v>
      </c>
      <c r="C224" s="1143"/>
      <c r="D224" s="1143" t="s">
        <v>649</v>
      </c>
      <c r="E224" s="1144">
        <v>42.48</v>
      </c>
      <c r="F224" s="1145" t="s">
        <v>1660</v>
      </c>
      <c r="G224" s="1146" t="s">
        <v>1661</v>
      </c>
      <c r="H224" s="1147" t="s">
        <v>125</v>
      </c>
      <c r="I224" s="1146"/>
      <c r="J224" s="1148" t="s">
        <v>221</v>
      </c>
      <c r="K224" s="1" t="s">
        <v>125</v>
      </c>
      <c r="M224" s="1" t="s">
        <v>1182</v>
      </c>
    </row>
    <row r="225" spans="2:13" ht="15" hidden="1" customHeight="1" outlineLevel="1" x14ac:dyDescent="0.25">
      <c r="B225" s="1142" t="s">
        <v>830</v>
      </c>
      <c r="C225" s="1143"/>
      <c r="D225" s="1143" t="s">
        <v>648</v>
      </c>
      <c r="E225" s="1144">
        <v>64.02</v>
      </c>
      <c r="F225" s="1145" t="s">
        <v>1660</v>
      </c>
      <c r="G225" s="1146" t="s">
        <v>1661</v>
      </c>
      <c r="H225" s="1147" t="s">
        <v>125</v>
      </c>
      <c r="I225" s="1146"/>
      <c r="J225" s="1148" t="s">
        <v>221</v>
      </c>
      <c r="K225" s="1" t="s">
        <v>125</v>
      </c>
      <c r="M225" s="1" t="s">
        <v>1183</v>
      </c>
    </row>
    <row r="226" spans="2:13" ht="15" hidden="1" customHeight="1" outlineLevel="1" x14ac:dyDescent="0.25">
      <c r="B226" s="1142" t="s">
        <v>830</v>
      </c>
      <c r="C226" s="1143"/>
      <c r="D226" s="1143" t="s">
        <v>657</v>
      </c>
      <c r="E226" s="1144">
        <v>6.556</v>
      </c>
      <c r="F226" s="1145" t="s">
        <v>1660</v>
      </c>
      <c r="G226" s="1146" t="s">
        <v>1661</v>
      </c>
      <c r="H226" s="1147" t="s">
        <v>125</v>
      </c>
      <c r="I226" s="1146"/>
      <c r="J226" s="1148" t="s">
        <v>221</v>
      </c>
      <c r="K226" s="1" t="s">
        <v>125</v>
      </c>
      <c r="M226" s="1" t="s">
        <v>1184</v>
      </c>
    </row>
    <row r="227" spans="2:13" ht="15" hidden="1" customHeight="1" outlineLevel="1" x14ac:dyDescent="0.25">
      <c r="B227" s="1142" t="s">
        <v>830</v>
      </c>
      <c r="C227" s="1143"/>
      <c r="D227" s="1143" t="s">
        <v>656</v>
      </c>
      <c r="E227" s="1144">
        <v>0.16569999999999999</v>
      </c>
      <c r="F227" s="1145" t="s">
        <v>1660</v>
      </c>
      <c r="G227" s="1146" t="s">
        <v>1661</v>
      </c>
      <c r="H227" s="1147" t="s">
        <v>125</v>
      </c>
      <c r="I227" s="1146"/>
      <c r="J227" s="1148" t="s">
        <v>221</v>
      </c>
      <c r="K227" s="1" t="s">
        <v>125</v>
      </c>
      <c r="M227" s="1" t="s">
        <v>1185</v>
      </c>
    </row>
    <row r="228" spans="2:13" ht="15" hidden="1" customHeight="1" outlineLevel="1" x14ac:dyDescent="0.25">
      <c r="B228" s="1142" t="s">
        <v>830</v>
      </c>
      <c r="C228" s="1143"/>
      <c r="D228" s="1143" t="s">
        <v>655</v>
      </c>
      <c r="E228" s="1144">
        <v>3.07</v>
      </c>
      <c r="F228" s="1145" t="s">
        <v>1660</v>
      </c>
      <c r="G228" s="1146" t="s">
        <v>1661</v>
      </c>
      <c r="H228" s="1147" t="s">
        <v>125</v>
      </c>
      <c r="I228" s="1146"/>
      <c r="J228" s="1148" t="s">
        <v>221</v>
      </c>
      <c r="K228" s="1" t="s">
        <v>125</v>
      </c>
      <c r="M228" s="1" t="s">
        <v>1186</v>
      </c>
    </row>
    <row r="229" spans="2:13" ht="15" hidden="1" customHeight="1" outlineLevel="1" x14ac:dyDescent="0.25">
      <c r="B229" s="1142" t="s">
        <v>830</v>
      </c>
      <c r="C229" s="1143"/>
      <c r="D229" s="1143" t="s">
        <v>658</v>
      </c>
      <c r="E229" s="1144">
        <v>19.149999999999999</v>
      </c>
      <c r="F229" s="1145" t="s">
        <v>1660</v>
      </c>
      <c r="G229" s="1146" t="s">
        <v>1661</v>
      </c>
      <c r="H229" s="1147" t="s">
        <v>125</v>
      </c>
      <c r="I229" s="1146"/>
      <c r="J229" s="1148" t="s">
        <v>221</v>
      </c>
      <c r="K229" s="1" t="s">
        <v>125</v>
      </c>
      <c r="M229" s="1" t="s">
        <v>1187</v>
      </c>
    </row>
    <row r="230" spans="2:13" ht="15" hidden="1" customHeight="1" outlineLevel="1" x14ac:dyDescent="0.25">
      <c r="B230" s="1142" t="s">
        <v>830</v>
      </c>
      <c r="C230" s="1143"/>
      <c r="D230" s="1143" t="s">
        <v>659</v>
      </c>
      <c r="E230" s="1144">
        <v>1.2949999999999999</v>
      </c>
      <c r="F230" s="1145" t="s">
        <v>1660</v>
      </c>
      <c r="G230" s="1146" t="s">
        <v>1661</v>
      </c>
      <c r="H230" s="1147" t="s">
        <v>125</v>
      </c>
      <c r="I230" s="1146"/>
      <c r="J230" s="1148" t="s">
        <v>221</v>
      </c>
      <c r="K230" s="1" t="s">
        <v>125</v>
      </c>
      <c r="M230" s="1" t="s">
        <v>1188</v>
      </c>
    </row>
    <row r="231" spans="2:13" ht="15" hidden="1" customHeight="1" outlineLevel="1" x14ac:dyDescent="0.25">
      <c r="B231" s="1142" t="s">
        <v>830</v>
      </c>
      <c r="C231" s="1143"/>
      <c r="D231" s="1143" t="s">
        <v>988</v>
      </c>
      <c r="E231" s="1144">
        <v>1</v>
      </c>
      <c r="F231" s="1145" t="s">
        <v>125</v>
      </c>
      <c r="G231" s="1146"/>
      <c r="H231" s="1147" t="s">
        <v>125</v>
      </c>
      <c r="I231" s="1146"/>
      <c r="J231" s="1148" t="s">
        <v>188</v>
      </c>
      <c r="K231" s="1" t="s">
        <v>125</v>
      </c>
      <c r="M231" s="1" t="s">
        <v>1013</v>
      </c>
    </row>
    <row r="232" spans="2:13" ht="15" hidden="1" customHeight="1" outlineLevel="1" x14ac:dyDescent="0.25">
      <c r="B232" s="1142" t="s">
        <v>830</v>
      </c>
      <c r="C232" s="1143"/>
      <c r="D232" s="1143" t="s">
        <v>662</v>
      </c>
      <c r="E232" s="1144">
        <v>400</v>
      </c>
      <c r="F232" s="1145" t="s">
        <v>125</v>
      </c>
      <c r="G232" s="1146"/>
      <c r="H232" s="1147" t="s">
        <v>125</v>
      </c>
      <c r="I232" s="1146"/>
      <c r="J232" s="1148" t="s">
        <v>221</v>
      </c>
      <c r="K232" s="1" t="s">
        <v>125</v>
      </c>
      <c r="M232" s="1" t="s">
        <v>1014</v>
      </c>
    </row>
    <row r="233" spans="2:13" ht="15" hidden="1" customHeight="1" outlineLevel="1" x14ac:dyDescent="0.25">
      <c r="B233" s="1142" t="s">
        <v>830</v>
      </c>
      <c r="C233" s="1143"/>
      <c r="D233" s="1143" t="s">
        <v>1189</v>
      </c>
      <c r="E233" s="1144">
        <v>235.1</v>
      </c>
      <c r="F233" s="1145" t="s">
        <v>125</v>
      </c>
      <c r="G233" s="1146"/>
      <c r="H233" s="1147" t="s">
        <v>125</v>
      </c>
      <c r="I233" s="1146"/>
      <c r="J233" s="1148" t="s">
        <v>221</v>
      </c>
      <c r="K233" s="1" t="s">
        <v>125</v>
      </c>
      <c r="M233" s="1" t="s">
        <v>1052</v>
      </c>
    </row>
    <row r="234" spans="2:13" ht="15" hidden="1" customHeight="1" outlineLevel="1" x14ac:dyDescent="0.25">
      <c r="B234" s="1142" t="s">
        <v>830</v>
      </c>
      <c r="C234" s="1143"/>
      <c r="D234" s="1143" t="s">
        <v>990</v>
      </c>
      <c r="E234" s="1144">
        <v>114.9</v>
      </c>
      <c r="F234" s="1145" t="s">
        <v>1660</v>
      </c>
      <c r="G234" s="1146" t="s">
        <v>722</v>
      </c>
      <c r="H234" s="1147" t="s">
        <v>125</v>
      </c>
      <c r="I234" s="1146"/>
      <c r="J234" s="1148" t="s">
        <v>836</v>
      </c>
      <c r="K234" s="1" t="s">
        <v>125</v>
      </c>
      <c r="M234" s="1" t="s">
        <v>1015</v>
      </c>
    </row>
    <row r="235" spans="2:13" ht="15" hidden="1" customHeight="1" outlineLevel="1" x14ac:dyDescent="0.25">
      <c r="B235" s="1142" t="s">
        <v>830</v>
      </c>
      <c r="C235" s="1143"/>
      <c r="D235" s="1143" t="s">
        <v>990</v>
      </c>
      <c r="E235" s="1144">
        <v>50.31</v>
      </c>
      <c r="F235" s="1145" t="s">
        <v>1660</v>
      </c>
      <c r="G235" s="1146" t="s">
        <v>1749</v>
      </c>
      <c r="H235" s="1147" t="s">
        <v>125</v>
      </c>
      <c r="I235" s="1146"/>
      <c r="J235" s="1148" t="s">
        <v>836</v>
      </c>
      <c r="K235" s="1" t="s">
        <v>125</v>
      </c>
      <c r="M235" s="1" t="s">
        <v>1016</v>
      </c>
    </row>
    <row r="236" spans="2:13" ht="15" hidden="1" customHeight="1" outlineLevel="1" x14ac:dyDescent="0.25">
      <c r="B236" s="1142" t="s">
        <v>830</v>
      </c>
      <c r="C236" s="1143"/>
      <c r="D236" s="1143" t="s">
        <v>675</v>
      </c>
      <c r="E236" s="1144">
        <v>0.26550000000000001</v>
      </c>
      <c r="F236" s="1145" t="s">
        <v>1660</v>
      </c>
      <c r="G236" s="1146" t="s">
        <v>1661</v>
      </c>
      <c r="H236" s="1147" t="s">
        <v>125</v>
      </c>
      <c r="I236" s="1146"/>
      <c r="J236" s="1148" t="s">
        <v>221</v>
      </c>
      <c r="K236" s="1" t="s">
        <v>125</v>
      </c>
      <c r="M236" s="1" t="s">
        <v>1017</v>
      </c>
    </row>
    <row r="237" spans="2:13" ht="15" hidden="1" customHeight="1" outlineLevel="1" x14ac:dyDescent="0.25">
      <c r="B237" s="1142" t="s">
        <v>830</v>
      </c>
      <c r="C237" s="1143"/>
      <c r="D237" s="1143" t="s">
        <v>676</v>
      </c>
      <c r="E237" s="1144">
        <v>0.82589999999999997</v>
      </c>
      <c r="F237" s="1145" t="s">
        <v>1660</v>
      </c>
      <c r="G237" s="1146" t="s">
        <v>1661</v>
      </c>
      <c r="H237" s="1147" t="s">
        <v>125</v>
      </c>
      <c r="I237" s="1146"/>
      <c r="J237" s="1148" t="s">
        <v>221</v>
      </c>
      <c r="K237" s="1" t="s">
        <v>125</v>
      </c>
      <c r="M237" s="1" t="s">
        <v>1018</v>
      </c>
    </row>
    <row r="238" spans="2:13" ht="15" hidden="1" customHeight="1" outlineLevel="1" x14ac:dyDescent="0.25">
      <c r="B238" s="1142" t="s">
        <v>830</v>
      </c>
      <c r="C238" s="1143"/>
      <c r="D238" s="1143" t="s">
        <v>678</v>
      </c>
      <c r="E238" s="1144">
        <v>1.46</v>
      </c>
      <c r="F238" s="1145" t="s">
        <v>1660</v>
      </c>
      <c r="G238" s="1146" t="s">
        <v>1661</v>
      </c>
      <c r="H238" s="1147" t="s">
        <v>125</v>
      </c>
      <c r="I238" s="1146"/>
      <c r="J238" s="1148" t="s">
        <v>221</v>
      </c>
      <c r="K238" s="1" t="s">
        <v>125</v>
      </c>
      <c r="M238" s="1" t="s">
        <v>1019</v>
      </c>
    </row>
    <row r="239" spans="2:13" ht="15" hidden="1" customHeight="1" outlineLevel="1" x14ac:dyDescent="0.25">
      <c r="B239" s="1142" t="s">
        <v>830</v>
      </c>
      <c r="C239" s="1143"/>
      <c r="D239" s="1143" t="s">
        <v>991</v>
      </c>
      <c r="E239" s="1144">
        <v>0.26550000000000001</v>
      </c>
      <c r="F239" s="1145" t="s">
        <v>1660</v>
      </c>
      <c r="G239" s="1146" t="s">
        <v>1661</v>
      </c>
      <c r="H239" s="1147" t="s">
        <v>125</v>
      </c>
      <c r="I239" s="1146"/>
      <c r="J239" s="1148" t="s">
        <v>221</v>
      </c>
      <c r="K239" s="1" t="s">
        <v>125</v>
      </c>
      <c r="M239" s="1" t="s">
        <v>1020</v>
      </c>
    </row>
    <row r="240" spans="2:13" ht="15" hidden="1" customHeight="1" outlineLevel="1" x14ac:dyDescent="0.25">
      <c r="B240" s="1142" t="s">
        <v>830</v>
      </c>
      <c r="C240" s="1143"/>
      <c r="D240" s="1143" t="s">
        <v>992</v>
      </c>
      <c r="E240" s="1144">
        <v>0.82589999999999997</v>
      </c>
      <c r="F240" s="1145" t="s">
        <v>1660</v>
      </c>
      <c r="G240" s="1146" t="s">
        <v>1661</v>
      </c>
      <c r="H240" s="1147" t="s">
        <v>125</v>
      </c>
      <c r="I240" s="1146"/>
      <c r="J240" s="1148" t="s">
        <v>221</v>
      </c>
      <c r="K240" s="1" t="s">
        <v>125</v>
      </c>
      <c r="M240" s="1" t="s">
        <v>1021</v>
      </c>
    </row>
    <row r="241" spans="2:13" ht="15" hidden="1" customHeight="1" outlineLevel="1" x14ac:dyDescent="0.25">
      <c r="B241" s="1142" t="s">
        <v>830</v>
      </c>
      <c r="C241" s="1143"/>
      <c r="D241" s="1143" t="s">
        <v>993</v>
      </c>
      <c r="E241" s="1144">
        <v>1.46</v>
      </c>
      <c r="F241" s="1145" t="s">
        <v>1660</v>
      </c>
      <c r="G241" s="1146" t="s">
        <v>1661</v>
      </c>
      <c r="H241" s="1147" t="s">
        <v>125</v>
      </c>
      <c r="I241" s="1146"/>
      <c r="J241" s="1148" t="s">
        <v>221</v>
      </c>
      <c r="K241" s="1" t="s">
        <v>125</v>
      </c>
      <c r="M241" s="1" t="s">
        <v>1022</v>
      </c>
    </row>
    <row r="242" spans="2:13" ht="15" hidden="1" customHeight="1" outlineLevel="1" x14ac:dyDescent="0.25">
      <c r="B242" s="1142" t="s">
        <v>994</v>
      </c>
      <c r="C242" s="1143"/>
      <c r="D242" s="1143" t="s">
        <v>834</v>
      </c>
      <c r="E242" s="1144">
        <v>4068</v>
      </c>
      <c r="F242" s="1145" t="s">
        <v>1660</v>
      </c>
      <c r="G242" s="1146" t="s">
        <v>718</v>
      </c>
      <c r="H242" s="1147" t="s">
        <v>125</v>
      </c>
      <c r="I242" s="1146"/>
      <c r="J242" s="1148" t="s">
        <v>304</v>
      </c>
      <c r="K242" s="1" t="s">
        <v>125</v>
      </c>
      <c r="M242" s="1" t="s">
        <v>1023</v>
      </c>
    </row>
    <row r="243" spans="2:13" ht="15" hidden="1" customHeight="1" outlineLevel="1" x14ac:dyDescent="0.25">
      <c r="B243" s="1142" t="s">
        <v>839</v>
      </c>
      <c r="C243" s="1143"/>
      <c r="D243" s="1143" t="s">
        <v>925</v>
      </c>
      <c r="E243" s="1144">
        <v>176</v>
      </c>
      <c r="F243" s="1145" t="s">
        <v>125</v>
      </c>
      <c r="G243" s="1146"/>
      <c r="H243" s="1147" t="s">
        <v>125</v>
      </c>
      <c r="I243" s="1146"/>
      <c r="J243" s="1148" t="s">
        <v>221</v>
      </c>
      <c r="K243" s="1" t="s">
        <v>125</v>
      </c>
      <c r="M243" s="1" t="s">
        <v>1024</v>
      </c>
    </row>
    <row r="244" spans="2:13" ht="15" hidden="1" customHeight="1" outlineLevel="1" x14ac:dyDescent="0.25">
      <c r="B244" s="1142" t="s">
        <v>839</v>
      </c>
      <c r="C244" s="1143"/>
      <c r="D244" s="1143" t="s">
        <v>925</v>
      </c>
      <c r="E244" s="1144">
        <v>58.35</v>
      </c>
      <c r="F244" s="1145" t="s">
        <v>1660</v>
      </c>
      <c r="G244" s="1146" t="s">
        <v>1661</v>
      </c>
      <c r="H244" s="1147" t="s">
        <v>125</v>
      </c>
      <c r="I244" s="1146"/>
      <c r="J244" s="1148" t="s">
        <v>221</v>
      </c>
      <c r="K244" s="1" t="s">
        <v>125</v>
      </c>
      <c r="M244" s="1" t="s">
        <v>1025</v>
      </c>
    </row>
    <row r="245" spans="2:13" ht="15" hidden="1" customHeight="1" outlineLevel="1" x14ac:dyDescent="0.25">
      <c r="B245" s="1142" t="s">
        <v>839</v>
      </c>
      <c r="C245" s="1143"/>
      <c r="D245" s="1143" t="s">
        <v>843</v>
      </c>
      <c r="E245" s="1144">
        <v>1.571</v>
      </c>
      <c r="F245" s="1145" t="s">
        <v>1660</v>
      </c>
      <c r="G245" s="1146" t="s">
        <v>1661</v>
      </c>
      <c r="H245" s="1147" t="s">
        <v>1660</v>
      </c>
      <c r="I245" s="1146" t="s">
        <v>1558</v>
      </c>
      <c r="J245" s="1148" t="s">
        <v>221</v>
      </c>
      <c r="K245" s="1" t="s">
        <v>125</v>
      </c>
      <c r="M245" s="1" t="s">
        <v>1026</v>
      </c>
    </row>
    <row r="246" spans="2:13" ht="15" hidden="1" customHeight="1" outlineLevel="1" x14ac:dyDescent="0.25">
      <c r="B246" s="1142" t="s">
        <v>839</v>
      </c>
      <c r="C246" s="1143"/>
      <c r="D246" s="1143" t="s">
        <v>843</v>
      </c>
      <c r="E246" s="1144">
        <v>0.51070000000000004</v>
      </c>
      <c r="F246" s="1145" t="s">
        <v>1660</v>
      </c>
      <c r="G246" s="1146" t="s">
        <v>1661</v>
      </c>
      <c r="H246" s="1147" t="s">
        <v>1660</v>
      </c>
      <c r="I246" s="1146" t="s">
        <v>1750</v>
      </c>
      <c r="J246" s="1148" t="s">
        <v>221</v>
      </c>
      <c r="K246" s="1" t="s">
        <v>125</v>
      </c>
      <c r="M246" s="1" t="s">
        <v>1027</v>
      </c>
    </row>
    <row r="247" spans="2:13" ht="15" hidden="1" customHeight="1" outlineLevel="1" x14ac:dyDescent="0.25">
      <c r="B247" s="1142" t="s">
        <v>839</v>
      </c>
      <c r="C247" s="1143"/>
      <c r="D247" s="1143" t="s">
        <v>846</v>
      </c>
      <c r="E247" s="1144">
        <v>7.0309999999999997</v>
      </c>
      <c r="F247" s="1145" t="s">
        <v>1660</v>
      </c>
      <c r="G247" s="1146" t="s">
        <v>1661</v>
      </c>
      <c r="H247" s="1147" t="s">
        <v>125</v>
      </c>
      <c r="I247" s="1146"/>
      <c r="J247" s="1148" t="s">
        <v>221</v>
      </c>
      <c r="K247" s="1" t="s">
        <v>125</v>
      </c>
      <c r="M247" s="1" t="s">
        <v>1028</v>
      </c>
    </row>
    <row r="248" spans="2:13" ht="15" hidden="1" customHeight="1" outlineLevel="1" x14ac:dyDescent="0.25">
      <c r="B248" s="1142" t="s">
        <v>839</v>
      </c>
      <c r="C248" s="1143"/>
      <c r="D248" s="1143" t="s">
        <v>995</v>
      </c>
      <c r="E248" s="1144">
        <v>0.7</v>
      </c>
      <c r="F248" s="1145" t="s">
        <v>1660</v>
      </c>
      <c r="G248" s="1146" t="s">
        <v>1661</v>
      </c>
      <c r="H248" s="1147" t="s">
        <v>125</v>
      </c>
      <c r="I248" s="1146"/>
      <c r="J248" s="1148" t="s">
        <v>221</v>
      </c>
      <c r="K248" s="1" t="s">
        <v>125</v>
      </c>
      <c r="M248" s="1" t="s">
        <v>1029</v>
      </c>
    </row>
    <row r="249" spans="2:13" ht="15" hidden="1" customHeight="1" outlineLevel="1" x14ac:dyDescent="0.25">
      <c r="B249" s="1142" t="s">
        <v>839</v>
      </c>
      <c r="C249" s="1143"/>
      <c r="D249" s="1143" t="s">
        <v>996</v>
      </c>
      <c r="E249" s="1144">
        <v>0</v>
      </c>
      <c r="F249" s="1145" t="s">
        <v>125</v>
      </c>
      <c r="G249" s="1146"/>
      <c r="H249" s="1147" t="s">
        <v>125</v>
      </c>
      <c r="I249" s="1146"/>
      <c r="J249" s="1148" t="s">
        <v>221</v>
      </c>
      <c r="K249" s="1" t="s">
        <v>125</v>
      </c>
      <c r="M249" s="1" t="s">
        <v>999</v>
      </c>
    </row>
    <row r="250" spans="2:13" ht="15" hidden="1" customHeight="1" outlineLevel="1" x14ac:dyDescent="0.25">
      <c r="B250" s="1142" t="s">
        <v>839</v>
      </c>
      <c r="C250" s="1143"/>
      <c r="D250" s="1143" t="s">
        <v>843</v>
      </c>
      <c r="E250" s="1144">
        <v>0.54830000000000001</v>
      </c>
      <c r="F250" s="1145" t="s">
        <v>1660</v>
      </c>
      <c r="G250" s="1146" t="s">
        <v>683</v>
      </c>
      <c r="H250" s="1147" t="s">
        <v>1660</v>
      </c>
      <c r="I250" s="1146" t="s">
        <v>1561</v>
      </c>
      <c r="J250" s="1148" t="s">
        <v>221</v>
      </c>
      <c r="K250" s="1" t="s">
        <v>125</v>
      </c>
      <c r="M250" s="1" t="s">
        <v>1030</v>
      </c>
    </row>
    <row r="251" spans="2:13" ht="15" hidden="1" customHeight="1" outlineLevel="1" x14ac:dyDescent="0.25">
      <c r="B251" s="1142" t="s">
        <v>839</v>
      </c>
      <c r="C251" s="1143"/>
      <c r="D251" s="1143" t="s">
        <v>843</v>
      </c>
      <c r="E251" s="1144">
        <v>0.1782</v>
      </c>
      <c r="F251" s="1145" t="s">
        <v>1660</v>
      </c>
      <c r="G251" s="1146" t="s">
        <v>683</v>
      </c>
      <c r="H251" s="1147" t="s">
        <v>1660</v>
      </c>
      <c r="I251" s="1146" t="s">
        <v>1562</v>
      </c>
      <c r="J251" s="1148" t="s">
        <v>221</v>
      </c>
      <c r="K251" s="1" t="s">
        <v>125</v>
      </c>
      <c r="M251" s="1" t="s">
        <v>1031</v>
      </c>
    </row>
    <row r="252" spans="2:13" ht="15" hidden="1" customHeight="1" outlineLevel="1" x14ac:dyDescent="0.25">
      <c r="B252" s="1142" t="s">
        <v>839</v>
      </c>
      <c r="C252" s="1143"/>
      <c r="D252" s="1143" t="s">
        <v>846</v>
      </c>
      <c r="E252" s="1144">
        <v>8.4730000000000008</v>
      </c>
      <c r="F252" s="1145" t="s">
        <v>1660</v>
      </c>
      <c r="G252" s="1146" t="s">
        <v>683</v>
      </c>
      <c r="H252" s="1147" t="s">
        <v>1660</v>
      </c>
      <c r="I252" s="1146" t="s">
        <v>1564</v>
      </c>
      <c r="J252" s="1148" t="s">
        <v>221</v>
      </c>
      <c r="K252" s="1" t="s">
        <v>125</v>
      </c>
      <c r="M252" s="1" t="s">
        <v>1032</v>
      </c>
    </row>
    <row r="253" spans="2:13" ht="15" hidden="1" customHeight="1" outlineLevel="1" x14ac:dyDescent="0.25">
      <c r="B253" s="1142" t="s">
        <v>839</v>
      </c>
      <c r="C253" s="1143"/>
      <c r="D253" s="1143" t="s">
        <v>843</v>
      </c>
      <c r="E253" s="1144">
        <v>0.76070000000000004</v>
      </c>
      <c r="F253" s="1145" t="s">
        <v>125</v>
      </c>
      <c r="G253" s="1146"/>
      <c r="H253" s="1147" t="s">
        <v>125</v>
      </c>
      <c r="I253" s="1146"/>
      <c r="J253" s="1148" t="s">
        <v>221</v>
      </c>
      <c r="K253" s="1" t="s">
        <v>125</v>
      </c>
      <c r="M253" s="1" t="s">
        <v>1033</v>
      </c>
    </row>
    <row r="254" spans="2:13" ht="15" hidden="1" customHeight="1" outlineLevel="1" x14ac:dyDescent="0.25">
      <c r="B254" s="1142" t="s">
        <v>839</v>
      </c>
      <c r="C254" s="1143"/>
      <c r="D254" s="1143" t="s">
        <v>843</v>
      </c>
      <c r="E254" s="1144">
        <v>0.1711</v>
      </c>
      <c r="F254" s="1145" t="s">
        <v>125</v>
      </c>
      <c r="G254" s="1146"/>
      <c r="H254" s="1147" t="s">
        <v>125</v>
      </c>
      <c r="I254" s="1146"/>
      <c r="J254" s="1148" t="s">
        <v>221</v>
      </c>
      <c r="K254" s="1" t="s">
        <v>125</v>
      </c>
      <c r="M254" s="1" t="s">
        <v>1034</v>
      </c>
    </row>
    <row r="255" spans="2:13" ht="15" hidden="1" customHeight="1" outlineLevel="1" x14ac:dyDescent="0.25">
      <c r="B255" s="1142" t="s">
        <v>931</v>
      </c>
      <c r="C255" s="1143"/>
      <c r="D255" s="1143" t="s">
        <v>932</v>
      </c>
      <c r="E255" s="1144">
        <v>132.9</v>
      </c>
      <c r="F255" s="1145" t="s">
        <v>1660</v>
      </c>
      <c r="G255" s="1146" t="s">
        <v>1661</v>
      </c>
      <c r="H255" s="1147" t="s">
        <v>1660</v>
      </c>
      <c r="I255" s="1146" t="s">
        <v>1691</v>
      </c>
      <c r="J255" s="1148" t="s">
        <v>221</v>
      </c>
      <c r="K255" s="1" t="s">
        <v>125</v>
      </c>
      <c r="M255" s="1" t="s">
        <v>1025</v>
      </c>
    </row>
    <row r="256" spans="2:13" ht="15" hidden="1" customHeight="1" outlineLevel="1" x14ac:dyDescent="0.25">
      <c r="B256" s="1142" t="s">
        <v>931</v>
      </c>
      <c r="C256" s="1143"/>
      <c r="D256" s="1143" t="s">
        <v>947</v>
      </c>
      <c r="E256" s="1144">
        <v>0.4163</v>
      </c>
      <c r="F256" s="1145" t="s">
        <v>1660</v>
      </c>
      <c r="G256" s="1146" t="s">
        <v>1661</v>
      </c>
      <c r="H256" s="1147" t="s">
        <v>125</v>
      </c>
      <c r="I256" s="1146"/>
      <c r="J256" s="1148" t="s">
        <v>221</v>
      </c>
      <c r="K256" s="1" t="s">
        <v>125</v>
      </c>
      <c r="M256" s="1" t="s">
        <v>1035</v>
      </c>
    </row>
    <row r="257" spans="2:13" ht="15" hidden="1" customHeight="1" outlineLevel="1" x14ac:dyDescent="0.25">
      <c r="B257" s="1142" t="s">
        <v>931</v>
      </c>
      <c r="C257" s="1143"/>
      <c r="D257" s="1143" t="s">
        <v>934</v>
      </c>
      <c r="E257" s="1144">
        <v>36.15</v>
      </c>
      <c r="F257" s="1145" t="s">
        <v>1660</v>
      </c>
      <c r="G257" s="1146" t="s">
        <v>1751</v>
      </c>
      <c r="H257" s="1147" t="s">
        <v>1660</v>
      </c>
      <c r="I257" s="1146" t="s">
        <v>1752</v>
      </c>
      <c r="J257" s="1148" t="s">
        <v>935</v>
      </c>
      <c r="K257" s="1" t="s">
        <v>125</v>
      </c>
      <c r="M257" s="1" t="s">
        <v>1036</v>
      </c>
    </row>
    <row r="258" spans="2:13" ht="15" hidden="1" customHeight="1" outlineLevel="1" x14ac:dyDescent="0.25">
      <c r="B258" s="1142" t="s">
        <v>931</v>
      </c>
      <c r="C258" s="1143"/>
      <c r="D258" s="1143" t="s">
        <v>937</v>
      </c>
      <c r="E258" s="1144">
        <v>20760</v>
      </c>
      <c r="F258" s="1145" t="s">
        <v>1660</v>
      </c>
      <c r="G258" s="1146" t="s">
        <v>1753</v>
      </c>
      <c r="H258" s="1147" t="s">
        <v>1660</v>
      </c>
      <c r="I258" s="1146" t="s">
        <v>1754</v>
      </c>
      <c r="J258" s="1148" t="s">
        <v>935</v>
      </c>
      <c r="K258" s="1" t="s">
        <v>125</v>
      </c>
      <c r="M258" s="1" t="s">
        <v>1036</v>
      </c>
    </row>
    <row r="259" spans="2:13" ht="15" hidden="1" customHeight="1" outlineLevel="1" x14ac:dyDescent="0.25">
      <c r="B259" s="1142" t="s">
        <v>931</v>
      </c>
      <c r="C259" s="1143"/>
      <c r="D259" s="1143" t="s">
        <v>938</v>
      </c>
      <c r="E259" s="1144">
        <v>3273</v>
      </c>
      <c r="F259" s="1145" t="s">
        <v>1660</v>
      </c>
      <c r="G259" s="1146" t="s">
        <v>1755</v>
      </c>
      <c r="H259" s="1147" t="s">
        <v>1660</v>
      </c>
      <c r="I259" s="1146" t="s">
        <v>1756</v>
      </c>
      <c r="J259" s="1148" t="s">
        <v>935</v>
      </c>
      <c r="K259" s="1" t="s">
        <v>125</v>
      </c>
      <c r="M259" s="1" t="s">
        <v>1036</v>
      </c>
    </row>
    <row r="260" spans="2:13" ht="15" hidden="1" customHeight="1" outlineLevel="1" x14ac:dyDescent="0.25">
      <c r="B260" s="1142" t="s">
        <v>931</v>
      </c>
      <c r="C260" s="1143"/>
      <c r="D260" s="1143" t="s">
        <v>939</v>
      </c>
      <c r="E260" s="1144">
        <v>0.70309999999999995</v>
      </c>
      <c r="F260" s="1145" t="s">
        <v>1660</v>
      </c>
      <c r="G260" s="1146" t="s">
        <v>1757</v>
      </c>
      <c r="H260" s="1147" t="s">
        <v>1660</v>
      </c>
      <c r="I260" s="1146" t="s">
        <v>1758</v>
      </c>
      <c r="J260" s="1148" t="s">
        <v>935</v>
      </c>
      <c r="K260" s="1" t="s">
        <v>125</v>
      </c>
      <c r="M260" s="1" t="s">
        <v>1036</v>
      </c>
    </row>
    <row r="261" spans="2:13" ht="15" hidden="1" customHeight="1" outlineLevel="1" x14ac:dyDescent="0.25">
      <c r="B261" s="1142" t="s">
        <v>931</v>
      </c>
      <c r="C261" s="1143"/>
      <c r="D261" s="1143" t="s">
        <v>940</v>
      </c>
      <c r="E261" s="1144">
        <v>0</v>
      </c>
      <c r="F261" s="1145" t="s">
        <v>125</v>
      </c>
      <c r="G261" s="1146"/>
      <c r="H261" s="1147" t="s">
        <v>125</v>
      </c>
      <c r="I261" s="1146"/>
      <c r="J261" s="1148" t="s">
        <v>935</v>
      </c>
      <c r="K261" s="1" t="s">
        <v>125</v>
      </c>
      <c r="M261" s="1" t="s">
        <v>1036</v>
      </c>
    </row>
    <row r="262" spans="2:13" ht="15" hidden="1" customHeight="1" outlineLevel="1" x14ac:dyDescent="0.25">
      <c r="B262" s="1142" t="s">
        <v>931</v>
      </c>
      <c r="C262" s="1143"/>
      <c r="D262" s="1143" t="s">
        <v>941</v>
      </c>
      <c r="E262" s="1144">
        <v>262.10000000000002</v>
      </c>
      <c r="F262" s="1145" t="s">
        <v>1660</v>
      </c>
      <c r="G262" s="1146" t="s">
        <v>1759</v>
      </c>
      <c r="H262" s="1147" t="s">
        <v>1660</v>
      </c>
      <c r="I262" s="1146" t="s">
        <v>1760</v>
      </c>
      <c r="J262" s="1148" t="s">
        <v>935</v>
      </c>
      <c r="K262" s="1" t="s">
        <v>125</v>
      </c>
      <c r="M262" s="1" t="s">
        <v>1036</v>
      </c>
    </row>
    <row r="263" spans="2:13" ht="15" hidden="1" customHeight="1" outlineLevel="1" x14ac:dyDescent="0.25">
      <c r="B263" s="1142" t="s">
        <v>931</v>
      </c>
      <c r="C263" s="1143"/>
      <c r="D263" s="1143" t="s">
        <v>942</v>
      </c>
      <c r="E263" s="1144">
        <v>27590</v>
      </c>
      <c r="F263" s="1145" t="s">
        <v>1660</v>
      </c>
      <c r="G263" s="1146" t="s">
        <v>1761</v>
      </c>
      <c r="H263" s="1147" t="s">
        <v>1660</v>
      </c>
      <c r="I263" s="1146" t="s">
        <v>1762</v>
      </c>
      <c r="J263" s="1148" t="s">
        <v>935</v>
      </c>
      <c r="K263" s="1" t="s">
        <v>125</v>
      </c>
      <c r="M263" s="1" t="s">
        <v>1036</v>
      </c>
    </row>
    <row r="264" spans="2:13" ht="15" hidden="1" customHeight="1" outlineLevel="1" x14ac:dyDescent="0.25">
      <c r="B264" s="1142" t="s">
        <v>931</v>
      </c>
      <c r="C264" s="1143"/>
      <c r="D264" s="1143" t="s">
        <v>932</v>
      </c>
      <c r="E264" s="1144">
        <v>46.35</v>
      </c>
      <c r="F264" s="1145" t="s">
        <v>1660</v>
      </c>
      <c r="G264" s="1146" t="s">
        <v>683</v>
      </c>
      <c r="H264" s="1147" t="s">
        <v>1660</v>
      </c>
      <c r="I264" s="1146" t="s">
        <v>1704</v>
      </c>
      <c r="J264" s="1148" t="s">
        <v>221</v>
      </c>
      <c r="K264" s="1" t="s">
        <v>125</v>
      </c>
      <c r="M264" s="1" t="s">
        <v>1032</v>
      </c>
    </row>
    <row r="265" spans="2:13" ht="15" hidden="1" customHeight="1" outlineLevel="1" x14ac:dyDescent="0.25">
      <c r="B265" s="1142" t="s">
        <v>931</v>
      </c>
      <c r="C265" s="1143"/>
      <c r="D265" s="1143" t="s">
        <v>947</v>
      </c>
      <c r="E265" s="1144">
        <v>0.4667</v>
      </c>
      <c r="F265" s="1145" t="s">
        <v>1660</v>
      </c>
      <c r="G265" s="1146" t="s">
        <v>684</v>
      </c>
      <c r="H265" s="1147" t="s">
        <v>125</v>
      </c>
      <c r="I265" s="1146"/>
      <c r="J265" s="1148" t="s">
        <v>221</v>
      </c>
      <c r="K265" s="1" t="s">
        <v>125</v>
      </c>
      <c r="M265" s="1" t="s">
        <v>1037</v>
      </c>
    </row>
    <row r="266" spans="2:13" ht="15" hidden="1" customHeight="1" outlineLevel="1" x14ac:dyDescent="0.25">
      <c r="B266" s="1142" t="s">
        <v>931</v>
      </c>
      <c r="C266" s="1143"/>
      <c r="D266" s="1143" t="s">
        <v>932</v>
      </c>
      <c r="E266" s="1144">
        <v>64.31</v>
      </c>
      <c r="F266" s="1145" t="s">
        <v>125</v>
      </c>
      <c r="G266" s="1146"/>
      <c r="H266" s="1147" t="s">
        <v>125</v>
      </c>
      <c r="I266" s="1146"/>
      <c r="J266" s="1148" t="s">
        <v>221</v>
      </c>
      <c r="K266" s="1" t="s">
        <v>125</v>
      </c>
      <c r="M266" s="1" t="s">
        <v>1038</v>
      </c>
    </row>
    <row r="267" spans="2:13" ht="15" hidden="1" customHeight="1" outlineLevel="1" x14ac:dyDescent="0.25">
      <c r="B267" s="1142" t="s">
        <v>945</v>
      </c>
      <c r="C267" s="1143" t="s">
        <v>946</v>
      </c>
      <c r="D267" s="1143" t="s">
        <v>934</v>
      </c>
      <c r="E267" s="1144">
        <v>1738</v>
      </c>
      <c r="F267" s="1145" t="s">
        <v>1660</v>
      </c>
      <c r="G267" s="1146" t="s">
        <v>1763</v>
      </c>
      <c r="H267" s="1147" t="s">
        <v>1660</v>
      </c>
      <c r="I267" s="1146" t="s">
        <v>1764</v>
      </c>
      <c r="J267" s="1148" t="s">
        <v>935</v>
      </c>
      <c r="K267" s="1" t="s">
        <v>125</v>
      </c>
      <c r="M267" s="1" t="s">
        <v>1036</v>
      </c>
    </row>
    <row r="268" spans="2:13" ht="15" hidden="1" customHeight="1" outlineLevel="1" x14ac:dyDescent="0.25">
      <c r="B268" s="1142" t="s">
        <v>945</v>
      </c>
      <c r="C268" s="1143" t="s">
        <v>946</v>
      </c>
      <c r="D268" s="1143" t="s">
        <v>937</v>
      </c>
      <c r="E268" s="1144">
        <v>145900</v>
      </c>
      <c r="F268" s="1145" t="s">
        <v>1660</v>
      </c>
      <c r="G268" s="1146" t="s">
        <v>1765</v>
      </c>
      <c r="H268" s="1147" t="s">
        <v>1660</v>
      </c>
      <c r="I268" s="1146" t="s">
        <v>1766</v>
      </c>
      <c r="J268" s="1148" t="s">
        <v>935</v>
      </c>
      <c r="K268" s="1" t="s">
        <v>125</v>
      </c>
      <c r="M268" s="1" t="s">
        <v>1036</v>
      </c>
    </row>
    <row r="269" spans="2:13" ht="15" hidden="1" customHeight="1" outlineLevel="1" x14ac:dyDescent="0.25">
      <c r="B269" s="1142" t="s">
        <v>945</v>
      </c>
      <c r="C269" s="1143" t="s">
        <v>946</v>
      </c>
      <c r="D269" s="1143" t="s">
        <v>938</v>
      </c>
      <c r="E269" s="1144">
        <v>4460</v>
      </c>
      <c r="F269" s="1145" t="s">
        <v>1660</v>
      </c>
      <c r="G269" s="1146" t="s">
        <v>1767</v>
      </c>
      <c r="H269" s="1147" t="s">
        <v>1660</v>
      </c>
      <c r="I269" s="1146" t="s">
        <v>1768</v>
      </c>
      <c r="J269" s="1148" t="s">
        <v>935</v>
      </c>
      <c r="K269" s="1" t="s">
        <v>125</v>
      </c>
      <c r="M269" s="1" t="s">
        <v>1036</v>
      </c>
    </row>
    <row r="270" spans="2:13" ht="15" hidden="1" customHeight="1" outlineLevel="1" x14ac:dyDescent="0.25">
      <c r="B270" s="1142" t="s">
        <v>945</v>
      </c>
      <c r="C270" s="1143" t="s">
        <v>946</v>
      </c>
      <c r="D270" s="1143" t="s">
        <v>939</v>
      </c>
      <c r="E270" s="1144">
        <v>31.35</v>
      </c>
      <c r="F270" s="1145" t="s">
        <v>1660</v>
      </c>
      <c r="G270" s="1146" t="s">
        <v>1769</v>
      </c>
      <c r="H270" s="1147" t="s">
        <v>1660</v>
      </c>
      <c r="I270" s="1146" t="s">
        <v>1770</v>
      </c>
      <c r="J270" s="1148" t="s">
        <v>935</v>
      </c>
      <c r="K270" s="1" t="s">
        <v>125</v>
      </c>
      <c r="M270" s="1" t="s">
        <v>1036</v>
      </c>
    </row>
    <row r="271" spans="2:13" ht="15" hidden="1" customHeight="1" outlineLevel="1" x14ac:dyDescent="0.25">
      <c r="B271" s="1142" t="s">
        <v>945</v>
      </c>
      <c r="C271" s="1143" t="s">
        <v>946</v>
      </c>
      <c r="D271" s="1143" t="s">
        <v>940</v>
      </c>
      <c r="E271" s="1144">
        <v>9844</v>
      </c>
      <c r="F271" s="1145" t="s">
        <v>1660</v>
      </c>
      <c r="G271" s="1146" t="s">
        <v>1771</v>
      </c>
      <c r="H271" s="1147" t="s">
        <v>1660</v>
      </c>
      <c r="I271" s="1146" t="s">
        <v>1772</v>
      </c>
      <c r="J271" s="1148" t="s">
        <v>935</v>
      </c>
      <c r="K271" s="1" t="s">
        <v>125</v>
      </c>
      <c r="M271" s="1" t="s">
        <v>1036</v>
      </c>
    </row>
    <row r="272" spans="2:13" ht="15" hidden="1" customHeight="1" outlineLevel="1" x14ac:dyDescent="0.25">
      <c r="B272" s="1142" t="s">
        <v>945</v>
      </c>
      <c r="C272" s="1143" t="s">
        <v>946</v>
      </c>
      <c r="D272" s="1143" t="s">
        <v>941</v>
      </c>
      <c r="E272" s="1144">
        <v>13490</v>
      </c>
      <c r="F272" s="1145" t="s">
        <v>1660</v>
      </c>
      <c r="G272" s="1146" t="s">
        <v>1773</v>
      </c>
      <c r="H272" s="1147" t="s">
        <v>1660</v>
      </c>
      <c r="I272" s="1146" t="s">
        <v>1774</v>
      </c>
      <c r="J272" s="1148" t="s">
        <v>935</v>
      </c>
      <c r="K272" s="1" t="s">
        <v>125</v>
      </c>
      <c r="M272" s="1" t="s">
        <v>1036</v>
      </c>
    </row>
    <row r="273" spans="2:13" ht="15" hidden="1" customHeight="1" outlineLevel="1" x14ac:dyDescent="0.25">
      <c r="B273" s="1149" t="s">
        <v>945</v>
      </c>
      <c r="C273" s="1150" t="s">
        <v>946</v>
      </c>
      <c r="D273" s="1150" t="s">
        <v>942</v>
      </c>
      <c r="E273" s="1151">
        <v>429400</v>
      </c>
      <c r="F273" s="1152" t="s">
        <v>1660</v>
      </c>
      <c r="G273" s="1158" t="s">
        <v>1775</v>
      </c>
      <c r="H273" s="1154" t="s">
        <v>1660</v>
      </c>
      <c r="I273" s="1153" t="s">
        <v>1776</v>
      </c>
      <c r="J273" s="1155" t="s">
        <v>935</v>
      </c>
      <c r="K273" s="1" t="s">
        <v>125</v>
      </c>
      <c r="M273" s="1" t="s">
        <v>1036</v>
      </c>
    </row>
    <row r="274" spans="2:13" ht="15" customHeight="1" x14ac:dyDescent="0.25">
      <c r="D274" s="1159"/>
      <c r="E274" s="1160"/>
      <c r="F274" s="1161" t="s">
        <v>125</v>
      </c>
      <c r="G274" s="672"/>
      <c r="H274" s="1162" t="s">
        <v>125</v>
      </c>
      <c r="I274" s="672"/>
      <c r="J274" s="672"/>
    </row>
    <row r="275" spans="2:13" ht="15" customHeight="1" x14ac:dyDescent="0.25">
      <c r="B275" s="1127" t="s">
        <v>825</v>
      </c>
      <c r="C275" s="1128"/>
      <c r="D275" s="1207" t="s">
        <v>1218</v>
      </c>
      <c r="E275" s="1123">
        <v>6476</v>
      </c>
      <c r="F275" s="1129" t="s">
        <v>1660</v>
      </c>
      <c r="G275" s="1130" t="s">
        <v>1777</v>
      </c>
      <c r="H275" s="1131" t="s">
        <v>125</v>
      </c>
      <c r="I275" s="1130"/>
      <c r="J275" s="208" t="s">
        <v>221</v>
      </c>
      <c r="K275" s="898">
        <v>86.49</v>
      </c>
    </row>
    <row r="276" spans="2:13" ht="15" customHeight="1" collapsed="1" x14ac:dyDescent="0.25">
      <c r="B276" s="1132" t="s">
        <v>825</v>
      </c>
      <c r="C276" s="1107"/>
      <c r="D276" s="1209" t="s">
        <v>1219</v>
      </c>
      <c r="E276" s="1133">
        <v>2698</v>
      </c>
      <c r="F276" s="1134" t="s">
        <v>1660</v>
      </c>
      <c r="G276" s="1135" t="s">
        <v>1777</v>
      </c>
      <c r="H276" s="1136" t="s">
        <v>125</v>
      </c>
      <c r="I276" s="1135"/>
      <c r="J276" s="211" t="s">
        <v>221</v>
      </c>
      <c r="K276" s="531">
        <v>13.51</v>
      </c>
    </row>
    <row r="277" spans="2:13" ht="15" hidden="1" customHeight="1" outlineLevel="1" x14ac:dyDescent="0.25">
      <c r="B277" s="1137" t="s">
        <v>827</v>
      </c>
      <c r="C277" s="1138" t="s">
        <v>979</v>
      </c>
      <c r="D277" s="1138" t="s">
        <v>980</v>
      </c>
      <c r="E277" s="1139">
        <v>11</v>
      </c>
      <c r="F277" s="1140" t="s">
        <v>125</v>
      </c>
      <c r="G277" s="1163"/>
      <c r="H277" s="1141" t="s">
        <v>125</v>
      </c>
      <c r="I277" s="954"/>
      <c r="J277" s="955" t="s">
        <v>186</v>
      </c>
      <c r="K277" s="1" t="s">
        <v>125</v>
      </c>
      <c r="M277" s="1" t="s">
        <v>997</v>
      </c>
    </row>
    <row r="278" spans="2:13" ht="15" hidden="1" customHeight="1" outlineLevel="1" x14ac:dyDescent="0.25">
      <c r="B278" s="1142" t="s">
        <v>827</v>
      </c>
      <c r="C278" s="1143" t="s">
        <v>981</v>
      </c>
      <c r="D278" s="1143" t="s">
        <v>982</v>
      </c>
      <c r="E278" s="1144">
        <v>10000</v>
      </c>
      <c r="F278" s="1145" t="s">
        <v>125</v>
      </c>
      <c r="G278" s="1146"/>
      <c r="H278" s="1147" t="s">
        <v>125</v>
      </c>
      <c r="I278" s="1146"/>
      <c r="J278" s="1148" t="s">
        <v>181</v>
      </c>
      <c r="K278" s="1" t="s">
        <v>125</v>
      </c>
      <c r="M278" s="1" t="s">
        <v>998</v>
      </c>
    </row>
    <row r="279" spans="2:13" ht="15" hidden="1" customHeight="1" outlineLevel="1" x14ac:dyDescent="0.25">
      <c r="B279" s="1142" t="s">
        <v>827</v>
      </c>
      <c r="C279" s="1143" t="s">
        <v>981</v>
      </c>
      <c r="D279" s="1143" t="s">
        <v>983</v>
      </c>
      <c r="E279" s="1144">
        <v>0</v>
      </c>
      <c r="F279" s="1145" t="s">
        <v>125</v>
      </c>
      <c r="G279" s="1146"/>
      <c r="H279" s="1147" t="s">
        <v>125</v>
      </c>
      <c r="I279" s="1146"/>
      <c r="J279" s="1148" t="s">
        <v>182</v>
      </c>
      <c r="K279" s="1" t="s">
        <v>125</v>
      </c>
      <c r="M279" s="1" t="s">
        <v>999</v>
      </c>
    </row>
    <row r="280" spans="2:13" ht="15" hidden="1" customHeight="1" outlineLevel="1" x14ac:dyDescent="0.25">
      <c r="B280" s="1142" t="s">
        <v>827</v>
      </c>
      <c r="C280" s="1143" t="s">
        <v>981</v>
      </c>
      <c r="D280" s="1143" t="s">
        <v>984</v>
      </c>
      <c r="E280" s="1144">
        <v>0</v>
      </c>
      <c r="F280" s="1145" t="s">
        <v>125</v>
      </c>
      <c r="G280" s="1146"/>
      <c r="H280" s="1147" t="s">
        <v>125</v>
      </c>
      <c r="I280" s="1146"/>
      <c r="J280" s="1148" t="s">
        <v>182</v>
      </c>
      <c r="K280" s="1" t="s">
        <v>125</v>
      </c>
      <c r="M280" s="1" t="s">
        <v>999</v>
      </c>
    </row>
    <row r="281" spans="2:13" ht="15" hidden="1" customHeight="1" outlineLevel="1" x14ac:dyDescent="0.25">
      <c r="B281" s="1142" t="s">
        <v>827</v>
      </c>
      <c r="C281" s="1143" t="s">
        <v>981</v>
      </c>
      <c r="D281" s="1143" t="s">
        <v>985</v>
      </c>
      <c r="E281" s="1144">
        <v>4.6139999999999999</v>
      </c>
      <c r="F281" s="1145" t="s">
        <v>125</v>
      </c>
      <c r="G281" s="1146"/>
      <c r="H281" s="1147" t="s">
        <v>125</v>
      </c>
      <c r="I281" s="1146"/>
      <c r="J281" s="1148" t="s">
        <v>182</v>
      </c>
      <c r="K281" s="1" t="s">
        <v>125</v>
      </c>
      <c r="M281" s="1" t="s">
        <v>999</v>
      </c>
    </row>
    <row r="282" spans="2:13" ht="15" hidden="1" customHeight="1" outlineLevel="1" x14ac:dyDescent="0.25">
      <c r="B282" s="1142" t="s">
        <v>827</v>
      </c>
      <c r="C282" s="1143" t="s">
        <v>981</v>
      </c>
      <c r="D282" s="1143" t="s">
        <v>986</v>
      </c>
      <c r="E282" s="1144">
        <v>141.30000000000001</v>
      </c>
      <c r="F282" s="1145" t="s">
        <v>125</v>
      </c>
      <c r="G282" s="1146"/>
      <c r="H282" s="1147" t="s">
        <v>125</v>
      </c>
      <c r="I282" s="1146"/>
      <c r="J282" s="1148" t="s">
        <v>182</v>
      </c>
      <c r="K282" s="1" t="s">
        <v>125</v>
      </c>
      <c r="M282" s="1" t="s">
        <v>999</v>
      </c>
    </row>
    <row r="283" spans="2:13" ht="15" hidden="1" customHeight="1" outlineLevel="1" x14ac:dyDescent="0.25">
      <c r="B283" s="1142" t="s">
        <v>827</v>
      </c>
      <c r="C283" s="1143" t="s">
        <v>981</v>
      </c>
      <c r="D283" s="1143" t="s">
        <v>987</v>
      </c>
      <c r="E283" s="1144">
        <v>146</v>
      </c>
      <c r="F283" s="1145" t="s">
        <v>125</v>
      </c>
      <c r="G283" s="1146"/>
      <c r="H283" s="1147" t="s">
        <v>125</v>
      </c>
      <c r="I283" s="1146"/>
      <c r="J283" s="1148" t="s">
        <v>182</v>
      </c>
      <c r="K283" s="1" t="s">
        <v>125</v>
      </c>
      <c r="M283" s="1" t="s">
        <v>999</v>
      </c>
    </row>
    <row r="284" spans="2:13" ht="15" hidden="1" customHeight="1" outlineLevel="1" x14ac:dyDescent="0.25">
      <c r="B284" s="1142" t="s">
        <v>830</v>
      </c>
      <c r="C284" s="1143"/>
      <c r="D284" s="1143" t="s">
        <v>665</v>
      </c>
      <c r="E284" s="1144">
        <v>3522</v>
      </c>
      <c r="F284" s="1145" t="s">
        <v>1660</v>
      </c>
      <c r="G284" s="1146" t="s">
        <v>726</v>
      </c>
      <c r="H284" s="1147" t="s">
        <v>125</v>
      </c>
      <c r="I284" s="1146"/>
      <c r="J284" s="1148" t="s">
        <v>221</v>
      </c>
      <c r="K284" s="1" t="s">
        <v>125</v>
      </c>
      <c r="M284" s="1" t="s">
        <v>1000</v>
      </c>
    </row>
    <row r="285" spans="2:13" ht="15" hidden="1" customHeight="1" outlineLevel="1" x14ac:dyDescent="0.25">
      <c r="B285" s="1142" t="s">
        <v>830</v>
      </c>
      <c r="C285" s="1143"/>
      <c r="D285" s="1143" t="s">
        <v>673</v>
      </c>
      <c r="E285" s="1144">
        <v>308.89999999999998</v>
      </c>
      <c r="F285" s="1145" t="s">
        <v>1660</v>
      </c>
      <c r="G285" s="1146" t="s">
        <v>723</v>
      </c>
      <c r="H285" s="1147" t="s">
        <v>125</v>
      </c>
      <c r="I285" s="1146"/>
      <c r="J285" s="1148" t="s">
        <v>221</v>
      </c>
      <c r="K285" s="1" t="s">
        <v>125</v>
      </c>
      <c r="M285" s="1" t="s">
        <v>1001</v>
      </c>
    </row>
    <row r="286" spans="2:13" ht="15" hidden="1" customHeight="1" outlineLevel="1" x14ac:dyDescent="0.25">
      <c r="B286" s="1142" t="s">
        <v>830</v>
      </c>
      <c r="C286" s="1143"/>
      <c r="D286" s="1143" t="s">
        <v>653</v>
      </c>
      <c r="E286" s="1144">
        <v>22.53</v>
      </c>
      <c r="F286" s="1145" t="s">
        <v>1660</v>
      </c>
      <c r="G286" s="1146" t="s">
        <v>1661</v>
      </c>
      <c r="H286" s="1147" t="s">
        <v>125</v>
      </c>
      <c r="I286" s="1146"/>
      <c r="J286" s="1148" t="s">
        <v>221</v>
      </c>
      <c r="K286" s="1" t="s">
        <v>125</v>
      </c>
      <c r="M286" s="1" t="s">
        <v>1220</v>
      </c>
    </row>
    <row r="287" spans="2:13" ht="15" hidden="1" customHeight="1" outlineLevel="1" x14ac:dyDescent="0.25">
      <c r="B287" s="1142" t="s">
        <v>830</v>
      </c>
      <c r="C287" s="1143"/>
      <c r="D287" s="1143" t="s">
        <v>654</v>
      </c>
      <c r="E287" s="1144">
        <v>23.07</v>
      </c>
      <c r="F287" s="1145" t="s">
        <v>1660</v>
      </c>
      <c r="G287" s="1146" t="s">
        <v>1661</v>
      </c>
      <c r="H287" s="1147" t="s">
        <v>125</v>
      </c>
      <c r="I287" s="1146"/>
      <c r="J287" s="1148" t="s">
        <v>221</v>
      </c>
      <c r="K287" s="1" t="s">
        <v>125</v>
      </c>
      <c r="M287" s="1" t="s">
        <v>1221</v>
      </c>
    </row>
    <row r="288" spans="2:13" ht="15" hidden="1" customHeight="1" outlineLevel="1" x14ac:dyDescent="0.25">
      <c r="B288" s="1142" t="s">
        <v>830</v>
      </c>
      <c r="C288" s="1143"/>
      <c r="D288" s="1143" t="s">
        <v>652</v>
      </c>
      <c r="E288" s="1144">
        <v>171.4</v>
      </c>
      <c r="F288" s="1145" t="s">
        <v>1660</v>
      </c>
      <c r="G288" s="1146" t="s">
        <v>1661</v>
      </c>
      <c r="H288" s="1147" t="s">
        <v>125</v>
      </c>
      <c r="I288" s="1146"/>
      <c r="J288" s="1148" t="s">
        <v>221</v>
      </c>
      <c r="K288" s="1" t="s">
        <v>125</v>
      </c>
      <c r="M288" s="1" t="s">
        <v>1222</v>
      </c>
    </row>
    <row r="289" spans="2:13" ht="15" hidden="1" customHeight="1" outlineLevel="1" x14ac:dyDescent="0.25">
      <c r="B289" s="1142" t="s">
        <v>830</v>
      </c>
      <c r="C289" s="1143"/>
      <c r="D289" s="1143" t="s">
        <v>650</v>
      </c>
      <c r="E289" s="1144">
        <v>14.71</v>
      </c>
      <c r="F289" s="1145" t="s">
        <v>1660</v>
      </c>
      <c r="G289" s="1146" t="s">
        <v>1661</v>
      </c>
      <c r="H289" s="1147" t="s">
        <v>125</v>
      </c>
      <c r="I289" s="1146"/>
      <c r="J289" s="1148" t="s">
        <v>221</v>
      </c>
      <c r="K289" s="1" t="s">
        <v>125</v>
      </c>
      <c r="M289" s="1" t="s">
        <v>1223</v>
      </c>
    </row>
    <row r="290" spans="2:13" ht="15" hidden="1" customHeight="1" outlineLevel="1" x14ac:dyDescent="0.25">
      <c r="B290" s="1142" t="s">
        <v>830</v>
      </c>
      <c r="C290" s="1143"/>
      <c r="D290" s="1143" t="s">
        <v>649</v>
      </c>
      <c r="E290" s="1144">
        <v>42.48</v>
      </c>
      <c r="F290" s="1145" t="s">
        <v>1660</v>
      </c>
      <c r="G290" s="1146" t="s">
        <v>1661</v>
      </c>
      <c r="H290" s="1147" t="s">
        <v>125</v>
      </c>
      <c r="I290" s="1146"/>
      <c r="J290" s="1148" t="s">
        <v>221</v>
      </c>
      <c r="K290" s="1" t="s">
        <v>125</v>
      </c>
      <c r="M290" s="1" t="s">
        <v>1224</v>
      </c>
    </row>
    <row r="291" spans="2:13" ht="15" hidden="1" customHeight="1" outlineLevel="1" x14ac:dyDescent="0.25">
      <c r="B291" s="1142" t="s">
        <v>830</v>
      </c>
      <c r="C291" s="1143"/>
      <c r="D291" s="1143" t="s">
        <v>648</v>
      </c>
      <c r="E291" s="1144">
        <v>64.02</v>
      </c>
      <c r="F291" s="1145" t="s">
        <v>1660</v>
      </c>
      <c r="G291" s="1146" t="s">
        <v>1661</v>
      </c>
      <c r="H291" s="1147" t="s">
        <v>125</v>
      </c>
      <c r="I291" s="1146"/>
      <c r="J291" s="1148" t="s">
        <v>221</v>
      </c>
      <c r="K291" s="1" t="s">
        <v>125</v>
      </c>
      <c r="M291" s="1" t="s">
        <v>1225</v>
      </c>
    </row>
    <row r="292" spans="2:13" ht="15" hidden="1" customHeight="1" outlineLevel="1" x14ac:dyDescent="0.25">
      <c r="B292" s="1142" t="s">
        <v>830</v>
      </c>
      <c r="C292" s="1143"/>
      <c r="D292" s="1143" t="s">
        <v>657</v>
      </c>
      <c r="E292" s="1144">
        <v>6.556</v>
      </c>
      <c r="F292" s="1145" t="s">
        <v>1660</v>
      </c>
      <c r="G292" s="1146" t="s">
        <v>1661</v>
      </c>
      <c r="H292" s="1147" t="s">
        <v>125</v>
      </c>
      <c r="I292" s="1146"/>
      <c r="J292" s="1148" t="s">
        <v>221</v>
      </c>
      <c r="K292" s="1" t="s">
        <v>125</v>
      </c>
      <c r="M292" s="1" t="s">
        <v>1226</v>
      </c>
    </row>
    <row r="293" spans="2:13" ht="15" hidden="1" customHeight="1" outlineLevel="1" x14ac:dyDescent="0.25">
      <c r="B293" s="1142" t="s">
        <v>830</v>
      </c>
      <c r="C293" s="1143"/>
      <c r="D293" s="1143" t="s">
        <v>656</v>
      </c>
      <c r="E293" s="1144">
        <v>0.16569999999999999</v>
      </c>
      <c r="F293" s="1145" t="s">
        <v>1660</v>
      </c>
      <c r="G293" s="1146" t="s">
        <v>1661</v>
      </c>
      <c r="H293" s="1147" t="s">
        <v>125</v>
      </c>
      <c r="I293" s="1146"/>
      <c r="J293" s="1148" t="s">
        <v>221</v>
      </c>
      <c r="K293" s="1" t="s">
        <v>125</v>
      </c>
      <c r="M293" s="1" t="s">
        <v>1227</v>
      </c>
    </row>
    <row r="294" spans="2:13" ht="15" hidden="1" customHeight="1" outlineLevel="1" x14ac:dyDescent="0.25">
      <c r="B294" s="1142" t="s">
        <v>830</v>
      </c>
      <c r="C294" s="1143"/>
      <c r="D294" s="1143" t="s">
        <v>655</v>
      </c>
      <c r="E294" s="1144">
        <v>3.07</v>
      </c>
      <c r="F294" s="1145" t="s">
        <v>1660</v>
      </c>
      <c r="G294" s="1146" t="s">
        <v>1661</v>
      </c>
      <c r="H294" s="1147" t="s">
        <v>125</v>
      </c>
      <c r="I294" s="1146"/>
      <c r="J294" s="1148" t="s">
        <v>221</v>
      </c>
      <c r="K294" s="1" t="s">
        <v>125</v>
      </c>
      <c r="M294" s="1" t="s">
        <v>1228</v>
      </c>
    </row>
    <row r="295" spans="2:13" ht="15" hidden="1" customHeight="1" outlineLevel="1" x14ac:dyDescent="0.25">
      <c r="B295" s="1142" t="s">
        <v>830</v>
      </c>
      <c r="C295" s="1143"/>
      <c r="D295" s="1143" t="s">
        <v>658</v>
      </c>
      <c r="E295" s="1144">
        <v>19.149999999999999</v>
      </c>
      <c r="F295" s="1145" t="s">
        <v>1660</v>
      </c>
      <c r="G295" s="1146" t="s">
        <v>1661</v>
      </c>
      <c r="H295" s="1147" t="s">
        <v>125</v>
      </c>
      <c r="I295" s="1146"/>
      <c r="J295" s="1148" t="s">
        <v>221</v>
      </c>
      <c r="K295" s="1" t="s">
        <v>125</v>
      </c>
      <c r="M295" s="1" t="s">
        <v>1229</v>
      </c>
    </row>
    <row r="296" spans="2:13" ht="15" hidden="1" customHeight="1" outlineLevel="1" x14ac:dyDescent="0.25">
      <c r="B296" s="1142" t="s">
        <v>830</v>
      </c>
      <c r="C296" s="1143"/>
      <c r="D296" s="1143" t="s">
        <v>659</v>
      </c>
      <c r="E296" s="1144">
        <v>1.2949999999999999</v>
      </c>
      <c r="F296" s="1145" t="s">
        <v>1660</v>
      </c>
      <c r="G296" s="1146" t="s">
        <v>1661</v>
      </c>
      <c r="H296" s="1147" t="s">
        <v>125</v>
      </c>
      <c r="I296" s="1146"/>
      <c r="J296" s="1148" t="s">
        <v>221</v>
      </c>
      <c r="K296" s="1" t="s">
        <v>125</v>
      </c>
      <c r="M296" s="1" t="s">
        <v>1230</v>
      </c>
    </row>
    <row r="297" spans="2:13" ht="15" hidden="1" customHeight="1" outlineLevel="1" x14ac:dyDescent="0.25">
      <c r="B297" s="1142" t="s">
        <v>830</v>
      </c>
      <c r="C297" s="1143"/>
      <c r="D297" s="1143" t="s">
        <v>988</v>
      </c>
      <c r="E297" s="1144">
        <v>1</v>
      </c>
      <c r="F297" s="1145" t="s">
        <v>125</v>
      </c>
      <c r="G297" s="1146"/>
      <c r="H297" s="1147" t="s">
        <v>125</v>
      </c>
      <c r="I297" s="1146"/>
      <c r="J297" s="1148" t="s">
        <v>188</v>
      </c>
      <c r="K297" s="1" t="s">
        <v>125</v>
      </c>
      <c r="M297" s="1" t="s">
        <v>1013</v>
      </c>
    </row>
    <row r="298" spans="2:13" ht="15" hidden="1" customHeight="1" outlineLevel="1" x14ac:dyDescent="0.25">
      <c r="B298" s="1142" t="s">
        <v>830</v>
      </c>
      <c r="C298" s="1143"/>
      <c r="D298" s="1143" t="s">
        <v>662</v>
      </c>
      <c r="E298" s="1144">
        <v>400</v>
      </c>
      <c r="F298" s="1145" t="s">
        <v>125</v>
      </c>
      <c r="G298" s="1146"/>
      <c r="H298" s="1147" t="s">
        <v>125</v>
      </c>
      <c r="I298" s="1146"/>
      <c r="J298" s="1148" t="s">
        <v>221</v>
      </c>
      <c r="K298" s="1" t="s">
        <v>125</v>
      </c>
      <c r="M298" s="1" t="s">
        <v>1014</v>
      </c>
    </row>
    <row r="299" spans="2:13" ht="15" hidden="1" customHeight="1" outlineLevel="1" x14ac:dyDescent="0.25">
      <c r="B299" s="1142" t="s">
        <v>830</v>
      </c>
      <c r="C299" s="1143"/>
      <c r="D299" s="1143" t="s">
        <v>1231</v>
      </c>
      <c r="E299" s="1144">
        <v>166.5</v>
      </c>
      <c r="F299" s="1145" t="s">
        <v>125</v>
      </c>
      <c r="G299" s="1146"/>
      <c r="H299" s="1147" t="s">
        <v>125</v>
      </c>
      <c r="I299" s="1146"/>
      <c r="J299" s="1148" t="s">
        <v>221</v>
      </c>
      <c r="K299" s="1" t="s">
        <v>125</v>
      </c>
      <c r="M299" s="1" t="s">
        <v>1052</v>
      </c>
    </row>
    <row r="300" spans="2:13" ht="15" hidden="1" customHeight="1" outlineLevel="1" x14ac:dyDescent="0.25">
      <c r="B300" s="1142" t="s">
        <v>830</v>
      </c>
      <c r="C300" s="1143"/>
      <c r="D300" s="1143" t="s">
        <v>990</v>
      </c>
      <c r="E300" s="1144">
        <v>114.9</v>
      </c>
      <c r="F300" s="1145" t="s">
        <v>1660</v>
      </c>
      <c r="G300" s="1146" t="s">
        <v>722</v>
      </c>
      <c r="H300" s="1147" t="s">
        <v>125</v>
      </c>
      <c r="I300" s="1146"/>
      <c r="J300" s="1148" t="s">
        <v>836</v>
      </c>
      <c r="K300" s="1" t="s">
        <v>125</v>
      </c>
      <c r="M300" s="1" t="s">
        <v>1015</v>
      </c>
    </row>
    <row r="301" spans="2:13" ht="15" hidden="1" customHeight="1" outlineLevel="1" x14ac:dyDescent="0.25">
      <c r="B301" s="1142" t="s">
        <v>830</v>
      </c>
      <c r="C301" s="1143"/>
      <c r="D301" s="1143" t="s">
        <v>990</v>
      </c>
      <c r="E301" s="1144">
        <v>46.87</v>
      </c>
      <c r="F301" s="1145" t="s">
        <v>1660</v>
      </c>
      <c r="G301" s="1146" t="s">
        <v>1778</v>
      </c>
      <c r="H301" s="1147" t="s">
        <v>125</v>
      </c>
      <c r="I301" s="1146"/>
      <c r="J301" s="1148" t="s">
        <v>836</v>
      </c>
      <c r="K301" s="1" t="s">
        <v>125</v>
      </c>
      <c r="M301" s="1" t="s">
        <v>1016</v>
      </c>
    </row>
    <row r="302" spans="2:13" ht="15" hidden="1" customHeight="1" outlineLevel="1" x14ac:dyDescent="0.25">
      <c r="B302" s="1142" t="s">
        <v>830</v>
      </c>
      <c r="C302" s="1143"/>
      <c r="D302" s="1143" t="s">
        <v>675</v>
      </c>
      <c r="E302" s="1144">
        <v>0.2626</v>
      </c>
      <c r="F302" s="1145" t="s">
        <v>1660</v>
      </c>
      <c r="G302" s="1146" t="s">
        <v>1661</v>
      </c>
      <c r="H302" s="1147" t="s">
        <v>125</v>
      </c>
      <c r="I302" s="1146"/>
      <c r="J302" s="1148" t="s">
        <v>221</v>
      </c>
      <c r="K302" s="1" t="s">
        <v>125</v>
      </c>
      <c r="M302" s="1" t="s">
        <v>1017</v>
      </c>
    </row>
    <row r="303" spans="2:13" ht="15" hidden="1" customHeight="1" outlineLevel="1" x14ac:dyDescent="0.25">
      <c r="B303" s="1142" t="s">
        <v>830</v>
      </c>
      <c r="C303" s="1143"/>
      <c r="D303" s="1143" t="s">
        <v>676</v>
      </c>
      <c r="E303" s="1144">
        <v>0.79879999999999995</v>
      </c>
      <c r="F303" s="1145" t="s">
        <v>1660</v>
      </c>
      <c r="G303" s="1146" t="s">
        <v>1661</v>
      </c>
      <c r="H303" s="1147" t="s">
        <v>125</v>
      </c>
      <c r="I303" s="1146"/>
      <c r="J303" s="1148" t="s">
        <v>221</v>
      </c>
      <c r="K303" s="1" t="s">
        <v>125</v>
      </c>
      <c r="M303" s="1" t="s">
        <v>1018</v>
      </c>
    </row>
    <row r="304" spans="2:13" ht="15" hidden="1" customHeight="1" outlineLevel="1" x14ac:dyDescent="0.25">
      <c r="B304" s="1142" t="s">
        <v>830</v>
      </c>
      <c r="C304" s="1143"/>
      <c r="D304" s="1143" t="s">
        <v>678</v>
      </c>
      <c r="E304" s="1144">
        <v>1.4910000000000001</v>
      </c>
      <c r="F304" s="1145" t="s">
        <v>1660</v>
      </c>
      <c r="G304" s="1146" t="s">
        <v>1661</v>
      </c>
      <c r="H304" s="1147" t="s">
        <v>125</v>
      </c>
      <c r="I304" s="1146"/>
      <c r="J304" s="1148" t="s">
        <v>221</v>
      </c>
      <c r="K304" s="1" t="s">
        <v>125</v>
      </c>
      <c r="M304" s="1" t="s">
        <v>1019</v>
      </c>
    </row>
    <row r="305" spans="2:13" ht="15" hidden="1" customHeight="1" outlineLevel="1" x14ac:dyDescent="0.25">
      <c r="B305" s="1142" t="s">
        <v>830</v>
      </c>
      <c r="C305" s="1143"/>
      <c r="D305" s="1143" t="s">
        <v>991</v>
      </c>
      <c r="E305" s="1144">
        <v>0.2626</v>
      </c>
      <c r="F305" s="1145" t="s">
        <v>1660</v>
      </c>
      <c r="G305" s="1146" t="s">
        <v>1661</v>
      </c>
      <c r="H305" s="1147" t="s">
        <v>125</v>
      </c>
      <c r="I305" s="1146"/>
      <c r="J305" s="1148" t="s">
        <v>221</v>
      </c>
      <c r="K305" s="1" t="s">
        <v>125</v>
      </c>
      <c r="M305" s="1" t="s">
        <v>1020</v>
      </c>
    </row>
    <row r="306" spans="2:13" ht="15" hidden="1" customHeight="1" outlineLevel="1" x14ac:dyDescent="0.25">
      <c r="B306" s="1142" t="s">
        <v>830</v>
      </c>
      <c r="C306" s="1143"/>
      <c r="D306" s="1143" t="s">
        <v>992</v>
      </c>
      <c r="E306" s="1144">
        <v>0.79879999999999995</v>
      </c>
      <c r="F306" s="1145" t="s">
        <v>1660</v>
      </c>
      <c r="G306" s="1146" t="s">
        <v>1661</v>
      </c>
      <c r="H306" s="1147" t="s">
        <v>125</v>
      </c>
      <c r="I306" s="1146"/>
      <c r="J306" s="1148" t="s">
        <v>221</v>
      </c>
      <c r="K306" s="1" t="s">
        <v>125</v>
      </c>
      <c r="M306" s="1" t="s">
        <v>1021</v>
      </c>
    </row>
    <row r="307" spans="2:13" ht="15" hidden="1" customHeight="1" outlineLevel="1" x14ac:dyDescent="0.25">
      <c r="B307" s="1142" t="s">
        <v>830</v>
      </c>
      <c r="C307" s="1143"/>
      <c r="D307" s="1143" t="s">
        <v>993</v>
      </c>
      <c r="E307" s="1144">
        <v>1.4910000000000001</v>
      </c>
      <c r="F307" s="1145" t="s">
        <v>1660</v>
      </c>
      <c r="G307" s="1146" t="s">
        <v>1661</v>
      </c>
      <c r="H307" s="1147" t="s">
        <v>125</v>
      </c>
      <c r="I307" s="1146"/>
      <c r="J307" s="1148" t="s">
        <v>221</v>
      </c>
      <c r="K307" s="1" t="s">
        <v>125</v>
      </c>
      <c r="M307" s="1" t="s">
        <v>1022</v>
      </c>
    </row>
    <row r="308" spans="2:13" ht="15" hidden="1" customHeight="1" outlineLevel="1" x14ac:dyDescent="0.25">
      <c r="B308" s="1142" t="s">
        <v>994</v>
      </c>
      <c r="C308" s="1143"/>
      <c r="D308" s="1143" t="s">
        <v>834</v>
      </c>
      <c r="E308" s="1144">
        <v>4097</v>
      </c>
      <c r="F308" s="1145" t="s">
        <v>1660</v>
      </c>
      <c r="G308" s="1146" t="s">
        <v>718</v>
      </c>
      <c r="H308" s="1147" t="s">
        <v>125</v>
      </c>
      <c r="I308" s="1146"/>
      <c r="J308" s="1148" t="s">
        <v>304</v>
      </c>
      <c r="K308" s="1" t="s">
        <v>125</v>
      </c>
      <c r="M308" s="1" t="s">
        <v>1023</v>
      </c>
    </row>
    <row r="309" spans="2:13" ht="15" hidden="1" customHeight="1" outlineLevel="1" x14ac:dyDescent="0.25">
      <c r="B309" s="1142" t="s">
        <v>994</v>
      </c>
      <c r="C309" s="1143"/>
      <c r="D309" s="1143" t="s">
        <v>834</v>
      </c>
      <c r="E309" s="1144">
        <v>7.3819999999999997</v>
      </c>
      <c r="F309" s="1145" t="s">
        <v>1660</v>
      </c>
      <c r="G309" s="1146" t="s">
        <v>718</v>
      </c>
      <c r="H309" s="1147" t="s">
        <v>125</v>
      </c>
      <c r="I309" s="1146"/>
      <c r="J309" s="1148" t="s">
        <v>304</v>
      </c>
      <c r="K309" s="1" t="s">
        <v>125</v>
      </c>
      <c r="M309" s="1" t="s">
        <v>1053</v>
      </c>
    </row>
    <row r="310" spans="2:13" ht="15" hidden="1" customHeight="1" outlineLevel="1" x14ac:dyDescent="0.25">
      <c r="B310" s="1142" t="s">
        <v>994</v>
      </c>
      <c r="C310" s="1143"/>
      <c r="D310" s="1143" t="s">
        <v>1054</v>
      </c>
      <c r="E310" s="1144">
        <v>5.3</v>
      </c>
      <c r="F310" s="1145" t="s">
        <v>1660</v>
      </c>
      <c r="G310" s="1146" t="s">
        <v>720</v>
      </c>
      <c r="H310" s="1147" t="s">
        <v>125</v>
      </c>
      <c r="I310" s="1146"/>
      <c r="J310" s="1148" t="s">
        <v>304</v>
      </c>
      <c r="K310" s="1" t="s">
        <v>125</v>
      </c>
      <c r="M310" s="1" t="s">
        <v>1055</v>
      </c>
    </row>
    <row r="311" spans="2:13" ht="15" hidden="1" customHeight="1" outlineLevel="1" x14ac:dyDescent="0.25">
      <c r="B311" s="1142" t="s">
        <v>839</v>
      </c>
      <c r="C311" s="1143"/>
      <c r="D311" s="1143" t="s">
        <v>925</v>
      </c>
      <c r="E311" s="1144">
        <v>176</v>
      </c>
      <c r="F311" s="1145" t="s">
        <v>125</v>
      </c>
      <c r="G311" s="1146"/>
      <c r="H311" s="1147" t="s">
        <v>125</v>
      </c>
      <c r="I311" s="1146"/>
      <c r="J311" s="1148" t="s">
        <v>221</v>
      </c>
      <c r="K311" s="1" t="s">
        <v>125</v>
      </c>
      <c r="M311" s="1" t="s">
        <v>1024</v>
      </c>
    </row>
    <row r="312" spans="2:13" ht="15" hidden="1" customHeight="1" outlineLevel="1" x14ac:dyDescent="0.25">
      <c r="B312" s="1142" t="s">
        <v>839</v>
      </c>
      <c r="C312" s="1143"/>
      <c r="D312" s="1143" t="s">
        <v>925</v>
      </c>
      <c r="E312" s="1144">
        <v>58.35</v>
      </c>
      <c r="F312" s="1145" t="s">
        <v>1660</v>
      </c>
      <c r="G312" s="1146" t="s">
        <v>1661</v>
      </c>
      <c r="H312" s="1147" t="s">
        <v>125</v>
      </c>
      <c r="I312" s="1146"/>
      <c r="J312" s="1148" t="s">
        <v>221</v>
      </c>
      <c r="K312" s="1" t="s">
        <v>125</v>
      </c>
      <c r="M312" s="1" t="s">
        <v>1025</v>
      </c>
    </row>
    <row r="313" spans="2:13" ht="15" hidden="1" customHeight="1" outlineLevel="1" x14ac:dyDescent="0.25">
      <c r="B313" s="1142" t="s">
        <v>839</v>
      </c>
      <c r="C313" s="1143"/>
      <c r="D313" s="1143" t="s">
        <v>843</v>
      </c>
      <c r="E313" s="1144">
        <v>1.571</v>
      </c>
      <c r="F313" s="1145" t="s">
        <v>1660</v>
      </c>
      <c r="G313" s="1146" t="s">
        <v>1661</v>
      </c>
      <c r="H313" s="1147" t="s">
        <v>1660</v>
      </c>
      <c r="I313" s="1146" t="s">
        <v>1558</v>
      </c>
      <c r="J313" s="1148" t="s">
        <v>221</v>
      </c>
      <c r="K313" s="1" t="s">
        <v>125</v>
      </c>
      <c r="M313" s="1" t="s">
        <v>1026</v>
      </c>
    </row>
    <row r="314" spans="2:13" ht="15" hidden="1" customHeight="1" outlineLevel="1" x14ac:dyDescent="0.25">
      <c r="B314" s="1142" t="s">
        <v>839</v>
      </c>
      <c r="C314" s="1143"/>
      <c r="D314" s="1143" t="s">
        <v>843</v>
      </c>
      <c r="E314" s="1144">
        <v>0.51070000000000004</v>
      </c>
      <c r="F314" s="1145" t="s">
        <v>1660</v>
      </c>
      <c r="G314" s="1146" t="s">
        <v>1661</v>
      </c>
      <c r="H314" s="1147" t="s">
        <v>1660</v>
      </c>
      <c r="I314" s="1146" t="s">
        <v>1779</v>
      </c>
      <c r="J314" s="1148" t="s">
        <v>221</v>
      </c>
      <c r="K314" s="1" t="s">
        <v>125</v>
      </c>
      <c r="M314" s="1" t="s">
        <v>1027</v>
      </c>
    </row>
    <row r="315" spans="2:13" ht="15" hidden="1" customHeight="1" outlineLevel="1" x14ac:dyDescent="0.25">
      <c r="B315" s="1142" t="s">
        <v>839</v>
      </c>
      <c r="C315" s="1143"/>
      <c r="D315" s="1143" t="s">
        <v>846</v>
      </c>
      <c r="E315" s="1144">
        <v>7.0309999999999997</v>
      </c>
      <c r="F315" s="1145" t="s">
        <v>1660</v>
      </c>
      <c r="G315" s="1146" t="s">
        <v>1661</v>
      </c>
      <c r="H315" s="1147" t="s">
        <v>125</v>
      </c>
      <c r="I315" s="1146"/>
      <c r="J315" s="1148" t="s">
        <v>221</v>
      </c>
      <c r="K315" s="1" t="s">
        <v>125</v>
      </c>
      <c r="M315" s="1" t="s">
        <v>1028</v>
      </c>
    </row>
    <row r="316" spans="2:13" ht="15" hidden="1" customHeight="1" outlineLevel="1" x14ac:dyDescent="0.25">
      <c r="B316" s="1142" t="s">
        <v>839</v>
      </c>
      <c r="C316" s="1143"/>
      <c r="D316" s="1143" t="s">
        <v>995</v>
      </c>
      <c r="E316" s="1144">
        <v>0.7</v>
      </c>
      <c r="F316" s="1145" t="s">
        <v>1660</v>
      </c>
      <c r="G316" s="1146" t="s">
        <v>1661</v>
      </c>
      <c r="H316" s="1147" t="s">
        <v>125</v>
      </c>
      <c r="I316" s="1146"/>
      <c r="J316" s="1148" t="s">
        <v>221</v>
      </c>
      <c r="K316" s="1" t="s">
        <v>125</v>
      </c>
      <c r="M316" s="1" t="s">
        <v>1029</v>
      </c>
    </row>
    <row r="317" spans="2:13" ht="15" hidden="1" customHeight="1" outlineLevel="1" x14ac:dyDescent="0.25">
      <c r="B317" s="1142" t="s">
        <v>839</v>
      </c>
      <c r="C317" s="1143"/>
      <c r="D317" s="1143" t="s">
        <v>996</v>
      </c>
      <c r="E317" s="1144">
        <v>124.6</v>
      </c>
      <c r="F317" s="1145" t="s">
        <v>125</v>
      </c>
      <c r="G317" s="1146"/>
      <c r="H317" s="1147" t="s">
        <v>125</v>
      </c>
      <c r="I317" s="1146"/>
      <c r="J317" s="1148" t="s">
        <v>221</v>
      </c>
      <c r="K317" s="1" t="s">
        <v>125</v>
      </c>
      <c r="M317" s="1" t="s">
        <v>999</v>
      </c>
    </row>
    <row r="318" spans="2:13" ht="15" hidden="1" customHeight="1" outlineLevel="1" x14ac:dyDescent="0.25">
      <c r="B318" s="1142" t="s">
        <v>839</v>
      </c>
      <c r="C318" s="1143"/>
      <c r="D318" s="1143" t="s">
        <v>843</v>
      </c>
      <c r="E318" s="1144">
        <v>0.54830000000000001</v>
      </c>
      <c r="F318" s="1145" t="s">
        <v>1660</v>
      </c>
      <c r="G318" s="1146" t="s">
        <v>683</v>
      </c>
      <c r="H318" s="1147" t="s">
        <v>1660</v>
      </c>
      <c r="I318" s="1146" t="s">
        <v>1561</v>
      </c>
      <c r="J318" s="1148" t="s">
        <v>221</v>
      </c>
      <c r="K318" s="1" t="s">
        <v>125</v>
      </c>
      <c r="M318" s="1" t="s">
        <v>1030</v>
      </c>
    </row>
    <row r="319" spans="2:13" ht="15" hidden="1" customHeight="1" outlineLevel="1" x14ac:dyDescent="0.25">
      <c r="B319" s="1142" t="s">
        <v>839</v>
      </c>
      <c r="C319" s="1143"/>
      <c r="D319" s="1143" t="s">
        <v>843</v>
      </c>
      <c r="E319" s="1144">
        <v>0.1782</v>
      </c>
      <c r="F319" s="1145" t="s">
        <v>1660</v>
      </c>
      <c r="G319" s="1146" t="s">
        <v>683</v>
      </c>
      <c r="H319" s="1147" t="s">
        <v>1660</v>
      </c>
      <c r="I319" s="1146" t="s">
        <v>1562</v>
      </c>
      <c r="J319" s="1148" t="s">
        <v>221</v>
      </c>
      <c r="K319" s="1" t="s">
        <v>125</v>
      </c>
      <c r="M319" s="1" t="s">
        <v>1031</v>
      </c>
    </row>
    <row r="320" spans="2:13" ht="15" hidden="1" customHeight="1" outlineLevel="1" x14ac:dyDescent="0.25">
      <c r="B320" s="1142" t="s">
        <v>839</v>
      </c>
      <c r="C320" s="1143"/>
      <c r="D320" s="1143" t="s">
        <v>846</v>
      </c>
      <c r="E320" s="1144">
        <v>8.4730000000000008</v>
      </c>
      <c r="F320" s="1145" t="s">
        <v>1660</v>
      </c>
      <c r="G320" s="1146" t="s">
        <v>683</v>
      </c>
      <c r="H320" s="1147" t="s">
        <v>1660</v>
      </c>
      <c r="I320" s="1146" t="s">
        <v>1564</v>
      </c>
      <c r="J320" s="1148" t="s">
        <v>221</v>
      </c>
      <c r="K320" s="1" t="s">
        <v>125</v>
      </c>
      <c r="M320" s="1" t="s">
        <v>1032</v>
      </c>
    </row>
    <row r="321" spans="2:13" ht="15" hidden="1" customHeight="1" outlineLevel="1" x14ac:dyDescent="0.25">
      <c r="B321" s="1142" t="s">
        <v>839</v>
      </c>
      <c r="C321" s="1143"/>
      <c r="D321" s="1143" t="s">
        <v>843</v>
      </c>
      <c r="E321" s="1144">
        <v>0.83230000000000004</v>
      </c>
      <c r="F321" s="1145" t="s">
        <v>125</v>
      </c>
      <c r="G321" s="1146"/>
      <c r="H321" s="1147" t="s">
        <v>125</v>
      </c>
      <c r="I321" s="1146"/>
      <c r="J321" s="1148" t="s">
        <v>221</v>
      </c>
      <c r="K321" s="1" t="s">
        <v>125</v>
      </c>
      <c r="M321" s="1" t="s">
        <v>1033</v>
      </c>
    </row>
    <row r="322" spans="2:13" ht="15" hidden="1" customHeight="1" outlineLevel="1" x14ac:dyDescent="0.25">
      <c r="B322" s="1142" t="s">
        <v>839</v>
      </c>
      <c r="C322" s="1143"/>
      <c r="D322" s="1143" t="s">
        <v>843</v>
      </c>
      <c r="E322" s="1144">
        <v>0.18729999999999999</v>
      </c>
      <c r="F322" s="1145" t="s">
        <v>125</v>
      </c>
      <c r="G322" s="1146"/>
      <c r="H322" s="1147" t="s">
        <v>125</v>
      </c>
      <c r="I322" s="1146"/>
      <c r="J322" s="1148" t="s">
        <v>221</v>
      </c>
      <c r="K322" s="1" t="s">
        <v>125</v>
      </c>
      <c r="M322" s="1" t="s">
        <v>1034</v>
      </c>
    </row>
    <row r="323" spans="2:13" ht="15" hidden="1" customHeight="1" outlineLevel="1" x14ac:dyDescent="0.25">
      <c r="B323" s="1142" t="s">
        <v>931</v>
      </c>
      <c r="C323" s="1143"/>
      <c r="D323" s="1143" t="s">
        <v>932</v>
      </c>
      <c r="E323" s="1144">
        <v>132.9</v>
      </c>
      <c r="F323" s="1145" t="s">
        <v>1660</v>
      </c>
      <c r="G323" s="1146" t="s">
        <v>1661</v>
      </c>
      <c r="H323" s="1147" t="s">
        <v>1660</v>
      </c>
      <c r="I323" s="1146" t="s">
        <v>1691</v>
      </c>
      <c r="J323" s="1148" t="s">
        <v>221</v>
      </c>
      <c r="K323" s="1" t="s">
        <v>125</v>
      </c>
      <c r="M323" s="1" t="s">
        <v>1025</v>
      </c>
    </row>
    <row r="324" spans="2:13" ht="15" hidden="1" customHeight="1" outlineLevel="1" x14ac:dyDescent="0.25">
      <c r="B324" s="1142" t="s">
        <v>931</v>
      </c>
      <c r="C324" s="1143"/>
      <c r="D324" s="1143" t="s">
        <v>947</v>
      </c>
      <c r="E324" s="1144">
        <v>0.4163</v>
      </c>
      <c r="F324" s="1145" t="s">
        <v>1660</v>
      </c>
      <c r="G324" s="1146" t="s">
        <v>1661</v>
      </c>
      <c r="H324" s="1147" t="s">
        <v>125</v>
      </c>
      <c r="I324" s="1146"/>
      <c r="J324" s="1148" t="s">
        <v>221</v>
      </c>
      <c r="K324" s="1" t="s">
        <v>125</v>
      </c>
      <c r="M324" s="1" t="s">
        <v>1035</v>
      </c>
    </row>
    <row r="325" spans="2:13" ht="15" hidden="1" customHeight="1" outlineLevel="1" x14ac:dyDescent="0.25">
      <c r="B325" s="1142" t="s">
        <v>931</v>
      </c>
      <c r="C325" s="1143"/>
      <c r="D325" s="1143" t="s">
        <v>934</v>
      </c>
      <c r="E325" s="1144">
        <v>36.15</v>
      </c>
      <c r="F325" s="1145" t="s">
        <v>1660</v>
      </c>
      <c r="G325" s="1146" t="s">
        <v>1780</v>
      </c>
      <c r="H325" s="1147" t="s">
        <v>1660</v>
      </c>
      <c r="I325" s="1146" t="s">
        <v>1781</v>
      </c>
      <c r="J325" s="1148" t="s">
        <v>935</v>
      </c>
      <c r="K325" s="1" t="s">
        <v>125</v>
      </c>
      <c r="M325" s="1" t="s">
        <v>1036</v>
      </c>
    </row>
    <row r="326" spans="2:13" ht="15" hidden="1" customHeight="1" outlineLevel="1" x14ac:dyDescent="0.25">
      <c r="B326" s="1142" t="s">
        <v>931</v>
      </c>
      <c r="C326" s="1143"/>
      <c r="D326" s="1143" t="s">
        <v>937</v>
      </c>
      <c r="E326" s="1144">
        <v>20760</v>
      </c>
      <c r="F326" s="1145" t="s">
        <v>1660</v>
      </c>
      <c r="G326" s="1146" t="s">
        <v>1782</v>
      </c>
      <c r="H326" s="1147" t="s">
        <v>1660</v>
      </c>
      <c r="I326" s="1146" t="s">
        <v>1783</v>
      </c>
      <c r="J326" s="1148" t="s">
        <v>935</v>
      </c>
      <c r="K326" s="1" t="s">
        <v>125</v>
      </c>
      <c r="M326" s="1" t="s">
        <v>1036</v>
      </c>
    </row>
    <row r="327" spans="2:13" ht="15" hidden="1" customHeight="1" outlineLevel="1" x14ac:dyDescent="0.25">
      <c r="B327" s="1142" t="s">
        <v>931</v>
      </c>
      <c r="C327" s="1143"/>
      <c r="D327" s="1143" t="s">
        <v>938</v>
      </c>
      <c r="E327" s="1144">
        <v>3273</v>
      </c>
      <c r="F327" s="1145" t="s">
        <v>1660</v>
      </c>
      <c r="G327" s="1146" t="s">
        <v>1784</v>
      </c>
      <c r="H327" s="1147" t="s">
        <v>1660</v>
      </c>
      <c r="I327" s="1146" t="s">
        <v>1785</v>
      </c>
      <c r="J327" s="1148" t="s">
        <v>935</v>
      </c>
      <c r="K327" s="1" t="s">
        <v>125</v>
      </c>
      <c r="M327" s="1" t="s">
        <v>1036</v>
      </c>
    </row>
    <row r="328" spans="2:13" ht="15" hidden="1" customHeight="1" outlineLevel="1" x14ac:dyDescent="0.25">
      <c r="B328" s="1142" t="s">
        <v>931</v>
      </c>
      <c r="C328" s="1143"/>
      <c r="D328" s="1143" t="s">
        <v>939</v>
      </c>
      <c r="E328" s="1144">
        <v>0.70309999999999995</v>
      </c>
      <c r="F328" s="1145" t="s">
        <v>1660</v>
      </c>
      <c r="G328" s="1146" t="s">
        <v>1786</v>
      </c>
      <c r="H328" s="1147" t="s">
        <v>1660</v>
      </c>
      <c r="I328" s="1146" t="s">
        <v>1787</v>
      </c>
      <c r="J328" s="1148" t="s">
        <v>935</v>
      </c>
      <c r="K328" s="1" t="s">
        <v>125</v>
      </c>
      <c r="M328" s="1" t="s">
        <v>1036</v>
      </c>
    </row>
    <row r="329" spans="2:13" ht="15" hidden="1" customHeight="1" outlineLevel="1" x14ac:dyDescent="0.25">
      <c r="B329" s="1142" t="s">
        <v>931</v>
      </c>
      <c r="C329" s="1143"/>
      <c r="D329" s="1143" t="s">
        <v>940</v>
      </c>
      <c r="E329" s="1144">
        <v>0</v>
      </c>
      <c r="F329" s="1145" t="s">
        <v>125</v>
      </c>
      <c r="G329" s="1146"/>
      <c r="H329" s="1147" t="s">
        <v>125</v>
      </c>
      <c r="I329" s="1146"/>
      <c r="J329" s="1148" t="s">
        <v>935</v>
      </c>
      <c r="K329" s="1" t="s">
        <v>125</v>
      </c>
      <c r="M329" s="1" t="s">
        <v>1036</v>
      </c>
    </row>
    <row r="330" spans="2:13" ht="15" hidden="1" customHeight="1" outlineLevel="1" x14ac:dyDescent="0.25">
      <c r="B330" s="1142" t="s">
        <v>931</v>
      </c>
      <c r="C330" s="1143"/>
      <c r="D330" s="1143" t="s">
        <v>941</v>
      </c>
      <c r="E330" s="1144">
        <v>262.10000000000002</v>
      </c>
      <c r="F330" s="1145" t="s">
        <v>1660</v>
      </c>
      <c r="G330" s="1146" t="s">
        <v>1788</v>
      </c>
      <c r="H330" s="1147" t="s">
        <v>1660</v>
      </c>
      <c r="I330" s="1146" t="s">
        <v>1789</v>
      </c>
      <c r="J330" s="1148" t="s">
        <v>935</v>
      </c>
      <c r="K330" s="1" t="s">
        <v>125</v>
      </c>
      <c r="M330" s="1" t="s">
        <v>1036</v>
      </c>
    </row>
    <row r="331" spans="2:13" ht="15" hidden="1" customHeight="1" outlineLevel="1" x14ac:dyDescent="0.25">
      <c r="B331" s="1142" t="s">
        <v>931</v>
      </c>
      <c r="C331" s="1143"/>
      <c r="D331" s="1143" t="s">
        <v>942</v>
      </c>
      <c r="E331" s="1144">
        <v>27590</v>
      </c>
      <c r="F331" s="1145" t="s">
        <v>1660</v>
      </c>
      <c r="G331" s="1146" t="s">
        <v>1790</v>
      </c>
      <c r="H331" s="1147" t="s">
        <v>1660</v>
      </c>
      <c r="I331" s="1146" t="s">
        <v>1791</v>
      </c>
      <c r="J331" s="1148" t="s">
        <v>935</v>
      </c>
      <c r="K331" s="1" t="s">
        <v>125</v>
      </c>
      <c r="M331" s="1" t="s">
        <v>1036</v>
      </c>
    </row>
    <row r="332" spans="2:13" ht="15" hidden="1" customHeight="1" outlineLevel="1" x14ac:dyDescent="0.25">
      <c r="B332" s="1142" t="s">
        <v>931</v>
      </c>
      <c r="C332" s="1143"/>
      <c r="D332" s="1143" t="s">
        <v>932</v>
      </c>
      <c r="E332" s="1144">
        <v>46.35</v>
      </c>
      <c r="F332" s="1145" t="s">
        <v>1660</v>
      </c>
      <c r="G332" s="1146" t="s">
        <v>683</v>
      </c>
      <c r="H332" s="1147" t="s">
        <v>1660</v>
      </c>
      <c r="I332" s="1146" t="s">
        <v>1704</v>
      </c>
      <c r="J332" s="1148" t="s">
        <v>221</v>
      </c>
      <c r="K332" s="1" t="s">
        <v>125</v>
      </c>
      <c r="M332" s="1" t="s">
        <v>1032</v>
      </c>
    </row>
    <row r="333" spans="2:13" ht="15" hidden="1" customHeight="1" outlineLevel="1" x14ac:dyDescent="0.25">
      <c r="B333" s="1142" t="s">
        <v>931</v>
      </c>
      <c r="C333" s="1143"/>
      <c r="D333" s="1143" t="s">
        <v>947</v>
      </c>
      <c r="E333" s="1144">
        <v>0.4667</v>
      </c>
      <c r="F333" s="1145" t="s">
        <v>1660</v>
      </c>
      <c r="G333" s="1146" t="s">
        <v>684</v>
      </c>
      <c r="H333" s="1147" t="s">
        <v>125</v>
      </c>
      <c r="I333" s="1146"/>
      <c r="J333" s="1148" t="s">
        <v>221</v>
      </c>
      <c r="K333" s="1" t="s">
        <v>125</v>
      </c>
      <c r="M333" s="1" t="s">
        <v>1037</v>
      </c>
    </row>
    <row r="334" spans="2:13" ht="15" hidden="1" customHeight="1" outlineLevel="1" x14ac:dyDescent="0.25">
      <c r="B334" s="1142" t="s">
        <v>931</v>
      </c>
      <c r="C334" s="1143"/>
      <c r="D334" s="1143" t="s">
        <v>932</v>
      </c>
      <c r="E334" s="1144">
        <v>70.37</v>
      </c>
      <c r="F334" s="1145" t="s">
        <v>125</v>
      </c>
      <c r="G334" s="1146"/>
      <c r="H334" s="1147" t="s">
        <v>125</v>
      </c>
      <c r="I334" s="1146"/>
      <c r="J334" s="1148" t="s">
        <v>221</v>
      </c>
      <c r="K334" s="1" t="s">
        <v>125</v>
      </c>
      <c r="M334" s="1" t="s">
        <v>1038</v>
      </c>
    </row>
    <row r="335" spans="2:13" ht="15" hidden="1" customHeight="1" outlineLevel="1" x14ac:dyDescent="0.25">
      <c r="B335" s="1142" t="s">
        <v>945</v>
      </c>
      <c r="C335" s="1143" t="s">
        <v>946</v>
      </c>
      <c r="D335" s="1143" t="s">
        <v>934</v>
      </c>
      <c r="E335" s="1144">
        <v>1731</v>
      </c>
      <c r="F335" s="1145" t="s">
        <v>1660</v>
      </c>
      <c r="G335" s="1146" t="s">
        <v>1792</v>
      </c>
      <c r="H335" s="1147" t="s">
        <v>1660</v>
      </c>
      <c r="I335" s="1146" t="s">
        <v>1793</v>
      </c>
      <c r="J335" s="1148" t="s">
        <v>935</v>
      </c>
      <c r="K335" s="1" t="s">
        <v>125</v>
      </c>
      <c r="M335" s="1" t="s">
        <v>1036</v>
      </c>
    </row>
    <row r="336" spans="2:13" ht="15" hidden="1" customHeight="1" outlineLevel="1" x14ac:dyDescent="0.25">
      <c r="B336" s="1142" t="s">
        <v>945</v>
      </c>
      <c r="C336" s="1143" t="s">
        <v>946</v>
      </c>
      <c r="D336" s="1143" t="s">
        <v>937</v>
      </c>
      <c r="E336" s="1144">
        <v>136700</v>
      </c>
      <c r="F336" s="1145" t="s">
        <v>1660</v>
      </c>
      <c r="G336" s="1146" t="s">
        <v>1794</v>
      </c>
      <c r="H336" s="1147" t="s">
        <v>1660</v>
      </c>
      <c r="I336" s="1146" t="s">
        <v>1795</v>
      </c>
      <c r="J336" s="1148" t="s">
        <v>935</v>
      </c>
      <c r="K336" s="1" t="s">
        <v>125</v>
      </c>
      <c r="M336" s="1" t="s">
        <v>1036</v>
      </c>
    </row>
    <row r="337" spans="2:13" ht="15" hidden="1" customHeight="1" outlineLevel="1" x14ac:dyDescent="0.25">
      <c r="B337" s="1142" t="s">
        <v>945</v>
      </c>
      <c r="C337" s="1143" t="s">
        <v>946</v>
      </c>
      <c r="D337" s="1143" t="s">
        <v>938</v>
      </c>
      <c r="E337" s="1144">
        <v>-6932</v>
      </c>
      <c r="F337" s="1145" t="s">
        <v>1660</v>
      </c>
      <c r="G337" s="1146" t="s">
        <v>1796</v>
      </c>
      <c r="H337" s="1147" t="s">
        <v>1660</v>
      </c>
      <c r="I337" s="1146" t="s">
        <v>1797</v>
      </c>
      <c r="J337" s="1148" t="s">
        <v>935</v>
      </c>
      <c r="K337" s="1" t="s">
        <v>125</v>
      </c>
      <c r="M337" s="1" t="s">
        <v>1036</v>
      </c>
    </row>
    <row r="338" spans="2:13" ht="15" hidden="1" customHeight="1" outlineLevel="1" x14ac:dyDescent="0.25">
      <c r="B338" s="1142" t="s">
        <v>945</v>
      </c>
      <c r="C338" s="1143" t="s">
        <v>946</v>
      </c>
      <c r="D338" s="1143" t="s">
        <v>939</v>
      </c>
      <c r="E338" s="1144">
        <v>28</v>
      </c>
      <c r="F338" s="1145" t="s">
        <v>1660</v>
      </c>
      <c r="G338" s="1146" t="s">
        <v>1798</v>
      </c>
      <c r="H338" s="1147" t="s">
        <v>1660</v>
      </c>
      <c r="I338" s="1146" t="s">
        <v>1799</v>
      </c>
      <c r="J338" s="1148" t="s">
        <v>935</v>
      </c>
      <c r="K338" s="1" t="s">
        <v>125</v>
      </c>
      <c r="M338" s="1" t="s">
        <v>1036</v>
      </c>
    </row>
    <row r="339" spans="2:13" ht="15" hidden="1" customHeight="1" outlineLevel="1" x14ac:dyDescent="0.25">
      <c r="B339" s="1142" t="s">
        <v>945</v>
      </c>
      <c r="C339" s="1143" t="s">
        <v>946</v>
      </c>
      <c r="D339" s="1143" t="s">
        <v>940</v>
      </c>
      <c r="E339" s="1144">
        <v>9406</v>
      </c>
      <c r="F339" s="1145" t="s">
        <v>1660</v>
      </c>
      <c r="G339" s="1146" t="s">
        <v>1800</v>
      </c>
      <c r="H339" s="1147" t="s">
        <v>1660</v>
      </c>
      <c r="I339" s="1108" t="s">
        <v>1801</v>
      </c>
      <c r="J339" s="1148" t="s">
        <v>935</v>
      </c>
      <c r="K339" s="1" t="s">
        <v>125</v>
      </c>
      <c r="M339" s="1" t="s">
        <v>1036</v>
      </c>
    </row>
    <row r="340" spans="2:13" ht="15" hidden="1" customHeight="1" outlineLevel="1" x14ac:dyDescent="0.25">
      <c r="B340" s="1142" t="s">
        <v>945</v>
      </c>
      <c r="C340" s="1143" t="s">
        <v>946</v>
      </c>
      <c r="D340" s="1143" t="s">
        <v>941</v>
      </c>
      <c r="E340" s="1144">
        <v>13850</v>
      </c>
      <c r="F340" s="1145" t="s">
        <v>1660</v>
      </c>
      <c r="G340" s="1146" t="s">
        <v>1802</v>
      </c>
      <c r="H340" s="1147" t="s">
        <v>1660</v>
      </c>
      <c r="I340" s="1108" t="s">
        <v>1803</v>
      </c>
      <c r="J340" s="1148" t="s">
        <v>935</v>
      </c>
      <c r="K340" s="1" t="s">
        <v>125</v>
      </c>
      <c r="M340" s="1" t="s">
        <v>1036</v>
      </c>
    </row>
    <row r="341" spans="2:13" ht="15" hidden="1" customHeight="1" outlineLevel="1" x14ac:dyDescent="0.25">
      <c r="B341" s="1149" t="s">
        <v>945</v>
      </c>
      <c r="C341" s="1150" t="s">
        <v>946</v>
      </c>
      <c r="D341" s="1150" t="s">
        <v>942</v>
      </c>
      <c r="E341" s="1151">
        <v>428900</v>
      </c>
      <c r="F341" s="1152" t="s">
        <v>1660</v>
      </c>
      <c r="G341" s="1158" t="s">
        <v>1804</v>
      </c>
      <c r="H341" s="1154" t="s">
        <v>1660</v>
      </c>
      <c r="I341" s="1158" t="s">
        <v>1805</v>
      </c>
      <c r="J341" s="1155" t="s">
        <v>935</v>
      </c>
      <c r="K341" s="1" t="s">
        <v>125</v>
      </c>
      <c r="M341" s="1" t="s">
        <v>1036</v>
      </c>
    </row>
    <row r="342" spans="2:13" ht="15" customHeight="1" x14ac:dyDescent="0.25">
      <c r="D342" s="1159"/>
      <c r="E342" s="1160"/>
      <c r="F342" s="1161" t="s">
        <v>125</v>
      </c>
      <c r="G342" s="672"/>
      <c r="H342" s="1162" t="s">
        <v>125</v>
      </c>
      <c r="I342" s="672"/>
      <c r="J342" s="672"/>
    </row>
    <row r="343" spans="2:13" ht="15" customHeight="1" x14ac:dyDescent="0.25">
      <c r="B343" s="1127" t="s">
        <v>825</v>
      </c>
      <c r="C343" s="1128"/>
      <c r="D343" s="1207" t="s">
        <v>1232</v>
      </c>
      <c r="E343" s="1123">
        <v>7937</v>
      </c>
      <c r="F343" s="1129" t="s">
        <v>1660</v>
      </c>
      <c r="G343" s="1130" t="s">
        <v>1806</v>
      </c>
      <c r="H343" s="1131" t="s">
        <v>125</v>
      </c>
      <c r="I343" s="1130"/>
      <c r="J343" s="208" t="s">
        <v>221</v>
      </c>
      <c r="K343" s="898">
        <v>83.87</v>
      </c>
    </row>
    <row r="344" spans="2:13" ht="15" customHeight="1" collapsed="1" x14ac:dyDescent="0.25">
      <c r="B344" s="1132" t="s">
        <v>825</v>
      </c>
      <c r="C344" s="1107"/>
      <c r="D344" s="1209" t="s">
        <v>1233</v>
      </c>
      <c r="E344" s="1133">
        <v>4072</v>
      </c>
      <c r="F344" s="1134" t="s">
        <v>1660</v>
      </c>
      <c r="G344" s="1135" t="s">
        <v>1806</v>
      </c>
      <c r="H344" s="1136" t="s">
        <v>125</v>
      </c>
      <c r="I344" s="1135"/>
      <c r="J344" s="211" t="s">
        <v>221</v>
      </c>
      <c r="K344" s="531">
        <v>16.13</v>
      </c>
    </row>
    <row r="345" spans="2:13" ht="15" hidden="1" customHeight="1" outlineLevel="1" x14ac:dyDescent="0.25">
      <c r="B345" s="1137" t="s">
        <v>827</v>
      </c>
      <c r="C345" s="1138" t="s">
        <v>979</v>
      </c>
      <c r="D345" s="1138" t="s">
        <v>980</v>
      </c>
      <c r="E345" s="1139">
        <v>8.0169999999999996E-6</v>
      </c>
      <c r="F345" s="1140" t="s">
        <v>125</v>
      </c>
      <c r="G345" s="1163"/>
      <c r="H345" s="1141" t="s">
        <v>125</v>
      </c>
      <c r="I345" s="954"/>
      <c r="J345" s="955" t="s">
        <v>186</v>
      </c>
      <c r="K345" s="1" t="s">
        <v>125</v>
      </c>
      <c r="M345" s="1" t="s">
        <v>997</v>
      </c>
    </row>
    <row r="346" spans="2:13" ht="15" hidden="1" customHeight="1" outlineLevel="1" x14ac:dyDescent="0.25">
      <c r="B346" s="1142" t="s">
        <v>827</v>
      </c>
      <c r="C346" s="1143" t="s">
        <v>981</v>
      </c>
      <c r="D346" s="1143" t="s">
        <v>982</v>
      </c>
      <c r="E346" s="1144">
        <v>10000</v>
      </c>
      <c r="F346" s="1145" t="s">
        <v>125</v>
      </c>
      <c r="G346" s="1146"/>
      <c r="H346" s="1147" t="s">
        <v>125</v>
      </c>
      <c r="I346" s="1146"/>
      <c r="J346" s="1148" t="s">
        <v>181</v>
      </c>
      <c r="K346" s="1" t="s">
        <v>125</v>
      </c>
      <c r="M346" s="1" t="s">
        <v>998</v>
      </c>
    </row>
    <row r="347" spans="2:13" ht="15" hidden="1" customHeight="1" outlineLevel="1" x14ac:dyDescent="0.25">
      <c r="B347" s="1142" t="s">
        <v>827</v>
      </c>
      <c r="C347" s="1143" t="s">
        <v>981</v>
      </c>
      <c r="D347" s="1143" t="s">
        <v>983</v>
      </c>
      <c r="E347" s="1144">
        <v>0</v>
      </c>
      <c r="F347" s="1145" t="s">
        <v>125</v>
      </c>
      <c r="G347" s="1146"/>
      <c r="H347" s="1147" t="s">
        <v>125</v>
      </c>
      <c r="I347" s="1146"/>
      <c r="J347" s="1148" t="s">
        <v>182</v>
      </c>
      <c r="K347" s="1" t="s">
        <v>125</v>
      </c>
      <c r="M347" s="1" t="s">
        <v>999</v>
      </c>
    </row>
    <row r="348" spans="2:13" ht="15" hidden="1" customHeight="1" outlineLevel="1" x14ac:dyDescent="0.25">
      <c r="B348" s="1142" t="s">
        <v>827</v>
      </c>
      <c r="C348" s="1143" t="s">
        <v>981</v>
      </c>
      <c r="D348" s="1143" t="s">
        <v>984</v>
      </c>
      <c r="E348" s="1144">
        <v>0</v>
      </c>
      <c r="F348" s="1145" t="s">
        <v>125</v>
      </c>
      <c r="G348" s="1146"/>
      <c r="H348" s="1147" t="s">
        <v>125</v>
      </c>
      <c r="I348" s="1146"/>
      <c r="J348" s="1148" t="s">
        <v>182</v>
      </c>
      <c r="K348" s="1" t="s">
        <v>125</v>
      </c>
      <c r="M348" s="1" t="s">
        <v>999</v>
      </c>
    </row>
    <row r="349" spans="2:13" ht="15" hidden="1" customHeight="1" outlineLevel="1" x14ac:dyDescent="0.25">
      <c r="B349" s="1142" t="s">
        <v>827</v>
      </c>
      <c r="C349" s="1143" t="s">
        <v>981</v>
      </c>
      <c r="D349" s="1143" t="s">
        <v>985</v>
      </c>
      <c r="E349" s="1144">
        <v>3.4140000000000001</v>
      </c>
      <c r="F349" s="1145" t="s">
        <v>125</v>
      </c>
      <c r="G349" s="1146"/>
      <c r="H349" s="1147" t="s">
        <v>125</v>
      </c>
      <c r="I349" s="1146"/>
      <c r="J349" s="1148" t="s">
        <v>182</v>
      </c>
      <c r="K349" s="1" t="s">
        <v>125</v>
      </c>
      <c r="M349" s="1" t="s">
        <v>999</v>
      </c>
    </row>
    <row r="350" spans="2:13" ht="15" hidden="1" customHeight="1" outlineLevel="1" x14ac:dyDescent="0.25">
      <c r="B350" s="1142" t="s">
        <v>827</v>
      </c>
      <c r="C350" s="1143" t="s">
        <v>981</v>
      </c>
      <c r="D350" s="1143" t="s">
        <v>986</v>
      </c>
      <c r="E350" s="1144">
        <v>104.6</v>
      </c>
      <c r="F350" s="1145" t="s">
        <v>125</v>
      </c>
      <c r="G350" s="1146"/>
      <c r="H350" s="1147" t="s">
        <v>125</v>
      </c>
      <c r="I350" s="1146"/>
      <c r="J350" s="1148" t="s">
        <v>182</v>
      </c>
      <c r="K350" s="1" t="s">
        <v>125</v>
      </c>
      <c r="M350" s="1" t="s">
        <v>999</v>
      </c>
    </row>
    <row r="351" spans="2:13" ht="15" hidden="1" customHeight="1" outlineLevel="1" x14ac:dyDescent="0.25">
      <c r="B351" s="1142" t="s">
        <v>827</v>
      </c>
      <c r="C351" s="1143" t="s">
        <v>981</v>
      </c>
      <c r="D351" s="1143" t="s">
        <v>987</v>
      </c>
      <c r="E351" s="1144">
        <v>108</v>
      </c>
      <c r="F351" s="1145" t="s">
        <v>125</v>
      </c>
      <c r="G351" s="1146"/>
      <c r="H351" s="1147" t="s">
        <v>125</v>
      </c>
      <c r="I351" s="1146"/>
      <c r="J351" s="1148" t="s">
        <v>182</v>
      </c>
      <c r="K351" s="1" t="s">
        <v>125</v>
      </c>
      <c r="M351" s="1" t="s">
        <v>999</v>
      </c>
    </row>
    <row r="352" spans="2:13" ht="15" hidden="1" customHeight="1" outlineLevel="1" x14ac:dyDescent="0.25">
      <c r="B352" s="1142" t="s">
        <v>830</v>
      </c>
      <c r="C352" s="1143"/>
      <c r="D352" s="1143" t="s">
        <v>665</v>
      </c>
      <c r="E352" s="1144">
        <v>3522</v>
      </c>
      <c r="F352" s="1145" t="s">
        <v>1660</v>
      </c>
      <c r="G352" s="1146" t="s">
        <v>726</v>
      </c>
      <c r="H352" s="1147" t="s">
        <v>125</v>
      </c>
      <c r="I352" s="1146"/>
      <c r="J352" s="1148" t="s">
        <v>221</v>
      </c>
      <c r="K352" s="1" t="s">
        <v>125</v>
      </c>
      <c r="M352" s="1" t="s">
        <v>1000</v>
      </c>
    </row>
    <row r="353" spans="2:13" ht="15" hidden="1" customHeight="1" outlineLevel="1" x14ac:dyDescent="0.25">
      <c r="B353" s="1142" t="s">
        <v>830</v>
      </c>
      <c r="C353" s="1143"/>
      <c r="D353" s="1143" t="s">
        <v>673</v>
      </c>
      <c r="E353" s="1144">
        <v>308.89999999999998</v>
      </c>
      <c r="F353" s="1145" t="s">
        <v>1660</v>
      </c>
      <c r="G353" s="1146" t="s">
        <v>723</v>
      </c>
      <c r="H353" s="1147" t="s">
        <v>125</v>
      </c>
      <c r="I353" s="1146"/>
      <c r="J353" s="1148" t="s">
        <v>221</v>
      </c>
      <c r="K353" s="1" t="s">
        <v>125</v>
      </c>
      <c r="M353" s="1" t="s">
        <v>1001</v>
      </c>
    </row>
    <row r="354" spans="2:13" ht="15" hidden="1" customHeight="1" outlineLevel="1" x14ac:dyDescent="0.25">
      <c r="B354" s="1142" t="s">
        <v>830</v>
      </c>
      <c r="C354" s="1143"/>
      <c r="D354" s="1143" t="s">
        <v>653</v>
      </c>
      <c r="E354" s="1144">
        <v>24.79</v>
      </c>
      <c r="F354" s="1145" t="s">
        <v>1660</v>
      </c>
      <c r="G354" s="1146" t="s">
        <v>1661</v>
      </c>
      <c r="H354" s="1147" t="s">
        <v>125</v>
      </c>
      <c r="I354" s="1146"/>
      <c r="J354" s="1148" t="s">
        <v>221</v>
      </c>
      <c r="K354" s="1" t="s">
        <v>125</v>
      </c>
      <c r="M354" s="1" t="s">
        <v>1234</v>
      </c>
    </row>
    <row r="355" spans="2:13" ht="15" hidden="1" customHeight="1" outlineLevel="1" x14ac:dyDescent="0.25">
      <c r="B355" s="1142" t="s">
        <v>830</v>
      </c>
      <c r="C355" s="1143"/>
      <c r="D355" s="1143" t="s">
        <v>654</v>
      </c>
      <c r="E355" s="1144">
        <v>35.130000000000003</v>
      </c>
      <c r="F355" s="1145" t="s">
        <v>1660</v>
      </c>
      <c r="G355" s="1146" t="s">
        <v>1661</v>
      </c>
      <c r="H355" s="1147" t="s">
        <v>125</v>
      </c>
      <c r="I355" s="1146"/>
      <c r="J355" s="1148" t="s">
        <v>221</v>
      </c>
      <c r="K355" s="1" t="s">
        <v>125</v>
      </c>
      <c r="M355" s="1" t="s">
        <v>1235</v>
      </c>
    </row>
    <row r="356" spans="2:13" ht="15" hidden="1" customHeight="1" outlineLevel="1" x14ac:dyDescent="0.25">
      <c r="B356" s="1142" t="s">
        <v>830</v>
      </c>
      <c r="C356" s="1143"/>
      <c r="D356" s="1143" t="s">
        <v>652</v>
      </c>
      <c r="E356" s="1144">
        <v>261</v>
      </c>
      <c r="F356" s="1145" t="s">
        <v>1660</v>
      </c>
      <c r="G356" s="1146" t="s">
        <v>1661</v>
      </c>
      <c r="H356" s="1147" t="s">
        <v>125</v>
      </c>
      <c r="I356" s="1146"/>
      <c r="J356" s="1148" t="s">
        <v>221</v>
      </c>
      <c r="K356" s="1" t="s">
        <v>125</v>
      </c>
      <c r="M356" s="1" t="s">
        <v>1236</v>
      </c>
    </row>
    <row r="357" spans="2:13" ht="15" hidden="1" customHeight="1" outlineLevel="1" x14ac:dyDescent="0.25">
      <c r="B357" s="1142" t="s">
        <v>830</v>
      </c>
      <c r="C357" s="1143"/>
      <c r="D357" s="1143" t="s">
        <v>650</v>
      </c>
      <c r="E357" s="1144">
        <v>21.02</v>
      </c>
      <c r="F357" s="1145" t="s">
        <v>1660</v>
      </c>
      <c r="G357" s="1146" t="s">
        <v>1661</v>
      </c>
      <c r="H357" s="1147" t="s">
        <v>125</v>
      </c>
      <c r="I357" s="1146"/>
      <c r="J357" s="1148" t="s">
        <v>221</v>
      </c>
      <c r="K357" s="1" t="s">
        <v>125</v>
      </c>
      <c r="M357" s="1" t="s">
        <v>1237</v>
      </c>
    </row>
    <row r="358" spans="2:13" ht="15" hidden="1" customHeight="1" outlineLevel="1" x14ac:dyDescent="0.25">
      <c r="B358" s="1142" t="s">
        <v>830</v>
      </c>
      <c r="C358" s="1143"/>
      <c r="D358" s="1143" t="s">
        <v>649</v>
      </c>
      <c r="E358" s="1144">
        <v>64.709999999999994</v>
      </c>
      <c r="F358" s="1145" t="s">
        <v>1660</v>
      </c>
      <c r="G358" s="1146" t="s">
        <v>1661</v>
      </c>
      <c r="H358" s="1147" t="s">
        <v>125</v>
      </c>
      <c r="I358" s="1146"/>
      <c r="J358" s="1148" t="s">
        <v>221</v>
      </c>
      <c r="K358" s="1" t="s">
        <v>125</v>
      </c>
      <c r="M358" s="1" t="s">
        <v>1238</v>
      </c>
    </row>
    <row r="359" spans="2:13" ht="15" hidden="1" customHeight="1" outlineLevel="1" x14ac:dyDescent="0.25">
      <c r="B359" s="1142" t="s">
        <v>830</v>
      </c>
      <c r="C359" s="1143"/>
      <c r="D359" s="1143" t="s">
        <v>648</v>
      </c>
      <c r="E359" s="1144">
        <v>97.51</v>
      </c>
      <c r="F359" s="1145" t="s">
        <v>1660</v>
      </c>
      <c r="G359" s="1146" t="s">
        <v>1661</v>
      </c>
      <c r="H359" s="1147" t="s">
        <v>125</v>
      </c>
      <c r="I359" s="1146"/>
      <c r="J359" s="1148" t="s">
        <v>221</v>
      </c>
      <c r="K359" s="1" t="s">
        <v>125</v>
      </c>
      <c r="M359" s="1" t="s">
        <v>1239</v>
      </c>
    </row>
    <row r="360" spans="2:13" ht="15" hidden="1" customHeight="1" outlineLevel="1" x14ac:dyDescent="0.25">
      <c r="B360" s="1142" t="s">
        <v>830</v>
      </c>
      <c r="C360" s="1143"/>
      <c r="D360" s="1143" t="s">
        <v>657</v>
      </c>
      <c r="E360" s="1144">
        <v>9.3659999999999997</v>
      </c>
      <c r="F360" s="1145" t="s">
        <v>1660</v>
      </c>
      <c r="G360" s="1146" t="s">
        <v>1661</v>
      </c>
      <c r="H360" s="1147" t="s">
        <v>125</v>
      </c>
      <c r="I360" s="1146"/>
      <c r="J360" s="1148" t="s">
        <v>221</v>
      </c>
      <c r="K360" s="1" t="s">
        <v>125</v>
      </c>
      <c r="M360" s="1" t="s">
        <v>1240</v>
      </c>
    </row>
    <row r="361" spans="2:13" ht="15" hidden="1" customHeight="1" outlineLevel="1" x14ac:dyDescent="0.25">
      <c r="B361" s="1142" t="s">
        <v>830</v>
      </c>
      <c r="C361" s="1143"/>
      <c r="D361" s="1143" t="s">
        <v>656</v>
      </c>
      <c r="E361" s="1144">
        <v>0.1822</v>
      </c>
      <c r="F361" s="1145" t="s">
        <v>1660</v>
      </c>
      <c r="G361" s="1146" t="s">
        <v>1661</v>
      </c>
      <c r="H361" s="1147" t="s">
        <v>125</v>
      </c>
      <c r="I361" s="1146"/>
      <c r="J361" s="1148" t="s">
        <v>221</v>
      </c>
      <c r="K361" s="1" t="s">
        <v>125</v>
      </c>
      <c r="M361" s="1" t="s">
        <v>1241</v>
      </c>
    </row>
    <row r="362" spans="2:13" ht="15" hidden="1" customHeight="1" outlineLevel="1" x14ac:dyDescent="0.25">
      <c r="B362" s="1142" t="s">
        <v>830</v>
      </c>
      <c r="C362" s="1143"/>
      <c r="D362" s="1143" t="s">
        <v>655</v>
      </c>
      <c r="E362" s="1144">
        <v>3.3769999999999998</v>
      </c>
      <c r="F362" s="1145" t="s">
        <v>1660</v>
      </c>
      <c r="G362" s="1146" t="s">
        <v>1661</v>
      </c>
      <c r="H362" s="1147" t="s">
        <v>125</v>
      </c>
      <c r="I362" s="1146"/>
      <c r="J362" s="1148" t="s">
        <v>221</v>
      </c>
      <c r="K362" s="1" t="s">
        <v>125</v>
      </c>
      <c r="M362" s="1" t="s">
        <v>1242</v>
      </c>
    </row>
    <row r="363" spans="2:13" ht="15" hidden="1" customHeight="1" outlineLevel="1" x14ac:dyDescent="0.25">
      <c r="B363" s="1142" t="s">
        <v>830</v>
      </c>
      <c r="C363" s="1143"/>
      <c r="D363" s="1143" t="s">
        <v>658</v>
      </c>
      <c r="E363" s="1144">
        <v>27.36</v>
      </c>
      <c r="F363" s="1145" t="s">
        <v>1660</v>
      </c>
      <c r="G363" s="1146" t="s">
        <v>1661</v>
      </c>
      <c r="H363" s="1147" t="s">
        <v>125</v>
      </c>
      <c r="I363" s="1146"/>
      <c r="J363" s="1148" t="s">
        <v>221</v>
      </c>
      <c r="K363" s="1" t="s">
        <v>125</v>
      </c>
      <c r="M363" s="1" t="s">
        <v>1243</v>
      </c>
    </row>
    <row r="364" spans="2:13" ht="15" hidden="1" customHeight="1" outlineLevel="1" x14ac:dyDescent="0.25">
      <c r="B364" s="1142" t="s">
        <v>830</v>
      </c>
      <c r="C364" s="1143"/>
      <c r="D364" s="1143" t="s">
        <v>659</v>
      </c>
      <c r="E364" s="1144">
        <v>1.849</v>
      </c>
      <c r="F364" s="1145" t="s">
        <v>1660</v>
      </c>
      <c r="G364" s="1146" t="s">
        <v>1661</v>
      </c>
      <c r="H364" s="1147" t="s">
        <v>125</v>
      </c>
      <c r="I364" s="1146"/>
      <c r="J364" s="1148" t="s">
        <v>221</v>
      </c>
      <c r="K364" s="1" t="s">
        <v>125</v>
      </c>
      <c r="M364" s="1" t="s">
        <v>1244</v>
      </c>
    </row>
    <row r="365" spans="2:13" ht="15" hidden="1" customHeight="1" outlineLevel="1" x14ac:dyDescent="0.25">
      <c r="B365" s="1142" t="s">
        <v>830</v>
      </c>
      <c r="C365" s="1143"/>
      <c r="D365" s="1143" t="s">
        <v>988</v>
      </c>
      <c r="E365" s="1144">
        <v>1</v>
      </c>
      <c r="F365" s="1145" t="s">
        <v>125</v>
      </c>
      <c r="G365" s="1146"/>
      <c r="H365" s="1147" t="s">
        <v>125</v>
      </c>
      <c r="I365" s="1146"/>
      <c r="J365" s="1148" t="s">
        <v>188</v>
      </c>
      <c r="K365" s="1" t="s">
        <v>125</v>
      </c>
      <c r="M365" s="1" t="s">
        <v>1013</v>
      </c>
    </row>
    <row r="366" spans="2:13" ht="15" hidden="1" customHeight="1" outlineLevel="1" x14ac:dyDescent="0.25">
      <c r="B366" s="1142" t="s">
        <v>830</v>
      </c>
      <c r="C366" s="1143"/>
      <c r="D366" s="1143" t="s">
        <v>662</v>
      </c>
      <c r="E366" s="1144">
        <v>400</v>
      </c>
      <c r="F366" s="1145" t="s">
        <v>125</v>
      </c>
      <c r="G366" s="1146"/>
      <c r="H366" s="1147" t="s">
        <v>125</v>
      </c>
      <c r="I366" s="1146"/>
      <c r="J366" s="1148" t="s">
        <v>221</v>
      </c>
      <c r="K366" s="1" t="s">
        <v>125</v>
      </c>
      <c r="M366" s="1" t="s">
        <v>1014</v>
      </c>
    </row>
    <row r="367" spans="2:13" ht="15" hidden="1" customHeight="1" outlineLevel="1" x14ac:dyDescent="0.25">
      <c r="B367" s="1142" t="s">
        <v>830</v>
      </c>
      <c r="C367" s="1143"/>
      <c r="D367" s="1143" t="s">
        <v>1245</v>
      </c>
      <c r="E367" s="1144">
        <v>152.80000000000001</v>
      </c>
      <c r="F367" s="1145" t="s">
        <v>125</v>
      </c>
      <c r="G367" s="1146"/>
      <c r="H367" s="1147" t="s">
        <v>125</v>
      </c>
      <c r="I367" s="1146"/>
      <c r="J367" s="1148" t="s">
        <v>221</v>
      </c>
      <c r="K367" s="1" t="s">
        <v>125</v>
      </c>
      <c r="M367" s="1" t="s">
        <v>1052</v>
      </c>
    </row>
    <row r="368" spans="2:13" ht="15" hidden="1" customHeight="1" outlineLevel="1" x14ac:dyDescent="0.25">
      <c r="B368" s="1142" t="s">
        <v>830</v>
      </c>
      <c r="C368" s="1143"/>
      <c r="D368" s="1143" t="s">
        <v>990</v>
      </c>
      <c r="E368" s="1144">
        <v>114.9</v>
      </c>
      <c r="F368" s="1145" t="s">
        <v>1660</v>
      </c>
      <c r="G368" s="1146" t="s">
        <v>722</v>
      </c>
      <c r="H368" s="1147" t="s">
        <v>125</v>
      </c>
      <c r="I368" s="1146"/>
      <c r="J368" s="1148" t="s">
        <v>836</v>
      </c>
      <c r="K368" s="1" t="s">
        <v>125</v>
      </c>
      <c r="M368" s="1" t="s">
        <v>1015</v>
      </c>
    </row>
    <row r="369" spans="2:13" ht="15" hidden="1" customHeight="1" outlineLevel="1" x14ac:dyDescent="0.25">
      <c r="B369" s="1142" t="s">
        <v>830</v>
      </c>
      <c r="C369" s="1143"/>
      <c r="D369" s="1143" t="s">
        <v>990</v>
      </c>
      <c r="E369" s="1144">
        <v>55.03</v>
      </c>
      <c r="F369" s="1145" t="s">
        <v>1660</v>
      </c>
      <c r="G369" s="1146" t="s">
        <v>1807</v>
      </c>
      <c r="H369" s="1147" t="s">
        <v>125</v>
      </c>
      <c r="I369" s="1146"/>
      <c r="J369" s="1148" t="s">
        <v>836</v>
      </c>
      <c r="K369" s="1" t="s">
        <v>125</v>
      </c>
      <c r="M369" s="1" t="s">
        <v>1016</v>
      </c>
    </row>
    <row r="370" spans="2:13" ht="15" hidden="1" customHeight="1" outlineLevel="1" x14ac:dyDescent="0.25">
      <c r="B370" s="1142" t="s">
        <v>830</v>
      </c>
      <c r="C370" s="1143"/>
      <c r="D370" s="1143" t="s">
        <v>675</v>
      </c>
      <c r="E370" s="1144">
        <v>0.20519999999999999</v>
      </c>
      <c r="F370" s="1145" t="s">
        <v>1660</v>
      </c>
      <c r="G370" s="1146" t="s">
        <v>1661</v>
      </c>
      <c r="H370" s="1147" t="s">
        <v>125</v>
      </c>
      <c r="I370" s="1146"/>
      <c r="J370" s="1148" t="s">
        <v>221</v>
      </c>
      <c r="K370" s="1" t="s">
        <v>125</v>
      </c>
      <c r="M370" s="1" t="s">
        <v>1017</v>
      </c>
    </row>
    <row r="371" spans="2:13" ht="15" hidden="1" customHeight="1" outlineLevel="1" x14ac:dyDescent="0.25">
      <c r="B371" s="1142" t="s">
        <v>830</v>
      </c>
      <c r="C371" s="1143"/>
      <c r="D371" s="1143" t="s">
        <v>676</v>
      </c>
      <c r="E371" s="1144">
        <v>0.33979999999999999</v>
      </c>
      <c r="F371" s="1145" t="s">
        <v>1660</v>
      </c>
      <c r="G371" s="1146" t="s">
        <v>1661</v>
      </c>
      <c r="H371" s="1147" t="s">
        <v>125</v>
      </c>
      <c r="I371" s="1146"/>
      <c r="J371" s="1148" t="s">
        <v>221</v>
      </c>
      <c r="K371" s="1" t="s">
        <v>125</v>
      </c>
      <c r="M371" s="1" t="s">
        <v>1018</v>
      </c>
    </row>
    <row r="372" spans="2:13" ht="15" hidden="1" customHeight="1" outlineLevel="1" x14ac:dyDescent="0.25">
      <c r="B372" s="1142" t="s">
        <v>830</v>
      </c>
      <c r="C372" s="1143"/>
      <c r="D372" s="1143" t="s">
        <v>678</v>
      </c>
      <c r="E372" s="1144">
        <v>0.97040000000000004</v>
      </c>
      <c r="F372" s="1145" t="s">
        <v>1660</v>
      </c>
      <c r="G372" s="1146" t="s">
        <v>1661</v>
      </c>
      <c r="H372" s="1147" t="s">
        <v>125</v>
      </c>
      <c r="I372" s="1146"/>
      <c r="J372" s="1148" t="s">
        <v>221</v>
      </c>
      <c r="K372" s="1" t="s">
        <v>125</v>
      </c>
      <c r="M372" s="1" t="s">
        <v>1019</v>
      </c>
    </row>
    <row r="373" spans="2:13" ht="15" hidden="1" customHeight="1" outlineLevel="1" x14ac:dyDescent="0.25">
      <c r="B373" s="1142" t="s">
        <v>830</v>
      </c>
      <c r="C373" s="1143"/>
      <c r="D373" s="1143" t="s">
        <v>991</v>
      </c>
      <c r="E373" s="1144">
        <v>0.20519999999999999</v>
      </c>
      <c r="F373" s="1145" t="s">
        <v>1660</v>
      </c>
      <c r="G373" s="1146" t="s">
        <v>1661</v>
      </c>
      <c r="H373" s="1147" t="s">
        <v>125</v>
      </c>
      <c r="I373" s="1146"/>
      <c r="J373" s="1148" t="s">
        <v>221</v>
      </c>
      <c r="K373" s="1" t="s">
        <v>125</v>
      </c>
      <c r="M373" s="1" t="s">
        <v>1020</v>
      </c>
    </row>
    <row r="374" spans="2:13" ht="15" hidden="1" customHeight="1" outlineLevel="1" x14ac:dyDescent="0.25">
      <c r="B374" s="1142" t="s">
        <v>830</v>
      </c>
      <c r="C374" s="1143"/>
      <c r="D374" s="1143" t="s">
        <v>992</v>
      </c>
      <c r="E374" s="1144">
        <v>0.33979999999999999</v>
      </c>
      <c r="F374" s="1145" t="s">
        <v>1660</v>
      </c>
      <c r="G374" s="1146" t="s">
        <v>1661</v>
      </c>
      <c r="H374" s="1147" t="s">
        <v>125</v>
      </c>
      <c r="I374" s="1146"/>
      <c r="J374" s="1148" t="s">
        <v>221</v>
      </c>
      <c r="K374" s="1" t="s">
        <v>125</v>
      </c>
      <c r="M374" s="1" t="s">
        <v>1021</v>
      </c>
    </row>
    <row r="375" spans="2:13" ht="15" hidden="1" customHeight="1" outlineLevel="1" x14ac:dyDescent="0.25">
      <c r="B375" s="1142" t="s">
        <v>830</v>
      </c>
      <c r="C375" s="1143"/>
      <c r="D375" s="1143" t="s">
        <v>993</v>
      </c>
      <c r="E375" s="1144">
        <v>0.97040000000000004</v>
      </c>
      <c r="F375" s="1145" t="s">
        <v>1660</v>
      </c>
      <c r="G375" s="1146" t="s">
        <v>1661</v>
      </c>
      <c r="H375" s="1147" t="s">
        <v>125</v>
      </c>
      <c r="I375" s="1146"/>
      <c r="J375" s="1148" t="s">
        <v>221</v>
      </c>
      <c r="K375" s="1" t="s">
        <v>125</v>
      </c>
      <c r="M375" s="1" t="s">
        <v>1022</v>
      </c>
    </row>
    <row r="376" spans="2:13" ht="15" hidden="1" customHeight="1" outlineLevel="1" x14ac:dyDescent="0.25">
      <c r="B376" s="1142" t="s">
        <v>994</v>
      </c>
      <c r="C376" s="1143"/>
      <c r="D376" s="1143" t="s">
        <v>834</v>
      </c>
      <c r="E376" s="1144">
        <v>4157</v>
      </c>
      <c r="F376" s="1145" t="s">
        <v>1660</v>
      </c>
      <c r="G376" s="1146" t="s">
        <v>718</v>
      </c>
      <c r="H376" s="1147" t="s">
        <v>125</v>
      </c>
      <c r="I376" s="1146"/>
      <c r="J376" s="1148" t="s">
        <v>304</v>
      </c>
      <c r="K376" s="1" t="s">
        <v>125</v>
      </c>
      <c r="M376" s="1" t="s">
        <v>1023</v>
      </c>
    </row>
    <row r="377" spans="2:13" ht="15" hidden="1" customHeight="1" outlineLevel="1" x14ac:dyDescent="0.25">
      <c r="B377" s="1142" t="s">
        <v>994</v>
      </c>
      <c r="C377" s="1143"/>
      <c r="D377" s="1143" t="s">
        <v>834</v>
      </c>
      <c r="E377" s="1144">
        <v>5.3669999999999996E-6</v>
      </c>
      <c r="F377" s="1145" t="s">
        <v>1660</v>
      </c>
      <c r="G377" s="1146" t="s">
        <v>718</v>
      </c>
      <c r="H377" s="1147" t="s">
        <v>125</v>
      </c>
      <c r="I377" s="1146"/>
      <c r="J377" s="1148" t="s">
        <v>304</v>
      </c>
      <c r="K377" s="1" t="s">
        <v>125</v>
      </c>
      <c r="M377" s="1" t="s">
        <v>1053</v>
      </c>
    </row>
    <row r="378" spans="2:13" ht="15" hidden="1" customHeight="1" outlineLevel="1" x14ac:dyDescent="0.25">
      <c r="B378" s="1142" t="s">
        <v>994</v>
      </c>
      <c r="C378" s="1143"/>
      <c r="D378" s="1143" t="s">
        <v>1054</v>
      </c>
      <c r="E378" s="1144">
        <v>3.8530000000000002E-6</v>
      </c>
      <c r="F378" s="1145" t="s">
        <v>1660</v>
      </c>
      <c r="G378" s="1146" t="s">
        <v>720</v>
      </c>
      <c r="H378" s="1147" t="s">
        <v>125</v>
      </c>
      <c r="I378" s="1146"/>
      <c r="J378" s="1148" t="s">
        <v>304</v>
      </c>
      <c r="K378" s="1" t="s">
        <v>125</v>
      </c>
      <c r="M378" s="1" t="s">
        <v>1055</v>
      </c>
    </row>
    <row r="379" spans="2:13" ht="15" hidden="1" customHeight="1" outlineLevel="1" x14ac:dyDescent="0.25">
      <c r="B379" s="1142" t="s">
        <v>839</v>
      </c>
      <c r="C379" s="1143"/>
      <c r="D379" s="1143" t="s">
        <v>925</v>
      </c>
      <c r="E379" s="1144">
        <v>176</v>
      </c>
      <c r="F379" s="1145" t="s">
        <v>125</v>
      </c>
      <c r="G379" s="1146"/>
      <c r="H379" s="1147" t="s">
        <v>125</v>
      </c>
      <c r="I379" s="1146"/>
      <c r="J379" s="1148" t="s">
        <v>221</v>
      </c>
      <c r="K379" s="1" t="s">
        <v>125</v>
      </c>
      <c r="M379" s="1" t="s">
        <v>1024</v>
      </c>
    </row>
    <row r="380" spans="2:13" ht="15" hidden="1" customHeight="1" outlineLevel="1" x14ac:dyDescent="0.25">
      <c r="B380" s="1142" t="s">
        <v>839</v>
      </c>
      <c r="C380" s="1143"/>
      <c r="D380" s="1143" t="s">
        <v>925</v>
      </c>
      <c r="E380" s="1144">
        <v>88.87</v>
      </c>
      <c r="F380" s="1145" t="s">
        <v>1660</v>
      </c>
      <c r="G380" s="1146" t="s">
        <v>1661</v>
      </c>
      <c r="H380" s="1147" t="s">
        <v>125</v>
      </c>
      <c r="I380" s="1146"/>
      <c r="J380" s="1148" t="s">
        <v>221</v>
      </c>
      <c r="K380" s="1" t="s">
        <v>125</v>
      </c>
      <c r="M380" s="1" t="s">
        <v>1025</v>
      </c>
    </row>
    <row r="381" spans="2:13" ht="15" hidden="1" customHeight="1" outlineLevel="1" x14ac:dyDescent="0.25">
      <c r="B381" s="1142" t="s">
        <v>839</v>
      </c>
      <c r="C381" s="1143"/>
      <c r="D381" s="1143" t="s">
        <v>843</v>
      </c>
      <c r="E381" s="1144">
        <v>2.3570000000000002</v>
      </c>
      <c r="F381" s="1145" t="s">
        <v>1660</v>
      </c>
      <c r="G381" s="1146" t="s">
        <v>1661</v>
      </c>
      <c r="H381" s="1147" t="s">
        <v>1660</v>
      </c>
      <c r="I381" s="1146" t="s">
        <v>1558</v>
      </c>
      <c r="J381" s="1148" t="s">
        <v>221</v>
      </c>
      <c r="K381" s="1" t="s">
        <v>125</v>
      </c>
      <c r="M381" s="1" t="s">
        <v>1026</v>
      </c>
    </row>
    <row r="382" spans="2:13" ht="15" hidden="1" customHeight="1" outlineLevel="1" x14ac:dyDescent="0.25">
      <c r="B382" s="1142" t="s">
        <v>839</v>
      </c>
      <c r="C382" s="1143"/>
      <c r="D382" s="1143" t="s">
        <v>843</v>
      </c>
      <c r="E382" s="1144">
        <v>0.7661</v>
      </c>
      <c r="F382" s="1145" t="s">
        <v>1660</v>
      </c>
      <c r="G382" s="1146" t="s">
        <v>1661</v>
      </c>
      <c r="H382" s="1147" t="s">
        <v>1660</v>
      </c>
      <c r="I382" s="1146" t="s">
        <v>1808</v>
      </c>
      <c r="J382" s="1148" t="s">
        <v>221</v>
      </c>
      <c r="K382" s="1" t="s">
        <v>125</v>
      </c>
      <c r="M382" s="1" t="s">
        <v>1027</v>
      </c>
    </row>
    <row r="383" spans="2:13" ht="15" hidden="1" customHeight="1" outlineLevel="1" x14ac:dyDescent="0.25">
      <c r="B383" s="1142" t="s">
        <v>839</v>
      </c>
      <c r="C383" s="1143"/>
      <c r="D383" s="1143" t="s">
        <v>846</v>
      </c>
      <c r="E383" s="1144">
        <v>10.59</v>
      </c>
      <c r="F383" s="1145" t="s">
        <v>1660</v>
      </c>
      <c r="G383" s="1146" t="s">
        <v>1661</v>
      </c>
      <c r="H383" s="1147" t="s">
        <v>125</v>
      </c>
      <c r="I383" s="1146"/>
      <c r="J383" s="1148" t="s">
        <v>221</v>
      </c>
      <c r="K383" s="1" t="s">
        <v>125</v>
      </c>
      <c r="M383" s="1" t="s">
        <v>1028</v>
      </c>
    </row>
    <row r="384" spans="2:13" ht="15" hidden="1" customHeight="1" outlineLevel="1" x14ac:dyDescent="0.25">
      <c r="B384" s="1142" t="s">
        <v>839</v>
      </c>
      <c r="C384" s="1143"/>
      <c r="D384" s="1143" t="s">
        <v>995</v>
      </c>
      <c r="E384" s="1144">
        <v>1.05</v>
      </c>
      <c r="F384" s="1145" t="s">
        <v>1660</v>
      </c>
      <c r="G384" s="1146" t="s">
        <v>1661</v>
      </c>
      <c r="H384" s="1147" t="s">
        <v>125</v>
      </c>
      <c r="I384" s="1146"/>
      <c r="J384" s="1148" t="s">
        <v>221</v>
      </c>
      <c r="K384" s="1" t="s">
        <v>125</v>
      </c>
      <c r="M384" s="1" t="s">
        <v>1029</v>
      </c>
    </row>
    <row r="385" spans="2:13" ht="15" hidden="1" customHeight="1" outlineLevel="1" x14ac:dyDescent="0.25">
      <c r="B385" s="1142" t="s">
        <v>839</v>
      </c>
      <c r="C385" s="1143"/>
      <c r="D385" s="1143" t="s">
        <v>996</v>
      </c>
      <c r="E385" s="1144">
        <v>92.22</v>
      </c>
      <c r="F385" s="1145" t="s">
        <v>125</v>
      </c>
      <c r="G385" s="1146"/>
      <c r="H385" s="1147" t="s">
        <v>125</v>
      </c>
      <c r="I385" s="1146"/>
      <c r="J385" s="1148" t="s">
        <v>221</v>
      </c>
      <c r="K385" s="1" t="s">
        <v>125</v>
      </c>
      <c r="M385" s="1" t="s">
        <v>999</v>
      </c>
    </row>
    <row r="386" spans="2:13" ht="15" hidden="1" customHeight="1" outlineLevel="1" x14ac:dyDescent="0.25">
      <c r="B386" s="1142" t="s">
        <v>839</v>
      </c>
      <c r="C386" s="1143"/>
      <c r="D386" s="1143" t="s">
        <v>843</v>
      </c>
      <c r="E386" s="1144">
        <v>0.54830000000000001</v>
      </c>
      <c r="F386" s="1145" t="s">
        <v>1660</v>
      </c>
      <c r="G386" s="1146" t="s">
        <v>683</v>
      </c>
      <c r="H386" s="1147" t="s">
        <v>1660</v>
      </c>
      <c r="I386" s="1146" t="s">
        <v>1561</v>
      </c>
      <c r="J386" s="1148" t="s">
        <v>221</v>
      </c>
      <c r="K386" s="1" t="s">
        <v>125</v>
      </c>
      <c r="M386" s="1" t="s">
        <v>1030</v>
      </c>
    </row>
    <row r="387" spans="2:13" ht="15" hidden="1" customHeight="1" outlineLevel="1" x14ac:dyDescent="0.25">
      <c r="B387" s="1142" t="s">
        <v>839</v>
      </c>
      <c r="C387" s="1143"/>
      <c r="D387" s="1143" t="s">
        <v>843</v>
      </c>
      <c r="E387" s="1144">
        <v>0.1782</v>
      </c>
      <c r="F387" s="1145" t="s">
        <v>1660</v>
      </c>
      <c r="G387" s="1146" t="s">
        <v>683</v>
      </c>
      <c r="H387" s="1147" t="s">
        <v>1660</v>
      </c>
      <c r="I387" s="1146" t="s">
        <v>1562</v>
      </c>
      <c r="J387" s="1148" t="s">
        <v>221</v>
      </c>
      <c r="K387" s="1" t="s">
        <v>125</v>
      </c>
      <c r="M387" s="1" t="s">
        <v>1031</v>
      </c>
    </row>
    <row r="388" spans="2:13" ht="15" hidden="1" customHeight="1" outlineLevel="1" x14ac:dyDescent="0.25">
      <c r="B388" s="1142" t="s">
        <v>839</v>
      </c>
      <c r="C388" s="1143"/>
      <c r="D388" s="1143" t="s">
        <v>846</v>
      </c>
      <c r="E388" s="1144">
        <v>8.4730000000000008</v>
      </c>
      <c r="F388" s="1145" t="s">
        <v>1660</v>
      </c>
      <c r="G388" s="1146" t="s">
        <v>683</v>
      </c>
      <c r="H388" s="1147" t="s">
        <v>1660</v>
      </c>
      <c r="I388" s="1146" t="s">
        <v>1564</v>
      </c>
      <c r="J388" s="1148" t="s">
        <v>221</v>
      </c>
      <c r="K388" s="1" t="s">
        <v>125</v>
      </c>
      <c r="M388" s="1" t="s">
        <v>1032</v>
      </c>
    </row>
    <row r="389" spans="2:13" ht="15" hidden="1" customHeight="1" outlineLevel="1" x14ac:dyDescent="0.25">
      <c r="B389" s="1142" t="s">
        <v>839</v>
      </c>
      <c r="C389" s="1143"/>
      <c r="D389" s="1143" t="s">
        <v>843</v>
      </c>
      <c r="E389" s="1144">
        <v>1.2909999999999999</v>
      </c>
      <c r="F389" s="1145" t="s">
        <v>125</v>
      </c>
      <c r="G389" s="1146"/>
      <c r="H389" s="1147" t="s">
        <v>125</v>
      </c>
      <c r="I389" s="1146"/>
      <c r="J389" s="1148" t="s">
        <v>221</v>
      </c>
      <c r="K389" s="1" t="s">
        <v>125</v>
      </c>
      <c r="M389" s="1" t="s">
        <v>1033</v>
      </c>
    </row>
    <row r="390" spans="2:13" ht="15" hidden="1" customHeight="1" outlineLevel="1" x14ac:dyDescent="0.25">
      <c r="B390" s="1142" t="s">
        <v>839</v>
      </c>
      <c r="C390" s="1143"/>
      <c r="D390" s="1143" t="s">
        <v>843</v>
      </c>
      <c r="E390" s="1144">
        <v>0.29060000000000002</v>
      </c>
      <c r="F390" s="1145" t="s">
        <v>125</v>
      </c>
      <c r="G390" s="1146"/>
      <c r="H390" s="1147" t="s">
        <v>125</v>
      </c>
      <c r="I390" s="1146"/>
      <c r="J390" s="1148" t="s">
        <v>221</v>
      </c>
      <c r="K390" s="1" t="s">
        <v>125</v>
      </c>
      <c r="M390" s="1" t="s">
        <v>1034</v>
      </c>
    </row>
    <row r="391" spans="2:13" ht="15" hidden="1" customHeight="1" outlineLevel="1" x14ac:dyDescent="0.25">
      <c r="B391" s="1142" t="s">
        <v>931</v>
      </c>
      <c r="C391" s="1143"/>
      <c r="D391" s="1143" t="s">
        <v>932</v>
      </c>
      <c r="E391" s="1144">
        <v>199.3</v>
      </c>
      <c r="F391" s="1145" t="s">
        <v>1660</v>
      </c>
      <c r="G391" s="1146" t="s">
        <v>1661</v>
      </c>
      <c r="H391" s="1147" t="s">
        <v>1660</v>
      </c>
      <c r="I391" s="1146" t="s">
        <v>1691</v>
      </c>
      <c r="J391" s="1148" t="s">
        <v>221</v>
      </c>
      <c r="K391" s="1" t="s">
        <v>125</v>
      </c>
      <c r="M391" s="1" t="s">
        <v>1025</v>
      </c>
    </row>
    <row r="392" spans="2:13" ht="15" hidden="1" customHeight="1" outlineLevel="1" x14ac:dyDescent="0.25">
      <c r="B392" s="1142" t="s">
        <v>931</v>
      </c>
      <c r="C392" s="1143"/>
      <c r="D392" s="1143" t="s">
        <v>947</v>
      </c>
      <c r="E392" s="1144">
        <v>0.48570000000000002</v>
      </c>
      <c r="F392" s="1145" t="s">
        <v>1660</v>
      </c>
      <c r="G392" s="1146" t="s">
        <v>1661</v>
      </c>
      <c r="H392" s="1147" t="s">
        <v>125</v>
      </c>
      <c r="I392" s="1146"/>
      <c r="J392" s="1148" t="s">
        <v>221</v>
      </c>
      <c r="K392" s="1" t="s">
        <v>125</v>
      </c>
      <c r="M392" s="1" t="s">
        <v>1035</v>
      </c>
    </row>
    <row r="393" spans="2:13" ht="15" hidden="1" customHeight="1" outlineLevel="1" x14ac:dyDescent="0.25">
      <c r="B393" s="1142" t="s">
        <v>931</v>
      </c>
      <c r="C393" s="1143"/>
      <c r="D393" s="1143" t="s">
        <v>934</v>
      </c>
      <c r="E393" s="1144">
        <v>38.15</v>
      </c>
      <c r="F393" s="1145" t="s">
        <v>1660</v>
      </c>
      <c r="G393" s="1146" t="s">
        <v>1809</v>
      </c>
      <c r="H393" s="1147" t="s">
        <v>1660</v>
      </c>
      <c r="I393" s="1146" t="s">
        <v>1810</v>
      </c>
      <c r="J393" s="1148" t="s">
        <v>935</v>
      </c>
      <c r="K393" s="1" t="s">
        <v>125</v>
      </c>
      <c r="M393" s="1" t="s">
        <v>1036</v>
      </c>
    </row>
    <row r="394" spans="2:13" ht="15" hidden="1" customHeight="1" outlineLevel="1" x14ac:dyDescent="0.25">
      <c r="B394" s="1142" t="s">
        <v>931</v>
      </c>
      <c r="C394" s="1143"/>
      <c r="D394" s="1143" t="s">
        <v>937</v>
      </c>
      <c r="E394" s="1144">
        <v>20760</v>
      </c>
      <c r="F394" s="1145" t="s">
        <v>1660</v>
      </c>
      <c r="G394" s="1146" t="s">
        <v>1811</v>
      </c>
      <c r="H394" s="1147" t="s">
        <v>1660</v>
      </c>
      <c r="I394" s="1146" t="s">
        <v>1812</v>
      </c>
      <c r="J394" s="1148" t="s">
        <v>935</v>
      </c>
      <c r="K394" s="1" t="s">
        <v>125</v>
      </c>
      <c r="M394" s="1" t="s">
        <v>1036</v>
      </c>
    </row>
    <row r="395" spans="2:13" ht="15" hidden="1" customHeight="1" outlineLevel="1" x14ac:dyDescent="0.25">
      <c r="B395" s="1142" t="s">
        <v>931</v>
      </c>
      <c r="C395" s="1143"/>
      <c r="D395" s="1143" t="s">
        <v>938</v>
      </c>
      <c r="E395" s="1144">
        <v>3331</v>
      </c>
      <c r="F395" s="1145" t="s">
        <v>1660</v>
      </c>
      <c r="G395" s="1146" t="s">
        <v>1813</v>
      </c>
      <c r="H395" s="1147" t="s">
        <v>1660</v>
      </c>
      <c r="I395" s="1146" t="s">
        <v>1814</v>
      </c>
      <c r="J395" s="1148" t="s">
        <v>935</v>
      </c>
      <c r="K395" s="1" t="s">
        <v>125</v>
      </c>
      <c r="M395" s="1" t="s">
        <v>1036</v>
      </c>
    </row>
    <row r="396" spans="2:13" ht="15" hidden="1" customHeight="1" outlineLevel="1" x14ac:dyDescent="0.25">
      <c r="B396" s="1142" t="s">
        <v>931</v>
      </c>
      <c r="C396" s="1143"/>
      <c r="D396" s="1143" t="s">
        <v>939</v>
      </c>
      <c r="E396" s="1144">
        <v>0.73809999999999998</v>
      </c>
      <c r="F396" s="1145" t="s">
        <v>1660</v>
      </c>
      <c r="G396" s="1146" t="s">
        <v>1815</v>
      </c>
      <c r="H396" s="1147" t="s">
        <v>1660</v>
      </c>
      <c r="I396" s="1146" t="s">
        <v>1816</v>
      </c>
      <c r="J396" s="1148" t="s">
        <v>935</v>
      </c>
      <c r="K396" s="1" t="s">
        <v>125</v>
      </c>
      <c r="M396" s="1" t="s">
        <v>1036</v>
      </c>
    </row>
    <row r="397" spans="2:13" ht="15" hidden="1" customHeight="1" outlineLevel="1" x14ac:dyDescent="0.25">
      <c r="B397" s="1142" t="s">
        <v>931</v>
      </c>
      <c r="C397" s="1143"/>
      <c r="D397" s="1143" t="s">
        <v>940</v>
      </c>
      <c r="E397" s="1144">
        <v>0</v>
      </c>
      <c r="F397" s="1145" t="s">
        <v>125</v>
      </c>
      <c r="G397" s="1146"/>
      <c r="H397" s="1147" t="s">
        <v>125</v>
      </c>
      <c r="I397" s="1146"/>
      <c r="J397" s="1148" t="s">
        <v>935</v>
      </c>
      <c r="K397" s="1" t="s">
        <v>125</v>
      </c>
      <c r="M397" s="1" t="s">
        <v>1036</v>
      </c>
    </row>
    <row r="398" spans="2:13" ht="15" hidden="1" customHeight="1" outlineLevel="1" x14ac:dyDescent="0.25">
      <c r="B398" s="1142" t="s">
        <v>931</v>
      </c>
      <c r="C398" s="1143"/>
      <c r="D398" s="1143" t="s">
        <v>941</v>
      </c>
      <c r="E398" s="1144">
        <v>290.7</v>
      </c>
      <c r="F398" s="1145" t="s">
        <v>1660</v>
      </c>
      <c r="G398" s="1146" t="s">
        <v>1817</v>
      </c>
      <c r="H398" s="1147" t="s">
        <v>1660</v>
      </c>
      <c r="I398" s="1146" t="s">
        <v>1818</v>
      </c>
      <c r="J398" s="1148" t="s">
        <v>935</v>
      </c>
      <c r="K398" s="1" t="s">
        <v>125</v>
      </c>
      <c r="M398" s="1" t="s">
        <v>1036</v>
      </c>
    </row>
    <row r="399" spans="2:13" ht="15" hidden="1" customHeight="1" outlineLevel="1" x14ac:dyDescent="0.25">
      <c r="B399" s="1142" t="s">
        <v>931</v>
      </c>
      <c r="C399" s="1143"/>
      <c r="D399" s="1143" t="s">
        <v>942</v>
      </c>
      <c r="E399" s="1144">
        <v>27720</v>
      </c>
      <c r="F399" s="1145" t="s">
        <v>1660</v>
      </c>
      <c r="G399" s="1146" t="s">
        <v>1819</v>
      </c>
      <c r="H399" s="1147" t="s">
        <v>1660</v>
      </c>
      <c r="I399" s="1146" t="s">
        <v>1820</v>
      </c>
      <c r="J399" s="1148" t="s">
        <v>935</v>
      </c>
      <c r="K399" s="1" t="s">
        <v>125</v>
      </c>
      <c r="M399" s="1" t="s">
        <v>1036</v>
      </c>
    </row>
    <row r="400" spans="2:13" ht="15" hidden="1" customHeight="1" outlineLevel="1" x14ac:dyDescent="0.25">
      <c r="B400" s="1142" t="s">
        <v>931</v>
      </c>
      <c r="C400" s="1143"/>
      <c r="D400" s="1143" t="s">
        <v>932</v>
      </c>
      <c r="E400" s="1144">
        <v>46.35</v>
      </c>
      <c r="F400" s="1145" t="s">
        <v>1660</v>
      </c>
      <c r="G400" s="1146" t="s">
        <v>683</v>
      </c>
      <c r="H400" s="1147" t="s">
        <v>1660</v>
      </c>
      <c r="I400" s="1146" t="s">
        <v>1704</v>
      </c>
      <c r="J400" s="1148" t="s">
        <v>221</v>
      </c>
      <c r="K400" s="1" t="s">
        <v>125</v>
      </c>
      <c r="M400" s="1" t="s">
        <v>1032</v>
      </c>
    </row>
    <row r="401" spans="2:13" ht="15" hidden="1" customHeight="1" outlineLevel="1" x14ac:dyDescent="0.25">
      <c r="B401" s="1142" t="s">
        <v>931</v>
      </c>
      <c r="C401" s="1143"/>
      <c r="D401" s="1143" t="s">
        <v>947</v>
      </c>
      <c r="E401" s="1144">
        <v>0.4667</v>
      </c>
      <c r="F401" s="1145" t="s">
        <v>1660</v>
      </c>
      <c r="G401" s="1146" t="s">
        <v>684</v>
      </c>
      <c r="H401" s="1147" t="s">
        <v>125</v>
      </c>
      <c r="I401" s="1146"/>
      <c r="J401" s="1148" t="s">
        <v>221</v>
      </c>
      <c r="K401" s="1" t="s">
        <v>125</v>
      </c>
      <c r="M401" s="1" t="s">
        <v>1037</v>
      </c>
    </row>
    <row r="402" spans="2:13" ht="15" hidden="1" customHeight="1" outlineLevel="1" x14ac:dyDescent="0.25">
      <c r="B402" s="1142" t="s">
        <v>931</v>
      </c>
      <c r="C402" s="1143"/>
      <c r="D402" s="1143" t="s">
        <v>932</v>
      </c>
      <c r="E402" s="1144">
        <v>109.2</v>
      </c>
      <c r="F402" s="1145" t="s">
        <v>125</v>
      </c>
      <c r="G402" s="1146"/>
      <c r="H402" s="1147" t="s">
        <v>125</v>
      </c>
      <c r="I402" s="1146"/>
      <c r="J402" s="1148" t="s">
        <v>221</v>
      </c>
      <c r="K402" s="1" t="s">
        <v>125</v>
      </c>
      <c r="M402" s="1" t="s">
        <v>1038</v>
      </c>
    </row>
    <row r="403" spans="2:13" ht="15" hidden="1" customHeight="1" outlineLevel="1" x14ac:dyDescent="0.25">
      <c r="B403" s="1142" t="s">
        <v>945</v>
      </c>
      <c r="C403" s="1143" t="s">
        <v>946</v>
      </c>
      <c r="D403" s="1143" t="s">
        <v>934</v>
      </c>
      <c r="E403" s="1144">
        <v>2136</v>
      </c>
      <c r="F403" s="1145" t="s">
        <v>1660</v>
      </c>
      <c r="G403" s="1146" t="s">
        <v>1821</v>
      </c>
      <c r="H403" s="1147" t="s">
        <v>1660</v>
      </c>
      <c r="I403" s="1146" t="s">
        <v>1822</v>
      </c>
      <c r="J403" s="1148" t="s">
        <v>935</v>
      </c>
      <c r="K403" s="1" t="s">
        <v>125</v>
      </c>
      <c r="M403" s="1" t="s">
        <v>1036</v>
      </c>
    </row>
    <row r="404" spans="2:13" ht="15" hidden="1" customHeight="1" outlineLevel="1" x14ac:dyDescent="0.25">
      <c r="B404" s="1142" t="s">
        <v>945</v>
      </c>
      <c r="C404" s="1143" t="s">
        <v>946</v>
      </c>
      <c r="D404" s="1143" t="s">
        <v>937</v>
      </c>
      <c r="E404" s="1144">
        <v>135200</v>
      </c>
      <c r="F404" s="1145" t="s">
        <v>1660</v>
      </c>
      <c r="G404" s="1146" t="s">
        <v>1823</v>
      </c>
      <c r="H404" s="1147" t="s">
        <v>1660</v>
      </c>
      <c r="I404" s="1146" t="s">
        <v>1824</v>
      </c>
      <c r="J404" s="1148" t="s">
        <v>935</v>
      </c>
      <c r="K404" s="1" t="s">
        <v>125</v>
      </c>
      <c r="M404" s="1" t="s">
        <v>1036</v>
      </c>
    </row>
    <row r="405" spans="2:13" ht="15" hidden="1" customHeight="1" outlineLevel="1" x14ac:dyDescent="0.25">
      <c r="B405" s="1142" t="s">
        <v>945</v>
      </c>
      <c r="C405" s="1143" t="s">
        <v>946</v>
      </c>
      <c r="D405" s="1143" t="s">
        <v>938</v>
      </c>
      <c r="E405" s="1144">
        <v>-3688</v>
      </c>
      <c r="F405" s="1145" t="s">
        <v>1660</v>
      </c>
      <c r="G405" s="1146" t="s">
        <v>1825</v>
      </c>
      <c r="H405" s="1147" t="s">
        <v>1660</v>
      </c>
      <c r="I405" s="1146" t="s">
        <v>1826</v>
      </c>
      <c r="J405" s="1148" t="s">
        <v>935</v>
      </c>
      <c r="K405" s="1" t="s">
        <v>125</v>
      </c>
      <c r="M405" s="1" t="s">
        <v>1036</v>
      </c>
    </row>
    <row r="406" spans="2:13" ht="15" hidden="1" customHeight="1" outlineLevel="1" x14ac:dyDescent="0.25">
      <c r="B406" s="1142" t="s">
        <v>945</v>
      </c>
      <c r="C406" s="1143" t="s">
        <v>946</v>
      </c>
      <c r="D406" s="1143" t="s">
        <v>939</v>
      </c>
      <c r="E406" s="1144">
        <v>26.09</v>
      </c>
      <c r="F406" s="1145" t="s">
        <v>1660</v>
      </c>
      <c r="G406" s="1146" t="s">
        <v>1827</v>
      </c>
      <c r="H406" s="1147" t="s">
        <v>1660</v>
      </c>
      <c r="I406" s="1146" t="s">
        <v>1828</v>
      </c>
      <c r="J406" s="1148" t="s">
        <v>935</v>
      </c>
      <c r="K406" s="1" t="s">
        <v>125</v>
      </c>
      <c r="M406" s="1" t="s">
        <v>1036</v>
      </c>
    </row>
    <row r="407" spans="2:13" ht="15" hidden="1" customHeight="1" outlineLevel="1" x14ac:dyDescent="0.25">
      <c r="B407" s="1142" t="s">
        <v>945</v>
      </c>
      <c r="C407" s="1143" t="s">
        <v>946</v>
      </c>
      <c r="D407" s="1143" t="s">
        <v>940</v>
      </c>
      <c r="E407" s="1144">
        <v>9827</v>
      </c>
      <c r="F407" s="1145" t="s">
        <v>1660</v>
      </c>
      <c r="G407" s="1146" t="s">
        <v>1829</v>
      </c>
      <c r="H407" s="1147" t="s">
        <v>1660</v>
      </c>
      <c r="I407" s="1108" t="s">
        <v>1830</v>
      </c>
      <c r="J407" s="1148" t="s">
        <v>935</v>
      </c>
      <c r="K407" s="1" t="s">
        <v>125</v>
      </c>
      <c r="M407" s="1" t="s">
        <v>1036</v>
      </c>
    </row>
    <row r="408" spans="2:13" ht="15" hidden="1" customHeight="1" outlineLevel="1" x14ac:dyDescent="0.25">
      <c r="B408" s="1142" t="s">
        <v>945</v>
      </c>
      <c r="C408" s="1143" t="s">
        <v>946</v>
      </c>
      <c r="D408" s="1143" t="s">
        <v>941</v>
      </c>
      <c r="E408" s="1144">
        <v>16900</v>
      </c>
      <c r="F408" s="1145" t="s">
        <v>1660</v>
      </c>
      <c r="G408" s="1146" t="s">
        <v>1831</v>
      </c>
      <c r="H408" s="1147" t="s">
        <v>1660</v>
      </c>
      <c r="I408" s="1108" t="s">
        <v>1832</v>
      </c>
      <c r="J408" s="1148" t="s">
        <v>935</v>
      </c>
      <c r="K408" s="1" t="s">
        <v>125</v>
      </c>
      <c r="M408" s="1" t="s">
        <v>1036</v>
      </c>
    </row>
    <row r="409" spans="2:13" ht="15" hidden="1" customHeight="1" outlineLevel="1" x14ac:dyDescent="0.25">
      <c r="B409" s="1149" t="s">
        <v>945</v>
      </c>
      <c r="C409" s="1150" t="s">
        <v>946</v>
      </c>
      <c r="D409" s="1150" t="s">
        <v>942</v>
      </c>
      <c r="E409" s="1151">
        <v>441200</v>
      </c>
      <c r="F409" s="1152" t="s">
        <v>1660</v>
      </c>
      <c r="G409" s="1158" t="s">
        <v>1833</v>
      </c>
      <c r="H409" s="1154" t="s">
        <v>1660</v>
      </c>
      <c r="I409" s="1158" t="s">
        <v>1834</v>
      </c>
      <c r="J409" s="1155" t="s">
        <v>935</v>
      </c>
      <c r="K409" s="1" t="s">
        <v>125</v>
      </c>
      <c r="M409" s="1" t="s">
        <v>1036</v>
      </c>
    </row>
    <row r="410" spans="2:13" ht="15" customHeight="1" x14ac:dyDescent="0.25">
      <c r="D410" s="1159"/>
      <c r="E410" s="1160"/>
      <c r="F410" s="1161" t="s">
        <v>125</v>
      </c>
      <c r="G410" s="672"/>
      <c r="H410" s="1162" t="s">
        <v>125</v>
      </c>
      <c r="I410" s="672"/>
      <c r="J410" s="672"/>
    </row>
    <row r="411" spans="2:13" ht="15" customHeight="1" collapsed="1" x14ac:dyDescent="0.25">
      <c r="B411" s="1164" t="s">
        <v>825</v>
      </c>
      <c r="C411" s="1165"/>
      <c r="D411" s="1208" t="s">
        <v>1039</v>
      </c>
      <c r="E411" s="1166">
        <v>11090</v>
      </c>
      <c r="F411" s="1167" t="s">
        <v>1660</v>
      </c>
      <c r="G411" s="1168" t="s">
        <v>1835</v>
      </c>
      <c r="H411" s="1169" t="s">
        <v>125</v>
      </c>
      <c r="I411" s="1168"/>
      <c r="J411" s="246" t="s">
        <v>221</v>
      </c>
      <c r="K411" s="292">
        <v>100</v>
      </c>
    </row>
    <row r="412" spans="2:13" ht="15" hidden="1" customHeight="1" outlineLevel="1" x14ac:dyDescent="0.25">
      <c r="B412" s="1137" t="s">
        <v>827</v>
      </c>
      <c r="C412" s="1138" t="s">
        <v>979</v>
      </c>
      <c r="D412" s="1138" t="s">
        <v>980</v>
      </c>
      <c r="E412" s="1139">
        <v>13.1</v>
      </c>
      <c r="F412" s="1140" t="s">
        <v>125</v>
      </c>
      <c r="G412" s="1163"/>
      <c r="H412" s="1141" t="s">
        <v>125</v>
      </c>
      <c r="I412" s="954"/>
      <c r="J412" s="955" t="s">
        <v>186</v>
      </c>
      <c r="K412" s="1" t="s">
        <v>125</v>
      </c>
      <c r="M412" s="1" t="s">
        <v>997</v>
      </c>
    </row>
    <row r="413" spans="2:13" ht="15" hidden="1" customHeight="1" outlineLevel="1" x14ac:dyDescent="0.25">
      <c r="B413" s="1142" t="s">
        <v>827</v>
      </c>
      <c r="C413" s="1143" t="s">
        <v>981</v>
      </c>
      <c r="D413" s="1143" t="s">
        <v>982</v>
      </c>
      <c r="E413" s="1144">
        <v>10000</v>
      </c>
      <c r="F413" s="1145" t="s">
        <v>125</v>
      </c>
      <c r="G413" s="1146"/>
      <c r="H413" s="1147" t="s">
        <v>125</v>
      </c>
      <c r="I413" s="1146"/>
      <c r="J413" s="1148" t="s">
        <v>181</v>
      </c>
      <c r="K413" s="1" t="s">
        <v>125</v>
      </c>
      <c r="M413" s="1" t="s">
        <v>998</v>
      </c>
    </row>
    <row r="414" spans="2:13" ht="15" hidden="1" customHeight="1" outlineLevel="1" x14ac:dyDescent="0.25">
      <c r="B414" s="1142" t="s">
        <v>827</v>
      </c>
      <c r="C414" s="1143" t="s">
        <v>981</v>
      </c>
      <c r="D414" s="1143" t="s">
        <v>983</v>
      </c>
      <c r="E414" s="1144">
        <v>0</v>
      </c>
      <c r="F414" s="1145" t="s">
        <v>125</v>
      </c>
      <c r="G414" s="1146"/>
      <c r="H414" s="1147" t="s">
        <v>125</v>
      </c>
      <c r="I414" s="1146"/>
      <c r="J414" s="1148" t="s">
        <v>182</v>
      </c>
      <c r="K414" s="1" t="s">
        <v>125</v>
      </c>
      <c r="M414" s="1" t="s">
        <v>999</v>
      </c>
    </row>
    <row r="415" spans="2:13" ht="15" hidden="1" customHeight="1" outlineLevel="1" x14ac:dyDescent="0.25">
      <c r="B415" s="1142" t="s">
        <v>827</v>
      </c>
      <c r="C415" s="1143" t="s">
        <v>981</v>
      </c>
      <c r="D415" s="1143" t="s">
        <v>984</v>
      </c>
      <c r="E415" s="1144">
        <v>0</v>
      </c>
      <c r="F415" s="1145" t="s">
        <v>125</v>
      </c>
      <c r="G415" s="1146"/>
      <c r="H415" s="1147" t="s">
        <v>125</v>
      </c>
      <c r="I415" s="1146"/>
      <c r="J415" s="1148" t="s">
        <v>182</v>
      </c>
      <c r="K415" s="1" t="s">
        <v>125</v>
      </c>
      <c r="M415" s="1" t="s">
        <v>999</v>
      </c>
    </row>
    <row r="416" spans="2:13" ht="15" hidden="1" customHeight="1" outlineLevel="1" x14ac:dyDescent="0.25">
      <c r="B416" s="1142" t="s">
        <v>827</v>
      </c>
      <c r="C416" s="1143" t="s">
        <v>981</v>
      </c>
      <c r="D416" s="1143" t="s">
        <v>985</v>
      </c>
      <c r="E416" s="1144">
        <v>0</v>
      </c>
      <c r="F416" s="1145" t="s">
        <v>125</v>
      </c>
      <c r="G416" s="1146"/>
      <c r="H416" s="1147" t="s">
        <v>125</v>
      </c>
      <c r="I416" s="1146"/>
      <c r="J416" s="1148" t="s">
        <v>182</v>
      </c>
      <c r="K416" s="1" t="s">
        <v>125</v>
      </c>
      <c r="M416" s="1" t="s">
        <v>999</v>
      </c>
    </row>
    <row r="417" spans="2:13" ht="15" hidden="1" customHeight="1" outlineLevel="1" x14ac:dyDescent="0.25">
      <c r="B417" s="1142" t="s">
        <v>827</v>
      </c>
      <c r="C417" s="1143" t="s">
        <v>981</v>
      </c>
      <c r="D417" s="1143" t="s">
        <v>986</v>
      </c>
      <c r="E417" s="1144">
        <v>0</v>
      </c>
      <c r="F417" s="1145" t="s">
        <v>125</v>
      </c>
      <c r="G417" s="1146"/>
      <c r="H417" s="1147" t="s">
        <v>125</v>
      </c>
      <c r="I417" s="1146"/>
      <c r="J417" s="1148" t="s">
        <v>182</v>
      </c>
      <c r="K417" s="1" t="s">
        <v>125</v>
      </c>
      <c r="M417" s="1" t="s">
        <v>999</v>
      </c>
    </row>
    <row r="418" spans="2:13" ht="15" hidden="1" customHeight="1" outlineLevel="1" x14ac:dyDescent="0.25">
      <c r="B418" s="1142" t="s">
        <v>827</v>
      </c>
      <c r="C418" s="1143" t="s">
        <v>981</v>
      </c>
      <c r="D418" s="1143" t="s">
        <v>987</v>
      </c>
      <c r="E418" s="1144">
        <v>0</v>
      </c>
      <c r="F418" s="1145" t="s">
        <v>125</v>
      </c>
      <c r="G418" s="1146"/>
      <c r="H418" s="1147" t="s">
        <v>125</v>
      </c>
      <c r="I418" s="1146"/>
      <c r="J418" s="1148" t="s">
        <v>182</v>
      </c>
      <c r="K418" s="1" t="s">
        <v>125</v>
      </c>
      <c r="M418" s="1" t="s">
        <v>999</v>
      </c>
    </row>
    <row r="419" spans="2:13" ht="15" hidden="1" customHeight="1" outlineLevel="1" x14ac:dyDescent="0.25">
      <c r="B419" s="1142" t="s">
        <v>830</v>
      </c>
      <c r="C419" s="1143"/>
      <c r="D419" s="1143" t="s">
        <v>665</v>
      </c>
      <c r="E419" s="1144">
        <v>3522</v>
      </c>
      <c r="F419" s="1145" t="s">
        <v>1660</v>
      </c>
      <c r="G419" s="1146" t="s">
        <v>726</v>
      </c>
      <c r="H419" s="1147" t="s">
        <v>125</v>
      </c>
      <c r="I419" s="1146"/>
      <c r="J419" s="1148" t="s">
        <v>221</v>
      </c>
      <c r="K419" s="1" t="s">
        <v>125</v>
      </c>
      <c r="M419" s="1" t="s">
        <v>1000</v>
      </c>
    </row>
    <row r="420" spans="2:13" ht="15" hidden="1" customHeight="1" outlineLevel="1" x14ac:dyDescent="0.25">
      <c r="B420" s="1142" t="s">
        <v>830</v>
      </c>
      <c r="C420" s="1143"/>
      <c r="D420" s="1143" t="s">
        <v>673</v>
      </c>
      <c r="E420" s="1144">
        <v>308.89999999999998</v>
      </c>
      <c r="F420" s="1145" t="s">
        <v>1660</v>
      </c>
      <c r="G420" s="1146" t="s">
        <v>723</v>
      </c>
      <c r="H420" s="1147" t="s">
        <v>125</v>
      </c>
      <c r="I420" s="1146"/>
      <c r="J420" s="1148" t="s">
        <v>221</v>
      </c>
      <c r="K420" s="1" t="s">
        <v>125</v>
      </c>
      <c r="M420" s="1" t="s">
        <v>1001</v>
      </c>
    </row>
    <row r="421" spans="2:13" ht="15" hidden="1" customHeight="1" outlineLevel="1" x14ac:dyDescent="0.25">
      <c r="B421" s="1142" t="s">
        <v>830</v>
      </c>
      <c r="C421" s="1143"/>
      <c r="D421" s="1143" t="s">
        <v>653</v>
      </c>
      <c r="E421" s="1144">
        <v>11.73</v>
      </c>
      <c r="F421" s="1145" t="s">
        <v>1660</v>
      </c>
      <c r="G421" s="1146" t="s">
        <v>1661</v>
      </c>
      <c r="H421" s="1147" t="s">
        <v>125</v>
      </c>
      <c r="I421" s="1146"/>
      <c r="J421" s="1148" t="s">
        <v>221</v>
      </c>
      <c r="K421" s="1" t="s">
        <v>125</v>
      </c>
      <c r="M421" s="1" t="s">
        <v>1040</v>
      </c>
    </row>
    <row r="422" spans="2:13" ht="15" hidden="1" customHeight="1" outlineLevel="1" x14ac:dyDescent="0.25">
      <c r="B422" s="1142" t="s">
        <v>830</v>
      </c>
      <c r="C422" s="1143"/>
      <c r="D422" s="1143" t="s">
        <v>654</v>
      </c>
      <c r="E422" s="1144">
        <v>31.12</v>
      </c>
      <c r="F422" s="1145" t="s">
        <v>1660</v>
      </c>
      <c r="G422" s="1146" t="s">
        <v>1661</v>
      </c>
      <c r="H422" s="1147" t="s">
        <v>125</v>
      </c>
      <c r="I422" s="1146"/>
      <c r="J422" s="1148" t="s">
        <v>221</v>
      </c>
      <c r="K422" s="1" t="s">
        <v>125</v>
      </c>
      <c r="M422" s="1" t="s">
        <v>1041</v>
      </c>
    </row>
    <row r="423" spans="2:13" ht="15" hidden="1" customHeight="1" outlineLevel="1" x14ac:dyDescent="0.25">
      <c r="B423" s="1142" t="s">
        <v>830</v>
      </c>
      <c r="C423" s="1143"/>
      <c r="D423" s="1143" t="s">
        <v>652</v>
      </c>
      <c r="E423" s="1144">
        <v>231.1</v>
      </c>
      <c r="F423" s="1145" t="s">
        <v>1660</v>
      </c>
      <c r="G423" s="1146" t="s">
        <v>1661</v>
      </c>
      <c r="H423" s="1147" t="s">
        <v>125</v>
      </c>
      <c r="I423" s="1146"/>
      <c r="J423" s="1148" t="s">
        <v>221</v>
      </c>
      <c r="K423" s="1" t="s">
        <v>125</v>
      </c>
      <c r="M423" s="1" t="s">
        <v>1042</v>
      </c>
    </row>
    <row r="424" spans="2:13" ht="15" hidden="1" customHeight="1" outlineLevel="1" x14ac:dyDescent="0.25">
      <c r="B424" s="1142" t="s">
        <v>830</v>
      </c>
      <c r="C424" s="1143"/>
      <c r="D424" s="1143" t="s">
        <v>650</v>
      </c>
      <c r="E424" s="1144">
        <v>14.64</v>
      </c>
      <c r="F424" s="1145" t="s">
        <v>1660</v>
      </c>
      <c r="G424" s="1146" t="s">
        <v>1661</v>
      </c>
      <c r="H424" s="1147" t="s">
        <v>125</v>
      </c>
      <c r="I424" s="1146"/>
      <c r="J424" s="1148" t="s">
        <v>221</v>
      </c>
      <c r="K424" s="1" t="s">
        <v>125</v>
      </c>
      <c r="M424" s="1" t="s">
        <v>1043</v>
      </c>
    </row>
    <row r="425" spans="2:13" ht="15" hidden="1" customHeight="1" outlineLevel="1" x14ac:dyDescent="0.25">
      <c r="B425" s="1142" t="s">
        <v>830</v>
      </c>
      <c r="C425" s="1143"/>
      <c r="D425" s="1143" t="s">
        <v>649</v>
      </c>
      <c r="E425" s="1144">
        <v>57.31</v>
      </c>
      <c r="F425" s="1145" t="s">
        <v>1660</v>
      </c>
      <c r="G425" s="1146" t="s">
        <v>1661</v>
      </c>
      <c r="H425" s="1147" t="s">
        <v>125</v>
      </c>
      <c r="I425" s="1146"/>
      <c r="J425" s="1148" t="s">
        <v>221</v>
      </c>
      <c r="K425" s="1" t="s">
        <v>125</v>
      </c>
      <c r="M425" s="1" t="s">
        <v>1044</v>
      </c>
    </row>
    <row r="426" spans="2:13" ht="15" hidden="1" customHeight="1" outlineLevel="1" x14ac:dyDescent="0.25">
      <c r="B426" s="1142" t="s">
        <v>830</v>
      </c>
      <c r="C426" s="1143"/>
      <c r="D426" s="1143" t="s">
        <v>648</v>
      </c>
      <c r="E426" s="1144">
        <v>86.36</v>
      </c>
      <c r="F426" s="1145" t="s">
        <v>1660</v>
      </c>
      <c r="G426" s="1146" t="s">
        <v>1661</v>
      </c>
      <c r="H426" s="1147" t="s">
        <v>125</v>
      </c>
      <c r="I426" s="1146"/>
      <c r="J426" s="1148" t="s">
        <v>221</v>
      </c>
      <c r="K426" s="1" t="s">
        <v>125</v>
      </c>
      <c r="M426" s="1" t="s">
        <v>1045</v>
      </c>
    </row>
    <row r="427" spans="2:13" ht="15" hidden="1" customHeight="1" outlineLevel="1" x14ac:dyDescent="0.25">
      <c r="B427" s="1142" t="s">
        <v>830</v>
      </c>
      <c r="C427" s="1143"/>
      <c r="D427" s="1143" t="s">
        <v>657</v>
      </c>
      <c r="E427" s="1144">
        <v>5.1379999999999999</v>
      </c>
      <c r="F427" s="1145" t="s">
        <v>1660</v>
      </c>
      <c r="G427" s="1146" t="s">
        <v>1661</v>
      </c>
      <c r="H427" s="1147" t="s">
        <v>125</v>
      </c>
      <c r="I427" s="1146"/>
      <c r="J427" s="1148" t="s">
        <v>221</v>
      </c>
      <c r="K427" s="1" t="s">
        <v>125</v>
      </c>
      <c r="M427" s="1" t="s">
        <v>1046</v>
      </c>
    </row>
    <row r="428" spans="2:13" ht="15" hidden="1" customHeight="1" outlineLevel="1" x14ac:dyDescent="0.25">
      <c r="B428" s="1142" t="s">
        <v>830</v>
      </c>
      <c r="C428" s="1143"/>
      <c r="D428" s="1143" t="s">
        <v>656</v>
      </c>
      <c r="E428" s="1144">
        <v>8.6269999999999999E-2</v>
      </c>
      <c r="F428" s="1145" t="s">
        <v>1660</v>
      </c>
      <c r="G428" s="1146" t="s">
        <v>1661</v>
      </c>
      <c r="H428" s="1147" t="s">
        <v>125</v>
      </c>
      <c r="I428" s="1146"/>
      <c r="J428" s="1148" t="s">
        <v>221</v>
      </c>
      <c r="K428" s="1" t="s">
        <v>125</v>
      </c>
      <c r="M428" s="1" t="s">
        <v>1047</v>
      </c>
    </row>
    <row r="429" spans="2:13" ht="15" hidden="1" customHeight="1" outlineLevel="1" x14ac:dyDescent="0.25">
      <c r="B429" s="1142" t="s">
        <v>830</v>
      </c>
      <c r="C429" s="1143"/>
      <c r="D429" s="1143" t="s">
        <v>655</v>
      </c>
      <c r="E429" s="1144">
        <v>1.5980000000000001</v>
      </c>
      <c r="F429" s="1145" t="s">
        <v>1660</v>
      </c>
      <c r="G429" s="1146" t="s">
        <v>1661</v>
      </c>
      <c r="H429" s="1147" t="s">
        <v>125</v>
      </c>
      <c r="I429" s="1146"/>
      <c r="J429" s="1148" t="s">
        <v>221</v>
      </c>
      <c r="K429" s="1" t="s">
        <v>125</v>
      </c>
      <c r="M429" s="1" t="s">
        <v>1048</v>
      </c>
    </row>
    <row r="430" spans="2:13" ht="15" hidden="1" customHeight="1" outlineLevel="1" x14ac:dyDescent="0.25">
      <c r="B430" s="1142" t="s">
        <v>830</v>
      </c>
      <c r="C430" s="1143"/>
      <c r="D430" s="1143" t="s">
        <v>658</v>
      </c>
      <c r="E430" s="1144">
        <v>60.44</v>
      </c>
      <c r="F430" s="1145" t="s">
        <v>1660</v>
      </c>
      <c r="G430" s="1146" t="s">
        <v>1661</v>
      </c>
      <c r="H430" s="1147" t="s">
        <v>125</v>
      </c>
      <c r="I430" s="1146"/>
      <c r="J430" s="1148" t="s">
        <v>221</v>
      </c>
      <c r="K430" s="1" t="s">
        <v>125</v>
      </c>
      <c r="M430" s="1" t="s">
        <v>1049</v>
      </c>
    </row>
    <row r="431" spans="2:13" ht="15" hidden="1" customHeight="1" outlineLevel="1" x14ac:dyDescent="0.25">
      <c r="B431" s="1142" t="s">
        <v>830</v>
      </c>
      <c r="C431" s="1143"/>
      <c r="D431" s="1143" t="s">
        <v>659</v>
      </c>
      <c r="E431" s="1144">
        <v>4.0860000000000003</v>
      </c>
      <c r="F431" s="1145" t="s">
        <v>1660</v>
      </c>
      <c r="G431" s="1146" t="s">
        <v>1661</v>
      </c>
      <c r="H431" s="1147" t="s">
        <v>125</v>
      </c>
      <c r="I431" s="1146"/>
      <c r="J431" s="1148" t="s">
        <v>221</v>
      </c>
      <c r="K431" s="1" t="s">
        <v>125</v>
      </c>
      <c r="M431" s="1" t="s">
        <v>1050</v>
      </c>
    </row>
    <row r="432" spans="2:13" ht="15" hidden="1" customHeight="1" outlineLevel="1" x14ac:dyDescent="0.25">
      <c r="B432" s="1142" t="s">
        <v>830</v>
      </c>
      <c r="C432" s="1143"/>
      <c r="D432" s="1143" t="s">
        <v>988</v>
      </c>
      <c r="E432" s="1144">
        <v>1</v>
      </c>
      <c r="F432" s="1145" t="s">
        <v>125</v>
      </c>
      <c r="G432" s="1146"/>
      <c r="H432" s="1147" t="s">
        <v>125</v>
      </c>
      <c r="I432" s="1146"/>
      <c r="J432" s="1148" t="s">
        <v>188</v>
      </c>
      <c r="K432" s="1" t="s">
        <v>125</v>
      </c>
      <c r="M432" s="1" t="s">
        <v>1013</v>
      </c>
    </row>
    <row r="433" spans="2:13" ht="15" hidden="1" customHeight="1" outlineLevel="1" x14ac:dyDescent="0.25">
      <c r="B433" s="1142" t="s">
        <v>830</v>
      </c>
      <c r="C433" s="1143"/>
      <c r="D433" s="1143" t="s">
        <v>662</v>
      </c>
      <c r="E433" s="1144">
        <v>400</v>
      </c>
      <c r="F433" s="1145" t="s">
        <v>125</v>
      </c>
      <c r="G433" s="1146"/>
      <c r="H433" s="1147" t="s">
        <v>125</v>
      </c>
      <c r="I433" s="1146"/>
      <c r="J433" s="1148" t="s">
        <v>221</v>
      </c>
      <c r="K433" s="1" t="s">
        <v>125</v>
      </c>
      <c r="M433" s="1" t="s">
        <v>1014</v>
      </c>
    </row>
    <row r="434" spans="2:13" ht="15" hidden="1" customHeight="1" outlineLevel="1" x14ac:dyDescent="0.25">
      <c r="B434" s="1142" t="s">
        <v>830</v>
      </c>
      <c r="C434" s="1143"/>
      <c r="D434" s="1143" t="s">
        <v>1051</v>
      </c>
      <c r="E434" s="1144">
        <v>43.55</v>
      </c>
      <c r="F434" s="1145" t="s">
        <v>125</v>
      </c>
      <c r="G434" s="1146"/>
      <c r="H434" s="1147" t="s">
        <v>125</v>
      </c>
      <c r="I434" s="1146"/>
      <c r="J434" s="1148" t="s">
        <v>221</v>
      </c>
      <c r="K434" s="1" t="s">
        <v>125</v>
      </c>
      <c r="M434" s="1" t="s">
        <v>1052</v>
      </c>
    </row>
    <row r="435" spans="2:13" ht="15" hidden="1" customHeight="1" outlineLevel="1" x14ac:dyDescent="0.25">
      <c r="B435" s="1142" t="s">
        <v>830</v>
      </c>
      <c r="C435" s="1143"/>
      <c r="D435" s="1143" t="s">
        <v>990</v>
      </c>
      <c r="E435" s="1144">
        <v>114.9</v>
      </c>
      <c r="F435" s="1145" t="s">
        <v>1660</v>
      </c>
      <c r="G435" s="1146" t="s">
        <v>722</v>
      </c>
      <c r="H435" s="1147" t="s">
        <v>125</v>
      </c>
      <c r="I435" s="1146"/>
      <c r="J435" s="1148" t="s">
        <v>836</v>
      </c>
      <c r="K435" s="1" t="s">
        <v>125</v>
      </c>
      <c r="M435" s="1" t="s">
        <v>1015</v>
      </c>
    </row>
    <row r="436" spans="2:13" ht="15" hidden="1" customHeight="1" outlineLevel="1" x14ac:dyDescent="0.25">
      <c r="B436" s="1142" t="s">
        <v>830</v>
      </c>
      <c r="C436" s="1143"/>
      <c r="D436" s="1143" t="s">
        <v>990</v>
      </c>
      <c r="E436" s="1144">
        <v>47.72</v>
      </c>
      <c r="F436" s="1145" t="s">
        <v>1660</v>
      </c>
      <c r="G436" s="1146" t="s">
        <v>1836</v>
      </c>
      <c r="H436" s="1147" t="s">
        <v>125</v>
      </c>
      <c r="I436" s="1146"/>
      <c r="J436" s="1148" t="s">
        <v>836</v>
      </c>
      <c r="K436" s="1" t="s">
        <v>125</v>
      </c>
      <c r="M436" s="1" t="s">
        <v>1016</v>
      </c>
    </row>
    <row r="437" spans="2:13" ht="15" hidden="1" customHeight="1" outlineLevel="1" x14ac:dyDescent="0.25">
      <c r="B437" s="1142" t="s">
        <v>830</v>
      </c>
      <c r="C437" s="1143"/>
      <c r="D437" s="1143" t="s">
        <v>675</v>
      </c>
      <c r="E437" s="1144">
        <v>0.45660000000000001</v>
      </c>
      <c r="F437" s="1145" t="s">
        <v>1660</v>
      </c>
      <c r="G437" s="1146" t="s">
        <v>1661</v>
      </c>
      <c r="H437" s="1147" t="s">
        <v>125</v>
      </c>
      <c r="I437" s="1146"/>
      <c r="J437" s="1148" t="s">
        <v>221</v>
      </c>
      <c r="K437" s="1" t="s">
        <v>125</v>
      </c>
      <c r="M437" s="1" t="s">
        <v>1017</v>
      </c>
    </row>
    <row r="438" spans="2:13" ht="15" hidden="1" customHeight="1" outlineLevel="1" x14ac:dyDescent="0.25">
      <c r="B438" s="1142" t="s">
        <v>830</v>
      </c>
      <c r="C438" s="1143"/>
      <c r="D438" s="1143" t="s">
        <v>676</v>
      </c>
      <c r="E438" s="1144">
        <v>2.9940000000000002</v>
      </c>
      <c r="F438" s="1145" t="s">
        <v>1660</v>
      </c>
      <c r="G438" s="1146" t="s">
        <v>1661</v>
      </c>
      <c r="H438" s="1147" t="s">
        <v>125</v>
      </c>
      <c r="I438" s="1146"/>
      <c r="J438" s="1148" t="s">
        <v>221</v>
      </c>
      <c r="K438" s="1" t="s">
        <v>125</v>
      </c>
      <c r="M438" s="1" t="s">
        <v>1018</v>
      </c>
    </row>
    <row r="439" spans="2:13" ht="15" hidden="1" customHeight="1" outlineLevel="1" x14ac:dyDescent="0.25">
      <c r="B439" s="1142" t="s">
        <v>830</v>
      </c>
      <c r="C439" s="1143"/>
      <c r="D439" s="1143" t="s">
        <v>678</v>
      </c>
      <c r="E439" s="1144">
        <v>3.645</v>
      </c>
      <c r="F439" s="1145" t="s">
        <v>1660</v>
      </c>
      <c r="G439" s="1146" t="s">
        <v>1661</v>
      </c>
      <c r="H439" s="1147" t="s">
        <v>125</v>
      </c>
      <c r="I439" s="1146"/>
      <c r="J439" s="1148" t="s">
        <v>221</v>
      </c>
      <c r="K439" s="1" t="s">
        <v>125</v>
      </c>
      <c r="M439" s="1" t="s">
        <v>1019</v>
      </c>
    </row>
    <row r="440" spans="2:13" ht="15" hidden="1" customHeight="1" outlineLevel="1" x14ac:dyDescent="0.25">
      <c r="B440" s="1142" t="s">
        <v>830</v>
      </c>
      <c r="C440" s="1143"/>
      <c r="D440" s="1143" t="s">
        <v>991</v>
      </c>
      <c r="E440" s="1144">
        <v>0.45660000000000001</v>
      </c>
      <c r="F440" s="1145" t="s">
        <v>1660</v>
      </c>
      <c r="G440" s="1146" t="s">
        <v>1661</v>
      </c>
      <c r="H440" s="1147" t="s">
        <v>125</v>
      </c>
      <c r="I440" s="1146"/>
      <c r="J440" s="1148" t="s">
        <v>221</v>
      </c>
      <c r="K440" s="1" t="s">
        <v>125</v>
      </c>
      <c r="M440" s="1" t="s">
        <v>1020</v>
      </c>
    </row>
    <row r="441" spans="2:13" ht="15" hidden="1" customHeight="1" outlineLevel="1" x14ac:dyDescent="0.25">
      <c r="B441" s="1142" t="s">
        <v>830</v>
      </c>
      <c r="C441" s="1143"/>
      <c r="D441" s="1143" t="s">
        <v>992</v>
      </c>
      <c r="E441" s="1144">
        <v>2.9940000000000002</v>
      </c>
      <c r="F441" s="1145" t="s">
        <v>1660</v>
      </c>
      <c r="G441" s="1146" t="s">
        <v>1661</v>
      </c>
      <c r="H441" s="1147" t="s">
        <v>125</v>
      </c>
      <c r="I441" s="1146"/>
      <c r="J441" s="1148" t="s">
        <v>221</v>
      </c>
      <c r="K441" s="1" t="s">
        <v>125</v>
      </c>
      <c r="M441" s="1" t="s">
        <v>1021</v>
      </c>
    </row>
    <row r="442" spans="2:13" ht="15" hidden="1" customHeight="1" outlineLevel="1" x14ac:dyDescent="0.25">
      <c r="B442" s="1142" t="s">
        <v>830</v>
      </c>
      <c r="C442" s="1143"/>
      <c r="D442" s="1143" t="s">
        <v>993</v>
      </c>
      <c r="E442" s="1144">
        <v>3.645</v>
      </c>
      <c r="F442" s="1145" t="s">
        <v>1660</v>
      </c>
      <c r="G442" s="1146" t="s">
        <v>1661</v>
      </c>
      <c r="H442" s="1147" t="s">
        <v>125</v>
      </c>
      <c r="I442" s="1146"/>
      <c r="J442" s="1148" t="s">
        <v>221</v>
      </c>
      <c r="K442" s="1" t="s">
        <v>125</v>
      </c>
      <c r="M442" s="1" t="s">
        <v>1022</v>
      </c>
    </row>
    <row r="443" spans="2:13" ht="15" hidden="1" customHeight="1" outlineLevel="1" x14ac:dyDescent="0.25">
      <c r="B443" s="1142" t="s">
        <v>994</v>
      </c>
      <c r="C443" s="1143"/>
      <c r="D443" s="1143" t="s">
        <v>834</v>
      </c>
      <c r="E443" s="1144">
        <v>3697</v>
      </c>
      <c r="F443" s="1145" t="s">
        <v>1660</v>
      </c>
      <c r="G443" s="1146" t="s">
        <v>718</v>
      </c>
      <c r="H443" s="1147" t="s">
        <v>125</v>
      </c>
      <c r="I443" s="1146"/>
      <c r="J443" s="1148" t="s">
        <v>304</v>
      </c>
      <c r="K443" s="1" t="s">
        <v>125</v>
      </c>
      <c r="M443" s="1" t="s">
        <v>1023</v>
      </c>
    </row>
    <row r="444" spans="2:13" ht="15" hidden="1" customHeight="1" outlineLevel="1" x14ac:dyDescent="0.25">
      <c r="B444" s="1142" t="s">
        <v>994</v>
      </c>
      <c r="C444" s="1143"/>
      <c r="D444" s="1143" t="s">
        <v>834</v>
      </c>
      <c r="E444" s="1144">
        <v>8.7929999999999993</v>
      </c>
      <c r="F444" s="1145" t="s">
        <v>1660</v>
      </c>
      <c r="G444" s="1146" t="s">
        <v>718</v>
      </c>
      <c r="H444" s="1147" t="s">
        <v>125</v>
      </c>
      <c r="I444" s="1146"/>
      <c r="J444" s="1148" t="s">
        <v>304</v>
      </c>
      <c r="K444" s="1" t="s">
        <v>125</v>
      </c>
      <c r="M444" s="1" t="s">
        <v>1053</v>
      </c>
    </row>
    <row r="445" spans="2:13" ht="15" hidden="1" customHeight="1" outlineLevel="1" x14ac:dyDescent="0.25">
      <c r="B445" s="1142" t="s">
        <v>994</v>
      </c>
      <c r="C445" s="1143"/>
      <c r="D445" s="1143" t="s">
        <v>1054</v>
      </c>
      <c r="E445" s="1144">
        <v>6.3129999999999997</v>
      </c>
      <c r="F445" s="1145" t="s">
        <v>1660</v>
      </c>
      <c r="G445" s="1146" t="s">
        <v>720</v>
      </c>
      <c r="H445" s="1147" t="s">
        <v>125</v>
      </c>
      <c r="I445" s="1146"/>
      <c r="J445" s="1148" t="s">
        <v>304</v>
      </c>
      <c r="K445" s="1" t="s">
        <v>125</v>
      </c>
      <c r="M445" s="1" t="s">
        <v>1055</v>
      </c>
    </row>
    <row r="446" spans="2:13" ht="15" hidden="1" customHeight="1" outlineLevel="1" x14ac:dyDescent="0.25">
      <c r="B446" s="1142" t="s">
        <v>839</v>
      </c>
      <c r="C446" s="1143"/>
      <c r="D446" s="1143" t="s">
        <v>925</v>
      </c>
      <c r="E446" s="1144">
        <v>176</v>
      </c>
      <c r="F446" s="1145" t="s">
        <v>125</v>
      </c>
      <c r="G446" s="1146"/>
      <c r="H446" s="1147" t="s">
        <v>125</v>
      </c>
      <c r="I446" s="1146"/>
      <c r="J446" s="1148" t="s">
        <v>221</v>
      </c>
      <c r="K446" s="1" t="s">
        <v>125</v>
      </c>
      <c r="M446" s="1" t="s">
        <v>1024</v>
      </c>
    </row>
    <row r="447" spans="2:13" ht="15" hidden="1" customHeight="1" outlineLevel="1" x14ac:dyDescent="0.25">
      <c r="B447" s="1142" t="s">
        <v>839</v>
      </c>
      <c r="C447" s="1143"/>
      <c r="D447" s="1143" t="s">
        <v>925</v>
      </c>
      <c r="E447" s="1144">
        <v>78.709999999999994</v>
      </c>
      <c r="F447" s="1145" t="s">
        <v>1660</v>
      </c>
      <c r="G447" s="1146" t="s">
        <v>1661</v>
      </c>
      <c r="H447" s="1147" t="s">
        <v>125</v>
      </c>
      <c r="I447" s="1146"/>
      <c r="J447" s="1148" t="s">
        <v>221</v>
      </c>
      <c r="K447" s="1" t="s">
        <v>125</v>
      </c>
      <c r="M447" s="1" t="s">
        <v>1025</v>
      </c>
    </row>
    <row r="448" spans="2:13" ht="15" hidden="1" customHeight="1" outlineLevel="1" x14ac:dyDescent="0.25">
      <c r="B448" s="1142" t="s">
        <v>839</v>
      </c>
      <c r="C448" s="1143"/>
      <c r="D448" s="1143" t="s">
        <v>843</v>
      </c>
      <c r="E448" s="1144">
        <v>2.0430000000000001</v>
      </c>
      <c r="F448" s="1145" t="s">
        <v>1660</v>
      </c>
      <c r="G448" s="1146" t="s">
        <v>1661</v>
      </c>
      <c r="H448" s="1147" t="s">
        <v>1660</v>
      </c>
      <c r="I448" s="1146" t="s">
        <v>1558</v>
      </c>
      <c r="J448" s="1148" t="s">
        <v>221</v>
      </c>
      <c r="K448" s="1" t="s">
        <v>125</v>
      </c>
      <c r="M448" s="1" t="s">
        <v>1026</v>
      </c>
    </row>
    <row r="449" spans="2:13" ht="15" hidden="1" customHeight="1" outlineLevel="1" x14ac:dyDescent="0.25">
      <c r="B449" s="1142" t="s">
        <v>839</v>
      </c>
      <c r="C449" s="1143"/>
      <c r="D449" s="1143" t="s">
        <v>843</v>
      </c>
      <c r="E449" s="1144">
        <v>0.66390000000000005</v>
      </c>
      <c r="F449" s="1145" t="s">
        <v>1660</v>
      </c>
      <c r="G449" s="1146" t="s">
        <v>1661</v>
      </c>
      <c r="H449" s="1147" t="s">
        <v>1660</v>
      </c>
      <c r="I449" s="1146" t="s">
        <v>1837</v>
      </c>
      <c r="J449" s="1148" t="s">
        <v>221</v>
      </c>
      <c r="K449" s="1" t="s">
        <v>125</v>
      </c>
      <c r="M449" s="1" t="s">
        <v>1027</v>
      </c>
    </row>
    <row r="450" spans="2:13" ht="15" hidden="1" customHeight="1" outlineLevel="1" x14ac:dyDescent="0.25">
      <c r="B450" s="1142" t="s">
        <v>839</v>
      </c>
      <c r="C450" s="1143"/>
      <c r="D450" s="1143" t="s">
        <v>846</v>
      </c>
      <c r="E450" s="1144">
        <v>9.2390000000000008</v>
      </c>
      <c r="F450" s="1145" t="s">
        <v>1660</v>
      </c>
      <c r="G450" s="1146" t="s">
        <v>1661</v>
      </c>
      <c r="H450" s="1147" t="s">
        <v>125</v>
      </c>
      <c r="I450" s="1146"/>
      <c r="J450" s="1148" t="s">
        <v>221</v>
      </c>
      <c r="K450" s="1" t="s">
        <v>125</v>
      </c>
      <c r="M450" s="1" t="s">
        <v>1028</v>
      </c>
    </row>
    <row r="451" spans="2:13" ht="15" hidden="1" customHeight="1" outlineLevel="1" x14ac:dyDescent="0.25">
      <c r="B451" s="1142" t="s">
        <v>839</v>
      </c>
      <c r="C451" s="1143"/>
      <c r="D451" s="1143" t="s">
        <v>995</v>
      </c>
      <c r="E451" s="1144">
        <v>0.91</v>
      </c>
      <c r="F451" s="1145" t="s">
        <v>1660</v>
      </c>
      <c r="G451" s="1146" t="s">
        <v>1661</v>
      </c>
      <c r="H451" s="1147" t="s">
        <v>125</v>
      </c>
      <c r="I451" s="1146"/>
      <c r="J451" s="1148" t="s">
        <v>221</v>
      </c>
      <c r="K451" s="1" t="s">
        <v>125</v>
      </c>
      <c r="M451" s="1" t="s">
        <v>1029</v>
      </c>
    </row>
    <row r="452" spans="2:13" ht="15" hidden="1" customHeight="1" outlineLevel="1" x14ac:dyDescent="0.25">
      <c r="B452" s="1142" t="s">
        <v>839</v>
      </c>
      <c r="C452" s="1143"/>
      <c r="D452" s="1143" t="s">
        <v>996</v>
      </c>
      <c r="E452" s="1144">
        <v>0</v>
      </c>
      <c r="F452" s="1145" t="s">
        <v>125</v>
      </c>
      <c r="G452" s="1146"/>
      <c r="H452" s="1147" t="s">
        <v>125</v>
      </c>
      <c r="I452" s="1146"/>
      <c r="J452" s="1148" t="s">
        <v>221</v>
      </c>
      <c r="K452" s="1" t="s">
        <v>125</v>
      </c>
      <c r="M452" s="1" t="s">
        <v>999</v>
      </c>
    </row>
    <row r="453" spans="2:13" ht="15" hidden="1" customHeight="1" outlineLevel="1" x14ac:dyDescent="0.25">
      <c r="B453" s="1142" t="s">
        <v>839</v>
      </c>
      <c r="C453" s="1143"/>
      <c r="D453" s="1143" t="s">
        <v>843</v>
      </c>
      <c r="E453" s="1144">
        <v>0.54830000000000001</v>
      </c>
      <c r="F453" s="1145" t="s">
        <v>1660</v>
      </c>
      <c r="G453" s="1146" t="s">
        <v>683</v>
      </c>
      <c r="H453" s="1147" t="s">
        <v>1660</v>
      </c>
      <c r="I453" s="1146" t="s">
        <v>1561</v>
      </c>
      <c r="J453" s="1148" t="s">
        <v>221</v>
      </c>
      <c r="K453" s="1" t="s">
        <v>125</v>
      </c>
      <c r="M453" s="1" t="s">
        <v>1030</v>
      </c>
    </row>
    <row r="454" spans="2:13" ht="15" hidden="1" customHeight="1" outlineLevel="1" x14ac:dyDescent="0.25">
      <c r="B454" s="1142" t="s">
        <v>839</v>
      </c>
      <c r="C454" s="1143"/>
      <c r="D454" s="1143" t="s">
        <v>843</v>
      </c>
      <c r="E454" s="1144">
        <v>0.1782</v>
      </c>
      <c r="F454" s="1145" t="s">
        <v>1660</v>
      </c>
      <c r="G454" s="1146" t="s">
        <v>683</v>
      </c>
      <c r="H454" s="1147" t="s">
        <v>1660</v>
      </c>
      <c r="I454" s="1146" t="s">
        <v>1562</v>
      </c>
      <c r="J454" s="1148" t="s">
        <v>221</v>
      </c>
      <c r="K454" s="1" t="s">
        <v>125</v>
      </c>
      <c r="M454" s="1" t="s">
        <v>1031</v>
      </c>
    </row>
    <row r="455" spans="2:13" ht="15" hidden="1" customHeight="1" outlineLevel="1" x14ac:dyDescent="0.25">
      <c r="B455" s="1142" t="s">
        <v>839</v>
      </c>
      <c r="C455" s="1143"/>
      <c r="D455" s="1143" t="s">
        <v>846</v>
      </c>
      <c r="E455" s="1144">
        <v>8.4730000000000008</v>
      </c>
      <c r="F455" s="1145" t="s">
        <v>1660</v>
      </c>
      <c r="G455" s="1146" t="s">
        <v>683</v>
      </c>
      <c r="H455" s="1147" t="s">
        <v>1660</v>
      </c>
      <c r="I455" s="1146" t="s">
        <v>1564</v>
      </c>
      <c r="J455" s="1148" t="s">
        <v>221</v>
      </c>
      <c r="K455" s="1" t="s">
        <v>125</v>
      </c>
      <c r="M455" s="1" t="s">
        <v>1032</v>
      </c>
    </row>
    <row r="456" spans="2:13" ht="15" hidden="1" customHeight="1" outlineLevel="1" x14ac:dyDescent="0.25">
      <c r="B456" s="1142" t="s">
        <v>839</v>
      </c>
      <c r="C456" s="1143"/>
      <c r="D456" s="1143" t="s">
        <v>843</v>
      </c>
      <c r="E456" s="1144">
        <v>0.1522</v>
      </c>
      <c r="F456" s="1145" t="s">
        <v>125</v>
      </c>
      <c r="G456" s="1146"/>
      <c r="H456" s="1147" t="s">
        <v>125</v>
      </c>
      <c r="I456" s="1146"/>
      <c r="J456" s="1148" t="s">
        <v>221</v>
      </c>
      <c r="K456" s="1" t="s">
        <v>125</v>
      </c>
      <c r="M456" s="1" t="s">
        <v>1033</v>
      </c>
    </row>
    <row r="457" spans="2:13" ht="15" hidden="1" customHeight="1" outlineLevel="1" x14ac:dyDescent="0.25">
      <c r="B457" s="1142" t="s">
        <v>839</v>
      </c>
      <c r="C457" s="1143"/>
      <c r="D457" s="1143" t="s">
        <v>843</v>
      </c>
      <c r="E457" s="1144">
        <v>3.424E-2</v>
      </c>
      <c r="F457" s="1145" t="s">
        <v>125</v>
      </c>
      <c r="G457" s="1146"/>
      <c r="H457" s="1147" t="s">
        <v>125</v>
      </c>
      <c r="I457" s="1146"/>
      <c r="J457" s="1148" t="s">
        <v>221</v>
      </c>
      <c r="K457" s="1" t="s">
        <v>125</v>
      </c>
      <c r="M457" s="1" t="s">
        <v>1034</v>
      </c>
    </row>
    <row r="458" spans="2:13" ht="15" hidden="1" customHeight="1" outlineLevel="1" x14ac:dyDescent="0.25">
      <c r="B458" s="1142" t="s">
        <v>931</v>
      </c>
      <c r="C458" s="1143"/>
      <c r="D458" s="1143" t="s">
        <v>932</v>
      </c>
      <c r="E458" s="1144">
        <v>172.7</v>
      </c>
      <c r="F458" s="1145" t="s">
        <v>1660</v>
      </c>
      <c r="G458" s="1146" t="s">
        <v>1661</v>
      </c>
      <c r="H458" s="1147" t="s">
        <v>1660</v>
      </c>
      <c r="I458" s="1146" t="s">
        <v>1691</v>
      </c>
      <c r="J458" s="1148" t="s">
        <v>221</v>
      </c>
      <c r="K458" s="1" t="s">
        <v>125</v>
      </c>
      <c r="M458" s="1" t="s">
        <v>1025</v>
      </c>
    </row>
    <row r="459" spans="2:13" ht="15" hidden="1" customHeight="1" outlineLevel="1" x14ac:dyDescent="0.25">
      <c r="B459" s="1142" t="s">
        <v>931</v>
      </c>
      <c r="C459" s="1143"/>
      <c r="D459" s="1143" t="s">
        <v>947</v>
      </c>
      <c r="E459" s="1144">
        <v>0.24979999999999999</v>
      </c>
      <c r="F459" s="1145" t="s">
        <v>1660</v>
      </c>
      <c r="G459" s="1146" t="s">
        <v>1661</v>
      </c>
      <c r="H459" s="1147" t="s">
        <v>125</v>
      </c>
      <c r="I459" s="1146"/>
      <c r="J459" s="1148" t="s">
        <v>221</v>
      </c>
      <c r="K459" s="1" t="s">
        <v>125</v>
      </c>
      <c r="M459" s="1" t="s">
        <v>1035</v>
      </c>
    </row>
    <row r="460" spans="2:13" ht="15" hidden="1" customHeight="1" outlineLevel="1" x14ac:dyDescent="0.25">
      <c r="B460" s="1142" t="s">
        <v>931</v>
      </c>
      <c r="C460" s="1143"/>
      <c r="D460" s="1143" t="s">
        <v>934</v>
      </c>
      <c r="E460" s="1144">
        <v>35.6</v>
      </c>
      <c r="F460" s="1145" t="s">
        <v>1660</v>
      </c>
      <c r="G460" s="1146" t="s">
        <v>1838</v>
      </c>
      <c r="H460" s="1147" t="s">
        <v>1660</v>
      </c>
      <c r="I460" s="1146" t="s">
        <v>1839</v>
      </c>
      <c r="J460" s="1148" t="s">
        <v>935</v>
      </c>
      <c r="K460" s="1" t="s">
        <v>125</v>
      </c>
      <c r="M460" s="1" t="s">
        <v>1036</v>
      </c>
    </row>
    <row r="461" spans="2:13" ht="15" hidden="1" customHeight="1" outlineLevel="1" x14ac:dyDescent="0.25">
      <c r="B461" s="1142" t="s">
        <v>931</v>
      </c>
      <c r="C461" s="1143"/>
      <c r="D461" s="1143" t="s">
        <v>937</v>
      </c>
      <c r="E461" s="1144">
        <v>20760</v>
      </c>
      <c r="F461" s="1145" t="s">
        <v>1660</v>
      </c>
      <c r="G461" s="1146" t="s">
        <v>1840</v>
      </c>
      <c r="H461" s="1147" t="s">
        <v>1660</v>
      </c>
      <c r="I461" s="1146" t="s">
        <v>1841</v>
      </c>
      <c r="J461" s="1148" t="s">
        <v>935</v>
      </c>
      <c r="K461" s="1" t="s">
        <v>125</v>
      </c>
      <c r="M461" s="1" t="s">
        <v>1036</v>
      </c>
    </row>
    <row r="462" spans="2:13" ht="15" hidden="1" customHeight="1" outlineLevel="1" x14ac:dyDescent="0.25">
      <c r="B462" s="1142" t="s">
        <v>931</v>
      </c>
      <c r="C462" s="1143"/>
      <c r="D462" s="1143" t="s">
        <v>938</v>
      </c>
      <c r="E462" s="1144">
        <v>3256</v>
      </c>
      <c r="F462" s="1145" t="s">
        <v>1660</v>
      </c>
      <c r="G462" s="1146" t="s">
        <v>1842</v>
      </c>
      <c r="H462" s="1147" t="s">
        <v>1660</v>
      </c>
      <c r="I462" s="1146" t="s">
        <v>1843</v>
      </c>
      <c r="J462" s="1148" t="s">
        <v>935</v>
      </c>
      <c r="K462" s="1" t="s">
        <v>125</v>
      </c>
      <c r="M462" s="1" t="s">
        <v>1036</v>
      </c>
    </row>
    <row r="463" spans="2:13" ht="15" hidden="1" customHeight="1" outlineLevel="1" x14ac:dyDescent="0.25">
      <c r="B463" s="1142" t="s">
        <v>931</v>
      </c>
      <c r="C463" s="1143"/>
      <c r="D463" s="1143" t="s">
        <v>939</v>
      </c>
      <c r="E463" s="1144">
        <v>0.71079999999999999</v>
      </c>
      <c r="F463" s="1145" t="s">
        <v>1660</v>
      </c>
      <c r="G463" s="1146" t="s">
        <v>1844</v>
      </c>
      <c r="H463" s="1147" t="s">
        <v>1660</v>
      </c>
      <c r="I463" s="1146" t="s">
        <v>1845</v>
      </c>
      <c r="J463" s="1148" t="s">
        <v>935</v>
      </c>
      <c r="K463" s="1" t="s">
        <v>125</v>
      </c>
      <c r="M463" s="1" t="s">
        <v>1036</v>
      </c>
    </row>
    <row r="464" spans="2:13" ht="15" hidden="1" customHeight="1" outlineLevel="1" x14ac:dyDescent="0.25">
      <c r="B464" s="1142" t="s">
        <v>931</v>
      </c>
      <c r="C464" s="1143"/>
      <c r="D464" s="1143" t="s">
        <v>940</v>
      </c>
      <c r="E464" s="1144">
        <v>0</v>
      </c>
      <c r="F464" s="1145" t="s">
        <v>125</v>
      </c>
      <c r="G464" s="1146"/>
      <c r="H464" s="1147" t="s">
        <v>125</v>
      </c>
      <c r="I464" s="1146"/>
      <c r="J464" s="1148" t="s">
        <v>935</v>
      </c>
      <c r="K464" s="1" t="s">
        <v>125</v>
      </c>
      <c r="M464" s="1" t="s">
        <v>1036</v>
      </c>
    </row>
    <row r="465" spans="2:13" ht="15" hidden="1" customHeight="1" outlineLevel="1" x14ac:dyDescent="0.25">
      <c r="B465" s="1142" t="s">
        <v>931</v>
      </c>
      <c r="C465" s="1143"/>
      <c r="D465" s="1143" t="s">
        <v>941</v>
      </c>
      <c r="E465" s="1144">
        <v>274.5</v>
      </c>
      <c r="F465" s="1145" t="s">
        <v>1660</v>
      </c>
      <c r="G465" s="1146" t="s">
        <v>1846</v>
      </c>
      <c r="H465" s="1147" t="s">
        <v>1660</v>
      </c>
      <c r="I465" s="1146" t="s">
        <v>1847</v>
      </c>
      <c r="J465" s="1148" t="s">
        <v>935</v>
      </c>
      <c r="K465" s="1" t="s">
        <v>125</v>
      </c>
      <c r="M465" s="1" t="s">
        <v>1036</v>
      </c>
    </row>
    <row r="466" spans="2:13" ht="15" hidden="1" customHeight="1" outlineLevel="1" x14ac:dyDescent="0.25">
      <c r="B466" s="1142" t="s">
        <v>931</v>
      </c>
      <c r="C466" s="1143"/>
      <c r="D466" s="1143" t="s">
        <v>942</v>
      </c>
      <c r="E466" s="1144">
        <v>27600</v>
      </c>
      <c r="F466" s="1145" t="s">
        <v>1660</v>
      </c>
      <c r="G466" s="1146" t="s">
        <v>1848</v>
      </c>
      <c r="H466" s="1147" t="s">
        <v>1660</v>
      </c>
      <c r="I466" s="1146" t="s">
        <v>1849</v>
      </c>
      <c r="J466" s="1148" t="s">
        <v>935</v>
      </c>
      <c r="K466" s="1" t="s">
        <v>125</v>
      </c>
      <c r="M466" s="1" t="s">
        <v>1036</v>
      </c>
    </row>
    <row r="467" spans="2:13" ht="15" hidden="1" customHeight="1" outlineLevel="1" x14ac:dyDescent="0.25">
      <c r="B467" s="1142" t="s">
        <v>931</v>
      </c>
      <c r="C467" s="1143"/>
      <c r="D467" s="1143" t="s">
        <v>932</v>
      </c>
      <c r="E467" s="1144">
        <v>46.35</v>
      </c>
      <c r="F467" s="1145" t="s">
        <v>1660</v>
      </c>
      <c r="G467" s="1146" t="s">
        <v>683</v>
      </c>
      <c r="H467" s="1147" t="s">
        <v>1660</v>
      </c>
      <c r="I467" s="1146" t="s">
        <v>1704</v>
      </c>
      <c r="J467" s="1148" t="s">
        <v>221</v>
      </c>
      <c r="K467" s="1" t="s">
        <v>125</v>
      </c>
      <c r="M467" s="1" t="s">
        <v>1032</v>
      </c>
    </row>
    <row r="468" spans="2:13" ht="15" hidden="1" customHeight="1" outlineLevel="1" x14ac:dyDescent="0.25">
      <c r="B468" s="1142" t="s">
        <v>931</v>
      </c>
      <c r="C468" s="1143"/>
      <c r="D468" s="1143" t="s">
        <v>947</v>
      </c>
      <c r="E468" s="1144">
        <v>0.4667</v>
      </c>
      <c r="F468" s="1145" t="s">
        <v>1660</v>
      </c>
      <c r="G468" s="1146" t="s">
        <v>684</v>
      </c>
      <c r="H468" s="1147" t="s">
        <v>125</v>
      </c>
      <c r="I468" s="1146"/>
      <c r="J468" s="1148" t="s">
        <v>221</v>
      </c>
      <c r="K468" s="1" t="s">
        <v>125</v>
      </c>
      <c r="M468" s="1" t="s">
        <v>1037</v>
      </c>
    </row>
    <row r="469" spans="2:13" ht="15" hidden="1" customHeight="1" outlineLevel="1" x14ac:dyDescent="0.25">
      <c r="B469" s="1142" t="s">
        <v>931</v>
      </c>
      <c r="C469" s="1143"/>
      <c r="D469" s="1143" t="s">
        <v>932</v>
      </c>
      <c r="E469" s="1144">
        <v>12.87</v>
      </c>
      <c r="F469" s="1145" t="s">
        <v>125</v>
      </c>
      <c r="G469" s="1146"/>
      <c r="H469" s="1147" t="s">
        <v>125</v>
      </c>
      <c r="I469" s="1146"/>
      <c r="J469" s="1148" t="s">
        <v>221</v>
      </c>
      <c r="K469" s="1" t="s">
        <v>125</v>
      </c>
      <c r="M469" s="1" t="s">
        <v>1038</v>
      </c>
    </row>
    <row r="470" spans="2:13" ht="15" hidden="1" customHeight="1" outlineLevel="1" x14ac:dyDescent="0.25">
      <c r="B470" s="1142" t="s">
        <v>945</v>
      </c>
      <c r="C470" s="1143" t="s">
        <v>946</v>
      </c>
      <c r="D470" s="1143" t="s">
        <v>934</v>
      </c>
      <c r="E470" s="1144">
        <v>1458</v>
      </c>
      <c r="F470" s="1145" t="s">
        <v>1660</v>
      </c>
      <c r="G470" s="1146" t="s">
        <v>1850</v>
      </c>
      <c r="H470" s="1147" t="s">
        <v>1660</v>
      </c>
      <c r="I470" s="1146" t="s">
        <v>1851</v>
      </c>
      <c r="J470" s="1148" t="s">
        <v>935</v>
      </c>
      <c r="K470" s="1" t="s">
        <v>125</v>
      </c>
      <c r="M470" s="1" t="s">
        <v>1036</v>
      </c>
    </row>
    <row r="471" spans="2:13" ht="15" hidden="1" customHeight="1" outlineLevel="1" x14ac:dyDescent="0.25">
      <c r="B471" s="1142" t="s">
        <v>945</v>
      </c>
      <c r="C471" s="1143" t="s">
        <v>946</v>
      </c>
      <c r="D471" s="1143" t="s">
        <v>937</v>
      </c>
      <c r="E471" s="1144">
        <v>146100</v>
      </c>
      <c r="F471" s="1145" t="s">
        <v>1660</v>
      </c>
      <c r="G471" s="1146" t="s">
        <v>1852</v>
      </c>
      <c r="H471" s="1147" t="s">
        <v>1660</v>
      </c>
      <c r="I471" s="1146" t="s">
        <v>1853</v>
      </c>
      <c r="J471" s="1148" t="s">
        <v>935</v>
      </c>
      <c r="K471" s="1" t="s">
        <v>125</v>
      </c>
      <c r="M471" s="1" t="s">
        <v>1036</v>
      </c>
    </row>
    <row r="472" spans="2:13" ht="15" hidden="1" customHeight="1" outlineLevel="1" x14ac:dyDescent="0.25">
      <c r="B472" s="1142" t="s">
        <v>945</v>
      </c>
      <c r="C472" s="1143" t="s">
        <v>946</v>
      </c>
      <c r="D472" s="1143" t="s">
        <v>938</v>
      </c>
      <c r="E472" s="1144">
        <v>14440</v>
      </c>
      <c r="F472" s="1145" t="s">
        <v>1660</v>
      </c>
      <c r="G472" s="1146" t="s">
        <v>1854</v>
      </c>
      <c r="H472" s="1147" t="s">
        <v>1660</v>
      </c>
      <c r="I472" s="1146" t="s">
        <v>1855</v>
      </c>
      <c r="J472" s="1148" t="s">
        <v>935</v>
      </c>
      <c r="K472" s="1" t="s">
        <v>125</v>
      </c>
      <c r="M472" s="1" t="s">
        <v>1036</v>
      </c>
    </row>
    <row r="473" spans="2:13" ht="15" hidden="1" customHeight="1" outlineLevel="1" x14ac:dyDescent="0.25">
      <c r="B473" s="1142" t="s">
        <v>945</v>
      </c>
      <c r="C473" s="1143" t="s">
        <v>946</v>
      </c>
      <c r="D473" s="1143" t="s">
        <v>939</v>
      </c>
      <c r="E473" s="1144">
        <v>47.48</v>
      </c>
      <c r="F473" s="1145" t="s">
        <v>1660</v>
      </c>
      <c r="G473" s="1146" t="s">
        <v>1856</v>
      </c>
      <c r="H473" s="1147" t="s">
        <v>1660</v>
      </c>
      <c r="I473" s="1146" t="s">
        <v>1857</v>
      </c>
      <c r="J473" s="1148" t="s">
        <v>935</v>
      </c>
      <c r="K473" s="1" t="s">
        <v>125</v>
      </c>
      <c r="M473" s="1" t="s">
        <v>1036</v>
      </c>
    </row>
    <row r="474" spans="2:13" ht="15" hidden="1" customHeight="1" outlineLevel="1" x14ac:dyDescent="0.25">
      <c r="B474" s="1142" t="s">
        <v>945</v>
      </c>
      <c r="C474" s="1143" t="s">
        <v>946</v>
      </c>
      <c r="D474" s="1143" t="s">
        <v>940</v>
      </c>
      <c r="E474" s="1144">
        <v>12390</v>
      </c>
      <c r="F474" s="1145" t="s">
        <v>1660</v>
      </c>
      <c r="G474" s="1146" t="s">
        <v>1858</v>
      </c>
      <c r="H474" s="1147" t="s">
        <v>1660</v>
      </c>
      <c r="I474" s="1108" t="s">
        <v>1859</v>
      </c>
      <c r="J474" s="1148" t="s">
        <v>935</v>
      </c>
      <c r="K474" s="1" t="s">
        <v>125</v>
      </c>
      <c r="M474" s="1" t="s">
        <v>1036</v>
      </c>
    </row>
    <row r="475" spans="2:13" ht="15" hidden="1" customHeight="1" outlineLevel="1" x14ac:dyDescent="0.25">
      <c r="B475" s="1142" t="s">
        <v>945</v>
      </c>
      <c r="C475" s="1143" t="s">
        <v>946</v>
      </c>
      <c r="D475" s="1143" t="s">
        <v>941</v>
      </c>
      <c r="E475" s="1144">
        <v>12760</v>
      </c>
      <c r="F475" s="1145" t="s">
        <v>1660</v>
      </c>
      <c r="G475" s="1146" t="s">
        <v>1860</v>
      </c>
      <c r="H475" s="1147" t="s">
        <v>1660</v>
      </c>
      <c r="I475" s="1108" t="s">
        <v>1861</v>
      </c>
      <c r="J475" s="1148" t="s">
        <v>935</v>
      </c>
      <c r="K475" s="1" t="s">
        <v>125</v>
      </c>
      <c r="M475" s="1" t="s">
        <v>1036</v>
      </c>
    </row>
    <row r="476" spans="2:13" ht="15" hidden="1" customHeight="1" outlineLevel="1" x14ac:dyDescent="0.25">
      <c r="B476" s="1149" t="s">
        <v>945</v>
      </c>
      <c r="C476" s="1150" t="s">
        <v>946</v>
      </c>
      <c r="D476" s="1150" t="s">
        <v>942</v>
      </c>
      <c r="E476" s="1151">
        <v>433000</v>
      </c>
      <c r="F476" s="1152" t="s">
        <v>1660</v>
      </c>
      <c r="G476" s="1158" t="s">
        <v>1862</v>
      </c>
      <c r="H476" s="1154" t="s">
        <v>1660</v>
      </c>
      <c r="I476" s="1158" t="s">
        <v>1863</v>
      </c>
      <c r="J476" s="1155" t="s">
        <v>935</v>
      </c>
      <c r="K476" s="1" t="s">
        <v>125</v>
      </c>
      <c r="M476" s="1" t="s">
        <v>1036</v>
      </c>
    </row>
    <row r="477" spans="2:13" ht="15" customHeight="1" x14ac:dyDescent="0.25">
      <c r="D477" s="1159"/>
      <c r="E477" s="1160"/>
      <c r="F477" s="1161" t="s">
        <v>125</v>
      </c>
      <c r="G477" s="672"/>
      <c r="H477" s="1162" t="s">
        <v>125</v>
      </c>
      <c r="I477" s="672"/>
      <c r="J477" s="672"/>
    </row>
    <row r="478" spans="2:13" ht="15" customHeight="1" x14ac:dyDescent="0.25">
      <c r="B478" s="1127" t="s">
        <v>825</v>
      </c>
      <c r="C478" s="1128"/>
      <c r="D478" s="1207" t="s">
        <v>1056</v>
      </c>
      <c r="E478" s="1123">
        <v>3855</v>
      </c>
      <c r="F478" s="1129" t="s">
        <v>1660</v>
      </c>
      <c r="G478" s="1130" t="s">
        <v>1864</v>
      </c>
      <c r="H478" s="1131" t="s">
        <v>125</v>
      </c>
      <c r="I478" s="1130"/>
      <c r="J478" s="208" t="s">
        <v>221</v>
      </c>
      <c r="K478" s="898">
        <v>98.23</v>
      </c>
    </row>
    <row r="479" spans="2:13" ht="15" customHeight="1" collapsed="1" x14ac:dyDescent="0.25">
      <c r="B479" s="1132" t="s">
        <v>825</v>
      </c>
      <c r="C479" s="1107"/>
      <c r="D479" s="1209" t="s">
        <v>1057</v>
      </c>
      <c r="E479" s="1133">
        <v>533.79999999999995</v>
      </c>
      <c r="F479" s="1134" t="s">
        <v>1660</v>
      </c>
      <c r="G479" s="1135" t="s">
        <v>1864</v>
      </c>
      <c r="H479" s="1136" t="s">
        <v>125</v>
      </c>
      <c r="I479" s="1135"/>
      <c r="J479" s="211" t="s">
        <v>221</v>
      </c>
      <c r="K479" s="531">
        <v>1.77</v>
      </c>
    </row>
    <row r="480" spans="2:13" ht="15" hidden="1" customHeight="1" outlineLevel="1" x14ac:dyDescent="0.25">
      <c r="B480" s="1137" t="s">
        <v>827</v>
      </c>
      <c r="C480" s="1138" t="s">
        <v>979</v>
      </c>
      <c r="D480" s="1138" t="s">
        <v>980</v>
      </c>
      <c r="E480" s="1139">
        <v>0</v>
      </c>
      <c r="F480" s="1140" t="s">
        <v>125</v>
      </c>
      <c r="G480" s="1163"/>
      <c r="H480" s="1141" t="s">
        <v>125</v>
      </c>
      <c r="I480" s="954"/>
      <c r="J480" s="955" t="s">
        <v>186</v>
      </c>
      <c r="K480" s="1" t="s">
        <v>125</v>
      </c>
      <c r="M480" s="1" t="s">
        <v>997</v>
      </c>
    </row>
    <row r="481" spans="2:13" ht="15" hidden="1" customHeight="1" outlineLevel="1" x14ac:dyDescent="0.25">
      <c r="B481" s="1142" t="s">
        <v>827</v>
      </c>
      <c r="C481" s="1143" t="s">
        <v>981</v>
      </c>
      <c r="D481" s="1143" t="s">
        <v>982</v>
      </c>
      <c r="E481" s="1144">
        <v>10000</v>
      </c>
      <c r="F481" s="1145" t="s">
        <v>125</v>
      </c>
      <c r="G481" s="1146"/>
      <c r="H481" s="1147" t="s">
        <v>125</v>
      </c>
      <c r="I481" s="1146"/>
      <c r="J481" s="1148" t="s">
        <v>181</v>
      </c>
      <c r="K481" s="1" t="s">
        <v>125</v>
      </c>
      <c r="M481" s="1" t="s">
        <v>998</v>
      </c>
    </row>
    <row r="482" spans="2:13" ht="15" hidden="1" customHeight="1" outlineLevel="1" x14ac:dyDescent="0.25">
      <c r="B482" s="1142" t="s">
        <v>827</v>
      </c>
      <c r="C482" s="1143" t="s">
        <v>981</v>
      </c>
      <c r="D482" s="1143" t="s">
        <v>983</v>
      </c>
      <c r="E482" s="1144">
        <v>0</v>
      </c>
      <c r="F482" s="1145" t="s">
        <v>125</v>
      </c>
      <c r="G482" s="1146"/>
      <c r="H482" s="1147" t="s">
        <v>125</v>
      </c>
      <c r="I482" s="1146"/>
      <c r="J482" s="1148" t="s">
        <v>182</v>
      </c>
      <c r="K482" s="1" t="s">
        <v>125</v>
      </c>
      <c r="M482" s="1" t="s">
        <v>999</v>
      </c>
    </row>
    <row r="483" spans="2:13" ht="15" hidden="1" customHeight="1" outlineLevel="1" x14ac:dyDescent="0.25">
      <c r="B483" s="1142" t="s">
        <v>827</v>
      </c>
      <c r="C483" s="1143" t="s">
        <v>981</v>
      </c>
      <c r="D483" s="1143" t="s">
        <v>984</v>
      </c>
      <c r="E483" s="1144">
        <v>0</v>
      </c>
      <c r="F483" s="1145" t="s">
        <v>125</v>
      </c>
      <c r="G483" s="1146"/>
      <c r="H483" s="1147" t="s">
        <v>125</v>
      </c>
      <c r="I483" s="1146"/>
      <c r="J483" s="1148" t="s">
        <v>182</v>
      </c>
      <c r="K483" s="1" t="s">
        <v>125</v>
      </c>
      <c r="M483" s="1" t="s">
        <v>999</v>
      </c>
    </row>
    <row r="484" spans="2:13" ht="15" hidden="1" customHeight="1" outlineLevel="1" x14ac:dyDescent="0.25">
      <c r="B484" s="1142" t="s">
        <v>827</v>
      </c>
      <c r="C484" s="1143" t="s">
        <v>981</v>
      </c>
      <c r="D484" s="1143" t="s">
        <v>985</v>
      </c>
      <c r="E484" s="1144">
        <v>3.2440000000000002</v>
      </c>
      <c r="F484" s="1145" t="s">
        <v>125</v>
      </c>
      <c r="G484" s="1146"/>
      <c r="H484" s="1147" t="s">
        <v>125</v>
      </c>
      <c r="I484" s="1146"/>
      <c r="J484" s="1148" t="s">
        <v>182</v>
      </c>
      <c r="K484" s="1" t="s">
        <v>125</v>
      </c>
      <c r="M484" s="1" t="s">
        <v>999</v>
      </c>
    </row>
    <row r="485" spans="2:13" ht="15" hidden="1" customHeight="1" outlineLevel="1" x14ac:dyDescent="0.25">
      <c r="B485" s="1142" t="s">
        <v>827</v>
      </c>
      <c r="C485" s="1143" t="s">
        <v>981</v>
      </c>
      <c r="D485" s="1143" t="s">
        <v>986</v>
      </c>
      <c r="E485" s="1144">
        <v>99.38</v>
      </c>
      <c r="F485" s="1145" t="s">
        <v>125</v>
      </c>
      <c r="G485" s="1146"/>
      <c r="H485" s="1147" t="s">
        <v>125</v>
      </c>
      <c r="I485" s="1146"/>
      <c r="J485" s="1148" t="s">
        <v>182</v>
      </c>
      <c r="K485" s="1" t="s">
        <v>125</v>
      </c>
      <c r="M485" s="1" t="s">
        <v>999</v>
      </c>
    </row>
    <row r="486" spans="2:13" ht="15" hidden="1" customHeight="1" outlineLevel="1" x14ac:dyDescent="0.25">
      <c r="B486" s="1142" t="s">
        <v>827</v>
      </c>
      <c r="C486" s="1143" t="s">
        <v>981</v>
      </c>
      <c r="D486" s="1143" t="s">
        <v>987</v>
      </c>
      <c r="E486" s="1144">
        <v>102.6</v>
      </c>
      <c r="F486" s="1145" t="s">
        <v>125</v>
      </c>
      <c r="G486" s="1146"/>
      <c r="H486" s="1147" t="s">
        <v>125</v>
      </c>
      <c r="I486" s="1146"/>
      <c r="J486" s="1148" t="s">
        <v>182</v>
      </c>
      <c r="K486" s="1" t="s">
        <v>125</v>
      </c>
      <c r="M486" s="1" t="s">
        <v>999</v>
      </c>
    </row>
    <row r="487" spans="2:13" ht="15" hidden="1" customHeight="1" outlineLevel="1" x14ac:dyDescent="0.25">
      <c r="B487" s="1142" t="s">
        <v>830</v>
      </c>
      <c r="C487" s="1143"/>
      <c r="D487" s="1143" t="s">
        <v>665</v>
      </c>
      <c r="E487" s="1144">
        <v>3522</v>
      </c>
      <c r="F487" s="1145" t="s">
        <v>1660</v>
      </c>
      <c r="G487" s="1146" t="s">
        <v>726</v>
      </c>
      <c r="H487" s="1147" t="s">
        <v>125</v>
      </c>
      <c r="I487" s="1146"/>
      <c r="J487" s="1148" t="s">
        <v>221</v>
      </c>
      <c r="K487" s="1" t="s">
        <v>125</v>
      </c>
      <c r="M487" s="1" t="s">
        <v>1000</v>
      </c>
    </row>
    <row r="488" spans="2:13" ht="15" hidden="1" customHeight="1" outlineLevel="1" x14ac:dyDescent="0.25">
      <c r="B488" s="1142" t="s">
        <v>830</v>
      </c>
      <c r="C488" s="1143"/>
      <c r="D488" s="1143" t="s">
        <v>673</v>
      </c>
      <c r="E488" s="1144">
        <v>308.89999999999998</v>
      </c>
      <c r="F488" s="1145" t="s">
        <v>1660</v>
      </c>
      <c r="G488" s="1146" t="s">
        <v>723</v>
      </c>
      <c r="H488" s="1147" t="s">
        <v>125</v>
      </c>
      <c r="I488" s="1146"/>
      <c r="J488" s="1148" t="s">
        <v>221</v>
      </c>
      <c r="K488" s="1" t="s">
        <v>125</v>
      </c>
      <c r="M488" s="1" t="s">
        <v>1001</v>
      </c>
    </row>
    <row r="489" spans="2:13" ht="15" hidden="1" customHeight="1" outlineLevel="1" x14ac:dyDescent="0.25">
      <c r="B489" s="1142" t="s">
        <v>830</v>
      </c>
      <c r="C489" s="1143"/>
      <c r="D489" s="1143" t="s">
        <v>653</v>
      </c>
      <c r="E489" s="1144">
        <v>22.81</v>
      </c>
      <c r="F489" s="1145" t="s">
        <v>1660</v>
      </c>
      <c r="G489" s="1146" t="s">
        <v>1661</v>
      </c>
      <c r="H489" s="1147" t="s">
        <v>125</v>
      </c>
      <c r="I489" s="1146"/>
      <c r="J489" s="1148" t="s">
        <v>221</v>
      </c>
      <c r="K489" s="1" t="s">
        <v>125</v>
      </c>
      <c r="M489" s="1" t="s">
        <v>1058</v>
      </c>
    </row>
    <row r="490" spans="2:13" ht="15" hidden="1" customHeight="1" outlineLevel="1" x14ac:dyDescent="0.25">
      <c r="B490" s="1142" t="s">
        <v>830</v>
      </c>
      <c r="C490" s="1143"/>
      <c r="D490" s="1143" t="s">
        <v>654</v>
      </c>
      <c r="E490" s="1144">
        <v>3904</v>
      </c>
      <c r="F490" s="1145" t="s">
        <v>1660</v>
      </c>
      <c r="G490" s="1146" t="s">
        <v>1661</v>
      </c>
      <c r="H490" s="1147" t="s">
        <v>125</v>
      </c>
      <c r="I490" s="1146"/>
      <c r="J490" s="1148" t="s">
        <v>221</v>
      </c>
      <c r="K490" s="1" t="s">
        <v>125</v>
      </c>
      <c r="M490" s="1" t="s">
        <v>1059</v>
      </c>
    </row>
    <row r="491" spans="2:13" ht="15" hidden="1" customHeight="1" outlineLevel="1" x14ac:dyDescent="0.25">
      <c r="B491" s="1142" t="s">
        <v>830</v>
      </c>
      <c r="C491" s="1143"/>
      <c r="D491" s="1143" t="s">
        <v>652</v>
      </c>
      <c r="E491" s="1144">
        <v>29</v>
      </c>
      <c r="F491" s="1145" t="s">
        <v>1660</v>
      </c>
      <c r="G491" s="1146" t="s">
        <v>1661</v>
      </c>
      <c r="H491" s="1147" t="s">
        <v>125</v>
      </c>
      <c r="I491" s="1146"/>
      <c r="J491" s="1148" t="s">
        <v>221</v>
      </c>
      <c r="K491" s="1" t="s">
        <v>125</v>
      </c>
      <c r="M491" s="1" t="s">
        <v>1060</v>
      </c>
    </row>
    <row r="492" spans="2:13" ht="15" hidden="1" customHeight="1" outlineLevel="1" x14ac:dyDescent="0.25">
      <c r="B492" s="1142" t="s">
        <v>830</v>
      </c>
      <c r="C492" s="1143"/>
      <c r="D492" s="1143" t="s">
        <v>650</v>
      </c>
      <c r="E492" s="1144">
        <v>28.47</v>
      </c>
      <c r="F492" s="1145" t="s">
        <v>1660</v>
      </c>
      <c r="G492" s="1146" t="s">
        <v>1661</v>
      </c>
      <c r="H492" s="1147" t="s">
        <v>125</v>
      </c>
      <c r="I492" s="1146"/>
      <c r="J492" s="1148" t="s">
        <v>221</v>
      </c>
      <c r="K492" s="1" t="s">
        <v>125</v>
      </c>
      <c r="M492" s="1" t="s">
        <v>1061</v>
      </c>
    </row>
    <row r="493" spans="2:13" ht="15" hidden="1" customHeight="1" outlineLevel="1" x14ac:dyDescent="0.25">
      <c r="B493" s="1142" t="s">
        <v>830</v>
      </c>
      <c r="C493" s="1143"/>
      <c r="D493" s="1143" t="s">
        <v>649</v>
      </c>
      <c r="E493" s="1144">
        <v>7.1890000000000001</v>
      </c>
      <c r="F493" s="1145" t="s">
        <v>1660</v>
      </c>
      <c r="G493" s="1146" t="s">
        <v>1661</v>
      </c>
      <c r="H493" s="1147" t="s">
        <v>125</v>
      </c>
      <c r="I493" s="1146"/>
      <c r="J493" s="1148" t="s">
        <v>221</v>
      </c>
      <c r="K493" s="1" t="s">
        <v>125</v>
      </c>
      <c r="M493" s="1" t="s">
        <v>1062</v>
      </c>
    </row>
    <row r="494" spans="2:13" ht="15" hidden="1" customHeight="1" outlineLevel="1" x14ac:dyDescent="0.25">
      <c r="B494" s="1142" t="s">
        <v>830</v>
      </c>
      <c r="C494" s="1143"/>
      <c r="D494" s="1143" t="s">
        <v>648</v>
      </c>
      <c r="E494" s="1144">
        <v>10.83</v>
      </c>
      <c r="F494" s="1145" t="s">
        <v>1660</v>
      </c>
      <c r="G494" s="1146" t="s">
        <v>1661</v>
      </c>
      <c r="H494" s="1147" t="s">
        <v>125</v>
      </c>
      <c r="I494" s="1146"/>
      <c r="J494" s="1148" t="s">
        <v>221</v>
      </c>
      <c r="K494" s="1" t="s">
        <v>125</v>
      </c>
      <c r="M494" s="1" t="s">
        <v>1063</v>
      </c>
    </row>
    <row r="495" spans="2:13" ht="15" hidden="1" customHeight="1" outlineLevel="1" x14ac:dyDescent="0.25">
      <c r="B495" s="1142" t="s">
        <v>830</v>
      </c>
      <c r="C495" s="1143"/>
      <c r="D495" s="1143" t="s">
        <v>657</v>
      </c>
      <c r="E495" s="1144">
        <v>9.9909999999999997</v>
      </c>
      <c r="F495" s="1145" t="s">
        <v>1660</v>
      </c>
      <c r="G495" s="1146" t="s">
        <v>1661</v>
      </c>
      <c r="H495" s="1147" t="s">
        <v>125</v>
      </c>
      <c r="I495" s="1146"/>
      <c r="J495" s="1148" t="s">
        <v>221</v>
      </c>
      <c r="K495" s="1" t="s">
        <v>125</v>
      </c>
      <c r="M495" s="1" t="s">
        <v>1064</v>
      </c>
    </row>
    <row r="496" spans="2:13" ht="15" hidden="1" customHeight="1" outlineLevel="1" x14ac:dyDescent="0.25">
      <c r="B496" s="1142" t="s">
        <v>830</v>
      </c>
      <c r="C496" s="1143"/>
      <c r="D496" s="1143" t="s">
        <v>656</v>
      </c>
      <c r="E496" s="1144">
        <v>0.16769999999999999</v>
      </c>
      <c r="F496" s="1145" t="s">
        <v>1660</v>
      </c>
      <c r="G496" s="1146" t="s">
        <v>1661</v>
      </c>
      <c r="H496" s="1147" t="s">
        <v>125</v>
      </c>
      <c r="I496" s="1146"/>
      <c r="J496" s="1148" t="s">
        <v>221</v>
      </c>
      <c r="K496" s="1" t="s">
        <v>125</v>
      </c>
      <c r="M496" s="1" t="s">
        <v>1065</v>
      </c>
    </row>
    <row r="497" spans="2:13" ht="15" hidden="1" customHeight="1" outlineLevel="1" x14ac:dyDescent="0.25">
      <c r="B497" s="1142" t="s">
        <v>830</v>
      </c>
      <c r="C497" s="1143"/>
      <c r="D497" s="1143" t="s">
        <v>655</v>
      </c>
      <c r="E497" s="1144">
        <v>3.1080000000000001</v>
      </c>
      <c r="F497" s="1145" t="s">
        <v>1660</v>
      </c>
      <c r="G497" s="1146" t="s">
        <v>1661</v>
      </c>
      <c r="H497" s="1147" t="s">
        <v>125</v>
      </c>
      <c r="I497" s="1146"/>
      <c r="J497" s="1148" t="s">
        <v>221</v>
      </c>
      <c r="K497" s="1" t="s">
        <v>125</v>
      </c>
      <c r="M497" s="1" t="s">
        <v>1066</v>
      </c>
    </row>
    <row r="498" spans="2:13" ht="15" hidden="1" customHeight="1" outlineLevel="1" x14ac:dyDescent="0.25">
      <c r="B498" s="1142" t="s">
        <v>830</v>
      </c>
      <c r="C498" s="1143"/>
      <c r="D498" s="1143" t="s">
        <v>658</v>
      </c>
      <c r="E498" s="1144">
        <v>80.53</v>
      </c>
      <c r="F498" s="1145" t="s">
        <v>1660</v>
      </c>
      <c r="G498" s="1146" t="s">
        <v>1661</v>
      </c>
      <c r="H498" s="1147" t="s">
        <v>125</v>
      </c>
      <c r="I498" s="1146"/>
      <c r="J498" s="1148" t="s">
        <v>221</v>
      </c>
      <c r="K498" s="1" t="s">
        <v>125</v>
      </c>
      <c r="M498" s="1" t="s">
        <v>1067</v>
      </c>
    </row>
    <row r="499" spans="2:13" ht="15" hidden="1" customHeight="1" outlineLevel="1" x14ac:dyDescent="0.25">
      <c r="B499" s="1142" t="s">
        <v>830</v>
      </c>
      <c r="C499" s="1143"/>
      <c r="D499" s="1143" t="s">
        <v>659</v>
      </c>
      <c r="E499" s="1144">
        <v>5.444</v>
      </c>
      <c r="F499" s="1145" t="s">
        <v>1660</v>
      </c>
      <c r="G499" s="1146" t="s">
        <v>1661</v>
      </c>
      <c r="H499" s="1147" t="s">
        <v>125</v>
      </c>
      <c r="I499" s="1146"/>
      <c r="J499" s="1148" t="s">
        <v>221</v>
      </c>
      <c r="K499" s="1" t="s">
        <v>125</v>
      </c>
      <c r="M499" s="1" t="s">
        <v>1068</v>
      </c>
    </row>
    <row r="500" spans="2:13" ht="15" hidden="1" customHeight="1" outlineLevel="1" x14ac:dyDescent="0.25">
      <c r="B500" s="1142" t="s">
        <v>830</v>
      </c>
      <c r="C500" s="1143"/>
      <c r="D500" s="1143" t="s">
        <v>988</v>
      </c>
      <c r="E500" s="1144">
        <v>1</v>
      </c>
      <c r="F500" s="1145" t="s">
        <v>125</v>
      </c>
      <c r="G500" s="1146"/>
      <c r="H500" s="1147" t="s">
        <v>125</v>
      </c>
      <c r="I500" s="1146"/>
      <c r="J500" s="1148" t="s">
        <v>188</v>
      </c>
      <c r="K500" s="1" t="s">
        <v>125</v>
      </c>
      <c r="M500" s="1" t="s">
        <v>1013</v>
      </c>
    </row>
    <row r="501" spans="2:13" ht="15" hidden="1" customHeight="1" outlineLevel="1" x14ac:dyDescent="0.25">
      <c r="B501" s="1142" t="s">
        <v>830</v>
      </c>
      <c r="C501" s="1143"/>
      <c r="D501" s="1143" t="s">
        <v>662</v>
      </c>
      <c r="E501" s="1144">
        <v>400</v>
      </c>
      <c r="F501" s="1145" t="s">
        <v>125</v>
      </c>
      <c r="G501" s="1146"/>
      <c r="H501" s="1147" t="s">
        <v>125</v>
      </c>
      <c r="I501" s="1146"/>
      <c r="J501" s="1148" t="s">
        <v>221</v>
      </c>
      <c r="K501" s="1" t="s">
        <v>125</v>
      </c>
      <c r="M501" s="1" t="s">
        <v>1014</v>
      </c>
    </row>
    <row r="502" spans="2:13" ht="15" hidden="1" customHeight="1" outlineLevel="1" x14ac:dyDescent="0.25">
      <c r="B502" s="1142" t="s">
        <v>830</v>
      </c>
      <c r="C502" s="1143"/>
      <c r="D502" s="1143" t="s">
        <v>1069</v>
      </c>
      <c r="E502" s="1144">
        <v>88.4</v>
      </c>
      <c r="F502" s="1145" t="s">
        <v>125</v>
      </c>
      <c r="G502" s="1146"/>
      <c r="H502" s="1147" t="s">
        <v>125</v>
      </c>
      <c r="I502" s="1146"/>
      <c r="J502" s="1148" t="s">
        <v>221</v>
      </c>
      <c r="K502" s="1" t="s">
        <v>125</v>
      </c>
      <c r="M502" s="1" t="s">
        <v>1052</v>
      </c>
    </row>
    <row r="503" spans="2:13" ht="15" hidden="1" customHeight="1" outlineLevel="1" x14ac:dyDescent="0.25">
      <c r="B503" s="1142" t="s">
        <v>830</v>
      </c>
      <c r="C503" s="1143"/>
      <c r="D503" s="1143" t="s">
        <v>990</v>
      </c>
      <c r="E503" s="1144">
        <v>114.9</v>
      </c>
      <c r="F503" s="1145" t="s">
        <v>1660</v>
      </c>
      <c r="G503" s="1146" t="s">
        <v>722</v>
      </c>
      <c r="H503" s="1147" t="s">
        <v>125</v>
      </c>
      <c r="I503" s="1146"/>
      <c r="J503" s="1148" t="s">
        <v>836</v>
      </c>
      <c r="K503" s="1" t="s">
        <v>125</v>
      </c>
      <c r="M503" s="1" t="s">
        <v>1015</v>
      </c>
    </row>
    <row r="504" spans="2:13" ht="15" hidden="1" customHeight="1" outlineLevel="1" x14ac:dyDescent="0.25">
      <c r="B504" s="1142" t="s">
        <v>830</v>
      </c>
      <c r="C504" s="1143"/>
      <c r="D504" s="1143" t="s">
        <v>990</v>
      </c>
      <c r="E504" s="1144">
        <v>34.72</v>
      </c>
      <c r="F504" s="1145" t="s">
        <v>1660</v>
      </c>
      <c r="G504" s="1146" t="s">
        <v>1865</v>
      </c>
      <c r="H504" s="1147" t="s">
        <v>125</v>
      </c>
      <c r="I504" s="1146"/>
      <c r="J504" s="1148" t="s">
        <v>836</v>
      </c>
      <c r="K504" s="1" t="s">
        <v>125</v>
      </c>
      <c r="M504" s="1" t="s">
        <v>1016</v>
      </c>
    </row>
    <row r="505" spans="2:13" ht="15" hidden="1" customHeight="1" outlineLevel="1" x14ac:dyDescent="0.25">
      <c r="B505" s="1142" t="s">
        <v>830</v>
      </c>
      <c r="C505" s="1143"/>
      <c r="D505" s="1143" t="s">
        <v>675</v>
      </c>
      <c r="E505" s="1144">
        <v>0.3448</v>
      </c>
      <c r="F505" s="1145" t="s">
        <v>1660</v>
      </c>
      <c r="G505" s="1146" t="s">
        <v>1661</v>
      </c>
      <c r="H505" s="1147" t="s">
        <v>125</v>
      </c>
      <c r="I505" s="1146"/>
      <c r="J505" s="1148" t="s">
        <v>221</v>
      </c>
      <c r="K505" s="1" t="s">
        <v>125</v>
      </c>
      <c r="M505" s="1" t="s">
        <v>1017</v>
      </c>
    </row>
    <row r="506" spans="2:13" ht="15" hidden="1" customHeight="1" outlineLevel="1" x14ac:dyDescent="0.25">
      <c r="B506" s="1142" t="s">
        <v>830</v>
      </c>
      <c r="C506" s="1143"/>
      <c r="D506" s="1143" t="s">
        <v>676</v>
      </c>
      <c r="E506" s="1144">
        <v>1.4490000000000001</v>
      </c>
      <c r="F506" s="1145" t="s">
        <v>1660</v>
      </c>
      <c r="G506" s="1146" t="s">
        <v>1661</v>
      </c>
      <c r="H506" s="1147" t="s">
        <v>125</v>
      </c>
      <c r="I506" s="1146"/>
      <c r="J506" s="1148" t="s">
        <v>221</v>
      </c>
      <c r="K506" s="1" t="s">
        <v>125</v>
      </c>
      <c r="M506" s="1" t="s">
        <v>1018</v>
      </c>
    </row>
    <row r="507" spans="2:13" ht="15" hidden="1" customHeight="1" outlineLevel="1" x14ac:dyDescent="0.25">
      <c r="B507" s="1142" t="s">
        <v>830</v>
      </c>
      <c r="C507" s="1143"/>
      <c r="D507" s="1143" t="s">
        <v>678</v>
      </c>
      <c r="E507" s="1144">
        <v>2.7949999999999999</v>
      </c>
      <c r="F507" s="1145" t="s">
        <v>1660</v>
      </c>
      <c r="G507" s="1146" t="s">
        <v>1661</v>
      </c>
      <c r="H507" s="1147" t="s">
        <v>125</v>
      </c>
      <c r="I507" s="1146"/>
      <c r="J507" s="1148" t="s">
        <v>221</v>
      </c>
      <c r="K507" s="1" t="s">
        <v>125</v>
      </c>
      <c r="M507" s="1" t="s">
        <v>1019</v>
      </c>
    </row>
    <row r="508" spans="2:13" ht="15" hidden="1" customHeight="1" outlineLevel="1" x14ac:dyDescent="0.25">
      <c r="B508" s="1142" t="s">
        <v>830</v>
      </c>
      <c r="C508" s="1143"/>
      <c r="D508" s="1143" t="s">
        <v>991</v>
      </c>
      <c r="E508" s="1144">
        <v>0.3448</v>
      </c>
      <c r="F508" s="1145" t="s">
        <v>1660</v>
      </c>
      <c r="G508" s="1146" t="s">
        <v>1661</v>
      </c>
      <c r="H508" s="1147" t="s">
        <v>125</v>
      </c>
      <c r="I508" s="1146"/>
      <c r="J508" s="1148" t="s">
        <v>221</v>
      </c>
      <c r="K508" s="1" t="s">
        <v>125</v>
      </c>
      <c r="M508" s="1" t="s">
        <v>1020</v>
      </c>
    </row>
    <row r="509" spans="2:13" ht="15" hidden="1" customHeight="1" outlineLevel="1" x14ac:dyDescent="0.25">
      <c r="B509" s="1142" t="s">
        <v>830</v>
      </c>
      <c r="C509" s="1143"/>
      <c r="D509" s="1143" t="s">
        <v>992</v>
      </c>
      <c r="E509" s="1144">
        <v>1.4490000000000001</v>
      </c>
      <c r="F509" s="1145" t="s">
        <v>1660</v>
      </c>
      <c r="G509" s="1146" t="s">
        <v>1661</v>
      </c>
      <c r="H509" s="1147" t="s">
        <v>125</v>
      </c>
      <c r="I509" s="1146"/>
      <c r="J509" s="1148" t="s">
        <v>221</v>
      </c>
      <c r="K509" s="1" t="s">
        <v>125</v>
      </c>
      <c r="M509" s="1" t="s">
        <v>1021</v>
      </c>
    </row>
    <row r="510" spans="2:13" ht="15" hidden="1" customHeight="1" outlineLevel="1" x14ac:dyDescent="0.25">
      <c r="B510" s="1142" t="s">
        <v>830</v>
      </c>
      <c r="C510" s="1143"/>
      <c r="D510" s="1143" t="s">
        <v>993</v>
      </c>
      <c r="E510" s="1144">
        <v>2.7949999999999999</v>
      </c>
      <c r="F510" s="1145" t="s">
        <v>1660</v>
      </c>
      <c r="G510" s="1146" t="s">
        <v>1661</v>
      </c>
      <c r="H510" s="1147" t="s">
        <v>125</v>
      </c>
      <c r="I510" s="1146"/>
      <c r="J510" s="1148" t="s">
        <v>221</v>
      </c>
      <c r="K510" s="1" t="s">
        <v>125</v>
      </c>
      <c r="M510" s="1" t="s">
        <v>1022</v>
      </c>
    </row>
    <row r="511" spans="2:13" ht="15" hidden="1" customHeight="1" outlineLevel="1" x14ac:dyDescent="0.25">
      <c r="B511" s="1142" t="s">
        <v>994</v>
      </c>
      <c r="C511" s="1143"/>
      <c r="D511" s="1143" t="s">
        <v>834</v>
      </c>
      <c r="E511" s="1144">
        <v>3403</v>
      </c>
      <c r="F511" s="1145" t="s">
        <v>1660</v>
      </c>
      <c r="G511" s="1146" t="s">
        <v>718</v>
      </c>
      <c r="H511" s="1147" t="s">
        <v>125</v>
      </c>
      <c r="I511" s="1146"/>
      <c r="J511" s="1148" t="s">
        <v>304</v>
      </c>
      <c r="K511" s="1" t="s">
        <v>125</v>
      </c>
      <c r="M511" s="1" t="s">
        <v>1023</v>
      </c>
    </row>
    <row r="512" spans="2:13" ht="15" hidden="1" customHeight="1" outlineLevel="1" x14ac:dyDescent="0.25">
      <c r="B512" s="1142" t="s">
        <v>839</v>
      </c>
      <c r="C512" s="1143"/>
      <c r="D512" s="1143" t="s">
        <v>925</v>
      </c>
      <c r="E512" s="1144">
        <v>176</v>
      </c>
      <c r="F512" s="1145" t="s">
        <v>125</v>
      </c>
      <c r="G512" s="1146"/>
      <c r="H512" s="1147" t="s">
        <v>125</v>
      </c>
      <c r="I512" s="1146"/>
      <c r="J512" s="1148" t="s">
        <v>221</v>
      </c>
      <c r="K512" s="1" t="s">
        <v>125</v>
      </c>
      <c r="M512" s="1" t="s">
        <v>1024</v>
      </c>
    </row>
    <row r="513" spans="2:13" ht="15" hidden="1" customHeight="1" outlineLevel="1" x14ac:dyDescent="0.25">
      <c r="B513" s="1142" t="s">
        <v>839</v>
      </c>
      <c r="C513" s="1143"/>
      <c r="D513" s="1143" t="s">
        <v>925</v>
      </c>
      <c r="E513" s="1144">
        <v>9.8740000000000006</v>
      </c>
      <c r="F513" s="1145" t="s">
        <v>1660</v>
      </c>
      <c r="G513" s="1146" t="s">
        <v>1661</v>
      </c>
      <c r="H513" s="1147" t="s">
        <v>125</v>
      </c>
      <c r="I513" s="1146"/>
      <c r="J513" s="1148" t="s">
        <v>221</v>
      </c>
      <c r="K513" s="1" t="s">
        <v>125</v>
      </c>
      <c r="M513" s="1" t="s">
        <v>1025</v>
      </c>
    </row>
    <row r="514" spans="2:13" ht="15" hidden="1" customHeight="1" outlineLevel="1" x14ac:dyDescent="0.25">
      <c r="B514" s="1142" t="s">
        <v>839</v>
      </c>
      <c r="C514" s="1143"/>
      <c r="D514" s="1143" t="s">
        <v>843</v>
      </c>
      <c r="E514" s="1144">
        <v>0.39290000000000003</v>
      </c>
      <c r="F514" s="1145" t="s">
        <v>1660</v>
      </c>
      <c r="G514" s="1146" t="s">
        <v>1661</v>
      </c>
      <c r="H514" s="1147" t="s">
        <v>1660</v>
      </c>
      <c r="I514" s="1146" t="s">
        <v>1558</v>
      </c>
      <c r="J514" s="1148" t="s">
        <v>221</v>
      </c>
      <c r="K514" s="1" t="s">
        <v>125</v>
      </c>
      <c r="M514" s="1" t="s">
        <v>1026</v>
      </c>
    </row>
    <row r="515" spans="2:13" ht="15" hidden="1" customHeight="1" outlineLevel="1" x14ac:dyDescent="0.25">
      <c r="B515" s="1142" t="s">
        <v>839</v>
      </c>
      <c r="C515" s="1143"/>
      <c r="D515" s="1143" t="s">
        <v>843</v>
      </c>
      <c r="E515" s="1144">
        <v>0.12770000000000001</v>
      </c>
      <c r="F515" s="1145" t="s">
        <v>1660</v>
      </c>
      <c r="G515" s="1146" t="s">
        <v>1661</v>
      </c>
      <c r="H515" s="1147" t="s">
        <v>1660</v>
      </c>
      <c r="I515" s="1146" t="s">
        <v>1866</v>
      </c>
      <c r="J515" s="1148" t="s">
        <v>221</v>
      </c>
      <c r="K515" s="1" t="s">
        <v>125</v>
      </c>
      <c r="M515" s="1" t="s">
        <v>1027</v>
      </c>
    </row>
    <row r="516" spans="2:13" ht="15" hidden="1" customHeight="1" outlineLevel="1" x14ac:dyDescent="0.25">
      <c r="B516" s="1142" t="s">
        <v>839</v>
      </c>
      <c r="C516" s="1143"/>
      <c r="D516" s="1143" t="s">
        <v>846</v>
      </c>
      <c r="E516" s="1144">
        <v>1.5940000000000001</v>
      </c>
      <c r="F516" s="1145" t="s">
        <v>1660</v>
      </c>
      <c r="G516" s="1146" t="s">
        <v>1661</v>
      </c>
      <c r="H516" s="1147" t="s">
        <v>125</v>
      </c>
      <c r="I516" s="1146"/>
      <c r="J516" s="1148" t="s">
        <v>221</v>
      </c>
      <c r="K516" s="1" t="s">
        <v>125</v>
      </c>
      <c r="M516" s="1" t="s">
        <v>1028</v>
      </c>
    </row>
    <row r="517" spans="2:13" ht="15" hidden="1" customHeight="1" outlineLevel="1" x14ac:dyDescent="0.25">
      <c r="B517" s="1142" t="s">
        <v>839</v>
      </c>
      <c r="C517" s="1143"/>
      <c r="D517" s="1143" t="s">
        <v>995</v>
      </c>
      <c r="E517" s="1144">
        <v>0.17499999999999999</v>
      </c>
      <c r="F517" s="1145" t="s">
        <v>1660</v>
      </c>
      <c r="G517" s="1146" t="s">
        <v>1661</v>
      </c>
      <c r="H517" s="1147" t="s">
        <v>125</v>
      </c>
      <c r="I517" s="1146"/>
      <c r="J517" s="1148" t="s">
        <v>221</v>
      </c>
      <c r="K517" s="1" t="s">
        <v>125</v>
      </c>
      <c r="M517" s="1" t="s">
        <v>1029</v>
      </c>
    </row>
    <row r="518" spans="2:13" ht="15" hidden="1" customHeight="1" outlineLevel="1" x14ac:dyDescent="0.25">
      <c r="B518" s="1142" t="s">
        <v>839</v>
      </c>
      <c r="C518" s="1143"/>
      <c r="D518" s="1143" t="s">
        <v>996</v>
      </c>
      <c r="E518" s="1144">
        <v>87.63</v>
      </c>
      <c r="F518" s="1145" t="s">
        <v>125</v>
      </c>
      <c r="G518" s="1146"/>
      <c r="H518" s="1147" t="s">
        <v>125</v>
      </c>
      <c r="I518" s="1146"/>
      <c r="J518" s="1148" t="s">
        <v>221</v>
      </c>
      <c r="K518" s="1" t="s">
        <v>125</v>
      </c>
      <c r="M518" s="1" t="s">
        <v>999</v>
      </c>
    </row>
    <row r="519" spans="2:13" ht="15" hidden="1" customHeight="1" outlineLevel="1" x14ac:dyDescent="0.25">
      <c r="B519" s="1142" t="s">
        <v>839</v>
      </c>
      <c r="C519" s="1143"/>
      <c r="D519" s="1143" t="s">
        <v>843</v>
      </c>
      <c r="E519" s="1144">
        <v>0.54830000000000001</v>
      </c>
      <c r="F519" s="1145" t="s">
        <v>1660</v>
      </c>
      <c r="G519" s="1146" t="s">
        <v>683</v>
      </c>
      <c r="H519" s="1147" t="s">
        <v>1660</v>
      </c>
      <c r="I519" s="1146" t="s">
        <v>1561</v>
      </c>
      <c r="J519" s="1148" t="s">
        <v>221</v>
      </c>
      <c r="K519" s="1" t="s">
        <v>125</v>
      </c>
      <c r="M519" s="1" t="s">
        <v>1030</v>
      </c>
    </row>
    <row r="520" spans="2:13" ht="15" hidden="1" customHeight="1" outlineLevel="1" x14ac:dyDescent="0.25">
      <c r="B520" s="1142" t="s">
        <v>839</v>
      </c>
      <c r="C520" s="1143"/>
      <c r="D520" s="1143" t="s">
        <v>843</v>
      </c>
      <c r="E520" s="1144">
        <v>0.1782</v>
      </c>
      <c r="F520" s="1145" t="s">
        <v>1660</v>
      </c>
      <c r="G520" s="1146" t="s">
        <v>683</v>
      </c>
      <c r="H520" s="1147" t="s">
        <v>1660</v>
      </c>
      <c r="I520" s="1146" t="s">
        <v>1562</v>
      </c>
      <c r="J520" s="1148" t="s">
        <v>221</v>
      </c>
      <c r="K520" s="1" t="s">
        <v>125</v>
      </c>
      <c r="M520" s="1" t="s">
        <v>1031</v>
      </c>
    </row>
    <row r="521" spans="2:13" ht="15" hidden="1" customHeight="1" outlineLevel="1" x14ac:dyDescent="0.25">
      <c r="B521" s="1142" t="s">
        <v>839</v>
      </c>
      <c r="C521" s="1143"/>
      <c r="D521" s="1143" t="s">
        <v>846</v>
      </c>
      <c r="E521" s="1144">
        <v>8.4730000000000008</v>
      </c>
      <c r="F521" s="1145" t="s">
        <v>1660</v>
      </c>
      <c r="G521" s="1146" t="s">
        <v>683</v>
      </c>
      <c r="H521" s="1147" t="s">
        <v>1660</v>
      </c>
      <c r="I521" s="1146" t="s">
        <v>1564</v>
      </c>
      <c r="J521" s="1148" t="s">
        <v>221</v>
      </c>
      <c r="K521" s="1" t="s">
        <v>125</v>
      </c>
      <c r="M521" s="1" t="s">
        <v>1032</v>
      </c>
    </row>
    <row r="522" spans="2:13" ht="15" hidden="1" customHeight="1" outlineLevel="1" x14ac:dyDescent="0.25">
      <c r="B522" s="1142" t="s">
        <v>839</v>
      </c>
      <c r="C522" s="1143"/>
      <c r="D522" s="1143" t="s">
        <v>843</v>
      </c>
      <c r="E522" s="1144">
        <v>0.71319999999999995</v>
      </c>
      <c r="F522" s="1145" t="s">
        <v>125</v>
      </c>
      <c r="G522" s="1146"/>
      <c r="H522" s="1147" t="s">
        <v>125</v>
      </c>
      <c r="I522" s="1146"/>
      <c r="J522" s="1148" t="s">
        <v>221</v>
      </c>
      <c r="K522" s="1" t="s">
        <v>125</v>
      </c>
      <c r="M522" s="1" t="s">
        <v>1033</v>
      </c>
    </row>
    <row r="523" spans="2:13" ht="15" hidden="1" customHeight="1" outlineLevel="1" x14ac:dyDescent="0.25">
      <c r="B523" s="1142" t="s">
        <v>839</v>
      </c>
      <c r="C523" s="1143"/>
      <c r="D523" s="1143" t="s">
        <v>843</v>
      </c>
      <c r="E523" s="1144">
        <v>0.1605</v>
      </c>
      <c r="F523" s="1145" t="s">
        <v>125</v>
      </c>
      <c r="G523" s="1146"/>
      <c r="H523" s="1147" t="s">
        <v>125</v>
      </c>
      <c r="I523" s="1146"/>
      <c r="J523" s="1148" t="s">
        <v>221</v>
      </c>
      <c r="K523" s="1" t="s">
        <v>125</v>
      </c>
      <c r="M523" s="1" t="s">
        <v>1034</v>
      </c>
    </row>
    <row r="524" spans="2:13" ht="15" hidden="1" customHeight="1" outlineLevel="1" x14ac:dyDescent="0.25">
      <c r="B524" s="1142" t="s">
        <v>931</v>
      </c>
      <c r="C524" s="1143"/>
      <c r="D524" s="1143" t="s">
        <v>932</v>
      </c>
      <c r="E524" s="1144">
        <v>33.21</v>
      </c>
      <c r="F524" s="1145" t="s">
        <v>1660</v>
      </c>
      <c r="G524" s="1146" t="s">
        <v>1661</v>
      </c>
      <c r="H524" s="1147" t="s">
        <v>1660</v>
      </c>
      <c r="I524" s="1146" t="s">
        <v>1691</v>
      </c>
      <c r="J524" s="1148" t="s">
        <v>221</v>
      </c>
      <c r="K524" s="1" t="s">
        <v>125</v>
      </c>
      <c r="M524" s="1" t="s">
        <v>1025</v>
      </c>
    </row>
    <row r="525" spans="2:13" ht="15" hidden="1" customHeight="1" outlineLevel="1" x14ac:dyDescent="0.25">
      <c r="B525" s="1142" t="s">
        <v>931</v>
      </c>
      <c r="C525" s="1143"/>
      <c r="D525" s="1143" t="s">
        <v>947</v>
      </c>
      <c r="E525" s="1144">
        <v>0.48570000000000002</v>
      </c>
      <c r="F525" s="1145" t="s">
        <v>1660</v>
      </c>
      <c r="G525" s="1146" t="s">
        <v>1661</v>
      </c>
      <c r="H525" s="1147" t="s">
        <v>125</v>
      </c>
      <c r="I525" s="1146"/>
      <c r="J525" s="1148" t="s">
        <v>221</v>
      </c>
      <c r="K525" s="1" t="s">
        <v>125</v>
      </c>
      <c r="M525" s="1" t="s">
        <v>1035</v>
      </c>
    </row>
    <row r="526" spans="2:13" ht="15" hidden="1" customHeight="1" outlineLevel="1" x14ac:dyDescent="0.25">
      <c r="B526" s="1142" t="s">
        <v>931</v>
      </c>
      <c r="C526" s="1143"/>
      <c r="D526" s="1143" t="s">
        <v>934</v>
      </c>
      <c r="E526" s="1144">
        <v>34.020000000000003</v>
      </c>
      <c r="F526" s="1145" t="s">
        <v>1660</v>
      </c>
      <c r="G526" s="1146" t="s">
        <v>1867</v>
      </c>
      <c r="H526" s="1147" t="s">
        <v>1660</v>
      </c>
      <c r="I526" s="1146" t="s">
        <v>1868</v>
      </c>
      <c r="J526" s="1148" t="s">
        <v>935</v>
      </c>
      <c r="K526" s="1" t="s">
        <v>125</v>
      </c>
      <c r="M526" s="1" t="s">
        <v>1036</v>
      </c>
    </row>
    <row r="527" spans="2:13" ht="15" hidden="1" customHeight="1" outlineLevel="1" x14ac:dyDescent="0.25">
      <c r="B527" s="1142" t="s">
        <v>931</v>
      </c>
      <c r="C527" s="1143"/>
      <c r="D527" s="1143" t="s">
        <v>937</v>
      </c>
      <c r="E527" s="1144">
        <v>20750</v>
      </c>
      <c r="F527" s="1145" t="s">
        <v>1660</v>
      </c>
      <c r="G527" s="1146" t="s">
        <v>1869</v>
      </c>
      <c r="H527" s="1147" t="s">
        <v>1660</v>
      </c>
      <c r="I527" s="1146" t="s">
        <v>1870</v>
      </c>
      <c r="J527" s="1148" t="s">
        <v>935</v>
      </c>
      <c r="K527" s="1" t="s">
        <v>125</v>
      </c>
      <c r="M527" s="1" t="s">
        <v>1036</v>
      </c>
    </row>
    <row r="528" spans="2:13" ht="15" hidden="1" customHeight="1" outlineLevel="1" x14ac:dyDescent="0.25">
      <c r="B528" s="1142" t="s">
        <v>931</v>
      </c>
      <c r="C528" s="1143"/>
      <c r="D528" s="1143" t="s">
        <v>938</v>
      </c>
      <c r="E528" s="1144">
        <v>3210</v>
      </c>
      <c r="F528" s="1145" t="s">
        <v>1660</v>
      </c>
      <c r="G528" s="1146" t="s">
        <v>1871</v>
      </c>
      <c r="H528" s="1147" t="s">
        <v>1660</v>
      </c>
      <c r="I528" s="1146" t="s">
        <v>1872</v>
      </c>
      <c r="J528" s="1148" t="s">
        <v>935</v>
      </c>
      <c r="K528" s="1" t="s">
        <v>125</v>
      </c>
      <c r="M528" s="1" t="s">
        <v>1036</v>
      </c>
    </row>
    <row r="529" spans="2:13" ht="15" hidden="1" customHeight="1" outlineLevel="1" x14ac:dyDescent="0.25">
      <c r="B529" s="1142" t="s">
        <v>931</v>
      </c>
      <c r="C529" s="1143"/>
      <c r="D529" s="1143" t="s">
        <v>939</v>
      </c>
      <c r="E529" s="1144">
        <v>0.65580000000000005</v>
      </c>
      <c r="F529" s="1145" t="s">
        <v>1660</v>
      </c>
      <c r="G529" s="1146" t="s">
        <v>1873</v>
      </c>
      <c r="H529" s="1147" t="s">
        <v>1660</v>
      </c>
      <c r="I529" s="1146" t="s">
        <v>1874</v>
      </c>
      <c r="J529" s="1148" t="s">
        <v>935</v>
      </c>
      <c r="K529" s="1" t="s">
        <v>125</v>
      </c>
      <c r="M529" s="1" t="s">
        <v>1036</v>
      </c>
    </row>
    <row r="530" spans="2:13" ht="15" hidden="1" customHeight="1" outlineLevel="1" x14ac:dyDescent="0.25">
      <c r="B530" s="1142" t="s">
        <v>931</v>
      </c>
      <c r="C530" s="1143"/>
      <c r="D530" s="1143" t="s">
        <v>940</v>
      </c>
      <c r="E530" s="1144">
        <v>0</v>
      </c>
      <c r="F530" s="1145" t="s">
        <v>125</v>
      </c>
      <c r="G530" s="1146"/>
      <c r="H530" s="1147" t="s">
        <v>125</v>
      </c>
      <c r="I530" s="1146"/>
      <c r="J530" s="1148" t="s">
        <v>935</v>
      </c>
      <c r="K530" s="1" t="s">
        <v>125</v>
      </c>
      <c r="M530" s="1" t="s">
        <v>1036</v>
      </c>
    </row>
    <row r="531" spans="2:13" ht="15" hidden="1" customHeight="1" outlineLevel="1" x14ac:dyDescent="0.25">
      <c r="B531" s="1142" t="s">
        <v>931</v>
      </c>
      <c r="C531" s="1143"/>
      <c r="D531" s="1143" t="s">
        <v>941</v>
      </c>
      <c r="E531" s="1144">
        <v>214.9</v>
      </c>
      <c r="F531" s="1145" t="s">
        <v>1660</v>
      </c>
      <c r="G531" s="1146" t="s">
        <v>1875</v>
      </c>
      <c r="H531" s="1147" t="s">
        <v>1660</v>
      </c>
      <c r="I531" s="1146" t="s">
        <v>1876</v>
      </c>
      <c r="J531" s="1148" t="s">
        <v>935</v>
      </c>
      <c r="K531" s="1" t="s">
        <v>125</v>
      </c>
      <c r="M531" s="1" t="s">
        <v>1036</v>
      </c>
    </row>
    <row r="532" spans="2:13" ht="15" hidden="1" customHeight="1" outlineLevel="1" x14ac:dyDescent="0.25">
      <c r="B532" s="1142" t="s">
        <v>931</v>
      </c>
      <c r="C532" s="1143"/>
      <c r="D532" s="1143" t="s">
        <v>942</v>
      </c>
      <c r="E532" s="1144">
        <v>27450</v>
      </c>
      <c r="F532" s="1145" t="s">
        <v>1660</v>
      </c>
      <c r="G532" s="1146" t="s">
        <v>1877</v>
      </c>
      <c r="H532" s="1147" t="s">
        <v>1660</v>
      </c>
      <c r="I532" s="1146" t="s">
        <v>1878</v>
      </c>
      <c r="J532" s="1148" t="s">
        <v>935</v>
      </c>
      <c r="K532" s="1" t="s">
        <v>125</v>
      </c>
      <c r="M532" s="1" t="s">
        <v>1036</v>
      </c>
    </row>
    <row r="533" spans="2:13" ht="15" hidden="1" customHeight="1" outlineLevel="1" x14ac:dyDescent="0.25">
      <c r="B533" s="1142" t="s">
        <v>931</v>
      </c>
      <c r="C533" s="1143"/>
      <c r="D533" s="1143" t="s">
        <v>932</v>
      </c>
      <c r="E533" s="1144">
        <v>46.35</v>
      </c>
      <c r="F533" s="1145" t="s">
        <v>1660</v>
      </c>
      <c r="G533" s="1146" t="s">
        <v>683</v>
      </c>
      <c r="H533" s="1147" t="s">
        <v>1660</v>
      </c>
      <c r="I533" s="1146" t="s">
        <v>1704</v>
      </c>
      <c r="J533" s="1148" t="s">
        <v>221</v>
      </c>
      <c r="K533" s="1" t="s">
        <v>125</v>
      </c>
      <c r="M533" s="1" t="s">
        <v>1032</v>
      </c>
    </row>
    <row r="534" spans="2:13" ht="15" hidden="1" customHeight="1" outlineLevel="1" x14ac:dyDescent="0.25">
      <c r="B534" s="1142" t="s">
        <v>931</v>
      </c>
      <c r="C534" s="1143"/>
      <c r="D534" s="1143" t="s">
        <v>947</v>
      </c>
      <c r="E534" s="1144">
        <v>0.4667</v>
      </c>
      <c r="F534" s="1145" t="s">
        <v>1660</v>
      </c>
      <c r="G534" s="1146" t="s">
        <v>684</v>
      </c>
      <c r="H534" s="1147" t="s">
        <v>125</v>
      </c>
      <c r="I534" s="1146"/>
      <c r="J534" s="1148" t="s">
        <v>221</v>
      </c>
      <c r="K534" s="1" t="s">
        <v>125</v>
      </c>
      <c r="M534" s="1" t="s">
        <v>1037</v>
      </c>
    </row>
    <row r="535" spans="2:13" ht="15" hidden="1" customHeight="1" outlineLevel="1" x14ac:dyDescent="0.25">
      <c r="B535" s="1142" t="s">
        <v>931</v>
      </c>
      <c r="C535" s="1143"/>
      <c r="D535" s="1143" t="s">
        <v>932</v>
      </c>
      <c r="E535" s="1144">
        <v>60.3</v>
      </c>
      <c r="F535" s="1145" t="s">
        <v>125</v>
      </c>
      <c r="G535" s="1146"/>
      <c r="H535" s="1147" t="s">
        <v>125</v>
      </c>
      <c r="I535" s="1146"/>
      <c r="J535" s="1148" t="s">
        <v>221</v>
      </c>
      <c r="K535" s="1" t="s">
        <v>125</v>
      </c>
      <c r="M535" s="1" t="s">
        <v>1038</v>
      </c>
    </row>
    <row r="536" spans="2:13" ht="15" hidden="1" customHeight="1" outlineLevel="1" x14ac:dyDescent="0.25">
      <c r="B536" s="1142" t="s">
        <v>945</v>
      </c>
      <c r="C536" s="1143" t="s">
        <v>946</v>
      </c>
      <c r="D536" s="1143" t="s">
        <v>934</v>
      </c>
      <c r="E536" s="1144">
        <v>1404</v>
      </c>
      <c r="F536" s="1145" t="s">
        <v>1660</v>
      </c>
      <c r="G536" s="1146" t="s">
        <v>1879</v>
      </c>
      <c r="H536" s="1147" t="s">
        <v>1660</v>
      </c>
      <c r="I536" s="1146" t="s">
        <v>1880</v>
      </c>
      <c r="J536" s="1148" t="s">
        <v>935</v>
      </c>
      <c r="K536" s="1" t="s">
        <v>125</v>
      </c>
      <c r="M536" s="1" t="s">
        <v>1036</v>
      </c>
    </row>
    <row r="537" spans="2:13" ht="15" hidden="1" customHeight="1" outlineLevel="1" x14ac:dyDescent="0.25">
      <c r="B537" s="1142" t="s">
        <v>945</v>
      </c>
      <c r="C537" s="1143" t="s">
        <v>946</v>
      </c>
      <c r="D537" s="1143" t="s">
        <v>937</v>
      </c>
      <c r="E537" s="1144">
        <v>144100</v>
      </c>
      <c r="F537" s="1145" t="s">
        <v>1660</v>
      </c>
      <c r="G537" s="1146" t="s">
        <v>1881</v>
      </c>
      <c r="H537" s="1147" t="s">
        <v>1660</v>
      </c>
      <c r="I537" s="1146" t="s">
        <v>1882</v>
      </c>
      <c r="J537" s="1148" t="s">
        <v>935</v>
      </c>
      <c r="K537" s="1" t="s">
        <v>125</v>
      </c>
      <c r="M537" s="1" t="s">
        <v>1036</v>
      </c>
    </row>
    <row r="538" spans="2:13" ht="15" hidden="1" customHeight="1" outlineLevel="1" x14ac:dyDescent="0.25">
      <c r="B538" s="1142" t="s">
        <v>945</v>
      </c>
      <c r="C538" s="1143" t="s">
        <v>946</v>
      </c>
      <c r="D538" s="1143" t="s">
        <v>938</v>
      </c>
      <c r="E538" s="1144">
        <v>-11060</v>
      </c>
      <c r="F538" s="1145" t="s">
        <v>1660</v>
      </c>
      <c r="G538" s="1146" t="s">
        <v>1883</v>
      </c>
      <c r="H538" s="1147" t="s">
        <v>1660</v>
      </c>
      <c r="I538" s="1146" t="s">
        <v>1884</v>
      </c>
      <c r="J538" s="1148" t="s">
        <v>935</v>
      </c>
      <c r="K538" s="1" t="s">
        <v>125</v>
      </c>
      <c r="M538" s="1" t="s">
        <v>1036</v>
      </c>
    </row>
    <row r="539" spans="2:13" ht="15" hidden="1" customHeight="1" outlineLevel="1" x14ac:dyDescent="0.25">
      <c r="B539" s="1142" t="s">
        <v>945</v>
      </c>
      <c r="C539" s="1143" t="s">
        <v>946</v>
      </c>
      <c r="D539" s="1143" t="s">
        <v>939</v>
      </c>
      <c r="E539" s="1144">
        <v>24.97</v>
      </c>
      <c r="F539" s="1145" t="s">
        <v>1660</v>
      </c>
      <c r="G539" s="1146" t="s">
        <v>1885</v>
      </c>
      <c r="H539" s="1147" t="s">
        <v>1660</v>
      </c>
      <c r="I539" s="1146" t="s">
        <v>1886</v>
      </c>
      <c r="J539" s="1148" t="s">
        <v>935</v>
      </c>
      <c r="K539" s="1" t="s">
        <v>125</v>
      </c>
      <c r="M539" s="1" t="s">
        <v>1036</v>
      </c>
    </row>
    <row r="540" spans="2:13" ht="15" hidden="1" customHeight="1" outlineLevel="1" x14ac:dyDescent="0.25">
      <c r="B540" s="1142" t="s">
        <v>945</v>
      </c>
      <c r="C540" s="1143" t="s">
        <v>946</v>
      </c>
      <c r="D540" s="1143" t="s">
        <v>940</v>
      </c>
      <c r="E540" s="1144">
        <v>9679</v>
      </c>
      <c r="F540" s="1145" t="s">
        <v>1660</v>
      </c>
      <c r="G540" s="1146" t="s">
        <v>1887</v>
      </c>
      <c r="H540" s="1147" t="s">
        <v>1660</v>
      </c>
      <c r="I540" s="1146" t="s">
        <v>1888</v>
      </c>
      <c r="J540" s="1148" t="s">
        <v>935</v>
      </c>
      <c r="K540" s="1" t="s">
        <v>125</v>
      </c>
      <c r="M540" s="1" t="s">
        <v>1036</v>
      </c>
    </row>
    <row r="541" spans="2:13" ht="15" hidden="1" customHeight="1" outlineLevel="1" x14ac:dyDescent="0.25">
      <c r="B541" s="1142" t="s">
        <v>945</v>
      </c>
      <c r="C541" s="1143" t="s">
        <v>946</v>
      </c>
      <c r="D541" s="1143" t="s">
        <v>941</v>
      </c>
      <c r="E541" s="1144">
        <v>9667</v>
      </c>
      <c r="F541" s="1145" t="s">
        <v>1660</v>
      </c>
      <c r="G541" s="1146" t="s">
        <v>1889</v>
      </c>
      <c r="H541" s="1147" t="s">
        <v>1660</v>
      </c>
      <c r="I541" s="1146" t="s">
        <v>1890</v>
      </c>
      <c r="J541" s="1148" t="s">
        <v>935</v>
      </c>
      <c r="K541" s="1" t="s">
        <v>125</v>
      </c>
      <c r="M541" s="1" t="s">
        <v>1036</v>
      </c>
    </row>
    <row r="542" spans="2:13" ht="15" hidden="1" customHeight="1" outlineLevel="1" x14ac:dyDescent="0.25">
      <c r="B542" s="1149" t="s">
        <v>945</v>
      </c>
      <c r="C542" s="1150" t="s">
        <v>946</v>
      </c>
      <c r="D542" s="1150" t="s">
        <v>942</v>
      </c>
      <c r="E542" s="1151">
        <v>417200</v>
      </c>
      <c r="F542" s="1152" t="s">
        <v>1660</v>
      </c>
      <c r="G542" s="1158" t="s">
        <v>1891</v>
      </c>
      <c r="H542" s="1154" t="s">
        <v>1660</v>
      </c>
      <c r="I542" s="1153" t="s">
        <v>1892</v>
      </c>
      <c r="J542" s="1155" t="s">
        <v>935</v>
      </c>
      <c r="K542" s="1" t="s">
        <v>125</v>
      </c>
      <c r="M542" s="1" t="s">
        <v>1036</v>
      </c>
    </row>
    <row r="543" spans="2:13" ht="15" customHeight="1" x14ac:dyDescent="0.25">
      <c r="D543" s="1159"/>
      <c r="E543" s="1160"/>
      <c r="F543" s="1161" t="s">
        <v>125</v>
      </c>
      <c r="G543" s="672"/>
      <c r="H543" s="1162" t="s">
        <v>125</v>
      </c>
      <c r="I543" s="672"/>
      <c r="J543" s="672"/>
    </row>
    <row r="544" spans="2:13" ht="15" customHeight="1" x14ac:dyDescent="0.25">
      <c r="B544" s="1127" t="s">
        <v>825</v>
      </c>
      <c r="C544" s="1128"/>
      <c r="D544" s="1207" t="s">
        <v>1084</v>
      </c>
      <c r="E544" s="1123">
        <v>1699</v>
      </c>
      <c r="F544" s="1129" t="s">
        <v>1660</v>
      </c>
      <c r="G544" s="1130" t="s">
        <v>1893</v>
      </c>
      <c r="H544" s="1131" t="s">
        <v>125</v>
      </c>
      <c r="I544" s="1130"/>
      <c r="J544" s="208" t="s">
        <v>221</v>
      </c>
      <c r="K544" s="898">
        <v>97.83</v>
      </c>
    </row>
    <row r="545" spans="2:13" ht="15" customHeight="1" collapsed="1" x14ac:dyDescent="0.25">
      <c r="B545" s="1132" t="s">
        <v>825</v>
      </c>
      <c r="C545" s="1107"/>
      <c r="D545" s="1209" t="s">
        <v>1085</v>
      </c>
      <c r="E545" s="1133">
        <v>288.39999999999998</v>
      </c>
      <c r="F545" s="1134" t="s">
        <v>1660</v>
      </c>
      <c r="G545" s="1135" t="s">
        <v>1893</v>
      </c>
      <c r="H545" s="1136" t="s">
        <v>125</v>
      </c>
      <c r="I545" s="1135"/>
      <c r="J545" s="211" t="s">
        <v>221</v>
      </c>
      <c r="K545" s="531">
        <v>2.17</v>
      </c>
    </row>
    <row r="546" spans="2:13" ht="15" hidden="1" customHeight="1" outlineLevel="1" x14ac:dyDescent="0.25">
      <c r="B546" s="1137" t="s">
        <v>827</v>
      </c>
      <c r="C546" s="1138" t="s">
        <v>979</v>
      </c>
      <c r="D546" s="1138" t="s">
        <v>980</v>
      </c>
      <c r="E546" s="1139">
        <v>0</v>
      </c>
      <c r="F546" s="1140" t="s">
        <v>125</v>
      </c>
      <c r="G546" s="1163"/>
      <c r="H546" s="1141" t="s">
        <v>125</v>
      </c>
      <c r="I546" s="954"/>
      <c r="J546" s="955" t="s">
        <v>186</v>
      </c>
      <c r="K546" s="1170"/>
      <c r="M546" s="1170" t="s">
        <v>997</v>
      </c>
    </row>
    <row r="547" spans="2:13" ht="15" hidden="1" customHeight="1" outlineLevel="1" x14ac:dyDescent="0.25">
      <c r="B547" s="1142" t="s">
        <v>827</v>
      </c>
      <c r="C547" s="1143" t="s">
        <v>981</v>
      </c>
      <c r="D547" s="1143" t="s">
        <v>982</v>
      </c>
      <c r="E547" s="1144">
        <v>10000</v>
      </c>
      <c r="F547" s="1145" t="s">
        <v>125</v>
      </c>
      <c r="G547" s="1146"/>
      <c r="H547" s="1147" t="s">
        <v>125</v>
      </c>
      <c r="I547" s="1146"/>
      <c r="J547" s="1148" t="s">
        <v>181</v>
      </c>
      <c r="K547" s="1170"/>
      <c r="M547" s="1170" t="s">
        <v>998</v>
      </c>
    </row>
    <row r="548" spans="2:13" ht="15" hidden="1" customHeight="1" outlineLevel="1" x14ac:dyDescent="0.25">
      <c r="B548" s="1142" t="s">
        <v>827</v>
      </c>
      <c r="C548" s="1143" t="s">
        <v>981</v>
      </c>
      <c r="D548" s="1143" t="s">
        <v>983</v>
      </c>
      <c r="E548" s="1144">
        <v>0</v>
      </c>
      <c r="F548" s="1145" t="s">
        <v>125</v>
      </c>
      <c r="G548" s="1146"/>
      <c r="H548" s="1147" t="s">
        <v>125</v>
      </c>
      <c r="I548" s="1146"/>
      <c r="J548" s="1148" t="s">
        <v>182</v>
      </c>
      <c r="K548" s="1170"/>
      <c r="M548" s="1170" t="s">
        <v>999</v>
      </c>
    </row>
    <row r="549" spans="2:13" ht="15" hidden="1" customHeight="1" outlineLevel="1" x14ac:dyDescent="0.25">
      <c r="B549" s="1142" t="s">
        <v>827</v>
      </c>
      <c r="C549" s="1143" t="s">
        <v>981</v>
      </c>
      <c r="D549" s="1143" t="s">
        <v>984</v>
      </c>
      <c r="E549" s="1144">
        <v>0</v>
      </c>
      <c r="F549" s="1145" t="s">
        <v>125</v>
      </c>
      <c r="G549" s="1146"/>
      <c r="H549" s="1147" t="s">
        <v>125</v>
      </c>
      <c r="I549" s="1146"/>
      <c r="J549" s="1148" t="s">
        <v>182</v>
      </c>
      <c r="K549" s="1170"/>
      <c r="M549" s="1170" t="s">
        <v>999</v>
      </c>
    </row>
    <row r="550" spans="2:13" ht="15" hidden="1" customHeight="1" outlineLevel="1" x14ac:dyDescent="0.25">
      <c r="B550" s="1142" t="s">
        <v>827</v>
      </c>
      <c r="C550" s="1143" t="s">
        <v>981</v>
      </c>
      <c r="D550" s="1143" t="s">
        <v>985</v>
      </c>
      <c r="E550" s="1144">
        <v>14.18</v>
      </c>
      <c r="F550" s="1145" t="s">
        <v>125</v>
      </c>
      <c r="G550" s="1146"/>
      <c r="H550" s="1147" t="s">
        <v>125</v>
      </c>
      <c r="I550" s="1146"/>
      <c r="J550" s="1148" t="s">
        <v>182</v>
      </c>
      <c r="K550" s="1170"/>
      <c r="M550" s="1170" t="s">
        <v>999</v>
      </c>
    </row>
    <row r="551" spans="2:13" ht="15" hidden="1" customHeight="1" outlineLevel="1" x14ac:dyDescent="0.25">
      <c r="B551" s="1142" t="s">
        <v>827</v>
      </c>
      <c r="C551" s="1143" t="s">
        <v>981</v>
      </c>
      <c r="D551" s="1143" t="s">
        <v>986</v>
      </c>
      <c r="E551" s="1144">
        <v>434.5</v>
      </c>
      <c r="F551" s="1145" t="s">
        <v>125</v>
      </c>
      <c r="G551" s="1146"/>
      <c r="H551" s="1147" t="s">
        <v>125</v>
      </c>
      <c r="I551" s="1146"/>
      <c r="J551" s="1148" t="s">
        <v>182</v>
      </c>
      <c r="K551" s="1170"/>
      <c r="M551" s="1170" t="s">
        <v>999</v>
      </c>
    </row>
    <row r="552" spans="2:13" ht="15" hidden="1" customHeight="1" outlineLevel="1" x14ac:dyDescent="0.25">
      <c r="B552" s="1142" t="s">
        <v>827</v>
      </c>
      <c r="C552" s="1143" t="s">
        <v>981</v>
      </c>
      <c r="D552" s="1143" t="s">
        <v>987</v>
      </c>
      <c r="E552" s="1144">
        <v>448.7</v>
      </c>
      <c r="F552" s="1145" t="s">
        <v>125</v>
      </c>
      <c r="G552" s="1146"/>
      <c r="H552" s="1147" t="s">
        <v>125</v>
      </c>
      <c r="I552" s="1146"/>
      <c r="J552" s="1148" t="s">
        <v>182</v>
      </c>
      <c r="K552" s="1170"/>
      <c r="M552" s="1170" t="s">
        <v>999</v>
      </c>
    </row>
    <row r="553" spans="2:13" ht="15" hidden="1" customHeight="1" outlineLevel="1" x14ac:dyDescent="0.25">
      <c r="B553" s="1142" t="s">
        <v>830</v>
      </c>
      <c r="C553" s="1143"/>
      <c r="D553" s="1143" t="s">
        <v>665</v>
      </c>
      <c r="E553" s="1144">
        <v>3522</v>
      </c>
      <c r="F553" s="1145" t="s">
        <v>1660</v>
      </c>
      <c r="G553" s="1146" t="s">
        <v>726</v>
      </c>
      <c r="H553" s="1147" t="s">
        <v>125</v>
      </c>
      <c r="I553" s="1146"/>
      <c r="J553" s="1148" t="s">
        <v>221</v>
      </c>
      <c r="K553" s="1170"/>
      <c r="M553" s="1170" t="s">
        <v>1000</v>
      </c>
    </row>
    <row r="554" spans="2:13" ht="15" hidden="1" customHeight="1" outlineLevel="1" x14ac:dyDescent="0.25">
      <c r="B554" s="1142" t="s">
        <v>830</v>
      </c>
      <c r="C554" s="1143"/>
      <c r="D554" s="1143" t="s">
        <v>673</v>
      </c>
      <c r="E554" s="1144">
        <v>308.89999999999998</v>
      </c>
      <c r="F554" s="1145" t="s">
        <v>1660</v>
      </c>
      <c r="G554" s="1146" t="s">
        <v>723</v>
      </c>
      <c r="H554" s="1147" t="s">
        <v>125</v>
      </c>
      <c r="I554" s="1146"/>
      <c r="J554" s="1148" t="s">
        <v>221</v>
      </c>
      <c r="K554" s="1170"/>
      <c r="M554" s="1170" t="s">
        <v>1001</v>
      </c>
    </row>
    <row r="555" spans="2:13" ht="15" hidden="1" customHeight="1" outlineLevel="1" x14ac:dyDescent="0.25">
      <c r="B555" s="1142" t="s">
        <v>830</v>
      </c>
      <c r="C555" s="1143"/>
      <c r="D555" s="1143" t="s">
        <v>657</v>
      </c>
      <c r="E555" s="1144">
        <v>107.3</v>
      </c>
      <c r="F555" s="1145" t="s">
        <v>1660</v>
      </c>
      <c r="G555" s="1146" t="s">
        <v>1661</v>
      </c>
      <c r="H555" s="1147" t="s">
        <v>125</v>
      </c>
      <c r="I555" s="1146"/>
      <c r="J555" s="1148" t="s">
        <v>221</v>
      </c>
      <c r="K555" s="1170"/>
      <c r="M555" s="1170" t="s">
        <v>1086</v>
      </c>
    </row>
    <row r="556" spans="2:13" ht="15" hidden="1" customHeight="1" outlineLevel="1" x14ac:dyDescent="0.25">
      <c r="B556" s="1142" t="s">
        <v>830</v>
      </c>
      <c r="C556" s="1143"/>
      <c r="D556" s="1143" t="s">
        <v>656</v>
      </c>
      <c r="E556" s="1144">
        <v>1.8009999999999999</v>
      </c>
      <c r="F556" s="1145" t="s">
        <v>1660</v>
      </c>
      <c r="G556" s="1146" t="s">
        <v>1661</v>
      </c>
      <c r="H556" s="1147" t="s">
        <v>125</v>
      </c>
      <c r="I556" s="1146"/>
      <c r="J556" s="1148" t="s">
        <v>221</v>
      </c>
      <c r="K556" s="1170"/>
      <c r="M556" s="1170" t="s">
        <v>1087</v>
      </c>
    </row>
    <row r="557" spans="2:13" ht="15" hidden="1" customHeight="1" outlineLevel="1" x14ac:dyDescent="0.25">
      <c r="B557" s="1142" t="s">
        <v>830</v>
      </c>
      <c r="C557" s="1143"/>
      <c r="D557" s="1143" t="s">
        <v>655</v>
      </c>
      <c r="E557" s="1144">
        <v>33.369999999999997</v>
      </c>
      <c r="F557" s="1145" t="s">
        <v>1660</v>
      </c>
      <c r="G557" s="1146" t="s">
        <v>1661</v>
      </c>
      <c r="H557" s="1147" t="s">
        <v>125</v>
      </c>
      <c r="I557" s="1146"/>
      <c r="J557" s="1148" t="s">
        <v>221</v>
      </c>
      <c r="K557" s="1170"/>
      <c r="M557" s="1170" t="s">
        <v>1088</v>
      </c>
    </row>
    <row r="558" spans="2:13" ht="15" hidden="1" customHeight="1" outlineLevel="1" x14ac:dyDescent="0.25">
      <c r="B558" s="1142" t="s">
        <v>830</v>
      </c>
      <c r="C558" s="1143"/>
      <c r="D558" s="1143" t="s">
        <v>658</v>
      </c>
      <c r="E558" s="1144">
        <v>67.33</v>
      </c>
      <c r="F558" s="1145" t="s">
        <v>1660</v>
      </c>
      <c r="G558" s="1146" t="s">
        <v>1661</v>
      </c>
      <c r="H558" s="1147" t="s">
        <v>125</v>
      </c>
      <c r="I558" s="1146"/>
      <c r="J558" s="1148" t="s">
        <v>221</v>
      </c>
      <c r="K558" s="1170"/>
      <c r="M558" s="1170" t="s">
        <v>1089</v>
      </c>
    </row>
    <row r="559" spans="2:13" ht="15" hidden="1" customHeight="1" outlineLevel="1" x14ac:dyDescent="0.25">
      <c r="B559" s="1142" t="s">
        <v>830</v>
      </c>
      <c r="C559" s="1143"/>
      <c r="D559" s="1143" t="s">
        <v>659</v>
      </c>
      <c r="E559" s="1144">
        <v>4.5519999999999996</v>
      </c>
      <c r="F559" s="1145" t="s">
        <v>1660</v>
      </c>
      <c r="G559" s="1146" t="s">
        <v>1661</v>
      </c>
      <c r="H559" s="1147" t="s">
        <v>125</v>
      </c>
      <c r="I559" s="1146"/>
      <c r="J559" s="1148" t="s">
        <v>221</v>
      </c>
      <c r="K559" s="1170"/>
      <c r="M559" s="1170" t="s">
        <v>1090</v>
      </c>
    </row>
    <row r="560" spans="2:13" ht="15" hidden="1" customHeight="1" outlineLevel="1" x14ac:dyDescent="0.25">
      <c r="B560" s="1142" t="s">
        <v>830</v>
      </c>
      <c r="C560" s="1143"/>
      <c r="D560" s="1143" t="s">
        <v>988</v>
      </c>
      <c r="E560" s="1144">
        <v>1</v>
      </c>
      <c r="F560" s="1145" t="s">
        <v>125</v>
      </c>
      <c r="G560" s="1146"/>
      <c r="H560" s="1147" t="s">
        <v>125</v>
      </c>
      <c r="I560" s="1146"/>
      <c r="J560" s="1148" t="s">
        <v>188</v>
      </c>
      <c r="K560" s="1170"/>
      <c r="M560" s="1170" t="s">
        <v>1013</v>
      </c>
    </row>
    <row r="561" spans="2:13" ht="15" hidden="1" customHeight="1" outlineLevel="1" x14ac:dyDescent="0.25">
      <c r="B561" s="1142" t="s">
        <v>830</v>
      </c>
      <c r="C561" s="1143"/>
      <c r="D561" s="1143" t="s">
        <v>662</v>
      </c>
      <c r="E561" s="1144">
        <v>400</v>
      </c>
      <c r="F561" s="1145" t="s">
        <v>125</v>
      </c>
      <c r="G561" s="1146"/>
      <c r="H561" s="1147" t="s">
        <v>125</v>
      </c>
      <c r="I561" s="1146"/>
      <c r="J561" s="1148" t="s">
        <v>221</v>
      </c>
      <c r="K561" s="1170"/>
      <c r="M561" s="1170" t="s">
        <v>1014</v>
      </c>
    </row>
    <row r="562" spans="2:13" ht="15" hidden="1" customHeight="1" outlineLevel="1" x14ac:dyDescent="0.25">
      <c r="B562" s="1142" t="s">
        <v>830</v>
      </c>
      <c r="C562" s="1143"/>
      <c r="D562" s="1143" t="s">
        <v>1091</v>
      </c>
      <c r="E562" s="1144">
        <v>62.79</v>
      </c>
      <c r="F562" s="1145" t="s">
        <v>125</v>
      </c>
      <c r="G562" s="1146"/>
      <c r="H562" s="1147" t="s">
        <v>125</v>
      </c>
      <c r="I562" s="1146"/>
      <c r="J562" s="1148" t="s">
        <v>221</v>
      </c>
      <c r="K562" s="1170"/>
      <c r="M562" s="1170" t="s">
        <v>1052</v>
      </c>
    </row>
    <row r="563" spans="2:13" ht="15" hidden="1" customHeight="1" outlineLevel="1" x14ac:dyDescent="0.25">
      <c r="B563" s="1142" t="s">
        <v>830</v>
      </c>
      <c r="C563" s="1143"/>
      <c r="D563" s="1143" t="s">
        <v>990</v>
      </c>
      <c r="E563" s="1144">
        <v>114.9</v>
      </c>
      <c r="F563" s="1145" t="s">
        <v>1660</v>
      </c>
      <c r="G563" s="1146" t="s">
        <v>722</v>
      </c>
      <c r="H563" s="1147" t="s">
        <v>125</v>
      </c>
      <c r="I563" s="1146"/>
      <c r="J563" s="1148" t="s">
        <v>836</v>
      </c>
      <c r="K563" s="1170"/>
      <c r="M563" s="1170" t="s">
        <v>1015</v>
      </c>
    </row>
    <row r="564" spans="2:13" ht="15" hidden="1" customHeight="1" outlineLevel="1" x14ac:dyDescent="0.25">
      <c r="B564" s="1142" t="s">
        <v>830</v>
      </c>
      <c r="C564" s="1143"/>
      <c r="D564" s="1143" t="s">
        <v>990</v>
      </c>
      <c r="E564" s="1144">
        <v>34.090000000000003</v>
      </c>
      <c r="F564" s="1145" t="s">
        <v>1660</v>
      </c>
      <c r="G564" s="1146" t="s">
        <v>1894</v>
      </c>
      <c r="H564" s="1147" t="s">
        <v>125</v>
      </c>
      <c r="I564" s="1146"/>
      <c r="J564" s="1148" t="s">
        <v>836</v>
      </c>
      <c r="K564" s="1170"/>
      <c r="M564" s="1170" t="s">
        <v>1016</v>
      </c>
    </row>
    <row r="565" spans="2:13" ht="15" hidden="1" customHeight="1" outlineLevel="1" x14ac:dyDescent="0.25">
      <c r="B565" s="1142" t="s">
        <v>830</v>
      </c>
      <c r="C565" s="1143"/>
      <c r="D565" s="1143" t="s">
        <v>675</v>
      </c>
      <c r="E565" s="1144">
        <v>0.3448</v>
      </c>
      <c r="F565" s="1145" t="s">
        <v>1660</v>
      </c>
      <c r="G565" s="1146" t="s">
        <v>1661</v>
      </c>
      <c r="H565" s="1147" t="s">
        <v>125</v>
      </c>
      <c r="I565" s="1146"/>
      <c r="J565" s="1148" t="s">
        <v>221</v>
      </c>
      <c r="K565" s="1170"/>
      <c r="M565" s="1170" t="s">
        <v>1017</v>
      </c>
    </row>
    <row r="566" spans="2:13" ht="15" hidden="1" customHeight="1" outlineLevel="1" x14ac:dyDescent="0.25">
      <c r="B566" s="1142" t="s">
        <v>830</v>
      </c>
      <c r="C566" s="1143"/>
      <c r="D566" s="1143" t="s">
        <v>676</v>
      </c>
      <c r="E566" s="1144">
        <v>1.4490000000000001</v>
      </c>
      <c r="F566" s="1145" t="s">
        <v>1660</v>
      </c>
      <c r="G566" s="1146" t="s">
        <v>1661</v>
      </c>
      <c r="H566" s="1147" t="s">
        <v>125</v>
      </c>
      <c r="I566" s="1146"/>
      <c r="J566" s="1148" t="s">
        <v>221</v>
      </c>
      <c r="K566" s="1170"/>
      <c r="M566" s="1170" t="s">
        <v>1018</v>
      </c>
    </row>
    <row r="567" spans="2:13" ht="15" hidden="1" customHeight="1" outlineLevel="1" x14ac:dyDescent="0.25">
      <c r="B567" s="1142" t="s">
        <v>830</v>
      </c>
      <c r="C567" s="1143"/>
      <c r="D567" s="1143" t="s">
        <v>678</v>
      </c>
      <c r="E567" s="1144">
        <v>2.7949999999999999</v>
      </c>
      <c r="F567" s="1145" t="s">
        <v>1660</v>
      </c>
      <c r="G567" s="1146" t="s">
        <v>1661</v>
      </c>
      <c r="H567" s="1147" t="s">
        <v>125</v>
      </c>
      <c r="I567" s="1146"/>
      <c r="J567" s="1148" t="s">
        <v>221</v>
      </c>
      <c r="K567" s="1170"/>
      <c r="M567" s="1170" t="s">
        <v>1019</v>
      </c>
    </row>
    <row r="568" spans="2:13" ht="15" hidden="1" customHeight="1" outlineLevel="1" x14ac:dyDescent="0.25">
      <c r="B568" s="1142" t="s">
        <v>830</v>
      </c>
      <c r="C568" s="1143"/>
      <c r="D568" s="1143" t="s">
        <v>991</v>
      </c>
      <c r="E568" s="1144">
        <v>0.3448</v>
      </c>
      <c r="F568" s="1145" t="s">
        <v>1660</v>
      </c>
      <c r="G568" s="1146" t="s">
        <v>1661</v>
      </c>
      <c r="H568" s="1147" t="s">
        <v>125</v>
      </c>
      <c r="I568" s="1146"/>
      <c r="J568" s="1148" t="s">
        <v>221</v>
      </c>
      <c r="K568" s="1170"/>
      <c r="M568" s="1170" t="s">
        <v>1020</v>
      </c>
    </row>
    <row r="569" spans="2:13" ht="15" hidden="1" customHeight="1" outlineLevel="1" x14ac:dyDescent="0.25">
      <c r="B569" s="1142" t="s">
        <v>830</v>
      </c>
      <c r="C569" s="1143"/>
      <c r="D569" s="1143" t="s">
        <v>992</v>
      </c>
      <c r="E569" s="1144">
        <v>1.4490000000000001</v>
      </c>
      <c r="F569" s="1145" t="s">
        <v>1660</v>
      </c>
      <c r="G569" s="1146" t="s">
        <v>1661</v>
      </c>
      <c r="H569" s="1147" t="s">
        <v>125</v>
      </c>
      <c r="I569" s="1146"/>
      <c r="J569" s="1148" t="s">
        <v>221</v>
      </c>
      <c r="K569" s="1170"/>
      <c r="M569" s="1170" t="s">
        <v>1021</v>
      </c>
    </row>
    <row r="570" spans="2:13" ht="15" hidden="1" customHeight="1" outlineLevel="1" x14ac:dyDescent="0.25">
      <c r="B570" s="1142" t="s">
        <v>830</v>
      </c>
      <c r="C570" s="1143"/>
      <c r="D570" s="1143" t="s">
        <v>993</v>
      </c>
      <c r="E570" s="1144">
        <v>2.7949999999999999</v>
      </c>
      <c r="F570" s="1145" t="s">
        <v>1660</v>
      </c>
      <c r="G570" s="1146" t="s">
        <v>1661</v>
      </c>
      <c r="H570" s="1147" t="s">
        <v>125</v>
      </c>
      <c r="I570" s="1146"/>
      <c r="J570" s="1148" t="s">
        <v>221</v>
      </c>
      <c r="K570" s="1170"/>
      <c r="M570" s="1170" t="s">
        <v>1022</v>
      </c>
    </row>
    <row r="571" spans="2:13" ht="15" hidden="1" customHeight="1" outlineLevel="1" x14ac:dyDescent="0.25">
      <c r="B571" s="1142" t="s">
        <v>994</v>
      </c>
      <c r="C571" s="1143"/>
      <c r="D571" s="1143" t="s">
        <v>834</v>
      </c>
      <c r="E571" s="1144">
        <v>3316</v>
      </c>
      <c r="F571" s="1145" t="s">
        <v>1660</v>
      </c>
      <c r="G571" s="1146" t="s">
        <v>718</v>
      </c>
      <c r="H571" s="1147" t="s">
        <v>125</v>
      </c>
      <c r="I571" s="1146"/>
      <c r="J571" s="1148" t="s">
        <v>304</v>
      </c>
      <c r="K571" s="1170"/>
      <c r="M571" s="1170" t="s">
        <v>1023</v>
      </c>
    </row>
    <row r="572" spans="2:13" ht="15" hidden="1" customHeight="1" outlineLevel="1" x14ac:dyDescent="0.25">
      <c r="B572" s="1142" t="s">
        <v>839</v>
      </c>
      <c r="C572" s="1143"/>
      <c r="D572" s="1143" t="s">
        <v>925</v>
      </c>
      <c r="E572" s="1144">
        <v>176</v>
      </c>
      <c r="F572" s="1145" t="s">
        <v>125</v>
      </c>
      <c r="G572" s="1146"/>
      <c r="H572" s="1147" t="s">
        <v>125</v>
      </c>
      <c r="I572" s="1146"/>
      <c r="J572" s="1148" t="s">
        <v>221</v>
      </c>
      <c r="K572" s="1170"/>
      <c r="M572" s="1170" t="s">
        <v>1024</v>
      </c>
    </row>
    <row r="573" spans="2:13" ht="15" hidden="1" customHeight="1" outlineLevel="1" x14ac:dyDescent="0.25">
      <c r="B573" s="1142" t="s">
        <v>839</v>
      </c>
      <c r="C573" s="1143"/>
      <c r="D573" s="1143" t="s">
        <v>925</v>
      </c>
      <c r="E573" s="1144">
        <v>0</v>
      </c>
      <c r="F573" s="1145" t="s">
        <v>1660</v>
      </c>
      <c r="G573" s="1146" t="s">
        <v>1661</v>
      </c>
      <c r="H573" s="1147" t="s">
        <v>125</v>
      </c>
      <c r="I573" s="1146"/>
      <c r="J573" s="1148" t="s">
        <v>221</v>
      </c>
      <c r="K573" s="1170"/>
      <c r="M573" s="1170" t="s">
        <v>1025</v>
      </c>
    </row>
    <row r="574" spans="2:13" ht="15" hidden="1" customHeight="1" outlineLevel="1" x14ac:dyDescent="0.25">
      <c r="B574" s="1142" t="s">
        <v>839</v>
      </c>
      <c r="C574" s="1143"/>
      <c r="D574" s="1143" t="s">
        <v>843</v>
      </c>
      <c r="E574" s="1144">
        <v>0</v>
      </c>
      <c r="F574" s="1145" t="s">
        <v>1660</v>
      </c>
      <c r="G574" s="1146" t="s">
        <v>1661</v>
      </c>
      <c r="H574" s="1147" t="s">
        <v>1660</v>
      </c>
      <c r="I574" s="1146" t="s">
        <v>1558</v>
      </c>
      <c r="J574" s="1148" t="s">
        <v>221</v>
      </c>
      <c r="K574" s="1170"/>
      <c r="M574" s="1170" t="s">
        <v>1026</v>
      </c>
    </row>
    <row r="575" spans="2:13" ht="15" hidden="1" customHeight="1" outlineLevel="1" x14ac:dyDescent="0.25">
      <c r="B575" s="1142" t="s">
        <v>839</v>
      </c>
      <c r="C575" s="1143"/>
      <c r="D575" s="1143" t="s">
        <v>843</v>
      </c>
      <c r="E575" s="1144">
        <v>0</v>
      </c>
      <c r="F575" s="1145" t="s">
        <v>1660</v>
      </c>
      <c r="G575" s="1146" t="s">
        <v>1661</v>
      </c>
      <c r="H575" s="1147" t="s">
        <v>1660</v>
      </c>
      <c r="I575" s="1146" t="s">
        <v>1895</v>
      </c>
      <c r="J575" s="1148" t="s">
        <v>221</v>
      </c>
      <c r="K575" s="1170"/>
      <c r="M575" s="1170" t="s">
        <v>1027</v>
      </c>
    </row>
    <row r="576" spans="2:13" ht="15" hidden="1" customHeight="1" outlineLevel="1" x14ac:dyDescent="0.25">
      <c r="B576" s="1142" t="s">
        <v>839</v>
      </c>
      <c r="C576" s="1143"/>
      <c r="D576" s="1143" t="s">
        <v>846</v>
      </c>
      <c r="E576" s="1144">
        <v>0</v>
      </c>
      <c r="F576" s="1145" t="s">
        <v>1660</v>
      </c>
      <c r="G576" s="1146" t="s">
        <v>1661</v>
      </c>
      <c r="H576" s="1147" t="s">
        <v>125</v>
      </c>
      <c r="I576" s="1146"/>
      <c r="J576" s="1148" t="s">
        <v>221</v>
      </c>
      <c r="K576" s="1170"/>
      <c r="M576" s="1170" t="s">
        <v>1028</v>
      </c>
    </row>
    <row r="577" spans="2:13" ht="15" hidden="1" customHeight="1" outlineLevel="1" x14ac:dyDescent="0.25">
      <c r="B577" s="1142" t="s">
        <v>839</v>
      </c>
      <c r="C577" s="1143"/>
      <c r="D577" s="1143" t="s">
        <v>995</v>
      </c>
      <c r="E577" s="1144">
        <v>0</v>
      </c>
      <c r="F577" s="1145" t="s">
        <v>1660</v>
      </c>
      <c r="G577" s="1146" t="s">
        <v>1661</v>
      </c>
      <c r="H577" s="1147" t="s">
        <v>125</v>
      </c>
      <c r="I577" s="1146"/>
      <c r="J577" s="1148" t="s">
        <v>221</v>
      </c>
      <c r="K577" s="1170"/>
      <c r="M577" s="1170" t="s">
        <v>1029</v>
      </c>
    </row>
    <row r="578" spans="2:13" ht="15" hidden="1" customHeight="1" outlineLevel="1" x14ac:dyDescent="0.25">
      <c r="B578" s="1142" t="s">
        <v>839</v>
      </c>
      <c r="C578" s="1143"/>
      <c r="D578" s="1143" t="s">
        <v>996</v>
      </c>
      <c r="E578" s="1144">
        <v>383.2</v>
      </c>
      <c r="F578" s="1145" t="s">
        <v>125</v>
      </c>
      <c r="G578" s="1146"/>
      <c r="H578" s="1147" t="s">
        <v>125</v>
      </c>
      <c r="I578" s="1146"/>
      <c r="J578" s="1148" t="s">
        <v>221</v>
      </c>
      <c r="K578" s="1170"/>
      <c r="M578" s="1170" t="s">
        <v>999</v>
      </c>
    </row>
    <row r="579" spans="2:13" ht="15" hidden="1" customHeight="1" outlineLevel="1" x14ac:dyDescent="0.25">
      <c r="B579" s="1142" t="s">
        <v>839</v>
      </c>
      <c r="C579" s="1143"/>
      <c r="D579" s="1143" t="s">
        <v>843</v>
      </c>
      <c r="E579" s="1144">
        <v>0.54830000000000001</v>
      </c>
      <c r="F579" s="1145" t="s">
        <v>1660</v>
      </c>
      <c r="G579" s="1146" t="s">
        <v>683</v>
      </c>
      <c r="H579" s="1147" t="s">
        <v>1660</v>
      </c>
      <c r="I579" s="1146" t="s">
        <v>1561</v>
      </c>
      <c r="J579" s="1148" t="s">
        <v>221</v>
      </c>
      <c r="K579" s="1170"/>
      <c r="M579" s="1170" t="s">
        <v>1030</v>
      </c>
    </row>
    <row r="580" spans="2:13" ht="15" hidden="1" customHeight="1" outlineLevel="1" x14ac:dyDescent="0.25">
      <c r="B580" s="1142" t="s">
        <v>839</v>
      </c>
      <c r="C580" s="1143"/>
      <c r="D580" s="1143" t="s">
        <v>843</v>
      </c>
      <c r="E580" s="1144">
        <v>0.1782</v>
      </c>
      <c r="F580" s="1145" t="s">
        <v>1660</v>
      </c>
      <c r="G580" s="1146" t="s">
        <v>683</v>
      </c>
      <c r="H580" s="1147" t="s">
        <v>1660</v>
      </c>
      <c r="I580" s="1146" t="s">
        <v>1562</v>
      </c>
      <c r="J580" s="1148" t="s">
        <v>221</v>
      </c>
      <c r="K580" s="1170"/>
      <c r="M580" s="1170" t="s">
        <v>1031</v>
      </c>
    </row>
    <row r="581" spans="2:13" ht="15" hidden="1" customHeight="1" outlineLevel="1" x14ac:dyDescent="0.25">
      <c r="B581" s="1142" t="s">
        <v>839</v>
      </c>
      <c r="C581" s="1143"/>
      <c r="D581" s="1143" t="s">
        <v>846</v>
      </c>
      <c r="E581" s="1144">
        <v>8.4730000000000008</v>
      </c>
      <c r="F581" s="1145" t="s">
        <v>1660</v>
      </c>
      <c r="G581" s="1146" t="s">
        <v>683</v>
      </c>
      <c r="H581" s="1147" t="s">
        <v>1660</v>
      </c>
      <c r="I581" s="1146" t="s">
        <v>1564</v>
      </c>
      <c r="J581" s="1148" t="s">
        <v>221</v>
      </c>
      <c r="K581" s="1170"/>
      <c r="M581" s="1170" t="s">
        <v>1032</v>
      </c>
    </row>
    <row r="582" spans="2:13" ht="15" hidden="1" customHeight="1" outlineLevel="1" x14ac:dyDescent="0.25">
      <c r="B582" s="1142" t="s">
        <v>839</v>
      </c>
      <c r="C582" s="1143"/>
      <c r="D582" s="1143" t="s">
        <v>843</v>
      </c>
      <c r="E582" s="1144">
        <v>0.38419999999999999</v>
      </c>
      <c r="F582" s="1145" t="s">
        <v>125</v>
      </c>
      <c r="G582" s="1146"/>
      <c r="H582" s="1147" t="s">
        <v>125</v>
      </c>
      <c r="I582" s="1146"/>
      <c r="J582" s="1148" t="s">
        <v>221</v>
      </c>
      <c r="K582" s="1170"/>
      <c r="M582" s="1170" t="s">
        <v>1033</v>
      </c>
    </row>
    <row r="583" spans="2:13" ht="15" hidden="1" customHeight="1" outlineLevel="1" x14ac:dyDescent="0.25">
      <c r="B583" s="1142" t="s">
        <v>839</v>
      </c>
      <c r="C583" s="1143"/>
      <c r="D583" s="1143" t="s">
        <v>843</v>
      </c>
      <c r="E583" s="1144">
        <v>8.6430000000000007E-2</v>
      </c>
      <c r="F583" s="1145" t="s">
        <v>125</v>
      </c>
      <c r="G583" s="1146"/>
      <c r="H583" s="1147" t="s">
        <v>125</v>
      </c>
      <c r="I583" s="1146"/>
      <c r="J583" s="1148" t="s">
        <v>221</v>
      </c>
      <c r="K583" s="1170"/>
      <c r="M583" s="1170" t="s">
        <v>1034</v>
      </c>
    </row>
    <row r="584" spans="2:13" ht="15" hidden="1" customHeight="1" outlineLevel="1" x14ac:dyDescent="0.25">
      <c r="B584" s="1142" t="s">
        <v>931</v>
      </c>
      <c r="C584" s="1143"/>
      <c r="D584" s="1143" t="s">
        <v>932</v>
      </c>
      <c r="E584" s="1144">
        <v>0</v>
      </c>
      <c r="F584" s="1145" t="s">
        <v>1660</v>
      </c>
      <c r="G584" s="1146" t="s">
        <v>1661</v>
      </c>
      <c r="H584" s="1147" t="s">
        <v>1660</v>
      </c>
      <c r="I584" s="1146" t="s">
        <v>1691</v>
      </c>
      <c r="J584" s="1148" t="s">
        <v>221</v>
      </c>
      <c r="K584" s="1170"/>
      <c r="M584" s="1170" t="s">
        <v>1025</v>
      </c>
    </row>
    <row r="585" spans="2:13" ht="15" hidden="1" customHeight="1" outlineLevel="1" x14ac:dyDescent="0.25">
      <c r="B585" s="1142" t="s">
        <v>931</v>
      </c>
      <c r="C585" s="1143"/>
      <c r="D585" s="1143" t="s">
        <v>947</v>
      </c>
      <c r="E585" s="1144">
        <v>0.92520000000000002</v>
      </c>
      <c r="F585" s="1145" t="s">
        <v>1660</v>
      </c>
      <c r="G585" s="1146" t="s">
        <v>1661</v>
      </c>
      <c r="H585" s="1147" t="s">
        <v>125</v>
      </c>
      <c r="I585" s="1146"/>
      <c r="J585" s="1148" t="s">
        <v>221</v>
      </c>
      <c r="K585" s="1170"/>
      <c r="M585" s="1170" t="s">
        <v>1035</v>
      </c>
    </row>
    <row r="586" spans="2:13" ht="15" hidden="1" customHeight="1" outlineLevel="1" x14ac:dyDescent="0.25">
      <c r="B586" s="1142" t="s">
        <v>931</v>
      </c>
      <c r="C586" s="1143"/>
      <c r="D586" s="1143" t="s">
        <v>934</v>
      </c>
      <c r="E586" s="1144">
        <v>37.46</v>
      </c>
      <c r="F586" s="1145" t="s">
        <v>1660</v>
      </c>
      <c r="G586" s="1146" t="s">
        <v>1896</v>
      </c>
      <c r="H586" s="1147" t="s">
        <v>1660</v>
      </c>
      <c r="I586" s="1146" t="s">
        <v>1897</v>
      </c>
      <c r="J586" s="1148" t="s">
        <v>935</v>
      </c>
      <c r="K586" s="1170"/>
      <c r="M586" s="1170" t="s">
        <v>1036</v>
      </c>
    </row>
    <row r="587" spans="2:13" ht="15" hidden="1" customHeight="1" outlineLevel="1" x14ac:dyDescent="0.25">
      <c r="B587" s="1142" t="s">
        <v>931</v>
      </c>
      <c r="C587" s="1143"/>
      <c r="D587" s="1143" t="s">
        <v>937</v>
      </c>
      <c r="E587" s="1144">
        <v>20760</v>
      </c>
      <c r="F587" s="1145" t="s">
        <v>1660</v>
      </c>
      <c r="G587" s="1146" t="s">
        <v>1898</v>
      </c>
      <c r="H587" s="1147" t="s">
        <v>1660</v>
      </c>
      <c r="I587" s="1146" t="s">
        <v>1899</v>
      </c>
      <c r="J587" s="1148" t="s">
        <v>935</v>
      </c>
      <c r="K587" s="1170"/>
      <c r="M587" s="1170" t="s">
        <v>1036</v>
      </c>
    </row>
    <row r="588" spans="2:13" ht="15" hidden="1" customHeight="1" outlineLevel="1" x14ac:dyDescent="0.25">
      <c r="B588" s="1142" t="s">
        <v>931</v>
      </c>
      <c r="C588" s="1143"/>
      <c r="D588" s="1143" t="s">
        <v>938</v>
      </c>
      <c r="E588" s="1144">
        <v>3317</v>
      </c>
      <c r="F588" s="1145" t="s">
        <v>1660</v>
      </c>
      <c r="G588" s="1146" t="s">
        <v>1900</v>
      </c>
      <c r="H588" s="1147" t="s">
        <v>1660</v>
      </c>
      <c r="I588" s="1146" t="s">
        <v>1901</v>
      </c>
      <c r="J588" s="1148" t="s">
        <v>935</v>
      </c>
      <c r="K588" s="1170"/>
      <c r="M588" s="1170" t="s">
        <v>1036</v>
      </c>
    </row>
    <row r="589" spans="2:13" ht="15" hidden="1" customHeight="1" outlineLevel="1" x14ac:dyDescent="0.25">
      <c r="B589" s="1142" t="s">
        <v>931</v>
      </c>
      <c r="C589" s="1143"/>
      <c r="D589" s="1143" t="s">
        <v>939</v>
      </c>
      <c r="E589" s="1144">
        <v>0.67390000000000005</v>
      </c>
      <c r="F589" s="1145" t="s">
        <v>1660</v>
      </c>
      <c r="G589" s="1146" t="s">
        <v>1902</v>
      </c>
      <c r="H589" s="1147" t="s">
        <v>1660</v>
      </c>
      <c r="I589" s="1146" t="s">
        <v>1903</v>
      </c>
      <c r="J589" s="1148" t="s">
        <v>935</v>
      </c>
      <c r="K589" s="1170"/>
      <c r="M589" s="1170" t="s">
        <v>1036</v>
      </c>
    </row>
    <row r="590" spans="2:13" ht="15" hidden="1" customHeight="1" outlineLevel="1" x14ac:dyDescent="0.25">
      <c r="B590" s="1142" t="s">
        <v>931</v>
      </c>
      <c r="C590" s="1143"/>
      <c r="D590" s="1143" t="s">
        <v>940</v>
      </c>
      <c r="E590" s="1144">
        <v>0</v>
      </c>
      <c r="F590" s="1145" t="s">
        <v>125</v>
      </c>
      <c r="G590" s="1146"/>
      <c r="H590" s="1147" t="s">
        <v>125</v>
      </c>
      <c r="I590" s="1146"/>
      <c r="J590" s="1148" t="s">
        <v>935</v>
      </c>
      <c r="K590" s="1170"/>
      <c r="M590" s="1170" t="s">
        <v>1036</v>
      </c>
    </row>
    <row r="591" spans="2:13" ht="15" hidden="1" customHeight="1" outlineLevel="1" x14ac:dyDescent="0.25">
      <c r="B591" s="1142" t="s">
        <v>931</v>
      </c>
      <c r="C591" s="1143"/>
      <c r="D591" s="1143" t="s">
        <v>941</v>
      </c>
      <c r="E591" s="1144">
        <v>213.2</v>
      </c>
      <c r="F591" s="1145" t="s">
        <v>1660</v>
      </c>
      <c r="G591" s="1146" t="s">
        <v>1904</v>
      </c>
      <c r="H591" s="1147" t="s">
        <v>1660</v>
      </c>
      <c r="I591" s="1146" t="s">
        <v>1905</v>
      </c>
      <c r="J591" s="1148" t="s">
        <v>935</v>
      </c>
      <c r="K591" s="1170"/>
      <c r="M591" s="1170" t="s">
        <v>1036</v>
      </c>
    </row>
    <row r="592" spans="2:13" ht="15" hidden="1" customHeight="1" outlineLevel="1" x14ac:dyDescent="0.25">
      <c r="B592" s="1142" t="s">
        <v>931</v>
      </c>
      <c r="C592" s="1143"/>
      <c r="D592" s="1143" t="s">
        <v>942</v>
      </c>
      <c r="E592" s="1144">
        <v>27560</v>
      </c>
      <c r="F592" s="1145" t="s">
        <v>1660</v>
      </c>
      <c r="G592" s="1146" t="s">
        <v>1906</v>
      </c>
      <c r="H592" s="1147" t="s">
        <v>1660</v>
      </c>
      <c r="I592" s="1146" t="s">
        <v>1907</v>
      </c>
      <c r="J592" s="1148" t="s">
        <v>935</v>
      </c>
      <c r="K592" s="1170"/>
      <c r="M592" s="1170" t="s">
        <v>1036</v>
      </c>
    </row>
    <row r="593" spans="2:13" ht="15" hidden="1" customHeight="1" outlineLevel="1" x14ac:dyDescent="0.25">
      <c r="B593" s="1142" t="s">
        <v>931</v>
      </c>
      <c r="C593" s="1143"/>
      <c r="D593" s="1143" t="s">
        <v>932</v>
      </c>
      <c r="E593" s="1144">
        <v>46.35</v>
      </c>
      <c r="F593" s="1145" t="s">
        <v>1660</v>
      </c>
      <c r="G593" s="1146" t="s">
        <v>683</v>
      </c>
      <c r="H593" s="1147" t="s">
        <v>1660</v>
      </c>
      <c r="I593" s="1146" t="s">
        <v>1704</v>
      </c>
      <c r="J593" s="1148" t="s">
        <v>221</v>
      </c>
      <c r="K593" s="1170"/>
      <c r="M593" s="1170" t="s">
        <v>1032</v>
      </c>
    </row>
    <row r="594" spans="2:13" ht="15" hidden="1" customHeight="1" outlineLevel="1" x14ac:dyDescent="0.25">
      <c r="B594" s="1142" t="s">
        <v>931</v>
      </c>
      <c r="C594" s="1143"/>
      <c r="D594" s="1143" t="s">
        <v>947</v>
      </c>
      <c r="E594" s="1144">
        <v>0.4667</v>
      </c>
      <c r="F594" s="1145" t="s">
        <v>1660</v>
      </c>
      <c r="G594" s="1146" t="s">
        <v>684</v>
      </c>
      <c r="H594" s="1147" t="s">
        <v>125</v>
      </c>
      <c r="I594" s="1146"/>
      <c r="J594" s="1148" t="s">
        <v>221</v>
      </c>
      <c r="K594" s="1170"/>
      <c r="M594" s="1170" t="s">
        <v>1037</v>
      </c>
    </row>
    <row r="595" spans="2:13" ht="15" hidden="1" customHeight="1" outlineLevel="1" x14ac:dyDescent="0.25">
      <c r="B595" s="1142" t="s">
        <v>931</v>
      </c>
      <c r="C595" s="1143"/>
      <c r="D595" s="1143" t="s">
        <v>932</v>
      </c>
      <c r="E595" s="1144">
        <v>32.479999999999997</v>
      </c>
      <c r="F595" s="1145" t="s">
        <v>125</v>
      </c>
      <c r="G595" s="1146"/>
      <c r="H595" s="1147" t="s">
        <v>125</v>
      </c>
      <c r="I595" s="1146"/>
      <c r="J595" s="1148" t="s">
        <v>221</v>
      </c>
      <c r="K595" s="1170"/>
      <c r="M595" s="1170" t="s">
        <v>1038</v>
      </c>
    </row>
    <row r="596" spans="2:13" ht="15" hidden="1" customHeight="1" outlineLevel="1" x14ac:dyDescent="0.25">
      <c r="B596" s="1142" t="s">
        <v>945</v>
      </c>
      <c r="C596" s="1143" t="s">
        <v>946</v>
      </c>
      <c r="D596" s="1143" t="s">
        <v>934</v>
      </c>
      <c r="E596" s="1144">
        <v>2027</v>
      </c>
      <c r="F596" s="1145" t="s">
        <v>1660</v>
      </c>
      <c r="G596" s="1146" t="s">
        <v>1908</v>
      </c>
      <c r="H596" s="1147" t="s">
        <v>1660</v>
      </c>
      <c r="I596" s="1146" t="s">
        <v>1909</v>
      </c>
      <c r="J596" s="1148" t="s">
        <v>935</v>
      </c>
      <c r="K596" s="1170"/>
      <c r="M596" s="1170" t="s">
        <v>1036</v>
      </c>
    </row>
    <row r="597" spans="2:13" ht="15" hidden="1" customHeight="1" outlineLevel="1" x14ac:dyDescent="0.25">
      <c r="B597" s="1142" t="s">
        <v>945</v>
      </c>
      <c r="C597" s="1143" t="s">
        <v>946</v>
      </c>
      <c r="D597" s="1143" t="s">
        <v>937</v>
      </c>
      <c r="E597" s="1144">
        <v>148100</v>
      </c>
      <c r="F597" s="1145" t="s">
        <v>1660</v>
      </c>
      <c r="G597" s="1146" t="s">
        <v>1910</v>
      </c>
      <c r="H597" s="1147" t="s">
        <v>1660</v>
      </c>
      <c r="I597" s="1146" t="s">
        <v>1911</v>
      </c>
      <c r="J597" s="1148" t="s">
        <v>935</v>
      </c>
      <c r="K597" s="1170"/>
      <c r="M597" s="1170" t="s">
        <v>1036</v>
      </c>
    </row>
    <row r="598" spans="2:13" ht="15" hidden="1" customHeight="1" outlineLevel="1" x14ac:dyDescent="0.25">
      <c r="B598" s="1142" t="s">
        <v>945</v>
      </c>
      <c r="C598" s="1143" t="s">
        <v>946</v>
      </c>
      <c r="D598" s="1143" t="s">
        <v>938</v>
      </c>
      <c r="E598" s="1144">
        <v>12230</v>
      </c>
      <c r="F598" s="1145" t="s">
        <v>1660</v>
      </c>
      <c r="G598" s="1146" t="s">
        <v>1912</v>
      </c>
      <c r="H598" s="1147" t="s">
        <v>1660</v>
      </c>
      <c r="I598" s="1146" t="s">
        <v>1913</v>
      </c>
      <c r="J598" s="1148" t="s">
        <v>935</v>
      </c>
      <c r="K598" s="1170"/>
      <c r="M598" s="1170" t="s">
        <v>1036</v>
      </c>
    </row>
    <row r="599" spans="2:13" ht="15" hidden="1" customHeight="1" outlineLevel="1" x14ac:dyDescent="0.25">
      <c r="B599" s="1142" t="s">
        <v>945</v>
      </c>
      <c r="C599" s="1143" t="s">
        <v>946</v>
      </c>
      <c r="D599" s="1143" t="s">
        <v>939</v>
      </c>
      <c r="E599" s="1144">
        <v>41.69</v>
      </c>
      <c r="F599" s="1145" t="s">
        <v>1660</v>
      </c>
      <c r="G599" s="1146" t="s">
        <v>1914</v>
      </c>
      <c r="H599" s="1147" t="s">
        <v>1660</v>
      </c>
      <c r="I599" s="1146" t="s">
        <v>1915</v>
      </c>
      <c r="J599" s="1148" t="s">
        <v>935</v>
      </c>
      <c r="K599" s="1170"/>
      <c r="M599" s="1170" t="s">
        <v>1036</v>
      </c>
    </row>
    <row r="600" spans="2:13" ht="15" hidden="1" customHeight="1" outlineLevel="1" x14ac:dyDescent="0.25">
      <c r="B600" s="1142" t="s">
        <v>945</v>
      </c>
      <c r="C600" s="1143" t="s">
        <v>946</v>
      </c>
      <c r="D600" s="1143" t="s">
        <v>940</v>
      </c>
      <c r="E600" s="1144">
        <v>12060</v>
      </c>
      <c r="F600" s="1145" t="s">
        <v>1660</v>
      </c>
      <c r="G600" s="1146" t="s">
        <v>1916</v>
      </c>
      <c r="H600" s="1147" t="s">
        <v>1660</v>
      </c>
      <c r="I600" s="1146" t="s">
        <v>1917</v>
      </c>
      <c r="J600" s="1148" t="s">
        <v>935</v>
      </c>
      <c r="K600" s="1170"/>
      <c r="M600" s="1170" t="s">
        <v>1036</v>
      </c>
    </row>
    <row r="601" spans="2:13" ht="15" hidden="1" customHeight="1" outlineLevel="1" x14ac:dyDescent="0.25">
      <c r="B601" s="1142" t="s">
        <v>945</v>
      </c>
      <c r="C601" s="1143" t="s">
        <v>946</v>
      </c>
      <c r="D601" s="1143" t="s">
        <v>941</v>
      </c>
      <c r="E601" s="1144">
        <v>9849</v>
      </c>
      <c r="F601" s="1145" t="s">
        <v>1660</v>
      </c>
      <c r="G601" s="1146" t="s">
        <v>1918</v>
      </c>
      <c r="H601" s="1147" t="s">
        <v>1660</v>
      </c>
      <c r="I601" s="1146" t="s">
        <v>1919</v>
      </c>
      <c r="J601" s="1148" t="s">
        <v>935</v>
      </c>
      <c r="K601" s="1170"/>
      <c r="M601" s="1170" t="s">
        <v>1036</v>
      </c>
    </row>
    <row r="602" spans="2:13" ht="15" hidden="1" customHeight="1" outlineLevel="1" x14ac:dyDescent="0.25">
      <c r="B602" s="1149" t="s">
        <v>945</v>
      </c>
      <c r="C602" s="1150" t="s">
        <v>946</v>
      </c>
      <c r="D602" s="1150" t="s">
        <v>942</v>
      </c>
      <c r="E602" s="1151">
        <v>429300</v>
      </c>
      <c r="F602" s="1152" t="s">
        <v>1660</v>
      </c>
      <c r="G602" s="1158" t="s">
        <v>1920</v>
      </c>
      <c r="H602" s="1154" t="s">
        <v>1660</v>
      </c>
      <c r="I602" s="1158" t="s">
        <v>1921</v>
      </c>
      <c r="J602" s="1155" t="s">
        <v>935</v>
      </c>
      <c r="K602" s="1170"/>
      <c r="M602" s="1170" t="s">
        <v>1036</v>
      </c>
    </row>
    <row r="603" spans="2:13" ht="15" customHeight="1" x14ac:dyDescent="0.25">
      <c r="D603" s="1159"/>
      <c r="E603" s="1160"/>
      <c r="F603" s="1161" t="s">
        <v>125</v>
      </c>
      <c r="G603" s="672"/>
      <c r="H603" s="1162" t="s">
        <v>125</v>
      </c>
      <c r="I603" s="672"/>
      <c r="J603" s="672"/>
    </row>
    <row r="604" spans="2:13" ht="15" customHeight="1" x14ac:dyDescent="0.25">
      <c r="B604" s="1127" t="s">
        <v>825</v>
      </c>
      <c r="C604" s="1128"/>
      <c r="D604" s="1207" t="s">
        <v>1133</v>
      </c>
      <c r="E604" s="1123">
        <v>3411</v>
      </c>
      <c r="F604" s="1129" t="s">
        <v>1660</v>
      </c>
      <c r="G604" s="1130" t="s">
        <v>1922</v>
      </c>
      <c r="H604" s="1131" t="s">
        <v>125</v>
      </c>
      <c r="I604" s="1130"/>
      <c r="J604" s="208" t="s">
        <v>221</v>
      </c>
      <c r="K604" s="898">
        <v>98.19</v>
      </c>
    </row>
    <row r="605" spans="2:13" ht="15" customHeight="1" collapsed="1" x14ac:dyDescent="0.25">
      <c r="B605" s="1132" t="s">
        <v>825</v>
      </c>
      <c r="C605" s="1107"/>
      <c r="D605" s="1209" t="s">
        <v>1134</v>
      </c>
      <c r="E605" s="1133">
        <v>482.9</v>
      </c>
      <c r="F605" s="1134" t="s">
        <v>1660</v>
      </c>
      <c r="G605" s="1135" t="s">
        <v>1922</v>
      </c>
      <c r="H605" s="1136" t="s">
        <v>125</v>
      </c>
      <c r="I605" s="1135"/>
      <c r="J605" s="211" t="s">
        <v>221</v>
      </c>
      <c r="K605" s="531">
        <v>1.81</v>
      </c>
    </row>
    <row r="606" spans="2:13" ht="15" hidden="1" customHeight="1" outlineLevel="1" x14ac:dyDescent="0.25">
      <c r="B606" s="1137" t="s">
        <v>827</v>
      </c>
      <c r="C606" s="1138" t="s">
        <v>979</v>
      </c>
      <c r="D606" s="1138" t="s">
        <v>980</v>
      </c>
      <c r="E606" s="1139">
        <v>0</v>
      </c>
      <c r="F606" s="1145" t="s">
        <v>125</v>
      </c>
      <c r="G606" s="1146"/>
      <c r="H606" s="1147" t="s">
        <v>125</v>
      </c>
      <c r="I606" s="954"/>
      <c r="J606" s="955" t="s">
        <v>186</v>
      </c>
      <c r="K606" s="1" t="s">
        <v>125</v>
      </c>
      <c r="M606" s="1" t="s">
        <v>997</v>
      </c>
    </row>
    <row r="607" spans="2:13" ht="15" hidden="1" customHeight="1" outlineLevel="1" x14ac:dyDescent="0.25">
      <c r="B607" s="1142" t="s">
        <v>827</v>
      </c>
      <c r="C607" s="1143" t="s">
        <v>981</v>
      </c>
      <c r="D607" s="1143" t="s">
        <v>982</v>
      </c>
      <c r="E607" s="1144">
        <v>10000</v>
      </c>
      <c r="F607" s="1145" t="s">
        <v>125</v>
      </c>
      <c r="G607" s="1146"/>
      <c r="H607" s="1147" t="s">
        <v>125</v>
      </c>
      <c r="I607" s="1146"/>
      <c r="J607" s="1148" t="s">
        <v>181</v>
      </c>
      <c r="K607" s="1" t="s">
        <v>125</v>
      </c>
      <c r="M607" s="1" t="s">
        <v>998</v>
      </c>
    </row>
    <row r="608" spans="2:13" ht="15" hidden="1" customHeight="1" outlineLevel="1" x14ac:dyDescent="0.25">
      <c r="B608" s="1142" t="s">
        <v>827</v>
      </c>
      <c r="C608" s="1143" t="s">
        <v>981</v>
      </c>
      <c r="D608" s="1143" t="s">
        <v>983</v>
      </c>
      <c r="E608" s="1144">
        <v>0</v>
      </c>
      <c r="F608" s="1145" t="s">
        <v>125</v>
      </c>
      <c r="G608" s="1146"/>
      <c r="H608" s="1147" t="s">
        <v>125</v>
      </c>
      <c r="I608" s="1146"/>
      <c r="J608" s="1148" t="s">
        <v>182</v>
      </c>
      <c r="K608" s="1" t="s">
        <v>125</v>
      </c>
      <c r="M608" s="1" t="s">
        <v>999</v>
      </c>
    </row>
    <row r="609" spans="2:13" ht="15" hidden="1" customHeight="1" outlineLevel="1" x14ac:dyDescent="0.25">
      <c r="B609" s="1142" t="s">
        <v>827</v>
      </c>
      <c r="C609" s="1143" t="s">
        <v>981</v>
      </c>
      <c r="D609" s="1143" t="s">
        <v>984</v>
      </c>
      <c r="E609" s="1144">
        <v>0</v>
      </c>
      <c r="F609" s="1145" t="s">
        <v>125</v>
      </c>
      <c r="G609" s="1146"/>
      <c r="H609" s="1147" t="s">
        <v>125</v>
      </c>
      <c r="I609" s="1146"/>
      <c r="J609" s="1148" t="s">
        <v>182</v>
      </c>
      <c r="K609" s="1" t="s">
        <v>125</v>
      </c>
      <c r="M609" s="1" t="s">
        <v>999</v>
      </c>
    </row>
    <row r="610" spans="2:13" ht="15" hidden="1" customHeight="1" outlineLevel="1" x14ac:dyDescent="0.25">
      <c r="B610" s="1142" t="s">
        <v>827</v>
      </c>
      <c r="C610" s="1143" t="s">
        <v>981</v>
      </c>
      <c r="D610" s="1143" t="s">
        <v>985</v>
      </c>
      <c r="E610" s="1144">
        <v>0.87060000000000004</v>
      </c>
      <c r="F610" s="1145" t="s">
        <v>125</v>
      </c>
      <c r="G610" s="1146"/>
      <c r="H610" s="1147" t="s">
        <v>125</v>
      </c>
      <c r="I610" s="1146"/>
      <c r="J610" s="1148" t="s">
        <v>182</v>
      </c>
      <c r="K610" s="1" t="s">
        <v>125</v>
      </c>
      <c r="M610" s="1" t="s">
        <v>999</v>
      </c>
    </row>
    <row r="611" spans="2:13" ht="15" hidden="1" customHeight="1" outlineLevel="1" x14ac:dyDescent="0.25">
      <c r="B611" s="1142" t="s">
        <v>827</v>
      </c>
      <c r="C611" s="1143" t="s">
        <v>981</v>
      </c>
      <c r="D611" s="1143" t="s">
        <v>986</v>
      </c>
      <c r="E611" s="1144">
        <v>26.67</v>
      </c>
      <c r="F611" s="1145" t="s">
        <v>125</v>
      </c>
      <c r="G611" s="1146"/>
      <c r="H611" s="1147" t="s">
        <v>125</v>
      </c>
      <c r="I611" s="1146"/>
      <c r="J611" s="1148" t="s">
        <v>182</v>
      </c>
      <c r="K611" s="1" t="s">
        <v>125</v>
      </c>
      <c r="M611" s="1" t="s">
        <v>999</v>
      </c>
    </row>
    <row r="612" spans="2:13" ht="15" hidden="1" customHeight="1" outlineLevel="1" x14ac:dyDescent="0.25">
      <c r="B612" s="1142" t="s">
        <v>827</v>
      </c>
      <c r="C612" s="1143" t="s">
        <v>981</v>
      </c>
      <c r="D612" s="1143" t="s">
        <v>987</v>
      </c>
      <c r="E612" s="1144">
        <v>27.54</v>
      </c>
      <c r="F612" s="1145" t="s">
        <v>125</v>
      </c>
      <c r="G612" s="1146"/>
      <c r="H612" s="1147" t="s">
        <v>125</v>
      </c>
      <c r="I612" s="1146"/>
      <c r="J612" s="1148" t="s">
        <v>182</v>
      </c>
      <c r="K612" s="1" t="s">
        <v>125</v>
      </c>
      <c r="M612" s="1" t="s">
        <v>999</v>
      </c>
    </row>
    <row r="613" spans="2:13" ht="15" hidden="1" customHeight="1" outlineLevel="1" x14ac:dyDescent="0.25">
      <c r="B613" s="1142" t="s">
        <v>830</v>
      </c>
      <c r="C613" s="1143"/>
      <c r="D613" s="1143" t="s">
        <v>665</v>
      </c>
      <c r="E613" s="1144">
        <v>3522</v>
      </c>
      <c r="F613" s="1145" t="s">
        <v>1660</v>
      </c>
      <c r="G613" s="1146" t="s">
        <v>726</v>
      </c>
      <c r="H613" s="1147" t="s">
        <v>125</v>
      </c>
      <c r="I613" s="1146"/>
      <c r="J613" s="1148" t="s">
        <v>221</v>
      </c>
      <c r="K613" s="1" t="s">
        <v>125</v>
      </c>
      <c r="M613" s="1" t="s">
        <v>1000</v>
      </c>
    </row>
    <row r="614" spans="2:13" ht="15" hidden="1" customHeight="1" outlineLevel="1" x14ac:dyDescent="0.25">
      <c r="B614" s="1142" t="s">
        <v>830</v>
      </c>
      <c r="C614" s="1143"/>
      <c r="D614" s="1143" t="s">
        <v>673</v>
      </c>
      <c r="E614" s="1144">
        <v>308.89999999999998</v>
      </c>
      <c r="F614" s="1145" t="s">
        <v>1660</v>
      </c>
      <c r="G614" s="1146" t="s">
        <v>723</v>
      </c>
      <c r="H614" s="1147" t="s">
        <v>125</v>
      </c>
      <c r="I614" s="1146"/>
      <c r="J614" s="1148" t="s">
        <v>221</v>
      </c>
      <c r="K614" s="1" t="s">
        <v>125</v>
      </c>
      <c r="M614" s="1" t="s">
        <v>1001</v>
      </c>
    </row>
    <row r="615" spans="2:13" ht="15" hidden="1" customHeight="1" outlineLevel="1" x14ac:dyDescent="0.25">
      <c r="B615" s="1142" t="s">
        <v>830</v>
      </c>
      <c r="C615" s="1143"/>
      <c r="D615" s="1143" t="s">
        <v>653</v>
      </c>
      <c r="E615" s="1144">
        <v>3.976</v>
      </c>
      <c r="F615" s="1145" t="s">
        <v>1660</v>
      </c>
      <c r="G615" s="1146" t="s">
        <v>1661</v>
      </c>
      <c r="H615" s="1147" t="s">
        <v>125</v>
      </c>
      <c r="I615" s="1146"/>
      <c r="J615" s="1148" t="s">
        <v>221</v>
      </c>
      <c r="K615" s="1" t="s">
        <v>125</v>
      </c>
      <c r="M615" s="1" t="s">
        <v>1135</v>
      </c>
    </row>
    <row r="616" spans="2:13" ht="15" hidden="1" customHeight="1" outlineLevel="1" x14ac:dyDescent="0.25">
      <c r="B616" s="1142" t="s">
        <v>830</v>
      </c>
      <c r="C616" s="1143"/>
      <c r="D616" s="1143" t="s">
        <v>654</v>
      </c>
      <c r="E616" s="1144">
        <v>4.7560000000000002</v>
      </c>
      <c r="F616" s="1145" t="s">
        <v>1660</v>
      </c>
      <c r="G616" s="1146" t="s">
        <v>1661</v>
      </c>
      <c r="H616" s="1147" t="s">
        <v>125</v>
      </c>
      <c r="I616" s="1146"/>
      <c r="J616" s="1148" t="s">
        <v>221</v>
      </c>
      <c r="K616" s="1" t="s">
        <v>125</v>
      </c>
      <c r="M616" s="1" t="s">
        <v>1136</v>
      </c>
    </row>
    <row r="617" spans="2:13" ht="15" hidden="1" customHeight="1" outlineLevel="1" x14ac:dyDescent="0.25">
      <c r="B617" s="1142" t="s">
        <v>830</v>
      </c>
      <c r="C617" s="1143"/>
      <c r="D617" s="1143" t="s">
        <v>652</v>
      </c>
      <c r="E617" s="1144">
        <v>35.33</v>
      </c>
      <c r="F617" s="1145" t="s">
        <v>1660</v>
      </c>
      <c r="G617" s="1146" t="s">
        <v>1661</v>
      </c>
      <c r="H617" s="1147" t="s">
        <v>125</v>
      </c>
      <c r="I617" s="1146"/>
      <c r="J617" s="1148" t="s">
        <v>221</v>
      </c>
      <c r="K617" s="1" t="s">
        <v>125</v>
      </c>
      <c r="M617" s="1" t="s">
        <v>1137</v>
      </c>
    </row>
    <row r="618" spans="2:13" ht="15" hidden="1" customHeight="1" outlineLevel="1" x14ac:dyDescent="0.25">
      <c r="B618" s="1142" t="s">
        <v>830</v>
      </c>
      <c r="C618" s="1143"/>
      <c r="D618" s="1143" t="s">
        <v>650</v>
      </c>
      <c r="E618" s="1144">
        <v>6.577</v>
      </c>
      <c r="F618" s="1145" t="s">
        <v>1660</v>
      </c>
      <c r="G618" s="1146" t="s">
        <v>1661</v>
      </c>
      <c r="H618" s="1147" t="s">
        <v>125</v>
      </c>
      <c r="I618" s="1146"/>
      <c r="J618" s="1148" t="s">
        <v>221</v>
      </c>
      <c r="K618" s="1" t="s">
        <v>125</v>
      </c>
      <c r="M618" s="1" t="s">
        <v>1138</v>
      </c>
    </row>
    <row r="619" spans="2:13" ht="15" hidden="1" customHeight="1" outlineLevel="1" x14ac:dyDescent="0.25">
      <c r="B619" s="1142" t="s">
        <v>830</v>
      </c>
      <c r="C619" s="1143"/>
      <c r="D619" s="1143" t="s">
        <v>649</v>
      </c>
      <c r="E619" s="1144">
        <v>8.7590000000000003</v>
      </c>
      <c r="F619" s="1145" t="s">
        <v>1660</v>
      </c>
      <c r="G619" s="1146" t="s">
        <v>1661</v>
      </c>
      <c r="H619" s="1147" t="s">
        <v>125</v>
      </c>
      <c r="I619" s="1146"/>
      <c r="J619" s="1148" t="s">
        <v>221</v>
      </c>
      <c r="K619" s="1" t="s">
        <v>125</v>
      </c>
      <c r="M619" s="1" t="s">
        <v>1139</v>
      </c>
    </row>
    <row r="620" spans="2:13" ht="15" hidden="1" customHeight="1" outlineLevel="1" x14ac:dyDescent="0.25">
      <c r="B620" s="1142" t="s">
        <v>830</v>
      </c>
      <c r="C620" s="1143"/>
      <c r="D620" s="1143" t="s">
        <v>648</v>
      </c>
      <c r="E620" s="1144">
        <v>13.2</v>
      </c>
      <c r="F620" s="1145" t="s">
        <v>1660</v>
      </c>
      <c r="G620" s="1146" t="s">
        <v>1661</v>
      </c>
      <c r="H620" s="1147" t="s">
        <v>125</v>
      </c>
      <c r="I620" s="1146"/>
      <c r="J620" s="1148" t="s">
        <v>221</v>
      </c>
      <c r="K620" s="1" t="s">
        <v>125</v>
      </c>
      <c r="M620" s="1" t="s">
        <v>1140</v>
      </c>
    </row>
    <row r="621" spans="2:13" ht="15" hidden="1" customHeight="1" outlineLevel="1" x14ac:dyDescent="0.25">
      <c r="B621" s="1142" t="s">
        <v>830</v>
      </c>
      <c r="C621" s="1143"/>
      <c r="D621" s="1143" t="s">
        <v>657</v>
      </c>
      <c r="E621" s="1144">
        <v>133.4</v>
      </c>
      <c r="F621" s="1145" t="s">
        <v>1660</v>
      </c>
      <c r="G621" s="1146" t="s">
        <v>1661</v>
      </c>
      <c r="H621" s="1147" t="s">
        <v>125</v>
      </c>
      <c r="I621" s="1146"/>
      <c r="J621" s="1148" t="s">
        <v>221</v>
      </c>
      <c r="K621" s="1" t="s">
        <v>125</v>
      </c>
      <c r="M621" s="1" t="s">
        <v>1141</v>
      </c>
    </row>
    <row r="622" spans="2:13" ht="15" hidden="1" customHeight="1" outlineLevel="1" x14ac:dyDescent="0.25">
      <c r="B622" s="1142" t="s">
        <v>830</v>
      </c>
      <c r="C622" s="1143"/>
      <c r="D622" s="1143" t="s">
        <v>656</v>
      </c>
      <c r="E622" s="1144">
        <v>2.2400000000000002</v>
      </c>
      <c r="F622" s="1145" t="s">
        <v>1660</v>
      </c>
      <c r="G622" s="1146" t="s">
        <v>1661</v>
      </c>
      <c r="H622" s="1147" t="s">
        <v>125</v>
      </c>
      <c r="I622" s="1146"/>
      <c r="J622" s="1148" t="s">
        <v>221</v>
      </c>
      <c r="K622" s="1" t="s">
        <v>125</v>
      </c>
      <c r="M622" s="1" t="s">
        <v>1142</v>
      </c>
    </row>
    <row r="623" spans="2:13" ht="15" hidden="1" customHeight="1" outlineLevel="1" x14ac:dyDescent="0.25">
      <c r="B623" s="1142" t="s">
        <v>830</v>
      </c>
      <c r="C623" s="1143"/>
      <c r="D623" s="1143" t="s">
        <v>655</v>
      </c>
      <c r="E623" s="1144">
        <v>41.51</v>
      </c>
      <c r="F623" s="1145" t="s">
        <v>1660</v>
      </c>
      <c r="G623" s="1146" t="s">
        <v>1661</v>
      </c>
      <c r="H623" s="1147" t="s">
        <v>125</v>
      </c>
      <c r="I623" s="1146"/>
      <c r="J623" s="1148" t="s">
        <v>221</v>
      </c>
      <c r="K623" s="1" t="s">
        <v>125</v>
      </c>
      <c r="M623" s="1" t="s">
        <v>1143</v>
      </c>
    </row>
    <row r="624" spans="2:13" ht="15" hidden="1" customHeight="1" outlineLevel="1" x14ac:dyDescent="0.25">
      <c r="B624" s="1142" t="s">
        <v>830</v>
      </c>
      <c r="C624" s="1143"/>
      <c r="D624" s="1143" t="s">
        <v>658</v>
      </c>
      <c r="E624" s="1144">
        <v>103</v>
      </c>
      <c r="F624" s="1145" t="s">
        <v>1660</v>
      </c>
      <c r="G624" s="1146" t="s">
        <v>1661</v>
      </c>
      <c r="H624" s="1147" t="s">
        <v>125</v>
      </c>
      <c r="I624" s="1146"/>
      <c r="J624" s="1148" t="s">
        <v>221</v>
      </c>
      <c r="K624" s="1" t="s">
        <v>125</v>
      </c>
      <c r="M624" s="1" t="s">
        <v>1144</v>
      </c>
    </row>
    <row r="625" spans="2:13" ht="15" hidden="1" customHeight="1" outlineLevel="1" x14ac:dyDescent="0.25">
      <c r="B625" s="1142" t="s">
        <v>830</v>
      </c>
      <c r="C625" s="1143"/>
      <c r="D625" s="1143" t="s">
        <v>659</v>
      </c>
      <c r="E625" s="1144">
        <v>6.9610000000000003</v>
      </c>
      <c r="F625" s="1145" t="s">
        <v>1660</v>
      </c>
      <c r="G625" s="1146" t="s">
        <v>1661</v>
      </c>
      <c r="H625" s="1147" t="s">
        <v>125</v>
      </c>
      <c r="I625" s="1146"/>
      <c r="J625" s="1148" t="s">
        <v>221</v>
      </c>
      <c r="K625" s="1" t="s">
        <v>125</v>
      </c>
      <c r="M625" s="1" t="s">
        <v>1145</v>
      </c>
    </row>
    <row r="626" spans="2:13" ht="15" hidden="1" customHeight="1" outlineLevel="1" x14ac:dyDescent="0.25">
      <c r="B626" s="1142" t="s">
        <v>830</v>
      </c>
      <c r="C626" s="1143"/>
      <c r="D626" s="1143" t="s">
        <v>988</v>
      </c>
      <c r="E626" s="1144">
        <v>1</v>
      </c>
      <c r="F626" s="1145" t="s">
        <v>125</v>
      </c>
      <c r="G626" s="1146"/>
      <c r="H626" s="1147" t="s">
        <v>125</v>
      </c>
      <c r="I626" s="1146"/>
      <c r="J626" s="1148" t="s">
        <v>188</v>
      </c>
      <c r="K626" s="1" t="s">
        <v>125</v>
      </c>
      <c r="M626" s="1" t="s">
        <v>1013</v>
      </c>
    </row>
    <row r="627" spans="2:13" ht="15" hidden="1" customHeight="1" outlineLevel="1" x14ac:dyDescent="0.25">
      <c r="B627" s="1142" t="s">
        <v>830</v>
      </c>
      <c r="C627" s="1143"/>
      <c r="D627" s="1143" t="s">
        <v>662</v>
      </c>
      <c r="E627" s="1144">
        <v>400</v>
      </c>
      <c r="F627" s="1145" t="s">
        <v>125</v>
      </c>
      <c r="G627" s="1146"/>
      <c r="H627" s="1147" t="s">
        <v>125</v>
      </c>
      <c r="I627" s="1146"/>
      <c r="J627" s="1148" t="s">
        <v>221</v>
      </c>
      <c r="K627" s="1" t="s">
        <v>125</v>
      </c>
      <c r="M627" s="1" t="s">
        <v>1014</v>
      </c>
    </row>
    <row r="628" spans="2:13" ht="15" hidden="1" customHeight="1" outlineLevel="1" x14ac:dyDescent="0.25">
      <c r="B628" s="1142" t="s">
        <v>830</v>
      </c>
      <c r="C628" s="1143"/>
      <c r="D628" s="1143" t="s">
        <v>1146</v>
      </c>
      <c r="E628" s="1144">
        <v>139.69999999999999</v>
      </c>
      <c r="F628" s="1145" t="s">
        <v>125</v>
      </c>
      <c r="G628" s="1146"/>
      <c r="H628" s="1147" t="s">
        <v>125</v>
      </c>
      <c r="I628" s="1146"/>
      <c r="J628" s="1148" t="s">
        <v>221</v>
      </c>
      <c r="K628" s="1" t="s">
        <v>125</v>
      </c>
      <c r="M628" s="1" t="s">
        <v>1052</v>
      </c>
    </row>
    <row r="629" spans="2:13" ht="15" hidden="1" customHeight="1" outlineLevel="1" x14ac:dyDescent="0.25">
      <c r="B629" s="1142" t="s">
        <v>830</v>
      </c>
      <c r="C629" s="1143"/>
      <c r="D629" s="1143" t="s">
        <v>990</v>
      </c>
      <c r="E629" s="1144">
        <v>114.9</v>
      </c>
      <c r="F629" s="1145" t="s">
        <v>1660</v>
      </c>
      <c r="G629" s="1146" t="s">
        <v>722</v>
      </c>
      <c r="H629" s="1147" t="s">
        <v>125</v>
      </c>
      <c r="I629" s="1146"/>
      <c r="J629" s="1148" t="s">
        <v>836</v>
      </c>
      <c r="K629" s="1" t="s">
        <v>125</v>
      </c>
      <c r="M629" s="1" t="s">
        <v>1015</v>
      </c>
    </row>
    <row r="630" spans="2:13" ht="15" hidden="1" customHeight="1" outlineLevel="1" x14ac:dyDescent="0.25">
      <c r="B630" s="1142" t="s">
        <v>830</v>
      </c>
      <c r="C630" s="1143"/>
      <c r="D630" s="1143" t="s">
        <v>990</v>
      </c>
      <c r="E630" s="1144">
        <v>45.2</v>
      </c>
      <c r="F630" s="1145" t="s">
        <v>1660</v>
      </c>
      <c r="G630" s="1146" t="s">
        <v>1923</v>
      </c>
      <c r="H630" s="1147" t="s">
        <v>125</v>
      </c>
      <c r="I630" s="1146"/>
      <c r="J630" s="1148" t="s">
        <v>836</v>
      </c>
      <c r="K630" s="1" t="s">
        <v>125</v>
      </c>
      <c r="M630" s="1" t="s">
        <v>1016</v>
      </c>
    </row>
    <row r="631" spans="2:13" ht="15" hidden="1" customHeight="1" outlineLevel="1" x14ac:dyDescent="0.25">
      <c r="B631" s="1142" t="s">
        <v>830</v>
      </c>
      <c r="C631" s="1143"/>
      <c r="D631" s="1143" t="s">
        <v>675</v>
      </c>
      <c r="E631" s="1144">
        <v>0.3448</v>
      </c>
      <c r="F631" s="1145" t="s">
        <v>1660</v>
      </c>
      <c r="G631" s="1146" t="s">
        <v>1661</v>
      </c>
      <c r="H631" s="1147" t="s">
        <v>125</v>
      </c>
      <c r="I631" s="1146"/>
      <c r="J631" s="1148" t="s">
        <v>221</v>
      </c>
      <c r="K631" s="1" t="s">
        <v>125</v>
      </c>
      <c r="M631" s="1" t="s">
        <v>1017</v>
      </c>
    </row>
    <row r="632" spans="2:13" ht="15" hidden="1" customHeight="1" outlineLevel="1" x14ac:dyDescent="0.25">
      <c r="B632" s="1142" t="s">
        <v>830</v>
      </c>
      <c r="C632" s="1143"/>
      <c r="D632" s="1143" t="s">
        <v>676</v>
      </c>
      <c r="E632" s="1144">
        <v>1.4490000000000001</v>
      </c>
      <c r="F632" s="1145" t="s">
        <v>1660</v>
      </c>
      <c r="G632" s="1146" t="s">
        <v>1661</v>
      </c>
      <c r="H632" s="1147" t="s">
        <v>125</v>
      </c>
      <c r="I632" s="1146"/>
      <c r="J632" s="1148" t="s">
        <v>221</v>
      </c>
      <c r="K632" s="1" t="s">
        <v>125</v>
      </c>
      <c r="M632" s="1" t="s">
        <v>1018</v>
      </c>
    </row>
    <row r="633" spans="2:13" ht="15" hidden="1" customHeight="1" outlineLevel="1" x14ac:dyDescent="0.25">
      <c r="B633" s="1142" t="s">
        <v>830</v>
      </c>
      <c r="C633" s="1143"/>
      <c r="D633" s="1143" t="s">
        <v>678</v>
      </c>
      <c r="E633" s="1144">
        <v>2.7949999999999999</v>
      </c>
      <c r="F633" s="1145" t="s">
        <v>1660</v>
      </c>
      <c r="G633" s="1146" t="s">
        <v>1661</v>
      </c>
      <c r="H633" s="1147" t="s">
        <v>125</v>
      </c>
      <c r="I633" s="1146"/>
      <c r="J633" s="1148" t="s">
        <v>221</v>
      </c>
      <c r="K633" s="1" t="s">
        <v>125</v>
      </c>
      <c r="M633" s="1" t="s">
        <v>1019</v>
      </c>
    </row>
    <row r="634" spans="2:13" ht="15" hidden="1" customHeight="1" outlineLevel="1" x14ac:dyDescent="0.25">
      <c r="B634" s="1142" t="s">
        <v>830</v>
      </c>
      <c r="C634" s="1143"/>
      <c r="D634" s="1143" t="s">
        <v>991</v>
      </c>
      <c r="E634" s="1144">
        <v>0.3448</v>
      </c>
      <c r="F634" s="1145" t="s">
        <v>1660</v>
      </c>
      <c r="G634" s="1146" t="s">
        <v>1661</v>
      </c>
      <c r="H634" s="1147" t="s">
        <v>125</v>
      </c>
      <c r="I634" s="1146"/>
      <c r="J634" s="1148" t="s">
        <v>221</v>
      </c>
      <c r="K634" s="1" t="s">
        <v>125</v>
      </c>
      <c r="M634" s="1" t="s">
        <v>1020</v>
      </c>
    </row>
    <row r="635" spans="2:13" ht="15" hidden="1" customHeight="1" outlineLevel="1" x14ac:dyDescent="0.25">
      <c r="B635" s="1142" t="s">
        <v>830</v>
      </c>
      <c r="C635" s="1143"/>
      <c r="D635" s="1143" t="s">
        <v>992</v>
      </c>
      <c r="E635" s="1144">
        <v>1.4490000000000001</v>
      </c>
      <c r="F635" s="1145" t="s">
        <v>1660</v>
      </c>
      <c r="G635" s="1146" t="s">
        <v>1661</v>
      </c>
      <c r="H635" s="1147" t="s">
        <v>125</v>
      </c>
      <c r="I635" s="1146"/>
      <c r="J635" s="1148" t="s">
        <v>221</v>
      </c>
      <c r="K635" s="1" t="s">
        <v>125</v>
      </c>
      <c r="M635" s="1" t="s">
        <v>1021</v>
      </c>
    </row>
    <row r="636" spans="2:13" ht="15" hidden="1" customHeight="1" outlineLevel="1" x14ac:dyDescent="0.25">
      <c r="B636" s="1142" t="s">
        <v>830</v>
      </c>
      <c r="C636" s="1143"/>
      <c r="D636" s="1143" t="s">
        <v>993</v>
      </c>
      <c r="E636" s="1144">
        <v>2.7949999999999999</v>
      </c>
      <c r="F636" s="1145" t="s">
        <v>1660</v>
      </c>
      <c r="G636" s="1146" t="s">
        <v>1661</v>
      </c>
      <c r="H636" s="1147" t="s">
        <v>125</v>
      </c>
      <c r="I636" s="1146"/>
      <c r="J636" s="1148" t="s">
        <v>221</v>
      </c>
      <c r="K636" s="1" t="s">
        <v>125</v>
      </c>
      <c r="M636" s="1" t="s">
        <v>1022</v>
      </c>
    </row>
    <row r="637" spans="2:13" ht="15" hidden="1" customHeight="1" outlineLevel="1" x14ac:dyDescent="0.25">
      <c r="B637" s="1142" t="s">
        <v>994</v>
      </c>
      <c r="C637" s="1143"/>
      <c r="D637" s="1143" t="s">
        <v>834</v>
      </c>
      <c r="E637" s="1144">
        <v>3385</v>
      </c>
      <c r="F637" s="1145" t="s">
        <v>1660</v>
      </c>
      <c r="G637" s="1146" t="s">
        <v>718</v>
      </c>
      <c r="H637" s="1147" t="s">
        <v>125</v>
      </c>
      <c r="I637" s="1146"/>
      <c r="J637" s="1148" t="s">
        <v>304</v>
      </c>
      <c r="K637" s="1" t="s">
        <v>125</v>
      </c>
      <c r="M637" s="1" t="s">
        <v>1023</v>
      </c>
    </row>
    <row r="638" spans="2:13" ht="15" hidden="1" customHeight="1" outlineLevel="1" x14ac:dyDescent="0.25">
      <c r="B638" s="1142" t="s">
        <v>839</v>
      </c>
      <c r="C638" s="1143"/>
      <c r="D638" s="1143" t="s">
        <v>925</v>
      </c>
      <c r="E638" s="1144">
        <v>176</v>
      </c>
      <c r="F638" s="1145" t="s">
        <v>125</v>
      </c>
      <c r="G638" s="1146"/>
      <c r="H638" s="1147" t="s">
        <v>125</v>
      </c>
      <c r="I638" s="1146"/>
      <c r="J638" s="1148" t="s">
        <v>221</v>
      </c>
      <c r="K638" s="1" t="s">
        <v>125</v>
      </c>
      <c r="M638" s="1" t="s">
        <v>1024</v>
      </c>
    </row>
    <row r="639" spans="2:13" ht="15" hidden="1" customHeight="1" outlineLevel="1" x14ac:dyDescent="0.25">
      <c r="B639" s="1142" t="s">
        <v>839</v>
      </c>
      <c r="C639" s="1143"/>
      <c r="D639" s="1143" t="s">
        <v>925</v>
      </c>
      <c r="E639" s="1144">
        <v>12.03</v>
      </c>
      <c r="F639" s="1145" t="s">
        <v>1660</v>
      </c>
      <c r="G639" s="1146" t="s">
        <v>1661</v>
      </c>
      <c r="H639" s="1147" t="s">
        <v>125</v>
      </c>
      <c r="I639" s="1146"/>
      <c r="J639" s="1148" t="s">
        <v>221</v>
      </c>
      <c r="K639" s="1" t="s">
        <v>125</v>
      </c>
      <c r="M639" s="1" t="s">
        <v>1025</v>
      </c>
    </row>
    <row r="640" spans="2:13" ht="15" hidden="1" customHeight="1" outlineLevel="1" x14ac:dyDescent="0.25">
      <c r="B640" s="1142" t="s">
        <v>839</v>
      </c>
      <c r="C640" s="1143"/>
      <c r="D640" s="1143" t="s">
        <v>843</v>
      </c>
      <c r="E640" s="1144">
        <v>0.33</v>
      </c>
      <c r="F640" s="1145" t="s">
        <v>1660</v>
      </c>
      <c r="G640" s="1146" t="s">
        <v>1661</v>
      </c>
      <c r="H640" s="1147" t="s">
        <v>1660</v>
      </c>
      <c r="I640" s="1146" t="s">
        <v>1558</v>
      </c>
      <c r="J640" s="1148" t="s">
        <v>221</v>
      </c>
      <c r="K640" s="1" t="s">
        <v>125</v>
      </c>
      <c r="M640" s="1" t="s">
        <v>1026</v>
      </c>
    </row>
    <row r="641" spans="2:13" ht="15" hidden="1" customHeight="1" outlineLevel="1" x14ac:dyDescent="0.25">
      <c r="B641" s="1142" t="s">
        <v>839</v>
      </c>
      <c r="C641" s="1143"/>
      <c r="D641" s="1143" t="s">
        <v>843</v>
      </c>
      <c r="E641" s="1144">
        <v>0.1072</v>
      </c>
      <c r="F641" s="1145" t="s">
        <v>1660</v>
      </c>
      <c r="G641" s="1146" t="s">
        <v>1661</v>
      </c>
      <c r="H641" s="1147" t="s">
        <v>1660</v>
      </c>
      <c r="I641" s="1146" t="s">
        <v>1924</v>
      </c>
      <c r="J641" s="1148" t="s">
        <v>221</v>
      </c>
      <c r="K641" s="1" t="s">
        <v>125</v>
      </c>
      <c r="M641" s="1" t="s">
        <v>1027</v>
      </c>
    </row>
    <row r="642" spans="2:13" ht="15" hidden="1" customHeight="1" outlineLevel="1" x14ac:dyDescent="0.25">
      <c r="B642" s="1142" t="s">
        <v>839</v>
      </c>
      <c r="C642" s="1143"/>
      <c r="D642" s="1143" t="s">
        <v>846</v>
      </c>
      <c r="E642" s="1144">
        <v>1.4690000000000001</v>
      </c>
      <c r="F642" s="1145" t="s">
        <v>1660</v>
      </c>
      <c r="G642" s="1146" t="s">
        <v>1661</v>
      </c>
      <c r="H642" s="1147" t="s">
        <v>125</v>
      </c>
      <c r="I642" s="1146"/>
      <c r="J642" s="1148" t="s">
        <v>221</v>
      </c>
      <c r="K642" s="1" t="s">
        <v>125</v>
      </c>
      <c r="M642" s="1" t="s">
        <v>1028</v>
      </c>
    </row>
    <row r="643" spans="2:13" ht="15" hidden="1" customHeight="1" outlineLevel="1" x14ac:dyDescent="0.25">
      <c r="B643" s="1142" t="s">
        <v>839</v>
      </c>
      <c r="C643" s="1143"/>
      <c r="D643" s="1143" t="s">
        <v>995</v>
      </c>
      <c r="E643" s="1144">
        <v>0.14699999999999999</v>
      </c>
      <c r="F643" s="1145" t="s">
        <v>1660</v>
      </c>
      <c r="G643" s="1146" t="s">
        <v>1661</v>
      </c>
      <c r="H643" s="1147" t="s">
        <v>125</v>
      </c>
      <c r="I643" s="1146"/>
      <c r="J643" s="1148" t="s">
        <v>221</v>
      </c>
      <c r="K643" s="1" t="s">
        <v>125</v>
      </c>
      <c r="M643" s="1" t="s">
        <v>1029</v>
      </c>
    </row>
    <row r="644" spans="2:13" ht="15" hidden="1" customHeight="1" outlineLevel="1" x14ac:dyDescent="0.25">
      <c r="B644" s="1142" t="s">
        <v>839</v>
      </c>
      <c r="C644" s="1143"/>
      <c r="D644" s="1143" t="s">
        <v>996</v>
      </c>
      <c r="E644" s="1144">
        <v>23.52</v>
      </c>
      <c r="F644" s="1145" t="s">
        <v>125</v>
      </c>
      <c r="G644" s="1146"/>
      <c r="H644" s="1147" t="s">
        <v>125</v>
      </c>
      <c r="I644" s="1146"/>
      <c r="J644" s="1148" t="s">
        <v>221</v>
      </c>
      <c r="K644" s="1" t="s">
        <v>125</v>
      </c>
      <c r="M644" s="1" t="s">
        <v>999</v>
      </c>
    </row>
    <row r="645" spans="2:13" ht="15" hidden="1" customHeight="1" outlineLevel="1" x14ac:dyDescent="0.25">
      <c r="B645" s="1142" t="s">
        <v>839</v>
      </c>
      <c r="C645" s="1143"/>
      <c r="D645" s="1143" t="s">
        <v>843</v>
      </c>
      <c r="E645" s="1144">
        <v>0.54830000000000001</v>
      </c>
      <c r="F645" s="1145" t="s">
        <v>1660</v>
      </c>
      <c r="G645" s="1146" t="s">
        <v>683</v>
      </c>
      <c r="H645" s="1147" t="s">
        <v>1660</v>
      </c>
      <c r="I645" s="1146" t="s">
        <v>1561</v>
      </c>
      <c r="J645" s="1148" t="s">
        <v>221</v>
      </c>
      <c r="K645" s="1" t="s">
        <v>125</v>
      </c>
      <c r="M645" s="1" t="s">
        <v>1030</v>
      </c>
    </row>
    <row r="646" spans="2:13" ht="15" hidden="1" customHeight="1" outlineLevel="1" x14ac:dyDescent="0.25">
      <c r="B646" s="1142" t="s">
        <v>839</v>
      </c>
      <c r="C646" s="1143"/>
      <c r="D646" s="1143" t="s">
        <v>843</v>
      </c>
      <c r="E646" s="1144">
        <v>0.1782</v>
      </c>
      <c r="F646" s="1145" t="s">
        <v>1660</v>
      </c>
      <c r="G646" s="1146" t="s">
        <v>683</v>
      </c>
      <c r="H646" s="1147" t="s">
        <v>1660</v>
      </c>
      <c r="I646" s="1146" t="s">
        <v>1562</v>
      </c>
      <c r="J646" s="1148" t="s">
        <v>221</v>
      </c>
      <c r="K646" s="1" t="s">
        <v>125</v>
      </c>
      <c r="M646" s="1" t="s">
        <v>1031</v>
      </c>
    </row>
    <row r="647" spans="2:13" ht="15" hidden="1" customHeight="1" outlineLevel="1" x14ac:dyDescent="0.25">
      <c r="B647" s="1142" t="s">
        <v>839</v>
      </c>
      <c r="C647" s="1143"/>
      <c r="D647" s="1143" t="s">
        <v>846</v>
      </c>
      <c r="E647" s="1144">
        <v>8.4730000000000008</v>
      </c>
      <c r="F647" s="1145" t="s">
        <v>1660</v>
      </c>
      <c r="G647" s="1146" t="s">
        <v>683</v>
      </c>
      <c r="H647" s="1147" t="s">
        <v>1660</v>
      </c>
      <c r="I647" s="1146" t="s">
        <v>1564</v>
      </c>
      <c r="J647" s="1148" t="s">
        <v>221</v>
      </c>
      <c r="K647" s="1" t="s">
        <v>125</v>
      </c>
      <c r="M647" s="1" t="s">
        <v>1032</v>
      </c>
    </row>
    <row r="648" spans="2:13" ht="15" hidden="1" customHeight="1" outlineLevel="1" x14ac:dyDescent="0.25">
      <c r="B648" s="1142" t="s">
        <v>839</v>
      </c>
      <c r="C648" s="1143"/>
      <c r="D648" s="1143" t="s">
        <v>843</v>
      </c>
      <c r="E648" s="1144">
        <v>0.64800000000000002</v>
      </c>
      <c r="F648" s="1145" t="s">
        <v>125</v>
      </c>
      <c r="G648" s="1146"/>
      <c r="H648" s="1147" t="s">
        <v>125</v>
      </c>
      <c r="I648" s="1146"/>
      <c r="J648" s="1148" t="s">
        <v>221</v>
      </c>
      <c r="K648" s="1" t="s">
        <v>125</v>
      </c>
      <c r="M648" s="1" t="s">
        <v>1033</v>
      </c>
    </row>
    <row r="649" spans="2:13" ht="15" hidden="1" customHeight="1" outlineLevel="1" x14ac:dyDescent="0.25">
      <c r="B649" s="1142" t="s">
        <v>839</v>
      </c>
      <c r="C649" s="1143"/>
      <c r="D649" s="1143" t="s">
        <v>843</v>
      </c>
      <c r="E649" s="1144">
        <v>0.14580000000000001</v>
      </c>
      <c r="F649" s="1145" t="s">
        <v>125</v>
      </c>
      <c r="G649" s="1146"/>
      <c r="H649" s="1147" t="s">
        <v>125</v>
      </c>
      <c r="I649" s="1146"/>
      <c r="J649" s="1148" t="s">
        <v>221</v>
      </c>
      <c r="K649" s="1" t="s">
        <v>125</v>
      </c>
      <c r="M649" s="1" t="s">
        <v>1034</v>
      </c>
    </row>
    <row r="650" spans="2:13" ht="15" hidden="1" customHeight="1" outlineLevel="1" x14ac:dyDescent="0.25">
      <c r="B650" s="1142" t="s">
        <v>931</v>
      </c>
      <c r="C650" s="1143"/>
      <c r="D650" s="1143" t="s">
        <v>932</v>
      </c>
      <c r="E650" s="1144">
        <v>27.9</v>
      </c>
      <c r="F650" s="1145" t="s">
        <v>1660</v>
      </c>
      <c r="G650" s="1146" t="s">
        <v>1661</v>
      </c>
      <c r="H650" s="1147" t="s">
        <v>1660</v>
      </c>
      <c r="I650" s="1146" t="s">
        <v>1691</v>
      </c>
      <c r="J650" s="1148" t="s">
        <v>221</v>
      </c>
      <c r="K650" s="1" t="s">
        <v>125</v>
      </c>
      <c r="M650" s="1" t="s">
        <v>1025</v>
      </c>
    </row>
    <row r="651" spans="2:13" ht="15" hidden="1" customHeight="1" outlineLevel="1" x14ac:dyDescent="0.25">
      <c r="B651" s="1142" t="s">
        <v>931</v>
      </c>
      <c r="C651" s="1143"/>
      <c r="D651" s="1143" t="s">
        <v>947</v>
      </c>
      <c r="E651" s="1144">
        <v>1.226</v>
      </c>
      <c r="F651" s="1145" t="s">
        <v>1660</v>
      </c>
      <c r="G651" s="1146" t="s">
        <v>1661</v>
      </c>
      <c r="H651" s="1147" t="s">
        <v>125</v>
      </c>
      <c r="I651" s="1146"/>
      <c r="J651" s="1148" t="s">
        <v>221</v>
      </c>
      <c r="K651" s="1" t="s">
        <v>125</v>
      </c>
      <c r="M651" s="1" t="s">
        <v>1035</v>
      </c>
    </row>
    <row r="652" spans="2:13" ht="15" hidden="1" customHeight="1" outlineLevel="1" x14ac:dyDescent="0.25">
      <c r="B652" s="1142" t="s">
        <v>931</v>
      </c>
      <c r="C652" s="1143"/>
      <c r="D652" s="1143" t="s">
        <v>934</v>
      </c>
      <c r="E652" s="1144">
        <v>39.81</v>
      </c>
      <c r="F652" s="1145" t="s">
        <v>1660</v>
      </c>
      <c r="G652" s="1146" t="s">
        <v>1925</v>
      </c>
      <c r="H652" s="1147" t="s">
        <v>1660</v>
      </c>
      <c r="I652" s="1146" t="s">
        <v>1926</v>
      </c>
      <c r="J652" s="1148" t="s">
        <v>935</v>
      </c>
      <c r="K652" s="1" t="s">
        <v>125</v>
      </c>
      <c r="M652" s="1" t="s">
        <v>1036</v>
      </c>
    </row>
    <row r="653" spans="2:13" ht="15" hidden="1" customHeight="1" outlineLevel="1" x14ac:dyDescent="0.25">
      <c r="B653" s="1142" t="s">
        <v>931</v>
      </c>
      <c r="C653" s="1143"/>
      <c r="D653" s="1143" t="s">
        <v>937</v>
      </c>
      <c r="E653" s="1144">
        <v>20760</v>
      </c>
      <c r="F653" s="1145" t="s">
        <v>1660</v>
      </c>
      <c r="G653" s="1146" t="s">
        <v>1927</v>
      </c>
      <c r="H653" s="1147" t="s">
        <v>1660</v>
      </c>
      <c r="I653" s="1146" t="s">
        <v>1928</v>
      </c>
      <c r="J653" s="1148" t="s">
        <v>935</v>
      </c>
      <c r="K653" s="1" t="s">
        <v>125</v>
      </c>
      <c r="M653" s="1" t="s">
        <v>1036</v>
      </c>
    </row>
    <row r="654" spans="2:13" ht="15" hidden="1" customHeight="1" outlineLevel="1" x14ac:dyDescent="0.25">
      <c r="B654" s="1142" t="s">
        <v>931</v>
      </c>
      <c r="C654" s="1143"/>
      <c r="D654" s="1143" t="s">
        <v>938</v>
      </c>
      <c r="E654" s="1144">
        <v>3381</v>
      </c>
      <c r="F654" s="1145" t="s">
        <v>1660</v>
      </c>
      <c r="G654" s="1146" t="s">
        <v>1929</v>
      </c>
      <c r="H654" s="1147" t="s">
        <v>1660</v>
      </c>
      <c r="I654" s="1146" t="s">
        <v>1930</v>
      </c>
      <c r="J654" s="1148" t="s">
        <v>935</v>
      </c>
      <c r="K654" s="1" t="s">
        <v>125</v>
      </c>
      <c r="M654" s="1" t="s">
        <v>1036</v>
      </c>
    </row>
    <row r="655" spans="2:13" ht="15" hidden="1" customHeight="1" outlineLevel="1" x14ac:dyDescent="0.25">
      <c r="B655" s="1142" t="s">
        <v>931</v>
      </c>
      <c r="C655" s="1143"/>
      <c r="D655" s="1143" t="s">
        <v>939</v>
      </c>
      <c r="E655" s="1144">
        <v>0.71</v>
      </c>
      <c r="F655" s="1145" t="s">
        <v>1660</v>
      </c>
      <c r="G655" s="1146" t="s">
        <v>1931</v>
      </c>
      <c r="H655" s="1147" t="s">
        <v>1660</v>
      </c>
      <c r="I655" s="1146" t="s">
        <v>1932</v>
      </c>
      <c r="J655" s="1148" t="s">
        <v>935</v>
      </c>
      <c r="K655" s="1" t="s">
        <v>125</v>
      </c>
      <c r="M655" s="1" t="s">
        <v>1036</v>
      </c>
    </row>
    <row r="656" spans="2:13" ht="15" hidden="1" customHeight="1" outlineLevel="1" x14ac:dyDescent="0.25">
      <c r="B656" s="1142" t="s">
        <v>931</v>
      </c>
      <c r="C656" s="1143"/>
      <c r="D656" s="1143" t="s">
        <v>940</v>
      </c>
      <c r="E656" s="1144">
        <v>0</v>
      </c>
      <c r="F656" s="1145" t="s">
        <v>125</v>
      </c>
      <c r="G656" s="1146"/>
      <c r="H656" s="1147" t="s">
        <v>125</v>
      </c>
      <c r="I656" s="1146"/>
      <c r="J656" s="1148" t="s">
        <v>935</v>
      </c>
      <c r="K656" s="1" t="s">
        <v>125</v>
      </c>
      <c r="M656" s="1" t="s">
        <v>1036</v>
      </c>
    </row>
    <row r="657" spans="2:13" ht="15" hidden="1" customHeight="1" outlineLevel="1" x14ac:dyDescent="0.25">
      <c r="B657" s="1142" t="s">
        <v>931</v>
      </c>
      <c r="C657" s="1143"/>
      <c r="D657" s="1143" t="s">
        <v>941</v>
      </c>
      <c r="E657" s="1144">
        <v>239.2</v>
      </c>
      <c r="F657" s="1145" t="s">
        <v>1660</v>
      </c>
      <c r="G657" s="1146" t="s">
        <v>1933</v>
      </c>
      <c r="H657" s="1147" t="s">
        <v>1660</v>
      </c>
      <c r="I657" s="1146" t="s">
        <v>1934</v>
      </c>
      <c r="J657" s="1148" t="s">
        <v>935</v>
      </c>
      <c r="K657" s="1" t="s">
        <v>125</v>
      </c>
      <c r="M657" s="1" t="s">
        <v>1036</v>
      </c>
    </row>
    <row r="658" spans="2:13" ht="15" hidden="1" customHeight="1" outlineLevel="1" x14ac:dyDescent="0.25">
      <c r="B658" s="1142" t="s">
        <v>931</v>
      </c>
      <c r="C658" s="1143"/>
      <c r="D658" s="1143" t="s">
        <v>942</v>
      </c>
      <c r="E658" s="1144">
        <v>27710</v>
      </c>
      <c r="F658" s="1145" t="s">
        <v>1660</v>
      </c>
      <c r="G658" s="1146" t="s">
        <v>1935</v>
      </c>
      <c r="H658" s="1147" t="s">
        <v>1660</v>
      </c>
      <c r="I658" s="1146" t="s">
        <v>1936</v>
      </c>
      <c r="J658" s="1148" t="s">
        <v>935</v>
      </c>
      <c r="K658" s="1" t="s">
        <v>125</v>
      </c>
      <c r="M658" s="1" t="s">
        <v>1036</v>
      </c>
    </row>
    <row r="659" spans="2:13" ht="15" hidden="1" customHeight="1" outlineLevel="1" x14ac:dyDescent="0.25">
      <c r="B659" s="1142" t="s">
        <v>931</v>
      </c>
      <c r="C659" s="1143"/>
      <c r="D659" s="1143" t="s">
        <v>932</v>
      </c>
      <c r="E659" s="1144">
        <v>46.35</v>
      </c>
      <c r="F659" s="1145" t="s">
        <v>1660</v>
      </c>
      <c r="G659" s="1146" t="s">
        <v>683</v>
      </c>
      <c r="H659" s="1147" t="s">
        <v>1660</v>
      </c>
      <c r="I659" s="1146" t="s">
        <v>1704</v>
      </c>
      <c r="J659" s="1148" t="s">
        <v>221</v>
      </c>
      <c r="K659" s="1" t="s">
        <v>125</v>
      </c>
      <c r="M659" s="1" t="s">
        <v>1032</v>
      </c>
    </row>
    <row r="660" spans="2:13" ht="15" hidden="1" customHeight="1" outlineLevel="1" x14ac:dyDescent="0.25">
      <c r="B660" s="1142" t="s">
        <v>931</v>
      </c>
      <c r="C660" s="1143"/>
      <c r="D660" s="1143" t="s">
        <v>947</v>
      </c>
      <c r="E660" s="1144">
        <v>0.4667</v>
      </c>
      <c r="F660" s="1145" t="s">
        <v>1660</v>
      </c>
      <c r="G660" s="1146" t="s">
        <v>684</v>
      </c>
      <c r="H660" s="1147" t="s">
        <v>125</v>
      </c>
      <c r="I660" s="1146"/>
      <c r="J660" s="1148" t="s">
        <v>221</v>
      </c>
      <c r="K660" s="1" t="s">
        <v>125</v>
      </c>
      <c r="M660" s="1" t="s">
        <v>1037</v>
      </c>
    </row>
    <row r="661" spans="2:13" ht="15" hidden="1" customHeight="1" outlineLevel="1" x14ac:dyDescent="0.25">
      <c r="B661" s="1142" t="s">
        <v>931</v>
      </c>
      <c r="C661" s="1143"/>
      <c r="D661" s="1143" t="s">
        <v>932</v>
      </c>
      <c r="E661" s="1144">
        <v>54.79</v>
      </c>
      <c r="F661" s="1145" t="s">
        <v>125</v>
      </c>
      <c r="G661" s="1146"/>
      <c r="H661" s="1147" t="s">
        <v>125</v>
      </c>
      <c r="I661" s="1146"/>
      <c r="J661" s="1148" t="s">
        <v>221</v>
      </c>
      <c r="K661" s="1" t="s">
        <v>125</v>
      </c>
      <c r="M661" s="1" t="s">
        <v>1038</v>
      </c>
    </row>
    <row r="662" spans="2:13" ht="15" hidden="1" customHeight="1" outlineLevel="1" x14ac:dyDescent="0.25">
      <c r="B662" s="1142" t="s">
        <v>945</v>
      </c>
      <c r="C662" s="1143" t="s">
        <v>946</v>
      </c>
      <c r="D662" s="1143" t="s">
        <v>934</v>
      </c>
      <c r="E662" s="1144">
        <v>2641</v>
      </c>
      <c r="F662" s="1145" t="s">
        <v>1660</v>
      </c>
      <c r="G662" s="1146" t="s">
        <v>1937</v>
      </c>
      <c r="H662" s="1147" t="s">
        <v>1660</v>
      </c>
      <c r="I662" s="1146" t="s">
        <v>1938</v>
      </c>
      <c r="J662" s="1148" t="s">
        <v>935</v>
      </c>
      <c r="K662" s="1" t="s">
        <v>125</v>
      </c>
      <c r="M662" s="1" t="s">
        <v>1036</v>
      </c>
    </row>
    <row r="663" spans="2:13" ht="15" hidden="1" customHeight="1" outlineLevel="1" x14ac:dyDescent="0.25">
      <c r="B663" s="1142" t="s">
        <v>945</v>
      </c>
      <c r="C663" s="1143" t="s">
        <v>946</v>
      </c>
      <c r="D663" s="1143" t="s">
        <v>937</v>
      </c>
      <c r="E663" s="1144">
        <v>147700</v>
      </c>
      <c r="F663" s="1145" t="s">
        <v>1660</v>
      </c>
      <c r="G663" s="1146" t="s">
        <v>1939</v>
      </c>
      <c r="H663" s="1147" t="s">
        <v>1660</v>
      </c>
      <c r="I663" s="1108" t="s">
        <v>1940</v>
      </c>
      <c r="J663" s="1148" t="s">
        <v>935</v>
      </c>
      <c r="K663" s="1" t="s">
        <v>125</v>
      </c>
      <c r="M663" s="1" t="s">
        <v>1036</v>
      </c>
    </row>
    <row r="664" spans="2:13" ht="15" hidden="1" customHeight="1" outlineLevel="1" x14ac:dyDescent="0.25">
      <c r="B664" s="1142" t="s">
        <v>945</v>
      </c>
      <c r="C664" s="1143" t="s">
        <v>946</v>
      </c>
      <c r="D664" s="1143" t="s">
        <v>938</v>
      </c>
      <c r="E664" s="1144">
        <v>7949</v>
      </c>
      <c r="F664" s="1145" t="s">
        <v>1660</v>
      </c>
      <c r="G664" s="1146" t="s">
        <v>1941</v>
      </c>
      <c r="H664" s="1147" t="s">
        <v>1660</v>
      </c>
      <c r="I664" s="1146" t="s">
        <v>1942</v>
      </c>
      <c r="J664" s="1148" t="s">
        <v>935</v>
      </c>
      <c r="K664" s="1" t="s">
        <v>125</v>
      </c>
      <c r="M664" s="1" t="s">
        <v>1036</v>
      </c>
    </row>
    <row r="665" spans="2:13" ht="15" hidden="1" customHeight="1" outlineLevel="1" x14ac:dyDescent="0.25">
      <c r="B665" s="1142" t="s">
        <v>945</v>
      </c>
      <c r="C665" s="1143" t="s">
        <v>946</v>
      </c>
      <c r="D665" s="1143" t="s">
        <v>939</v>
      </c>
      <c r="E665" s="1144">
        <v>35.24</v>
      </c>
      <c r="F665" s="1145" t="s">
        <v>1660</v>
      </c>
      <c r="G665" s="1146" t="s">
        <v>1943</v>
      </c>
      <c r="H665" s="1147" t="s">
        <v>1660</v>
      </c>
      <c r="I665" s="1146" t="s">
        <v>1944</v>
      </c>
      <c r="J665" s="1148" t="s">
        <v>935</v>
      </c>
      <c r="K665" s="1" t="s">
        <v>125</v>
      </c>
      <c r="M665" s="1" t="s">
        <v>1036</v>
      </c>
    </row>
    <row r="666" spans="2:13" ht="15" hidden="1" customHeight="1" outlineLevel="1" x14ac:dyDescent="0.25">
      <c r="B666" s="1142" t="s">
        <v>945</v>
      </c>
      <c r="C666" s="1143" t="s">
        <v>946</v>
      </c>
      <c r="D666" s="1143" t="s">
        <v>940</v>
      </c>
      <c r="E666" s="1144">
        <v>12660</v>
      </c>
      <c r="F666" s="1145" t="s">
        <v>1660</v>
      </c>
      <c r="G666" s="1146" t="s">
        <v>1945</v>
      </c>
      <c r="H666" s="1147" t="s">
        <v>1660</v>
      </c>
      <c r="I666" s="1146" t="s">
        <v>1946</v>
      </c>
      <c r="J666" s="1148" t="s">
        <v>935</v>
      </c>
      <c r="K666" s="1" t="s">
        <v>125</v>
      </c>
      <c r="M666" s="1" t="s">
        <v>1036</v>
      </c>
    </row>
    <row r="667" spans="2:13" ht="15" hidden="1" customHeight="1" outlineLevel="1" x14ac:dyDescent="0.25">
      <c r="B667" s="1142" t="s">
        <v>945</v>
      </c>
      <c r="C667" s="1143" t="s">
        <v>946</v>
      </c>
      <c r="D667" s="1143" t="s">
        <v>941</v>
      </c>
      <c r="E667" s="1144">
        <v>11610</v>
      </c>
      <c r="F667" s="1145" t="s">
        <v>1660</v>
      </c>
      <c r="G667" s="1146" t="s">
        <v>1947</v>
      </c>
      <c r="H667" s="1147" t="s">
        <v>1660</v>
      </c>
      <c r="I667" s="1146" t="s">
        <v>1948</v>
      </c>
      <c r="J667" s="1148" t="s">
        <v>935</v>
      </c>
      <c r="K667" s="1" t="s">
        <v>125</v>
      </c>
      <c r="M667" s="1" t="s">
        <v>1036</v>
      </c>
    </row>
    <row r="668" spans="2:13" ht="15" hidden="1" customHeight="1" outlineLevel="1" x14ac:dyDescent="0.25">
      <c r="B668" s="1149" t="s">
        <v>945</v>
      </c>
      <c r="C668" s="1150" t="s">
        <v>946</v>
      </c>
      <c r="D668" s="1150" t="s">
        <v>942</v>
      </c>
      <c r="E668" s="1151">
        <v>443600</v>
      </c>
      <c r="F668" s="1152" t="s">
        <v>1660</v>
      </c>
      <c r="G668" s="1158" t="s">
        <v>1949</v>
      </c>
      <c r="H668" s="1154" t="s">
        <v>1660</v>
      </c>
      <c r="I668" s="1158" t="s">
        <v>1950</v>
      </c>
      <c r="J668" s="1155" t="s">
        <v>935</v>
      </c>
      <c r="K668" s="1" t="s">
        <v>125</v>
      </c>
      <c r="M668" s="1" t="s">
        <v>1036</v>
      </c>
    </row>
    <row r="669" spans="2:13" ht="15" customHeight="1" x14ac:dyDescent="0.25">
      <c r="D669" s="1159"/>
      <c r="E669" s="1160"/>
      <c r="F669" s="1161" t="s">
        <v>125</v>
      </c>
      <c r="G669" s="672"/>
      <c r="H669" s="1162" t="s">
        <v>125</v>
      </c>
      <c r="I669" s="672"/>
      <c r="J669" s="672"/>
    </row>
    <row r="670" spans="2:13" ht="15" customHeight="1" collapsed="1" x14ac:dyDescent="0.25">
      <c r="B670" s="1164" t="s">
        <v>825</v>
      </c>
      <c r="C670" s="1165"/>
      <c r="D670" s="1208" t="s">
        <v>1147</v>
      </c>
      <c r="E670" s="1166">
        <v>5825</v>
      </c>
      <c r="F670" s="1167" t="s">
        <v>1660</v>
      </c>
      <c r="G670" s="1168" t="s">
        <v>1951</v>
      </c>
      <c r="H670" s="1169" t="s">
        <v>125</v>
      </c>
      <c r="I670" s="1168"/>
      <c r="J670" s="246" t="s">
        <v>221</v>
      </c>
      <c r="K670" s="292">
        <v>100</v>
      </c>
    </row>
    <row r="671" spans="2:13" ht="15" hidden="1" customHeight="1" outlineLevel="1" x14ac:dyDescent="0.25">
      <c r="B671" s="1137" t="s">
        <v>827</v>
      </c>
      <c r="C671" s="1138" t="s">
        <v>979</v>
      </c>
      <c r="D671" s="1138" t="s">
        <v>980</v>
      </c>
      <c r="E671" s="1139">
        <v>11.96</v>
      </c>
      <c r="F671" s="1145" t="s">
        <v>125</v>
      </c>
      <c r="G671" s="1146"/>
      <c r="H671" s="1147" t="s">
        <v>125</v>
      </c>
      <c r="I671" s="954"/>
      <c r="J671" s="955" t="s">
        <v>186</v>
      </c>
      <c r="K671" s="1" t="s">
        <v>125</v>
      </c>
      <c r="M671" s="1" t="s">
        <v>997</v>
      </c>
    </row>
    <row r="672" spans="2:13" ht="15" hidden="1" customHeight="1" outlineLevel="1" x14ac:dyDescent="0.25">
      <c r="B672" s="1142" t="s">
        <v>827</v>
      </c>
      <c r="C672" s="1143" t="s">
        <v>981</v>
      </c>
      <c r="D672" s="1143" t="s">
        <v>982</v>
      </c>
      <c r="E672" s="1144">
        <v>10000</v>
      </c>
      <c r="F672" s="1145" t="s">
        <v>125</v>
      </c>
      <c r="G672" s="1146"/>
      <c r="H672" s="1147" t="s">
        <v>125</v>
      </c>
      <c r="I672" s="1146"/>
      <c r="J672" s="1148" t="s">
        <v>181</v>
      </c>
      <c r="K672" s="1" t="s">
        <v>125</v>
      </c>
      <c r="M672" s="1" t="s">
        <v>998</v>
      </c>
    </row>
    <row r="673" spans="2:13" ht="15" hidden="1" customHeight="1" outlineLevel="1" x14ac:dyDescent="0.25">
      <c r="B673" s="1142" t="s">
        <v>827</v>
      </c>
      <c r="C673" s="1143" t="s">
        <v>981</v>
      </c>
      <c r="D673" s="1143" t="s">
        <v>983</v>
      </c>
      <c r="E673" s="1144">
        <v>0</v>
      </c>
      <c r="F673" s="1145" t="s">
        <v>125</v>
      </c>
      <c r="G673" s="1146"/>
      <c r="H673" s="1147" t="s">
        <v>125</v>
      </c>
      <c r="I673" s="1146"/>
      <c r="J673" s="1148" t="s">
        <v>182</v>
      </c>
      <c r="K673" s="1" t="s">
        <v>125</v>
      </c>
      <c r="M673" s="1" t="s">
        <v>999</v>
      </c>
    </row>
    <row r="674" spans="2:13" ht="15" hidden="1" customHeight="1" outlineLevel="1" x14ac:dyDescent="0.25">
      <c r="B674" s="1142" t="s">
        <v>827</v>
      </c>
      <c r="C674" s="1143" t="s">
        <v>981</v>
      </c>
      <c r="D674" s="1143" t="s">
        <v>984</v>
      </c>
      <c r="E674" s="1144">
        <v>0</v>
      </c>
      <c r="F674" s="1145" t="s">
        <v>125</v>
      </c>
      <c r="G674" s="1146"/>
      <c r="H674" s="1147" t="s">
        <v>125</v>
      </c>
      <c r="I674" s="1146"/>
      <c r="J674" s="1148" t="s">
        <v>182</v>
      </c>
      <c r="K674" s="1" t="s">
        <v>125</v>
      </c>
      <c r="M674" s="1" t="s">
        <v>999</v>
      </c>
    </row>
    <row r="675" spans="2:13" ht="15" hidden="1" customHeight="1" outlineLevel="1" x14ac:dyDescent="0.25">
      <c r="B675" s="1142" t="s">
        <v>827</v>
      </c>
      <c r="C675" s="1143" t="s">
        <v>981</v>
      </c>
      <c r="D675" s="1143" t="s">
        <v>985</v>
      </c>
      <c r="E675" s="1144">
        <v>6.8390000000000004</v>
      </c>
      <c r="F675" s="1145" t="s">
        <v>125</v>
      </c>
      <c r="G675" s="1146"/>
      <c r="H675" s="1147" t="s">
        <v>125</v>
      </c>
      <c r="I675" s="1146"/>
      <c r="J675" s="1148" t="s">
        <v>182</v>
      </c>
      <c r="K675" s="1" t="s">
        <v>125</v>
      </c>
      <c r="M675" s="1" t="s">
        <v>999</v>
      </c>
    </row>
    <row r="676" spans="2:13" ht="15" hidden="1" customHeight="1" outlineLevel="1" x14ac:dyDescent="0.25">
      <c r="B676" s="1142" t="s">
        <v>827</v>
      </c>
      <c r="C676" s="1143" t="s">
        <v>981</v>
      </c>
      <c r="D676" s="1143" t="s">
        <v>986</v>
      </c>
      <c r="E676" s="1144">
        <v>209.5</v>
      </c>
      <c r="F676" s="1145" t="s">
        <v>125</v>
      </c>
      <c r="G676" s="1146"/>
      <c r="H676" s="1147" t="s">
        <v>125</v>
      </c>
      <c r="I676" s="1146"/>
      <c r="J676" s="1148" t="s">
        <v>182</v>
      </c>
      <c r="K676" s="1" t="s">
        <v>125</v>
      </c>
      <c r="M676" s="1" t="s">
        <v>999</v>
      </c>
    </row>
    <row r="677" spans="2:13" ht="15" hidden="1" customHeight="1" outlineLevel="1" x14ac:dyDescent="0.25">
      <c r="B677" s="1142" t="s">
        <v>827</v>
      </c>
      <c r="C677" s="1143" t="s">
        <v>981</v>
      </c>
      <c r="D677" s="1143" t="s">
        <v>987</v>
      </c>
      <c r="E677" s="1144">
        <v>216.3</v>
      </c>
      <c r="F677" s="1145" t="s">
        <v>125</v>
      </c>
      <c r="G677" s="1146"/>
      <c r="H677" s="1147" t="s">
        <v>125</v>
      </c>
      <c r="I677" s="1146"/>
      <c r="J677" s="1148" t="s">
        <v>182</v>
      </c>
      <c r="K677" s="1" t="s">
        <v>125</v>
      </c>
      <c r="M677" s="1" t="s">
        <v>999</v>
      </c>
    </row>
    <row r="678" spans="2:13" ht="15" hidden="1" customHeight="1" outlineLevel="1" x14ac:dyDescent="0.25">
      <c r="B678" s="1142" t="s">
        <v>830</v>
      </c>
      <c r="C678" s="1143"/>
      <c r="D678" s="1143" t="s">
        <v>665</v>
      </c>
      <c r="E678" s="1144">
        <v>3522</v>
      </c>
      <c r="F678" s="1145" t="s">
        <v>1660</v>
      </c>
      <c r="G678" s="1146" t="s">
        <v>726</v>
      </c>
      <c r="H678" s="1147" t="s">
        <v>125</v>
      </c>
      <c r="I678" s="1146"/>
      <c r="J678" s="1148" t="s">
        <v>221</v>
      </c>
      <c r="K678" s="1" t="s">
        <v>125</v>
      </c>
      <c r="M678" s="1" t="s">
        <v>1000</v>
      </c>
    </row>
    <row r="679" spans="2:13" ht="15" hidden="1" customHeight="1" outlineLevel="1" x14ac:dyDescent="0.25">
      <c r="B679" s="1142" t="s">
        <v>830</v>
      </c>
      <c r="C679" s="1143"/>
      <c r="D679" s="1143" t="s">
        <v>673</v>
      </c>
      <c r="E679" s="1144">
        <v>308.89999999999998</v>
      </c>
      <c r="F679" s="1145" t="s">
        <v>1660</v>
      </c>
      <c r="G679" s="1146" t="s">
        <v>723</v>
      </c>
      <c r="H679" s="1147" t="s">
        <v>125</v>
      </c>
      <c r="I679" s="1146"/>
      <c r="J679" s="1148" t="s">
        <v>221</v>
      </c>
      <c r="K679" s="1" t="s">
        <v>125</v>
      </c>
      <c r="M679" s="1" t="s">
        <v>1001</v>
      </c>
    </row>
    <row r="680" spans="2:13" ht="15" hidden="1" customHeight="1" outlineLevel="1" x14ac:dyDescent="0.25">
      <c r="B680" s="1142" t="s">
        <v>830</v>
      </c>
      <c r="C680" s="1143"/>
      <c r="D680" s="1143" t="s">
        <v>653</v>
      </c>
      <c r="E680" s="1144">
        <v>22.81</v>
      </c>
      <c r="F680" s="1145" t="s">
        <v>1660</v>
      </c>
      <c r="G680" s="1146" t="s">
        <v>1661</v>
      </c>
      <c r="H680" s="1147" t="s">
        <v>125</v>
      </c>
      <c r="I680" s="1146"/>
      <c r="J680" s="1148" t="s">
        <v>221</v>
      </c>
      <c r="K680" s="1" t="s">
        <v>125</v>
      </c>
      <c r="M680" s="1" t="s">
        <v>1148</v>
      </c>
    </row>
    <row r="681" spans="2:13" ht="15" hidden="1" customHeight="1" outlineLevel="1" x14ac:dyDescent="0.25">
      <c r="B681" s="1142" t="s">
        <v>830</v>
      </c>
      <c r="C681" s="1143"/>
      <c r="D681" s="1143" t="s">
        <v>654</v>
      </c>
      <c r="E681" s="1144">
        <v>3.9039999999999999</v>
      </c>
      <c r="F681" s="1145" t="s">
        <v>1660</v>
      </c>
      <c r="G681" s="1146" t="s">
        <v>1661</v>
      </c>
      <c r="H681" s="1147" t="s">
        <v>125</v>
      </c>
      <c r="I681" s="1146"/>
      <c r="J681" s="1148" t="s">
        <v>221</v>
      </c>
      <c r="K681" s="1" t="s">
        <v>125</v>
      </c>
      <c r="M681" s="1" t="s">
        <v>1149</v>
      </c>
    </row>
    <row r="682" spans="2:13" ht="15" hidden="1" customHeight="1" outlineLevel="1" x14ac:dyDescent="0.25">
      <c r="B682" s="1142" t="s">
        <v>830</v>
      </c>
      <c r="C682" s="1143"/>
      <c r="D682" s="1143" t="s">
        <v>652</v>
      </c>
      <c r="E682" s="1144">
        <v>29</v>
      </c>
      <c r="F682" s="1145" t="s">
        <v>1660</v>
      </c>
      <c r="G682" s="1146" t="s">
        <v>1661</v>
      </c>
      <c r="H682" s="1147" t="s">
        <v>125</v>
      </c>
      <c r="I682" s="1146"/>
      <c r="J682" s="1148" t="s">
        <v>221</v>
      </c>
      <c r="K682" s="1" t="s">
        <v>125</v>
      </c>
      <c r="M682" s="1" t="s">
        <v>1150</v>
      </c>
    </row>
    <row r="683" spans="2:13" ht="15" hidden="1" customHeight="1" outlineLevel="1" x14ac:dyDescent="0.25">
      <c r="B683" s="1142" t="s">
        <v>830</v>
      </c>
      <c r="C683" s="1143"/>
      <c r="D683" s="1143" t="s">
        <v>650</v>
      </c>
      <c r="E683" s="1144">
        <v>28.47</v>
      </c>
      <c r="F683" s="1145" t="s">
        <v>1660</v>
      </c>
      <c r="G683" s="1146" t="s">
        <v>1661</v>
      </c>
      <c r="H683" s="1147" t="s">
        <v>125</v>
      </c>
      <c r="I683" s="1146"/>
      <c r="J683" s="1148" t="s">
        <v>221</v>
      </c>
      <c r="K683" s="1" t="s">
        <v>125</v>
      </c>
      <c r="M683" s="1" t="s">
        <v>1151</v>
      </c>
    </row>
    <row r="684" spans="2:13" ht="15" hidden="1" customHeight="1" outlineLevel="1" x14ac:dyDescent="0.25">
      <c r="B684" s="1142" t="s">
        <v>830</v>
      </c>
      <c r="C684" s="1143"/>
      <c r="D684" s="1143" t="s">
        <v>649</v>
      </c>
      <c r="E684" s="1144">
        <v>7.1890000000000001</v>
      </c>
      <c r="F684" s="1145" t="s">
        <v>1660</v>
      </c>
      <c r="G684" s="1146" t="s">
        <v>1661</v>
      </c>
      <c r="H684" s="1147" t="s">
        <v>125</v>
      </c>
      <c r="I684" s="1146"/>
      <c r="J684" s="1148" t="s">
        <v>221</v>
      </c>
      <c r="K684" s="1" t="s">
        <v>125</v>
      </c>
      <c r="M684" s="1" t="s">
        <v>1152</v>
      </c>
    </row>
    <row r="685" spans="2:13" ht="15" hidden="1" customHeight="1" outlineLevel="1" x14ac:dyDescent="0.25">
      <c r="B685" s="1142" t="s">
        <v>830</v>
      </c>
      <c r="C685" s="1143"/>
      <c r="D685" s="1143" t="s">
        <v>648</v>
      </c>
      <c r="E685" s="1144">
        <v>10.83</v>
      </c>
      <c r="F685" s="1145" t="s">
        <v>1660</v>
      </c>
      <c r="G685" s="1146" t="s">
        <v>1661</v>
      </c>
      <c r="H685" s="1147" t="s">
        <v>125</v>
      </c>
      <c r="I685" s="1146"/>
      <c r="J685" s="1148" t="s">
        <v>221</v>
      </c>
      <c r="K685" s="1" t="s">
        <v>125</v>
      </c>
      <c r="M685" s="1" t="s">
        <v>1153</v>
      </c>
    </row>
    <row r="686" spans="2:13" ht="15" hidden="1" customHeight="1" outlineLevel="1" x14ac:dyDescent="0.25">
      <c r="B686" s="1142" t="s">
        <v>830</v>
      </c>
      <c r="C686" s="1143"/>
      <c r="D686" s="1143" t="s">
        <v>657</v>
      </c>
      <c r="E686" s="1144">
        <v>9.9909999999999997</v>
      </c>
      <c r="F686" s="1145" t="s">
        <v>1660</v>
      </c>
      <c r="G686" s="1146" t="s">
        <v>1661</v>
      </c>
      <c r="H686" s="1147" t="s">
        <v>125</v>
      </c>
      <c r="I686" s="1146"/>
      <c r="J686" s="1148" t="s">
        <v>221</v>
      </c>
      <c r="K686" s="1" t="s">
        <v>125</v>
      </c>
      <c r="M686" s="1" t="s">
        <v>1154</v>
      </c>
    </row>
    <row r="687" spans="2:13" ht="15" hidden="1" customHeight="1" outlineLevel="1" x14ac:dyDescent="0.25">
      <c r="B687" s="1142" t="s">
        <v>830</v>
      </c>
      <c r="C687" s="1143"/>
      <c r="D687" s="1143" t="s">
        <v>656</v>
      </c>
      <c r="E687" s="1144">
        <v>0.16769999999999999</v>
      </c>
      <c r="F687" s="1145" t="s">
        <v>1660</v>
      </c>
      <c r="G687" s="1146" t="s">
        <v>1661</v>
      </c>
      <c r="H687" s="1147" t="s">
        <v>125</v>
      </c>
      <c r="I687" s="1146"/>
      <c r="J687" s="1148" t="s">
        <v>221</v>
      </c>
      <c r="K687" s="1" t="s">
        <v>125</v>
      </c>
      <c r="M687" s="1" t="s">
        <v>1155</v>
      </c>
    </row>
    <row r="688" spans="2:13" ht="15" hidden="1" customHeight="1" outlineLevel="1" x14ac:dyDescent="0.25">
      <c r="B688" s="1142" t="s">
        <v>830</v>
      </c>
      <c r="C688" s="1143"/>
      <c r="D688" s="1143" t="s">
        <v>655</v>
      </c>
      <c r="E688" s="1144">
        <v>3.1080000000000001</v>
      </c>
      <c r="F688" s="1145" t="s">
        <v>1660</v>
      </c>
      <c r="G688" s="1146" t="s">
        <v>1661</v>
      </c>
      <c r="H688" s="1147" t="s">
        <v>125</v>
      </c>
      <c r="I688" s="1146"/>
      <c r="J688" s="1148" t="s">
        <v>221</v>
      </c>
      <c r="K688" s="1" t="s">
        <v>125</v>
      </c>
      <c r="M688" s="1" t="s">
        <v>1156</v>
      </c>
    </row>
    <row r="689" spans="2:13" ht="15" hidden="1" customHeight="1" outlineLevel="1" x14ac:dyDescent="0.25">
      <c r="B689" s="1142" t="s">
        <v>830</v>
      </c>
      <c r="C689" s="1143"/>
      <c r="D689" s="1143" t="s">
        <v>658</v>
      </c>
      <c r="E689" s="1144">
        <v>80.53</v>
      </c>
      <c r="F689" s="1145" t="s">
        <v>1660</v>
      </c>
      <c r="G689" s="1146" t="s">
        <v>1661</v>
      </c>
      <c r="H689" s="1147" t="s">
        <v>125</v>
      </c>
      <c r="I689" s="1146"/>
      <c r="J689" s="1148" t="s">
        <v>221</v>
      </c>
      <c r="K689" s="1" t="s">
        <v>125</v>
      </c>
      <c r="M689" s="1" t="s">
        <v>1157</v>
      </c>
    </row>
    <row r="690" spans="2:13" ht="15" hidden="1" customHeight="1" outlineLevel="1" x14ac:dyDescent="0.25">
      <c r="B690" s="1142" t="s">
        <v>830</v>
      </c>
      <c r="C690" s="1143"/>
      <c r="D690" s="1143" t="s">
        <v>659</v>
      </c>
      <c r="E690" s="1144">
        <v>5.444</v>
      </c>
      <c r="F690" s="1145" t="s">
        <v>1660</v>
      </c>
      <c r="G690" s="1146" t="s">
        <v>1661</v>
      </c>
      <c r="H690" s="1147" t="s">
        <v>125</v>
      </c>
      <c r="I690" s="1146"/>
      <c r="J690" s="1148" t="s">
        <v>221</v>
      </c>
      <c r="K690" s="1" t="s">
        <v>125</v>
      </c>
      <c r="M690" s="1" t="s">
        <v>1158</v>
      </c>
    </row>
    <row r="691" spans="2:13" ht="15" hidden="1" customHeight="1" outlineLevel="1" x14ac:dyDescent="0.25">
      <c r="B691" s="1142" t="s">
        <v>830</v>
      </c>
      <c r="C691" s="1143"/>
      <c r="D691" s="1143" t="s">
        <v>988</v>
      </c>
      <c r="E691" s="1144">
        <v>1</v>
      </c>
      <c r="F691" s="1145" t="s">
        <v>125</v>
      </c>
      <c r="G691" s="1146"/>
      <c r="H691" s="1147" t="s">
        <v>125</v>
      </c>
      <c r="I691" s="1146"/>
      <c r="J691" s="1148" t="s">
        <v>188</v>
      </c>
      <c r="K691" s="1" t="s">
        <v>125</v>
      </c>
      <c r="M691" s="1" t="s">
        <v>1013</v>
      </c>
    </row>
    <row r="692" spans="2:13" ht="15" hidden="1" customHeight="1" outlineLevel="1" x14ac:dyDescent="0.25">
      <c r="B692" s="1142" t="s">
        <v>830</v>
      </c>
      <c r="C692" s="1143"/>
      <c r="D692" s="1143" t="s">
        <v>662</v>
      </c>
      <c r="E692" s="1144">
        <v>400</v>
      </c>
      <c r="F692" s="1145" t="s">
        <v>125</v>
      </c>
      <c r="G692" s="1146"/>
      <c r="H692" s="1147" t="s">
        <v>125</v>
      </c>
      <c r="I692" s="1146"/>
      <c r="J692" s="1148" t="s">
        <v>221</v>
      </c>
      <c r="K692" s="1" t="s">
        <v>125</v>
      </c>
      <c r="M692" s="1" t="s">
        <v>1014</v>
      </c>
    </row>
    <row r="693" spans="2:13" ht="15" hidden="1" customHeight="1" outlineLevel="1" x14ac:dyDescent="0.25">
      <c r="B693" s="1142" t="s">
        <v>830</v>
      </c>
      <c r="C693" s="1143"/>
      <c r="D693" s="1143" t="s">
        <v>1159</v>
      </c>
      <c r="E693" s="1144">
        <v>139.69999999999999</v>
      </c>
      <c r="F693" s="1145" t="s">
        <v>125</v>
      </c>
      <c r="G693" s="1146"/>
      <c r="H693" s="1147" t="s">
        <v>125</v>
      </c>
      <c r="I693" s="1146"/>
      <c r="J693" s="1148" t="s">
        <v>221</v>
      </c>
      <c r="K693" s="1" t="s">
        <v>125</v>
      </c>
      <c r="M693" s="1" t="s">
        <v>1052</v>
      </c>
    </row>
    <row r="694" spans="2:13" ht="15" hidden="1" customHeight="1" outlineLevel="1" x14ac:dyDescent="0.25">
      <c r="B694" s="1142" t="s">
        <v>830</v>
      </c>
      <c r="C694" s="1143"/>
      <c r="D694" s="1143" t="s">
        <v>990</v>
      </c>
      <c r="E694" s="1144">
        <v>114.9</v>
      </c>
      <c r="F694" s="1145" t="s">
        <v>1660</v>
      </c>
      <c r="G694" s="1146" t="s">
        <v>722</v>
      </c>
      <c r="H694" s="1147" t="s">
        <v>125</v>
      </c>
      <c r="I694" s="1146"/>
      <c r="J694" s="1148" t="s">
        <v>836</v>
      </c>
      <c r="K694" s="1" t="s">
        <v>125</v>
      </c>
      <c r="M694" s="1" t="s">
        <v>1015</v>
      </c>
    </row>
    <row r="695" spans="2:13" ht="15" hidden="1" customHeight="1" outlineLevel="1" x14ac:dyDescent="0.25">
      <c r="B695" s="1142" t="s">
        <v>830</v>
      </c>
      <c r="C695" s="1143"/>
      <c r="D695" s="1143" t="s">
        <v>990</v>
      </c>
      <c r="E695" s="1144">
        <v>37.229999999999997</v>
      </c>
      <c r="F695" s="1145" t="s">
        <v>1660</v>
      </c>
      <c r="G695" s="1146" t="s">
        <v>1952</v>
      </c>
      <c r="H695" s="1147" t="s">
        <v>125</v>
      </c>
      <c r="I695" s="1146"/>
      <c r="J695" s="1148" t="s">
        <v>836</v>
      </c>
      <c r="K695" s="1" t="s">
        <v>125</v>
      </c>
      <c r="M695" s="1" t="s">
        <v>1016</v>
      </c>
    </row>
    <row r="696" spans="2:13" ht="15" hidden="1" customHeight="1" outlineLevel="1" x14ac:dyDescent="0.25">
      <c r="B696" s="1142" t="s">
        <v>830</v>
      </c>
      <c r="C696" s="1143"/>
      <c r="D696" s="1143" t="s">
        <v>675</v>
      </c>
      <c r="E696" s="1144">
        <v>0.23769999999999999</v>
      </c>
      <c r="F696" s="1145" t="s">
        <v>1660</v>
      </c>
      <c r="G696" s="1146" t="s">
        <v>1661</v>
      </c>
      <c r="H696" s="1147" t="s">
        <v>125</v>
      </c>
      <c r="I696" s="1146"/>
      <c r="J696" s="1148" t="s">
        <v>221</v>
      </c>
      <c r="K696" s="1" t="s">
        <v>125</v>
      </c>
      <c r="M696" s="1" t="s">
        <v>1017</v>
      </c>
    </row>
    <row r="697" spans="2:13" ht="15" hidden="1" customHeight="1" outlineLevel="1" x14ac:dyDescent="0.25">
      <c r="B697" s="1142" t="s">
        <v>830</v>
      </c>
      <c r="C697" s="1143"/>
      <c r="D697" s="1143" t="s">
        <v>676</v>
      </c>
      <c r="E697" s="1144">
        <v>1.1619999999999999</v>
      </c>
      <c r="F697" s="1145" t="s">
        <v>1660</v>
      </c>
      <c r="G697" s="1146" t="s">
        <v>1661</v>
      </c>
      <c r="H697" s="1147" t="s">
        <v>125</v>
      </c>
      <c r="I697" s="1146"/>
      <c r="J697" s="1148" t="s">
        <v>221</v>
      </c>
      <c r="K697" s="1" t="s">
        <v>125</v>
      </c>
      <c r="M697" s="1" t="s">
        <v>1018</v>
      </c>
    </row>
    <row r="698" spans="2:13" ht="15" hidden="1" customHeight="1" outlineLevel="1" x14ac:dyDescent="0.25">
      <c r="B698" s="1142" t="s">
        <v>830</v>
      </c>
      <c r="C698" s="1143"/>
      <c r="D698" s="1143" t="s">
        <v>678</v>
      </c>
      <c r="E698" s="1144">
        <v>1.966</v>
      </c>
      <c r="F698" s="1145" t="s">
        <v>1660</v>
      </c>
      <c r="G698" s="1146" t="s">
        <v>1661</v>
      </c>
      <c r="H698" s="1147" t="s">
        <v>125</v>
      </c>
      <c r="I698" s="1146"/>
      <c r="J698" s="1148" t="s">
        <v>221</v>
      </c>
      <c r="K698" s="1" t="s">
        <v>125</v>
      </c>
      <c r="M698" s="1" t="s">
        <v>1019</v>
      </c>
    </row>
    <row r="699" spans="2:13" ht="15" hidden="1" customHeight="1" outlineLevel="1" x14ac:dyDescent="0.25">
      <c r="B699" s="1142" t="s">
        <v>830</v>
      </c>
      <c r="C699" s="1143"/>
      <c r="D699" s="1143" t="s">
        <v>991</v>
      </c>
      <c r="E699" s="1144">
        <v>0.23769999999999999</v>
      </c>
      <c r="F699" s="1145" t="s">
        <v>1660</v>
      </c>
      <c r="G699" s="1146" t="s">
        <v>1661</v>
      </c>
      <c r="H699" s="1147" t="s">
        <v>125</v>
      </c>
      <c r="I699" s="1146"/>
      <c r="J699" s="1148" t="s">
        <v>221</v>
      </c>
      <c r="K699" s="1" t="s">
        <v>125</v>
      </c>
      <c r="M699" s="1" t="s">
        <v>1020</v>
      </c>
    </row>
    <row r="700" spans="2:13" ht="15" hidden="1" customHeight="1" outlineLevel="1" x14ac:dyDescent="0.25">
      <c r="B700" s="1142" t="s">
        <v>830</v>
      </c>
      <c r="C700" s="1143"/>
      <c r="D700" s="1143" t="s">
        <v>992</v>
      </c>
      <c r="E700" s="1144">
        <v>1.1619999999999999</v>
      </c>
      <c r="F700" s="1145" t="s">
        <v>1660</v>
      </c>
      <c r="G700" s="1146" t="s">
        <v>1661</v>
      </c>
      <c r="H700" s="1147" t="s">
        <v>125</v>
      </c>
      <c r="I700" s="1146"/>
      <c r="J700" s="1148" t="s">
        <v>221</v>
      </c>
      <c r="K700" s="1" t="s">
        <v>125</v>
      </c>
      <c r="M700" s="1" t="s">
        <v>1021</v>
      </c>
    </row>
    <row r="701" spans="2:13" ht="15" hidden="1" customHeight="1" outlineLevel="1" x14ac:dyDescent="0.25">
      <c r="B701" s="1142" t="s">
        <v>830</v>
      </c>
      <c r="C701" s="1143"/>
      <c r="D701" s="1143" t="s">
        <v>993</v>
      </c>
      <c r="E701" s="1144">
        <v>1.966</v>
      </c>
      <c r="F701" s="1145" t="s">
        <v>1660</v>
      </c>
      <c r="G701" s="1146" t="s">
        <v>1661</v>
      </c>
      <c r="H701" s="1147" t="s">
        <v>125</v>
      </c>
      <c r="I701" s="1146"/>
      <c r="J701" s="1148" t="s">
        <v>221</v>
      </c>
      <c r="K701" s="1" t="s">
        <v>125</v>
      </c>
      <c r="M701" s="1" t="s">
        <v>1022</v>
      </c>
    </row>
    <row r="702" spans="2:13" ht="15" hidden="1" customHeight="1" outlineLevel="1" x14ac:dyDescent="0.25">
      <c r="B702" s="1142" t="s">
        <v>994</v>
      </c>
      <c r="C702" s="1143"/>
      <c r="D702" s="1143" t="s">
        <v>834</v>
      </c>
      <c r="E702" s="1144">
        <v>3483</v>
      </c>
      <c r="F702" s="1145" t="s">
        <v>1660</v>
      </c>
      <c r="G702" s="1146" t="s">
        <v>718</v>
      </c>
      <c r="H702" s="1147" t="s">
        <v>125</v>
      </c>
      <c r="I702" s="1146"/>
      <c r="J702" s="1148" t="s">
        <v>304</v>
      </c>
      <c r="K702" s="1" t="s">
        <v>125</v>
      </c>
      <c r="M702" s="1" t="s">
        <v>1023</v>
      </c>
    </row>
    <row r="703" spans="2:13" ht="15" hidden="1" customHeight="1" outlineLevel="1" x14ac:dyDescent="0.25">
      <c r="B703" s="1142" t="s">
        <v>994</v>
      </c>
      <c r="C703" s="1143"/>
      <c r="D703" s="1143" t="s">
        <v>834</v>
      </c>
      <c r="E703" s="1144">
        <v>8.0280000000000005</v>
      </c>
      <c r="F703" s="1145" t="s">
        <v>1660</v>
      </c>
      <c r="G703" s="1146" t="s">
        <v>718</v>
      </c>
      <c r="H703" s="1147" t="s">
        <v>125</v>
      </c>
      <c r="I703" s="1146"/>
      <c r="J703" s="1148" t="s">
        <v>304</v>
      </c>
      <c r="K703" s="1" t="s">
        <v>125</v>
      </c>
      <c r="M703" s="1" t="s">
        <v>1053</v>
      </c>
    </row>
    <row r="704" spans="2:13" ht="15" hidden="1" customHeight="1" outlineLevel="1" x14ac:dyDescent="0.25">
      <c r="B704" s="1142" t="s">
        <v>994</v>
      </c>
      <c r="C704" s="1143"/>
      <c r="D704" s="1143" t="s">
        <v>1054</v>
      </c>
      <c r="E704" s="1144">
        <v>5.7629999999999999</v>
      </c>
      <c r="F704" s="1145" t="s">
        <v>1660</v>
      </c>
      <c r="G704" s="1146" t="s">
        <v>720</v>
      </c>
      <c r="H704" s="1147" t="s">
        <v>125</v>
      </c>
      <c r="I704" s="1146"/>
      <c r="J704" s="1148" t="s">
        <v>304</v>
      </c>
      <c r="K704" s="1" t="s">
        <v>125</v>
      </c>
      <c r="M704" s="1" t="s">
        <v>1055</v>
      </c>
    </row>
    <row r="705" spans="2:13" ht="15" hidden="1" customHeight="1" outlineLevel="1" x14ac:dyDescent="0.25">
      <c r="B705" s="1142" t="s">
        <v>839</v>
      </c>
      <c r="C705" s="1143"/>
      <c r="D705" s="1143" t="s">
        <v>925</v>
      </c>
      <c r="E705" s="1144">
        <v>176</v>
      </c>
      <c r="F705" s="1145" t="s">
        <v>125</v>
      </c>
      <c r="G705" s="1146"/>
      <c r="H705" s="1147" t="s">
        <v>125</v>
      </c>
      <c r="I705" s="1146"/>
      <c r="J705" s="1148" t="s">
        <v>221</v>
      </c>
      <c r="K705" s="1" t="s">
        <v>125</v>
      </c>
      <c r="M705" s="1" t="s">
        <v>1024</v>
      </c>
    </row>
    <row r="706" spans="2:13" ht="15" hidden="1" customHeight="1" outlineLevel="1" x14ac:dyDescent="0.25">
      <c r="B706" s="1142" t="s">
        <v>839</v>
      </c>
      <c r="C706" s="1143"/>
      <c r="D706" s="1143" t="s">
        <v>925</v>
      </c>
      <c r="E706" s="1144">
        <v>9.8740000000000006</v>
      </c>
      <c r="F706" s="1145" t="s">
        <v>1660</v>
      </c>
      <c r="G706" s="1146" t="s">
        <v>1661</v>
      </c>
      <c r="H706" s="1147" t="s">
        <v>125</v>
      </c>
      <c r="I706" s="1146"/>
      <c r="J706" s="1148" t="s">
        <v>221</v>
      </c>
      <c r="K706" s="1" t="s">
        <v>125</v>
      </c>
      <c r="M706" s="1" t="s">
        <v>1025</v>
      </c>
    </row>
    <row r="707" spans="2:13" ht="15" hidden="1" customHeight="1" outlineLevel="1" x14ac:dyDescent="0.25">
      <c r="B707" s="1142" t="s">
        <v>839</v>
      </c>
      <c r="C707" s="1143"/>
      <c r="D707" s="1143" t="s">
        <v>843</v>
      </c>
      <c r="E707" s="1144">
        <v>0.39290000000000003</v>
      </c>
      <c r="F707" s="1145" t="s">
        <v>1660</v>
      </c>
      <c r="G707" s="1146" t="s">
        <v>1661</v>
      </c>
      <c r="H707" s="1147" t="s">
        <v>1660</v>
      </c>
      <c r="I707" s="1146" t="s">
        <v>1558</v>
      </c>
      <c r="J707" s="1148" t="s">
        <v>221</v>
      </c>
      <c r="K707" s="1" t="s">
        <v>125</v>
      </c>
      <c r="M707" s="1" t="s">
        <v>1026</v>
      </c>
    </row>
    <row r="708" spans="2:13" ht="15" hidden="1" customHeight="1" outlineLevel="1" x14ac:dyDescent="0.25">
      <c r="B708" s="1142" t="s">
        <v>839</v>
      </c>
      <c r="C708" s="1143"/>
      <c r="D708" s="1143" t="s">
        <v>843</v>
      </c>
      <c r="E708" s="1144">
        <v>0.12770000000000001</v>
      </c>
      <c r="F708" s="1145" t="s">
        <v>1660</v>
      </c>
      <c r="G708" s="1146" t="s">
        <v>1661</v>
      </c>
      <c r="H708" s="1147" t="s">
        <v>1660</v>
      </c>
      <c r="I708" s="1146" t="s">
        <v>1953</v>
      </c>
      <c r="J708" s="1148" t="s">
        <v>221</v>
      </c>
      <c r="K708" s="1" t="s">
        <v>125</v>
      </c>
      <c r="M708" s="1" t="s">
        <v>1027</v>
      </c>
    </row>
    <row r="709" spans="2:13" ht="15" hidden="1" customHeight="1" outlineLevel="1" x14ac:dyDescent="0.25">
      <c r="B709" s="1142" t="s">
        <v>839</v>
      </c>
      <c r="C709" s="1143"/>
      <c r="D709" s="1143" t="s">
        <v>846</v>
      </c>
      <c r="E709" s="1144">
        <v>1.5940000000000001</v>
      </c>
      <c r="F709" s="1145" t="s">
        <v>1660</v>
      </c>
      <c r="G709" s="1146" t="s">
        <v>1661</v>
      </c>
      <c r="H709" s="1147" t="s">
        <v>125</v>
      </c>
      <c r="I709" s="1146"/>
      <c r="J709" s="1148" t="s">
        <v>221</v>
      </c>
      <c r="K709" s="1" t="s">
        <v>125</v>
      </c>
      <c r="M709" s="1" t="s">
        <v>1028</v>
      </c>
    </row>
    <row r="710" spans="2:13" ht="15" hidden="1" customHeight="1" outlineLevel="1" x14ac:dyDescent="0.25">
      <c r="B710" s="1142" t="s">
        <v>839</v>
      </c>
      <c r="C710" s="1143"/>
      <c r="D710" s="1143" t="s">
        <v>995</v>
      </c>
      <c r="E710" s="1144">
        <v>0.17499999999999999</v>
      </c>
      <c r="F710" s="1145" t="s">
        <v>1660</v>
      </c>
      <c r="G710" s="1146" t="s">
        <v>1661</v>
      </c>
      <c r="H710" s="1147" t="s">
        <v>125</v>
      </c>
      <c r="I710" s="1146"/>
      <c r="J710" s="1148" t="s">
        <v>221</v>
      </c>
      <c r="K710" s="1" t="s">
        <v>125</v>
      </c>
      <c r="M710" s="1" t="s">
        <v>1029</v>
      </c>
    </row>
    <row r="711" spans="2:13" ht="15" hidden="1" customHeight="1" outlineLevel="1" x14ac:dyDescent="0.25">
      <c r="B711" s="1142" t="s">
        <v>839</v>
      </c>
      <c r="C711" s="1143"/>
      <c r="D711" s="1143" t="s">
        <v>996</v>
      </c>
      <c r="E711" s="1144">
        <v>184.7</v>
      </c>
      <c r="F711" s="1145" t="s">
        <v>125</v>
      </c>
      <c r="G711" s="1146"/>
      <c r="H711" s="1147" t="s">
        <v>125</v>
      </c>
      <c r="I711" s="1146"/>
      <c r="J711" s="1148" t="s">
        <v>221</v>
      </c>
      <c r="K711" s="1" t="s">
        <v>125</v>
      </c>
      <c r="M711" s="1" t="s">
        <v>999</v>
      </c>
    </row>
    <row r="712" spans="2:13" ht="15" hidden="1" customHeight="1" outlineLevel="1" x14ac:dyDescent="0.25">
      <c r="B712" s="1142" t="s">
        <v>839</v>
      </c>
      <c r="C712" s="1143"/>
      <c r="D712" s="1143" t="s">
        <v>843</v>
      </c>
      <c r="E712" s="1144">
        <v>0.54830000000000001</v>
      </c>
      <c r="F712" s="1145" t="s">
        <v>1660</v>
      </c>
      <c r="G712" s="1146" t="s">
        <v>683</v>
      </c>
      <c r="H712" s="1147" t="s">
        <v>1660</v>
      </c>
      <c r="I712" s="1146" t="s">
        <v>1561</v>
      </c>
      <c r="J712" s="1148" t="s">
        <v>221</v>
      </c>
      <c r="K712" s="1" t="s">
        <v>125</v>
      </c>
      <c r="M712" s="1" t="s">
        <v>1030</v>
      </c>
    </row>
    <row r="713" spans="2:13" ht="15" hidden="1" customHeight="1" outlineLevel="1" x14ac:dyDescent="0.25">
      <c r="B713" s="1142" t="s">
        <v>839</v>
      </c>
      <c r="C713" s="1143"/>
      <c r="D713" s="1143" t="s">
        <v>843</v>
      </c>
      <c r="E713" s="1144">
        <v>0.1782</v>
      </c>
      <c r="F713" s="1145" t="s">
        <v>1660</v>
      </c>
      <c r="G713" s="1146" t="s">
        <v>683</v>
      </c>
      <c r="H713" s="1147" t="s">
        <v>1660</v>
      </c>
      <c r="I713" s="1146" t="s">
        <v>1562</v>
      </c>
      <c r="J713" s="1148" t="s">
        <v>221</v>
      </c>
      <c r="K713" s="1" t="s">
        <v>125</v>
      </c>
      <c r="M713" s="1" t="s">
        <v>1031</v>
      </c>
    </row>
    <row r="714" spans="2:13" ht="15" hidden="1" customHeight="1" outlineLevel="1" x14ac:dyDescent="0.25">
      <c r="B714" s="1142" t="s">
        <v>839</v>
      </c>
      <c r="C714" s="1143"/>
      <c r="D714" s="1143" t="s">
        <v>846</v>
      </c>
      <c r="E714" s="1144">
        <v>8.4730000000000008</v>
      </c>
      <c r="F714" s="1145" t="s">
        <v>1660</v>
      </c>
      <c r="G714" s="1146" t="s">
        <v>683</v>
      </c>
      <c r="H714" s="1147" t="s">
        <v>1660</v>
      </c>
      <c r="I714" s="1146" t="s">
        <v>1564</v>
      </c>
      <c r="J714" s="1148" t="s">
        <v>221</v>
      </c>
      <c r="K714" s="1" t="s">
        <v>125</v>
      </c>
      <c r="M714" s="1" t="s">
        <v>1032</v>
      </c>
    </row>
    <row r="715" spans="2:13" ht="15" hidden="1" customHeight="1" outlineLevel="1" x14ac:dyDescent="0.25">
      <c r="B715" s="1142" t="s">
        <v>839</v>
      </c>
      <c r="C715" s="1143"/>
      <c r="D715" s="1143" t="s">
        <v>843</v>
      </c>
      <c r="E715" s="1144">
        <v>0.17460000000000001</v>
      </c>
      <c r="F715" s="1145" t="s">
        <v>125</v>
      </c>
      <c r="G715" s="1146"/>
      <c r="H715" s="1147" t="s">
        <v>125</v>
      </c>
      <c r="I715" s="1146"/>
      <c r="J715" s="1148" t="s">
        <v>221</v>
      </c>
      <c r="K715" s="1" t="s">
        <v>125</v>
      </c>
      <c r="M715" s="1" t="s">
        <v>1033</v>
      </c>
    </row>
    <row r="716" spans="2:13" ht="15" hidden="1" customHeight="1" outlineLevel="1" x14ac:dyDescent="0.25">
      <c r="B716" s="1142" t="s">
        <v>839</v>
      </c>
      <c r="C716" s="1143"/>
      <c r="D716" s="1143" t="s">
        <v>843</v>
      </c>
      <c r="E716" s="1144">
        <v>3.9289999999999999E-2</v>
      </c>
      <c r="F716" s="1145" t="s">
        <v>125</v>
      </c>
      <c r="G716" s="1146"/>
      <c r="H716" s="1147" t="s">
        <v>125</v>
      </c>
      <c r="I716" s="1146"/>
      <c r="J716" s="1148" t="s">
        <v>221</v>
      </c>
      <c r="K716" s="1" t="s">
        <v>125</v>
      </c>
      <c r="M716" s="1" t="s">
        <v>1034</v>
      </c>
    </row>
    <row r="717" spans="2:13" ht="15" hidden="1" customHeight="1" outlineLevel="1" x14ac:dyDescent="0.25">
      <c r="B717" s="1142" t="s">
        <v>931</v>
      </c>
      <c r="C717" s="1143"/>
      <c r="D717" s="1143" t="s">
        <v>932</v>
      </c>
      <c r="E717" s="1144">
        <v>33.21</v>
      </c>
      <c r="F717" s="1145" t="s">
        <v>1660</v>
      </c>
      <c r="G717" s="1146" t="s">
        <v>1661</v>
      </c>
      <c r="H717" s="1147" t="s">
        <v>1660</v>
      </c>
      <c r="I717" s="1146" t="s">
        <v>1691</v>
      </c>
      <c r="J717" s="1148" t="s">
        <v>221</v>
      </c>
      <c r="K717" s="1" t="s">
        <v>125</v>
      </c>
      <c r="M717" s="1" t="s">
        <v>1025</v>
      </c>
    </row>
    <row r="718" spans="2:13" ht="15" hidden="1" customHeight="1" outlineLevel="1" x14ac:dyDescent="0.25">
      <c r="B718" s="1142" t="s">
        <v>931</v>
      </c>
      <c r="C718" s="1143"/>
      <c r="D718" s="1143" t="s">
        <v>947</v>
      </c>
      <c r="E718" s="1144">
        <v>0.48570000000000002</v>
      </c>
      <c r="F718" s="1145" t="s">
        <v>1660</v>
      </c>
      <c r="G718" s="1146" t="s">
        <v>1661</v>
      </c>
      <c r="H718" s="1147" t="s">
        <v>125</v>
      </c>
      <c r="I718" s="1146"/>
      <c r="J718" s="1148" t="s">
        <v>221</v>
      </c>
      <c r="K718" s="1" t="s">
        <v>125</v>
      </c>
      <c r="M718" s="1" t="s">
        <v>1035</v>
      </c>
    </row>
    <row r="719" spans="2:13" ht="15" hidden="1" customHeight="1" outlineLevel="1" x14ac:dyDescent="0.25">
      <c r="B719" s="1142" t="s">
        <v>931</v>
      </c>
      <c r="C719" s="1143"/>
      <c r="D719" s="1143" t="s">
        <v>934</v>
      </c>
      <c r="E719" s="1144">
        <v>34.020000000000003</v>
      </c>
      <c r="F719" s="1145" t="s">
        <v>1660</v>
      </c>
      <c r="G719" s="1146" t="s">
        <v>1954</v>
      </c>
      <c r="H719" s="1147" t="s">
        <v>1660</v>
      </c>
      <c r="I719" s="1146" t="s">
        <v>1955</v>
      </c>
      <c r="J719" s="1148" t="s">
        <v>935</v>
      </c>
      <c r="K719" s="1" t="s">
        <v>125</v>
      </c>
      <c r="M719" s="1" t="s">
        <v>1036</v>
      </c>
    </row>
    <row r="720" spans="2:13" ht="15" hidden="1" customHeight="1" outlineLevel="1" x14ac:dyDescent="0.25">
      <c r="B720" s="1142" t="s">
        <v>931</v>
      </c>
      <c r="C720" s="1143"/>
      <c r="D720" s="1143" t="s">
        <v>937</v>
      </c>
      <c r="E720" s="1144">
        <v>20750</v>
      </c>
      <c r="F720" s="1145" t="s">
        <v>1660</v>
      </c>
      <c r="G720" s="1146" t="s">
        <v>1956</v>
      </c>
      <c r="H720" s="1147" t="s">
        <v>1660</v>
      </c>
      <c r="I720" s="1146" t="s">
        <v>1957</v>
      </c>
      <c r="J720" s="1148" t="s">
        <v>935</v>
      </c>
      <c r="K720" s="1" t="s">
        <v>125</v>
      </c>
      <c r="M720" s="1" t="s">
        <v>1036</v>
      </c>
    </row>
    <row r="721" spans="2:13" ht="15" hidden="1" customHeight="1" outlineLevel="1" x14ac:dyDescent="0.25">
      <c r="B721" s="1142" t="s">
        <v>931</v>
      </c>
      <c r="C721" s="1143"/>
      <c r="D721" s="1143" t="s">
        <v>938</v>
      </c>
      <c r="E721" s="1144">
        <v>3210</v>
      </c>
      <c r="F721" s="1145" t="s">
        <v>1660</v>
      </c>
      <c r="G721" s="1146" t="s">
        <v>1958</v>
      </c>
      <c r="H721" s="1147" t="s">
        <v>1660</v>
      </c>
      <c r="I721" s="1146" t="s">
        <v>1959</v>
      </c>
      <c r="J721" s="1148" t="s">
        <v>935</v>
      </c>
      <c r="K721" s="1" t="s">
        <v>125</v>
      </c>
      <c r="M721" s="1" t="s">
        <v>1036</v>
      </c>
    </row>
    <row r="722" spans="2:13" ht="15" hidden="1" customHeight="1" outlineLevel="1" x14ac:dyDescent="0.25">
      <c r="B722" s="1142" t="s">
        <v>931</v>
      </c>
      <c r="C722" s="1143"/>
      <c r="D722" s="1143" t="s">
        <v>939</v>
      </c>
      <c r="E722" s="1144">
        <v>0.65580000000000005</v>
      </c>
      <c r="F722" s="1145" t="s">
        <v>1660</v>
      </c>
      <c r="G722" s="1146" t="s">
        <v>1960</v>
      </c>
      <c r="H722" s="1147" t="s">
        <v>1660</v>
      </c>
      <c r="I722" s="1146" t="s">
        <v>1961</v>
      </c>
      <c r="J722" s="1148" t="s">
        <v>935</v>
      </c>
      <c r="K722" s="1" t="s">
        <v>125</v>
      </c>
      <c r="M722" s="1" t="s">
        <v>1036</v>
      </c>
    </row>
    <row r="723" spans="2:13" ht="15" hidden="1" customHeight="1" outlineLevel="1" x14ac:dyDescent="0.25">
      <c r="B723" s="1142" t="s">
        <v>931</v>
      </c>
      <c r="C723" s="1143"/>
      <c r="D723" s="1143" t="s">
        <v>940</v>
      </c>
      <c r="E723" s="1144">
        <v>0</v>
      </c>
      <c r="F723" s="1145" t="s">
        <v>125</v>
      </c>
      <c r="G723" s="1146"/>
      <c r="H723" s="1147" t="s">
        <v>125</v>
      </c>
      <c r="I723" s="1146"/>
      <c r="J723" s="1148" t="s">
        <v>935</v>
      </c>
      <c r="K723" s="1" t="s">
        <v>125</v>
      </c>
      <c r="M723" s="1" t="s">
        <v>1036</v>
      </c>
    </row>
    <row r="724" spans="2:13" ht="15" hidden="1" customHeight="1" outlineLevel="1" x14ac:dyDescent="0.25">
      <c r="B724" s="1142" t="s">
        <v>931</v>
      </c>
      <c r="C724" s="1143"/>
      <c r="D724" s="1143" t="s">
        <v>941</v>
      </c>
      <c r="E724" s="1144">
        <v>214.9</v>
      </c>
      <c r="F724" s="1145" t="s">
        <v>1660</v>
      </c>
      <c r="G724" s="1146" t="s">
        <v>1962</v>
      </c>
      <c r="H724" s="1147" t="s">
        <v>1660</v>
      </c>
      <c r="I724" s="1146" t="s">
        <v>1963</v>
      </c>
      <c r="J724" s="1148" t="s">
        <v>935</v>
      </c>
      <c r="K724" s="1" t="s">
        <v>125</v>
      </c>
      <c r="M724" s="1" t="s">
        <v>1036</v>
      </c>
    </row>
    <row r="725" spans="2:13" ht="15" hidden="1" customHeight="1" outlineLevel="1" x14ac:dyDescent="0.25">
      <c r="B725" s="1142" t="s">
        <v>931</v>
      </c>
      <c r="C725" s="1143"/>
      <c r="D725" s="1143" t="s">
        <v>942</v>
      </c>
      <c r="E725" s="1144">
        <v>27450</v>
      </c>
      <c r="F725" s="1145" t="s">
        <v>1660</v>
      </c>
      <c r="G725" s="1146" t="s">
        <v>1964</v>
      </c>
      <c r="H725" s="1147" t="s">
        <v>1660</v>
      </c>
      <c r="I725" s="1146" t="s">
        <v>1965</v>
      </c>
      <c r="J725" s="1148" t="s">
        <v>935</v>
      </c>
      <c r="K725" s="1" t="s">
        <v>125</v>
      </c>
      <c r="M725" s="1" t="s">
        <v>1036</v>
      </c>
    </row>
    <row r="726" spans="2:13" ht="15" hidden="1" customHeight="1" outlineLevel="1" x14ac:dyDescent="0.25">
      <c r="B726" s="1142" t="s">
        <v>931</v>
      </c>
      <c r="C726" s="1143"/>
      <c r="D726" s="1143" t="s">
        <v>932</v>
      </c>
      <c r="E726" s="1144">
        <v>46.35</v>
      </c>
      <c r="F726" s="1145" t="s">
        <v>1660</v>
      </c>
      <c r="G726" s="1146" t="s">
        <v>683</v>
      </c>
      <c r="H726" s="1147" t="s">
        <v>1660</v>
      </c>
      <c r="I726" s="1146" t="s">
        <v>1704</v>
      </c>
      <c r="J726" s="1148" t="s">
        <v>221</v>
      </c>
      <c r="K726" s="1" t="s">
        <v>125</v>
      </c>
      <c r="M726" s="1" t="s">
        <v>1032</v>
      </c>
    </row>
    <row r="727" spans="2:13" ht="15" hidden="1" customHeight="1" outlineLevel="1" x14ac:dyDescent="0.25">
      <c r="B727" s="1142" t="s">
        <v>931</v>
      </c>
      <c r="C727" s="1143"/>
      <c r="D727" s="1143" t="s">
        <v>947</v>
      </c>
      <c r="E727" s="1144">
        <v>0.4667</v>
      </c>
      <c r="F727" s="1145" t="s">
        <v>1660</v>
      </c>
      <c r="G727" s="1146" t="s">
        <v>684</v>
      </c>
      <c r="H727" s="1147" t="s">
        <v>125</v>
      </c>
      <c r="I727" s="1146"/>
      <c r="J727" s="1148" t="s">
        <v>221</v>
      </c>
      <c r="K727" s="1" t="s">
        <v>125</v>
      </c>
      <c r="M727" s="1" t="s">
        <v>1037</v>
      </c>
    </row>
    <row r="728" spans="2:13" ht="15" hidden="1" customHeight="1" outlineLevel="1" x14ac:dyDescent="0.25">
      <c r="B728" s="1142" t="s">
        <v>931</v>
      </c>
      <c r="C728" s="1143"/>
      <c r="D728" s="1143" t="s">
        <v>932</v>
      </c>
      <c r="E728" s="1144">
        <v>14.76</v>
      </c>
      <c r="F728" s="1145" t="s">
        <v>125</v>
      </c>
      <c r="G728" s="1146"/>
      <c r="H728" s="1147" t="s">
        <v>125</v>
      </c>
      <c r="I728" s="1108"/>
      <c r="J728" s="1148" t="s">
        <v>221</v>
      </c>
      <c r="K728" s="1" t="s">
        <v>125</v>
      </c>
      <c r="M728" s="1" t="s">
        <v>1038</v>
      </c>
    </row>
    <row r="729" spans="2:13" ht="15" hidden="1" customHeight="1" outlineLevel="1" x14ac:dyDescent="0.25">
      <c r="B729" s="1142" t="s">
        <v>945</v>
      </c>
      <c r="C729" s="1143" t="s">
        <v>946</v>
      </c>
      <c r="D729" s="1143" t="s">
        <v>934</v>
      </c>
      <c r="E729" s="1144">
        <v>1338</v>
      </c>
      <c r="F729" s="1145" t="s">
        <v>1660</v>
      </c>
      <c r="G729" s="1146" t="s">
        <v>1966</v>
      </c>
      <c r="H729" s="1147" t="s">
        <v>1660</v>
      </c>
      <c r="I729" s="1146" t="s">
        <v>1967</v>
      </c>
      <c r="J729" s="1148" t="s">
        <v>935</v>
      </c>
      <c r="K729" s="1" t="s">
        <v>125</v>
      </c>
      <c r="M729" s="1" t="s">
        <v>1036</v>
      </c>
    </row>
    <row r="730" spans="2:13" ht="15" hidden="1" customHeight="1" outlineLevel="1" x14ac:dyDescent="0.25">
      <c r="B730" s="1142" t="s">
        <v>945</v>
      </c>
      <c r="C730" s="1143" t="s">
        <v>946</v>
      </c>
      <c r="D730" s="1143" t="s">
        <v>937</v>
      </c>
      <c r="E730" s="1144">
        <v>146500</v>
      </c>
      <c r="F730" s="1145" t="s">
        <v>1660</v>
      </c>
      <c r="G730" s="1146" t="s">
        <v>1968</v>
      </c>
      <c r="H730" s="1147" t="s">
        <v>1660</v>
      </c>
      <c r="I730" s="1146" t="s">
        <v>1969</v>
      </c>
      <c r="J730" s="1148" t="s">
        <v>935</v>
      </c>
      <c r="K730" s="1" t="s">
        <v>125</v>
      </c>
      <c r="M730" s="1" t="s">
        <v>1036</v>
      </c>
    </row>
    <row r="731" spans="2:13" ht="15" hidden="1" customHeight="1" outlineLevel="1" x14ac:dyDescent="0.25">
      <c r="B731" s="1142" t="s">
        <v>945</v>
      </c>
      <c r="C731" s="1143" t="s">
        <v>946</v>
      </c>
      <c r="D731" s="1143" t="s">
        <v>938</v>
      </c>
      <c r="E731" s="1144">
        <v>13950</v>
      </c>
      <c r="F731" s="1145" t="s">
        <v>1660</v>
      </c>
      <c r="G731" s="1146" t="s">
        <v>1970</v>
      </c>
      <c r="H731" s="1147" t="s">
        <v>1660</v>
      </c>
      <c r="I731" s="1146" t="s">
        <v>1971</v>
      </c>
      <c r="J731" s="1148" t="s">
        <v>935</v>
      </c>
      <c r="K731" s="1" t="s">
        <v>125</v>
      </c>
      <c r="M731" s="1" t="s">
        <v>1036</v>
      </c>
    </row>
    <row r="732" spans="2:13" ht="15" hidden="1" customHeight="1" outlineLevel="1" x14ac:dyDescent="0.25">
      <c r="B732" s="1142" t="s">
        <v>945</v>
      </c>
      <c r="C732" s="1143" t="s">
        <v>946</v>
      </c>
      <c r="D732" s="1143" t="s">
        <v>939</v>
      </c>
      <c r="E732" s="1144">
        <v>44.37</v>
      </c>
      <c r="F732" s="1145" t="s">
        <v>1660</v>
      </c>
      <c r="G732" s="1146" t="s">
        <v>1972</v>
      </c>
      <c r="H732" s="1147" t="s">
        <v>1660</v>
      </c>
      <c r="I732" s="1146" t="s">
        <v>1973</v>
      </c>
      <c r="J732" s="1148" t="s">
        <v>935</v>
      </c>
      <c r="K732" s="1" t="s">
        <v>125</v>
      </c>
      <c r="M732" s="1" t="s">
        <v>1036</v>
      </c>
    </row>
    <row r="733" spans="2:13" ht="15" hidden="1" customHeight="1" outlineLevel="1" x14ac:dyDescent="0.25">
      <c r="B733" s="1142" t="s">
        <v>945</v>
      </c>
      <c r="C733" s="1143" t="s">
        <v>946</v>
      </c>
      <c r="D733" s="1143" t="s">
        <v>940</v>
      </c>
      <c r="E733" s="1144">
        <v>11390</v>
      </c>
      <c r="F733" s="1145" t="s">
        <v>1660</v>
      </c>
      <c r="G733" s="1146" t="s">
        <v>1974</v>
      </c>
      <c r="H733" s="1147" t="s">
        <v>1660</v>
      </c>
      <c r="I733" s="1146" t="s">
        <v>1975</v>
      </c>
      <c r="J733" s="1148" t="s">
        <v>935</v>
      </c>
      <c r="K733" s="1" t="s">
        <v>125</v>
      </c>
      <c r="M733" s="1" t="s">
        <v>1036</v>
      </c>
    </row>
    <row r="734" spans="2:13" ht="15" hidden="1" customHeight="1" outlineLevel="1" x14ac:dyDescent="0.25">
      <c r="B734" s="1142" t="s">
        <v>945</v>
      </c>
      <c r="C734" s="1143" t="s">
        <v>946</v>
      </c>
      <c r="D734" s="1143" t="s">
        <v>941</v>
      </c>
      <c r="E734" s="1144">
        <v>9093</v>
      </c>
      <c r="F734" s="1145" t="s">
        <v>1660</v>
      </c>
      <c r="G734" s="1146" t="s">
        <v>1976</v>
      </c>
      <c r="H734" s="1147" t="s">
        <v>1660</v>
      </c>
      <c r="I734" s="1108" t="s">
        <v>1977</v>
      </c>
      <c r="J734" s="1148" t="s">
        <v>935</v>
      </c>
      <c r="K734" s="1" t="s">
        <v>125</v>
      </c>
      <c r="M734" s="1" t="s">
        <v>1036</v>
      </c>
    </row>
    <row r="735" spans="2:13" ht="15" hidden="1" customHeight="1" outlineLevel="1" x14ac:dyDescent="0.25">
      <c r="B735" s="1149" t="s">
        <v>945</v>
      </c>
      <c r="C735" s="1150" t="s">
        <v>946</v>
      </c>
      <c r="D735" s="1150" t="s">
        <v>942</v>
      </c>
      <c r="E735" s="1151">
        <v>419300</v>
      </c>
      <c r="F735" s="1152" t="s">
        <v>1660</v>
      </c>
      <c r="G735" s="1158" t="s">
        <v>1978</v>
      </c>
      <c r="H735" s="1154" t="s">
        <v>1660</v>
      </c>
      <c r="I735" s="1158" t="s">
        <v>1979</v>
      </c>
      <c r="J735" s="1155" t="s">
        <v>935</v>
      </c>
      <c r="K735" s="1" t="s">
        <v>125</v>
      </c>
      <c r="M735" s="1" t="s">
        <v>1036</v>
      </c>
    </row>
    <row r="736" spans="2:13" ht="15" customHeight="1" x14ac:dyDescent="0.25">
      <c r="D736" s="1159"/>
      <c r="F736" s="1124" t="s">
        <v>125</v>
      </c>
      <c r="G736" s="672"/>
      <c r="H736" s="1126" t="s">
        <v>125</v>
      </c>
      <c r="I736" s="672"/>
      <c r="J736" s="672"/>
    </row>
    <row r="737" spans="2:13" ht="15" customHeight="1" x14ac:dyDescent="0.25">
      <c r="B737" s="1127" t="s">
        <v>825</v>
      </c>
      <c r="C737" s="1128"/>
      <c r="D737" s="1207" t="s">
        <v>1190</v>
      </c>
      <c r="E737" s="1123">
        <v>2162</v>
      </c>
      <c r="F737" s="1129" t="s">
        <v>1660</v>
      </c>
      <c r="G737" s="1130" t="s">
        <v>1980</v>
      </c>
      <c r="H737" s="1131" t="s">
        <v>125</v>
      </c>
      <c r="I737" s="1130"/>
      <c r="J737" s="208" t="s">
        <v>221</v>
      </c>
      <c r="K737" s="898">
        <v>92.35</v>
      </c>
    </row>
    <row r="738" spans="2:13" ht="15" customHeight="1" collapsed="1" x14ac:dyDescent="0.25">
      <c r="B738" s="1132" t="s">
        <v>825</v>
      </c>
      <c r="C738" s="1107"/>
      <c r="D738" s="1209" t="s">
        <v>1191</v>
      </c>
      <c r="E738" s="1133">
        <v>1074</v>
      </c>
      <c r="F738" s="1134" t="s">
        <v>1660</v>
      </c>
      <c r="G738" s="1135" t="s">
        <v>1980</v>
      </c>
      <c r="H738" s="1136" t="s">
        <v>125</v>
      </c>
      <c r="I738" s="1135"/>
      <c r="J738" s="211" t="s">
        <v>221</v>
      </c>
      <c r="K738" s="531">
        <v>7.65</v>
      </c>
    </row>
    <row r="739" spans="2:13" ht="15" hidden="1" customHeight="1" outlineLevel="1" x14ac:dyDescent="0.25">
      <c r="B739" s="1137" t="s">
        <v>827</v>
      </c>
      <c r="C739" s="1138" t="s">
        <v>979</v>
      </c>
      <c r="D739" s="1138" t="s">
        <v>980</v>
      </c>
      <c r="E739" s="1139">
        <v>0</v>
      </c>
      <c r="F739" s="1145" t="s">
        <v>125</v>
      </c>
      <c r="G739" s="1146"/>
      <c r="H739" s="1147" t="s">
        <v>125</v>
      </c>
      <c r="I739" s="954"/>
      <c r="J739" s="955" t="s">
        <v>186</v>
      </c>
      <c r="K739" s="1" t="s">
        <v>125</v>
      </c>
      <c r="M739" s="1" t="s">
        <v>997</v>
      </c>
    </row>
    <row r="740" spans="2:13" ht="15" hidden="1" customHeight="1" outlineLevel="1" x14ac:dyDescent="0.25">
      <c r="B740" s="1142" t="s">
        <v>827</v>
      </c>
      <c r="C740" s="1143" t="s">
        <v>981</v>
      </c>
      <c r="D740" s="1143" t="s">
        <v>982</v>
      </c>
      <c r="E740" s="1144">
        <v>10000</v>
      </c>
      <c r="F740" s="1145" t="s">
        <v>125</v>
      </c>
      <c r="G740" s="1146"/>
      <c r="H740" s="1147" t="s">
        <v>125</v>
      </c>
      <c r="I740" s="1146"/>
      <c r="J740" s="1148" t="s">
        <v>181</v>
      </c>
      <c r="K740" s="1" t="s">
        <v>125</v>
      </c>
      <c r="M740" s="1" t="s">
        <v>998</v>
      </c>
    </row>
    <row r="741" spans="2:13" ht="15" hidden="1" customHeight="1" outlineLevel="1" x14ac:dyDescent="0.25">
      <c r="B741" s="1142" t="s">
        <v>827</v>
      </c>
      <c r="C741" s="1143" t="s">
        <v>981</v>
      </c>
      <c r="D741" s="1143" t="s">
        <v>983</v>
      </c>
      <c r="E741" s="1144">
        <v>0</v>
      </c>
      <c r="F741" s="1145" t="s">
        <v>125</v>
      </c>
      <c r="G741" s="1146"/>
      <c r="H741" s="1147" t="s">
        <v>125</v>
      </c>
      <c r="I741" s="1146"/>
      <c r="J741" s="1148" t="s">
        <v>182</v>
      </c>
      <c r="K741" s="1" t="s">
        <v>125</v>
      </c>
      <c r="M741" s="1" t="s">
        <v>999</v>
      </c>
    </row>
    <row r="742" spans="2:13" ht="15" hidden="1" customHeight="1" outlineLevel="1" x14ac:dyDescent="0.25">
      <c r="B742" s="1142" t="s">
        <v>827</v>
      </c>
      <c r="C742" s="1143" t="s">
        <v>981</v>
      </c>
      <c r="D742" s="1143" t="s">
        <v>984</v>
      </c>
      <c r="E742" s="1144">
        <v>0</v>
      </c>
      <c r="F742" s="1145" t="s">
        <v>125</v>
      </c>
      <c r="G742" s="1146"/>
      <c r="H742" s="1147" t="s">
        <v>125</v>
      </c>
      <c r="I742" s="1146"/>
      <c r="J742" s="1148" t="s">
        <v>182</v>
      </c>
      <c r="K742" s="1" t="s">
        <v>125</v>
      </c>
      <c r="M742" s="1" t="s">
        <v>999</v>
      </c>
    </row>
    <row r="743" spans="2:13" ht="15" hidden="1" customHeight="1" outlineLevel="1" x14ac:dyDescent="0.25">
      <c r="B743" s="1142" t="s">
        <v>827</v>
      </c>
      <c r="C743" s="1143" t="s">
        <v>981</v>
      </c>
      <c r="D743" s="1143" t="s">
        <v>985</v>
      </c>
      <c r="E743" s="1144">
        <v>15.15</v>
      </c>
      <c r="F743" s="1145" t="s">
        <v>125</v>
      </c>
      <c r="G743" s="1146"/>
      <c r="H743" s="1147" t="s">
        <v>125</v>
      </c>
      <c r="I743" s="1146"/>
      <c r="J743" s="1148" t="s">
        <v>182</v>
      </c>
      <c r="K743" s="1" t="s">
        <v>125</v>
      </c>
      <c r="M743" s="1" t="s">
        <v>999</v>
      </c>
    </row>
    <row r="744" spans="2:13" ht="15" hidden="1" customHeight="1" outlineLevel="1" x14ac:dyDescent="0.25">
      <c r="B744" s="1142" t="s">
        <v>827</v>
      </c>
      <c r="C744" s="1143" t="s">
        <v>981</v>
      </c>
      <c r="D744" s="1143" t="s">
        <v>986</v>
      </c>
      <c r="E744" s="1144">
        <v>464.2</v>
      </c>
      <c r="F744" s="1145" t="s">
        <v>125</v>
      </c>
      <c r="G744" s="1146"/>
      <c r="H744" s="1147" t="s">
        <v>125</v>
      </c>
      <c r="I744" s="1146"/>
      <c r="J744" s="1148" t="s">
        <v>182</v>
      </c>
      <c r="K744" s="1" t="s">
        <v>125</v>
      </c>
      <c r="M744" s="1" t="s">
        <v>999</v>
      </c>
    </row>
    <row r="745" spans="2:13" ht="15" hidden="1" customHeight="1" outlineLevel="1" x14ac:dyDescent="0.25">
      <c r="B745" s="1142" t="s">
        <v>827</v>
      </c>
      <c r="C745" s="1143" t="s">
        <v>981</v>
      </c>
      <c r="D745" s="1143" t="s">
        <v>987</v>
      </c>
      <c r="E745" s="1144">
        <v>479.4</v>
      </c>
      <c r="F745" s="1145" t="s">
        <v>125</v>
      </c>
      <c r="G745" s="1146"/>
      <c r="H745" s="1147" t="s">
        <v>125</v>
      </c>
      <c r="I745" s="1146"/>
      <c r="J745" s="1148" t="s">
        <v>182</v>
      </c>
      <c r="K745" s="1" t="s">
        <v>125</v>
      </c>
      <c r="M745" s="1" t="s">
        <v>999</v>
      </c>
    </row>
    <row r="746" spans="2:13" ht="15" hidden="1" customHeight="1" outlineLevel="1" x14ac:dyDescent="0.25">
      <c r="B746" s="1142" t="s">
        <v>830</v>
      </c>
      <c r="C746" s="1143"/>
      <c r="D746" s="1143" t="s">
        <v>665</v>
      </c>
      <c r="E746" s="1144">
        <v>3522</v>
      </c>
      <c r="F746" s="1145" t="s">
        <v>1660</v>
      </c>
      <c r="G746" s="1146" t="s">
        <v>726</v>
      </c>
      <c r="H746" s="1147" t="s">
        <v>125</v>
      </c>
      <c r="I746" s="1146"/>
      <c r="J746" s="1148" t="s">
        <v>221</v>
      </c>
      <c r="K746" s="1" t="s">
        <v>125</v>
      </c>
      <c r="M746" s="1" t="s">
        <v>1000</v>
      </c>
    </row>
    <row r="747" spans="2:13" ht="15" hidden="1" customHeight="1" outlineLevel="1" x14ac:dyDescent="0.25">
      <c r="B747" s="1142" t="s">
        <v>830</v>
      </c>
      <c r="C747" s="1143"/>
      <c r="D747" s="1143" t="s">
        <v>673</v>
      </c>
      <c r="E747" s="1144">
        <v>308.89999999999998</v>
      </c>
      <c r="F747" s="1145" t="s">
        <v>1660</v>
      </c>
      <c r="G747" s="1146" t="s">
        <v>723</v>
      </c>
      <c r="H747" s="1147" t="s">
        <v>125</v>
      </c>
      <c r="I747" s="1146"/>
      <c r="J747" s="1148" t="s">
        <v>221</v>
      </c>
      <c r="K747" s="1" t="s">
        <v>125</v>
      </c>
      <c r="M747" s="1" t="s">
        <v>1001</v>
      </c>
    </row>
    <row r="748" spans="2:13" ht="15" hidden="1" customHeight="1" outlineLevel="1" x14ac:dyDescent="0.25">
      <c r="B748" s="1142" t="s">
        <v>830</v>
      </c>
      <c r="C748" s="1143"/>
      <c r="D748" s="1143" t="s">
        <v>653</v>
      </c>
      <c r="E748" s="1144">
        <v>22.81</v>
      </c>
      <c r="F748" s="1145" t="s">
        <v>1660</v>
      </c>
      <c r="G748" s="1146" t="s">
        <v>1661</v>
      </c>
      <c r="H748" s="1147" t="s">
        <v>125</v>
      </c>
      <c r="I748" s="1146"/>
      <c r="J748" s="1148" t="s">
        <v>221</v>
      </c>
      <c r="K748" s="1" t="s">
        <v>125</v>
      </c>
      <c r="M748" s="1" t="s">
        <v>1192</v>
      </c>
    </row>
    <row r="749" spans="2:13" ht="15" hidden="1" customHeight="1" outlineLevel="1" x14ac:dyDescent="0.25">
      <c r="B749" s="1142" t="s">
        <v>830</v>
      </c>
      <c r="C749" s="1143"/>
      <c r="D749" s="1143" t="s">
        <v>654</v>
      </c>
      <c r="E749" s="1144">
        <v>8.8729999999999993</v>
      </c>
      <c r="F749" s="1145" t="s">
        <v>1660</v>
      </c>
      <c r="G749" s="1146" t="s">
        <v>1661</v>
      </c>
      <c r="H749" s="1147" t="s">
        <v>125</v>
      </c>
      <c r="I749" s="1146"/>
      <c r="J749" s="1148" t="s">
        <v>221</v>
      </c>
      <c r="K749" s="1" t="s">
        <v>125</v>
      </c>
      <c r="M749" s="1" t="s">
        <v>1193</v>
      </c>
    </row>
    <row r="750" spans="2:13" ht="15" hidden="1" customHeight="1" outlineLevel="1" x14ac:dyDescent="0.25">
      <c r="B750" s="1142" t="s">
        <v>830</v>
      </c>
      <c r="C750" s="1143"/>
      <c r="D750" s="1143" t="s">
        <v>652</v>
      </c>
      <c r="E750" s="1144">
        <v>65.92</v>
      </c>
      <c r="F750" s="1145" t="s">
        <v>1660</v>
      </c>
      <c r="G750" s="1146" t="s">
        <v>1661</v>
      </c>
      <c r="H750" s="1147" t="s">
        <v>125</v>
      </c>
      <c r="I750" s="1146"/>
      <c r="J750" s="1148" t="s">
        <v>221</v>
      </c>
      <c r="K750" s="1" t="s">
        <v>125</v>
      </c>
      <c r="M750" s="1" t="s">
        <v>1194</v>
      </c>
    </row>
    <row r="751" spans="2:13" ht="15" hidden="1" customHeight="1" outlineLevel="1" x14ac:dyDescent="0.25">
      <c r="B751" s="1142" t="s">
        <v>830</v>
      </c>
      <c r="C751" s="1143"/>
      <c r="D751" s="1143" t="s">
        <v>650</v>
      </c>
      <c r="E751" s="1144">
        <v>28.47</v>
      </c>
      <c r="F751" s="1145" t="s">
        <v>1660</v>
      </c>
      <c r="G751" s="1146" t="s">
        <v>1661</v>
      </c>
      <c r="H751" s="1147" t="s">
        <v>125</v>
      </c>
      <c r="I751" s="1146"/>
      <c r="J751" s="1148" t="s">
        <v>221</v>
      </c>
      <c r="K751" s="1" t="s">
        <v>125</v>
      </c>
      <c r="M751" s="1" t="s">
        <v>1195</v>
      </c>
    </row>
    <row r="752" spans="2:13" ht="15" hidden="1" customHeight="1" outlineLevel="1" x14ac:dyDescent="0.25">
      <c r="B752" s="1142" t="s">
        <v>830</v>
      </c>
      <c r="C752" s="1143"/>
      <c r="D752" s="1143" t="s">
        <v>649</v>
      </c>
      <c r="E752" s="1144">
        <v>16.34</v>
      </c>
      <c r="F752" s="1145" t="s">
        <v>1660</v>
      </c>
      <c r="G752" s="1146" t="s">
        <v>1661</v>
      </c>
      <c r="H752" s="1147" t="s">
        <v>125</v>
      </c>
      <c r="I752" s="1146"/>
      <c r="J752" s="1148" t="s">
        <v>221</v>
      </c>
      <c r="K752" s="1" t="s">
        <v>125</v>
      </c>
      <c r="M752" s="1" t="s">
        <v>1196</v>
      </c>
    </row>
    <row r="753" spans="2:13" ht="15" hidden="1" customHeight="1" outlineLevel="1" x14ac:dyDescent="0.25">
      <c r="B753" s="1142" t="s">
        <v>830</v>
      </c>
      <c r="C753" s="1143"/>
      <c r="D753" s="1143" t="s">
        <v>648</v>
      </c>
      <c r="E753" s="1144">
        <v>24.63</v>
      </c>
      <c r="F753" s="1145" t="s">
        <v>1660</v>
      </c>
      <c r="G753" s="1146" t="s">
        <v>1661</v>
      </c>
      <c r="H753" s="1147" t="s">
        <v>125</v>
      </c>
      <c r="I753" s="1146"/>
      <c r="J753" s="1148" t="s">
        <v>221</v>
      </c>
      <c r="K753" s="1" t="s">
        <v>125</v>
      </c>
      <c r="M753" s="1" t="s">
        <v>1197</v>
      </c>
    </row>
    <row r="754" spans="2:13" ht="15" hidden="1" customHeight="1" outlineLevel="1" x14ac:dyDescent="0.25">
      <c r="B754" s="1142" t="s">
        <v>830</v>
      </c>
      <c r="C754" s="1143"/>
      <c r="D754" s="1143" t="s">
        <v>657</v>
      </c>
      <c r="E754" s="1144">
        <v>9.9909999999999997</v>
      </c>
      <c r="F754" s="1145" t="s">
        <v>1660</v>
      </c>
      <c r="G754" s="1146" t="s">
        <v>1661</v>
      </c>
      <c r="H754" s="1147" t="s">
        <v>125</v>
      </c>
      <c r="I754" s="1146"/>
      <c r="J754" s="1148" t="s">
        <v>221</v>
      </c>
      <c r="K754" s="1" t="s">
        <v>125</v>
      </c>
      <c r="M754" s="1" t="s">
        <v>1198</v>
      </c>
    </row>
    <row r="755" spans="2:13" ht="15" hidden="1" customHeight="1" outlineLevel="1" x14ac:dyDescent="0.25">
      <c r="B755" s="1142" t="s">
        <v>830</v>
      </c>
      <c r="C755" s="1143"/>
      <c r="D755" s="1143" t="s">
        <v>656</v>
      </c>
      <c r="E755" s="1144">
        <v>0.16769999999999999</v>
      </c>
      <c r="F755" s="1145" t="s">
        <v>1660</v>
      </c>
      <c r="G755" s="1146" t="s">
        <v>1661</v>
      </c>
      <c r="H755" s="1147" t="s">
        <v>125</v>
      </c>
      <c r="I755" s="1146"/>
      <c r="J755" s="1148" t="s">
        <v>221</v>
      </c>
      <c r="K755" s="1" t="s">
        <v>125</v>
      </c>
      <c r="M755" s="1" t="s">
        <v>1199</v>
      </c>
    </row>
    <row r="756" spans="2:13" ht="15" hidden="1" customHeight="1" outlineLevel="1" x14ac:dyDescent="0.25">
      <c r="B756" s="1142" t="s">
        <v>830</v>
      </c>
      <c r="C756" s="1143"/>
      <c r="D756" s="1143" t="s">
        <v>655</v>
      </c>
      <c r="E756" s="1144">
        <v>3.1080000000000001</v>
      </c>
      <c r="F756" s="1145" t="s">
        <v>1660</v>
      </c>
      <c r="G756" s="1146" t="s">
        <v>1661</v>
      </c>
      <c r="H756" s="1147" t="s">
        <v>125</v>
      </c>
      <c r="I756" s="1146"/>
      <c r="J756" s="1148" t="s">
        <v>221</v>
      </c>
      <c r="K756" s="1" t="s">
        <v>125</v>
      </c>
      <c r="M756" s="1" t="s">
        <v>1200</v>
      </c>
    </row>
    <row r="757" spans="2:13" ht="15" hidden="1" customHeight="1" outlineLevel="1" x14ac:dyDescent="0.25">
      <c r="B757" s="1142" t="s">
        <v>830</v>
      </c>
      <c r="C757" s="1143"/>
      <c r="D757" s="1143" t="s">
        <v>658</v>
      </c>
      <c r="E757" s="1144">
        <v>62.03</v>
      </c>
      <c r="F757" s="1145" t="s">
        <v>1660</v>
      </c>
      <c r="G757" s="1146" t="s">
        <v>1661</v>
      </c>
      <c r="H757" s="1147" t="s">
        <v>125</v>
      </c>
      <c r="I757" s="1146"/>
      <c r="J757" s="1148" t="s">
        <v>221</v>
      </c>
      <c r="K757" s="1" t="s">
        <v>125</v>
      </c>
      <c r="M757" s="1" t="s">
        <v>1201</v>
      </c>
    </row>
    <row r="758" spans="2:13" ht="15" hidden="1" customHeight="1" outlineLevel="1" x14ac:dyDescent="0.25">
      <c r="B758" s="1142" t="s">
        <v>830</v>
      </c>
      <c r="C758" s="1143"/>
      <c r="D758" s="1143" t="s">
        <v>659</v>
      </c>
      <c r="E758" s="1144">
        <v>4.194</v>
      </c>
      <c r="F758" s="1145" t="s">
        <v>1660</v>
      </c>
      <c r="G758" s="1146" t="s">
        <v>1661</v>
      </c>
      <c r="H758" s="1147" t="s">
        <v>125</v>
      </c>
      <c r="I758" s="1146"/>
      <c r="J758" s="1148" t="s">
        <v>221</v>
      </c>
      <c r="K758" s="1" t="s">
        <v>125</v>
      </c>
      <c r="M758" s="1" t="s">
        <v>1202</v>
      </c>
    </row>
    <row r="759" spans="2:13" ht="15" hidden="1" customHeight="1" outlineLevel="1" x14ac:dyDescent="0.25">
      <c r="B759" s="1142" t="s">
        <v>830</v>
      </c>
      <c r="C759" s="1143"/>
      <c r="D759" s="1143" t="s">
        <v>988</v>
      </c>
      <c r="E759" s="1144">
        <v>1</v>
      </c>
      <c r="F759" s="1145" t="s">
        <v>125</v>
      </c>
      <c r="G759" s="1146"/>
      <c r="H759" s="1147" t="s">
        <v>125</v>
      </c>
      <c r="I759" s="1146"/>
      <c r="J759" s="1148" t="s">
        <v>188</v>
      </c>
      <c r="K759" s="1" t="s">
        <v>125</v>
      </c>
      <c r="M759" s="1" t="s">
        <v>1013</v>
      </c>
    </row>
    <row r="760" spans="2:13" ht="15" hidden="1" customHeight="1" outlineLevel="1" x14ac:dyDescent="0.25">
      <c r="B760" s="1142" t="s">
        <v>830</v>
      </c>
      <c r="C760" s="1143"/>
      <c r="D760" s="1143" t="s">
        <v>662</v>
      </c>
      <c r="E760" s="1144">
        <v>400</v>
      </c>
      <c r="F760" s="1145" t="s">
        <v>125</v>
      </c>
      <c r="G760" s="1146"/>
      <c r="H760" s="1147" t="s">
        <v>125</v>
      </c>
      <c r="I760" s="1146"/>
      <c r="J760" s="1148" t="s">
        <v>221</v>
      </c>
      <c r="K760" s="1" t="s">
        <v>125</v>
      </c>
      <c r="M760" s="1" t="s">
        <v>1014</v>
      </c>
    </row>
    <row r="761" spans="2:13" ht="15" hidden="1" customHeight="1" outlineLevel="1" x14ac:dyDescent="0.25">
      <c r="B761" s="1142" t="s">
        <v>830</v>
      </c>
      <c r="C761" s="1143"/>
      <c r="D761" s="1143" t="s">
        <v>1203</v>
      </c>
      <c r="E761" s="1144">
        <v>65.41</v>
      </c>
      <c r="F761" s="1145" t="s">
        <v>125</v>
      </c>
      <c r="G761" s="1146"/>
      <c r="H761" s="1147" t="s">
        <v>125</v>
      </c>
      <c r="I761" s="1146"/>
      <c r="J761" s="1148" t="s">
        <v>221</v>
      </c>
      <c r="K761" s="1" t="s">
        <v>125</v>
      </c>
      <c r="M761" s="1" t="s">
        <v>1052</v>
      </c>
    </row>
    <row r="762" spans="2:13" ht="15" hidden="1" customHeight="1" outlineLevel="1" x14ac:dyDescent="0.25">
      <c r="B762" s="1142" t="s">
        <v>830</v>
      </c>
      <c r="C762" s="1143"/>
      <c r="D762" s="1143" t="s">
        <v>990</v>
      </c>
      <c r="E762" s="1144">
        <v>114.9</v>
      </c>
      <c r="F762" s="1145" t="s">
        <v>1660</v>
      </c>
      <c r="G762" s="1146" t="s">
        <v>722</v>
      </c>
      <c r="H762" s="1147" t="s">
        <v>125</v>
      </c>
      <c r="I762" s="1146"/>
      <c r="J762" s="1148" t="s">
        <v>836</v>
      </c>
      <c r="K762" s="1" t="s">
        <v>125</v>
      </c>
      <c r="M762" s="1" t="s">
        <v>1015</v>
      </c>
    </row>
    <row r="763" spans="2:13" ht="15" hidden="1" customHeight="1" outlineLevel="1" x14ac:dyDescent="0.25">
      <c r="B763" s="1142" t="s">
        <v>830</v>
      </c>
      <c r="C763" s="1143"/>
      <c r="D763" s="1143" t="s">
        <v>990</v>
      </c>
      <c r="E763" s="1144">
        <v>35.770000000000003</v>
      </c>
      <c r="F763" s="1145" t="s">
        <v>1660</v>
      </c>
      <c r="G763" s="1146" t="s">
        <v>1981</v>
      </c>
      <c r="H763" s="1147" t="s">
        <v>125</v>
      </c>
      <c r="I763" s="1146"/>
      <c r="J763" s="1148" t="s">
        <v>836</v>
      </c>
      <c r="K763" s="1" t="s">
        <v>125</v>
      </c>
      <c r="M763" s="1" t="s">
        <v>1016</v>
      </c>
    </row>
    <row r="764" spans="2:13" ht="15" hidden="1" customHeight="1" outlineLevel="1" x14ac:dyDescent="0.25">
      <c r="B764" s="1142" t="s">
        <v>830</v>
      </c>
      <c r="C764" s="1143"/>
      <c r="D764" s="1143" t="s">
        <v>675</v>
      </c>
      <c r="E764" s="1144">
        <v>0.1171</v>
      </c>
      <c r="F764" s="1145" t="s">
        <v>1660</v>
      </c>
      <c r="G764" s="1146" t="s">
        <v>1661</v>
      </c>
      <c r="H764" s="1147" t="s">
        <v>125</v>
      </c>
      <c r="I764" s="1146"/>
      <c r="J764" s="1148" t="s">
        <v>221</v>
      </c>
      <c r="K764" s="1" t="s">
        <v>125</v>
      </c>
      <c r="M764" s="1" t="s">
        <v>1017</v>
      </c>
    </row>
    <row r="765" spans="2:13" ht="15" hidden="1" customHeight="1" outlineLevel="1" x14ac:dyDescent="0.25">
      <c r="B765" s="1142" t="s">
        <v>830</v>
      </c>
      <c r="C765" s="1143"/>
      <c r="D765" s="1143" t="s">
        <v>676</v>
      </c>
      <c r="E765" s="1144">
        <v>0.77300000000000002</v>
      </c>
      <c r="F765" s="1145" t="s">
        <v>1660</v>
      </c>
      <c r="G765" s="1146" t="s">
        <v>1661</v>
      </c>
      <c r="H765" s="1147" t="s">
        <v>125</v>
      </c>
      <c r="I765" s="1146"/>
      <c r="J765" s="1148" t="s">
        <v>221</v>
      </c>
      <c r="K765" s="1" t="s">
        <v>125</v>
      </c>
      <c r="M765" s="1" t="s">
        <v>1018</v>
      </c>
    </row>
    <row r="766" spans="2:13" ht="15" hidden="1" customHeight="1" outlineLevel="1" x14ac:dyDescent="0.25">
      <c r="B766" s="1142" t="s">
        <v>830</v>
      </c>
      <c r="C766" s="1143"/>
      <c r="D766" s="1143" t="s">
        <v>678</v>
      </c>
      <c r="E766" s="1144">
        <v>2.657</v>
      </c>
      <c r="F766" s="1145" t="s">
        <v>1660</v>
      </c>
      <c r="G766" s="1146" t="s">
        <v>1661</v>
      </c>
      <c r="H766" s="1147" t="s">
        <v>125</v>
      </c>
      <c r="I766" s="1146"/>
      <c r="J766" s="1148" t="s">
        <v>221</v>
      </c>
      <c r="K766" s="1" t="s">
        <v>125</v>
      </c>
      <c r="M766" s="1" t="s">
        <v>1019</v>
      </c>
    </row>
    <row r="767" spans="2:13" ht="15" hidden="1" customHeight="1" outlineLevel="1" x14ac:dyDescent="0.25">
      <c r="B767" s="1142" t="s">
        <v>830</v>
      </c>
      <c r="C767" s="1143"/>
      <c r="D767" s="1143" t="s">
        <v>991</v>
      </c>
      <c r="E767" s="1144">
        <v>0.1171</v>
      </c>
      <c r="F767" s="1145" t="s">
        <v>1660</v>
      </c>
      <c r="G767" s="1146" t="s">
        <v>1661</v>
      </c>
      <c r="H767" s="1147" t="s">
        <v>125</v>
      </c>
      <c r="I767" s="1146"/>
      <c r="J767" s="1148" t="s">
        <v>221</v>
      </c>
      <c r="K767" s="1" t="s">
        <v>125</v>
      </c>
      <c r="M767" s="1" t="s">
        <v>1020</v>
      </c>
    </row>
    <row r="768" spans="2:13" ht="15" hidden="1" customHeight="1" outlineLevel="1" x14ac:dyDescent="0.25">
      <c r="B768" s="1142" t="s">
        <v>830</v>
      </c>
      <c r="C768" s="1143"/>
      <c r="D768" s="1143" t="s">
        <v>992</v>
      </c>
      <c r="E768" s="1144">
        <v>0.77300000000000002</v>
      </c>
      <c r="F768" s="1145" t="s">
        <v>1660</v>
      </c>
      <c r="G768" s="1146" t="s">
        <v>1661</v>
      </c>
      <c r="H768" s="1147" t="s">
        <v>125</v>
      </c>
      <c r="I768" s="1146"/>
      <c r="J768" s="1148" t="s">
        <v>221</v>
      </c>
      <c r="K768" s="1" t="s">
        <v>125</v>
      </c>
      <c r="M768" s="1" t="s">
        <v>1021</v>
      </c>
    </row>
    <row r="769" spans="2:13" ht="15" hidden="1" customHeight="1" outlineLevel="1" x14ac:dyDescent="0.25">
      <c r="B769" s="1142" t="s">
        <v>830</v>
      </c>
      <c r="C769" s="1143"/>
      <c r="D769" s="1143" t="s">
        <v>993</v>
      </c>
      <c r="E769" s="1144">
        <v>2.657</v>
      </c>
      <c r="F769" s="1145" t="s">
        <v>1660</v>
      </c>
      <c r="G769" s="1146" t="s">
        <v>1661</v>
      </c>
      <c r="H769" s="1147" t="s">
        <v>125</v>
      </c>
      <c r="I769" s="1146"/>
      <c r="J769" s="1148" t="s">
        <v>221</v>
      </c>
      <c r="K769" s="1" t="s">
        <v>125</v>
      </c>
      <c r="M769" s="1" t="s">
        <v>1022</v>
      </c>
    </row>
    <row r="770" spans="2:13" ht="15" hidden="1" customHeight="1" outlineLevel="1" x14ac:dyDescent="0.25">
      <c r="B770" s="1142" t="s">
        <v>994</v>
      </c>
      <c r="C770" s="1143"/>
      <c r="D770" s="1143" t="s">
        <v>834</v>
      </c>
      <c r="E770" s="1144">
        <v>3595</v>
      </c>
      <c r="F770" s="1145" t="s">
        <v>1660</v>
      </c>
      <c r="G770" s="1146" t="s">
        <v>718</v>
      </c>
      <c r="H770" s="1147" t="s">
        <v>125</v>
      </c>
      <c r="I770" s="1146"/>
      <c r="J770" s="1148" t="s">
        <v>304</v>
      </c>
      <c r="K770" s="1" t="s">
        <v>125</v>
      </c>
      <c r="M770" s="1" t="s">
        <v>1023</v>
      </c>
    </row>
    <row r="771" spans="2:13" ht="15" hidden="1" customHeight="1" outlineLevel="1" x14ac:dyDescent="0.25">
      <c r="B771" s="1142" t="s">
        <v>839</v>
      </c>
      <c r="C771" s="1143"/>
      <c r="D771" s="1143" t="s">
        <v>925</v>
      </c>
      <c r="E771" s="1144">
        <v>176</v>
      </c>
      <c r="F771" s="1145" t="s">
        <v>125</v>
      </c>
      <c r="G771" s="1146"/>
      <c r="H771" s="1147" t="s">
        <v>125</v>
      </c>
      <c r="I771" s="1146"/>
      <c r="J771" s="1148" t="s">
        <v>221</v>
      </c>
      <c r="K771" s="1" t="s">
        <v>125</v>
      </c>
      <c r="M771" s="1" t="s">
        <v>1024</v>
      </c>
    </row>
    <row r="772" spans="2:13" ht="15" hidden="1" customHeight="1" outlineLevel="1" x14ac:dyDescent="0.25">
      <c r="B772" s="1142" t="s">
        <v>839</v>
      </c>
      <c r="C772" s="1143"/>
      <c r="D772" s="1143" t="s">
        <v>925</v>
      </c>
      <c r="E772" s="1144">
        <v>22.45</v>
      </c>
      <c r="F772" s="1145" t="s">
        <v>1660</v>
      </c>
      <c r="G772" s="1146" t="s">
        <v>1661</v>
      </c>
      <c r="H772" s="1147" t="s">
        <v>125</v>
      </c>
      <c r="I772" s="1146"/>
      <c r="J772" s="1148" t="s">
        <v>221</v>
      </c>
      <c r="K772" s="1" t="s">
        <v>125</v>
      </c>
      <c r="M772" s="1" t="s">
        <v>1025</v>
      </c>
    </row>
    <row r="773" spans="2:13" ht="15" hidden="1" customHeight="1" outlineLevel="1" x14ac:dyDescent="0.25">
      <c r="B773" s="1142" t="s">
        <v>839</v>
      </c>
      <c r="C773" s="1143"/>
      <c r="D773" s="1143" t="s">
        <v>843</v>
      </c>
      <c r="E773" s="1144">
        <v>0.70709999999999995</v>
      </c>
      <c r="F773" s="1145" t="s">
        <v>1660</v>
      </c>
      <c r="G773" s="1146" t="s">
        <v>1661</v>
      </c>
      <c r="H773" s="1147" t="s">
        <v>1660</v>
      </c>
      <c r="I773" s="1146" t="s">
        <v>1558</v>
      </c>
      <c r="J773" s="1148" t="s">
        <v>221</v>
      </c>
      <c r="K773" s="1" t="s">
        <v>125</v>
      </c>
      <c r="M773" s="1" t="s">
        <v>1026</v>
      </c>
    </row>
    <row r="774" spans="2:13" ht="15" hidden="1" customHeight="1" outlineLevel="1" x14ac:dyDescent="0.25">
      <c r="B774" s="1142" t="s">
        <v>839</v>
      </c>
      <c r="C774" s="1143"/>
      <c r="D774" s="1143" t="s">
        <v>843</v>
      </c>
      <c r="E774" s="1144">
        <v>0.2298</v>
      </c>
      <c r="F774" s="1145" t="s">
        <v>1660</v>
      </c>
      <c r="G774" s="1146" t="s">
        <v>1661</v>
      </c>
      <c r="H774" s="1147" t="s">
        <v>1660</v>
      </c>
      <c r="I774" s="1146" t="s">
        <v>1982</v>
      </c>
      <c r="J774" s="1148" t="s">
        <v>221</v>
      </c>
      <c r="K774" s="1" t="s">
        <v>125</v>
      </c>
      <c r="M774" s="1" t="s">
        <v>1027</v>
      </c>
    </row>
    <row r="775" spans="2:13" ht="15" hidden="1" customHeight="1" outlineLevel="1" x14ac:dyDescent="0.25">
      <c r="B775" s="1142" t="s">
        <v>839</v>
      </c>
      <c r="C775" s="1143"/>
      <c r="D775" s="1143" t="s">
        <v>846</v>
      </c>
      <c r="E775" s="1144">
        <v>3.0310000000000001</v>
      </c>
      <c r="F775" s="1145" t="s">
        <v>1660</v>
      </c>
      <c r="G775" s="1146" t="s">
        <v>1661</v>
      </c>
      <c r="H775" s="1147" t="s">
        <v>125</v>
      </c>
      <c r="I775" s="1146"/>
      <c r="J775" s="1148" t="s">
        <v>221</v>
      </c>
      <c r="K775" s="1" t="s">
        <v>125</v>
      </c>
      <c r="M775" s="1" t="s">
        <v>1028</v>
      </c>
    </row>
    <row r="776" spans="2:13" ht="15" hidden="1" customHeight="1" outlineLevel="1" x14ac:dyDescent="0.25">
      <c r="B776" s="1142" t="s">
        <v>839</v>
      </c>
      <c r="C776" s="1143"/>
      <c r="D776" s="1143" t="s">
        <v>995</v>
      </c>
      <c r="E776" s="1144">
        <v>0.315</v>
      </c>
      <c r="F776" s="1145" t="s">
        <v>1660</v>
      </c>
      <c r="G776" s="1146" t="s">
        <v>1661</v>
      </c>
      <c r="H776" s="1147" t="s">
        <v>125</v>
      </c>
      <c r="I776" s="1146"/>
      <c r="J776" s="1148" t="s">
        <v>221</v>
      </c>
      <c r="K776" s="1" t="s">
        <v>125</v>
      </c>
      <c r="M776" s="1" t="s">
        <v>1029</v>
      </c>
    </row>
    <row r="777" spans="2:13" ht="15" hidden="1" customHeight="1" outlineLevel="1" x14ac:dyDescent="0.25">
      <c r="B777" s="1142" t="s">
        <v>839</v>
      </c>
      <c r="C777" s="1143"/>
      <c r="D777" s="1143" t="s">
        <v>996</v>
      </c>
      <c r="E777" s="1144">
        <v>409.3</v>
      </c>
      <c r="F777" s="1145" t="s">
        <v>125</v>
      </c>
      <c r="G777" s="1146"/>
      <c r="H777" s="1147" t="s">
        <v>125</v>
      </c>
      <c r="I777" s="1146"/>
      <c r="J777" s="1148" t="s">
        <v>221</v>
      </c>
      <c r="K777" s="1" t="s">
        <v>125</v>
      </c>
      <c r="M777" s="1" t="s">
        <v>999</v>
      </c>
    </row>
    <row r="778" spans="2:13" ht="15" hidden="1" customHeight="1" outlineLevel="1" x14ac:dyDescent="0.25">
      <c r="B778" s="1142" t="s">
        <v>839</v>
      </c>
      <c r="C778" s="1143"/>
      <c r="D778" s="1143" t="s">
        <v>843</v>
      </c>
      <c r="E778" s="1144">
        <v>0.54830000000000001</v>
      </c>
      <c r="F778" s="1145" t="s">
        <v>1660</v>
      </c>
      <c r="G778" s="1146" t="s">
        <v>683</v>
      </c>
      <c r="H778" s="1147" t="s">
        <v>1660</v>
      </c>
      <c r="I778" s="1146" t="s">
        <v>1561</v>
      </c>
      <c r="J778" s="1148" t="s">
        <v>221</v>
      </c>
      <c r="K778" s="1" t="s">
        <v>125</v>
      </c>
      <c r="M778" s="1" t="s">
        <v>1030</v>
      </c>
    </row>
    <row r="779" spans="2:13" ht="15" hidden="1" customHeight="1" outlineLevel="1" x14ac:dyDescent="0.25">
      <c r="B779" s="1142" t="s">
        <v>839</v>
      </c>
      <c r="C779" s="1143"/>
      <c r="D779" s="1143" t="s">
        <v>843</v>
      </c>
      <c r="E779" s="1144">
        <v>0.1782</v>
      </c>
      <c r="F779" s="1145" t="s">
        <v>1660</v>
      </c>
      <c r="G779" s="1146" t="s">
        <v>683</v>
      </c>
      <c r="H779" s="1147" t="s">
        <v>1660</v>
      </c>
      <c r="I779" s="1146" t="s">
        <v>1562</v>
      </c>
      <c r="J779" s="1148" t="s">
        <v>221</v>
      </c>
      <c r="K779" s="1" t="s">
        <v>125</v>
      </c>
      <c r="M779" s="1" t="s">
        <v>1031</v>
      </c>
    </row>
    <row r="780" spans="2:13" ht="15" hidden="1" customHeight="1" outlineLevel="1" x14ac:dyDescent="0.25">
      <c r="B780" s="1142" t="s">
        <v>839</v>
      </c>
      <c r="C780" s="1143"/>
      <c r="D780" s="1143" t="s">
        <v>846</v>
      </c>
      <c r="E780" s="1144">
        <v>8.4730000000000008</v>
      </c>
      <c r="F780" s="1145" t="s">
        <v>1660</v>
      </c>
      <c r="G780" s="1146" t="s">
        <v>683</v>
      </c>
      <c r="H780" s="1147" t="s">
        <v>1660</v>
      </c>
      <c r="I780" s="1146" t="s">
        <v>1564</v>
      </c>
      <c r="J780" s="1148" t="s">
        <v>221</v>
      </c>
      <c r="K780" s="1" t="s">
        <v>125</v>
      </c>
      <c r="M780" s="1" t="s">
        <v>1032</v>
      </c>
    </row>
    <row r="781" spans="2:13" ht="15" hidden="1" customHeight="1" outlineLevel="1" x14ac:dyDescent="0.25">
      <c r="B781" s="1142" t="s">
        <v>839</v>
      </c>
      <c r="C781" s="1143"/>
      <c r="D781" s="1143" t="s">
        <v>843</v>
      </c>
      <c r="E781" s="1144">
        <v>0.39839999999999998</v>
      </c>
      <c r="F781" s="1145" t="s">
        <v>125</v>
      </c>
      <c r="G781" s="1146"/>
      <c r="H781" s="1147" t="s">
        <v>125</v>
      </c>
      <c r="I781" s="1146"/>
      <c r="J781" s="1148" t="s">
        <v>221</v>
      </c>
      <c r="K781" s="1" t="s">
        <v>125</v>
      </c>
      <c r="M781" s="1" t="s">
        <v>1033</v>
      </c>
    </row>
    <row r="782" spans="2:13" ht="15" hidden="1" customHeight="1" outlineLevel="1" x14ac:dyDescent="0.25">
      <c r="B782" s="1142" t="s">
        <v>839</v>
      </c>
      <c r="C782" s="1143"/>
      <c r="D782" s="1143" t="s">
        <v>843</v>
      </c>
      <c r="E782" s="1144">
        <v>8.9639999999999997E-2</v>
      </c>
      <c r="F782" s="1145" t="s">
        <v>125</v>
      </c>
      <c r="G782" s="1146"/>
      <c r="H782" s="1147" t="s">
        <v>125</v>
      </c>
      <c r="I782" s="1146"/>
      <c r="J782" s="1148" t="s">
        <v>221</v>
      </c>
      <c r="K782" s="1" t="s">
        <v>125</v>
      </c>
      <c r="M782" s="1" t="s">
        <v>1034</v>
      </c>
    </row>
    <row r="783" spans="2:13" ht="15" hidden="1" customHeight="1" outlineLevel="1" x14ac:dyDescent="0.25">
      <c r="B783" s="1142" t="s">
        <v>931</v>
      </c>
      <c r="C783" s="1143"/>
      <c r="D783" s="1143" t="s">
        <v>932</v>
      </c>
      <c r="E783" s="1144">
        <v>59.79</v>
      </c>
      <c r="F783" s="1145" t="s">
        <v>1660</v>
      </c>
      <c r="G783" s="1146" t="s">
        <v>1661</v>
      </c>
      <c r="H783" s="1147" t="s">
        <v>1660</v>
      </c>
      <c r="I783" s="1146" t="s">
        <v>1691</v>
      </c>
      <c r="J783" s="1148" t="s">
        <v>221</v>
      </c>
      <c r="K783" s="1" t="s">
        <v>125</v>
      </c>
      <c r="M783" s="1" t="s">
        <v>1025</v>
      </c>
    </row>
    <row r="784" spans="2:13" ht="15" hidden="1" customHeight="1" outlineLevel="1" x14ac:dyDescent="0.25">
      <c r="B784" s="1142" t="s">
        <v>931</v>
      </c>
      <c r="C784" s="1143"/>
      <c r="D784" s="1143" t="s">
        <v>947</v>
      </c>
      <c r="E784" s="1144">
        <v>0.48570000000000002</v>
      </c>
      <c r="F784" s="1145" t="s">
        <v>1660</v>
      </c>
      <c r="G784" s="1146" t="s">
        <v>1661</v>
      </c>
      <c r="H784" s="1147" t="s">
        <v>125</v>
      </c>
      <c r="I784" s="1146"/>
      <c r="J784" s="1148" t="s">
        <v>221</v>
      </c>
      <c r="K784" s="1" t="s">
        <v>125</v>
      </c>
      <c r="M784" s="1" t="s">
        <v>1035</v>
      </c>
    </row>
    <row r="785" spans="2:13" ht="15" hidden="1" customHeight="1" outlineLevel="1" x14ac:dyDescent="0.25">
      <c r="B785" s="1142" t="s">
        <v>931</v>
      </c>
      <c r="C785" s="1143"/>
      <c r="D785" s="1143" t="s">
        <v>934</v>
      </c>
      <c r="E785" s="1144">
        <v>34.86</v>
      </c>
      <c r="F785" s="1145" t="s">
        <v>1660</v>
      </c>
      <c r="G785" s="1146" t="s">
        <v>1983</v>
      </c>
      <c r="H785" s="1147" t="s">
        <v>1660</v>
      </c>
      <c r="I785" s="1146" t="s">
        <v>1984</v>
      </c>
      <c r="J785" s="1148" t="s">
        <v>935</v>
      </c>
      <c r="K785" s="1" t="s">
        <v>125</v>
      </c>
      <c r="M785" s="1" t="s">
        <v>1036</v>
      </c>
    </row>
    <row r="786" spans="2:13" ht="15" hidden="1" customHeight="1" outlineLevel="1" x14ac:dyDescent="0.25">
      <c r="B786" s="1142" t="s">
        <v>931</v>
      </c>
      <c r="C786" s="1143"/>
      <c r="D786" s="1143" t="s">
        <v>937</v>
      </c>
      <c r="E786" s="1144">
        <v>20760</v>
      </c>
      <c r="F786" s="1145" t="s">
        <v>1660</v>
      </c>
      <c r="G786" s="1146" t="s">
        <v>1985</v>
      </c>
      <c r="H786" s="1147" t="s">
        <v>1660</v>
      </c>
      <c r="I786" s="1146" t="s">
        <v>1986</v>
      </c>
      <c r="J786" s="1148" t="s">
        <v>935</v>
      </c>
      <c r="K786" s="1" t="s">
        <v>125</v>
      </c>
      <c r="M786" s="1" t="s">
        <v>1036</v>
      </c>
    </row>
    <row r="787" spans="2:13" ht="15" hidden="1" customHeight="1" outlineLevel="1" x14ac:dyDescent="0.25">
      <c r="B787" s="1142" t="s">
        <v>931</v>
      </c>
      <c r="C787" s="1143"/>
      <c r="D787" s="1143" t="s">
        <v>938</v>
      </c>
      <c r="E787" s="1144">
        <v>3236</v>
      </c>
      <c r="F787" s="1145" t="s">
        <v>1660</v>
      </c>
      <c r="G787" s="1146" t="s">
        <v>1987</v>
      </c>
      <c r="H787" s="1147" t="s">
        <v>1660</v>
      </c>
      <c r="I787" s="1146" t="s">
        <v>1988</v>
      </c>
      <c r="J787" s="1148" t="s">
        <v>935</v>
      </c>
      <c r="K787" s="1" t="s">
        <v>125</v>
      </c>
      <c r="M787" s="1" t="s">
        <v>1036</v>
      </c>
    </row>
    <row r="788" spans="2:13" ht="15" hidden="1" customHeight="1" outlineLevel="1" x14ac:dyDescent="0.25">
      <c r="B788" s="1142" t="s">
        <v>931</v>
      </c>
      <c r="C788" s="1143"/>
      <c r="D788" s="1143" t="s">
        <v>939</v>
      </c>
      <c r="E788" s="1144">
        <v>0.67049999999999998</v>
      </c>
      <c r="F788" s="1145" t="s">
        <v>1660</v>
      </c>
      <c r="G788" s="1146" t="s">
        <v>1989</v>
      </c>
      <c r="H788" s="1147" t="s">
        <v>1660</v>
      </c>
      <c r="I788" s="1146" t="s">
        <v>1990</v>
      </c>
      <c r="J788" s="1148" t="s">
        <v>935</v>
      </c>
      <c r="K788" s="1" t="s">
        <v>125</v>
      </c>
      <c r="M788" s="1" t="s">
        <v>1036</v>
      </c>
    </row>
    <row r="789" spans="2:13" ht="15" hidden="1" customHeight="1" outlineLevel="1" x14ac:dyDescent="0.25">
      <c r="B789" s="1142" t="s">
        <v>931</v>
      </c>
      <c r="C789" s="1143"/>
      <c r="D789" s="1143" t="s">
        <v>940</v>
      </c>
      <c r="E789" s="1144">
        <v>0</v>
      </c>
      <c r="F789" s="1145" t="s">
        <v>125</v>
      </c>
      <c r="G789" s="1146"/>
      <c r="H789" s="1147" t="s">
        <v>125</v>
      </c>
      <c r="I789" s="1146"/>
      <c r="J789" s="1148" t="s">
        <v>935</v>
      </c>
      <c r="K789" s="1" t="s">
        <v>125</v>
      </c>
      <c r="M789" s="1" t="s">
        <v>1036</v>
      </c>
    </row>
    <row r="790" spans="2:13" ht="15" hidden="1" customHeight="1" outlineLevel="1" x14ac:dyDescent="0.25">
      <c r="B790" s="1142" t="s">
        <v>931</v>
      </c>
      <c r="C790" s="1143"/>
      <c r="D790" s="1143" t="s">
        <v>941</v>
      </c>
      <c r="E790" s="1144">
        <v>229.4</v>
      </c>
      <c r="F790" s="1145" t="s">
        <v>1660</v>
      </c>
      <c r="G790" s="1146" t="s">
        <v>1991</v>
      </c>
      <c r="H790" s="1147" t="s">
        <v>1660</v>
      </c>
      <c r="I790" s="1146" t="s">
        <v>1992</v>
      </c>
      <c r="J790" s="1148" t="s">
        <v>935</v>
      </c>
      <c r="K790" s="1" t="s">
        <v>125</v>
      </c>
      <c r="M790" s="1" t="s">
        <v>1036</v>
      </c>
    </row>
    <row r="791" spans="2:13" ht="15" hidden="1" customHeight="1" outlineLevel="1" x14ac:dyDescent="0.25">
      <c r="B791" s="1142" t="s">
        <v>931</v>
      </c>
      <c r="C791" s="1143"/>
      <c r="D791" s="1143" t="s">
        <v>942</v>
      </c>
      <c r="E791" s="1144">
        <v>27500</v>
      </c>
      <c r="F791" s="1145" t="s">
        <v>1660</v>
      </c>
      <c r="G791" s="1146" t="s">
        <v>1993</v>
      </c>
      <c r="H791" s="1147" t="s">
        <v>1660</v>
      </c>
      <c r="I791" s="1146" t="s">
        <v>1994</v>
      </c>
      <c r="J791" s="1148" t="s">
        <v>935</v>
      </c>
      <c r="K791" s="1" t="s">
        <v>125</v>
      </c>
      <c r="M791" s="1" t="s">
        <v>1036</v>
      </c>
    </row>
    <row r="792" spans="2:13" ht="15" hidden="1" customHeight="1" outlineLevel="1" x14ac:dyDescent="0.25">
      <c r="B792" s="1142" t="s">
        <v>931</v>
      </c>
      <c r="C792" s="1143"/>
      <c r="D792" s="1143" t="s">
        <v>932</v>
      </c>
      <c r="E792" s="1144">
        <v>46.35</v>
      </c>
      <c r="F792" s="1145" t="s">
        <v>1660</v>
      </c>
      <c r="G792" s="1146" t="s">
        <v>683</v>
      </c>
      <c r="H792" s="1147" t="s">
        <v>1660</v>
      </c>
      <c r="I792" s="1146" t="s">
        <v>1704</v>
      </c>
      <c r="J792" s="1148" t="s">
        <v>221</v>
      </c>
      <c r="K792" s="1" t="s">
        <v>125</v>
      </c>
      <c r="M792" s="1" t="s">
        <v>1032</v>
      </c>
    </row>
    <row r="793" spans="2:13" ht="15" hidden="1" customHeight="1" outlineLevel="1" x14ac:dyDescent="0.25">
      <c r="B793" s="1142" t="s">
        <v>931</v>
      </c>
      <c r="C793" s="1143"/>
      <c r="D793" s="1143" t="s">
        <v>947</v>
      </c>
      <c r="E793" s="1144">
        <v>0.4667</v>
      </c>
      <c r="F793" s="1145" t="s">
        <v>1660</v>
      </c>
      <c r="G793" s="1146" t="s">
        <v>684</v>
      </c>
      <c r="H793" s="1147" t="s">
        <v>125</v>
      </c>
      <c r="I793" s="1146"/>
      <c r="J793" s="1148" t="s">
        <v>221</v>
      </c>
      <c r="K793" s="1" t="s">
        <v>125</v>
      </c>
      <c r="M793" s="1" t="s">
        <v>1037</v>
      </c>
    </row>
    <row r="794" spans="2:13" ht="15" hidden="1" customHeight="1" outlineLevel="1" x14ac:dyDescent="0.25">
      <c r="B794" s="1142" t="s">
        <v>931</v>
      </c>
      <c r="C794" s="1143"/>
      <c r="D794" s="1143" t="s">
        <v>932</v>
      </c>
      <c r="E794" s="1144">
        <v>33.68</v>
      </c>
      <c r="F794" s="1145" t="s">
        <v>125</v>
      </c>
      <c r="G794" s="1146"/>
      <c r="H794" s="1147" t="s">
        <v>125</v>
      </c>
      <c r="I794" s="1146"/>
      <c r="J794" s="1148" t="s">
        <v>221</v>
      </c>
      <c r="K794" s="1" t="s">
        <v>125</v>
      </c>
      <c r="M794" s="1" t="s">
        <v>1038</v>
      </c>
    </row>
    <row r="795" spans="2:13" ht="15" hidden="1" customHeight="1" outlineLevel="1" x14ac:dyDescent="0.25">
      <c r="B795" s="1142" t="s">
        <v>945</v>
      </c>
      <c r="C795" s="1143" t="s">
        <v>946</v>
      </c>
      <c r="D795" s="1143" t="s">
        <v>934</v>
      </c>
      <c r="E795" s="1144">
        <v>1426</v>
      </c>
      <c r="F795" s="1145" t="s">
        <v>1660</v>
      </c>
      <c r="G795" s="1146" t="s">
        <v>1995</v>
      </c>
      <c r="H795" s="1147" t="s">
        <v>1660</v>
      </c>
      <c r="I795" s="1146" t="s">
        <v>1996</v>
      </c>
      <c r="J795" s="1148" t="s">
        <v>935</v>
      </c>
      <c r="K795" s="1" t="s">
        <v>125</v>
      </c>
      <c r="M795" s="1" t="s">
        <v>1036</v>
      </c>
    </row>
    <row r="796" spans="2:13" ht="15" hidden="1" customHeight="1" outlineLevel="1" x14ac:dyDescent="0.25">
      <c r="B796" s="1142" t="s">
        <v>945</v>
      </c>
      <c r="C796" s="1143" t="s">
        <v>946</v>
      </c>
      <c r="D796" s="1143" t="s">
        <v>937</v>
      </c>
      <c r="E796" s="1144">
        <v>148900</v>
      </c>
      <c r="F796" s="1145" t="s">
        <v>1660</v>
      </c>
      <c r="G796" s="1146" t="s">
        <v>1997</v>
      </c>
      <c r="H796" s="1147" t="s">
        <v>1660</v>
      </c>
      <c r="I796" s="1108" t="s">
        <v>1998</v>
      </c>
      <c r="J796" s="1148" t="s">
        <v>935</v>
      </c>
      <c r="K796" s="1" t="s">
        <v>125</v>
      </c>
      <c r="M796" s="1" t="s">
        <v>1036</v>
      </c>
    </row>
    <row r="797" spans="2:13" ht="15" hidden="1" customHeight="1" outlineLevel="1" x14ac:dyDescent="0.25">
      <c r="B797" s="1142" t="s">
        <v>945</v>
      </c>
      <c r="C797" s="1143" t="s">
        <v>946</v>
      </c>
      <c r="D797" s="1143" t="s">
        <v>938</v>
      </c>
      <c r="E797" s="1144">
        <v>-6445</v>
      </c>
      <c r="F797" s="1145" t="s">
        <v>1660</v>
      </c>
      <c r="G797" s="1146" t="s">
        <v>1999</v>
      </c>
      <c r="H797" s="1147" t="s">
        <v>1660</v>
      </c>
      <c r="I797" s="1146" t="s">
        <v>2000</v>
      </c>
      <c r="J797" s="1148" t="s">
        <v>935</v>
      </c>
      <c r="K797" s="1" t="s">
        <v>125</v>
      </c>
      <c r="M797" s="1" t="s">
        <v>1036</v>
      </c>
    </row>
    <row r="798" spans="2:13" ht="15" hidden="1" customHeight="1" outlineLevel="1" x14ac:dyDescent="0.25">
      <c r="B798" s="1142" t="s">
        <v>945</v>
      </c>
      <c r="C798" s="1143" t="s">
        <v>946</v>
      </c>
      <c r="D798" s="1143" t="s">
        <v>939</v>
      </c>
      <c r="E798" s="1144">
        <v>42.98</v>
      </c>
      <c r="F798" s="1145" t="s">
        <v>1660</v>
      </c>
      <c r="G798" s="1146" t="s">
        <v>2001</v>
      </c>
      <c r="H798" s="1147" t="s">
        <v>1660</v>
      </c>
      <c r="I798" s="1146" t="s">
        <v>2002</v>
      </c>
      <c r="J798" s="1148" t="s">
        <v>935</v>
      </c>
      <c r="K798" s="1" t="s">
        <v>125</v>
      </c>
      <c r="M798" s="1" t="s">
        <v>1036</v>
      </c>
    </row>
    <row r="799" spans="2:13" ht="15" hidden="1" customHeight="1" outlineLevel="1" x14ac:dyDescent="0.25">
      <c r="B799" s="1142" t="s">
        <v>945</v>
      </c>
      <c r="C799" s="1143" t="s">
        <v>946</v>
      </c>
      <c r="D799" s="1143" t="s">
        <v>940</v>
      </c>
      <c r="E799" s="1144">
        <v>11100</v>
      </c>
      <c r="F799" s="1145" t="s">
        <v>1660</v>
      </c>
      <c r="G799" s="1146" t="s">
        <v>2003</v>
      </c>
      <c r="H799" s="1147" t="s">
        <v>1660</v>
      </c>
      <c r="I799" s="1146" t="s">
        <v>2004</v>
      </c>
      <c r="J799" s="1148" t="s">
        <v>935</v>
      </c>
      <c r="K799" s="1" t="s">
        <v>125</v>
      </c>
      <c r="M799" s="1" t="s">
        <v>1036</v>
      </c>
    </row>
    <row r="800" spans="2:13" ht="15" hidden="1" customHeight="1" outlineLevel="1" x14ac:dyDescent="0.25">
      <c r="B800" s="1142" t="s">
        <v>945</v>
      </c>
      <c r="C800" s="1143" t="s">
        <v>946</v>
      </c>
      <c r="D800" s="1143" t="s">
        <v>941</v>
      </c>
      <c r="E800" s="1144">
        <v>10520</v>
      </c>
      <c r="F800" s="1145" t="s">
        <v>1660</v>
      </c>
      <c r="G800" s="1146" t="s">
        <v>2005</v>
      </c>
      <c r="H800" s="1147" t="s">
        <v>1660</v>
      </c>
      <c r="I800" s="1146" t="s">
        <v>2006</v>
      </c>
      <c r="J800" s="1148" t="s">
        <v>935</v>
      </c>
      <c r="K800" s="1" t="s">
        <v>125</v>
      </c>
      <c r="M800" s="1" t="s">
        <v>1036</v>
      </c>
    </row>
    <row r="801" spans="2:13" ht="15" hidden="1" customHeight="1" outlineLevel="1" x14ac:dyDescent="0.25">
      <c r="B801" s="1149" t="s">
        <v>945</v>
      </c>
      <c r="C801" s="1150" t="s">
        <v>946</v>
      </c>
      <c r="D801" s="1150" t="s">
        <v>942</v>
      </c>
      <c r="E801" s="1151">
        <v>422700</v>
      </c>
      <c r="F801" s="1152" t="s">
        <v>1660</v>
      </c>
      <c r="G801" s="1158" t="s">
        <v>2007</v>
      </c>
      <c r="H801" s="1154" t="s">
        <v>1660</v>
      </c>
      <c r="I801" s="1158" t="s">
        <v>2008</v>
      </c>
      <c r="J801" s="1155" t="s">
        <v>935</v>
      </c>
      <c r="K801" s="1" t="s">
        <v>125</v>
      </c>
      <c r="M801" s="1" t="s">
        <v>1036</v>
      </c>
    </row>
    <row r="802" spans="2:13" ht="15" customHeight="1" x14ac:dyDescent="0.25">
      <c r="D802" s="1159"/>
      <c r="E802" s="1160"/>
      <c r="F802" s="1161" t="s">
        <v>125</v>
      </c>
      <c r="G802" s="672"/>
      <c r="H802" s="1162" t="s">
        <v>125</v>
      </c>
      <c r="I802" s="672"/>
      <c r="J802" s="672"/>
    </row>
    <row r="803" spans="2:13" ht="15" customHeight="1" x14ac:dyDescent="0.25">
      <c r="B803" s="1127" t="s">
        <v>825</v>
      </c>
      <c r="C803" s="1128"/>
      <c r="D803" s="1207" t="s">
        <v>1070</v>
      </c>
      <c r="E803" s="1123">
        <v>1461</v>
      </c>
      <c r="F803" s="1129" t="s">
        <v>1660</v>
      </c>
      <c r="G803" s="1130" t="s">
        <v>2009</v>
      </c>
      <c r="H803" s="1131" t="s">
        <v>125</v>
      </c>
      <c r="I803" s="1130"/>
      <c r="J803" s="208" t="s">
        <v>221</v>
      </c>
      <c r="K803" s="898">
        <v>93.15</v>
      </c>
    </row>
    <row r="804" spans="2:13" ht="15" customHeight="1" collapsed="1" x14ac:dyDescent="0.25">
      <c r="B804" s="1132" t="s">
        <v>825</v>
      </c>
      <c r="C804" s="1107"/>
      <c r="D804" s="1209" t="s">
        <v>1071</v>
      </c>
      <c r="E804" s="1133">
        <v>645.1</v>
      </c>
      <c r="F804" s="1134" t="s">
        <v>1660</v>
      </c>
      <c r="G804" s="1135" t="s">
        <v>2009</v>
      </c>
      <c r="H804" s="1136" t="s">
        <v>125</v>
      </c>
      <c r="I804" s="1135"/>
      <c r="J804" s="211" t="s">
        <v>221</v>
      </c>
      <c r="K804" s="531">
        <v>6.85</v>
      </c>
    </row>
    <row r="805" spans="2:13" ht="15" hidden="1" customHeight="1" outlineLevel="1" x14ac:dyDescent="0.25">
      <c r="B805" s="1137" t="s">
        <v>827</v>
      </c>
      <c r="C805" s="1138" t="s">
        <v>979</v>
      </c>
      <c r="D805" s="1138" t="s">
        <v>980</v>
      </c>
      <c r="E805" s="1139">
        <v>6.5629999999999997</v>
      </c>
      <c r="F805" s="1145" t="s">
        <v>125</v>
      </c>
      <c r="G805" s="1146"/>
      <c r="H805" s="1147" t="s">
        <v>125</v>
      </c>
      <c r="I805" s="954"/>
      <c r="J805" s="955" t="s">
        <v>186</v>
      </c>
      <c r="K805" s="1" t="s">
        <v>125</v>
      </c>
      <c r="M805" s="1" t="s">
        <v>997</v>
      </c>
    </row>
    <row r="806" spans="2:13" ht="15" hidden="1" customHeight="1" outlineLevel="1" x14ac:dyDescent="0.25">
      <c r="B806" s="1142" t="s">
        <v>827</v>
      </c>
      <c r="C806" s="1143" t="s">
        <v>981</v>
      </c>
      <c r="D806" s="1143" t="s">
        <v>982</v>
      </c>
      <c r="E806" s="1144">
        <v>10000</v>
      </c>
      <c r="F806" s="1145" t="s">
        <v>125</v>
      </c>
      <c r="G806" s="1146"/>
      <c r="H806" s="1147" t="s">
        <v>125</v>
      </c>
      <c r="I806" s="1146"/>
      <c r="J806" s="1148" t="s">
        <v>181</v>
      </c>
      <c r="K806" s="1" t="s">
        <v>125</v>
      </c>
      <c r="M806" s="1" t="s">
        <v>998</v>
      </c>
    </row>
    <row r="807" spans="2:13" ht="15" hidden="1" customHeight="1" outlineLevel="1" x14ac:dyDescent="0.25">
      <c r="B807" s="1142" t="s">
        <v>827</v>
      </c>
      <c r="C807" s="1143" t="s">
        <v>981</v>
      </c>
      <c r="D807" s="1143" t="s">
        <v>983</v>
      </c>
      <c r="E807" s="1144">
        <v>0</v>
      </c>
      <c r="F807" s="1145" t="s">
        <v>125</v>
      </c>
      <c r="G807" s="1146"/>
      <c r="H807" s="1147" t="s">
        <v>125</v>
      </c>
      <c r="I807" s="1146"/>
      <c r="J807" s="1148" t="s">
        <v>182</v>
      </c>
      <c r="K807" s="1" t="s">
        <v>125</v>
      </c>
      <c r="M807" s="1" t="s">
        <v>999</v>
      </c>
    </row>
    <row r="808" spans="2:13" ht="15" hidden="1" customHeight="1" outlineLevel="1" x14ac:dyDescent="0.25">
      <c r="B808" s="1142" t="s">
        <v>827</v>
      </c>
      <c r="C808" s="1143" t="s">
        <v>981</v>
      </c>
      <c r="D808" s="1143" t="s">
        <v>984</v>
      </c>
      <c r="E808" s="1144">
        <v>0</v>
      </c>
      <c r="F808" s="1145" t="s">
        <v>125</v>
      </c>
      <c r="G808" s="1146"/>
      <c r="H808" s="1147" t="s">
        <v>125</v>
      </c>
      <c r="I808" s="1146"/>
      <c r="J808" s="1148" t="s">
        <v>182</v>
      </c>
      <c r="K808" s="1" t="s">
        <v>125</v>
      </c>
      <c r="M808" s="1" t="s">
        <v>999</v>
      </c>
    </row>
    <row r="809" spans="2:13" ht="15" hidden="1" customHeight="1" outlineLevel="1" x14ac:dyDescent="0.25">
      <c r="B809" s="1142" t="s">
        <v>827</v>
      </c>
      <c r="C809" s="1143" t="s">
        <v>981</v>
      </c>
      <c r="D809" s="1143" t="s">
        <v>985</v>
      </c>
      <c r="E809" s="1144">
        <v>0</v>
      </c>
      <c r="F809" s="1145" t="s">
        <v>125</v>
      </c>
      <c r="G809" s="1146"/>
      <c r="H809" s="1147" t="s">
        <v>125</v>
      </c>
      <c r="I809" s="1146"/>
      <c r="J809" s="1148" t="s">
        <v>182</v>
      </c>
      <c r="K809" s="1" t="s">
        <v>125</v>
      </c>
      <c r="M809" s="1" t="s">
        <v>999</v>
      </c>
    </row>
    <row r="810" spans="2:13" ht="15" hidden="1" customHeight="1" outlineLevel="1" x14ac:dyDescent="0.25">
      <c r="B810" s="1142" t="s">
        <v>827</v>
      </c>
      <c r="C810" s="1143" t="s">
        <v>981</v>
      </c>
      <c r="D810" s="1143" t="s">
        <v>986</v>
      </c>
      <c r="E810" s="1144">
        <v>0</v>
      </c>
      <c r="F810" s="1145" t="s">
        <v>125</v>
      </c>
      <c r="G810" s="1146"/>
      <c r="H810" s="1147" t="s">
        <v>125</v>
      </c>
      <c r="I810" s="1146"/>
      <c r="J810" s="1148" t="s">
        <v>182</v>
      </c>
      <c r="K810" s="1" t="s">
        <v>125</v>
      </c>
      <c r="M810" s="1" t="s">
        <v>999</v>
      </c>
    </row>
    <row r="811" spans="2:13" ht="15" hidden="1" customHeight="1" outlineLevel="1" x14ac:dyDescent="0.25">
      <c r="B811" s="1142" t="s">
        <v>827</v>
      </c>
      <c r="C811" s="1143" t="s">
        <v>981</v>
      </c>
      <c r="D811" s="1143" t="s">
        <v>987</v>
      </c>
      <c r="E811" s="1144">
        <v>0</v>
      </c>
      <c r="F811" s="1145" t="s">
        <v>125</v>
      </c>
      <c r="G811" s="1146"/>
      <c r="H811" s="1147" t="s">
        <v>125</v>
      </c>
      <c r="I811" s="1146"/>
      <c r="J811" s="1148" t="s">
        <v>182</v>
      </c>
      <c r="K811" s="1" t="s">
        <v>125</v>
      </c>
      <c r="M811" s="1" t="s">
        <v>999</v>
      </c>
    </row>
    <row r="812" spans="2:13" ht="15" hidden="1" customHeight="1" outlineLevel="1" x14ac:dyDescent="0.25">
      <c r="B812" s="1142" t="s">
        <v>830</v>
      </c>
      <c r="C812" s="1143"/>
      <c r="D812" s="1143" t="s">
        <v>665</v>
      </c>
      <c r="E812" s="1144">
        <v>3522</v>
      </c>
      <c r="F812" s="1145" t="s">
        <v>1660</v>
      </c>
      <c r="G812" s="1146" t="s">
        <v>726</v>
      </c>
      <c r="H812" s="1147" t="s">
        <v>125</v>
      </c>
      <c r="I812" s="1146"/>
      <c r="J812" s="1148" t="s">
        <v>221</v>
      </c>
      <c r="K812" s="1" t="s">
        <v>125</v>
      </c>
      <c r="M812" s="1" t="s">
        <v>1000</v>
      </c>
    </row>
    <row r="813" spans="2:13" ht="15" hidden="1" customHeight="1" outlineLevel="1" x14ac:dyDescent="0.25">
      <c r="B813" s="1142" t="s">
        <v>830</v>
      </c>
      <c r="C813" s="1143"/>
      <c r="D813" s="1143" t="s">
        <v>673</v>
      </c>
      <c r="E813" s="1144">
        <v>308.89999999999998</v>
      </c>
      <c r="F813" s="1145" t="s">
        <v>1660</v>
      </c>
      <c r="G813" s="1146" t="s">
        <v>723</v>
      </c>
      <c r="H813" s="1147" t="s">
        <v>125</v>
      </c>
      <c r="I813" s="1146"/>
      <c r="J813" s="1148" t="s">
        <v>221</v>
      </c>
      <c r="K813" s="1" t="s">
        <v>125</v>
      </c>
      <c r="M813" s="1" t="s">
        <v>1001</v>
      </c>
    </row>
    <row r="814" spans="2:13" ht="15" hidden="1" customHeight="1" outlineLevel="1" x14ac:dyDescent="0.25">
      <c r="B814" s="1142" t="s">
        <v>830</v>
      </c>
      <c r="C814" s="1143"/>
      <c r="D814" s="1143" t="s">
        <v>653</v>
      </c>
      <c r="E814" s="1144">
        <v>22.81</v>
      </c>
      <c r="F814" s="1145" t="s">
        <v>1660</v>
      </c>
      <c r="G814" s="1146" t="s">
        <v>1661</v>
      </c>
      <c r="H814" s="1147" t="s">
        <v>125</v>
      </c>
      <c r="I814" s="1146"/>
      <c r="J814" s="1148" t="s">
        <v>221</v>
      </c>
      <c r="K814" s="1" t="s">
        <v>125</v>
      </c>
      <c r="M814" s="1" t="s">
        <v>1072</v>
      </c>
    </row>
    <row r="815" spans="2:13" ht="15" hidden="1" customHeight="1" outlineLevel="1" x14ac:dyDescent="0.25">
      <c r="B815" s="1142" t="s">
        <v>830</v>
      </c>
      <c r="C815" s="1143"/>
      <c r="D815" s="1143" t="s">
        <v>654</v>
      </c>
      <c r="E815" s="1144">
        <v>8.8729999999999993</v>
      </c>
      <c r="F815" s="1145" t="s">
        <v>1660</v>
      </c>
      <c r="G815" s="1146" t="s">
        <v>1661</v>
      </c>
      <c r="H815" s="1147" t="s">
        <v>125</v>
      </c>
      <c r="I815" s="1146"/>
      <c r="J815" s="1148" t="s">
        <v>221</v>
      </c>
      <c r="K815" s="1" t="s">
        <v>125</v>
      </c>
      <c r="M815" s="1" t="s">
        <v>1073</v>
      </c>
    </row>
    <row r="816" spans="2:13" ht="15" hidden="1" customHeight="1" outlineLevel="1" x14ac:dyDescent="0.25">
      <c r="B816" s="1142" t="s">
        <v>830</v>
      </c>
      <c r="C816" s="1143"/>
      <c r="D816" s="1143" t="s">
        <v>652</v>
      </c>
      <c r="E816" s="1144">
        <v>65.92</v>
      </c>
      <c r="F816" s="1145" t="s">
        <v>1660</v>
      </c>
      <c r="G816" s="1146" t="s">
        <v>1661</v>
      </c>
      <c r="H816" s="1147" t="s">
        <v>125</v>
      </c>
      <c r="I816" s="1146"/>
      <c r="J816" s="1148" t="s">
        <v>221</v>
      </c>
      <c r="K816" s="1" t="s">
        <v>125</v>
      </c>
      <c r="M816" s="1" t="s">
        <v>1074</v>
      </c>
    </row>
    <row r="817" spans="2:13" ht="15" hidden="1" customHeight="1" outlineLevel="1" x14ac:dyDescent="0.25">
      <c r="B817" s="1142" t="s">
        <v>830</v>
      </c>
      <c r="C817" s="1143"/>
      <c r="D817" s="1143" t="s">
        <v>650</v>
      </c>
      <c r="E817" s="1144">
        <v>28.47</v>
      </c>
      <c r="F817" s="1145" t="s">
        <v>1660</v>
      </c>
      <c r="G817" s="1146" t="s">
        <v>1661</v>
      </c>
      <c r="H817" s="1147" t="s">
        <v>125</v>
      </c>
      <c r="I817" s="1146"/>
      <c r="J817" s="1148" t="s">
        <v>221</v>
      </c>
      <c r="K817" s="1" t="s">
        <v>125</v>
      </c>
      <c r="M817" s="1" t="s">
        <v>1075</v>
      </c>
    </row>
    <row r="818" spans="2:13" ht="15" hidden="1" customHeight="1" outlineLevel="1" x14ac:dyDescent="0.25">
      <c r="B818" s="1142" t="s">
        <v>830</v>
      </c>
      <c r="C818" s="1143"/>
      <c r="D818" s="1143" t="s">
        <v>649</v>
      </c>
      <c r="E818" s="1144">
        <v>16.34</v>
      </c>
      <c r="F818" s="1145" t="s">
        <v>1660</v>
      </c>
      <c r="G818" s="1146" t="s">
        <v>1661</v>
      </c>
      <c r="H818" s="1147" t="s">
        <v>125</v>
      </c>
      <c r="I818" s="1146"/>
      <c r="J818" s="1148" t="s">
        <v>221</v>
      </c>
      <c r="K818" s="1" t="s">
        <v>125</v>
      </c>
      <c r="M818" s="1" t="s">
        <v>1076</v>
      </c>
    </row>
    <row r="819" spans="2:13" ht="15" hidden="1" customHeight="1" outlineLevel="1" x14ac:dyDescent="0.25">
      <c r="B819" s="1142" t="s">
        <v>830</v>
      </c>
      <c r="C819" s="1143"/>
      <c r="D819" s="1143" t="s">
        <v>648</v>
      </c>
      <c r="E819" s="1144">
        <v>24.63</v>
      </c>
      <c r="F819" s="1145" t="s">
        <v>1660</v>
      </c>
      <c r="G819" s="1146" t="s">
        <v>1661</v>
      </c>
      <c r="H819" s="1147" t="s">
        <v>125</v>
      </c>
      <c r="I819" s="1146"/>
      <c r="J819" s="1148" t="s">
        <v>221</v>
      </c>
      <c r="K819" s="1" t="s">
        <v>125</v>
      </c>
      <c r="M819" s="1" t="s">
        <v>1077</v>
      </c>
    </row>
    <row r="820" spans="2:13" ht="15" hidden="1" customHeight="1" outlineLevel="1" x14ac:dyDescent="0.25">
      <c r="B820" s="1142" t="s">
        <v>830</v>
      </c>
      <c r="C820" s="1143"/>
      <c r="D820" s="1143" t="s">
        <v>657</v>
      </c>
      <c r="E820" s="1144">
        <v>9.9909999999999997</v>
      </c>
      <c r="F820" s="1145" t="s">
        <v>1660</v>
      </c>
      <c r="G820" s="1146" t="s">
        <v>1661</v>
      </c>
      <c r="H820" s="1147" t="s">
        <v>125</v>
      </c>
      <c r="I820" s="1146"/>
      <c r="J820" s="1148" t="s">
        <v>221</v>
      </c>
      <c r="K820" s="1" t="s">
        <v>125</v>
      </c>
      <c r="M820" s="1" t="s">
        <v>1078</v>
      </c>
    </row>
    <row r="821" spans="2:13" ht="15" hidden="1" customHeight="1" outlineLevel="1" x14ac:dyDescent="0.25">
      <c r="B821" s="1142" t="s">
        <v>830</v>
      </c>
      <c r="C821" s="1143"/>
      <c r="D821" s="1143" t="s">
        <v>656</v>
      </c>
      <c r="E821" s="1144">
        <v>0.16769999999999999</v>
      </c>
      <c r="F821" s="1145" t="s">
        <v>1660</v>
      </c>
      <c r="G821" s="1146" t="s">
        <v>1661</v>
      </c>
      <c r="H821" s="1147" t="s">
        <v>125</v>
      </c>
      <c r="I821" s="1146"/>
      <c r="J821" s="1148" t="s">
        <v>221</v>
      </c>
      <c r="K821" s="1" t="s">
        <v>125</v>
      </c>
      <c r="M821" s="1" t="s">
        <v>1079</v>
      </c>
    </row>
    <row r="822" spans="2:13" ht="15" hidden="1" customHeight="1" outlineLevel="1" x14ac:dyDescent="0.25">
      <c r="B822" s="1142" t="s">
        <v>830</v>
      </c>
      <c r="C822" s="1143"/>
      <c r="D822" s="1143" t="s">
        <v>655</v>
      </c>
      <c r="E822" s="1144">
        <v>3.1080000000000001</v>
      </c>
      <c r="F822" s="1145" t="s">
        <v>1660</v>
      </c>
      <c r="G822" s="1146" t="s">
        <v>1661</v>
      </c>
      <c r="H822" s="1147" t="s">
        <v>125</v>
      </c>
      <c r="I822" s="1146"/>
      <c r="J822" s="1148" t="s">
        <v>221</v>
      </c>
      <c r="K822" s="1" t="s">
        <v>125</v>
      </c>
      <c r="M822" s="1" t="s">
        <v>1080</v>
      </c>
    </row>
    <row r="823" spans="2:13" ht="15" hidden="1" customHeight="1" outlineLevel="1" x14ac:dyDescent="0.25">
      <c r="B823" s="1142" t="s">
        <v>830</v>
      </c>
      <c r="C823" s="1143"/>
      <c r="D823" s="1143" t="s">
        <v>658</v>
      </c>
      <c r="E823" s="1144">
        <v>62.03</v>
      </c>
      <c r="F823" s="1145" t="s">
        <v>1660</v>
      </c>
      <c r="G823" s="1146" t="s">
        <v>1661</v>
      </c>
      <c r="H823" s="1147" t="s">
        <v>125</v>
      </c>
      <c r="I823" s="1146"/>
      <c r="J823" s="1148" t="s">
        <v>221</v>
      </c>
      <c r="K823" s="1" t="s">
        <v>125</v>
      </c>
      <c r="M823" s="1" t="s">
        <v>1081</v>
      </c>
    </row>
    <row r="824" spans="2:13" ht="15" hidden="1" customHeight="1" outlineLevel="1" x14ac:dyDescent="0.25">
      <c r="B824" s="1142" t="s">
        <v>830</v>
      </c>
      <c r="C824" s="1143"/>
      <c r="D824" s="1143" t="s">
        <v>659</v>
      </c>
      <c r="E824" s="1144">
        <v>4.194</v>
      </c>
      <c r="F824" s="1145" t="s">
        <v>1660</v>
      </c>
      <c r="G824" s="1146" t="s">
        <v>1661</v>
      </c>
      <c r="H824" s="1147" t="s">
        <v>125</v>
      </c>
      <c r="I824" s="1146"/>
      <c r="J824" s="1148" t="s">
        <v>221</v>
      </c>
      <c r="K824" s="1" t="s">
        <v>125</v>
      </c>
      <c r="M824" s="1" t="s">
        <v>1082</v>
      </c>
    </row>
    <row r="825" spans="2:13" ht="15" hidden="1" customHeight="1" outlineLevel="1" x14ac:dyDescent="0.25">
      <c r="B825" s="1142" t="s">
        <v>830</v>
      </c>
      <c r="C825" s="1143"/>
      <c r="D825" s="1143" t="s">
        <v>988</v>
      </c>
      <c r="E825" s="1144">
        <v>1</v>
      </c>
      <c r="F825" s="1145" t="s">
        <v>125</v>
      </c>
      <c r="G825" s="1146"/>
      <c r="H825" s="1147" t="s">
        <v>125</v>
      </c>
      <c r="I825" s="1146"/>
      <c r="J825" s="1148" t="s">
        <v>188</v>
      </c>
      <c r="K825" s="1" t="s">
        <v>125</v>
      </c>
      <c r="M825" s="1" t="s">
        <v>1013</v>
      </c>
    </row>
    <row r="826" spans="2:13" ht="15" hidden="1" customHeight="1" outlineLevel="1" x14ac:dyDescent="0.25">
      <c r="B826" s="1142" t="s">
        <v>830</v>
      </c>
      <c r="C826" s="1143"/>
      <c r="D826" s="1143" t="s">
        <v>662</v>
      </c>
      <c r="E826" s="1144">
        <v>400</v>
      </c>
      <c r="F826" s="1145" t="s">
        <v>125</v>
      </c>
      <c r="G826" s="1146"/>
      <c r="H826" s="1147" t="s">
        <v>125</v>
      </c>
      <c r="I826" s="1146"/>
      <c r="J826" s="1148" t="s">
        <v>221</v>
      </c>
      <c r="K826" s="1" t="s">
        <v>125</v>
      </c>
      <c r="M826" s="1" t="s">
        <v>1014</v>
      </c>
    </row>
    <row r="827" spans="2:13" ht="15" hidden="1" customHeight="1" outlineLevel="1" x14ac:dyDescent="0.25">
      <c r="B827" s="1142" t="s">
        <v>830</v>
      </c>
      <c r="C827" s="1143"/>
      <c r="D827" s="1143" t="s">
        <v>1083</v>
      </c>
      <c r="E827" s="1144">
        <v>36.94</v>
      </c>
      <c r="F827" s="1145" t="s">
        <v>125</v>
      </c>
      <c r="G827" s="1146"/>
      <c r="H827" s="1147" t="s">
        <v>125</v>
      </c>
      <c r="I827" s="1146"/>
      <c r="J827" s="1148" t="s">
        <v>221</v>
      </c>
      <c r="K827" s="1" t="s">
        <v>125</v>
      </c>
      <c r="M827" s="1" t="s">
        <v>1052</v>
      </c>
    </row>
    <row r="828" spans="2:13" ht="15" hidden="1" customHeight="1" outlineLevel="1" x14ac:dyDescent="0.25">
      <c r="B828" s="1142" t="s">
        <v>830</v>
      </c>
      <c r="C828" s="1143"/>
      <c r="D828" s="1143" t="s">
        <v>990</v>
      </c>
      <c r="E828" s="1144">
        <v>114.9</v>
      </c>
      <c r="F828" s="1145" t="s">
        <v>1660</v>
      </c>
      <c r="G828" s="1146" t="s">
        <v>722</v>
      </c>
      <c r="H828" s="1147" t="s">
        <v>125</v>
      </c>
      <c r="I828" s="1146"/>
      <c r="J828" s="1148" t="s">
        <v>836</v>
      </c>
      <c r="K828" s="1" t="s">
        <v>125</v>
      </c>
      <c r="M828" s="1" t="s">
        <v>1015</v>
      </c>
    </row>
    <row r="829" spans="2:13" ht="15" hidden="1" customHeight="1" outlineLevel="1" x14ac:dyDescent="0.25">
      <c r="B829" s="1142" t="s">
        <v>830</v>
      </c>
      <c r="C829" s="1143"/>
      <c r="D829" s="1143" t="s">
        <v>990</v>
      </c>
      <c r="E829" s="1144">
        <v>34.46</v>
      </c>
      <c r="F829" s="1145" t="s">
        <v>1660</v>
      </c>
      <c r="G829" s="1146" t="s">
        <v>2010</v>
      </c>
      <c r="H829" s="1147" t="s">
        <v>125</v>
      </c>
      <c r="I829" s="1146"/>
      <c r="J829" s="1148" t="s">
        <v>836</v>
      </c>
      <c r="K829" s="1" t="s">
        <v>125</v>
      </c>
      <c r="M829" s="1" t="s">
        <v>1016</v>
      </c>
    </row>
    <row r="830" spans="2:13" ht="15" hidden="1" customHeight="1" outlineLevel="1" x14ac:dyDescent="0.25">
      <c r="B830" s="1142" t="s">
        <v>830</v>
      </c>
      <c r="C830" s="1143"/>
      <c r="D830" s="1143" t="s">
        <v>675</v>
      </c>
      <c r="E830" s="1144">
        <v>0.31790000000000002</v>
      </c>
      <c r="F830" s="1145" t="s">
        <v>1660</v>
      </c>
      <c r="G830" s="1146" t="s">
        <v>1661</v>
      </c>
      <c r="H830" s="1147" t="s">
        <v>125</v>
      </c>
      <c r="I830" s="1146"/>
      <c r="J830" s="1148" t="s">
        <v>221</v>
      </c>
      <c r="K830" s="1" t="s">
        <v>125</v>
      </c>
      <c r="M830" s="1" t="s">
        <v>1017</v>
      </c>
    </row>
    <row r="831" spans="2:13" ht="15" hidden="1" customHeight="1" outlineLevel="1" x14ac:dyDescent="0.25">
      <c r="B831" s="1142" t="s">
        <v>830</v>
      </c>
      <c r="C831" s="1143"/>
      <c r="D831" s="1143" t="s">
        <v>676</v>
      </c>
      <c r="E831" s="1144">
        <v>2.1070000000000002</v>
      </c>
      <c r="F831" s="1145" t="s">
        <v>1660</v>
      </c>
      <c r="G831" s="1146" t="s">
        <v>1661</v>
      </c>
      <c r="H831" s="1147" t="s">
        <v>125</v>
      </c>
      <c r="I831" s="1146"/>
      <c r="J831" s="1148" t="s">
        <v>221</v>
      </c>
      <c r="K831" s="1" t="s">
        <v>125</v>
      </c>
      <c r="M831" s="1" t="s">
        <v>1018</v>
      </c>
    </row>
    <row r="832" spans="2:13" ht="15" hidden="1" customHeight="1" outlineLevel="1" x14ac:dyDescent="0.25">
      <c r="B832" s="1142" t="s">
        <v>830</v>
      </c>
      <c r="C832" s="1143"/>
      <c r="D832" s="1143" t="s">
        <v>678</v>
      </c>
      <c r="E832" s="1144">
        <v>3.2160000000000002</v>
      </c>
      <c r="F832" s="1145" t="s">
        <v>1660</v>
      </c>
      <c r="G832" s="1146" t="s">
        <v>1661</v>
      </c>
      <c r="H832" s="1147" t="s">
        <v>125</v>
      </c>
      <c r="I832" s="1146"/>
      <c r="J832" s="1148" t="s">
        <v>221</v>
      </c>
      <c r="K832" s="1" t="s">
        <v>125</v>
      </c>
      <c r="M832" s="1" t="s">
        <v>1019</v>
      </c>
    </row>
    <row r="833" spans="2:13" ht="15" hidden="1" customHeight="1" outlineLevel="1" x14ac:dyDescent="0.25">
      <c r="B833" s="1142" t="s">
        <v>830</v>
      </c>
      <c r="C833" s="1143"/>
      <c r="D833" s="1143" t="s">
        <v>991</v>
      </c>
      <c r="E833" s="1144">
        <v>0.31790000000000002</v>
      </c>
      <c r="F833" s="1145" t="s">
        <v>1660</v>
      </c>
      <c r="G833" s="1146" t="s">
        <v>1661</v>
      </c>
      <c r="H833" s="1147" t="s">
        <v>125</v>
      </c>
      <c r="I833" s="1146"/>
      <c r="J833" s="1148" t="s">
        <v>221</v>
      </c>
      <c r="K833" s="1" t="s">
        <v>125</v>
      </c>
      <c r="M833" s="1" t="s">
        <v>1020</v>
      </c>
    </row>
    <row r="834" spans="2:13" ht="15" hidden="1" customHeight="1" outlineLevel="1" x14ac:dyDescent="0.25">
      <c r="B834" s="1142" t="s">
        <v>830</v>
      </c>
      <c r="C834" s="1143"/>
      <c r="D834" s="1143" t="s">
        <v>992</v>
      </c>
      <c r="E834" s="1144">
        <v>2.1070000000000002</v>
      </c>
      <c r="F834" s="1145" t="s">
        <v>1660</v>
      </c>
      <c r="G834" s="1146" t="s">
        <v>1661</v>
      </c>
      <c r="H834" s="1147" t="s">
        <v>125</v>
      </c>
      <c r="I834" s="1146"/>
      <c r="J834" s="1148" t="s">
        <v>221</v>
      </c>
      <c r="K834" s="1" t="s">
        <v>125</v>
      </c>
      <c r="M834" s="1" t="s">
        <v>1021</v>
      </c>
    </row>
    <row r="835" spans="2:13" ht="15" hidden="1" customHeight="1" outlineLevel="1" x14ac:dyDescent="0.25">
      <c r="B835" s="1142" t="s">
        <v>830</v>
      </c>
      <c r="C835" s="1143"/>
      <c r="D835" s="1143" t="s">
        <v>993</v>
      </c>
      <c r="E835" s="1144">
        <v>3.2160000000000002</v>
      </c>
      <c r="F835" s="1145" t="s">
        <v>1660</v>
      </c>
      <c r="G835" s="1146" t="s">
        <v>1661</v>
      </c>
      <c r="H835" s="1147" t="s">
        <v>125</v>
      </c>
      <c r="I835" s="1146"/>
      <c r="J835" s="1148" t="s">
        <v>221</v>
      </c>
      <c r="K835" s="1" t="s">
        <v>125</v>
      </c>
      <c r="M835" s="1" t="s">
        <v>1022</v>
      </c>
    </row>
    <row r="836" spans="2:13" ht="15" hidden="1" customHeight="1" outlineLevel="1" x14ac:dyDescent="0.25">
      <c r="B836" s="1142" t="s">
        <v>994</v>
      </c>
      <c r="C836" s="1143"/>
      <c r="D836" s="1143" t="s">
        <v>834</v>
      </c>
      <c r="E836" s="1144">
        <v>3965</v>
      </c>
      <c r="F836" s="1145" t="s">
        <v>1660</v>
      </c>
      <c r="G836" s="1146" t="s">
        <v>718</v>
      </c>
      <c r="H836" s="1147" t="s">
        <v>125</v>
      </c>
      <c r="I836" s="1146"/>
      <c r="J836" s="1148" t="s">
        <v>304</v>
      </c>
      <c r="K836" s="1" t="s">
        <v>125</v>
      </c>
      <c r="M836" s="1" t="s">
        <v>1023</v>
      </c>
    </row>
    <row r="837" spans="2:13" ht="15" hidden="1" customHeight="1" outlineLevel="1" x14ac:dyDescent="0.25">
      <c r="B837" s="1142" t="s">
        <v>994</v>
      </c>
      <c r="C837" s="1143"/>
      <c r="D837" s="1143" t="s">
        <v>834</v>
      </c>
      <c r="E837" s="1144">
        <v>4.4039999999999999</v>
      </c>
      <c r="F837" s="1145" t="s">
        <v>1660</v>
      </c>
      <c r="G837" s="1146" t="s">
        <v>718</v>
      </c>
      <c r="H837" s="1147" t="s">
        <v>125</v>
      </c>
      <c r="I837" s="1146"/>
      <c r="J837" s="1148" t="s">
        <v>304</v>
      </c>
      <c r="K837" s="1" t="s">
        <v>125</v>
      </c>
      <c r="M837" s="1" t="s">
        <v>1053</v>
      </c>
    </row>
    <row r="838" spans="2:13" ht="15" hidden="1" customHeight="1" outlineLevel="1" x14ac:dyDescent="0.25">
      <c r="B838" s="1142" t="s">
        <v>994</v>
      </c>
      <c r="C838" s="1143"/>
      <c r="D838" s="1143" t="s">
        <v>1054</v>
      </c>
      <c r="E838" s="1144">
        <v>3.1619999999999999</v>
      </c>
      <c r="F838" s="1145" t="s">
        <v>1660</v>
      </c>
      <c r="G838" s="1146" t="s">
        <v>720</v>
      </c>
      <c r="H838" s="1147" t="s">
        <v>125</v>
      </c>
      <c r="I838" s="1146"/>
      <c r="J838" s="1148" t="s">
        <v>304</v>
      </c>
      <c r="K838" s="1" t="s">
        <v>125</v>
      </c>
      <c r="M838" s="1" t="s">
        <v>1055</v>
      </c>
    </row>
    <row r="839" spans="2:13" ht="15" hidden="1" customHeight="1" outlineLevel="1" x14ac:dyDescent="0.25">
      <c r="B839" s="1142" t="s">
        <v>839</v>
      </c>
      <c r="C839" s="1143"/>
      <c r="D839" s="1143" t="s">
        <v>925</v>
      </c>
      <c r="E839" s="1144">
        <v>176</v>
      </c>
      <c r="F839" s="1145" t="s">
        <v>125</v>
      </c>
      <c r="G839" s="1146"/>
      <c r="H839" s="1147" t="s">
        <v>125</v>
      </c>
      <c r="I839" s="1146"/>
      <c r="J839" s="1148" t="s">
        <v>221</v>
      </c>
      <c r="K839" s="1" t="s">
        <v>125</v>
      </c>
      <c r="M839" s="1" t="s">
        <v>1024</v>
      </c>
    </row>
    <row r="840" spans="2:13" ht="15" hidden="1" customHeight="1" outlineLevel="1" x14ac:dyDescent="0.25">
      <c r="B840" s="1142" t="s">
        <v>839</v>
      </c>
      <c r="C840" s="1143"/>
      <c r="D840" s="1143" t="s">
        <v>925</v>
      </c>
      <c r="E840" s="1144">
        <v>22.45</v>
      </c>
      <c r="F840" s="1145" t="s">
        <v>1660</v>
      </c>
      <c r="G840" s="1146" t="s">
        <v>1661</v>
      </c>
      <c r="H840" s="1147" t="s">
        <v>125</v>
      </c>
      <c r="I840" s="1146"/>
      <c r="J840" s="1148" t="s">
        <v>221</v>
      </c>
      <c r="K840" s="1" t="s">
        <v>125</v>
      </c>
      <c r="M840" s="1" t="s">
        <v>1025</v>
      </c>
    </row>
    <row r="841" spans="2:13" ht="15" hidden="1" customHeight="1" outlineLevel="1" x14ac:dyDescent="0.25">
      <c r="B841" s="1142" t="s">
        <v>839</v>
      </c>
      <c r="C841" s="1143"/>
      <c r="D841" s="1143" t="s">
        <v>843</v>
      </c>
      <c r="E841" s="1144">
        <v>0.70709999999999995</v>
      </c>
      <c r="F841" s="1145" t="s">
        <v>1660</v>
      </c>
      <c r="G841" s="1146" t="s">
        <v>1661</v>
      </c>
      <c r="H841" s="1147" t="s">
        <v>1660</v>
      </c>
      <c r="I841" s="1146" t="s">
        <v>1558</v>
      </c>
      <c r="J841" s="1148" t="s">
        <v>221</v>
      </c>
      <c r="K841" s="1" t="s">
        <v>125</v>
      </c>
      <c r="M841" s="1" t="s">
        <v>1026</v>
      </c>
    </row>
    <row r="842" spans="2:13" ht="15" hidden="1" customHeight="1" outlineLevel="1" x14ac:dyDescent="0.25">
      <c r="B842" s="1142" t="s">
        <v>839</v>
      </c>
      <c r="C842" s="1143"/>
      <c r="D842" s="1143" t="s">
        <v>843</v>
      </c>
      <c r="E842" s="1144">
        <v>0.2298</v>
      </c>
      <c r="F842" s="1145" t="s">
        <v>1660</v>
      </c>
      <c r="G842" s="1146" t="s">
        <v>1661</v>
      </c>
      <c r="H842" s="1147" t="s">
        <v>1660</v>
      </c>
      <c r="I842" s="1146" t="s">
        <v>2011</v>
      </c>
      <c r="J842" s="1148" t="s">
        <v>221</v>
      </c>
      <c r="K842" s="1" t="s">
        <v>125</v>
      </c>
      <c r="M842" s="1" t="s">
        <v>1027</v>
      </c>
    </row>
    <row r="843" spans="2:13" ht="15" hidden="1" customHeight="1" outlineLevel="1" x14ac:dyDescent="0.25">
      <c r="B843" s="1142" t="s">
        <v>839</v>
      </c>
      <c r="C843" s="1143"/>
      <c r="D843" s="1143" t="s">
        <v>846</v>
      </c>
      <c r="E843" s="1144">
        <v>3.0310000000000001</v>
      </c>
      <c r="F843" s="1145" t="s">
        <v>1660</v>
      </c>
      <c r="G843" s="1146" t="s">
        <v>1661</v>
      </c>
      <c r="H843" s="1147" t="s">
        <v>125</v>
      </c>
      <c r="I843" s="1146"/>
      <c r="J843" s="1148" t="s">
        <v>221</v>
      </c>
      <c r="K843" s="1" t="s">
        <v>125</v>
      </c>
      <c r="M843" s="1" t="s">
        <v>1028</v>
      </c>
    </row>
    <row r="844" spans="2:13" ht="15" hidden="1" customHeight="1" outlineLevel="1" x14ac:dyDescent="0.25">
      <c r="B844" s="1142" t="s">
        <v>839</v>
      </c>
      <c r="C844" s="1143"/>
      <c r="D844" s="1143" t="s">
        <v>995</v>
      </c>
      <c r="E844" s="1144">
        <v>0.315</v>
      </c>
      <c r="F844" s="1145" t="s">
        <v>1660</v>
      </c>
      <c r="G844" s="1146" t="s">
        <v>1661</v>
      </c>
      <c r="H844" s="1147" t="s">
        <v>125</v>
      </c>
      <c r="I844" s="1146"/>
      <c r="J844" s="1148" t="s">
        <v>221</v>
      </c>
      <c r="K844" s="1" t="s">
        <v>125</v>
      </c>
      <c r="M844" s="1" t="s">
        <v>1029</v>
      </c>
    </row>
    <row r="845" spans="2:13" ht="15" hidden="1" customHeight="1" outlineLevel="1" x14ac:dyDescent="0.25">
      <c r="B845" s="1142" t="s">
        <v>839</v>
      </c>
      <c r="C845" s="1143"/>
      <c r="D845" s="1143" t="s">
        <v>996</v>
      </c>
      <c r="E845" s="1144">
        <v>0</v>
      </c>
      <c r="F845" s="1145" t="s">
        <v>125</v>
      </c>
      <c r="G845" s="1146"/>
      <c r="H845" s="1147" t="s">
        <v>125</v>
      </c>
      <c r="I845" s="1146"/>
      <c r="J845" s="1148" t="s">
        <v>221</v>
      </c>
      <c r="K845" s="1" t="s">
        <v>125</v>
      </c>
      <c r="M845" s="1" t="s">
        <v>999</v>
      </c>
    </row>
    <row r="846" spans="2:13" ht="15" hidden="1" customHeight="1" outlineLevel="1" x14ac:dyDescent="0.25">
      <c r="B846" s="1142" t="s">
        <v>839</v>
      </c>
      <c r="C846" s="1143"/>
      <c r="D846" s="1143" t="s">
        <v>843</v>
      </c>
      <c r="E846" s="1144">
        <v>0.54830000000000001</v>
      </c>
      <c r="F846" s="1145" t="s">
        <v>1660</v>
      </c>
      <c r="G846" s="1146" t="s">
        <v>683</v>
      </c>
      <c r="H846" s="1147" t="s">
        <v>1660</v>
      </c>
      <c r="I846" s="1146" t="s">
        <v>1561</v>
      </c>
      <c r="J846" s="1148" t="s">
        <v>221</v>
      </c>
      <c r="K846" s="1" t="s">
        <v>125</v>
      </c>
      <c r="M846" s="1" t="s">
        <v>1030</v>
      </c>
    </row>
    <row r="847" spans="2:13" ht="15" hidden="1" customHeight="1" outlineLevel="1" x14ac:dyDescent="0.25">
      <c r="B847" s="1142" t="s">
        <v>839</v>
      </c>
      <c r="C847" s="1143"/>
      <c r="D847" s="1143" t="s">
        <v>843</v>
      </c>
      <c r="E847" s="1144">
        <v>0.1782</v>
      </c>
      <c r="F847" s="1145" t="s">
        <v>1660</v>
      </c>
      <c r="G847" s="1146" t="s">
        <v>683</v>
      </c>
      <c r="H847" s="1147" t="s">
        <v>1660</v>
      </c>
      <c r="I847" s="1146" t="s">
        <v>1562</v>
      </c>
      <c r="J847" s="1148" t="s">
        <v>221</v>
      </c>
      <c r="K847" s="1" t="s">
        <v>125</v>
      </c>
      <c r="M847" s="1" t="s">
        <v>1031</v>
      </c>
    </row>
    <row r="848" spans="2:13" ht="15" hidden="1" customHeight="1" outlineLevel="1" x14ac:dyDescent="0.25">
      <c r="B848" s="1142" t="s">
        <v>839</v>
      </c>
      <c r="C848" s="1143"/>
      <c r="D848" s="1143" t="s">
        <v>846</v>
      </c>
      <c r="E848" s="1144">
        <v>8.4730000000000008</v>
      </c>
      <c r="F848" s="1145" t="s">
        <v>1660</v>
      </c>
      <c r="G848" s="1146" t="s">
        <v>683</v>
      </c>
      <c r="H848" s="1147" t="s">
        <v>1660</v>
      </c>
      <c r="I848" s="1146" t="s">
        <v>1564</v>
      </c>
      <c r="J848" s="1148" t="s">
        <v>221</v>
      </c>
      <c r="K848" s="1" t="s">
        <v>125</v>
      </c>
      <c r="M848" s="1" t="s">
        <v>1032</v>
      </c>
    </row>
    <row r="849" spans="2:13" ht="15" hidden="1" customHeight="1" outlineLevel="1" x14ac:dyDescent="0.25">
      <c r="B849" s="1142" t="s">
        <v>839</v>
      </c>
      <c r="C849" s="1143"/>
      <c r="D849" s="1143" t="s">
        <v>843</v>
      </c>
      <c r="E849" s="1144">
        <v>0.35489999999999999</v>
      </c>
      <c r="F849" s="1145" t="s">
        <v>125</v>
      </c>
      <c r="G849" s="1146"/>
      <c r="H849" s="1147" t="s">
        <v>125</v>
      </c>
      <c r="I849" s="1146"/>
      <c r="J849" s="1148" t="s">
        <v>221</v>
      </c>
      <c r="K849" s="1" t="s">
        <v>125</v>
      </c>
      <c r="M849" s="1" t="s">
        <v>1033</v>
      </c>
    </row>
    <row r="850" spans="2:13" ht="15" hidden="1" customHeight="1" outlineLevel="1" x14ac:dyDescent="0.25">
      <c r="B850" s="1142" t="s">
        <v>839</v>
      </c>
      <c r="C850" s="1143"/>
      <c r="D850" s="1143" t="s">
        <v>843</v>
      </c>
      <c r="E850" s="1144">
        <v>7.9850000000000004E-2</v>
      </c>
      <c r="F850" s="1145" t="s">
        <v>125</v>
      </c>
      <c r="G850" s="1146"/>
      <c r="H850" s="1147" t="s">
        <v>125</v>
      </c>
      <c r="I850" s="1146"/>
      <c r="J850" s="1148" t="s">
        <v>221</v>
      </c>
      <c r="K850" s="1" t="s">
        <v>125</v>
      </c>
      <c r="M850" s="1" t="s">
        <v>1034</v>
      </c>
    </row>
    <row r="851" spans="2:13" ht="15" hidden="1" customHeight="1" outlineLevel="1" x14ac:dyDescent="0.25">
      <c r="B851" s="1142" t="s">
        <v>931</v>
      </c>
      <c r="C851" s="1143"/>
      <c r="D851" s="1143" t="s">
        <v>932</v>
      </c>
      <c r="E851" s="1144">
        <v>59.79</v>
      </c>
      <c r="F851" s="1145" t="s">
        <v>1660</v>
      </c>
      <c r="G851" s="1146" t="s">
        <v>1661</v>
      </c>
      <c r="H851" s="1147" t="s">
        <v>1660</v>
      </c>
      <c r="I851" s="1146" t="s">
        <v>1691</v>
      </c>
      <c r="J851" s="1148" t="s">
        <v>221</v>
      </c>
      <c r="K851" s="1" t="s">
        <v>125</v>
      </c>
      <c r="M851" s="1" t="s">
        <v>1025</v>
      </c>
    </row>
    <row r="852" spans="2:13" ht="15" hidden="1" customHeight="1" outlineLevel="1" x14ac:dyDescent="0.25">
      <c r="B852" s="1142" t="s">
        <v>931</v>
      </c>
      <c r="C852" s="1143"/>
      <c r="D852" s="1143" t="s">
        <v>947</v>
      </c>
      <c r="E852" s="1144">
        <v>0.48570000000000002</v>
      </c>
      <c r="F852" s="1145" t="s">
        <v>1660</v>
      </c>
      <c r="G852" s="1146" t="s">
        <v>1661</v>
      </c>
      <c r="H852" s="1147" t="s">
        <v>125</v>
      </c>
      <c r="I852" s="1146"/>
      <c r="J852" s="1148" t="s">
        <v>221</v>
      </c>
      <c r="K852" s="1" t="s">
        <v>125</v>
      </c>
      <c r="M852" s="1" t="s">
        <v>1035</v>
      </c>
    </row>
    <row r="853" spans="2:13" ht="15" hidden="1" customHeight="1" outlineLevel="1" x14ac:dyDescent="0.25">
      <c r="B853" s="1142" t="s">
        <v>931</v>
      </c>
      <c r="C853" s="1143"/>
      <c r="D853" s="1143" t="s">
        <v>934</v>
      </c>
      <c r="E853" s="1144">
        <v>34.86</v>
      </c>
      <c r="F853" s="1145" t="s">
        <v>1660</v>
      </c>
      <c r="G853" s="1146" t="s">
        <v>2012</v>
      </c>
      <c r="H853" s="1147" t="s">
        <v>1660</v>
      </c>
      <c r="I853" s="1146" t="s">
        <v>2013</v>
      </c>
      <c r="J853" s="1148" t="s">
        <v>935</v>
      </c>
      <c r="K853" s="1" t="s">
        <v>125</v>
      </c>
      <c r="M853" s="1" t="s">
        <v>1036</v>
      </c>
    </row>
    <row r="854" spans="2:13" ht="15" hidden="1" customHeight="1" outlineLevel="1" x14ac:dyDescent="0.25">
      <c r="B854" s="1142" t="s">
        <v>931</v>
      </c>
      <c r="C854" s="1143"/>
      <c r="D854" s="1143" t="s">
        <v>937</v>
      </c>
      <c r="E854" s="1144">
        <v>20760</v>
      </c>
      <c r="F854" s="1145" t="s">
        <v>1660</v>
      </c>
      <c r="G854" s="1146" t="s">
        <v>2014</v>
      </c>
      <c r="H854" s="1147" t="s">
        <v>1660</v>
      </c>
      <c r="I854" s="1146" t="s">
        <v>2015</v>
      </c>
      <c r="J854" s="1148" t="s">
        <v>935</v>
      </c>
      <c r="K854" s="1" t="s">
        <v>125</v>
      </c>
      <c r="M854" s="1" t="s">
        <v>1036</v>
      </c>
    </row>
    <row r="855" spans="2:13" ht="15" hidden="1" customHeight="1" outlineLevel="1" x14ac:dyDescent="0.25">
      <c r="B855" s="1142" t="s">
        <v>931</v>
      </c>
      <c r="C855" s="1143"/>
      <c r="D855" s="1143" t="s">
        <v>938</v>
      </c>
      <c r="E855" s="1144">
        <v>3236</v>
      </c>
      <c r="F855" s="1145" t="s">
        <v>1660</v>
      </c>
      <c r="G855" s="1146" t="s">
        <v>2016</v>
      </c>
      <c r="H855" s="1147" t="s">
        <v>1660</v>
      </c>
      <c r="I855" s="1146" t="s">
        <v>2017</v>
      </c>
      <c r="J855" s="1148" t="s">
        <v>935</v>
      </c>
      <c r="K855" s="1" t="s">
        <v>125</v>
      </c>
      <c r="M855" s="1" t="s">
        <v>1036</v>
      </c>
    </row>
    <row r="856" spans="2:13" ht="15" hidden="1" customHeight="1" outlineLevel="1" x14ac:dyDescent="0.25">
      <c r="B856" s="1142" t="s">
        <v>931</v>
      </c>
      <c r="C856" s="1143"/>
      <c r="D856" s="1143" t="s">
        <v>939</v>
      </c>
      <c r="E856" s="1144">
        <v>0.67049999999999998</v>
      </c>
      <c r="F856" s="1145" t="s">
        <v>1660</v>
      </c>
      <c r="G856" s="1146" t="s">
        <v>2018</v>
      </c>
      <c r="H856" s="1147" t="s">
        <v>1660</v>
      </c>
      <c r="I856" s="1146" t="s">
        <v>2019</v>
      </c>
      <c r="J856" s="1148" t="s">
        <v>935</v>
      </c>
      <c r="K856" s="1" t="s">
        <v>125</v>
      </c>
      <c r="M856" s="1" t="s">
        <v>1036</v>
      </c>
    </row>
    <row r="857" spans="2:13" ht="15" hidden="1" customHeight="1" outlineLevel="1" x14ac:dyDescent="0.25">
      <c r="B857" s="1142" t="s">
        <v>931</v>
      </c>
      <c r="C857" s="1143"/>
      <c r="D857" s="1143" t="s">
        <v>940</v>
      </c>
      <c r="E857" s="1144">
        <v>0</v>
      </c>
      <c r="F857" s="1145" t="s">
        <v>125</v>
      </c>
      <c r="G857" s="1146"/>
      <c r="H857" s="1147" t="s">
        <v>125</v>
      </c>
      <c r="I857" s="1146"/>
      <c r="J857" s="1148" t="s">
        <v>935</v>
      </c>
      <c r="K857" s="1" t="s">
        <v>125</v>
      </c>
      <c r="M857" s="1" t="s">
        <v>1036</v>
      </c>
    </row>
    <row r="858" spans="2:13" ht="15" hidden="1" customHeight="1" outlineLevel="1" x14ac:dyDescent="0.25">
      <c r="B858" s="1142" t="s">
        <v>931</v>
      </c>
      <c r="C858" s="1143"/>
      <c r="D858" s="1143" t="s">
        <v>941</v>
      </c>
      <c r="E858" s="1144">
        <v>229.4</v>
      </c>
      <c r="F858" s="1145" t="s">
        <v>1660</v>
      </c>
      <c r="G858" s="1146" t="s">
        <v>2020</v>
      </c>
      <c r="H858" s="1147" t="s">
        <v>1660</v>
      </c>
      <c r="I858" s="1146" t="s">
        <v>2021</v>
      </c>
      <c r="J858" s="1148" t="s">
        <v>935</v>
      </c>
      <c r="K858" s="1" t="s">
        <v>125</v>
      </c>
      <c r="M858" s="1" t="s">
        <v>1036</v>
      </c>
    </row>
    <row r="859" spans="2:13" ht="15" hidden="1" customHeight="1" outlineLevel="1" x14ac:dyDescent="0.25">
      <c r="B859" s="1142" t="s">
        <v>931</v>
      </c>
      <c r="C859" s="1143"/>
      <c r="D859" s="1143" t="s">
        <v>942</v>
      </c>
      <c r="E859" s="1144">
        <v>27500</v>
      </c>
      <c r="F859" s="1145" t="s">
        <v>1660</v>
      </c>
      <c r="G859" s="1146" t="s">
        <v>2022</v>
      </c>
      <c r="H859" s="1147" t="s">
        <v>1660</v>
      </c>
      <c r="I859" s="1146" t="s">
        <v>2023</v>
      </c>
      <c r="J859" s="1148" t="s">
        <v>935</v>
      </c>
      <c r="K859" s="1" t="s">
        <v>125</v>
      </c>
      <c r="M859" s="1" t="s">
        <v>1036</v>
      </c>
    </row>
    <row r="860" spans="2:13" ht="15" hidden="1" customHeight="1" outlineLevel="1" x14ac:dyDescent="0.25">
      <c r="B860" s="1142" t="s">
        <v>931</v>
      </c>
      <c r="C860" s="1143"/>
      <c r="D860" s="1143" t="s">
        <v>932</v>
      </c>
      <c r="E860" s="1144">
        <v>46.35</v>
      </c>
      <c r="F860" s="1145" t="s">
        <v>1660</v>
      </c>
      <c r="G860" s="1146" t="s">
        <v>683</v>
      </c>
      <c r="H860" s="1147" t="s">
        <v>1660</v>
      </c>
      <c r="I860" s="1146" t="s">
        <v>1704</v>
      </c>
      <c r="J860" s="1148" t="s">
        <v>221</v>
      </c>
      <c r="K860" s="1" t="s">
        <v>125</v>
      </c>
      <c r="M860" s="1" t="s">
        <v>1032</v>
      </c>
    </row>
    <row r="861" spans="2:13" ht="15" hidden="1" customHeight="1" outlineLevel="1" x14ac:dyDescent="0.25">
      <c r="B861" s="1142" t="s">
        <v>931</v>
      </c>
      <c r="C861" s="1143"/>
      <c r="D861" s="1143" t="s">
        <v>947</v>
      </c>
      <c r="E861" s="1144">
        <v>0.4667</v>
      </c>
      <c r="F861" s="1145" t="s">
        <v>1660</v>
      </c>
      <c r="G861" s="1146" t="s">
        <v>684</v>
      </c>
      <c r="H861" s="1147" t="s">
        <v>125</v>
      </c>
      <c r="I861" s="1146"/>
      <c r="J861" s="1148" t="s">
        <v>221</v>
      </c>
      <c r="K861" s="1" t="s">
        <v>125</v>
      </c>
      <c r="M861" s="1" t="s">
        <v>1037</v>
      </c>
    </row>
    <row r="862" spans="2:13" ht="15" hidden="1" customHeight="1" outlineLevel="1" x14ac:dyDescent="0.25">
      <c r="B862" s="1142" t="s">
        <v>931</v>
      </c>
      <c r="C862" s="1143"/>
      <c r="D862" s="1143" t="s">
        <v>932</v>
      </c>
      <c r="E862" s="1144">
        <v>30</v>
      </c>
      <c r="F862" s="1145" t="s">
        <v>125</v>
      </c>
      <c r="G862" s="1146"/>
      <c r="H862" s="1147" t="s">
        <v>125</v>
      </c>
      <c r="I862" s="1108"/>
      <c r="J862" s="1148" t="s">
        <v>221</v>
      </c>
      <c r="K862" s="1" t="s">
        <v>125</v>
      </c>
      <c r="M862" s="1" t="s">
        <v>1038</v>
      </c>
    </row>
    <row r="863" spans="2:13" ht="15" hidden="1" customHeight="1" outlineLevel="1" x14ac:dyDescent="0.25">
      <c r="B863" s="1142" t="s">
        <v>945</v>
      </c>
      <c r="C863" s="1143" t="s">
        <v>946</v>
      </c>
      <c r="D863" s="1143" t="s">
        <v>934</v>
      </c>
      <c r="E863" s="1144">
        <v>1475</v>
      </c>
      <c r="F863" s="1145" t="s">
        <v>1660</v>
      </c>
      <c r="G863" s="1146" t="s">
        <v>2024</v>
      </c>
      <c r="H863" s="1147" t="s">
        <v>1660</v>
      </c>
      <c r="I863" s="1146" t="s">
        <v>2025</v>
      </c>
      <c r="J863" s="1148" t="s">
        <v>935</v>
      </c>
      <c r="K863" s="1" t="s">
        <v>125</v>
      </c>
      <c r="M863" s="1" t="s">
        <v>1036</v>
      </c>
    </row>
    <row r="864" spans="2:13" ht="15" hidden="1" customHeight="1" outlineLevel="1" x14ac:dyDescent="0.25">
      <c r="B864" s="1142" t="s">
        <v>945</v>
      </c>
      <c r="C864" s="1143" t="s">
        <v>946</v>
      </c>
      <c r="D864" s="1143" t="s">
        <v>937</v>
      </c>
      <c r="E864" s="1144">
        <v>149200</v>
      </c>
      <c r="F864" s="1145" t="s">
        <v>1660</v>
      </c>
      <c r="G864" s="1146" t="s">
        <v>2026</v>
      </c>
      <c r="H864" s="1147" t="s">
        <v>1660</v>
      </c>
      <c r="I864" s="1146" t="s">
        <v>2027</v>
      </c>
      <c r="J864" s="1148" t="s">
        <v>935</v>
      </c>
      <c r="K864" s="1" t="s">
        <v>125</v>
      </c>
      <c r="M864" s="1" t="s">
        <v>1036</v>
      </c>
    </row>
    <row r="865" spans="2:13" ht="15" hidden="1" customHeight="1" outlineLevel="1" x14ac:dyDescent="0.25">
      <c r="B865" s="1142" t="s">
        <v>945</v>
      </c>
      <c r="C865" s="1143" t="s">
        <v>946</v>
      </c>
      <c r="D865" s="1143" t="s">
        <v>938</v>
      </c>
      <c r="E865" s="1144">
        <v>1507</v>
      </c>
      <c r="F865" s="1145" t="s">
        <v>1660</v>
      </c>
      <c r="G865" s="1146" t="s">
        <v>2028</v>
      </c>
      <c r="H865" s="1147" t="s">
        <v>1660</v>
      </c>
      <c r="I865" s="1146" t="s">
        <v>2029</v>
      </c>
      <c r="J865" s="1148" t="s">
        <v>935</v>
      </c>
      <c r="K865" s="1" t="s">
        <v>125</v>
      </c>
      <c r="M865" s="1" t="s">
        <v>1036</v>
      </c>
    </row>
    <row r="866" spans="2:13" ht="15" hidden="1" customHeight="1" outlineLevel="1" x14ac:dyDescent="0.25">
      <c r="B866" s="1142" t="s">
        <v>945</v>
      </c>
      <c r="C866" s="1143" t="s">
        <v>946</v>
      </c>
      <c r="D866" s="1143" t="s">
        <v>939</v>
      </c>
      <c r="E866" s="1144">
        <v>46.09</v>
      </c>
      <c r="F866" s="1145" t="s">
        <v>1660</v>
      </c>
      <c r="G866" s="1146" t="s">
        <v>2030</v>
      </c>
      <c r="H866" s="1147" t="s">
        <v>1660</v>
      </c>
      <c r="I866" s="1146" t="s">
        <v>2031</v>
      </c>
      <c r="J866" s="1148" t="s">
        <v>935</v>
      </c>
      <c r="K866" s="1" t="s">
        <v>125</v>
      </c>
      <c r="M866" s="1" t="s">
        <v>1036</v>
      </c>
    </row>
    <row r="867" spans="2:13" ht="15" hidden="1" customHeight="1" outlineLevel="1" x14ac:dyDescent="0.25">
      <c r="B867" s="1142" t="s">
        <v>945</v>
      </c>
      <c r="C867" s="1143" t="s">
        <v>946</v>
      </c>
      <c r="D867" s="1143" t="s">
        <v>940</v>
      </c>
      <c r="E867" s="1144">
        <v>11520</v>
      </c>
      <c r="F867" s="1145" t="s">
        <v>1660</v>
      </c>
      <c r="G867" s="1146" t="s">
        <v>2032</v>
      </c>
      <c r="H867" s="1147" t="s">
        <v>1660</v>
      </c>
      <c r="I867" s="1146" t="s">
        <v>2033</v>
      </c>
      <c r="J867" s="1148" t="s">
        <v>935</v>
      </c>
      <c r="K867" s="1" t="s">
        <v>125</v>
      </c>
      <c r="M867" s="1" t="s">
        <v>1036</v>
      </c>
    </row>
    <row r="868" spans="2:13" ht="15" hidden="1" customHeight="1" outlineLevel="1" x14ac:dyDescent="0.25">
      <c r="B868" s="1142" t="s">
        <v>945</v>
      </c>
      <c r="C868" s="1143" t="s">
        <v>946</v>
      </c>
      <c r="D868" s="1143" t="s">
        <v>941</v>
      </c>
      <c r="E868" s="1144">
        <v>10780</v>
      </c>
      <c r="F868" s="1145" t="s">
        <v>1660</v>
      </c>
      <c r="G868" s="1146" t="s">
        <v>2034</v>
      </c>
      <c r="H868" s="1147" t="s">
        <v>1660</v>
      </c>
      <c r="I868" s="1108" t="s">
        <v>2035</v>
      </c>
      <c r="J868" s="1148" t="s">
        <v>935</v>
      </c>
      <c r="K868" s="1" t="s">
        <v>125</v>
      </c>
      <c r="M868" s="1" t="s">
        <v>1036</v>
      </c>
    </row>
    <row r="869" spans="2:13" ht="15" hidden="1" customHeight="1" outlineLevel="1" x14ac:dyDescent="0.25">
      <c r="B869" s="1149" t="s">
        <v>945</v>
      </c>
      <c r="C869" s="1150" t="s">
        <v>946</v>
      </c>
      <c r="D869" s="1150" t="s">
        <v>942</v>
      </c>
      <c r="E869" s="1151">
        <v>423200</v>
      </c>
      <c r="F869" s="1152" t="s">
        <v>1660</v>
      </c>
      <c r="G869" s="1158" t="s">
        <v>2036</v>
      </c>
      <c r="H869" s="1154" t="s">
        <v>1660</v>
      </c>
      <c r="I869" s="1158" t="s">
        <v>2037</v>
      </c>
      <c r="J869" s="1155" t="s">
        <v>935</v>
      </c>
      <c r="K869" s="1" t="s">
        <v>125</v>
      </c>
      <c r="M869" s="1" t="s">
        <v>1036</v>
      </c>
    </row>
    <row r="870" spans="2:13" ht="15" customHeight="1" x14ac:dyDescent="0.25">
      <c r="D870" s="1159"/>
      <c r="E870" s="1160"/>
      <c r="F870" s="1161" t="s">
        <v>125</v>
      </c>
      <c r="G870" s="672"/>
      <c r="H870" s="1162" t="s">
        <v>125</v>
      </c>
      <c r="I870" s="672"/>
      <c r="J870" s="672"/>
    </row>
    <row r="871" spans="2:13" ht="15" customHeight="1" collapsed="1" x14ac:dyDescent="0.25">
      <c r="B871" s="1164" t="s">
        <v>825</v>
      </c>
      <c r="C871" s="1165"/>
      <c r="D871" s="1208" t="s">
        <v>1106</v>
      </c>
      <c r="E871" s="1166">
        <v>1333</v>
      </c>
      <c r="F871" s="1167" t="s">
        <v>1660</v>
      </c>
      <c r="G871" s="1168" t="s">
        <v>2038</v>
      </c>
      <c r="H871" s="1169" t="s">
        <v>125</v>
      </c>
      <c r="I871" s="1168"/>
      <c r="J871" s="246" t="s">
        <v>221</v>
      </c>
      <c r="K871" s="292">
        <v>100</v>
      </c>
    </row>
    <row r="872" spans="2:13" ht="15" hidden="1" customHeight="1" outlineLevel="1" x14ac:dyDescent="0.25">
      <c r="B872" s="1137" t="s">
        <v>827</v>
      </c>
      <c r="C872" s="1138" t="s">
        <v>979</v>
      </c>
      <c r="D872" s="1138" t="s">
        <v>980</v>
      </c>
      <c r="E872" s="1139">
        <v>0</v>
      </c>
      <c r="F872" s="1145" t="s">
        <v>125</v>
      </c>
      <c r="G872" s="1146"/>
      <c r="H872" s="1147" t="s">
        <v>125</v>
      </c>
      <c r="I872" s="954"/>
      <c r="J872" s="955" t="s">
        <v>186</v>
      </c>
      <c r="K872" s="1" t="s">
        <v>125</v>
      </c>
      <c r="M872" s="1" t="s">
        <v>997</v>
      </c>
    </row>
    <row r="873" spans="2:13" ht="15" hidden="1" customHeight="1" outlineLevel="1" x14ac:dyDescent="0.25">
      <c r="B873" s="1142" t="s">
        <v>827</v>
      </c>
      <c r="C873" s="1143" t="s">
        <v>981</v>
      </c>
      <c r="D873" s="1143" t="s">
        <v>982</v>
      </c>
      <c r="E873" s="1144">
        <v>10000</v>
      </c>
      <c r="F873" s="1145" t="s">
        <v>125</v>
      </c>
      <c r="G873" s="1146"/>
      <c r="H873" s="1147" t="s">
        <v>125</v>
      </c>
      <c r="I873" s="1146"/>
      <c r="J873" s="1148" t="s">
        <v>181</v>
      </c>
      <c r="K873" s="1" t="s">
        <v>125</v>
      </c>
      <c r="M873" s="1" t="s">
        <v>998</v>
      </c>
    </row>
    <row r="874" spans="2:13" ht="15" hidden="1" customHeight="1" outlineLevel="1" x14ac:dyDescent="0.25">
      <c r="B874" s="1142" t="s">
        <v>827</v>
      </c>
      <c r="C874" s="1143" t="s">
        <v>981</v>
      </c>
      <c r="D874" s="1143" t="s">
        <v>983</v>
      </c>
      <c r="E874" s="1144">
        <v>0</v>
      </c>
      <c r="F874" s="1145" t="s">
        <v>125</v>
      </c>
      <c r="G874" s="1146"/>
      <c r="H874" s="1147" t="s">
        <v>125</v>
      </c>
      <c r="I874" s="1146"/>
      <c r="J874" s="1148" t="s">
        <v>182</v>
      </c>
      <c r="K874" s="1" t="s">
        <v>125</v>
      </c>
      <c r="M874" s="1" t="s">
        <v>999</v>
      </c>
    </row>
    <row r="875" spans="2:13" ht="15" hidden="1" customHeight="1" outlineLevel="1" x14ac:dyDescent="0.25">
      <c r="B875" s="1142" t="s">
        <v>827</v>
      </c>
      <c r="C875" s="1143" t="s">
        <v>981</v>
      </c>
      <c r="D875" s="1143" t="s">
        <v>984</v>
      </c>
      <c r="E875" s="1144">
        <v>0</v>
      </c>
      <c r="F875" s="1145" t="s">
        <v>125</v>
      </c>
      <c r="G875" s="1146"/>
      <c r="H875" s="1147" t="s">
        <v>125</v>
      </c>
      <c r="I875" s="1146"/>
      <c r="J875" s="1148" t="s">
        <v>182</v>
      </c>
      <c r="K875" s="1" t="s">
        <v>125</v>
      </c>
      <c r="M875" s="1" t="s">
        <v>999</v>
      </c>
    </row>
    <row r="876" spans="2:13" ht="15" hidden="1" customHeight="1" outlineLevel="1" x14ac:dyDescent="0.25">
      <c r="B876" s="1142" t="s">
        <v>827</v>
      </c>
      <c r="C876" s="1143" t="s">
        <v>981</v>
      </c>
      <c r="D876" s="1143" t="s">
        <v>985</v>
      </c>
      <c r="E876" s="1144">
        <v>0</v>
      </c>
      <c r="F876" s="1145" t="s">
        <v>125</v>
      </c>
      <c r="G876" s="1146"/>
      <c r="H876" s="1147" t="s">
        <v>125</v>
      </c>
      <c r="I876" s="1146"/>
      <c r="J876" s="1148" t="s">
        <v>182</v>
      </c>
      <c r="K876" s="1" t="s">
        <v>125</v>
      </c>
      <c r="M876" s="1" t="s">
        <v>999</v>
      </c>
    </row>
    <row r="877" spans="2:13" ht="15" hidden="1" customHeight="1" outlineLevel="1" x14ac:dyDescent="0.25">
      <c r="B877" s="1142" t="s">
        <v>827</v>
      </c>
      <c r="C877" s="1143" t="s">
        <v>981</v>
      </c>
      <c r="D877" s="1143" t="s">
        <v>986</v>
      </c>
      <c r="E877" s="1144">
        <v>0</v>
      </c>
      <c r="F877" s="1145" t="s">
        <v>125</v>
      </c>
      <c r="G877" s="1146"/>
      <c r="H877" s="1147" t="s">
        <v>125</v>
      </c>
      <c r="I877" s="1146"/>
      <c r="J877" s="1148" t="s">
        <v>182</v>
      </c>
      <c r="K877" s="1" t="s">
        <v>125</v>
      </c>
      <c r="M877" s="1" t="s">
        <v>999</v>
      </c>
    </row>
    <row r="878" spans="2:13" ht="15" hidden="1" customHeight="1" outlineLevel="1" x14ac:dyDescent="0.25">
      <c r="B878" s="1142" t="s">
        <v>827</v>
      </c>
      <c r="C878" s="1143" t="s">
        <v>981</v>
      </c>
      <c r="D878" s="1143" t="s">
        <v>987</v>
      </c>
      <c r="E878" s="1144">
        <v>0</v>
      </c>
      <c r="F878" s="1145" t="s">
        <v>125</v>
      </c>
      <c r="G878" s="1146"/>
      <c r="H878" s="1147" t="s">
        <v>125</v>
      </c>
      <c r="I878" s="1146"/>
      <c r="J878" s="1148" t="s">
        <v>182</v>
      </c>
      <c r="K878" s="1" t="s">
        <v>125</v>
      </c>
      <c r="M878" s="1" t="s">
        <v>999</v>
      </c>
    </row>
    <row r="879" spans="2:13" ht="15" hidden="1" customHeight="1" outlineLevel="1" x14ac:dyDescent="0.25">
      <c r="B879" s="1142" t="s">
        <v>830</v>
      </c>
      <c r="C879" s="1143"/>
      <c r="D879" s="1143" t="s">
        <v>665</v>
      </c>
      <c r="E879" s="1144">
        <v>3522</v>
      </c>
      <c r="F879" s="1145" t="s">
        <v>1660</v>
      </c>
      <c r="G879" s="1146" t="s">
        <v>726</v>
      </c>
      <c r="H879" s="1147" t="s">
        <v>125</v>
      </c>
      <c r="I879" s="1146"/>
      <c r="J879" s="1148" t="s">
        <v>221</v>
      </c>
      <c r="K879" s="1" t="s">
        <v>125</v>
      </c>
      <c r="M879" s="1" t="s">
        <v>1000</v>
      </c>
    </row>
    <row r="880" spans="2:13" ht="15" hidden="1" customHeight="1" outlineLevel="1" x14ac:dyDescent="0.25">
      <c r="B880" s="1142" t="s">
        <v>830</v>
      </c>
      <c r="C880" s="1143"/>
      <c r="D880" s="1143" t="s">
        <v>673</v>
      </c>
      <c r="E880" s="1144">
        <v>308.89999999999998</v>
      </c>
      <c r="F880" s="1145" t="s">
        <v>1660</v>
      </c>
      <c r="G880" s="1146" t="s">
        <v>723</v>
      </c>
      <c r="H880" s="1147" t="s">
        <v>125</v>
      </c>
      <c r="I880" s="1146"/>
      <c r="J880" s="1148" t="s">
        <v>221</v>
      </c>
      <c r="K880" s="1" t="s">
        <v>125</v>
      </c>
      <c r="M880" s="1" t="s">
        <v>1001</v>
      </c>
    </row>
    <row r="881" spans="2:13" ht="15" hidden="1" customHeight="1" outlineLevel="1" x14ac:dyDescent="0.25">
      <c r="B881" s="1142" t="s">
        <v>830</v>
      </c>
      <c r="C881" s="1143"/>
      <c r="D881" s="1143" t="s">
        <v>653</v>
      </c>
      <c r="E881" s="1144">
        <v>97.77</v>
      </c>
      <c r="F881" s="1145" t="s">
        <v>1660</v>
      </c>
      <c r="G881" s="1146" t="s">
        <v>1661</v>
      </c>
      <c r="H881" s="1147" t="s">
        <v>125</v>
      </c>
      <c r="I881" s="1146"/>
      <c r="J881" s="1148" t="s">
        <v>221</v>
      </c>
      <c r="K881" s="1" t="s">
        <v>125</v>
      </c>
      <c r="M881" s="1" t="s">
        <v>1107</v>
      </c>
    </row>
    <row r="882" spans="2:13" ht="15" hidden="1" customHeight="1" outlineLevel="1" x14ac:dyDescent="0.25">
      <c r="B882" s="1142" t="s">
        <v>830</v>
      </c>
      <c r="C882" s="1143"/>
      <c r="D882" s="1143" t="s">
        <v>654</v>
      </c>
      <c r="E882" s="1144">
        <v>13.71</v>
      </c>
      <c r="F882" s="1145" t="s">
        <v>1660</v>
      </c>
      <c r="G882" s="1146" t="s">
        <v>1661</v>
      </c>
      <c r="H882" s="1147" t="s">
        <v>125</v>
      </c>
      <c r="I882" s="1146"/>
      <c r="J882" s="1148" t="s">
        <v>221</v>
      </c>
      <c r="K882" s="1" t="s">
        <v>125</v>
      </c>
      <c r="M882" s="1" t="s">
        <v>1108</v>
      </c>
    </row>
    <row r="883" spans="2:13" ht="15" hidden="1" customHeight="1" outlineLevel="1" x14ac:dyDescent="0.25">
      <c r="B883" s="1142" t="s">
        <v>830</v>
      </c>
      <c r="C883" s="1143"/>
      <c r="D883" s="1143" t="s">
        <v>652</v>
      </c>
      <c r="E883" s="1144">
        <v>101.9</v>
      </c>
      <c r="F883" s="1145" t="s">
        <v>1660</v>
      </c>
      <c r="G883" s="1146" t="s">
        <v>1661</v>
      </c>
      <c r="H883" s="1147" t="s">
        <v>125</v>
      </c>
      <c r="I883" s="1146"/>
      <c r="J883" s="1148" t="s">
        <v>221</v>
      </c>
      <c r="K883" s="1" t="s">
        <v>125</v>
      </c>
      <c r="M883" s="1" t="s">
        <v>1109</v>
      </c>
    </row>
    <row r="884" spans="2:13" ht="15" hidden="1" customHeight="1" outlineLevel="1" x14ac:dyDescent="0.25">
      <c r="B884" s="1142" t="s">
        <v>830</v>
      </c>
      <c r="C884" s="1143"/>
      <c r="D884" s="1143" t="s">
        <v>650</v>
      </c>
      <c r="E884" s="1144">
        <v>122</v>
      </c>
      <c r="F884" s="1145" t="s">
        <v>1660</v>
      </c>
      <c r="G884" s="1146" t="s">
        <v>1661</v>
      </c>
      <c r="H884" s="1147" t="s">
        <v>125</v>
      </c>
      <c r="I884" s="1146"/>
      <c r="J884" s="1148" t="s">
        <v>221</v>
      </c>
      <c r="K884" s="1" t="s">
        <v>125</v>
      </c>
      <c r="M884" s="1" t="s">
        <v>1110</v>
      </c>
    </row>
    <row r="885" spans="2:13" ht="15" hidden="1" customHeight="1" outlineLevel="1" x14ac:dyDescent="0.25">
      <c r="B885" s="1142" t="s">
        <v>830</v>
      </c>
      <c r="C885" s="1143"/>
      <c r="D885" s="1143" t="s">
        <v>649</v>
      </c>
      <c r="E885" s="1144">
        <v>25.25</v>
      </c>
      <c r="F885" s="1145" t="s">
        <v>1660</v>
      </c>
      <c r="G885" s="1146" t="s">
        <v>1661</v>
      </c>
      <c r="H885" s="1147" t="s">
        <v>125</v>
      </c>
      <c r="I885" s="1146"/>
      <c r="J885" s="1148" t="s">
        <v>221</v>
      </c>
      <c r="K885" s="1" t="s">
        <v>125</v>
      </c>
      <c r="M885" s="1" t="s">
        <v>1111</v>
      </c>
    </row>
    <row r="886" spans="2:13" ht="15" hidden="1" customHeight="1" outlineLevel="1" x14ac:dyDescent="0.25">
      <c r="B886" s="1142" t="s">
        <v>830</v>
      </c>
      <c r="C886" s="1143"/>
      <c r="D886" s="1143" t="s">
        <v>648</v>
      </c>
      <c r="E886" s="1144">
        <v>38.06</v>
      </c>
      <c r="F886" s="1145" t="s">
        <v>1660</v>
      </c>
      <c r="G886" s="1146" t="s">
        <v>1661</v>
      </c>
      <c r="H886" s="1147" t="s">
        <v>125</v>
      </c>
      <c r="I886" s="1146"/>
      <c r="J886" s="1148" t="s">
        <v>221</v>
      </c>
      <c r="K886" s="1" t="s">
        <v>125</v>
      </c>
      <c r="M886" s="1" t="s">
        <v>1112</v>
      </c>
    </row>
    <row r="887" spans="2:13" ht="15" hidden="1" customHeight="1" outlineLevel="1" x14ac:dyDescent="0.25">
      <c r="B887" s="1142" t="s">
        <v>830</v>
      </c>
      <c r="C887" s="1143"/>
      <c r="D887" s="1143" t="s">
        <v>657</v>
      </c>
      <c r="E887" s="1144">
        <v>42.82</v>
      </c>
      <c r="F887" s="1145" t="s">
        <v>1660</v>
      </c>
      <c r="G887" s="1146" t="s">
        <v>1661</v>
      </c>
      <c r="H887" s="1147" t="s">
        <v>125</v>
      </c>
      <c r="I887" s="1146"/>
      <c r="J887" s="1148" t="s">
        <v>221</v>
      </c>
      <c r="K887" s="1" t="s">
        <v>125</v>
      </c>
      <c r="M887" s="1" t="s">
        <v>1113</v>
      </c>
    </row>
    <row r="888" spans="2:13" ht="15" hidden="1" customHeight="1" outlineLevel="1" x14ac:dyDescent="0.25">
      <c r="B888" s="1142" t="s">
        <v>830</v>
      </c>
      <c r="C888" s="1143"/>
      <c r="D888" s="1143" t="s">
        <v>656</v>
      </c>
      <c r="E888" s="1144">
        <v>0.71889999999999998</v>
      </c>
      <c r="F888" s="1145" t="s">
        <v>1660</v>
      </c>
      <c r="G888" s="1146" t="s">
        <v>1661</v>
      </c>
      <c r="H888" s="1147" t="s">
        <v>125</v>
      </c>
      <c r="I888" s="1146"/>
      <c r="J888" s="1148" t="s">
        <v>221</v>
      </c>
      <c r="K888" s="1" t="s">
        <v>125</v>
      </c>
      <c r="M888" s="1" t="s">
        <v>1114</v>
      </c>
    </row>
    <row r="889" spans="2:13" ht="15" hidden="1" customHeight="1" outlineLevel="1" x14ac:dyDescent="0.25">
      <c r="B889" s="1142" t="s">
        <v>830</v>
      </c>
      <c r="C889" s="1143"/>
      <c r="D889" s="1143" t="s">
        <v>655</v>
      </c>
      <c r="E889" s="1144">
        <v>13.32</v>
      </c>
      <c r="F889" s="1145" t="s">
        <v>1660</v>
      </c>
      <c r="G889" s="1146" t="s">
        <v>1661</v>
      </c>
      <c r="H889" s="1147" t="s">
        <v>125</v>
      </c>
      <c r="I889" s="1146"/>
      <c r="J889" s="1148" t="s">
        <v>221</v>
      </c>
      <c r="K889" s="1" t="s">
        <v>125</v>
      </c>
      <c r="M889" s="1" t="s">
        <v>1115</v>
      </c>
    </row>
    <row r="890" spans="2:13" ht="15" hidden="1" customHeight="1" outlineLevel="1" x14ac:dyDescent="0.25">
      <c r="B890" s="1142" t="s">
        <v>830</v>
      </c>
      <c r="C890" s="1143"/>
      <c r="D890" s="1143" t="s">
        <v>658</v>
      </c>
      <c r="E890" s="1144">
        <v>364.9</v>
      </c>
      <c r="F890" s="1145" t="s">
        <v>1660</v>
      </c>
      <c r="G890" s="1146" t="s">
        <v>1661</v>
      </c>
      <c r="H890" s="1147" t="s">
        <v>125</v>
      </c>
      <c r="I890" s="1146"/>
      <c r="J890" s="1148" t="s">
        <v>221</v>
      </c>
      <c r="K890" s="1" t="s">
        <v>125</v>
      </c>
      <c r="M890" s="1" t="s">
        <v>1116</v>
      </c>
    </row>
    <row r="891" spans="2:13" ht="15" hidden="1" customHeight="1" outlineLevel="1" x14ac:dyDescent="0.25">
      <c r="B891" s="1142" t="s">
        <v>830</v>
      </c>
      <c r="C891" s="1143"/>
      <c r="D891" s="1143" t="s">
        <v>659</v>
      </c>
      <c r="E891" s="1144">
        <v>24.67</v>
      </c>
      <c r="F891" s="1145" t="s">
        <v>1660</v>
      </c>
      <c r="G891" s="1146" t="s">
        <v>1661</v>
      </c>
      <c r="H891" s="1147" t="s">
        <v>125</v>
      </c>
      <c r="I891" s="1146"/>
      <c r="J891" s="1148" t="s">
        <v>221</v>
      </c>
      <c r="K891" s="1" t="s">
        <v>125</v>
      </c>
      <c r="M891" s="1" t="s">
        <v>1117</v>
      </c>
    </row>
    <row r="892" spans="2:13" ht="15" hidden="1" customHeight="1" outlineLevel="1" x14ac:dyDescent="0.25">
      <c r="B892" s="1142" t="s">
        <v>830</v>
      </c>
      <c r="C892" s="1143"/>
      <c r="D892" s="1143" t="s">
        <v>988</v>
      </c>
      <c r="E892" s="1144">
        <v>1</v>
      </c>
      <c r="F892" s="1145" t="s">
        <v>125</v>
      </c>
      <c r="G892" s="1146"/>
      <c r="H892" s="1147" t="s">
        <v>125</v>
      </c>
      <c r="I892" s="1146"/>
      <c r="J892" s="1148" t="s">
        <v>188</v>
      </c>
      <c r="K892" s="1" t="s">
        <v>125</v>
      </c>
      <c r="M892" s="1" t="s">
        <v>1013</v>
      </c>
    </row>
    <row r="893" spans="2:13" ht="15" hidden="1" customHeight="1" outlineLevel="1" x14ac:dyDescent="0.25">
      <c r="B893" s="1142" t="s">
        <v>830</v>
      </c>
      <c r="C893" s="1143"/>
      <c r="D893" s="1143" t="s">
        <v>662</v>
      </c>
      <c r="E893" s="1144">
        <v>400</v>
      </c>
      <c r="F893" s="1145" t="s">
        <v>125</v>
      </c>
      <c r="G893" s="1146"/>
      <c r="H893" s="1147" t="s">
        <v>125</v>
      </c>
      <c r="I893" s="1146"/>
      <c r="J893" s="1148" t="s">
        <v>221</v>
      </c>
      <c r="K893" s="1" t="s">
        <v>125</v>
      </c>
      <c r="M893" s="1" t="s">
        <v>1014</v>
      </c>
    </row>
    <row r="894" spans="2:13" ht="15" hidden="1" customHeight="1" outlineLevel="1" x14ac:dyDescent="0.25">
      <c r="B894" s="1142" t="s">
        <v>830</v>
      </c>
      <c r="C894" s="1143"/>
      <c r="D894" s="1143" t="s">
        <v>1118</v>
      </c>
      <c r="E894" s="1144">
        <v>16.96</v>
      </c>
      <c r="F894" s="1145" t="s">
        <v>125</v>
      </c>
      <c r="G894" s="1146"/>
      <c r="H894" s="1147" t="s">
        <v>125</v>
      </c>
      <c r="I894" s="1146"/>
      <c r="J894" s="1148" t="s">
        <v>221</v>
      </c>
      <c r="K894" s="1" t="s">
        <v>125</v>
      </c>
      <c r="M894" s="1" t="s">
        <v>1052</v>
      </c>
    </row>
    <row r="895" spans="2:13" ht="15" hidden="1" customHeight="1" outlineLevel="1" x14ac:dyDescent="0.25">
      <c r="B895" s="1142" t="s">
        <v>830</v>
      </c>
      <c r="C895" s="1143"/>
      <c r="D895" s="1143" t="s">
        <v>990</v>
      </c>
      <c r="E895" s="1144">
        <v>114.9</v>
      </c>
      <c r="F895" s="1145" t="s">
        <v>1660</v>
      </c>
      <c r="G895" s="1146" t="s">
        <v>722</v>
      </c>
      <c r="H895" s="1147" t="s">
        <v>125</v>
      </c>
      <c r="I895" s="1146"/>
      <c r="J895" s="1148" t="s">
        <v>836</v>
      </c>
      <c r="K895" s="1" t="s">
        <v>125</v>
      </c>
      <c r="M895" s="1" t="s">
        <v>1015</v>
      </c>
    </row>
    <row r="896" spans="2:13" ht="15" hidden="1" customHeight="1" outlineLevel="1" x14ac:dyDescent="0.25">
      <c r="B896" s="1142" t="s">
        <v>830</v>
      </c>
      <c r="C896" s="1143"/>
      <c r="D896" s="1143" t="s">
        <v>990</v>
      </c>
      <c r="E896" s="1144">
        <v>63.39</v>
      </c>
      <c r="F896" s="1145" t="s">
        <v>1660</v>
      </c>
      <c r="G896" s="1146" t="s">
        <v>2039</v>
      </c>
      <c r="H896" s="1147" t="s">
        <v>125</v>
      </c>
      <c r="I896" s="1146"/>
      <c r="J896" s="1148" t="s">
        <v>836</v>
      </c>
      <c r="K896" s="1" t="s">
        <v>125</v>
      </c>
      <c r="M896" s="1" t="s">
        <v>1016</v>
      </c>
    </row>
    <row r="897" spans="2:13" ht="15" hidden="1" customHeight="1" outlineLevel="1" x14ac:dyDescent="0.25">
      <c r="B897" s="1142" t="s">
        <v>830</v>
      </c>
      <c r="C897" s="1143"/>
      <c r="D897" s="1143" t="s">
        <v>675</v>
      </c>
      <c r="E897" s="1144">
        <v>0.31790000000000002</v>
      </c>
      <c r="F897" s="1145" t="s">
        <v>1660</v>
      </c>
      <c r="G897" s="1146" t="s">
        <v>1661</v>
      </c>
      <c r="H897" s="1147" t="s">
        <v>125</v>
      </c>
      <c r="I897" s="1146"/>
      <c r="J897" s="1148" t="s">
        <v>221</v>
      </c>
      <c r="K897" s="1" t="s">
        <v>125</v>
      </c>
      <c r="M897" s="1" t="s">
        <v>1017</v>
      </c>
    </row>
    <row r="898" spans="2:13" ht="15" hidden="1" customHeight="1" outlineLevel="1" x14ac:dyDescent="0.25">
      <c r="B898" s="1142" t="s">
        <v>830</v>
      </c>
      <c r="C898" s="1143"/>
      <c r="D898" s="1143" t="s">
        <v>676</v>
      </c>
      <c r="E898" s="1144">
        <v>2.1070000000000002</v>
      </c>
      <c r="F898" s="1145" t="s">
        <v>1660</v>
      </c>
      <c r="G898" s="1146" t="s">
        <v>1661</v>
      </c>
      <c r="H898" s="1147" t="s">
        <v>125</v>
      </c>
      <c r="I898" s="1146"/>
      <c r="J898" s="1148" t="s">
        <v>221</v>
      </c>
      <c r="K898" s="1" t="s">
        <v>125</v>
      </c>
      <c r="M898" s="1" t="s">
        <v>1018</v>
      </c>
    </row>
    <row r="899" spans="2:13" ht="15" hidden="1" customHeight="1" outlineLevel="1" x14ac:dyDescent="0.25">
      <c r="B899" s="1142" t="s">
        <v>830</v>
      </c>
      <c r="C899" s="1143"/>
      <c r="D899" s="1143" t="s">
        <v>678</v>
      </c>
      <c r="E899" s="1144">
        <v>3.2160000000000002</v>
      </c>
      <c r="F899" s="1145" t="s">
        <v>1660</v>
      </c>
      <c r="G899" s="1146" t="s">
        <v>1661</v>
      </c>
      <c r="H899" s="1147" t="s">
        <v>125</v>
      </c>
      <c r="I899" s="1146"/>
      <c r="J899" s="1148" t="s">
        <v>221</v>
      </c>
      <c r="K899" s="1" t="s">
        <v>125</v>
      </c>
      <c r="M899" s="1" t="s">
        <v>1019</v>
      </c>
    </row>
    <row r="900" spans="2:13" ht="15" hidden="1" customHeight="1" outlineLevel="1" x14ac:dyDescent="0.25">
      <c r="B900" s="1142" t="s">
        <v>830</v>
      </c>
      <c r="C900" s="1143"/>
      <c r="D900" s="1143" t="s">
        <v>991</v>
      </c>
      <c r="E900" s="1144">
        <v>0.31790000000000002</v>
      </c>
      <c r="F900" s="1145" t="s">
        <v>1660</v>
      </c>
      <c r="G900" s="1146" t="s">
        <v>1661</v>
      </c>
      <c r="H900" s="1147" t="s">
        <v>125</v>
      </c>
      <c r="I900" s="1146"/>
      <c r="J900" s="1148" t="s">
        <v>221</v>
      </c>
      <c r="K900" s="1" t="s">
        <v>125</v>
      </c>
      <c r="M900" s="1" t="s">
        <v>1020</v>
      </c>
    </row>
    <row r="901" spans="2:13" ht="15" hidden="1" customHeight="1" outlineLevel="1" x14ac:dyDescent="0.25">
      <c r="B901" s="1142" t="s">
        <v>830</v>
      </c>
      <c r="C901" s="1143"/>
      <c r="D901" s="1143" t="s">
        <v>992</v>
      </c>
      <c r="E901" s="1144">
        <v>2.1070000000000002</v>
      </c>
      <c r="F901" s="1145" t="s">
        <v>1660</v>
      </c>
      <c r="G901" s="1146" t="s">
        <v>1661</v>
      </c>
      <c r="H901" s="1147" t="s">
        <v>125</v>
      </c>
      <c r="I901" s="1146"/>
      <c r="J901" s="1148" t="s">
        <v>221</v>
      </c>
      <c r="K901" s="1" t="s">
        <v>125</v>
      </c>
      <c r="M901" s="1" t="s">
        <v>1021</v>
      </c>
    </row>
    <row r="902" spans="2:13" ht="15" hidden="1" customHeight="1" outlineLevel="1" x14ac:dyDescent="0.25">
      <c r="B902" s="1142" t="s">
        <v>830</v>
      </c>
      <c r="C902" s="1143"/>
      <c r="D902" s="1143" t="s">
        <v>993</v>
      </c>
      <c r="E902" s="1144">
        <v>3.2160000000000002</v>
      </c>
      <c r="F902" s="1145" t="s">
        <v>1660</v>
      </c>
      <c r="G902" s="1146" t="s">
        <v>1661</v>
      </c>
      <c r="H902" s="1147" t="s">
        <v>125</v>
      </c>
      <c r="I902" s="1146"/>
      <c r="J902" s="1148" t="s">
        <v>221</v>
      </c>
      <c r="K902" s="1" t="s">
        <v>125</v>
      </c>
      <c r="M902" s="1" t="s">
        <v>1022</v>
      </c>
    </row>
    <row r="903" spans="2:13" ht="15" hidden="1" customHeight="1" outlineLevel="1" x14ac:dyDescent="0.25">
      <c r="B903" s="1142" t="s">
        <v>994</v>
      </c>
      <c r="C903" s="1143"/>
      <c r="D903" s="1143" t="s">
        <v>834</v>
      </c>
      <c r="E903" s="1144">
        <v>3974</v>
      </c>
      <c r="F903" s="1145" t="s">
        <v>1660</v>
      </c>
      <c r="G903" s="1146" t="s">
        <v>718</v>
      </c>
      <c r="H903" s="1147" t="s">
        <v>125</v>
      </c>
      <c r="I903" s="1146"/>
      <c r="J903" s="1148" t="s">
        <v>304</v>
      </c>
      <c r="K903" s="1" t="s">
        <v>125</v>
      </c>
      <c r="M903" s="1" t="s">
        <v>1023</v>
      </c>
    </row>
    <row r="904" spans="2:13" ht="15" hidden="1" customHeight="1" outlineLevel="1" x14ac:dyDescent="0.25">
      <c r="B904" s="1142" t="s">
        <v>839</v>
      </c>
      <c r="C904" s="1143"/>
      <c r="D904" s="1143" t="s">
        <v>925</v>
      </c>
      <c r="E904" s="1144">
        <v>176</v>
      </c>
      <c r="F904" s="1145" t="s">
        <v>125</v>
      </c>
      <c r="G904" s="1146"/>
      <c r="H904" s="1147" t="s">
        <v>125</v>
      </c>
      <c r="I904" s="1146"/>
      <c r="J904" s="1148" t="s">
        <v>221</v>
      </c>
      <c r="K904" s="1" t="s">
        <v>125</v>
      </c>
      <c r="M904" s="1" t="s">
        <v>1024</v>
      </c>
    </row>
    <row r="905" spans="2:13" ht="15" hidden="1" customHeight="1" outlineLevel="1" x14ac:dyDescent="0.25">
      <c r="B905" s="1142" t="s">
        <v>839</v>
      </c>
      <c r="C905" s="1143"/>
      <c r="D905" s="1143" t="s">
        <v>925</v>
      </c>
      <c r="E905" s="1144">
        <v>34.69</v>
      </c>
      <c r="F905" s="1145" t="s">
        <v>1660</v>
      </c>
      <c r="G905" s="1146" t="s">
        <v>1661</v>
      </c>
      <c r="H905" s="1147" t="s">
        <v>125</v>
      </c>
      <c r="I905" s="1146"/>
      <c r="J905" s="1148" t="s">
        <v>221</v>
      </c>
      <c r="K905" s="1" t="s">
        <v>125</v>
      </c>
      <c r="M905" s="1" t="s">
        <v>1025</v>
      </c>
    </row>
    <row r="906" spans="2:13" ht="15" hidden="1" customHeight="1" outlineLevel="1" x14ac:dyDescent="0.25">
      <c r="B906" s="1142" t="s">
        <v>839</v>
      </c>
      <c r="C906" s="1143"/>
      <c r="D906" s="1143" t="s">
        <v>843</v>
      </c>
      <c r="E906" s="1144">
        <v>1.4930000000000001</v>
      </c>
      <c r="F906" s="1145" t="s">
        <v>1660</v>
      </c>
      <c r="G906" s="1146" t="s">
        <v>1661</v>
      </c>
      <c r="H906" s="1147" t="s">
        <v>1660</v>
      </c>
      <c r="I906" s="1146" t="s">
        <v>1558</v>
      </c>
      <c r="J906" s="1148" t="s">
        <v>221</v>
      </c>
      <c r="K906" s="1" t="s">
        <v>125</v>
      </c>
      <c r="M906" s="1" t="s">
        <v>1026</v>
      </c>
    </row>
    <row r="907" spans="2:13" ht="15" hidden="1" customHeight="1" outlineLevel="1" x14ac:dyDescent="0.25">
      <c r="B907" s="1142" t="s">
        <v>839</v>
      </c>
      <c r="C907" s="1143"/>
      <c r="D907" s="1143" t="s">
        <v>843</v>
      </c>
      <c r="E907" s="1144">
        <v>0.48520000000000002</v>
      </c>
      <c r="F907" s="1145" t="s">
        <v>1660</v>
      </c>
      <c r="G907" s="1146" t="s">
        <v>1661</v>
      </c>
      <c r="H907" s="1147" t="s">
        <v>1660</v>
      </c>
      <c r="I907" s="1146" t="s">
        <v>2040</v>
      </c>
      <c r="J907" s="1148" t="s">
        <v>221</v>
      </c>
      <c r="K907" s="1" t="s">
        <v>125</v>
      </c>
      <c r="M907" s="1" t="s">
        <v>1027</v>
      </c>
    </row>
    <row r="908" spans="2:13" ht="15" hidden="1" customHeight="1" outlineLevel="1" x14ac:dyDescent="0.25">
      <c r="B908" s="1142" t="s">
        <v>839</v>
      </c>
      <c r="C908" s="1143"/>
      <c r="D908" s="1143" t="s">
        <v>846</v>
      </c>
      <c r="E908" s="1144">
        <v>5.9569999999999999</v>
      </c>
      <c r="F908" s="1145" t="s">
        <v>1660</v>
      </c>
      <c r="G908" s="1146" t="s">
        <v>1661</v>
      </c>
      <c r="H908" s="1147" t="s">
        <v>125</v>
      </c>
      <c r="I908" s="1146"/>
      <c r="J908" s="1148" t="s">
        <v>221</v>
      </c>
      <c r="K908" s="1" t="s">
        <v>125</v>
      </c>
      <c r="M908" s="1" t="s">
        <v>1028</v>
      </c>
    </row>
    <row r="909" spans="2:13" ht="15" hidden="1" customHeight="1" outlineLevel="1" x14ac:dyDescent="0.25">
      <c r="B909" s="1142" t="s">
        <v>839</v>
      </c>
      <c r="C909" s="1143"/>
      <c r="D909" s="1143" t="s">
        <v>995</v>
      </c>
      <c r="E909" s="1144">
        <v>0.66500000000000004</v>
      </c>
      <c r="F909" s="1145" t="s">
        <v>1660</v>
      </c>
      <c r="G909" s="1146" t="s">
        <v>1661</v>
      </c>
      <c r="H909" s="1147" t="s">
        <v>125</v>
      </c>
      <c r="I909" s="1146"/>
      <c r="J909" s="1148" t="s">
        <v>221</v>
      </c>
      <c r="K909" s="1" t="s">
        <v>125</v>
      </c>
      <c r="M909" s="1" t="s">
        <v>1029</v>
      </c>
    </row>
    <row r="910" spans="2:13" ht="15" hidden="1" customHeight="1" outlineLevel="1" x14ac:dyDescent="0.25">
      <c r="B910" s="1142" t="s">
        <v>839</v>
      </c>
      <c r="C910" s="1143"/>
      <c r="D910" s="1143" t="s">
        <v>996</v>
      </c>
      <c r="E910" s="1144">
        <v>0</v>
      </c>
      <c r="F910" s="1145" t="s">
        <v>125</v>
      </c>
      <c r="G910" s="1146"/>
      <c r="H910" s="1147" t="s">
        <v>125</v>
      </c>
      <c r="I910" s="1146"/>
      <c r="J910" s="1148" t="s">
        <v>221</v>
      </c>
      <c r="K910" s="1" t="s">
        <v>125</v>
      </c>
      <c r="M910" s="1" t="s">
        <v>999</v>
      </c>
    </row>
    <row r="911" spans="2:13" ht="15" hidden="1" customHeight="1" outlineLevel="1" x14ac:dyDescent="0.25">
      <c r="B911" s="1142" t="s">
        <v>839</v>
      </c>
      <c r="C911" s="1143"/>
      <c r="D911" s="1143" t="s">
        <v>843</v>
      </c>
      <c r="E911" s="1144">
        <v>0.54830000000000001</v>
      </c>
      <c r="F911" s="1145" t="s">
        <v>1660</v>
      </c>
      <c r="G911" s="1146" t="s">
        <v>683</v>
      </c>
      <c r="H911" s="1147" t="s">
        <v>1660</v>
      </c>
      <c r="I911" s="1146" t="s">
        <v>1561</v>
      </c>
      <c r="J911" s="1148" t="s">
        <v>221</v>
      </c>
      <c r="K911" s="1" t="s">
        <v>125</v>
      </c>
      <c r="M911" s="1" t="s">
        <v>1030</v>
      </c>
    </row>
    <row r="912" spans="2:13" ht="15" hidden="1" customHeight="1" outlineLevel="1" x14ac:dyDescent="0.25">
      <c r="B912" s="1142" t="s">
        <v>839</v>
      </c>
      <c r="C912" s="1143"/>
      <c r="D912" s="1143" t="s">
        <v>843</v>
      </c>
      <c r="E912" s="1144">
        <v>0.1782</v>
      </c>
      <c r="F912" s="1145" t="s">
        <v>1660</v>
      </c>
      <c r="G912" s="1146" t="s">
        <v>683</v>
      </c>
      <c r="H912" s="1147" t="s">
        <v>1660</v>
      </c>
      <c r="I912" s="1146" t="s">
        <v>1562</v>
      </c>
      <c r="J912" s="1148" t="s">
        <v>221</v>
      </c>
      <c r="K912" s="1" t="s">
        <v>125</v>
      </c>
      <c r="M912" s="1" t="s">
        <v>1031</v>
      </c>
    </row>
    <row r="913" spans="2:13" ht="15" hidden="1" customHeight="1" outlineLevel="1" x14ac:dyDescent="0.25">
      <c r="B913" s="1142" t="s">
        <v>839</v>
      </c>
      <c r="C913" s="1143"/>
      <c r="D913" s="1143" t="s">
        <v>846</v>
      </c>
      <c r="E913" s="1144">
        <v>8.4730000000000008</v>
      </c>
      <c r="F913" s="1145" t="s">
        <v>1660</v>
      </c>
      <c r="G913" s="1146" t="s">
        <v>683</v>
      </c>
      <c r="H913" s="1147" t="s">
        <v>1660</v>
      </c>
      <c r="I913" s="1146" t="s">
        <v>1564</v>
      </c>
      <c r="J913" s="1148" t="s">
        <v>221</v>
      </c>
      <c r="K913" s="1" t="s">
        <v>125</v>
      </c>
      <c r="M913" s="1" t="s">
        <v>1032</v>
      </c>
    </row>
    <row r="914" spans="2:13" ht="15" hidden="1" customHeight="1" outlineLevel="1" x14ac:dyDescent="0.25">
      <c r="B914" s="1142" t="s">
        <v>839</v>
      </c>
      <c r="C914" s="1143"/>
      <c r="D914" s="1143" t="s">
        <v>843</v>
      </c>
      <c r="E914" s="1144">
        <v>0.32229999999999998</v>
      </c>
      <c r="F914" s="1145" t="s">
        <v>125</v>
      </c>
      <c r="G914" s="1146"/>
      <c r="H914" s="1147" t="s">
        <v>125</v>
      </c>
      <c r="I914" s="1146"/>
      <c r="J914" s="1148" t="s">
        <v>221</v>
      </c>
      <c r="K914" s="1" t="s">
        <v>125</v>
      </c>
      <c r="M914" s="1" t="s">
        <v>1033</v>
      </c>
    </row>
    <row r="915" spans="2:13" ht="15" hidden="1" customHeight="1" outlineLevel="1" x14ac:dyDescent="0.25">
      <c r="B915" s="1142" t="s">
        <v>839</v>
      </c>
      <c r="C915" s="1143"/>
      <c r="D915" s="1143" t="s">
        <v>843</v>
      </c>
      <c r="E915" s="1144">
        <v>7.2520000000000001E-2</v>
      </c>
      <c r="F915" s="1145" t="s">
        <v>125</v>
      </c>
      <c r="G915" s="1146"/>
      <c r="H915" s="1147" t="s">
        <v>125</v>
      </c>
      <c r="I915" s="1146"/>
      <c r="J915" s="1148" t="s">
        <v>221</v>
      </c>
      <c r="K915" s="1" t="s">
        <v>125</v>
      </c>
      <c r="M915" s="1" t="s">
        <v>1034</v>
      </c>
    </row>
    <row r="916" spans="2:13" ht="15" hidden="1" customHeight="1" outlineLevel="1" x14ac:dyDescent="0.25">
      <c r="B916" s="1142" t="s">
        <v>931</v>
      </c>
      <c r="C916" s="1143"/>
      <c r="D916" s="1143" t="s">
        <v>932</v>
      </c>
      <c r="E916" s="1144">
        <v>126.2</v>
      </c>
      <c r="F916" s="1145" t="s">
        <v>1660</v>
      </c>
      <c r="G916" s="1146" t="s">
        <v>1661</v>
      </c>
      <c r="H916" s="1147" t="s">
        <v>1660</v>
      </c>
      <c r="I916" s="1146" t="s">
        <v>1691</v>
      </c>
      <c r="J916" s="1148" t="s">
        <v>221</v>
      </c>
      <c r="K916" s="1" t="s">
        <v>125</v>
      </c>
      <c r="M916" s="1" t="s">
        <v>1025</v>
      </c>
    </row>
    <row r="917" spans="2:13" ht="15" hidden="1" customHeight="1" outlineLevel="1" x14ac:dyDescent="0.25">
      <c r="B917" s="1142" t="s">
        <v>931</v>
      </c>
      <c r="C917" s="1143"/>
      <c r="D917" s="1143" t="s">
        <v>947</v>
      </c>
      <c r="E917" s="1144">
        <v>2.0819999999999999</v>
      </c>
      <c r="F917" s="1145" t="s">
        <v>1660</v>
      </c>
      <c r="G917" s="1146" t="s">
        <v>1661</v>
      </c>
      <c r="H917" s="1147" t="s">
        <v>125</v>
      </c>
      <c r="I917" s="1146"/>
      <c r="J917" s="1148" t="s">
        <v>221</v>
      </c>
      <c r="K917" s="1" t="s">
        <v>125</v>
      </c>
      <c r="M917" s="1" t="s">
        <v>1035</v>
      </c>
    </row>
    <row r="918" spans="2:13" ht="15" hidden="1" customHeight="1" outlineLevel="1" x14ac:dyDescent="0.25">
      <c r="B918" s="1142" t="s">
        <v>931</v>
      </c>
      <c r="C918" s="1143"/>
      <c r="D918" s="1143" t="s">
        <v>934</v>
      </c>
      <c r="E918" s="1144">
        <v>43.47</v>
      </c>
      <c r="F918" s="1145" t="s">
        <v>1660</v>
      </c>
      <c r="G918" s="1146" t="s">
        <v>2041</v>
      </c>
      <c r="H918" s="1147" t="s">
        <v>1660</v>
      </c>
      <c r="I918" s="1146" t="s">
        <v>2042</v>
      </c>
      <c r="J918" s="1148" t="s">
        <v>935</v>
      </c>
      <c r="K918" s="1" t="s">
        <v>125</v>
      </c>
      <c r="M918" s="1" t="s">
        <v>1036</v>
      </c>
    </row>
    <row r="919" spans="2:13" ht="15" hidden="1" customHeight="1" outlineLevel="1" x14ac:dyDescent="0.25">
      <c r="B919" s="1142" t="s">
        <v>931</v>
      </c>
      <c r="C919" s="1143"/>
      <c r="D919" s="1143" t="s">
        <v>937</v>
      </c>
      <c r="E919" s="1144">
        <v>20780</v>
      </c>
      <c r="F919" s="1145" t="s">
        <v>1660</v>
      </c>
      <c r="G919" s="1146" t="s">
        <v>2043</v>
      </c>
      <c r="H919" s="1147" t="s">
        <v>1660</v>
      </c>
      <c r="I919" s="1146" t="s">
        <v>2044</v>
      </c>
      <c r="J919" s="1148" t="s">
        <v>935</v>
      </c>
      <c r="K919" s="1" t="s">
        <v>125</v>
      </c>
      <c r="M919" s="1" t="s">
        <v>1036</v>
      </c>
    </row>
    <row r="920" spans="2:13" ht="15" hidden="1" customHeight="1" outlineLevel="1" x14ac:dyDescent="0.25">
      <c r="B920" s="1142" t="s">
        <v>931</v>
      </c>
      <c r="C920" s="1143"/>
      <c r="D920" s="1143" t="s">
        <v>938</v>
      </c>
      <c r="E920" s="1144">
        <v>3470</v>
      </c>
      <c r="F920" s="1145" t="s">
        <v>1660</v>
      </c>
      <c r="G920" s="1146" t="s">
        <v>2045</v>
      </c>
      <c r="H920" s="1147" t="s">
        <v>1660</v>
      </c>
      <c r="I920" s="1146" t="s">
        <v>2046</v>
      </c>
      <c r="J920" s="1148" t="s">
        <v>935</v>
      </c>
      <c r="K920" s="1" t="s">
        <v>125</v>
      </c>
      <c r="M920" s="1" t="s">
        <v>1036</v>
      </c>
    </row>
    <row r="921" spans="2:13" ht="15" hidden="1" customHeight="1" outlineLevel="1" x14ac:dyDescent="0.25">
      <c r="B921" s="1142" t="s">
        <v>931</v>
      </c>
      <c r="C921" s="1143"/>
      <c r="D921" s="1143" t="s">
        <v>939</v>
      </c>
      <c r="E921" s="1144">
        <v>0.7974</v>
      </c>
      <c r="F921" s="1145" t="s">
        <v>1660</v>
      </c>
      <c r="G921" s="1146" t="s">
        <v>2047</v>
      </c>
      <c r="H921" s="1147" t="s">
        <v>1660</v>
      </c>
      <c r="I921" s="1146" t="s">
        <v>2048</v>
      </c>
      <c r="J921" s="1148" t="s">
        <v>935</v>
      </c>
      <c r="K921" s="1" t="s">
        <v>125</v>
      </c>
      <c r="M921" s="1" t="s">
        <v>1036</v>
      </c>
    </row>
    <row r="922" spans="2:13" ht="15" hidden="1" customHeight="1" outlineLevel="1" x14ac:dyDescent="0.25">
      <c r="B922" s="1142" t="s">
        <v>931</v>
      </c>
      <c r="C922" s="1143"/>
      <c r="D922" s="1143" t="s">
        <v>940</v>
      </c>
      <c r="E922" s="1144">
        <v>0</v>
      </c>
      <c r="F922" s="1145" t="s">
        <v>125</v>
      </c>
      <c r="G922" s="1146"/>
      <c r="H922" s="1147" t="s">
        <v>125</v>
      </c>
      <c r="I922" s="1146"/>
      <c r="J922" s="1148" t="s">
        <v>935</v>
      </c>
      <c r="K922" s="1" t="s">
        <v>125</v>
      </c>
      <c r="M922" s="1" t="s">
        <v>1036</v>
      </c>
    </row>
    <row r="923" spans="2:13" ht="15" hidden="1" customHeight="1" outlineLevel="1" x14ac:dyDescent="0.25">
      <c r="B923" s="1142" t="s">
        <v>931</v>
      </c>
      <c r="C923" s="1143"/>
      <c r="D923" s="1143" t="s">
        <v>941</v>
      </c>
      <c r="E923" s="1144">
        <v>303.60000000000002</v>
      </c>
      <c r="F923" s="1145" t="s">
        <v>1660</v>
      </c>
      <c r="G923" s="1146" t="s">
        <v>2049</v>
      </c>
      <c r="H923" s="1147" t="s">
        <v>1660</v>
      </c>
      <c r="I923" s="1146" t="s">
        <v>2050</v>
      </c>
      <c r="J923" s="1148" t="s">
        <v>935</v>
      </c>
      <c r="K923" s="1" t="s">
        <v>125</v>
      </c>
      <c r="M923" s="1" t="s">
        <v>1036</v>
      </c>
    </row>
    <row r="924" spans="2:13" ht="15" hidden="1" customHeight="1" outlineLevel="1" x14ac:dyDescent="0.25">
      <c r="B924" s="1142" t="s">
        <v>931</v>
      </c>
      <c r="C924" s="1143"/>
      <c r="D924" s="1143" t="s">
        <v>942</v>
      </c>
      <c r="E924" s="1144">
        <v>28120</v>
      </c>
      <c r="F924" s="1145" t="s">
        <v>1660</v>
      </c>
      <c r="G924" s="1146" t="s">
        <v>2051</v>
      </c>
      <c r="H924" s="1147" t="s">
        <v>1660</v>
      </c>
      <c r="I924" s="1146" t="s">
        <v>2052</v>
      </c>
      <c r="J924" s="1148" t="s">
        <v>935</v>
      </c>
      <c r="K924" s="1" t="s">
        <v>125</v>
      </c>
      <c r="M924" s="1" t="s">
        <v>1036</v>
      </c>
    </row>
    <row r="925" spans="2:13" ht="15" hidden="1" customHeight="1" outlineLevel="1" x14ac:dyDescent="0.25">
      <c r="B925" s="1142" t="s">
        <v>931</v>
      </c>
      <c r="C925" s="1143"/>
      <c r="D925" s="1143" t="s">
        <v>932</v>
      </c>
      <c r="E925" s="1144">
        <v>46.35</v>
      </c>
      <c r="F925" s="1145" t="s">
        <v>1660</v>
      </c>
      <c r="G925" s="1146" t="s">
        <v>683</v>
      </c>
      <c r="H925" s="1147" t="s">
        <v>1660</v>
      </c>
      <c r="I925" s="1146" t="s">
        <v>1704</v>
      </c>
      <c r="J925" s="1148" t="s">
        <v>221</v>
      </c>
      <c r="K925" s="1" t="s">
        <v>125</v>
      </c>
      <c r="M925" s="1" t="s">
        <v>1032</v>
      </c>
    </row>
    <row r="926" spans="2:13" ht="15" hidden="1" customHeight="1" outlineLevel="1" x14ac:dyDescent="0.25">
      <c r="B926" s="1142" t="s">
        <v>931</v>
      </c>
      <c r="C926" s="1143"/>
      <c r="D926" s="1143" t="s">
        <v>947</v>
      </c>
      <c r="E926" s="1144">
        <v>0.4667</v>
      </c>
      <c r="F926" s="1145" t="s">
        <v>1660</v>
      </c>
      <c r="G926" s="1146" t="s">
        <v>684</v>
      </c>
      <c r="H926" s="1147" t="s">
        <v>125</v>
      </c>
      <c r="I926" s="1146"/>
      <c r="J926" s="1148" t="s">
        <v>221</v>
      </c>
      <c r="K926" s="1" t="s">
        <v>125</v>
      </c>
      <c r="M926" s="1" t="s">
        <v>1037</v>
      </c>
    </row>
    <row r="927" spans="2:13" ht="15" hidden="1" customHeight="1" outlineLevel="1" x14ac:dyDescent="0.25">
      <c r="B927" s="1142" t="s">
        <v>931</v>
      </c>
      <c r="C927" s="1143"/>
      <c r="D927" s="1143" t="s">
        <v>932</v>
      </c>
      <c r="E927" s="1144">
        <v>27.25</v>
      </c>
      <c r="F927" s="1145" t="s">
        <v>125</v>
      </c>
      <c r="G927" s="1146"/>
      <c r="H927" s="1147" t="s">
        <v>125</v>
      </c>
      <c r="I927" s="1146"/>
      <c r="J927" s="1148" t="s">
        <v>221</v>
      </c>
      <c r="K927" s="1" t="s">
        <v>125</v>
      </c>
      <c r="M927" s="1" t="s">
        <v>1038</v>
      </c>
    </row>
    <row r="928" spans="2:13" ht="15" hidden="1" customHeight="1" outlineLevel="1" x14ac:dyDescent="0.25">
      <c r="B928" s="1142" t="s">
        <v>945</v>
      </c>
      <c r="C928" s="1143" t="s">
        <v>946</v>
      </c>
      <c r="D928" s="1143" t="s">
        <v>934</v>
      </c>
      <c r="E928" s="1144">
        <v>4502</v>
      </c>
      <c r="F928" s="1145" t="s">
        <v>1660</v>
      </c>
      <c r="G928" s="1146" t="s">
        <v>2053</v>
      </c>
      <c r="H928" s="1147" t="s">
        <v>1660</v>
      </c>
      <c r="I928" s="1146" t="s">
        <v>2054</v>
      </c>
      <c r="J928" s="1148" t="s">
        <v>935</v>
      </c>
      <c r="K928" s="1" t="s">
        <v>125</v>
      </c>
      <c r="M928" s="1" t="s">
        <v>1036</v>
      </c>
    </row>
    <row r="929" spans="2:13" ht="15" hidden="1" customHeight="1" outlineLevel="1" x14ac:dyDescent="0.25">
      <c r="B929" s="1142" t="s">
        <v>945</v>
      </c>
      <c r="C929" s="1143" t="s">
        <v>946</v>
      </c>
      <c r="D929" s="1143" t="s">
        <v>937</v>
      </c>
      <c r="E929" s="1144">
        <v>157900</v>
      </c>
      <c r="F929" s="1145" t="s">
        <v>1660</v>
      </c>
      <c r="G929" s="1146" t="s">
        <v>2055</v>
      </c>
      <c r="H929" s="1147" t="s">
        <v>1660</v>
      </c>
      <c r="I929" s="1108" t="s">
        <v>2056</v>
      </c>
      <c r="J929" s="1148" t="s">
        <v>935</v>
      </c>
      <c r="K929" s="1" t="s">
        <v>125</v>
      </c>
      <c r="M929" s="1" t="s">
        <v>1036</v>
      </c>
    </row>
    <row r="930" spans="2:13" ht="15" hidden="1" customHeight="1" outlineLevel="1" x14ac:dyDescent="0.25">
      <c r="B930" s="1142" t="s">
        <v>945</v>
      </c>
      <c r="C930" s="1143" t="s">
        <v>946</v>
      </c>
      <c r="D930" s="1143" t="s">
        <v>938</v>
      </c>
      <c r="E930" s="1144">
        <v>44300</v>
      </c>
      <c r="F930" s="1145" t="s">
        <v>1660</v>
      </c>
      <c r="G930" s="1146" t="s">
        <v>2057</v>
      </c>
      <c r="H930" s="1147" t="s">
        <v>1660</v>
      </c>
      <c r="I930" s="1146" t="s">
        <v>2058</v>
      </c>
      <c r="J930" s="1148" t="s">
        <v>935</v>
      </c>
      <c r="K930" s="1" t="s">
        <v>125</v>
      </c>
      <c r="M930" s="1" t="s">
        <v>1036</v>
      </c>
    </row>
    <row r="931" spans="2:13" ht="15" hidden="1" customHeight="1" outlineLevel="1" x14ac:dyDescent="0.25">
      <c r="B931" s="1142" t="s">
        <v>945</v>
      </c>
      <c r="C931" s="1143" t="s">
        <v>946</v>
      </c>
      <c r="D931" s="1143" t="s">
        <v>939</v>
      </c>
      <c r="E931" s="1144">
        <v>71.47</v>
      </c>
      <c r="F931" s="1145" t="s">
        <v>1660</v>
      </c>
      <c r="G931" s="1146" t="s">
        <v>2059</v>
      </c>
      <c r="H931" s="1147" t="s">
        <v>1660</v>
      </c>
      <c r="I931" s="1146" t="s">
        <v>2060</v>
      </c>
      <c r="J931" s="1148" t="s">
        <v>935</v>
      </c>
      <c r="K931" s="1" t="s">
        <v>125</v>
      </c>
      <c r="M931" s="1" t="s">
        <v>1036</v>
      </c>
    </row>
    <row r="932" spans="2:13" ht="15" hidden="1" customHeight="1" outlineLevel="1" x14ac:dyDescent="0.25">
      <c r="B932" s="1142" t="s">
        <v>945</v>
      </c>
      <c r="C932" s="1143" t="s">
        <v>946</v>
      </c>
      <c r="D932" s="1143" t="s">
        <v>940</v>
      </c>
      <c r="E932" s="1144">
        <v>19220</v>
      </c>
      <c r="F932" s="1145" t="s">
        <v>1660</v>
      </c>
      <c r="G932" s="1146" t="s">
        <v>2061</v>
      </c>
      <c r="H932" s="1147" t="s">
        <v>1660</v>
      </c>
      <c r="I932" s="1146" t="s">
        <v>2062</v>
      </c>
      <c r="J932" s="1148" t="s">
        <v>935</v>
      </c>
      <c r="K932" s="1" t="s">
        <v>125</v>
      </c>
      <c r="M932" s="1" t="s">
        <v>1036</v>
      </c>
    </row>
    <row r="933" spans="2:13" ht="15" hidden="1" customHeight="1" outlineLevel="1" x14ac:dyDescent="0.25">
      <c r="B933" s="1142" t="s">
        <v>945</v>
      </c>
      <c r="C933" s="1143" t="s">
        <v>946</v>
      </c>
      <c r="D933" s="1143" t="s">
        <v>941</v>
      </c>
      <c r="E933" s="1144">
        <v>18180</v>
      </c>
      <c r="F933" s="1145" t="s">
        <v>1660</v>
      </c>
      <c r="G933" s="1146" t="s">
        <v>2063</v>
      </c>
      <c r="H933" s="1147" t="s">
        <v>1660</v>
      </c>
      <c r="I933" s="1146" t="s">
        <v>2064</v>
      </c>
      <c r="J933" s="1148" t="s">
        <v>935</v>
      </c>
      <c r="K933" s="1" t="s">
        <v>125</v>
      </c>
      <c r="M933" s="1" t="s">
        <v>1036</v>
      </c>
    </row>
    <row r="934" spans="2:13" ht="15" hidden="1" customHeight="1" outlineLevel="1" x14ac:dyDescent="0.25">
      <c r="B934" s="1149" t="s">
        <v>945</v>
      </c>
      <c r="C934" s="1150" t="s">
        <v>946</v>
      </c>
      <c r="D934" s="1150" t="s">
        <v>942</v>
      </c>
      <c r="E934" s="1151">
        <v>492300</v>
      </c>
      <c r="F934" s="1152" t="s">
        <v>1660</v>
      </c>
      <c r="G934" s="1158" t="s">
        <v>2065</v>
      </c>
      <c r="H934" s="1154" t="s">
        <v>1660</v>
      </c>
      <c r="I934" s="1158" t="s">
        <v>2066</v>
      </c>
      <c r="J934" s="1155" t="s">
        <v>935</v>
      </c>
      <c r="K934" s="1" t="s">
        <v>125</v>
      </c>
      <c r="M934" s="1" t="s">
        <v>1036</v>
      </c>
    </row>
    <row r="935" spans="2:13" ht="15" customHeight="1" x14ac:dyDescent="0.25">
      <c r="D935" s="1159"/>
      <c r="E935" s="1160"/>
      <c r="F935" s="1161" t="s">
        <v>125</v>
      </c>
      <c r="G935" s="672"/>
      <c r="H935" s="1162" t="s">
        <v>125</v>
      </c>
      <c r="I935" s="672"/>
      <c r="J935" s="672"/>
    </row>
    <row r="936" spans="2:13" ht="15" customHeight="1" collapsed="1" x14ac:dyDescent="0.25">
      <c r="B936" s="1164" t="s">
        <v>825</v>
      </c>
      <c r="C936" s="1165"/>
      <c r="D936" s="1208" t="s">
        <v>1160</v>
      </c>
      <c r="E936" s="1166">
        <v>44050</v>
      </c>
      <c r="F936" s="1167" t="s">
        <v>1660</v>
      </c>
      <c r="G936" s="1168" t="s">
        <v>2293</v>
      </c>
      <c r="H936" s="1169"/>
      <c r="I936" s="1168"/>
      <c r="J936" s="246" t="s">
        <v>221</v>
      </c>
      <c r="K936" s="292">
        <v>100</v>
      </c>
    </row>
    <row r="937" spans="2:13" ht="15" hidden="1" customHeight="1" outlineLevel="1" x14ac:dyDescent="0.25">
      <c r="B937" s="1137" t="s">
        <v>827</v>
      </c>
      <c r="C937" s="1138" t="s">
        <v>979</v>
      </c>
      <c r="D937" s="1138" t="s">
        <v>980</v>
      </c>
      <c r="E937" s="1139">
        <v>353.6</v>
      </c>
      <c r="F937" s="1145" t="s">
        <v>125</v>
      </c>
      <c r="G937" s="1146"/>
      <c r="H937" s="1147"/>
      <c r="I937" s="954"/>
      <c r="J937" s="955" t="s">
        <v>186</v>
      </c>
      <c r="K937" s="1" t="s">
        <v>125</v>
      </c>
      <c r="M937" s="1" t="s">
        <v>997</v>
      </c>
    </row>
    <row r="938" spans="2:13" ht="15" hidden="1" customHeight="1" outlineLevel="1" x14ac:dyDescent="0.25">
      <c r="B938" s="1142" t="s">
        <v>827</v>
      </c>
      <c r="C938" s="1143" t="s">
        <v>981</v>
      </c>
      <c r="D938" s="1143" t="s">
        <v>982</v>
      </c>
      <c r="E938" s="1144">
        <v>10000</v>
      </c>
      <c r="F938" s="1145" t="s">
        <v>125</v>
      </c>
      <c r="G938" s="1146"/>
      <c r="H938" s="1147"/>
      <c r="I938" s="1146"/>
      <c r="J938" s="1148" t="s">
        <v>181</v>
      </c>
      <c r="K938" s="1" t="s">
        <v>125</v>
      </c>
      <c r="M938" s="1" t="s">
        <v>998</v>
      </c>
    </row>
    <row r="939" spans="2:13" ht="15" hidden="1" customHeight="1" outlineLevel="1" x14ac:dyDescent="0.25">
      <c r="B939" s="1142" t="s">
        <v>827</v>
      </c>
      <c r="C939" s="1143" t="s">
        <v>981</v>
      </c>
      <c r="D939" s="1143" t="s">
        <v>983</v>
      </c>
      <c r="E939" s="1144">
        <v>0</v>
      </c>
      <c r="F939" s="1145" t="s">
        <v>125</v>
      </c>
      <c r="G939" s="1146"/>
      <c r="H939" s="1147"/>
      <c r="I939" s="1146"/>
      <c r="J939" s="1148" t="s">
        <v>182</v>
      </c>
      <c r="K939" s="1" t="s">
        <v>125</v>
      </c>
      <c r="M939" s="1" t="s">
        <v>999</v>
      </c>
    </row>
    <row r="940" spans="2:13" ht="15" hidden="1" customHeight="1" outlineLevel="1" x14ac:dyDescent="0.25">
      <c r="B940" s="1142" t="s">
        <v>827</v>
      </c>
      <c r="C940" s="1143" t="s">
        <v>981</v>
      </c>
      <c r="D940" s="1143" t="s">
        <v>984</v>
      </c>
      <c r="E940" s="1144">
        <v>0</v>
      </c>
      <c r="F940" s="1145" t="s">
        <v>125</v>
      </c>
      <c r="G940" s="1146"/>
      <c r="H940" s="1147"/>
      <c r="I940" s="1146"/>
      <c r="J940" s="1148" t="s">
        <v>182</v>
      </c>
      <c r="K940" s="1" t="s">
        <v>125</v>
      </c>
      <c r="M940" s="1" t="s">
        <v>999</v>
      </c>
    </row>
    <row r="941" spans="2:13" ht="15" hidden="1" customHeight="1" outlineLevel="1" x14ac:dyDescent="0.25">
      <c r="B941" s="1142" t="s">
        <v>827</v>
      </c>
      <c r="C941" s="1143" t="s">
        <v>981</v>
      </c>
      <c r="D941" s="1143" t="s">
        <v>985</v>
      </c>
      <c r="E941" s="1144">
        <v>0</v>
      </c>
      <c r="F941" s="1145" t="s">
        <v>125</v>
      </c>
      <c r="G941" s="1146"/>
      <c r="H941" s="1147"/>
      <c r="I941" s="1146"/>
      <c r="J941" s="1148" t="s">
        <v>182</v>
      </c>
      <c r="K941" s="1" t="s">
        <v>125</v>
      </c>
      <c r="M941" s="1" t="s">
        <v>999</v>
      </c>
    </row>
    <row r="942" spans="2:13" ht="15" hidden="1" customHeight="1" outlineLevel="1" x14ac:dyDescent="0.25">
      <c r="B942" s="1142" t="s">
        <v>827</v>
      </c>
      <c r="C942" s="1143" t="s">
        <v>981</v>
      </c>
      <c r="D942" s="1143" t="s">
        <v>986</v>
      </c>
      <c r="E942" s="1144">
        <v>0</v>
      </c>
      <c r="F942" s="1145" t="s">
        <v>125</v>
      </c>
      <c r="G942" s="1146"/>
      <c r="H942" s="1147"/>
      <c r="I942" s="1146"/>
      <c r="J942" s="1148" t="s">
        <v>182</v>
      </c>
      <c r="K942" s="1" t="s">
        <v>125</v>
      </c>
      <c r="M942" s="1" t="s">
        <v>999</v>
      </c>
    </row>
    <row r="943" spans="2:13" ht="15" hidden="1" customHeight="1" outlineLevel="1" x14ac:dyDescent="0.25">
      <c r="B943" s="1142" t="s">
        <v>827</v>
      </c>
      <c r="C943" s="1143" t="s">
        <v>981</v>
      </c>
      <c r="D943" s="1143" t="s">
        <v>987</v>
      </c>
      <c r="E943" s="1144">
        <v>0</v>
      </c>
      <c r="F943" s="1145" t="s">
        <v>125</v>
      </c>
      <c r="G943" s="1146"/>
      <c r="H943" s="1147"/>
      <c r="I943" s="1146"/>
      <c r="J943" s="1148" t="s">
        <v>182</v>
      </c>
      <c r="K943" s="1" t="s">
        <v>125</v>
      </c>
      <c r="M943" s="1" t="s">
        <v>999</v>
      </c>
    </row>
    <row r="944" spans="2:13" ht="15" hidden="1" customHeight="1" outlineLevel="1" x14ac:dyDescent="0.25">
      <c r="B944" s="1142" t="s">
        <v>830</v>
      </c>
      <c r="C944" s="1143"/>
      <c r="D944" s="1143" t="s">
        <v>665</v>
      </c>
      <c r="E944" s="1144">
        <v>3522</v>
      </c>
      <c r="F944" s="1145" t="s">
        <v>1660</v>
      </c>
      <c r="G944" s="1146" t="s">
        <v>726</v>
      </c>
      <c r="H944" s="1147"/>
      <c r="I944" s="1146"/>
      <c r="J944" s="1148" t="s">
        <v>221</v>
      </c>
      <c r="K944" s="1" t="s">
        <v>125</v>
      </c>
      <c r="M944" s="1" t="s">
        <v>1000</v>
      </c>
    </row>
    <row r="945" spans="2:13" ht="15" hidden="1" customHeight="1" outlineLevel="1" x14ac:dyDescent="0.25">
      <c r="B945" s="1142" t="s">
        <v>830</v>
      </c>
      <c r="C945" s="1143"/>
      <c r="D945" s="1143" t="s">
        <v>673</v>
      </c>
      <c r="E945" s="1144">
        <v>308.89999999999998</v>
      </c>
      <c r="F945" s="1145" t="s">
        <v>1660</v>
      </c>
      <c r="G945" s="1146" t="s">
        <v>723</v>
      </c>
      <c r="H945" s="1147"/>
      <c r="I945" s="1146"/>
      <c r="J945" s="1148" t="s">
        <v>221</v>
      </c>
      <c r="K945" s="1" t="s">
        <v>125</v>
      </c>
      <c r="M945" s="1" t="s">
        <v>1001</v>
      </c>
    </row>
    <row r="946" spans="2:13" ht="15" hidden="1" customHeight="1" outlineLevel="1" x14ac:dyDescent="0.25">
      <c r="B946" s="1142" t="s">
        <v>830</v>
      </c>
      <c r="C946" s="1143"/>
      <c r="D946" s="1143" t="s">
        <v>653</v>
      </c>
      <c r="E946" s="1144">
        <v>70.61</v>
      </c>
      <c r="F946" s="1145" t="s">
        <v>1660</v>
      </c>
      <c r="G946" s="1146" t="s">
        <v>1661</v>
      </c>
      <c r="H946" s="1147"/>
      <c r="I946" s="1146"/>
      <c r="J946" s="1148" t="s">
        <v>221</v>
      </c>
      <c r="K946" s="1" t="s">
        <v>125</v>
      </c>
      <c r="M946" s="1" t="s">
        <v>1206</v>
      </c>
    </row>
    <row r="947" spans="2:13" ht="15" hidden="1" customHeight="1" outlineLevel="1" x14ac:dyDescent="0.25">
      <c r="B947" s="1142" t="s">
        <v>830</v>
      </c>
      <c r="C947" s="1143"/>
      <c r="D947" s="1143" t="s">
        <v>654</v>
      </c>
      <c r="E947" s="1144">
        <v>25.16</v>
      </c>
      <c r="F947" s="1145" t="s">
        <v>1660</v>
      </c>
      <c r="G947" s="1146" t="s">
        <v>1661</v>
      </c>
      <c r="H947" s="1147"/>
      <c r="I947" s="1146"/>
      <c r="J947" s="1148" t="s">
        <v>221</v>
      </c>
      <c r="K947" s="1" t="s">
        <v>125</v>
      </c>
      <c r="M947" s="1" t="s">
        <v>1207</v>
      </c>
    </row>
    <row r="948" spans="2:13" ht="15" hidden="1" customHeight="1" outlineLevel="1" x14ac:dyDescent="0.25">
      <c r="B948" s="1142" t="s">
        <v>830</v>
      </c>
      <c r="C948" s="1143"/>
      <c r="D948" s="1143" t="s">
        <v>652</v>
      </c>
      <c r="E948" s="1144">
        <v>186.9</v>
      </c>
      <c r="F948" s="1145" t="s">
        <v>1660</v>
      </c>
      <c r="G948" s="1146" t="s">
        <v>1661</v>
      </c>
      <c r="H948" s="1147"/>
      <c r="I948" s="1146"/>
      <c r="J948" s="1148" t="s">
        <v>221</v>
      </c>
      <c r="K948" s="1" t="s">
        <v>125</v>
      </c>
      <c r="M948" s="1" t="s">
        <v>1208</v>
      </c>
    </row>
    <row r="949" spans="2:13" ht="15" hidden="1" customHeight="1" outlineLevel="1" x14ac:dyDescent="0.25">
      <c r="B949" s="1142" t="s">
        <v>830</v>
      </c>
      <c r="C949" s="1143"/>
      <c r="D949" s="1143" t="s">
        <v>650</v>
      </c>
      <c r="E949" s="1144">
        <v>88.13</v>
      </c>
      <c r="F949" s="1145" t="s">
        <v>1660</v>
      </c>
      <c r="G949" s="1146" t="s">
        <v>1661</v>
      </c>
      <c r="H949" s="1147"/>
      <c r="I949" s="1146"/>
      <c r="J949" s="1148" t="s">
        <v>221</v>
      </c>
      <c r="K949" s="1" t="s">
        <v>125</v>
      </c>
      <c r="M949" s="1" t="s">
        <v>1209</v>
      </c>
    </row>
    <row r="950" spans="2:13" ht="15" hidden="1" customHeight="1" outlineLevel="1" x14ac:dyDescent="0.25">
      <c r="B950" s="1142" t="s">
        <v>830</v>
      </c>
      <c r="C950" s="1143"/>
      <c r="D950" s="1143" t="s">
        <v>649</v>
      </c>
      <c r="E950" s="1144">
        <v>46.33</v>
      </c>
      <c r="F950" s="1145" t="s">
        <v>1660</v>
      </c>
      <c r="G950" s="1146" t="s">
        <v>1661</v>
      </c>
      <c r="H950" s="1147"/>
      <c r="I950" s="1146"/>
      <c r="J950" s="1148" t="s">
        <v>221</v>
      </c>
      <c r="K950" s="1" t="s">
        <v>125</v>
      </c>
      <c r="M950" s="1" t="s">
        <v>1210</v>
      </c>
    </row>
    <row r="951" spans="2:13" ht="15" hidden="1" customHeight="1" outlineLevel="1" x14ac:dyDescent="0.25">
      <c r="B951" s="1142" t="s">
        <v>830</v>
      </c>
      <c r="C951" s="1143"/>
      <c r="D951" s="1143" t="s">
        <v>648</v>
      </c>
      <c r="E951" s="1144">
        <v>69.819999999999993</v>
      </c>
      <c r="F951" s="1145" t="s">
        <v>1660</v>
      </c>
      <c r="G951" s="1146" t="s">
        <v>1661</v>
      </c>
      <c r="H951" s="1147"/>
      <c r="I951" s="1146"/>
      <c r="J951" s="1148" t="s">
        <v>221</v>
      </c>
      <c r="K951" s="1" t="s">
        <v>125</v>
      </c>
      <c r="M951" s="1" t="s">
        <v>1211</v>
      </c>
    </row>
    <row r="952" spans="2:13" ht="15" hidden="1" customHeight="1" outlineLevel="1" x14ac:dyDescent="0.25">
      <c r="B952" s="1142" t="s">
        <v>830</v>
      </c>
      <c r="C952" s="1143"/>
      <c r="D952" s="1143" t="s">
        <v>657</v>
      </c>
      <c r="E952" s="1144">
        <v>30.93</v>
      </c>
      <c r="F952" s="1145" t="s">
        <v>1660</v>
      </c>
      <c r="G952" s="1146" t="s">
        <v>1661</v>
      </c>
      <c r="H952" s="1147"/>
      <c r="I952" s="1146"/>
      <c r="J952" s="1148" t="s">
        <v>221</v>
      </c>
      <c r="K952" s="1" t="s">
        <v>125</v>
      </c>
      <c r="M952" s="1" t="s">
        <v>1212</v>
      </c>
    </row>
    <row r="953" spans="2:13" ht="15" hidden="1" customHeight="1" outlineLevel="1" x14ac:dyDescent="0.25">
      <c r="B953" s="1142" t="s">
        <v>830</v>
      </c>
      <c r="C953" s="1143"/>
      <c r="D953" s="1143" t="s">
        <v>656</v>
      </c>
      <c r="E953" s="1144">
        <v>0.51919999999999999</v>
      </c>
      <c r="F953" s="1145" t="s">
        <v>1660</v>
      </c>
      <c r="G953" s="1146" t="s">
        <v>1661</v>
      </c>
      <c r="H953" s="1147"/>
      <c r="I953" s="1146"/>
      <c r="J953" s="1148" t="s">
        <v>221</v>
      </c>
      <c r="K953" s="1" t="s">
        <v>125</v>
      </c>
      <c r="M953" s="1" t="s">
        <v>1213</v>
      </c>
    </row>
    <row r="954" spans="2:13" ht="15" hidden="1" customHeight="1" outlineLevel="1" x14ac:dyDescent="0.25">
      <c r="B954" s="1142" t="s">
        <v>830</v>
      </c>
      <c r="C954" s="1143"/>
      <c r="D954" s="1143" t="s">
        <v>655</v>
      </c>
      <c r="E954" s="1144">
        <v>9.6199999999999992</v>
      </c>
      <c r="F954" s="1145" t="s">
        <v>1660</v>
      </c>
      <c r="G954" s="1146" t="s">
        <v>1661</v>
      </c>
      <c r="H954" s="1147"/>
      <c r="I954" s="1146"/>
      <c r="J954" s="1148" t="s">
        <v>221</v>
      </c>
      <c r="K954" s="1" t="s">
        <v>125</v>
      </c>
      <c r="M954" s="1" t="s">
        <v>1214</v>
      </c>
    </row>
    <row r="955" spans="2:13" ht="15" hidden="1" customHeight="1" outlineLevel="1" x14ac:dyDescent="0.25">
      <c r="B955" s="1142" t="s">
        <v>830</v>
      </c>
      <c r="C955" s="1143"/>
      <c r="D955" s="1143" t="s">
        <v>658</v>
      </c>
      <c r="E955" s="1144">
        <v>295.89999999999998</v>
      </c>
      <c r="F955" s="1145" t="s">
        <v>1660</v>
      </c>
      <c r="G955" s="1146" t="s">
        <v>1661</v>
      </c>
      <c r="H955" s="1147"/>
      <c r="I955" s="1146"/>
      <c r="J955" s="1148" t="s">
        <v>221</v>
      </c>
      <c r="K955" s="1" t="s">
        <v>125</v>
      </c>
      <c r="M955" s="1" t="s">
        <v>1215</v>
      </c>
    </row>
    <row r="956" spans="2:13" ht="15" hidden="1" customHeight="1" outlineLevel="1" x14ac:dyDescent="0.25">
      <c r="B956" s="1142" t="s">
        <v>830</v>
      </c>
      <c r="C956" s="1143"/>
      <c r="D956" s="1143" t="s">
        <v>659</v>
      </c>
      <c r="E956" s="1144">
        <v>20.010000000000002</v>
      </c>
      <c r="F956" s="1145" t="s">
        <v>1660</v>
      </c>
      <c r="G956" s="1146" t="s">
        <v>1661</v>
      </c>
      <c r="H956" s="1147"/>
      <c r="I956" s="1146"/>
      <c r="J956" s="1148" t="s">
        <v>221</v>
      </c>
      <c r="K956" s="1" t="s">
        <v>125</v>
      </c>
      <c r="M956" s="1" t="s">
        <v>1216</v>
      </c>
    </row>
    <row r="957" spans="2:13" ht="15" hidden="1" customHeight="1" outlineLevel="1" x14ac:dyDescent="0.25">
      <c r="B957" s="1142" t="s">
        <v>830</v>
      </c>
      <c r="C957" s="1143"/>
      <c r="D957" s="1143" t="s">
        <v>988</v>
      </c>
      <c r="E957" s="1144">
        <v>1</v>
      </c>
      <c r="F957" s="1145" t="s">
        <v>125</v>
      </c>
      <c r="G957" s="1146"/>
      <c r="H957" s="1147"/>
      <c r="I957" s="1146"/>
      <c r="J957" s="1148" t="s">
        <v>188</v>
      </c>
      <c r="K957" s="1" t="s">
        <v>125</v>
      </c>
      <c r="M957" s="1" t="s">
        <v>1013</v>
      </c>
    </row>
    <row r="958" spans="2:13" ht="15" hidden="1" customHeight="1" outlineLevel="1" x14ac:dyDescent="0.25">
      <c r="B958" s="1142" t="s">
        <v>830</v>
      </c>
      <c r="C958" s="1143"/>
      <c r="D958" s="1143" t="s">
        <v>662</v>
      </c>
      <c r="E958" s="1144">
        <v>400</v>
      </c>
      <c r="F958" s="1145" t="s">
        <v>125</v>
      </c>
      <c r="G958" s="1146"/>
      <c r="H958" s="1147"/>
      <c r="I958" s="1146"/>
      <c r="J958" s="1148" t="s">
        <v>221</v>
      </c>
      <c r="K958" s="1" t="s">
        <v>125</v>
      </c>
      <c r="M958" s="1" t="s">
        <v>1014</v>
      </c>
    </row>
    <row r="959" spans="2:13" ht="15" hidden="1" customHeight="1" outlineLevel="1" x14ac:dyDescent="0.25">
      <c r="B959" s="1142" t="s">
        <v>830</v>
      </c>
      <c r="C959" s="1143"/>
      <c r="D959" s="1143" t="s">
        <v>1161</v>
      </c>
      <c r="E959" s="1144">
        <v>1711</v>
      </c>
      <c r="F959" s="1145" t="s">
        <v>125</v>
      </c>
      <c r="G959" s="1146"/>
      <c r="H959" s="1147"/>
      <c r="I959" s="1146"/>
      <c r="J959" s="1148" t="s">
        <v>221</v>
      </c>
      <c r="K959" s="1" t="s">
        <v>125</v>
      </c>
      <c r="M959" s="1" t="s">
        <v>1052</v>
      </c>
    </row>
    <row r="960" spans="2:13" ht="15" hidden="1" customHeight="1" outlineLevel="1" x14ac:dyDescent="0.25">
      <c r="B960" s="1142" t="s">
        <v>830</v>
      </c>
      <c r="C960" s="1143"/>
      <c r="D960" s="1143" t="s">
        <v>990</v>
      </c>
      <c r="E960" s="1144">
        <v>114.9</v>
      </c>
      <c r="F960" s="1145" t="s">
        <v>1660</v>
      </c>
      <c r="G960" s="1146" t="s">
        <v>722</v>
      </c>
      <c r="H960" s="1147"/>
      <c r="I960" s="1146"/>
      <c r="J960" s="1148" t="s">
        <v>836</v>
      </c>
      <c r="K960" s="1" t="s">
        <v>125</v>
      </c>
      <c r="M960" s="1" t="s">
        <v>1015</v>
      </c>
    </row>
    <row r="961" spans="2:13" ht="15" hidden="1" customHeight="1" outlineLevel="1" x14ac:dyDescent="0.25">
      <c r="B961" s="1142" t="s">
        <v>830</v>
      </c>
      <c r="C961" s="1143"/>
      <c r="D961" s="1143" t="s">
        <v>990</v>
      </c>
      <c r="E961" s="1144">
        <v>148.5</v>
      </c>
      <c r="F961" s="1145" t="s">
        <v>1660</v>
      </c>
      <c r="G961" s="1146" t="s">
        <v>2294</v>
      </c>
      <c r="H961" s="1147"/>
      <c r="I961" s="1146"/>
      <c r="J961" s="1148" t="s">
        <v>836</v>
      </c>
      <c r="K961" s="1" t="s">
        <v>125</v>
      </c>
      <c r="M961" s="1" t="s">
        <v>1016</v>
      </c>
    </row>
    <row r="962" spans="2:13" ht="15" hidden="1" customHeight="1" outlineLevel="1" x14ac:dyDescent="0.25">
      <c r="B962" s="1142" t="s">
        <v>830</v>
      </c>
      <c r="C962" s="1143"/>
      <c r="D962" s="1143" t="s">
        <v>675</v>
      </c>
      <c r="E962" s="1144">
        <v>2.3340000000000001</v>
      </c>
      <c r="F962" s="1145" t="s">
        <v>1660</v>
      </c>
      <c r="G962" s="1146" t="s">
        <v>1661</v>
      </c>
      <c r="H962" s="1147"/>
      <c r="I962" s="1146"/>
      <c r="J962" s="1148" t="s">
        <v>221</v>
      </c>
      <c r="K962" s="1" t="s">
        <v>125</v>
      </c>
      <c r="M962" s="1" t="s">
        <v>1017</v>
      </c>
    </row>
    <row r="963" spans="2:13" ht="15" hidden="1" customHeight="1" outlineLevel="1" x14ac:dyDescent="0.25">
      <c r="B963" s="1142" t="s">
        <v>830</v>
      </c>
      <c r="C963" s="1143"/>
      <c r="D963" s="1143" t="s">
        <v>676</v>
      </c>
      <c r="E963" s="1144">
        <v>6.7210000000000001</v>
      </c>
      <c r="F963" s="1145" t="s">
        <v>1660</v>
      </c>
      <c r="G963" s="1146" t="s">
        <v>1661</v>
      </c>
      <c r="H963" s="1147"/>
      <c r="I963" s="1146"/>
      <c r="J963" s="1148" t="s">
        <v>221</v>
      </c>
      <c r="K963" s="1" t="s">
        <v>125</v>
      </c>
      <c r="M963" s="1" t="s">
        <v>1018</v>
      </c>
    </row>
    <row r="964" spans="2:13" ht="15" hidden="1" customHeight="1" outlineLevel="1" x14ac:dyDescent="0.25">
      <c r="B964" s="1142" t="s">
        <v>830</v>
      </c>
      <c r="C964" s="1143"/>
      <c r="D964" s="1143" t="s">
        <v>678</v>
      </c>
      <c r="E964" s="1144">
        <v>5.6109999999999998</v>
      </c>
      <c r="F964" s="1145" t="s">
        <v>1660</v>
      </c>
      <c r="G964" s="1146" t="s">
        <v>1661</v>
      </c>
      <c r="H964" s="1147"/>
      <c r="I964" s="1146"/>
      <c r="J964" s="1148" t="s">
        <v>221</v>
      </c>
      <c r="K964" s="1" t="s">
        <v>125</v>
      </c>
      <c r="M964" s="1" t="s">
        <v>1019</v>
      </c>
    </row>
    <row r="965" spans="2:13" ht="15" hidden="1" customHeight="1" outlineLevel="1" x14ac:dyDescent="0.25">
      <c r="B965" s="1142" t="s">
        <v>830</v>
      </c>
      <c r="C965" s="1143"/>
      <c r="D965" s="1143" t="s">
        <v>991</v>
      </c>
      <c r="E965" s="1144">
        <v>2.3340000000000001</v>
      </c>
      <c r="F965" s="1145" t="s">
        <v>1660</v>
      </c>
      <c r="G965" s="1146" t="s">
        <v>1661</v>
      </c>
      <c r="H965" s="1147"/>
      <c r="I965" s="1146"/>
      <c r="J965" s="1148" t="s">
        <v>221</v>
      </c>
      <c r="K965" s="1" t="s">
        <v>125</v>
      </c>
      <c r="M965" s="1" t="s">
        <v>1020</v>
      </c>
    </row>
    <row r="966" spans="2:13" ht="15" hidden="1" customHeight="1" outlineLevel="1" x14ac:dyDescent="0.25">
      <c r="B966" s="1142" t="s">
        <v>830</v>
      </c>
      <c r="C966" s="1143"/>
      <c r="D966" s="1143" t="s">
        <v>992</v>
      </c>
      <c r="E966" s="1144">
        <v>6.7210000000000001</v>
      </c>
      <c r="F966" s="1145" t="s">
        <v>1660</v>
      </c>
      <c r="G966" s="1146" t="s">
        <v>1661</v>
      </c>
      <c r="H966" s="1147"/>
      <c r="I966" s="1146"/>
      <c r="J966" s="1148" t="s">
        <v>221</v>
      </c>
      <c r="K966" s="1" t="s">
        <v>125</v>
      </c>
      <c r="M966" s="1" t="s">
        <v>1021</v>
      </c>
    </row>
    <row r="967" spans="2:13" ht="15" hidden="1" customHeight="1" outlineLevel="1" x14ac:dyDescent="0.25">
      <c r="B967" s="1142" t="s">
        <v>830</v>
      </c>
      <c r="C967" s="1143"/>
      <c r="D967" s="1143" t="s">
        <v>993</v>
      </c>
      <c r="E967" s="1144">
        <v>5.6109999999999998</v>
      </c>
      <c r="F967" s="1145" t="s">
        <v>1660</v>
      </c>
      <c r="G967" s="1146" t="s">
        <v>1661</v>
      </c>
      <c r="H967" s="1147"/>
      <c r="I967" s="1146"/>
      <c r="J967" s="1148" t="s">
        <v>221</v>
      </c>
      <c r="K967" s="1" t="s">
        <v>125</v>
      </c>
      <c r="M967" s="1" t="s">
        <v>1022</v>
      </c>
    </row>
    <row r="968" spans="2:13" ht="15" hidden="1" customHeight="1" outlineLevel="1" x14ac:dyDescent="0.25">
      <c r="B968" s="1142" t="s">
        <v>994</v>
      </c>
      <c r="C968" s="1143"/>
      <c r="D968" s="1143" t="s">
        <v>834</v>
      </c>
      <c r="E968" s="1144">
        <v>8566</v>
      </c>
      <c r="F968" s="1145" t="s">
        <v>1660</v>
      </c>
      <c r="G968" s="1146" t="s">
        <v>718</v>
      </c>
      <c r="H968" s="1147"/>
      <c r="I968" s="1146"/>
      <c r="J968" s="1148" t="s">
        <v>304</v>
      </c>
      <c r="K968" s="1" t="s">
        <v>125</v>
      </c>
      <c r="M968" s="1" t="s">
        <v>1023</v>
      </c>
    </row>
    <row r="969" spans="2:13" ht="15" hidden="1" customHeight="1" outlineLevel="1" x14ac:dyDescent="0.25">
      <c r="B969" s="1142" t="s">
        <v>994</v>
      </c>
      <c r="C969" s="1143"/>
      <c r="D969" s="1143" t="s">
        <v>834</v>
      </c>
      <c r="E969" s="1144">
        <v>237.3</v>
      </c>
      <c r="F969" s="1145" t="s">
        <v>1660</v>
      </c>
      <c r="G969" s="1146" t="s">
        <v>718</v>
      </c>
      <c r="H969" s="1147"/>
      <c r="I969" s="1146"/>
      <c r="J969" s="1148" t="s">
        <v>304</v>
      </c>
    </row>
    <row r="970" spans="2:13" ht="15" hidden="1" customHeight="1" outlineLevel="1" x14ac:dyDescent="0.25">
      <c r="B970" s="1142" t="s">
        <v>994</v>
      </c>
      <c r="C970" s="1143"/>
      <c r="D970" s="1143" t="s">
        <v>1054</v>
      </c>
      <c r="E970" s="1144">
        <v>170.4</v>
      </c>
      <c r="F970" s="1145" t="s">
        <v>1660</v>
      </c>
      <c r="G970" s="1146" t="s">
        <v>720</v>
      </c>
      <c r="H970" s="1147"/>
      <c r="I970" s="1146"/>
      <c r="J970" s="1148" t="s">
        <v>304</v>
      </c>
    </row>
    <row r="971" spans="2:13" ht="15" hidden="1" customHeight="1" outlineLevel="1" x14ac:dyDescent="0.25">
      <c r="B971" s="1142" t="s">
        <v>839</v>
      </c>
      <c r="C971" s="1143"/>
      <c r="D971" s="1143" t="s">
        <v>925</v>
      </c>
      <c r="E971" s="1144">
        <v>176</v>
      </c>
      <c r="F971" s="1145" t="s">
        <v>125</v>
      </c>
      <c r="G971" s="1146"/>
      <c r="H971" s="1147"/>
      <c r="I971" s="1146"/>
      <c r="J971" s="1148" t="s">
        <v>221</v>
      </c>
      <c r="K971" s="1" t="s">
        <v>125</v>
      </c>
      <c r="M971" s="1" t="s">
        <v>1024</v>
      </c>
    </row>
    <row r="972" spans="2:13" ht="15" hidden="1" customHeight="1" outlineLevel="1" x14ac:dyDescent="0.25">
      <c r="B972" s="1142" t="s">
        <v>839</v>
      </c>
      <c r="C972" s="1143"/>
      <c r="D972" s="1143" t="s">
        <v>925</v>
      </c>
      <c r="E972" s="1144">
        <v>63.64</v>
      </c>
      <c r="F972" s="1145" t="s">
        <v>1660</v>
      </c>
      <c r="G972" s="1146" t="s">
        <v>1661</v>
      </c>
      <c r="H972" s="1147"/>
      <c r="I972" s="1146"/>
      <c r="J972" s="1148" t="s">
        <v>221</v>
      </c>
      <c r="K972" s="1" t="s">
        <v>125</v>
      </c>
      <c r="M972" s="1" t="s">
        <v>1025</v>
      </c>
    </row>
    <row r="973" spans="2:13" ht="15" hidden="1" customHeight="1" outlineLevel="1" x14ac:dyDescent="0.25">
      <c r="B973" s="1142" t="s">
        <v>839</v>
      </c>
      <c r="C973" s="1143"/>
      <c r="D973" s="1143" t="s">
        <v>843</v>
      </c>
      <c r="E973" s="1144">
        <v>2.0430000000000001</v>
      </c>
      <c r="F973" s="1145" t="s">
        <v>1660</v>
      </c>
      <c r="G973" s="1146" t="s">
        <v>1661</v>
      </c>
      <c r="H973" s="1147" t="s">
        <v>1660</v>
      </c>
      <c r="I973" s="1146" t="s">
        <v>1558</v>
      </c>
      <c r="J973" s="1148" t="s">
        <v>221</v>
      </c>
      <c r="K973" s="1" t="s">
        <v>125</v>
      </c>
      <c r="M973" s="1" t="s">
        <v>1026</v>
      </c>
    </row>
    <row r="974" spans="2:13" ht="15" hidden="1" customHeight="1" outlineLevel="1" x14ac:dyDescent="0.25">
      <c r="B974" s="1142" t="s">
        <v>839</v>
      </c>
      <c r="C974" s="1143"/>
      <c r="D974" s="1143" t="s">
        <v>843</v>
      </c>
      <c r="E974" s="1144">
        <v>0.66390000000000005</v>
      </c>
      <c r="F974" s="1145" t="s">
        <v>1660</v>
      </c>
      <c r="G974" s="1146" t="s">
        <v>1661</v>
      </c>
      <c r="H974" s="1147" t="s">
        <v>1660</v>
      </c>
      <c r="I974" s="1146" t="s">
        <v>2295</v>
      </c>
      <c r="J974" s="1148" t="s">
        <v>221</v>
      </c>
      <c r="K974" s="1" t="s">
        <v>125</v>
      </c>
      <c r="M974" s="1" t="s">
        <v>1027</v>
      </c>
    </row>
    <row r="975" spans="2:13" ht="15" hidden="1" customHeight="1" outlineLevel="1" x14ac:dyDescent="0.25">
      <c r="B975" s="1142" t="s">
        <v>839</v>
      </c>
      <c r="C975" s="1143"/>
      <c r="D975" s="1143" t="s">
        <v>846</v>
      </c>
      <c r="E975" s="1144">
        <v>8.7149999999999999</v>
      </c>
      <c r="F975" s="1145" t="s">
        <v>1660</v>
      </c>
      <c r="G975" s="1146" t="s">
        <v>1661</v>
      </c>
      <c r="H975" s="1147"/>
      <c r="I975" s="1146"/>
      <c r="J975" s="1148" t="s">
        <v>221</v>
      </c>
      <c r="K975" s="1" t="s">
        <v>125</v>
      </c>
      <c r="M975" s="1" t="s">
        <v>1028</v>
      </c>
    </row>
    <row r="976" spans="2:13" ht="15" hidden="1" customHeight="1" outlineLevel="1" x14ac:dyDescent="0.25">
      <c r="B976" s="1142" t="s">
        <v>839</v>
      </c>
      <c r="C976" s="1143"/>
      <c r="D976" s="1143" t="s">
        <v>995</v>
      </c>
      <c r="E976" s="1144">
        <v>0.91</v>
      </c>
      <c r="F976" s="1145" t="s">
        <v>1660</v>
      </c>
      <c r="G976" s="1146" t="s">
        <v>1661</v>
      </c>
      <c r="H976" s="1147"/>
      <c r="I976" s="1146"/>
      <c r="J976" s="1148" t="s">
        <v>221</v>
      </c>
      <c r="K976" s="1" t="s">
        <v>125</v>
      </c>
      <c r="M976" s="1" t="s">
        <v>1029</v>
      </c>
    </row>
    <row r="977" spans="2:13" ht="15" hidden="1" customHeight="1" outlineLevel="1" x14ac:dyDescent="0.25">
      <c r="B977" s="1142" t="s">
        <v>839</v>
      </c>
      <c r="C977" s="1143"/>
      <c r="D977" s="1143" t="s">
        <v>996</v>
      </c>
      <c r="E977" s="1144">
        <v>0</v>
      </c>
      <c r="F977" s="1145" t="s">
        <v>125</v>
      </c>
      <c r="G977" s="1146"/>
      <c r="H977" s="1147"/>
      <c r="I977" s="1146"/>
      <c r="J977" s="1148" t="s">
        <v>221</v>
      </c>
      <c r="K977" s="1" t="s">
        <v>125</v>
      </c>
      <c r="M977" s="1" t="s">
        <v>999</v>
      </c>
    </row>
    <row r="978" spans="2:13" ht="15" hidden="1" customHeight="1" outlineLevel="1" x14ac:dyDescent="0.25">
      <c r="B978" s="1142" t="s">
        <v>839</v>
      </c>
      <c r="C978" s="1143"/>
      <c r="D978" s="1143" t="s">
        <v>843</v>
      </c>
      <c r="E978" s="1144">
        <v>0.54830000000000001</v>
      </c>
      <c r="F978" s="1145" t="s">
        <v>1660</v>
      </c>
      <c r="G978" s="1146" t="s">
        <v>683</v>
      </c>
      <c r="H978" s="1147" t="s">
        <v>1660</v>
      </c>
      <c r="I978" s="1146" t="s">
        <v>1561</v>
      </c>
      <c r="J978" s="1148" t="s">
        <v>221</v>
      </c>
      <c r="K978" s="1" t="s">
        <v>125</v>
      </c>
      <c r="M978" s="1" t="s">
        <v>1030</v>
      </c>
    </row>
    <row r="979" spans="2:13" ht="15" hidden="1" customHeight="1" outlineLevel="1" x14ac:dyDescent="0.25">
      <c r="B979" s="1142" t="s">
        <v>839</v>
      </c>
      <c r="C979" s="1143"/>
      <c r="D979" s="1143" t="s">
        <v>843</v>
      </c>
      <c r="E979" s="1144">
        <v>0.1782</v>
      </c>
      <c r="F979" s="1145" t="s">
        <v>1660</v>
      </c>
      <c r="G979" s="1146" t="s">
        <v>683</v>
      </c>
      <c r="H979" s="1147" t="s">
        <v>1660</v>
      </c>
      <c r="I979" s="1146" t="s">
        <v>1562</v>
      </c>
      <c r="J979" s="1148" t="s">
        <v>221</v>
      </c>
      <c r="K979" s="1" t="s">
        <v>125</v>
      </c>
      <c r="M979" s="1" t="s">
        <v>1031</v>
      </c>
    </row>
    <row r="980" spans="2:13" ht="15" hidden="1" customHeight="1" outlineLevel="1" x14ac:dyDescent="0.25">
      <c r="B980" s="1142" t="s">
        <v>839</v>
      </c>
      <c r="C980" s="1143"/>
      <c r="D980" s="1143" t="s">
        <v>846</v>
      </c>
      <c r="E980" s="1144">
        <v>8.4730000000000008</v>
      </c>
      <c r="F980" s="1145" t="s">
        <v>1660</v>
      </c>
      <c r="G980" s="1146" t="s">
        <v>683</v>
      </c>
      <c r="H980" s="1147" t="s">
        <v>1660</v>
      </c>
      <c r="I980" s="1146" t="s">
        <v>1564</v>
      </c>
      <c r="J980" s="1148" t="s">
        <v>221</v>
      </c>
      <c r="K980" s="1" t="s">
        <v>125</v>
      </c>
      <c r="M980" s="1" t="s">
        <v>1032</v>
      </c>
    </row>
    <row r="981" spans="2:13" ht="15" hidden="1" customHeight="1" outlineLevel="1" x14ac:dyDescent="0.25">
      <c r="B981" s="1142" t="s">
        <v>839</v>
      </c>
      <c r="C981" s="1143"/>
      <c r="D981" s="1143" t="s">
        <v>843</v>
      </c>
      <c r="E981" s="1144">
        <v>1.0780000000000001</v>
      </c>
      <c r="F981" s="1145" t="s">
        <v>125</v>
      </c>
      <c r="G981" s="1146"/>
      <c r="H981" s="1147"/>
      <c r="I981" s="1146"/>
      <c r="J981" s="1148" t="s">
        <v>221</v>
      </c>
      <c r="K981" s="1" t="s">
        <v>125</v>
      </c>
      <c r="M981" s="1" t="s">
        <v>1033</v>
      </c>
    </row>
    <row r="982" spans="2:13" ht="15" hidden="1" customHeight="1" outlineLevel="1" x14ac:dyDescent="0.25">
      <c r="B982" s="1142" t="s">
        <v>839</v>
      </c>
      <c r="C982" s="1143"/>
      <c r="D982" s="1143" t="s">
        <v>843</v>
      </c>
      <c r="E982" s="1144">
        <v>0.24260000000000001</v>
      </c>
      <c r="F982" s="1145" t="s">
        <v>125</v>
      </c>
      <c r="G982" s="1146"/>
      <c r="H982" s="1147"/>
      <c r="I982" s="1146"/>
      <c r="J982" s="1148" t="s">
        <v>221</v>
      </c>
      <c r="K982" s="1" t="s">
        <v>125</v>
      </c>
      <c r="M982" s="1" t="s">
        <v>1034</v>
      </c>
    </row>
    <row r="983" spans="2:13" ht="15" hidden="1" customHeight="1" outlineLevel="1" x14ac:dyDescent="0.25">
      <c r="B983" s="1142" t="s">
        <v>931</v>
      </c>
      <c r="C983" s="1143"/>
      <c r="D983" s="1143" t="s">
        <v>932</v>
      </c>
      <c r="E983" s="1144">
        <v>172.7</v>
      </c>
      <c r="F983" s="1145" t="s">
        <v>1660</v>
      </c>
      <c r="G983" s="1146" t="s">
        <v>1661</v>
      </c>
      <c r="H983" s="1147" t="s">
        <v>1660</v>
      </c>
      <c r="I983" s="1146" t="s">
        <v>1691</v>
      </c>
      <c r="J983" s="1148" t="s">
        <v>221</v>
      </c>
      <c r="K983" s="1" t="s">
        <v>125</v>
      </c>
      <c r="M983" s="1" t="s">
        <v>1025</v>
      </c>
    </row>
    <row r="984" spans="2:13" ht="15" hidden="1" customHeight="1" outlineLevel="1" x14ac:dyDescent="0.25">
      <c r="B984" s="1142" t="s">
        <v>931</v>
      </c>
      <c r="C984" s="1143"/>
      <c r="D984" s="1143" t="s">
        <v>947</v>
      </c>
      <c r="E984" s="1144">
        <v>1.5029999999999999</v>
      </c>
      <c r="F984" s="1145" t="s">
        <v>1660</v>
      </c>
      <c r="G984" s="1146" t="s">
        <v>1661</v>
      </c>
      <c r="H984" s="1147"/>
      <c r="I984" s="1146"/>
      <c r="J984" s="1148" t="s">
        <v>221</v>
      </c>
      <c r="K984" s="1" t="s">
        <v>125</v>
      </c>
      <c r="M984" s="1" t="s">
        <v>1035</v>
      </c>
    </row>
    <row r="985" spans="2:13" ht="15" hidden="1" customHeight="1" outlineLevel="1" x14ac:dyDescent="0.25">
      <c r="B985" s="1142" t="s">
        <v>931</v>
      </c>
      <c r="C985" s="1143"/>
      <c r="D985" s="1143" t="s">
        <v>934</v>
      </c>
      <c r="E985" s="1144">
        <v>42.37</v>
      </c>
      <c r="F985" s="1145" t="s">
        <v>1660</v>
      </c>
      <c r="G985" s="1146" t="s">
        <v>2309</v>
      </c>
      <c r="H985" s="1147" t="s">
        <v>1660</v>
      </c>
      <c r="I985" s="1146" t="s">
        <v>2296</v>
      </c>
      <c r="J985" s="1148" t="s">
        <v>935</v>
      </c>
      <c r="K985" s="1" t="s">
        <v>125</v>
      </c>
      <c r="M985" s="1" t="s">
        <v>1036</v>
      </c>
    </row>
    <row r="986" spans="2:13" ht="15" hidden="1" customHeight="1" outlineLevel="1" x14ac:dyDescent="0.25">
      <c r="B986" s="1142" t="s">
        <v>931</v>
      </c>
      <c r="C986" s="1143"/>
      <c r="D986" s="1143" t="s">
        <v>937</v>
      </c>
      <c r="E986" s="1144">
        <v>20770</v>
      </c>
      <c r="F986" s="1145" t="s">
        <v>1660</v>
      </c>
      <c r="G986" s="1146" t="s">
        <v>2310</v>
      </c>
      <c r="H986" s="1147" t="s">
        <v>1660</v>
      </c>
      <c r="I986" s="1146" t="s">
        <v>2297</v>
      </c>
      <c r="J986" s="1148" t="s">
        <v>935</v>
      </c>
      <c r="K986" s="1" t="s">
        <v>125</v>
      </c>
      <c r="M986" s="1" t="s">
        <v>1036</v>
      </c>
    </row>
    <row r="987" spans="2:13" ht="15" hidden="1" customHeight="1" outlineLevel="1" x14ac:dyDescent="0.25">
      <c r="B987" s="1142" t="s">
        <v>931</v>
      </c>
      <c r="C987" s="1143"/>
      <c r="D987" s="1143" t="s">
        <v>938</v>
      </c>
      <c r="E987" s="1144">
        <v>3444</v>
      </c>
      <c r="F987" s="1145" t="s">
        <v>1660</v>
      </c>
      <c r="G987" s="1146" t="s">
        <v>2311</v>
      </c>
      <c r="H987" s="1147" t="s">
        <v>1660</v>
      </c>
      <c r="I987" s="1146" t="s">
        <v>2298</v>
      </c>
      <c r="J987" s="1148" t="s">
        <v>935</v>
      </c>
      <c r="K987" s="1" t="s">
        <v>125</v>
      </c>
      <c r="M987" s="1" t="s">
        <v>1036</v>
      </c>
    </row>
    <row r="988" spans="2:13" ht="15" hidden="1" customHeight="1" outlineLevel="1" x14ac:dyDescent="0.25">
      <c r="B988" s="1142" t="s">
        <v>931</v>
      </c>
      <c r="C988" s="1143"/>
      <c r="D988" s="1143" t="s">
        <v>939</v>
      </c>
      <c r="E988" s="1144">
        <v>0.78469999999999995</v>
      </c>
      <c r="F988" s="1145" t="s">
        <v>1660</v>
      </c>
      <c r="G988" s="1146" t="s">
        <v>2312</v>
      </c>
      <c r="H988" s="1147" t="s">
        <v>1660</v>
      </c>
      <c r="I988" s="1146" t="s">
        <v>2299</v>
      </c>
      <c r="J988" s="1148" t="s">
        <v>935</v>
      </c>
      <c r="K988" s="1" t="s">
        <v>125</v>
      </c>
      <c r="M988" s="1" t="s">
        <v>1036</v>
      </c>
    </row>
    <row r="989" spans="2:13" ht="15" hidden="1" customHeight="1" outlineLevel="1" x14ac:dyDescent="0.25">
      <c r="B989" s="1142" t="s">
        <v>931</v>
      </c>
      <c r="C989" s="1143"/>
      <c r="D989" s="1143" t="s">
        <v>940</v>
      </c>
      <c r="E989" s="1144">
        <v>0</v>
      </c>
      <c r="F989" s="1145" t="s">
        <v>125</v>
      </c>
      <c r="G989" s="1146"/>
      <c r="H989" s="1147"/>
      <c r="I989" s="1146"/>
      <c r="J989" s="1148" t="s">
        <v>935</v>
      </c>
      <c r="K989" s="1" t="s">
        <v>125</v>
      </c>
      <c r="M989" s="1" t="s">
        <v>1036</v>
      </c>
    </row>
    <row r="990" spans="2:13" ht="15" hidden="1" customHeight="1" outlineLevel="1" x14ac:dyDescent="0.25">
      <c r="B990" s="1142" t="s">
        <v>931</v>
      </c>
      <c r="C990" s="1143"/>
      <c r="D990" s="1143" t="s">
        <v>941</v>
      </c>
      <c r="E990" s="1144">
        <v>306.10000000000002</v>
      </c>
      <c r="F990" s="1145" t="s">
        <v>1660</v>
      </c>
      <c r="G990" s="1146" t="s">
        <v>2313</v>
      </c>
      <c r="H990" s="1147" t="s">
        <v>1660</v>
      </c>
      <c r="I990" s="1146" t="s">
        <v>2300</v>
      </c>
      <c r="J990" s="1148" t="s">
        <v>935</v>
      </c>
      <c r="K990" s="1" t="s">
        <v>125</v>
      </c>
      <c r="M990" s="1" t="s">
        <v>1036</v>
      </c>
    </row>
    <row r="991" spans="2:13" ht="15" hidden="1" customHeight="1" outlineLevel="1" x14ac:dyDescent="0.25">
      <c r="B991" s="1142" t="s">
        <v>931</v>
      </c>
      <c r="C991" s="1143"/>
      <c r="D991" s="1143" t="s">
        <v>942</v>
      </c>
      <c r="E991" s="1144">
        <v>28010</v>
      </c>
      <c r="F991" s="1145" t="s">
        <v>1660</v>
      </c>
      <c r="G991" s="1146" t="s">
        <v>2314</v>
      </c>
      <c r="H991" s="1147" t="s">
        <v>1660</v>
      </c>
      <c r="I991" s="1146" t="s">
        <v>2301</v>
      </c>
      <c r="J991" s="1148" t="s">
        <v>935</v>
      </c>
      <c r="K991" s="1" t="s">
        <v>125</v>
      </c>
      <c r="M991" s="1" t="s">
        <v>1036</v>
      </c>
    </row>
    <row r="992" spans="2:13" ht="15" hidden="1" customHeight="1" outlineLevel="1" x14ac:dyDescent="0.25">
      <c r="B992" s="1142" t="s">
        <v>931</v>
      </c>
      <c r="C992" s="1143"/>
      <c r="D992" s="1143" t="s">
        <v>932</v>
      </c>
      <c r="E992" s="1144">
        <v>46.35</v>
      </c>
      <c r="F992" s="1145" t="s">
        <v>1660</v>
      </c>
      <c r="G992" s="1146" t="s">
        <v>683</v>
      </c>
      <c r="H992" s="1147" t="s">
        <v>1660</v>
      </c>
      <c r="I992" s="1146" t="s">
        <v>1704</v>
      </c>
      <c r="J992" s="1148" t="s">
        <v>221</v>
      </c>
      <c r="K992" s="1" t="s">
        <v>125</v>
      </c>
      <c r="M992" s="1" t="s">
        <v>1032</v>
      </c>
    </row>
    <row r="993" spans="2:13" ht="15" hidden="1" customHeight="1" outlineLevel="1" x14ac:dyDescent="0.25">
      <c r="B993" s="1142" t="s">
        <v>931</v>
      </c>
      <c r="C993" s="1143"/>
      <c r="D993" s="1143" t="s">
        <v>947</v>
      </c>
      <c r="E993" s="1144">
        <v>0.4667</v>
      </c>
      <c r="F993" s="1145" t="s">
        <v>1660</v>
      </c>
      <c r="G993" s="1146" t="s">
        <v>684</v>
      </c>
      <c r="H993" s="1147"/>
      <c r="I993" s="1146"/>
      <c r="J993" s="1148" t="s">
        <v>221</v>
      </c>
      <c r="K993" s="1" t="s">
        <v>125</v>
      </c>
      <c r="M993" s="1" t="s">
        <v>1037</v>
      </c>
    </row>
    <row r="994" spans="2:13" ht="15" hidden="1" customHeight="1" outlineLevel="1" x14ac:dyDescent="0.25">
      <c r="B994" s="1142" t="s">
        <v>931</v>
      </c>
      <c r="C994" s="1143"/>
      <c r="D994" s="1143" t="s">
        <v>932</v>
      </c>
      <c r="E994" s="1144">
        <v>91.17</v>
      </c>
      <c r="F994" s="1145" t="s">
        <v>125</v>
      </c>
      <c r="G994" s="1146"/>
      <c r="H994" s="1147"/>
      <c r="I994" s="1146"/>
      <c r="J994" s="1148" t="s">
        <v>221</v>
      </c>
      <c r="K994" s="1" t="s">
        <v>125</v>
      </c>
      <c r="M994" s="1" t="s">
        <v>1038</v>
      </c>
    </row>
    <row r="995" spans="2:13" ht="15" hidden="1" customHeight="1" outlineLevel="1" x14ac:dyDescent="0.25">
      <c r="B995" s="1142" t="s">
        <v>945</v>
      </c>
      <c r="C995" s="1143" t="s">
        <v>946</v>
      </c>
      <c r="D995" s="1143" t="s">
        <v>934</v>
      </c>
      <c r="E995" s="1144">
        <v>2723</v>
      </c>
      <c r="F995" s="1145" t="s">
        <v>1660</v>
      </c>
      <c r="G995" s="1146" t="s">
        <v>2315</v>
      </c>
      <c r="H995" s="1147" t="s">
        <v>1660</v>
      </c>
      <c r="I995" s="1146" t="s">
        <v>2302</v>
      </c>
      <c r="J995" s="1148" t="s">
        <v>935</v>
      </c>
      <c r="K995" s="1" t="s">
        <v>125</v>
      </c>
      <c r="M995" s="1" t="s">
        <v>1036</v>
      </c>
    </row>
    <row r="996" spans="2:13" ht="15" hidden="1" customHeight="1" outlineLevel="1" x14ac:dyDescent="0.25">
      <c r="B996" s="1142" t="s">
        <v>945</v>
      </c>
      <c r="C996" s="1143" t="s">
        <v>946</v>
      </c>
      <c r="D996" s="1143" t="s">
        <v>937</v>
      </c>
      <c r="E996" s="1144">
        <v>139900</v>
      </c>
      <c r="F996" s="1145" t="s">
        <v>1660</v>
      </c>
      <c r="G996" s="1146" t="s">
        <v>2316</v>
      </c>
      <c r="H996" s="1147" t="s">
        <v>1660</v>
      </c>
      <c r="I996" s="1108" t="s">
        <v>2303</v>
      </c>
      <c r="J996" s="1148" t="s">
        <v>935</v>
      </c>
      <c r="K996" s="1" t="s">
        <v>125</v>
      </c>
      <c r="M996" s="1" t="s">
        <v>1036</v>
      </c>
    </row>
    <row r="997" spans="2:13" ht="15" hidden="1" customHeight="1" outlineLevel="1" x14ac:dyDescent="0.25">
      <c r="B997" s="1142" t="s">
        <v>945</v>
      </c>
      <c r="C997" s="1143" t="s">
        <v>946</v>
      </c>
      <c r="D997" s="1143" t="s">
        <v>938</v>
      </c>
      <c r="E997" s="1144">
        <v>3219</v>
      </c>
      <c r="F997" s="1145" t="s">
        <v>1660</v>
      </c>
      <c r="G997" s="1146" t="s">
        <v>2317</v>
      </c>
      <c r="H997" s="1147" t="s">
        <v>1660</v>
      </c>
      <c r="I997" s="1146" t="s">
        <v>2304</v>
      </c>
      <c r="J997" s="1148" t="s">
        <v>935</v>
      </c>
      <c r="K997" s="1" t="s">
        <v>125</v>
      </c>
      <c r="M997" s="1" t="s">
        <v>1036</v>
      </c>
    </row>
    <row r="998" spans="2:13" ht="15" hidden="1" customHeight="1" outlineLevel="1" x14ac:dyDescent="0.25">
      <c r="B998" s="1142" t="s">
        <v>945</v>
      </c>
      <c r="C998" s="1143" t="s">
        <v>946</v>
      </c>
      <c r="D998" s="1143" t="s">
        <v>939</v>
      </c>
      <c r="E998" s="1144">
        <v>-4.4020000000000001</v>
      </c>
      <c r="F998" s="1145" t="s">
        <v>1660</v>
      </c>
      <c r="G998" s="1146" t="s">
        <v>2318</v>
      </c>
      <c r="H998" s="1147" t="s">
        <v>1660</v>
      </c>
      <c r="I998" s="1146" t="s">
        <v>2305</v>
      </c>
      <c r="J998" s="1148" t="s">
        <v>935</v>
      </c>
      <c r="K998" s="1" t="s">
        <v>125</v>
      </c>
      <c r="M998" s="1" t="s">
        <v>1036</v>
      </c>
    </row>
    <row r="999" spans="2:13" ht="15" hidden="1" customHeight="1" outlineLevel="1" x14ac:dyDescent="0.25">
      <c r="B999" s="1142" t="s">
        <v>945</v>
      </c>
      <c r="C999" s="1143" t="s">
        <v>946</v>
      </c>
      <c r="D999" s="1143" t="s">
        <v>940</v>
      </c>
      <c r="E999" s="1144">
        <v>10120</v>
      </c>
      <c r="F999" s="1145" t="s">
        <v>1660</v>
      </c>
      <c r="G999" s="1146" t="s">
        <v>2319</v>
      </c>
      <c r="H999" s="1147" t="s">
        <v>1660</v>
      </c>
      <c r="I999" s="1146" t="s">
        <v>2306</v>
      </c>
      <c r="J999" s="1148" t="s">
        <v>935</v>
      </c>
      <c r="K999" s="1" t="s">
        <v>125</v>
      </c>
      <c r="M999" s="1" t="s">
        <v>1036</v>
      </c>
    </row>
    <row r="1000" spans="2:13" ht="15" hidden="1" customHeight="1" outlineLevel="1" x14ac:dyDescent="0.25">
      <c r="B1000" s="1142" t="s">
        <v>945</v>
      </c>
      <c r="C1000" s="1143" t="s">
        <v>946</v>
      </c>
      <c r="D1000" s="1143" t="s">
        <v>941</v>
      </c>
      <c r="E1000" s="1144">
        <v>18500</v>
      </c>
      <c r="F1000" s="1145" t="s">
        <v>1660</v>
      </c>
      <c r="G1000" s="1146" t="s">
        <v>2320</v>
      </c>
      <c r="H1000" s="1147" t="s">
        <v>1660</v>
      </c>
      <c r="I1000" s="1146" t="s">
        <v>2307</v>
      </c>
      <c r="J1000" s="1148" t="s">
        <v>935</v>
      </c>
      <c r="K1000" s="1" t="s">
        <v>125</v>
      </c>
      <c r="M1000" s="1" t="s">
        <v>1036</v>
      </c>
    </row>
    <row r="1001" spans="2:13" ht="15" hidden="1" customHeight="1" outlineLevel="1" x14ac:dyDescent="0.25">
      <c r="B1001" s="1149" t="s">
        <v>945</v>
      </c>
      <c r="C1001" s="1150" t="s">
        <v>946</v>
      </c>
      <c r="D1001" s="1150" t="s">
        <v>942</v>
      </c>
      <c r="E1001" s="1151">
        <v>470700</v>
      </c>
      <c r="F1001" s="1152" t="s">
        <v>1660</v>
      </c>
      <c r="G1001" s="1158" t="s">
        <v>2321</v>
      </c>
      <c r="H1001" s="1154" t="s">
        <v>1660</v>
      </c>
      <c r="I1001" s="1158" t="s">
        <v>2308</v>
      </c>
      <c r="J1001" s="1155" t="s">
        <v>935</v>
      </c>
      <c r="K1001" s="1" t="s">
        <v>125</v>
      </c>
      <c r="M1001" s="1" t="s">
        <v>1036</v>
      </c>
    </row>
    <row r="1003" spans="2:13" ht="15" customHeight="1" x14ac:dyDescent="0.25">
      <c r="B1003" s="1127" t="s">
        <v>825</v>
      </c>
      <c r="C1003" s="1128"/>
      <c r="D1003" s="1207" t="s">
        <v>1162</v>
      </c>
      <c r="E1003" s="1123">
        <v>3895</v>
      </c>
      <c r="F1003" s="1129" t="s">
        <v>1660</v>
      </c>
      <c r="G1003" s="1130" t="s">
        <v>2067</v>
      </c>
      <c r="H1003" s="1131" t="s">
        <v>125</v>
      </c>
      <c r="I1003" s="1130"/>
      <c r="J1003" s="208" t="s">
        <v>221</v>
      </c>
      <c r="K1003" s="898">
        <v>93.12</v>
      </c>
    </row>
    <row r="1004" spans="2:13" ht="15" customHeight="1" collapsed="1" x14ac:dyDescent="0.25">
      <c r="B1004" s="1132" t="s">
        <v>825</v>
      </c>
      <c r="C1004" s="1107"/>
      <c r="D1004" s="1209" t="s">
        <v>1163</v>
      </c>
      <c r="E1004" s="1133">
        <v>1727</v>
      </c>
      <c r="F1004" s="1134" t="s">
        <v>1660</v>
      </c>
      <c r="G1004" s="1135" t="s">
        <v>2067</v>
      </c>
      <c r="H1004" s="1136" t="s">
        <v>125</v>
      </c>
      <c r="I1004" s="1135"/>
      <c r="J1004" s="211" t="s">
        <v>221</v>
      </c>
      <c r="K1004" s="531">
        <v>6.88</v>
      </c>
    </row>
    <row r="1005" spans="2:13" ht="15" hidden="1" customHeight="1" outlineLevel="1" x14ac:dyDescent="0.25">
      <c r="B1005" s="1137" t="s">
        <v>827</v>
      </c>
      <c r="C1005" s="1138" t="s">
        <v>979</v>
      </c>
      <c r="D1005" s="1138" t="s">
        <v>980</v>
      </c>
      <c r="E1005" s="1139">
        <v>0</v>
      </c>
      <c r="F1005" s="1145" t="s">
        <v>125</v>
      </c>
      <c r="G1005" s="1146"/>
      <c r="H1005" s="1147" t="s">
        <v>125</v>
      </c>
      <c r="I1005" s="954"/>
      <c r="J1005" s="955" t="s">
        <v>186</v>
      </c>
      <c r="K1005" s="1" t="s">
        <v>125</v>
      </c>
      <c r="M1005" s="1" t="s">
        <v>997</v>
      </c>
    </row>
    <row r="1006" spans="2:13" ht="15" hidden="1" customHeight="1" outlineLevel="1" x14ac:dyDescent="0.25">
      <c r="B1006" s="1142" t="s">
        <v>827</v>
      </c>
      <c r="C1006" s="1143" t="s">
        <v>981</v>
      </c>
      <c r="D1006" s="1143" t="s">
        <v>982</v>
      </c>
      <c r="E1006" s="1144">
        <v>10000</v>
      </c>
      <c r="F1006" s="1145" t="s">
        <v>125</v>
      </c>
      <c r="G1006" s="1146"/>
      <c r="H1006" s="1147" t="s">
        <v>125</v>
      </c>
      <c r="I1006" s="1146"/>
      <c r="J1006" s="1148" t="s">
        <v>181</v>
      </c>
      <c r="K1006" s="1" t="s">
        <v>125</v>
      </c>
      <c r="M1006" s="1" t="s">
        <v>998</v>
      </c>
    </row>
    <row r="1007" spans="2:13" ht="15" hidden="1" customHeight="1" outlineLevel="1" x14ac:dyDescent="0.25">
      <c r="B1007" s="1142" t="s">
        <v>827</v>
      </c>
      <c r="C1007" s="1143" t="s">
        <v>981</v>
      </c>
      <c r="D1007" s="1143" t="s">
        <v>983</v>
      </c>
      <c r="E1007" s="1144">
        <v>0</v>
      </c>
      <c r="F1007" s="1145" t="s">
        <v>125</v>
      </c>
      <c r="G1007" s="1146"/>
      <c r="H1007" s="1147" t="s">
        <v>125</v>
      </c>
      <c r="I1007" s="1146"/>
      <c r="J1007" s="1148" t="s">
        <v>182</v>
      </c>
      <c r="K1007" s="1" t="s">
        <v>125</v>
      </c>
      <c r="M1007" s="1" t="s">
        <v>999</v>
      </c>
    </row>
    <row r="1008" spans="2:13" ht="15" hidden="1" customHeight="1" outlineLevel="1" x14ac:dyDescent="0.25">
      <c r="B1008" s="1142" t="s">
        <v>827</v>
      </c>
      <c r="C1008" s="1143" t="s">
        <v>981</v>
      </c>
      <c r="D1008" s="1143" t="s">
        <v>984</v>
      </c>
      <c r="E1008" s="1144">
        <v>0</v>
      </c>
      <c r="F1008" s="1145" t="s">
        <v>125</v>
      </c>
      <c r="G1008" s="1146"/>
      <c r="H1008" s="1147" t="s">
        <v>125</v>
      </c>
      <c r="I1008" s="1146"/>
      <c r="J1008" s="1148" t="s">
        <v>182</v>
      </c>
      <c r="K1008" s="1" t="s">
        <v>125</v>
      </c>
      <c r="M1008" s="1" t="s">
        <v>999</v>
      </c>
    </row>
    <row r="1009" spans="2:13" ht="15" hidden="1" customHeight="1" outlineLevel="1" x14ac:dyDescent="0.25">
      <c r="B1009" s="1142" t="s">
        <v>827</v>
      </c>
      <c r="C1009" s="1143" t="s">
        <v>981</v>
      </c>
      <c r="D1009" s="1143" t="s">
        <v>985</v>
      </c>
      <c r="E1009" s="1144">
        <v>4.4210000000000003</v>
      </c>
      <c r="F1009" s="1145" t="s">
        <v>125</v>
      </c>
      <c r="G1009" s="1146"/>
      <c r="H1009" s="1147" t="s">
        <v>125</v>
      </c>
      <c r="I1009" s="1146"/>
      <c r="J1009" s="1148" t="s">
        <v>182</v>
      </c>
      <c r="K1009" s="1" t="s">
        <v>125</v>
      </c>
      <c r="M1009" s="1" t="s">
        <v>999</v>
      </c>
    </row>
    <row r="1010" spans="2:13" ht="15" hidden="1" customHeight="1" outlineLevel="1" x14ac:dyDescent="0.25">
      <c r="B1010" s="1142" t="s">
        <v>827</v>
      </c>
      <c r="C1010" s="1143" t="s">
        <v>981</v>
      </c>
      <c r="D1010" s="1143" t="s">
        <v>986</v>
      </c>
      <c r="E1010" s="1144">
        <v>135.4</v>
      </c>
      <c r="F1010" s="1145" t="s">
        <v>125</v>
      </c>
      <c r="G1010" s="1146"/>
      <c r="H1010" s="1147" t="s">
        <v>125</v>
      </c>
      <c r="I1010" s="1146"/>
      <c r="J1010" s="1148" t="s">
        <v>182</v>
      </c>
      <c r="K1010" s="1" t="s">
        <v>125</v>
      </c>
      <c r="M1010" s="1" t="s">
        <v>999</v>
      </c>
    </row>
    <row r="1011" spans="2:13" ht="15" hidden="1" customHeight="1" outlineLevel="1" x14ac:dyDescent="0.25">
      <c r="B1011" s="1142" t="s">
        <v>827</v>
      </c>
      <c r="C1011" s="1143" t="s">
        <v>981</v>
      </c>
      <c r="D1011" s="1143" t="s">
        <v>987</v>
      </c>
      <c r="E1011" s="1144">
        <v>139.9</v>
      </c>
      <c r="F1011" s="1145" t="s">
        <v>125</v>
      </c>
      <c r="G1011" s="1146"/>
      <c r="H1011" s="1147" t="s">
        <v>125</v>
      </c>
      <c r="I1011" s="1146"/>
      <c r="J1011" s="1148" t="s">
        <v>182</v>
      </c>
      <c r="K1011" s="1" t="s">
        <v>125</v>
      </c>
      <c r="M1011" s="1" t="s">
        <v>999</v>
      </c>
    </row>
    <row r="1012" spans="2:13" ht="15" hidden="1" customHeight="1" outlineLevel="1" x14ac:dyDescent="0.25">
      <c r="B1012" s="1142" t="s">
        <v>830</v>
      </c>
      <c r="C1012" s="1143"/>
      <c r="D1012" s="1143" t="s">
        <v>665</v>
      </c>
      <c r="E1012" s="1144">
        <v>3522</v>
      </c>
      <c r="F1012" s="1145" t="s">
        <v>1660</v>
      </c>
      <c r="G1012" s="1146" t="s">
        <v>726</v>
      </c>
      <c r="H1012" s="1147" t="s">
        <v>125</v>
      </c>
      <c r="I1012" s="1146"/>
      <c r="J1012" s="1148" t="s">
        <v>221</v>
      </c>
      <c r="K1012" s="1" t="s">
        <v>125</v>
      </c>
      <c r="M1012" s="1" t="s">
        <v>1000</v>
      </c>
    </row>
    <row r="1013" spans="2:13" ht="15" hidden="1" customHeight="1" outlineLevel="1" x14ac:dyDescent="0.25">
      <c r="B1013" s="1142" t="s">
        <v>830</v>
      </c>
      <c r="C1013" s="1143"/>
      <c r="D1013" s="1143" t="s">
        <v>673</v>
      </c>
      <c r="E1013" s="1144">
        <v>308.89999999999998</v>
      </c>
      <c r="F1013" s="1145" t="s">
        <v>1660</v>
      </c>
      <c r="G1013" s="1146" t="s">
        <v>723</v>
      </c>
      <c r="H1013" s="1147" t="s">
        <v>125</v>
      </c>
      <c r="I1013" s="1146"/>
      <c r="J1013" s="1148" t="s">
        <v>221</v>
      </c>
      <c r="K1013" s="1" t="s">
        <v>125</v>
      </c>
      <c r="M1013" s="1" t="s">
        <v>1001</v>
      </c>
    </row>
    <row r="1014" spans="2:13" ht="15" hidden="1" customHeight="1" outlineLevel="1" x14ac:dyDescent="0.25">
      <c r="B1014" s="1142" t="s">
        <v>830</v>
      </c>
      <c r="C1014" s="1143"/>
      <c r="D1014" s="1143" t="s">
        <v>653</v>
      </c>
      <c r="E1014" s="1144">
        <v>34.76</v>
      </c>
      <c r="F1014" s="1145" t="s">
        <v>1660</v>
      </c>
      <c r="G1014" s="1146" t="s">
        <v>1661</v>
      </c>
      <c r="H1014" s="1147" t="s">
        <v>125</v>
      </c>
      <c r="I1014" s="1146"/>
      <c r="J1014" s="1148" t="s">
        <v>221</v>
      </c>
      <c r="K1014" s="1" t="s">
        <v>125</v>
      </c>
      <c r="M1014" s="1" t="s">
        <v>1164</v>
      </c>
    </row>
    <row r="1015" spans="2:13" ht="15" hidden="1" customHeight="1" outlineLevel="1" x14ac:dyDescent="0.25">
      <c r="B1015" s="1142" t="s">
        <v>830</v>
      </c>
      <c r="C1015" s="1143"/>
      <c r="D1015" s="1143" t="s">
        <v>654</v>
      </c>
      <c r="E1015" s="1144">
        <v>37.479999999999997</v>
      </c>
      <c r="F1015" s="1145" t="s">
        <v>1660</v>
      </c>
      <c r="G1015" s="1146" t="s">
        <v>1661</v>
      </c>
      <c r="H1015" s="1147" t="s">
        <v>125</v>
      </c>
      <c r="I1015" s="1146"/>
      <c r="J1015" s="1148" t="s">
        <v>221</v>
      </c>
      <c r="K1015" s="1" t="s">
        <v>125</v>
      </c>
      <c r="M1015" s="1" t="s">
        <v>1165</v>
      </c>
    </row>
    <row r="1016" spans="2:13" ht="15" hidden="1" customHeight="1" outlineLevel="1" x14ac:dyDescent="0.25">
      <c r="B1016" s="1142" t="s">
        <v>830</v>
      </c>
      <c r="C1016" s="1143"/>
      <c r="D1016" s="1143" t="s">
        <v>652</v>
      </c>
      <c r="E1016" s="1144">
        <v>278.39999999999998</v>
      </c>
      <c r="F1016" s="1145" t="s">
        <v>1660</v>
      </c>
      <c r="G1016" s="1146" t="s">
        <v>1661</v>
      </c>
      <c r="H1016" s="1147" t="s">
        <v>125</v>
      </c>
      <c r="I1016" s="1146"/>
      <c r="J1016" s="1148" t="s">
        <v>221</v>
      </c>
      <c r="K1016" s="1" t="s">
        <v>125</v>
      </c>
      <c r="M1016" s="1" t="s">
        <v>1166</v>
      </c>
    </row>
    <row r="1017" spans="2:13" ht="15" hidden="1" customHeight="1" outlineLevel="1" x14ac:dyDescent="0.25">
      <c r="B1017" s="1142" t="s">
        <v>830</v>
      </c>
      <c r="C1017" s="1143"/>
      <c r="D1017" s="1143" t="s">
        <v>650</v>
      </c>
      <c r="E1017" s="1144">
        <v>43.39</v>
      </c>
      <c r="F1017" s="1145" t="s">
        <v>1660</v>
      </c>
      <c r="G1017" s="1146" t="s">
        <v>1661</v>
      </c>
      <c r="H1017" s="1147" t="s">
        <v>125</v>
      </c>
      <c r="I1017" s="1146"/>
      <c r="J1017" s="1148" t="s">
        <v>221</v>
      </c>
      <c r="K1017" s="1" t="s">
        <v>125</v>
      </c>
      <c r="M1017" s="1" t="s">
        <v>1167</v>
      </c>
    </row>
    <row r="1018" spans="2:13" ht="15" hidden="1" customHeight="1" outlineLevel="1" x14ac:dyDescent="0.25">
      <c r="B1018" s="1142" t="s">
        <v>830</v>
      </c>
      <c r="C1018" s="1143"/>
      <c r="D1018" s="1143" t="s">
        <v>649</v>
      </c>
      <c r="E1018" s="1144">
        <v>69.03</v>
      </c>
      <c r="F1018" s="1145" t="s">
        <v>1660</v>
      </c>
      <c r="G1018" s="1146" t="s">
        <v>1661</v>
      </c>
      <c r="H1018" s="1147" t="s">
        <v>125</v>
      </c>
      <c r="I1018" s="1146"/>
      <c r="J1018" s="1148" t="s">
        <v>221</v>
      </c>
      <c r="K1018" s="1" t="s">
        <v>125</v>
      </c>
      <c r="M1018" s="1" t="s">
        <v>1168</v>
      </c>
    </row>
    <row r="1019" spans="2:13" ht="15" hidden="1" customHeight="1" outlineLevel="1" x14ac:dyDescent="0.25">
      <c r="B1019" s="1142" t="s">
        <v>830</v>
      </c>
      <c r="C1019" s="1143"/>
      <c r="D1019" s="1143" t="s">
        <v>648</v>
      </c>
      <c r="E1019" s="1144">
        <v>104</v>
      </c>
      <c r="F1019" s="1145" t="s">
        <v>1660</v>
      </c>
      <c r="G1019" s="1146" t="s">
        <v>1661</v>
      </c>
      <c r="H1019" s="1147" t="s">
        <v>125</v>
      </c>
      <c r="I1019" s="1146"/>
      <c r="J1019" s="1148" t="s">
        <v>221</v>
      </c>
      <c r="K1019" s="1" t="s">
        <v>125</v>
      </c>
      <c r="M1019" s="1" t="s">
        <v>1169</v>
      </c>
    </row>
    <row r="1020" spans="2:13" ht="15" hidden="1" customHeight="1" outlineLevel="1" x14ac:dyDescent="0.25">
      <c r="B1020" s="1142" t="s">
        <v>830</v>
      </c>
      <c r="C1020" s="1143"/>
      <c r="D1020" s="1143" t="s">
        <v>657</v>
      </c>
      <c r="E1020" s="1144">
        <v>15.22</v>
      </c>
      <c r="F1020" s="1145" t="s">
        <v>1660</v>
      </c>
      <c r="G1020" s="1146" t="s">
        <v>1661</v>
      </c>
      <c r="H1020" s="1147" t="s">
        <v>125</v>
      </c>
      <c r="I1020" s="1146"/>
      <c r="J1020" s="1148" t="s">
        <v>221</v>
      </c>
      <c r="K1020" s="1" t="s">
        <v>125</v>
      </c>
      <c r="M1020" s="1" t="s">
        <v>1170</v>
      </c>
    </row>
    <row r="1021" spans="2:13" ht="15" hidden="1" customHeight="1" outlineLevel="1" x14ac:dyDescent="0.25">
      <c r="B1021" s="1142" t="s">
        <v>830</v>
      </c>
      <c r="C1021" s="1143"/>
      <c r="D1021" s="1143" t="s">
        <v>656</v>
      </c>
      <c r="E1021" s="1144">
        <v>0.25559999999999999</v>
      </c>
      <c r="F1021" s="1145" t="s">
        <v>1660</v>
      </c>
      <c r="G1021" s="1146" t="s">
        <v>1661</v>
      </c>
      <c r="H1021" s="1147" t="s">
        <v>125</v>
      </c>
      <c r="I1021" s="1146"/>
      <c r="J1021" s="1148" t="s">
        <v>221</v>
      </c>
      <c r="K1021" s="1" t="s">
        <v>125</v>
      </c>
      <c r="M1021" s="1" t="s">
        <v>1171</v>
      </c>
    </row>
    <row r="1022" spans="2:13" ht="15" hidden="1" customHeight="1" outlineLevel="1" x14ac:dyDescent="0.25">
      <c r="B1022" s="1142" t="s">
        <v>830</v>
      </c>
      <c r="C1022" s="1143"/>
      <c r="D1022" s="1143" t="s">
        <v>655</v>
      </c>
      <c r="E1022" s="1144">
        <v>4.7359999999999998</v>
      </c>
      <c r="F1022" s="1145" t="s">
        <v>1660</v>
      </c>
      <c r="G1022" s="1146" t="s">
        <v>1661</v>
      </c>
      <c r="H1022" s="1147" t="s">
        <v>125</v>
      </c>
      <c r="I1022" s="1146"/>
      <c r="J1022" s="1148" t="s">
        <v>221</v>
      </c>
      <c r="K1022" s="1" t="s">
        <v>125</v>
      </c>
      <c r="M1022" s="1" t="s">
        <v>1172</v>
      </c>
    </row>
    <row r="1023" spans="2:13" ht="15" hidden="1" customHeight="1" outlineLevel="1" x14ac:dyDescent="0.25">
      <c r="B1023" s="1142" t="s">
        <v>830</v>
      </c>
      <c r="C1023" s="1143"/>
      <c r="D1023" s="1143" t="s">
        <v>658</v>
      </c>
      <c r="E1023" s="1144">
        <v>163.1</v>
      </c>
      <c r="F1023" s="1145" t="s">
        <v>1660</v>
      </c>
      <c r="G1023" s="1146" t="s">
        <v>1661</v>
      </c>
      <c r="H1023" s="1147" t="s">
        <v>125</v>
      </c>
      <c r="I1023" s="1146"/>
      <c r="J1023" s="1148" t="s">
        <v>221</v>
      </c>
      <c r="K1023" s="1" t="s">
        <v>125</v>
      </c>
      <c r="M1023" s="1" t="s">
        <v>1173</v>
      </c>
    </row>
    <row r="1024" spans="2:13" ht="15" hidden="1" customHeight="1" outlineLevel="1" x14ac:dyDescent="0.25">
      <c r="B1024" s="1142" t="s">
        <v>830</v>
      </c>
      <c r="C1024" s="1143"/>
      <c r="D1024" s="1143" t="s">
        <v>659</v>
      </c>
      <c r="E1024" s="1144">
        <v>11.02</v>
      </c>
      <c r="F1024" s="1145" t="s">
        <v>1660</v>
      </c>
      <c r="G1024" s="1146" t="s">
        <v>1661</v>
      </c>
      <c r="H1024" s="1147" t="s">
        <v>125</v>
      </c>
      <c r="I1024" s="1146"/>
      <c r="J1024" s="1148" t="s">
        <v>221</v>
      </c>
      <c r="K1024" s="1" t="s">
        <v>125</v>
      </c>
      <c r="M1024" s="1" t="s">
        <v>1174</v>
      </c>
    </row>
    <row r="1025" spans="2:13" ht="15" hidden="1" customHeight="1" outlineLevel="1" x14ac:dyDescent="0.25">
      <c r="B1025" s="1142" t="s">
        <v>830</v>
      </c>
      <c r="C1025" s="1143"/>
      <c r="D1025" s="1143" t="s">
        <v>988</v>
      </c>
      <c r="E1025" s="1144">
        <v>1</v>
      </c>
      <c r="F1025" s="1145" t="s">
        <v>125</v>
      </c>
      <c r="G1025" s="1146"/>
      <c r="H1025" s="1147" t="s">
        <v>125</v>
      </c>
      <c r="I1025" s="1146"/>
      <c r="J1025" s="1148" t="s">
        <v>188</v>
      </c>
      <c r="K1025" s="1" t="s">
        <v>125</v>
      </c>
      <c r="M1025" s="1" t="s">
        <v>1013</v>
      </c>
    </row>
    <row r="1026" spans="2:13" ht="15" hidden="1" customHeight="1" outlineLevel="1" x14ac:dyDescent="0.25">
      <c r="B1026" s="1142" t="s">
        <v>830</v>
      </c>
      <c r="C1026" s="1143"/>
      <c r="D1026" s="1143" t="s">
        <v>662</v>
      </c>
      <c r="E1026" s="1144">
        <v>400</v>
      </c>
      <c r="F1026" s="1145" t="s">
        <v>125</v>
      </c>
      <c r="G1026" s="1146"/>
      <c r="H1026" s="1147" t="s">
        <v>125</v>
      </c>
      <c r="I1026" s="1146"/>
      <c r="J1026" s="1148" t="s">
        <v>221</v>
      </c>
      <c r="K1026" s="1" t="s">
        <v>125</v>
      </c>
      <c r="M1026" s="1" t="s">
        <v>1014</v>
      </c>
    </row>
    <row r="1027" spans="2:13" ht="15" hidden="1" customHeight="1" outlineLevel="1" x14ac:dyDescent="0.25">
      <c r="B1027" s="1142" t="s">
        <v>830</v>
      </c>
      <c r="C1027" s="1143"/>
      <c r="D1027" s="1143" t="s">
        <v>1175</v>
      </c>
      <c r="E1027" s="1144">
        <v>19.52</v>
      </c>
      <c r="F1027" s="1145" t="s">
        <v>125</v>
      </c>
      <c r="G1027" s="1146"/>
      <c r="H1027" s="1147" t="s">
        <v>125</v>
      </c>
      <c r="I1027" s="1146"/>
      <c r="J1027" s="1148" t="s">
        <v>221</v>
      </c>
      <c r="K1027" s="1" t="s">
        <v>125</v>
      </c>
      <c r="M1027" s="1" t="s">
        <v>1052</v>
      </c>
    </row>
    <row r="1028" spans="2:13" ht="15" hidden="1" customHeight="1" outlineLevel="1" x14ac:dyDescent="0.25">
      <c r="B1028" s="1142" t="s">
        <v>830</v>
      </c>
      <c r="C1028" s="1143"/>
      <c r="D1028" s="1143" t="s">
        <v>990</v>
      </c>
      <c r="E1028" s="1144">
        <v>114.9</v>
      </c>
      <c r="F1028" s="1145" t="s">
        <v>1660</v>
      </c>
      <c r="G1028" s="1146" t="s">
        <v>722</v>
      </c>
      <c r="H1028" s="1147" t="s">
        <v>125</v>
      </c>
      <c r="I1028" s="1146"/>
      <c r="J1028" s="1148" t="s">
        <v>836</v>
      </c>
      <c r="K1028" s="1" t="s">
        <v>125</v>
      </c>
      <c r="M1028" s="1" t="s">
        <v>1015</v>
      </c>
    </row>
    <row r="1029" spans="2:13" ht="15" hidden="1" customHeight="1" outlineLevel="1" x14ac:dyDescent="0.25">
      <c r="B1029" s="1142" t="s">
        <v>830</v>
      </c>
      <c r="C1029" s="1143"/>
      <c r="D1029" s="1143" t="s">
        <v>990</v>
      </c>
      <c r="E1029" s="1144">
        <v>59.3</v>
      </c>
      <c r="F1029" s="1145" t="s">
        <v>1660</v>
      </c>
      <c r="G1029" s="1146" t="s">
        <v>2068</v>
      </c>
      <c r="H1029" s="1147" t="s">
        <v>125</v>
      </c>
      <c r="I1029" s="1146"/>
      <c r="J1029" s="1148" t="s">
        <v>836</v>
      </c>
      <c r="K1029" s="1" t="s">
        <v>125</v>
      </c>
      <c r="M1029" s="1" t="s">
        <v>1016</v>
      </c>
    </row>
    <row r="1030" spans="2:13" ht="15" hidden="1" customHeight="1" outlineLevel="1" x14ac:dyDescent="0.25">
      <c r="B1030" s="1142" t="s">
        <v>830</v>
      </c>
      <c r="C1030" s="1143"/>
      <c r="D1030" s="1143" t="s">
        <v>675</v>
      </c>
      <c r="E1030" s="1144">
        <v>0.3135</v>
      </c>
      <c r="F1030" s="1145" t="s">
        <v>1660</v>
      </c>
      <c r="G1030" s="1146" t="s">
        <v>1661</v>
      </c>
      <c r="H1030" s="1147" t="s">
        <v>125</v>
      </c>
      <c r="I1030" s="1146"/>
      <c r="J1030" s="1148" t="s">
        <v>221</v>
      </c>
      <c r="K1030" s="1" t="s">
        <v>125</v>
      </c>
      <c r="M1030" s="1" t="s">
        <v>1017</v>
      </c>
    </row>
    <row r="1031" spans="2:13" ht="15" hidden="1" customHeight="1" outlineLevel="1" x14ac:dyDescent="0.25">
      <c r="B1031" s="1142" t="s">
        <v>830</v>
      </c>
      <c r="C1031" s="1143"/>
      <c r="D1031" s="1143" t="s">
        <v>676</v>
      </c>
      <c r="E1031" s="1144">
        <v>1.7869999999999999</v>
      </c>
      <c r="F1031" s="1145" t="s">
        <v>1660</v>
      </c>
      <c r="G1031" s="1146" t="s">
        <v>1661</v>
      </c>
      <c r="H1031" s="1147" t="s">
        <v>125</v>
      </c>
      <c r="I1031" s="1146"/>
      <c r="J1031" s="1148" t="s">
        <v>221</v>
      </c>
      <c r="K1031" s="1" t="s">
        <v>125</v>
      </c>
      <c r="M1031" s="1" t="s">
        <v>1018</v>
      </c>
    </row>
    <row r="1032" spans="2:13" ht="15" hidden="1" customHeight="1" outlineLevel="1" x14ac:dyDescent="0.25">
      <c r="B1032" s="1142" t="s">
        <v>830</v>
      </c>
      <c r="C1032" s="1143"/>
      <c r="D1032" s="1143" t="s">
        <v>678</v>
      </c>
      <c r="E1032" s="1144">
        <v>3.0379999999999998</v>
      </c>
      <c r="F1032" s="1145" t="s">
        <v>1660</v>
      </c>
      <c r="G1032" s="1146" t="s">
        <v>1661</v>
      </c>
      <c r="H1032" s="1147" t="s">
        <v>125</v>
      </c>
      <c r="I1032" s="1146"/>
      <c r="J1032" s="1148" t="s">
        <v>221</v>
      </c>
      <c r="K1032" s="1" t="s">
        <v>125</v>
      </c>
      <c r="M1032" s="1" t="s">
        <v>1019</v>
      </c>
    </row>
    <row r="1033" spans="2:13" ht="15" hidden="1" customHeight="1" outlineLevel="1" x14ac:dyDescent="0.25">
      <c r="B1033" s="1142" t="s">
        <v>830</v>
      </c>
      <c r="C1033" s="1143"/>
      <c r="D1033" s="1143" t="s">
        <v>991</v>
      </c>
      <c r="E1033" s="1144">
        <v>0.3135</v>
      </c>
      <c r="F1033" s="1145" t="s">
        <v>1660</v>
      </c>
      <c r="G1033" s="1146" t="s">
        <v>1661</v>
      </c>
      <c r="H1033" s="1147" t="s">
        <v>125</v>
      </c>
      <c r="I1033" s="1146"/>
      <c r="J1033" s="1148" t="s">
        <v>221</v>
      </c>
      <c r="K1033" s="1" t="s">
        <v>125</v>
      </c>
      <c r="M1033" s="1" t="s">
        <v>1020</v>
      </c>
    </row>
    <row r="1034" spans="2:13" ht="15" hidden="1" customHeight="1" outlineLevel="1" x14ac:dyDescent="0.25">
      <c r="B1034" s="1142" t="s">
        <v>830</v>
      </c>
      <c r="C1034" s="1143"/>
      <c r="D1034" s="1143" t="s">
        <v>992</v>
      </c>
      <c r="E1034" s="1144">
        <v>1.7869999999999999</v>
      </c>
      <c r="F1034" s="1145" t="s">
        <v>1660</v>
      </c>
      <c r="G1034" s="1146" t="s">
        <v>1661</v>
      </c>
      <c r="H1034" s="1147" t="s">
        <v>125</v>
      </c>
      <c r="I1034" s="1146"/>
      <c r="J1034" s="1148" t="s">
        <v>221</v>
      </c>
      <c r="K1034" s="1" t="s">
        <v>125</v>
      </c>
      <c r="M1034" s="1" t="s">
        <v>1021</v>
      </c>
    </row>
    <row r="1035" spans="2:13" ht="15" hidden="1" customHeight="1" outlineLevel="1" x14ac:dyDescent="0.25">
      <c r="B1035" s="1142" t="s">
        <v>830</v>
      </c>
      <c r="C1035" s="1143"/>
      <c r="D1035" s="1143" t="s">
        <v>993</v>
      </c>
      <c r="E1035" s="1144">
        <v>3.0379999999999998</v>
      </c>
      <c r="F1035" s="1145" t="s">
        <v>1660</v>
      </c>
      <c r="G1035" s="1146" t="s">
        <v>1661</v>
      </c>
      <c r="H1035" s="1147" t="s">
        <v>125</v>
      </c>
      <c r="I1035" s="1146"/>
      <c r="J1035" s="1148" t="s">
        <v>221</v>
      </c>
      <c r="K1035" s="1" t="s">
        <v>125</v>
      </c>
      <c r="M1035" s="1" t="s">
        <v>1022</v>
      </c>
    </row>
    <row r="1036" spans="2:13" ht="15" hidden="1" customHeight="1" outlineLevel="1" x14ac:dyDescent="0.25">
      <c r="B1036" s="1142" t="s">
        <v>994</v>
      </c>
      <c r="C1036" s="1143"/>
      <c r="D1036" s="1143" t="s">
        <v>834</v>
      </c>
      <c r="E1036" s="1144">
        <v>4078</v>
      </c>
      <c r="F1036" s="1145" t="s">
        <v>1660</v>
      </c>
      <c r="G1036" s="1146" t="s">
        <v>718</v>
      </c>
      <c r="H1036" s="1147" t="s">
        <v>125</v>
      </c>
      <c r="I1036" s="1146"/>
      <c r="J1036" s="1148" t="s">
        <v>304</v>
      </c>
      <c r="K1036" s="1" t="s">
        <v>125</v>
      </c>
      <c r="M1036" s="1" t="s">
        <v>1023</v>
      </c>
    </row>
    <row r="1037" spans="2:13" ht="15" hidden="1" customHeight="1" outlineLevel="1" x14ac:dyDescent="0.25">
      <c r="B1037" s="1142" t="s">
        <v>839</v>
      </c>
      <c r="C1037" s="1143"/>
      <c r="D1037" s="1143" t="s">
        <v>925</v>
      </c>
      <c r="E1037" s="1144">
        <v>176</v>
      </c>
      <c r="F1037" s="1145" t="s">
        <v>125</v>
      </c>
      <c r="G1037" s="1146"/>
      <c r="H1037" s="1147" t="s">
        <v>125</v>
      </c>
      <c r="I1037" s="1146"/>
      <c r="J1037" s="1148" t="s">
        <v>221</v>
      </c>
      <c r="K1037" s="1" t="s">
        <v>125</v>
      </c>
      <c r="M1037" s="1" t="s">
        <v>1024</v>
      </c>
    </row>
    <row r="1038" spans="2:13" ht="15" hidden="1" customHeight="1" outlineLevel="1" x14ac:dyDescent="0.25">
      <c r="B1038" s="1142" t="s">
        <v>839</v>
      </c>
      <c r="C1038" s="1143"/>
      <c r="D1038" s="1143" t="s">
        <v>925</v>
      </c>
      <c r="E1038" s="1144">
        <v>94.81</v>
      </c>
      <c r="F1038" s="1145" t="s">
        <v>1660</v>
      </c>
      <c r="G1038" s="1146" t="s">
        <v>1661</v>
      </c>
      <c r="H1038" s="1147" t="s">
        <v>125</v>
      </c>
      <c r="I1038" s="1146"/>
      <c r="J1038" s="1148" t="s">
        <v>221</v>
      </c>
      <c r="K1038" s="1" t="s">
        <v>125</v>
      </c>
      <c r="M1038" s="1" t="s">
        <v>1025</v>
      </c>
    </row>
    <row r="1039" spans="2:13" ht="15" hidden="1" customHeight="1" outlineLevel="1" x14ac:dyDescent="0.25">
      <c r="B1039" s="1142" t="s">
        <v>839</v>
      </c>
      <c r="C1039" s="1143"/>
      <c r="D1039" s="1143" t="s">
        <v>843</v>
      </c>
      <c r="E1039" s="1144">
        <v>2.593</v>
      </c>
      <c r="F1039" s="1145" t="s">
        <v>1660</v>
      </c>
      <c r="G1039" s="1146" t="s">
        <v>1661</v>
      </c>
      <c r="H1039" s="1147" t="s">
        <v>1660</v>
      </c>
      <c r="I1039" s="1146" t="s">
        <v>1558</v>
      </c>
      <c r="J1039" s="1148" t="s">
        <v>221</v>
      </c>
      <c r="K1039" s="1" t="s">
        <v>125</v>
      </c>
      <c r="M1039" s="1" t="s">
        <v>1026</v>
      </c>
    </row>
    <row r="1040" spans="2:13" ht="15" hidden="1" customHeight="1" outlineLevel="1" x14ac:dyDescent="0.25">
      <c r="B1040" s="1142" t="s">
        <v>839</v>
      </c>
      <c r="C1040" s="1143"/>
      <c r="D1040" s="1143" t="s">
        <v>843</v>
      </c>
      <c r="E1040" s="1144">
        <v>0.8427</v>
      </c>
      <c r="F1040" s="1145" t="s">
        <v>1660</v>
      </c>
      <c r="G1040" s="1146" t="s">
        <v>1661</v>
      </c>
      <c r="H1040" s="1147" t="s">
        <v>1660</v>
      </c>
      <c r="I1040" s="1146" t="s">
        <v>2069</v>
      </c>
      <c r="J1040" s="1148" t="s">
        <v>221</v>
      </c>
      <c r="K1040" s="1" t="s">
        <v>125</v>
      </c>
      <c r="M1040" s="1" t="s">
        <v>1027</v>
      </c>
    </row>
    <row r="1041" spans="2:13" ht="15" hidden="1" customHeight="1" outlineLevel="1" x14ac:dyDescent="0.25">
      <c r="B1041" s="1142" t="s">
        <v>839</v>
      </c>
      <c r="C1041" s="1143"/>
      <c r="D1041" s="1143" t="s">
        <v>846</v>
      </c>
      <c r="E1041" s="1144">
        <v>11.55</v>
      </c>
      <c r="F1041" s="1145" t="s">
        <v>1660</v>
      </c>
      <c r="G1041" s="1146" t="s">
        <v>1661</v>
      </c>
      <c r="H1041" s="1147" t="s">
        <v>125</v>
      </c>
      <c r="I1041" s="1146"/>
      <c r="J1041" s="1148" t="s">
        <v>221</v>
      </c>
      <c r="K1041" s="1" t="s">
        <v>125</v>
      </c>
      <c r="M1041" s="1" t="s">
        <v>1028</v>
      </c>
    </row>
    <row r="1042" spans="2:13" ht="15" hidden="1" customHeight="1" outlineLevel="1" x14ac:dyDescent="0.25">
      <c r="B1042" s="1142" t="s">
        <v>839</v>
      </c>
      <c r="C1042" s="1143"/>
      <c r="D1042" s="1143" t="s">
        <v>995</v>
      </c>
      <c r="E1042" s="1144">
        <v>1.155</v>
      </c>
      <c r="F1042" s="1145" t="s">
        <v>1660</v>
      </c>
      <c r="G1042" s="1146" t="s">
        <v>1661</v>
      </c>
      <c r="H1042" s="1147" t="s">
        <v>125</v>
      </c>
      <c r="I1042" s="1146"/>
      <c r="J1042" s="1148" t="s">
        <v>221</v>
      </c>
      <c r="K1042" s="1" t="s">
        <v>125</v>
      </c>
      <c r="M1042" s="1" t="s">
        <v>1029</v>
      </c>
    </row>
    <row r="1043" spans="2:13" ht="15" hidden="1" customHeight="1" outlineLevel="1" x14ac:dyDescent="0.25">
      <c r="B1043" s="1142" t="s">
        <v>839</v>
      </c>
      <c r="C1043" s="1143"/>
      <c r="D1043" s="1143" t="s">
        <v>996</v>
      </c>
      <c r="E1043" s="1144">
        <v>119.4</v>
      </c>
      <c r="F1043" s="1145" t="s">
        <v>125</v>
      </c>
      <c r="G1043" s="1146"/>
      <c r="H1043" s="1147" t="s">
        <v>125</v>
      </c>
      <c r="I1043" s="1146"/>
      <c r="J1043" s="1148" t="s">
        <v>221</v>
      </c>
      <c r="K1043" s="1" t="s">
        <v>125</v>
      </c>
      <c r="M1043" s="1" t="s">
        <v>999</v>
      </c>
    </row>
    <row r="1044" spans="2:13" ht="15" hidden="1" customHeight="1" outlineLevel="1" x14ac:dyDescent="0.25">
      <c r="B1044" s="1142" t="s">
        <v>839</v>
      </c>
      <c r="C1044" s="1143"/>
      <c r="D1044" s="1143" t="s">
        <v>843</v>
      </c>
      <c r="E1044" s="1144">
        <v>0.54830000000000001</v>
      </c>
      <c r="F1044" s="1145" t="s">
        <v>1660</v>
      </c>
      <c r="G1044" s="1146" t="s">
        <v>683</v>
      </c>
      <c r="H1044" s="1147" t="s">
        <v>1660</v>
      </c>
      <c r="I1044" s="1146" t="s">
        <v>1561</v>
      </c>
      <c r="J1044" s="1148" t="s">
        <v>221</v>
      </c>
      <c r="K1044" s="1" t="s">
        <v>125</v>
      </c>
      <c r="M1044" s="1" t="s">
        <v>1030</v>
      </c>
    </row>
    <row r="1045" spans="2:13" ht="15" hidden="1" customHeight="1" outlineLevel="1" x14ac:dyDescent="0.25">
      <c r="B1045" s="1142" t="s">
        <v>839</v>
      </c>
      <c r="C1045" s="1143"/>
      <c r="D1045" s="1143" t="s">
        <v>843</v>
      </c>
      <c r="E1045" s="1144">
        <v>0.1782</v>
      </c>
      <c r="F1045" s="1145" t="s">
        <v>1660</v>
      </c>
      <c r="G1045" s="1146" t="s">
        <v>683</v>
      </c>
      <c r="H1045" s="1147" t="s">
        <v>1660</v>
      </c>
      <c r="I1045" s="1146" t="s">
        <v>1562</v>
      </c>
      <c r="J1045" s="1148" t="s">
        <v>221</v>
      </c>
      <c r="K1045" s="1" t="s">
        <v>125</v>
      </c>
      <c r="M1045" s="1" t="s">
        <v>1031</v>
      </c>
    </row>
    <row r="1046" spans="2:13" ht="15" hidden="1" customHeight="1" outlineLevel="1" x14ac:dyDescent="0.25">
      <c r="B1046" s="1142" t="s">
        <v>839</v>
      </c>
      <c r="C1046" s="1143"/>
      <c r="D1046" s="1143" t="s">
        <v>846</v>
      </c>
      <c r="E1046" s="1144">
        <v>8.4730000000000008</v>
      </c>
      <c r="F1046" s="1145" t="s">
        <v>1660</v>
      </c>
      <c r="G1046" s="1146" t="s">
        <v>683</v>
      </c>
      <c r="H1046" s="1147" t="s">
        <v>1660</v>
      </c>
      <c r="I1046" s="1146" t="s">
        <v>1564</v>
      </c>
      <c r="J1046" s="1148" t="s">
        <v>221</v>
      </c>
      <c r="K1046" s="1" t="s">
        <v>125</v>
      </c>
      <c r="M1046" s="1" t="s">
        <v>1032</v>
      </c>
    </row>
    <row r="1047" spans="2:13" ht="15" hidden="1" customHeight="1" outlineLevel="1" x14ac:dyDescent="0.25">
      <c r="B1047" s="1142" t="s">
        <v>839</v>
      </c>
      <c r="C1047" s="1143"/>
      <c r="D1047" s="1143" t="s">
        <v>843</v>
      </c>
      <c r="E1047" s="1144">
        <v>0.95020000000000004</v>
      </c>
      <c r="F1047" s="1145" t="s">
        <v>125</v>
      </c>
      <c r="G1047" s="1146"/>
      <c r="H1047" s="1147" t="s">
        <v>125</v>
      </c>
      <c r="I1047" s="1146"/>
      <c r="J1047" s="1148" t="s">
        <v>221</v>
      </c>
      <c r="K1047" s="1" t="s">
        <v>125</v>
      </c>
      <c r="M1047" s="1" t="s">
        <v>1033</v>
      </c>
    </row>
    <row r="1048" spans="2:13" ht="15" hidden="1" customHeight="1" outlineLevel="1" x14ac:dyDescent="0.25">
      <c r="B1048" s="1142" t="s">
        <v>839</v>
      </c>
      <c r="C1048" s="1143"/>
      <c r="D1048" s="1143" t="s">
        <v>843</v>
      </c>
      <c r="E1048" s="1144">
        <v>0.21379999999999999</v>
      </c>
      <c r="F1048" s="1145" t="s">
        <v>125</v>
      </c>
      <c r="G1048" s="1146"/>
      <c r="H1048" s="1147" t="s">
        <v>125</v>
      </c>
      <c r="I1048" s="1146"/>
      <c r="J1048" s="1148" t="s">
        <v>221</v>
      </c>
      <c r="K1048" s="1" t="s">
        <v>125</v>
      </c>
      <c r="M1048" s="1" t="s">
        <v>1034</v>
      </c>
    </row>
    <row r="1049" spans="2:13" ht="15" hidden="1" customHeight="1" outlineLevel="1" x14ac:dyDescent="0.25">
      <c r="B1049" s="1142" t="s">
        <v>931</v>
      </c>
      <c r="C1049" s="1143"/>
      <c r="D1049" s="1143" t="s">
        <v>932</v>
      </c>
      <c r="E1049" s="1144">
        <v>219.2</v>
      </c>
      <c r="F1049" s="1145" t="s">
        <v>1660</v>
      </c>
      <c r="G1049" s="1146" t="s">
        <v>1661</v>
      </c>
      <c r="H1049" s="1147" t="s">
        <v>1660</v>
      </c>
      <c r="I1049" s="1146" t="s">
        <v>1691</v>
      </c>
      <c r="J1049" s="1148" t="s">
        <v>221</v>
      </c>
      <c r="K1049" s="1" t="s">
        <v>125</v>
      </c>
      <c r="M1049" s="1" t="s">
        <v>1025</v>
      </c>
    </row>
    <row r="1050" spans="2:13" ht="15" hidden="1" customHeight="1" outlineLevel="1" x14ac:dyDescent="0.25">
      <c r="B1050" s="1142" t="s">
        <v>931</v>
      </c>
      <c r="C1050" s="1143"/>
      <c r="D1050" s="1143" t="s">
        <v>947</v>
      </c>
      <c r="E1050" s="1144">
        <v>0.74009999999999998</v>
      </c>
      <c r="F1050" s="1145" t="s">
        <v>1660</v>
      </c>
      <c r="G1050" s="1146" t="s">
        <v>1661</v>
      </c>
      <c r="H1050" s="1147" t="s">
        <v>125</v>
      </c>
      <c r="I1050" s="1146"/>
      <c r="J1050" s="1148" t="s">
        <v>221</v>
      </c>
      <c r="K1050" s="1" t="s">
        <v>125</v>
      </c>
      <c r="M1050" s="1" t="s">
        <v>1035</v>
      </c>
    </row>
    <row r="1051" spans="2:13" ht="15" hidden="1" customHeight="1" outlineLevel="1" x14ac:dyDescent="0.25">
      <c r="B1051" s="1142" t="s">
        <v>931</v>
      </c>
      <c r="C1051" s="1143"/>
      <c r="D1051" s="1143" t="s">
        <v>934</v>
      </c>
      <c r="E1051" s="1144">
        <v>39.97</v>
      </c>
      <c r="F1051" s="1145" t="s">
        <v>1660</v>
      </c>
      <c r="G1051" s="1146" t="s">
        <v>2070</v>
      </c>
      <c r="H1051" s="1147" t="s">
        <v>1660</v>
      </c>
      <c r="I1051" s="1146" t="s">
        <v>2071</v>
      </c>
      <c r="J1051" s="1148" t="s">
        <v>935</v>
      </c>
      <c r="K1051" s="1" t="s">
        <v>125</v>
      </c>
      <c r="M1051" s="1" t="s">
        <v>1036</v>
      </c>
    </row>
    <row r="1052" spans="2:13" ht="15" hidden="1" customHeight="1" outlineLevel="1" x14ac:dyDescent="0.25">
      <c r="B1052" s="1142" t="s">
        <v>931</v>
      </c>
      <c r="C1052" s="1143"/>
      <c r="D1052" s="1143" t="s">
        <v>937</v>
      </c>
      <c r="E1052" s="1144">
        <v>20770</v>
      </c>
      <c r="F1052" s="1145" t="s">
        <v>1660</v>
      </c>
      <c r="G1052" s="1146" t="s">
        <v>2072</v>
      </c>
      <c r="H1052" s="1147" t="s">
        <v>1660</v>
      </c>
      <c r="I1052" s="1146" t="s">
        <v>2073</v>
      </c>
      <c r="J1052" s="1148" t="s">
        <v>935</v>
      </c>
      <c r="K1052" s="1" t="s">
        <v>125</v>
      </c>
      <c r="M1052" s="1" t="s">
        <v>1036</v>
      </c>
    </row>
    <row r="1053" spans="2:13" ht="15" hidden="1" customHeight="1" outlineLevel="1" x14ac:dyDescent="0.25">
      <c r="B1053" s="1142" t="s">
        <v>931</v>
      </c>
      <c r="C1053" s="1143"/>
      <c r="D1053" s="1143" t="s">
        <v>938</v>
      </c>
      <c r="E1053" s="1144">
        <v>3383</v>
      </c>
      <c r="F1053" s="1145" t="s">
        <v>1660</v>
      </c>
      <c r="G1053" s="1146" t="s">
        <v>2074</v>
      </c>
      <c r="H1053" s="1147" t="s">
        <v>1660</v>
      </c>
      <c r="I1053" s="1146" t="s">
        <v>2075</v>
      </c>
      <c r="J1053" s="1148" t="s">
        <v>935</v>
      </c>
      <c r="K1053" s="1" t="s">
        <v>125</v>
      </c>
      <c r="M1053" s="1" t="s">
        <v>1036</v>
      </c>
    </row>
    <row r="1054" spans="2:13" ht="15" hidden="1" customHeight="1" outlineLevel="1" x14ac:dyDescent="0.25">
      <c r="B1054" s="1142" t="s">
        <v>931</v>
      </c>
      <c r="C1054" s="1143"/>
      <c r="D1054" s="1143" t="s">
        <v>939</v>
      </c>
      <c r="E1054" s="1144">
        <v>0.76119999999999999</v>
      </c>
      <c r="F1054" s="1145" t="s">
        <v>1660</v>
      </c>
      <c r="G1054" s="1146" t="s">
        <v>2076</v>
      </c>
      <c r="H1054" s="1147" t="s">
        <v>1660</v>
      </c>
      <c r="I1054" s="1146" t="s">
        <v>2077</v>
      </c>
      <c r="J1054" s="1148" t="s">
        <v>935</v>
      </c>
      <c r="K1054" s="1" t="s">
        <v>125</v>
      </c>
      <c r="M1054" s="1" t="s">
        <v>1036</v>
      </c>
    </row>
    <row r="1055" spans="2:13" ht="15" hidden="1" customHeight="1" outlineLevel="1" x14ac:dyDescent="0.25">
      <c r="B1055" s="1142" t="s">
        <v>931</v>
      </c>
      <c r="C1055" s="1143"/>
      <c r="D1055" s="1143" t="s">
        <v>940</v>
      </c>
      <c r="E1055" s="1144">
        <v>0</v>
      </c>
      <c r="F1055" s="1145" t="s">
        <v>125</v>
      </c>
      <c r="G1055" s="1146"/>
      <c r="H1055" s="1147" t="s">
        <v>125</v>
      </c>
      <c r="I1055" s="1146"/>
      <c r="J1055" s="1148" t="s">
        <v>935</v>
      </c>
      <c r="K1055" s="1" t="s">
        <v>125</v>
      </c>
      <c r="M1055" s="1" t="s">
        <v>1036</v>
      </c>
    </row>
    <row r="1056" spans="2:13" ht="15" hidden="1" customHeight="1" outlineLevel="1" x14ac:dyDescent="0.25">
      <c r="B1056" s="1142" t="s">
        <v>931</v>
      </c>
      <c r="C1056" s="1143"/>
      <c r="D1056" s="1143" t="s">
        <v>941</v>
      </c>
      <c r="E1056" s="1144">
        <v>304.2</v>
      </c>
      <c r="F1056" s="1145" t="s">
        <v>1660</v>
      </c>
      <c r="G1056" s="1146" t="s">
        <v>2078</v>
      </c>
      <c r="H1056" s="1147" t="s">
        <v>1660</v>
      </c>
      <c r="I1056" s="1146" t="s">
        <v>2079</v>
      </c>
      <c r="J1056" s="1148" t="s">
        <v>935</v>
      </c>
      <c r="K1056" s="1" t="s">
        <v>125</v>
      </c>
      <c r="M1056" s="1" t="s">
        <v>1036</v>
      </c>
    </row>
    <row r="1057" spans="2:13" ht="15" hidden="1" customHeight="1" outlineLevel="1" x14ac:dyDescent="0.25">
      <c r="B1057" s="1142" t="s">
        <v>931</v>
      </c>
      <c r="C1057" s="1143"/>
      <c r="D1057" s="1143" t="s">
        <v>942</v>
      </c>
      <c r="E1057" s="1144">
        <v>27840</v>
      </c>
      <c r="F1057" s="1145" t="s">
        <v>1660</v>
      </c>
      <c r="G1057" s="1146" t="s">
        <v>2080</v>
      </c>
      <c r="H1057" s="1147" t="s">
        <v>1660</v>
      </c>
      <c r="I1057" s="1146" t="s">
        <v>2081</v>
      </c>
      <c r="J1057" s="1148" t="s">
        <v>935</v>
      </c>
      <c r="K1057" s="1" t="s">
        <v>125</v>
      </c>
      <c r="M1057" s="1" t="s">
        <v>1036</v>
      </c>
    </row>
    <row r="1058" spans="2:13" ht="15" hidden="1" customHeight="1" outlineLevel="1" x14ac:dyDescent="0.25">
      <c r="B1058" s="1142" t="s">
        <v>931</v>
      </c>
      <c r="C1058" s="1143"/>
      <c r="D1058" s="1143" t="s">
        <v>932</v>
      </c>
      <c r="E1058" s="1144">
        <v>46.35</v>
      </c>
      <c r="F1058" s="1145" t="s">
        <v>1660</v>
      </c>
      <c r="G1058" s="1146" t="s">
        <v>683</v>
      </c>
      <c r="H1058" s="1147" t="s">
        <v>1660</v>
      </c>
      <c r="I1058" s="1146" t="s">
        <v>1704</v>
      </c>
      <c r="J1058" s="1148" t="s">
        <v>221</v>
      </c>
      <c r="K1058" s="1" t="s">
        <v>125</v>
      </c>
      <c r="M1058" s="1" t="s">
        <v>1032</v>
      </c>
    </row>
    <row r="1059" spans="2:13" ht="15" hidden="1" customHeight="1" outlineLevel="1" x14ac:dyDescent="0.25">
      <c r="B1059" s="1142" t="s">
        <v>931</v>
      </c>
      <c r="C1059" s="1143"/>
      <c r="D1059" s="1143" t="s">
        <v>947</v>
      </c>
      <c r="E1059" s="1144">
        <v>0.4667</v>
      </c>
      <c r="F1059" s="1145" t="s">
        <v>1660</v>
      </c>
      <c r="G1059" s="1146" t="s">
        <v>684</v>
      </c>
      <c r="H1059" s="1147" t="s">
        <v>125</v>
      </c>
      <c r="I1059" s="1146"/>
      <c r="J1059" s="1148" t="s">
        <v>221</v>
      </c>
      <c r="K1059" s="1" t="s">
        <v>125</v>
      </c>
      <c r="M1059" s="1" t="s">
        <v>1037</v>
      </c>
    </row>
    <row r="1060" spans="2:13" ht="15" hidden="1" customHeight="1" outlineLevel="1" x14ac:dyDescent="0.25">
      <c r="B1060" s="1142" t="s">
        <v>931</v>
      </c>
      <c r="C1060" s="1143"/>
      <c r="D1060" s="1143" t="s">
        <v>932</v>
      </c>
      <c r="E1060" s="1144">
        <v>80.33</v>
      </c>
      <c r="F1060" s="1145" t="s">
        <v>125</v>
      </c>
      <c r="G1060" s="1146"/>
      <c r="H1060" s="1147" t="s">
        <v>125</v>
      </c>
      <c r="I1060" s="1146"/>
      <c r="J1060" s="1148" t="s">
        <v>221</v>
      </c>
      <c r="K1060" s="1" t="s">
        <v>125</v>
      </c>
      <c r="M1060" s="1" t="s">
        <v>1038</v>
      </c>
    </row>
    <row r="1061" spans="2:13" ht="15" hidden="1" customHeight="1" outlineLevel="1" x14ac:dyDescent="0.25">
      <c r="B1061" s="1142" t="s">
        <v>945</v>
      </c>
      <c r="C1061" s="1143" t="s">
        <v>946</v>
      </c>
      <c r="D1061" s="1143" t="s">
        <v>934</v>
      </c>
      <c r="E1061" s="1144">
        <v>2686</v>
      </c>
      <c r="F1061" s="1145" t="s">
        <v>1660</v>
      </c>
      <c r="G1061" s="1146" t="s">
        <v>2082</v>
      </c>
      <c r="H1061" s="1147" t="s">
        <v>1660</v>
      </c>
      <c r="I1061" s="1146" t="s">
        <v>2083</v>
      </c>
      <c r="J1061" s="1148" t="s">
        <v>935</v>
      </c>
      <c r="K1061" s="1" t="s">
        <v>125</v>
      </c>
      <c r="M1061" s="1" t="s">
        <v>1036</v>
      </c>
    </row>
    <row r="1062" spans="2:13" ht="15" hidden="1" customHeight="1" outlineLevel="1" x14ac:dyDescent="0.25">
      <c r="B1062" s="1142" t="s">
        <v>945</v>
      </c>
      <c r="C1062" s="1143" t="s">
        <v>946</v>
      </c>
      <c r="D1062" s="1143" t="s">
        <v>937</v>
      </c>
      <c r="E1062" s="1144">
        <v>149400</v>
      </c>
      <c r="F1062" s="1145" t="s">
        <v>1660</v>
      </c>
      <c r="G1062" s="1146" t="s">
        <v>2084</v>
      </c>
      <c r="H1062" s="1147" t="s">
        <v>1660</v>
      </c>
      <c r="I1062" s="1108" t="s">
        <v>2085</v>
      </c>
      <c r="J1062" s="1148" t="s">
        <v>935</v>
      </c>
      <c r="K1062" s="1" t="s">
        <v>125</v>
      </c>
      <c r="M1062" s="1" t="s">
        <v>1036</v>
      </c>
    </row>
    <row r="1063" spans="2:13" ht="15" hidden="1" customHeight="1" outlineLevel="1" x14ac:dyDescent="0.25">
      <c r="B1063" s="1142" t="s">
        <v>945</v>
      </c>
      <c r="C1063" s="1143" t="s">
        <v>946</v>
      </c>
      <c r="D1063" s="1143" t="s">
        <v>938</v>
      </c>
      <c r="E1063" s="1144">
        <v>17970</v>
      </c>
      <c r="F1063" s="1145" t="s">
        <v>1660</v>
      </c>
      <c r="G1063" s="1146" t="s">
        <v>2086</v>
      </c>
      <c r="H1063" s="1147" t="s">
        <v>1660</v>
      </c>
      <c r="I1063" s="1146" t="s">
        <v>2087</v>
      </c>
      <c r="J1063" s="1148" t="s">
        <v>935</v>
      </c>
      <c r="K1063" s="1" t="s">
        <v>125</v>
      </c>
      <c r="M1063" s="1" t="s">
        <v>1036</v>
      </c>
    </row>
    <row r="1064" spans="2:13" ht="15" hidden="1" customHeight="1" outlineLevel="1" x14ac:dyDescent="0.25">
      <c r="B1064" s="1142" t="s">
        <v>945</v>
      </c>
      <c r="C1064" s="1143" t="s">
        <v>946</v>
      </c>
      <c r="D1064" s="1143" t="s">
        <v>939</v>
      </c>
      <c r="E1064" s="1144">
        <v>40.229999999999997</v>
      </c>
      <c r="F1064" s="1145" t="s">
        <v>1660</v>
      </c>
      <c r="G1064" s="1146" t="s">
        <v>2088</v>
      </c>
      <c r="H1064" s="1147" t="s">
        <v>1660</v>
      </c>
      <c r="I1064" s="1146" t="s">
        <v>2089</v>
      </c>
      <c r="J1064" s="1148" t="s">
        <v>935</v>
      </c>
      <c r="K1064" s="1" t="s">
        <v>125</v>
      </c>
      <c r="M1064" s="1" t="s">
        <v>1036</v>
      </c>
    </row>
    <row r="1065" spans="2:13" ht="15" hidden="1" customHeight="1" outlineLevel="1" x14ac:dyDescent="0.25">
      <c r="B1065" s="1142" t="s">
        <v>945</v>
      </c>
      <c r="C1065" s="1143" t="s">
        <v>946</v>
      </c>
      <c r="D1065" s="1143" t="s">
        <v>940</v>
      </c>
      <c r="E1065" s="1144">
        <v>13430</v>
      </c>
      <c r="F1065" s="1145" t="s">
        <v>1660</v>
      </c>
      <c r="G1065" s="1146" t="s">
        <v>2090</v>
      </c>
      <c r="H1065" s="1147" t="s">
        <v>1660</v>
      </c>
      <c r="I1065" s="1146" t="s">
        <v>2091</v>
      </c>
      <c r="J1065" s="1148" t="s">
        <v>935</v>
      </c>
      <c r="K1065" s="1" t="s">
        <v>125</v>
      </c>
      <c r="M1065" s="1" t="s">
        <v>1036</v>
      </c>
    </row>
    <row r="1066" spans="2:13" ht="15" hidden="1" customHeight="1" outlineLevel="1" x14ac:dyDescent="0.25">
      <c r="B1066" s="1142" t="s">
        <v>945</v>
      </c>
      <c r="C1066" s="1143" t="s">
        <v>946</v>
      </c>
      <c r="D1066" s="1143" t="s">
        <v>941</v>
      </c>
      <c r="E1066" s="1144">
        <v>18140</v>
      </c>
      <c r="F1066" s="1145" t="s">
        <v>1660</v>
      </c>
      <c r="G1066" s="1146" t="s">
        <v>2092</v>
      </c>
      <c r="H1066" s="1147" t="s">
        <v>1660</v>
      </c>
      <c r="I1066" s="1146" t="s">
        <v>2093</v>
      </c>
      <c r="J1066" s="1148" t="s">
        <v>935</v>
      </c>
      <c r="K1066" s="1" t="s">
        <v>125</v>
      </c>
      <c r="M1066" s="1" t="s">
        <v>1036</v>
      </c>
    </row>
    <row r="1067" spans="2:13" ht="15" hidden="1" customHeight="1" outlineLevel="1" x14ac:dyDescent="0.25">
      <c r="B1067" s="1149" t="s">
        <v>945</v>
      </c>
      <c r="C1067" s="1150" t="s">
        <v>946</v>
      </c>
      <c r="D1067" s="1150" t="s">
        <v>942</v>
      </c>
      <c r="E1067" s="1151">
        <v>456600</v>
      </c>
      <c r="F1067" s="1152" t="s">
        <v>1660</v>
      </c>
      <c r="G1067" s="1158" t="s">
        <v>2094</v>
      </c>
      <c r="H1067" s="1154" t="s">
        <v>1660</v>
      </c>
      <c r="I1067" s="1158" t="s">
        <v>2095</v>
      </c>
      <c r="J1067" s="1155" t="s">
        <v>935</v>
      </c>
      <c r="K1067" s="1" t="s">
        <v>125</v>
      </c>
      <c r="M1067" s="1" t="s">
        <v>1036</v>
      </c>
    </row>
    <row r="1068" spans="2:13" ht="15" customHeight="1" x14ac:dyDescent="0.25">
      <c r="D1068" s="1159"/>
      <c r="E1068" s="1160"/>
      <c r="F1068" s="1161" t="s">
        <v>125</v>
      </c>
      <c r="G1068" s="672"/>
      <c r="H1068" s="1162" t="s">
        <v>125</v>
      </c>
      <c r="I1068" s="672"/>
      <c r="J1068" s="672"/>
    </row>
    <row r="1069" spans="2:13" ht="15" customHeight="1" collapsed="1" x14ac:dyDescent="0.25">
      <c r="B1069" s="1164" t="s">
        <v>825</v>
      </c>
      <c r="C1069" s="1165"/>
      <c r="D1069" s="1208" t="s">
        <v>1204</v>
      </c>
      <c r="E1069" s="1166">
        <v>72200</v>
      </c>
      <c r="F1069" s="1167" t="s">
        <v>1660</v>
      </c>
      <c r="G1069" s="1168" t="s">
        <v>2322</v>
      </c>
      <c r="H1069" s="1169"/>
      <c r="I1069" s="1168"/>
      <c r="J1069" s="246" t="s">
        <v>221</v>
      </c>
      <c r="K1069" s="292">
        <v>100</v>
      </c>
    </row>
    <row r="1070" spans="2:13" ht="15" hidden="1" customHeight="1" outlineLevel="1" x14ac:dyDescent="0.25">
      <c r="B1070" s="1137" t="s">
        <v>827</v>
      </c>
      <c r="C1070" s="1138" t="s">
        <v>979</v>
      </c>
      <c r="D1070" s="1138" t="s">
        <v>980</v>
      </c>
      <c r="E1070" s="1139">
        <v>195</v>
      </c>
      <c r="F1070" s="1145" t="s">
        <v>125</v>
      </c>
      <c r="G1070" s="1146"/>
      <c r="H1070" s="1147"/>
      <c r="I1070" s="954"/>
      <c r="J1070" s="955" t="s">
        <v>186</v>
      </c>
      <c r="K1070" s="1" t="s">
        <v>125</v>
      </c>
      <c r="M1070" s="1" t="s">
        <v>997</v>
      </c>
    </row>
    <row r="1071" spans="2:13" ht="15" hidden="1" customHeight="1" outlineLevel="1" x14ac:dyDescent="0.25">
      <c r="B1071" s="1142" t="s">
        <v>827</v>
      </c>
      <c r="C1071" s="1143" t="s">
        <v>981</v>
      </c>
      <c r="D1071" s="1143" t="s">
        <v>982</v>
      </c>
      <c r="E1071" s="1144">
        <v>10000</v>
      </c>
      <c r="F1071" s="1145" t="s">
        <v>125</v>
      </c>
      <c r="G1071" s="1146"/>
      <c r="H1071" s="1147"/>
      <c r="I1071" s="1146"/>
      <c r="J1071" s="1148" t="s">
        <v>181</v>
      </c>
      <c r="K1071" s="1" t="s">
        <v>125</v>
      </c>
      <c r="M1071" s="1" t="s">
        <v>998</v>
      </c>
    </row>
    <row r="1072" spans="2:13" ht="15" hidden="1" customHeight="1" outlineLevel="1" x14ac:dyDescent="0.25">
      <c r="B1072" s="1142" t="s">
        <v>827</v>
      </c>
      <c r="C1072" s="1143" t="s">
        <v>981</v>
      </c>
      <c r="D1072" s="1143" t="s">
        <v>983</v>
      </c>
      <c r="E1072" s="1144">
        <v>0</v>
      </c>
      <c r="F1072" s="1145" t="s">
        <v>125</v>
      </c>
      <c r="G1072" s="1146"/>
      <c r="H1072" s="1147"/>
      <c r="I1072" s="1146"/>
      <c r="J1072" s="1148" t="s">
        <v>182</v>
      </c>
      <c r="K1072" s="1" t="s">
        <v>125</v>
      </c>
      <c r="M1072" s="1" t="s">
        <v>999</v>
      </c>
    </row>
    <row r="1073" spans="2:13" ht="15" hidden="1" customHeight="1" outlineLevel="1" x14ac:dyDescent="0.25">
      <c r="B1073" s="1142" t="s">
        <v>827</v>
      </c>
      <c r="C1073" s="1143" t="s">
        <v>981</v>
      </c>
      <c r="D1073" s="1143" t="s">
        <v>984</v>
      </c>
      <c r="E1073" s="1144">
        <v>0</v>
      </c>
      <c r="F1073" s="1145" t="s">
        <v>125</v>
      </c>
      <c r="G1073" s="1146"/>
      <c r="H1073" s="1147"/>
      <c r="I1073" s="1146"/>
      <c r="J1073" s="1148" t="s">
        <v>182</v>
      </c>
      <c r="K1073" s="1" t="s">
        <v>125</v>
      </c>
      <c r="M1073" s="1" t="s">
        <v>999</v>
      </c>
    </row>
    <row r="1074" spans="2:13" ht="15" hidden="1" customHeight="1" outlineLevel="1" x14ac:dyDescent="0.25">
      <c r="B1074" s="1142" t="s">
        <v>827</v>
      </c>
      <c r="C1074" s="1143" t="s">
        <v>981</v>
      </c>
      <c r="D1074" s="1143" t="s">
        <v>985</v>
      </c>
      <c r="E1074" s="1144">
        <v>0</v>
      </c>
      <c r="F1074" s="1145" t="s">
        <v>125</v>
      </c>
      <c r="G1074" s="1146"/>
      <c r="H1074" s="1147"/>
      <c r="I1074" s="1146"/>
      <c r="J1074" s="1148" t="s">
        <v>182</v>
      </c>
      <c r="K1074" s="1" t="s">
        <v>125</v>
      </c>
      <c r="M1074" s="1" t="s">
        <v>999</v>
      </c>
    </row>
    <row r="1075" spans="2:13" ht="15" hidden="1" customHeight="1" outlineLevel="1" x14ac:dyDescent="0.25">
      <c r="B1075" s="1142" t="s">
        <v>827</v>
      </c>
      <c r="C1075" s="1143" t="s">
        <v>981</v>
      </c>
      <c r="D1075" s="1143" t="s">
        <v>986</v>
      </c>
      <c r="E1075" s="1144">
        <v>0</v>
      </c>
      <c r="F1075" s="1145" t="s">
        <v>125</v>
      </c>
      <c r="G1075" s="1146"/>
      <c r="H1075" s="1147"/>
      <c r="I1075" s="1146"/>
      <c r="J1075" s="1148" t="s">
        <v>182</v>
      </c>
      <c r="K1075" s="1" t="s">
        <v>125</v>
      </c>
      <c r="M1075" s="1" t="s">
        <v>999</v>
      </c>
    </row>
    <row r="1076" spans="2:13" ht="15" hidden="1" customHeight="1" outlineLevel="1" x14ac:dyDescent="0.25">
      <c r="B1076" s="1142" t="s">
        <v>827</v>
      </c>
      <c r="C1076" s="1143" t="s">
        <v>981</v>
      </c>
      <c r="D1076" s="1143" t="s">
        <v>987</v>
      </c>
      <c r="E1076" s="1144">
        <v>0</v>
      </c>
      <c r="F1076" s="1145" t="s">
        <v>125</v>
      </c>
      <c r="G1076" s="1146"/>
      <c r="H1076" s="1147"/>
      <c r="I1076" s="1146"/>
      <c r="J1076" s="1148" t="s">
        <v>182</v>
      </c>
      <c r="K1076" s="1" t="s">
        <v>125</v>
      </c>
      <c r="M1076" s="1" t="s">
        <v>999</v>
      </c>
    </row>
    <row r="1077" spans="2:13" ht="15" hidden="1" customHeight="1" outlineLevel="1" x14ac:dyDescent="0.25">
      <c r="B1077" s="1142" t="s">
        <v>830</v>
      </c>
      <c r="C1077" s="1143"/>
      <c r="D1077" s="1143" t="s">
        <v>665</v>
      </c>
      <c r="E1077" s="1144">
        <v>3522</v>
      </c>
      <c r="F1077" s="1145" t="s">
        <v>1660</v>
      </c>
      <c r="G1077" s="1146" t="s">
        <v>726</v>
      </c>
      <c r="H1077" s="1147"/>
      <c r="I1077" s="1146"/>
      <c r="J1077" s="1148" t="s">
        <v>221</v>
      </c>
      <c r="K1077" s="1" t="s">
        <v>125</v>
      </c>
      <c r="M1077" s="1" t="s">
        <v>1000</v>
      </c>
    </row>
    <row r="1078" spans="2:13" ht="15" hidden="1" customHeight="1" outlineLevel="1" x14ac:dyDescent="0.25">
      <c r="B1078" s="1142" t="s">
        <v>830</v>
      </c>
      <c r="C1078" s="1143"/>
      <c r="D1078" s="1143" t="s">
        <v>673</v>
      </c>
      <c r="E1078" s="1144">
        <v>308.89999999999998</v>
      </c>
      <c r="F1078" s="1145" t="s">
        <v>1660</v>
      </c>
      <c r="G1078" s="1146" t="s">
        <v>723</v>
      </c>
      <c r="H1078" s="1147"/>
      <c r="I1078" s="1146"/>
      <c r="J1078" s="1148" t="s">
        <v>221</v>
      </c>
      <c r="K1078" s="1" t="s">
        <v>125</v>
      </c>
      <c r="M1078" s="1" t="s">
        <v>1001</v>
      </c>
    </row>
    <row r="1079" spans="2:13" ht="15" hidden="1" customHeight="1" outlineLevel="1" x14ac:dyDescent="0.25">
      <c r="B1079" s="1142" t="s">
        <v>830</v>
      </c>
      <c r="C1079" s="1143"/>
      <c r="D1079" s="1143" t="s">
        <v>653</v>
      </c>
      <c r="E1079" s="1144">
        <v>65.180000000000007</v>
      </c>
      <c r="F1079" s="1145" t="s">
        <v>1660</v>
      </c>
      <c r="G1079" s="1146" t="s">
        <v>1661</v>
      </c>
      <c r="H1079" s="1147"/>
      <c r="I1079" s="1146"/>
      <c r="J1079" s="1148" t="s">
        <v>221</v>
      </c>
      <c r="K1079" s="1" t="s">
        <v>125</v>
      </c>
      <c r="M1079" s="1" t="s">
        <v>1206</v>
      </c>
    </row>
    <row r="1080" spans="2:13" ht="15" hidden="1" customHeight="1" outlineLevel="1" x14ac:dyDescent="0.25">
      <c r="B1080" s="1142" t="s">
        <v>830</v>
      </c>
      <c r="C1080" s="1143"/>
      <c r="D1080" s="1143" t="s">
        <v>654</v>
      </c>
      <c r="E1080" s="1144">
        <v>24.47</v>
      </c>
      <c r="F1080" s="1145" t="s">
        <v>1660</v>
      </c>
      <c r="G1080" s="1146" t="s">
        <v>1661</v>
      </c>
      <c r="H1080" s="1147"/>
      <c r="I1080" s="1146"/>
      <c r="J1080" s="1148" t="s">
        <v>221</v>
      </c>
      <c r="K1080" s="1" t="s">
        <v>125</v>
      </c>
      <c r="M1080" s="1" t="s">
        <v>1207</v>
      </c>
    </row>
    <row r="1081" spans="2:13" ht="15" hidden="1" customHeight="1" outlineLevel="1" x14ac:dyDescent="0.25">
      <c r="B1081" s="1142" t="s">
        <v>830</v>
      </c>
      <c r="C1081" s="1143"/>
      <c r="D1081" s="1143" t="s">
        <v>652</v>
      </c>
      <c r="E1081" s="1144">
        <v>181.7</v>
      </c>
      <c r="F1081" s="1145" t="s">
        <v>1660</v>
      </c>
      <c r="G1081" s="1146" t="s">
        <v>1661</v>
      </c>
      <c r="H1081" s="1147"/>
      <c r="I1081" s="1146"/>
      <c r="J1081" s="1148" t="s">
        <v>221</v>
      </c>
      <c r="K1081" s="1" t="s">
        <v>125</v>
      </c>
      <c r="M1081" s="1" t="s">
        <v>1208</v>
      </c>
    </row>
    <row r="1082" spans="2:13" ht="15" hidden="1" customHeight="1" outlineLevel="1" x14ac:dyDescent="0.25">
      <c r="B1082" s="1142" t="s">
        <v>830</v>
      </c>
      <c r="C1082" s="1143"/>
      <c r="D1082" s="1143" t="s">
        <v>650</v>
      </c>
      <c r="E1082" s="1144">
        <v>81.36</v>
      </c>
      <c r="F1082" s="1145" t="s">
        <v>1660</v>
      </c>
      <c r="G1082" s="1146" t="s">
        <v>1661</v>
      </c>
      <c r="H1082" s="1147"/>
      <c r="I1082" s="1146"/>
      <c r="J1082" s="1148" t="s">
        <v>221</v>
      </c>
      <c r="K1082" s="1" t="s">
        <v>125</v>
      </c>
      <c r="M1082" s="1" t="s">
        <v>1209</v>
      </c>
    </row>
    <row r="1083" spans="2:13" ht="15" hidden="1" customHeight="1" outlineLevel="1" x14ac:dyDescent="0.25">
      <c r="B1083" s="1142" t="s">
        <v>830</v>
      </c>
      <c r="C1083" s="1143"/>
      <c r="D1083" s="1143" t="s">
        <v>649</v>
      </c>
      <c r="E1083" s="1144">
        <v>45.06</v>
      </c>
      <c r="F1083" s="1145" t="s">
        <v>1660</v>
      </c>
      <c r="G1083" s="1146" t="s">
        <v>1661</v>
      </c>
      <c r="H1083" s="1147"/>
      <c r="I1083" s="1146"/>
      <c r="J1083" s="1148" t="s">
        <v>221</v>
      </c>
      <c r="K1083" s="1" t="s">
        <v>125</v>
      </c>
      <c r="M1083" s="1" t="s">
        <v>1210</v>
      </c>
    </row>
    <row r="1084" spans="2:13" ht="15" hidden="1" customHeight="1" outlineLevel="1" x14ac:dyDescent="0.25">
      <c r="B1084" s="1142" t="s">
        <v>830</v>
      </c>
      <c r="C1084" s="1143"/>
      <c r="D1084" s="1143" t="s">
        <v>648</v>
      </c>
      <c r="E1084" s="1144">
        <v>67.900000000000006</v>
      </c>
      <c r="F1084" s="1145" t="s">
        <v>1660</v>
      </c>
      <c r="G1084" s="1146" t="s">
        <v>1661</v>
      </c>
      <c r="H1084" s="1147"/>
      <c r="I1084" s="1146"/>
      <c r="J1084" s="1148" t="s">
        <v>221</v>
      </c>
      <c r="K1084" s="1" t="s">
        <v>125</v>
      </c>
      <c r="M1084" s="1" t="s">
        <v>1211</v>
      </c>
    </row>
    <row r="1085" spans="2:13" ht="15" hidden="1" customHeight="1" outlineLevel="1" x14ac:dyDescent="0.25">
      <c r="B1085" s="1142" t="s">
        <v>830</v>
      </c>
      <c r="C1085" s="1143"/>
      <c r="D1085" s="1143" t="s">
        <v>657</v>
      </c>
      <c r="E1085" s="1144">
        <v>28.55</v>
      </c>
      <c r="F1085" s="1145" t="s">
        <v>1660</v>
      </c>
      <c r="G1085" s="1146" t="s">
        <v>1661</v>
      </c>
      <c r="H1085" s="1147"/>
      <c r="I1085" s="1146"/>
      <c r="J1085" s="1148" t="s">
        <v>221</v>
      </c>
      <c r="K1085" s="1" t="s">
        <v>125</v>
      </c>
      <c r="M1085" s="1" t="s">
        <v>1212</v>
      </c>
    </row>
    <row r="1086" spans="2:13" ht="15" hidden="1" customHeight="1" outlineLevel="1" x14ac:dyDescent="0.25">
      <c r="B1086" s="1142" t="s">
        <v>830</v>
      </c>
      <c r="C1086" s="1143"/>
      <c r="D1086" s="1143" t="s">
        <v>656</v>
      </c>
      <c r="E1086" s="1144">
        <v>0.4793</v>
      </c>
      <c r="F1086" s="1145" t="s">
        <v>1660</v>
      </c>
      <c r="G1086" s="1146" t="s">
        <v>1661</v>
      </c>
      <c r="H1086" s="1147"/>
      <c r="I1086" s="1146"/>
      <c r="J1086" s="1148" t="s">
        <v>221</v>
      </c>
      <c r="K1086" s="1" t="s">
        <v>125</v>
      </c>
      <c r="M1086" s="1" t="s">
        <v>1213</v>
      </c>
    </row>
    <row r="1087" spans="2:13" ht="15" hidden="1" customHeight="1" outlineLevel="1" x14ac:dyDescent="0.25">
      <c r="B1087" s="1142" t="s">
        <v>830</v>
      </c>
      <c r="C1087" s="1143"/>
      <c r="D1087" s="1143" t="s">
        <v>655</v>
      </c>
      <c r="E1087" s="1144">
        <v>8.8800000000000008</v>
      </c>
      <c r="F1087" s="1145" t="s">
        <v>1660</v>
      </c>
      <c r="G1087" s="1146" t="s">
        <v>1661</v>
      </c>
      <c r="H1087" s="1147"/>
      <c r="I1087" s="1146"/>
      <c r="J1087" s="1148" t="s">
        <v>221</v>
      </c>
      <c r="K1087" s="1" t="s">
        <v>125</v>
      </c>
      <c r="M1087" s="1" t="s">
        <v>1214</v>
      </c>
    </row>
    <row r="1088" spans="2:13" ht="15" hidden="1" customHeight="1" outlineLevel="1" x14ac:dyDescent="0.25">
      <c r="B1088" s="1142" t="s">
        <v>830</v>
      </c>
      <c r="C1088" s="1143"/>
      <c r="D1088" s="1143" t="s">
        <v>658</v>
      </c>
      <c r="E1088" s="1144">
        <v>261.8</v>
      </c>
      <c r="F1088" s="1145" t="s">
        <v>1660</v>
      </c>
      <c r="G1088" s="1146" t="s">
        <v>1661</v>
      </c>
      <c r="H1088" s="1147"/>
      <c r="I1088" s="1146"/>
      <c r="J1088" s="1148" t="s">
        <v>221</v>
      </c>
      <c r="K1088" s="1" t="s">
        <v>125</v>
      </c>
      <c r="M1088" s="1" t="s">
        <v>1215</v>
      </c>
    </row>
    <row r="1089" spans="2:13" ht="15" hidden="1" customHeight="1" outlineLevel="1" x14ac:dyDescent="0.25">
      <c r="B1089" s="1142" t="s">
        <v>830</v>
      </c>
      <c r="C1089" s="1143"/>
      <c r="D1089" s="1143" t="s">
        <v>659</v>
      </c>
      <c r="E1089" s="1144">
        <v>17.7</v>
      </c>
      <c r="F1089" s="1145" t="s">
        <v>1660</v>
      </c>
      <c r="G1089" s="1146" t="s">
        <v>1661</v>
      </c>
      <c r="H1089" s="1147"/>
      <c r="I1089" s="1146"/>
      <c r="J1089" s="1148" t="s">
        <v>221</v>
      </c>
      <c r="K1089" s="1" t="s">
        <v>125</v>
      </c>
      <c r="M1089" s="1" t="s">
        <v>1216</v>
      </c>
    </row>
    <row r="1090" spans="2:13" ht="15" hidden="1" customHeight="1" outlineLevel="1" x14ac:dyDescent="0.25">
      <c r="B1090" s="1142" t="s">
        <v>830</v>
      </c>
      <c r="C1090" s="1143"/>
      <c r="D1090" s="1143" t="s">
        <v>988</v>
      </c>
      <c r="E1090" s="1144">
        <v>1</v>
      </c>
      <c r="F1090" s="1145" t="s">
        <v>125</v>
      </c>
      <c r="G1090" s="1146"/>
      <c r="H1090" s="1147"/>
      <c r="I1090" s="1146"/>
      <c r="J1090" s="1148" t="s">
        <v>188</v>
      </c>
      <c r="K1090" s="1" t="s">
        <v>125</v>
      </c>
      <c r="M1090" s="1" t="s">
        <v>1013</v>
      </c>
    </row>
    <row r="1091" spans="2:13" ht="15" hidden="1" customHeight="1" outlineLevel="1" x14ac:dyDescent="0.25">
      <c r="B1091" s="1142" t="s">
        <v>830</v>
      </c>
      <c r="C1091" s="1143"/>
      <c r="D1091" s="1143" t="s">
        <v>662</v>
      </c>
      <c r="E1091" s="1144">
        <v>400</v>
      </c>
      <c r="F1091" s="1145" t="s">
        <v>125</v>
      </c>
      <c r="G1091" s="1146"/>
      <c r="H1091" s="1147"/>
      <c r="I1091" s="1146"/>
      <c r="J1091" s="1148" t="s">
        <v>221</v>
      </c>
      <c r="K1091" s="1" t="s">
        <v>125</v>
      </c>
      <c r="M1091" s="1" t="s">
        <v>1014</v>
      </c>
    </row>
    <row r="1092" spans="2:13" ht="15" hidden="1" customHeight="1" outlineLevel="1" x14ac:dyDescent="0.25">
      <c r="B1092" s="1142" t="s">
        <v>830</v>
      </c>
      <c r="C1092" s="1143"/>
      <c r="D1092" s="1143" t="s">
        <v>1161</v>
      </c>
      <c r="E1092" s="1144">
        <v>2</v>
      </c>
      <c r="F1092" s="1145" t="s">
        <v>125</v>
      </c>
      <c r="G1092" s="1146"/>
      <c r="H1092" s="1147"/>
      <c r="I1092" s="1146"/>
      <c r="J1092" s="1148" t="s">
        <v>221</v>
      </c>
      <c r="K1092" s="1" t="s">
        <v>125</v>
      </c>
      <c r="M1092" s="1" t="s">
        <v>1052</v>
      </c>
    </row>
    <row r="1093" spans="2:13" ht="15" hidden="1" customHeight="1" outlineLevel="1" x14ac:dyDescent="0.25">
      <c r="B1093" s="1142" t="s">
        <v>830</v>
      </c>
      <c r="C1093" s="1143"/>
      <c r="D1093" s="1143" t="s">
        <v>990</v>
      </c>
      <c r="E1093" s="1144">
        <v>114.9</v>
      </c>
      <c r="F1093" s="1145" t="s">
        <v>1660</v>
      </c>
      <c r="G1093" s="1146" t="s">
        <v>722</v>
      </c>
      <c r="H1093" s="1147"/>
      <c r="I1093" s="1146"/>
      <c r="J1093" s="1148" t="s">
        <v>836</v>
      </c>
      <c r="K1093" s="1" t="s">
        <v>125</v>
      </c>
      <c r="M1093" s="1" t="s">
        <v>1015</v>
      </c>
    </row>
    <row r="1094" spans="2:13" ht="15" hidden="1" customHeight="1" outlineLevel="1" x14ac:dyDescent="0.25">
      <c r="B1094" s="1142" t="s">
        <v>830</v>
      </c>
      <c r="C1094" s="1143"/>
      <c r="D1094" s="1143" t="s">
        <v>990</v>
      </c>
      <c r="E1094" s="1144">
        <v>59.65</v>
      </c>
      <c r="F1094" s="1145" t="s">
        <v>1660</v>
      </c>
      <c r="G1094" s="1146" t="s">
        <v>2323</v>
      </c>
      <c r="H1094" s="1147"/>
      <c r="I1094" s="1146"/>
      <c r="J1094" s="1148" t="s">
        <v>836</v>
      </c>
      <c r="K1094" s="1" t="s">
        <v>125</v>
      </c>
      <c r="M1094" s="1" t="s">
        <v>1016</v>
      </c>
    </row>
    <row r="1095" spans="2:13" ht="15" hidden="1" customHeight="1" outlineLevel="1" x14ac:dyDescent="0.25">
      <c r="B1095" s="1142" t="s">
        <v>830</v>
      </c>
      <c r="C1095" s="1143"/>
      <c r="D1095" s="1143" t="s">
        <v>675</v>
      </c>
      <c r="E1095" s="1144">
        <v>0.2467</v>
      </c>
      <c r="F1095" s="1145" t="s">
        <v>1660</v>
      </c>
      <c r="G1095" s="1146" t="s">
        <v>1661</v>
      </c>
      <c r="H1095" s="1147"/>
      <c r="I1095" s="1146"/>
      <c r="J1095" s="1148" t="s">
        <v>221</v>
      </c>
      <c r="K1095" s="1" t="s">
        <v>125</v>
      </c>
      <c r="M1095" s="1" t="s">
        <v>1017</v>
      </c>
    </row>
    <row r="1096" spans="2:13" ht="15" hidden="1" customHeight="1" outlineLevel="1" x14ac:dyDescent="0.25">
      <c r="B1096" s="1142" t="s">
        <v>830</v>
      </c>
      <c r="C1096" s="1143"/>
      <c r="D1096" s="1143" t="s">
        <v>676</v>
      </c>
      <c r="E1096" s="1144">
        <v>2.9750000000000001</v>
      </c>
      <c r="F1096" s="1145" t="s">
        <v>1660</v>
      </c>
      <c r="G1096" s="1146" t="s">
        <v>1661</v>
      </c>
      <c r="H1096" s="1147"/>
      <c r="I1096" s="1146"/>
      <c r="J1096" s="1148" t="s">
        <v>221</v>
      </c>
      <c r="K1096" s="1" t="s">
        <v>125</v>
      </c>
      <c r="M1096" s="1" t="s">
        <v>1018</v>
      </c>
    </row>
    <row r="1097" spans="2:13" ht="15" hidden="1" customHeight="1" outlineLevel="1" x14ac:dyDescent="0.25">
      <c r="B1097" s="1142" t="s">
        <v>830</v>
      </c>
      <c r="C1097" s="1143"/>
      <c r="D1097" s="1143" t="s">
        <v>678</v>
      </c>
      <c r="E1097" s="1144">
        <v>4.694</v>
      </c>
      <c r="F1097" s="1145" t="s">
        <v>1660</v>
      </c>
      <c r="G1097" s="1146" t="s">
        <v>1661</v>
      </c>
      <c r="H1097" s="1147"/>
      <c r="I1097" s="1146"/>
      <c r="J1097" s="1148" t="s">
        <v>221</v>
      </c>
      <c r="K1097" s="1" t="s">
        <v>125</v>
      </c>
      <c r="M1097" s="1" t="s">
        <v>1019</v>
      </c>
    </row>
    <row r="1098" spans="2:13" ht="15" hidden="1" customHeight="1" outlineLevel="1" x14ac:dyDescent="0.25">
      <c r="B1098" s="1142" t="s">
        <v>830</v>
      </c>
      <c r="C1098" s="1143"/>
      <c r="D1098" s="1143" t="s">
        <v>991</v>
      </c>
      <c r="E1098" s="1144">
        <v>0.2467</v>
      </c>
      <c r="F1098" s="1145" t="s">
        <v>1660</v>
      </c>
      <c r="G1098" s="1146" t="s">
        <v>1661</v>
      </c>
      <c r="H1098" s="1147"/>
      <c r="I1098" s="1146"/>
      <c r="J1098" s="1148" t="s">
        <v>221</v>
      </c>
      <c r="K1098" s="1" t="s">
        <v>125</v>
      </c>
      <c r="M1098" s="1" t="s">
        <v>1020</v>
      </c>
    </row>
    <row r="1099" spans="2:13" ht="15" hidden="1" customHeight="1" outlineLevel="1" x14ac:dyDescent="0.25">
      <c r="B1099" s="1142" t="s">
        <v>830</v>
      </c>
      <c r="C1099" s="1143"/>
      <c r="D1099" s="1143" t="s">
        <v>992</v>
      </c>
      <c r="E1099" s="1144">
        <v>2.9750000000000001</v>
      </c>
      <c r="F1099" s="1145" t="s">
        <v>1660</v>
      </c>
      <c r="G1099" s="1146" t="s">
        <v>1661</v>
      </c>
      <c r="H1099" s="1147"/>
      <c r="I1099" s="1146"/>
      <c r="J1099" s="1148" t="s">
        <v>221</v>
      </c>
      <c r="K1099" s="1" t="s">
        <v>125</v>
      </c>
      <c r="M1099" s="1" t="s">
        <v>1021</v>
      </c>
    </row>
    <row r="1100" spans="2:13" ht="15" hidden="1" customHeight="1" outlineLevel="1" x14ac:dyDescent="0.25">
      <c r="B1100" s="1142" t="s">
        <v>830</v>
      </c>
      <c r="C1100" s="1143"/>
      <c r="D1100" s="1143" t="s">
        <v>993</v>
      </c>
      <c r="E1100" s="1144">
        <v>4.694</v>
      </c>
      <c r="F1100" s="1145" t="s">
        <v>1660</v>
      </c>
      <c r="G1100" s="1146" t="s">
        <v>1661</v>
      </c>
      <c r="H1100" s="1147"/>
      <c r="I1100" s="1146"/>
      <c r="J1100" s="1148" t="s">
        <v>221</v>
      </c>
      <c r="K1100" s="1" t="s">
        <v>125</v>
      </c>
      <c r="M1100" s="1" t="s">
        <v>1022</v>
      </c>
    </row>
    <row r="1101" spans="2:13" ht="15" hidden="1" customHeight="1" outlineLevel="1" x14ac:dyDescent="0.25">
      <c r="B1101" s="1142" t="s">
        <v>994</v>
      </c>
      <c r="C1101" s="1143"/>
      <c r="D1101" s="1143" t="s">
        <v>834</v>
      </c>
      <c r="E1101" s="1144">
        <v>7187</v>
      </c>
      <c r="F1101" s="1145" t="s">
        <v>1660</v>
      </c>
      <c r="G1101" s="1146" t="s">
        <v>718</v>
      </c>
      <c r="H1101" s="1147"/>
      <c r="I1101" s="1146"/>
      <c r="J1101" s="1148" t="s">
        <v>304</v>
      </c>
      <c r="K1101" s="1" t="s">
        <v>125</v>
      </c>
      <c r="M1101" s="1" t="s">
        <v>1023</v>
      </c>
    </row>
    <row r="1102" spans="2:13" ht="15" hidden="1" customHeight="1" outlineLevel="1" x14ac:dyDescent="0.25">
      <c r="B1102" s="1142" t="s">
        <v>994</v>
      </c>
      <c r="C1102" s="1143"/>
      <c r="D1102" s="1143" t="s">
        <v>834</v>
      </c>
      <c r="E1102" s="1144">
        <v>130.9</v>
      </c>
      <c r="F1102" s="1145" t="s">
        <v>1660</v>
      </c>
      <c r="G1102" s="1146" t="s">
        <v>718</v>
      </c>
      <c r="H1102" s="1147"/>
      <c r="I1102" s="1146"/>
      <c r="J1102" s="1148" t="s">
        <v>304</v>
      </c>
    </row>
    <row r="1103" spans="2:13" ht="15" hidden="1" customHeight="1" outlineLevel="1" x14ac:dyDescent="0.25">
      <c r="B1103" s="1142" t="s">
        <v>994</v>
      </c>
      <c r="C1103" s="1143"/>
      <c r="D1103" s="1143" t="s">
        <v>1054</v>
      </c>
      <c r="E1103" s="1144">
        <v>93.94</v>
      </c>
      <c r="F1103" s="1145" t="s">
        <v>1660</v>
      </c>
      <c r="G1103" s="1146" t="s">
        <v>720</v>
      </c>
      <c r="H1103" s="1147"/>
      <c r="I1103" s="1146"/>
      <c r="J1103" s="1148" t="s">
        <v>304</v>
      </c>
    </row>
    <row r="1104" spans="2:13" ht="15" hidden="1" customHeight="1" outlineLevel="1" x14ac:dyDescent="0.25">
      <c r="B1104" s="1142" t="s">
        <v>839</v>
      </c>
      <c r="C1104" s="1143"/>
      <c r="D1104" s="1143" t="s">
        <v>925</v>
      </c>
      <c r="E1104" s="1144">
        <v>176</v>
      </c>
      <c r="F1104" s="1145" t="s">
        <v>125</v>
      </c>
      <c r="G1104" s="1146"/>
      <c r="H1104" s="1147"/>
      <c r="I1104" s="1146"/>
      <c r="J1104" s="1148" t="s">
        <v>221</v>
      </c>
      <c r="K1104" s="1" t="s">
        <v>125</v>
      </c>
      <c r="M1104" s="1" t="s">
        <v>1024</v>
      </c>
    </row>
    <row r="1105" spans="2:13" ht="15" hidden="1" customHeight="1" outlineLevel="1" x14ac:dyDescent="0.25">
      <c r="B1105" s="1142" t="s">
        <v>839</v>
      </c>
      <c r="C1105" s="1143"/>
      <c r="D1105" s="1143" t="s">
        <v>925</v>
      </c>
      <c r="E1105" s="1144">
        <v>61.88</v>
      </c>
      <c r="F1105" s="1145" t="s">
        <v>1660</v>
      </c>
      <c r="G1105" s="1146" t="s">
        <v>1661</v>
      </c>
      <c r="H1105" s="1147"/>
      <c r="I1105" s="1146"/>
      <c r="J1105" s="1148" t="s">
        <v>221</v>
      </c>
      <c r="K1105" s="1" t="s">
        <v>125</v>
      </c>
      <c r="M1105" s="1" t="s">
        <v>1025</v>
      </c>
    </row>
    <row r="1106" spans="2:13" ht="15" hidden="1" customHeight="1" outlineLevel="1" x14ac:dyDescent="0.25">
      <c r="B1106" s="1142" t="s">
        <v>839</v>
      </c>
      <c r="C1106" s="1143"/>
      <c r="D1106" s="1143" t="s">
        <v>843</v>
      </c>
      <c r="E1106" s="1144">
        <v>1.964</v>
      </c>
      <c r="F1106" s="1145" t="s">
        <v>1660</v>
      </c>
      <c r="G1106" s="1146" t="s">
        <v>1661</v>
      </c>
      <c r="H1106" s="1147" t="s">
        <v>1660</v>
      </c>
      <c r="I1106" s="1146" t="s">
        <v>1558</v>
      </c>
      <c r="J1106" s="1148" t="s">
        <v>221</v>
      </c>
      <c r="K1106" s="1" t="s">
        <v>125</v>
      </c>
      <c r="M1106" s="1" t="s">
        <v>1026</v>
      </c>
    </row>
    <row r="1107" spans="2:13" ht="15" hidden="1" customHeight="1" outlineLevel="1" x14ac:dyDescent="0.25">
      <c r="B1107" s="1142" t="s">
        <v>839</v>
      </c>
      <c r="C1107" s="1143"/>
      <c r="D1107" s="1143" t="s">
        <v>843</v>
      </c>
      <c r="E1107" s="1144">
        <v>0.63839999999999997</v>
      </c>
      <c r="F1107" s="1145" t="s">
        <v>1660</v>
      </c>
      <c r="G1107" s="1146" t="s">
        <v>1661</v>
      </c>
      <c r="H1107" s="1147" t="s">
        <v>1660</v>
      </c>
      <c r="I1107" s="1146" t="s">
        <v>2324</v>
      </c>
      <c r="J1107" s="1148" t="s">
        <v>221</v>
      </c>
      <c r="K1107" s="1" t="s">
        <v>125</v>
      </c>
      <c r="M1107" s="1" t="s">
        <v>1027</v>
      </c>
    </row>
    <row r="1108" spans="2:13" ht="15" hidden="1" customHeight="1" outlineLevel="1" x14ac:dyDescent="0.25">
      <c r="B1108" s="1142" t="s">
        <v>839</v>
      </c>
      <c r="C1108" s="1143"/>
      <c r="D1108" s="1143" t="s">
        <v>846</v>
      </c>
      <c r="E1108" s="1144">
        <v>8.4039999999999999</v>
      </c>
      <c r="F1108" s="1145" t="s">
        <v>1660</v>
      </c>
      <c r="G1108" s="1146" t="s">
        <v>1661</v>
      </c>
      <c r="H1108" s="1147"/>
      <c r="I1108" s="1146"/>
      <c r="J1108" s="1148" t="s">
        <v>221</v>
      </c>
      <c r="K1108" s="1" t="s">
        <v>125</v>
      </c>
      <c r="M1108" s="1" t="s">
        <v>1028</v>
      </c>
    </row>
    <row r="1109" spans="2:13" ht="15" hidden="1" customHeight="1" outlineLevel="1" x14ac:dyDescent="0.25">
      <c r="B1109" s="1142" t="s">
        <v>839</v>
      </c>
      <c r="C1109" s="1143"/>
      <c r="D1109" s="1143" t="s">
        <v>995</v>
      </c>
      <c r="E1109" s="1144">
        <v>0.875</v>
      </c>
      <c r="F1109" s="1145" t="s">
        <v>1660</v>
      </c>
      <c r="G1109" s="1146" t="s">
        <v>1661</v>
      </c>
      <c r="H1109" s="1147"/>
      <c r="I1109" s="1146"/>
      <c r="J1109" s="1148" t="s">
        <v>221</v>
      </c>
      <c r="K1109" s="1" t="s">
        <v>125</v>
      </c>
      <c r="M1109" s="1" t="s">
        <v>1029</v>
      </c>
    </row>
    <row r="1110" spans="2:13" ht="15" hidden="1" customHeight="1" outlineLevel="1" x14ac:dyDescent="0.25">
      <c r="B1110" s="1142" t="s">
        <v>839</v>
      </c>
      <c r="C1110" s="1143"/>
      <c r="D1110" s="1143" t="s">
        <v>996</v>
      </c>
      <c r="E1110" s="1144">
        <v>0</v>
      </c>
      <c r="F1110" s="1145" t="s">
        <v>125</v>
      </c>
      <c r="G1110" s="1146"/>
      <c r="H1110" s="1147"/>
      <c r="I1110" s="1146"/>
      <c r="J1110" s="1148" t="s">
        <v>221</v>
      </c>
      <c r="K1110" s="1" t="s">
        <v>125</v>
      </c>
      <c r="M1110" s="1" t="s">
        <v>999</v>
      </c>
    </row>
    <row r="1111" spans="2:13" ht="15" hidden="1" customHeight="1" outlineLevel="1" x14ac:dyDescent="0.25">
      <c r="B1111" s="1142" t="s">
        <v>839</v>
      </c>
      <c r="C1111" s="1143"/>
      <c r="D1111" s="1143" t="s">
        <v>843</v>
      </c>
      <c r="E1111" s="1144">
        <v>0.54830000000000001</v>
      </c>
      <c r="F1111" s="1145" t="s">
        <v>1660</v>
      </c>
      <c r="G1111" s="1146" t="s">
        <v>683</v>
      </c>
      <c r="H1111" s="1147" t="s">
        <v>1660</v>
      </c>
      <c r="I1111" s="1146" t="s">
        <v>1561</v>
      </c>
      <c r="J1111" s="1148" t="s">
        <v>221</v>
      </c>
      <c r="K1111" s="1" t="s">
        <v>125</v>
      </c>
      <c r="M1111" s="1" t="s">
        <v>1030</v>
      </c>
    </row>
    <row r="1112" spans="2:13" ht="15" hidden="1" customHeight="1" outlineLevel="1" x14ac:dyDescent="0.25">
      <c r="B1112" s="1142" t="s">
        <v>839</v>
      </c>
      <c r="C1112" s="1143"/>
      <c r="D1112" s="1143" t="s">
        <v>843</v>
      </c>
      <c r="E1112" s="1144">
        <v>0.1782</v>
      </c>
      <c r="F1112" s="1145" t="s">
        <v>1660</v>
      </c>
      <c r="G1112" s="1146" t="s">
        <v>683</v>
      </c>
      <c r="H1112" s="1147" t="s">
        <v>1660</v>
      </c>
      <c r="I1112" s="1146" t="s">
        <v>1562</v>
      </c>
      <c r="J1112" s="1148" t="s">
        <v>221</v>
      </c>
      <c r="K1112" s="1" t="s">
        <v>125</v>
      </c>
      <c r="M1112" s="1" t="s">
        <v>1031</v>
      </c>
    </row>
    <row r="1113" spans="2:13" ht="15" hidden="1" customHeight="1" outlineLevel="1" x14ac:dyDescent="0.25">
      <c r="B1113" s="1142" t="s">
        <v>839</v>
      </c>
      <c r="C1113" s="1143"/>
      <c r="D1113" s="1143" t="s">
        <v>846</v>
      </c>
      <c r="E1113" s="1144">
        <v>8.4730000000000008</v>
      </c>
      <c r="F1113" s="1145" t="s">
        <v>1660</v>
      </c>
      <c r="G1113" s="1146" t="s">
        <v>683</v>
      </c>
      <c r="H1113" s="1147" t="s">
        <v>1660</v>
      </c>
      <c r="I1113" s="1146" t="s">
        <v>1564</v>
      </c>
      <c r="J1113" s="1148" t="s">
        <v>221</v>
      </c>
      <c r="K1113" s="1" t="s">
        <v>125</v>
      </c>
      <c r="M1113" s="1" t="s">
        <v>1032</v>
      </c>
    </row>
    <row r="1114" spans="2:13" ht="15" hidden="1" customHeight="1" outlineLevel="1" x14ac:dyDescent="0.25">
      <c r="B1114" s="1142" t="s">
        <v>839</v>
      </c>
      <c r="C1114" s="1143"/>
      <c r="D1114" s="1143" t="s">
        <v>843</v>
      </c>
      <c r="E1114" s="1144">
        <v>2.1709999999999998</v>
      </c>
      <c r="F1114" s="1145" t="s">
        <v>125</v>
      </c>
      <c r="G1114" s="1146"/>
      <c r="H1114" s="1147"/>
      <c r="I1114" s="1146"/>
      <c r="J1114" s="1148" t="s">
        <v>221</v>
      </c>
      <c r="K1114" s="1" t="s">
        <v>125</v>
      </c>
      <c r="M1114" s="1" t="s">
        <v>1033</v>
      </c>
    </row>
    <row r="1115" spans="2:13" ht="15" hidden="1" customHeight="1" outlineLevel="1" x14ac:dyDescent="0.25">
      <c r="B1115" s="1142" t="s">
        <v>839</v>
      </c>
      <c r="C1115" s="1143"/>
      <c r="D1115" s="1143" t="s">
        <v>843</v>
      </c>
      <c r="E1115" s="1144">
        <v>0.48849999999999999</v>
      </c>
      <c r="F1115" s="1145" t="s">
        <v>125</v>
      </c>
      <c r="G1115" s="1146"/>
      <c r="H1115" s="1147"/>
      <c r="I1115" s="1146"/>
      <c r="J1115" s="1148" t="s">
        <v>221</v>
      </c>
      <c r="K1115" s="1" t="s">
        <v>125</v>
      </c>
      <c r="M1115" s="1" t="s">
        <v>1034</v>
      </c>
    </row>
    <row r="1116" spans="2:13" ht="15" hidden="1" customHeight="1" outlineLevel="1" x14ac:dyDescent="0.25">
      <c r="B1116" s="1142" t="s">
        <v>931</v>
      </c>
      <c r="C1116" s="1143"/>
      <c r="D1116" s="1143" t="s">
        <v>932</v>
      </c>
      <c r="E1116" s="1144">
        <v>166.1</v>
      </c>
      <c r="F1116" s="1145" t="s">
        <v>1660</v>
      </c>
      <c r="G1116" s="1146" t="s">
        <v>1661</v>
      </c>
      <c r="H1116" s="1147" t="s">
        <v>1660</v>
      </c>
      <c r="I1116" s="1146" t="s">
        <v>1691</v>
      </c>
      <c r="J1116" s="1148" t="s">
        <v>221</v>
      </c>
      <c r="K1116" s="1" t="s">
        <v>125</v>
      </c>
      <c r="M1116" s="1" t="s">
        <v>1025</v>
      </c>
    </row>
    <row r="1117" spans="2:13" ht="15" hidden="1" customHeight="1" outlineLevel="1" x14ac:dyDescent="0.25">
      <c r="B1117" s="1142" t="s">
        <v>931</v>
      </c>
      <c r="C1117" s="1143"/>
      <c r="D1117" s="1143" t="s">
        <v>947</v>
      </c>
      <c r="E1117" s="1144">
        <v>1.3879999999999999</v>
      </c>
      <c r="F1117" s="1145" t="s">
        <v>1660</v>
      </c>
      <c r="G1117" s="1146" t="s">
        <v>1661</v>
      </c>
      <c r="H1117" s="1147"/>
      <c r="I1117" s="1146"/>
      <c r="J1117" s="1148" t="s">
        <v>221</v>
      </c>
      <c r="K1117" s="1" t="s">
        <v>125</v>
      </c>
      <c r="M1117" s="1" t="s">
        <v>1035</v>
      </c>
    </row>
    <row r="1118" spans="2:13" ht="15" hidden="1" customHeight="1" outlineLevel="1" x14ac:dyDescent="0.25">
      <c r="B1118" s="1142" t="s">
        <v>931</v>
      </c>
      <c r="C1118" s="1143"/>
      <c r="D1118" s="1143" t="s">
        <v>934</v>
      </c>
      <c r="E1118" s="1144">
        <v>41.96</v>
      </c>
      <c r="F1118" s="1145" t="s">
        <v>1660</v>
      </c>
      <c r="G1118" s="1146" t="s">
        <v>2338</v>
      </c>
      <c r="H1118" s="1147" t="s">
        <v>1660</v>
      </c>
      <c r="I1118" s="1146" t="s">
        <v>2325</v>
      </c>
      <c r="J1118" s="1148" t="s">
        <v>935</v>
      </c>
      <c r="K1118" s="1" t="s">
        <v>125</v>
      </c>
      <c r="M1118" s="1" t="s">
        <v>1036</v>
      </c>
    </row>
    <row r="1119" spans="2:13" ht="15" hidden="1" customHeight="1" outlineLevel="1" x14ac:dyDescent="0.25">
      <c r="B1119" s="1142" t="s">
        <v>931</v>
      </c>
      <c r="C1119" s="1143"/>
      <c r="D1119" s="1143" t="s">
        <v>937</v>
      </c>
      <c r="E1119" s="1144">
        <v>20770</v>
      </c>
      <c r="F1119" s="1145" t="s">
        <v>1660</v>
      </c>
      <c r="G1119" s="1146" t="s">
        <v>2339</v>
      </c>
      <c r="H1119" s="1147" t="s">
        <v>1660</v>
      </c>
      <c r="I1119" s="1146" t="s">
        <v>2326</v>
      </c>
      <c r="J1119" s="1148" t="s">
        <v>935</v>
      </c>
      <c r="K1119" s="1" t="s">
        <v>125</v>
      </c>
      <c r="M1119" s="1" t="s">
        <v>1036</v>
      </c>
    </row>
    <row r="1120" spans="2:13" ht="15" hidden="1" customHeight="1" outlineLevel="1" x14ac:dyDescent="0.25">
      <c r="B1120" s="1142" t="s">
        <v>931</v>
      </c>
      <c r="C1120" s="1143"/>
      <c r="D1120" s="1143" t="s">
        <v>938</v>
      </c>
      <c r="E1120" s="1144">
        <v>3434</v>
      </c>
      <c r="F1120" s="1145" t="s">
        <v>1660</v>
      </c>
      <c r="G1120" s="1146" t="s">
        <v>2340</v>
      </c>
      <c r="H1120" s="1147" t="s">
        <v>1660</v>
      </c>
      <c r="I1120" s="1146" t="s">
        <v>2327</v>
      </c>
      <c r="J1120" s="1148" t="s">
        <v>935</v>
      </c>
      <c r="K1120" s="1" t="s">
        <v>125</v>
      </c>
      <c r="M1120" s="1" t="s">
        <v>1036</v>
      </c>
    </row>
    <row r="1121" spans="2:13" ht="15" hidden="1" customHeight="1" outlineLevel="1" x14ac:dyDescent="0.25">
      <c r="B1121" s="1142" t="s">
        <v>931</v>
      </c>
      <c r="C1121" s="1143"/>
      <c r="D1121" s="1143" t="s">
        <v>939</v>
      </c>
      <c r="E1121" s="1144">
        <v>0.7762</v>
      </c>
      <c r="F1121" s="1145" t="s">
        <v>1660</v>
      </c>
      <c r="G1121" s="1146" t="s">
        <v>2341</v>
      </c>
      <c r="H1121" s="1147" t="s">
        <v>1660</v>
      </c>
      <c r="I1121" s="1146" t="s">
        <v>2328</v>
      </c>
      <c r="J1121" s="1148" t="s">
        <v>935</v>
      </c>
      <c r="K1121" s="1" t="s">
        <v>125</v>
      </c>
      <c r="M1121" s="1" t="s">
        <v>1036</v>
      </c>
    </row>
    <row r="1122" spans="2:13" ht="15" hidden="1" customHeight="1" outlineLevel="1" x14ac:dyDescent="0.25">
      <c r="B1122" s="1142" t="s">
        <v>931</v>
      </c>
      <c r="C1122" s="1143"/>
      <c r="D1122" s="1143" t="s">
        <v>940</v>
      </c>
      <c r="E1122" s="1144">
        <v>0</v>
      </c>
      <c r="F1122" s="1145" t="s">
        <v>125</v>
      </c>
      <c r="G1122" s="1146"/>
      <c r="H1122" s="1147"/>
      <c r="I1122" s="1146"/>
      <c r="J1122" s="1148" t="s">
        <v>935</v>
      </c>
      <c r="K1122" s="1" t="s">
        <v>125</v>
      </c>
      <c r="M1122" s="1" t="s">
        <v>1036</v>
      </c>
    </row>
    <row r="1123" spans="2:13" ht="15" hidden="1" customHeight="1" outlineLevel="1" x14ac:dyDescent="0.25">
      <c r="B1123" s="1142" t="s">
        <v>931</v>
      </c>
      <c r="C1123" s="1143"/>
      <c r="D1123" s="1143" t="s">
        <v>941</v>
      </c>
      <c r="E1123" s="1144">
        <v>301.10000000000002</v>
      </c>
      <c r="F1123" s="1145" t="s">
        <v>1660</v>
      </c>
      <c r="G1123" s="1146" t="s">
        <v>2342</v>
      </c>
      <c r="H1123" s="1147" t="s">
        <v>1660</v>
      </c>
      <c r="I1123" s="1146" t="s">
        <v>2329</v>
      </c>
      <c r="J1123" s="1148" t="s">
        <v>935</v>
      </c>
      <c r="K1123" s="1" t="s">
        <v>125</v>
      </c>
      <c r="M1123" s="1" t="s">
        <v>1036</v>
      </c>
    </row>
    <row r="1124" spans="2:13" ht="15" hidden="1" customHeight="1" outlineLevel="1" x14ac:dyDescent="0.25">
      <c r="B1124" s="1142" t="s">
        <v>931</v>
      </c>
      <c r="C1124" s="1143"/>
      <c r="D1124" s="1143" t="s">
        <v>942</v>
      </c>
      <c r="E1124" s="1144">
        <v>27970</v>
      </c>
      <c r="F1124" s="1145" t="s">
        <v>1660</v>
      </c>
      <c r="G1124" s="1146" t="s">
        <v>2343</v>
      </c>
      <c r="H1124" s="1147" t="s">
        <v>1660</v>
      </c>
      <c r="I1124" s="1146" t="s">
        <v>2330</v>
      </c>
      <c r="J1124" s="1148" t="s">
        <v>935</v>
      </c>
      <c r="K1124" s="1" t="s">
        <v>125</v>
      </c>
      <c r="M1124" s="1" t="s">
        <v>1036</v>
      </c>
    </row>
    <row r="1125" spans="2:13" ht="15" hidden="1" customHeight="1" outlineLevel="1" x14ac:dyDescent="0.25">
      <c r="B1125" s="1142" t="s">
        <v>931</v>
      </c>
      <c r="C1125" s="1143"/>
      <c r="D1125" s="1143" t="s">
        <v>932</v>
      </c>
      <c r="E1125" s="1144">
        <v>46.35</v>
      </c>
      <c r="F1125" s="1145" t="s">
        <v>1660</v>
      </c>
      <c r="G1125" s="1146" t="s">
        <v>683</v>
      </c>
      <c r="H1125" s="1147" t="s">
        <v>1660</v>
      </c>
      <c r="I1125" s="1146" t="s">
        <v>1704</v>
      </c>
      <c r="J1125" s="1148" t="s">
        <v>221</v>
      </c>
      <c r="K1125" s="1" t="s">
        <v>125</v>
      </c>
      <c r="M1125" s="1" t="s">
        <v>1032</v>
      </c>
    </row>
    <row r="1126" spans="2:13" ht="15" hidden="1" customHeight="1" outlineLevel="1" x14ac:dyDescent="0.25">
      <c r="B1126" s="1142" t="s">
        <v>931</v>
      </c>
      <c r="C1126" s="1143"/>
      <c r="D1126" s="1143" t="s">
        <v>947</v>
      </c>
      <c r="E1126" s="1144">
        <v>0.4667</v>
      </c>
      <c r="F1126" s="1145" t="s">
        <v>1660</v>
      </c>
      <c r="G1126" s="1146" t="s">
        <v>684</v>
      </c>
      <c r="H1126" s="1147"/>
      <c r="I1126" s="1146"/>
      <c r="J1126" s="1148" t="s">
        <v>221</v>
      </c>
      <c r="K1126" s="1" t="s">
        <v>125</v>
      </c>
      <c r="M1126" s="1" t="s">
        <v>1037</v>
      </c>
    </row>
    <row r="1127" spans="2:13" ht="15" hidden="1" customHeight="1" outlineLevel="1" x14ac:dyDescent="0.25">
      <c r="B1127" s="1142" t="s">
        <v>931</v>
      </c>
      <c r="C1127" s="1143"/>
      <c r="D1127" s="1143" t="s">
        <v>932</v>
      </c>
      <c r="E1127" s="1144">
        <v>183.6</v>
      </c>
      <c r="F1127" s="1145" t="s">
        <v>125</v>
      </c>
      <c r="G1127" s="1146"/>
      <c r="H1127" s="1147"/>
      <c r="I1127" s="1146"/>
      <c r="J1127" s="1148" t="s">
        <v>221</v>
      </c>
      <c r="K1127" s="1" t="s">
        <v>125</v>
      </c>
      <c r="M1127" s="1" t="s">
        <v>1038</v>
      </c>
    </row>
    <row r="1128" spans="2:13" ht="15" hidden="1" customHeight="1" outlineLevel="1" x14ac:dyDescent="0.25">
      <c r="B1128" s="1142" t="s">
        <v>945</v>
      </c>
      <c r="C1128" s="1143" t="s">
        <v>946</v>
      </c>
      <c r="D1128" s="1143" t="s">
        <v>934</v>
      </c>
      <c r="E1128" s="1144">
        <v>1189</v>
      </c>
      <c r="F1128" s="1145" t="s">
        <v>1660</v>
      </c>
      <c r="G1128" s="1146" t="s">
        <v>2344</v>
      </c>
      <c r="H1128" s="1147" t="s">
        <v>1660</v>
      </c>
      <c r="I1128" s="1146" t="s">
        <v>2331</v>
      </c>
      <c r="J1128" s="1148" t="s">
        <v>935</v>
      </c>
      <c r="K1128" s="1" t="s">
        <v>125</v>
      </c>
      <c r="M1128" s="1" t="s">
        <v>1036</v>
      </c>
    </row>
    <row r="1129" spans="2:13" ht="15" hidden="1" customHeight="1" outlineLevel="1" x14ac:dyDescent="0.25">
      <c r="B1129" s="1142" t="s">
        <v>945</v>
      </c>
      <c r="C1129" s="1143" t="s">
        <v>946</v>
      </c>
      <c r="D1129" s="1143" t="s">
        <v>937</v>
      </c>
      <c r="E1129" s="1144">
        <v>140900</v>
      </c>
      <c r="F1129" s="1145" t="s">
        <v>1660</v>
      </c>
      <c r="G1129" s="1146" t="s">
        <v>2345</v>
      </c>
      <c r="H1129" s="1147" t="s">
        <v>1660</v>
      </c>
      <c r="I1129" s="1108" t="s">
        <v>2332</v>
      </c>
      <c r="J1129" s="1148" t="s">
        <v>935</v>
      </c>
      <c r="K1129" s="1" t="s">
        <v>125</v>
      </c>
      <c r="M1129" s="1" t="s">
        <v>1036</v>
      </c>
    </row>
    <row r="1130" spans="2:13" ht="15" hidden="1" customHeight="1" outlineLevel="1" x14ac:dyDescent="0.25">
      <c r="B1130" s="1142" t="s">
        <v>945</v>
      </c>
      <c r="C1130" s="1143" t="s">
        <v>946</v>
      </c>
      <c r="D1130" s="1143" t="s">
        <v>938</v>
      </c>
      <c r="E1130" s="1144">
        <v>-29430</v>
      </c>
      <c r="F1130" s="1145" t="s">
        <v>1660</v>
      </c>
      <c r="G1130" s="1146" t="s">
        <v>2346</v>
      </c>
      <c r="H1130" s="1147" t="s">
        <v>1660</v>
      </c>
      <c r="I1130" s="1146" t="s">
        <v>2333</v>
      </c>
      <c r="J1130" s="1148" t="s">
        <v>935</v>
      </c>
      <c r="K1130" s="1" t="s">
        <v>125</v>
      </c>
      <c r="M1130" s="1" t="s">
        <v>1036</v>
      </c>
    </row>
    <row r="1131" spans="2:13" ht="15" hidden="1" customHeight="1" outlineLevel="1" x14ac:dyDescent="0.25">
      <c r="B1131" s="1142" t="s">
        <v>945</v>
      </c>
      <c r="C1131" s="1143" t="s">
        <v>946</v>
      </c>
      <c r="D1131" s="1143" t="s">
        <v>939</v>
      </c>
      <c r="E1131" s="1144">
        <v>25.9</v>
      </c>
      <c r="F1131" s="1145" t="s">
        <v>1660</v>
      </c>
      <c r="G1131" s="1146" t="s">
        <v>2347</v>
      </c>
      <c r="H1131" s="1147" t="s">
        <v>1660</v>
      </c>
      <c r="I1131" s="1146" t="s">
        <v>2334</v>
      </c>
      <c r="J1131" s="1148" t="s">
        <v>935</v>
      </c>
      <c r="K1131" s="1" t="s">
        <v>125</v>
      </c>
      <c r="M1131" s="1" t="s">
        <v>1036</v>
      </c>
    </row>
    <row r="1132" spans="2:13" ht="15" hidden="1" customHeight="1" outlineLevel="1" x14ac:dyDescent="0.25">
      <c r="B1132" s="1142" t="s">
        <v>945</v>
      </c>
      <c r="C1132" s="1143" t="s">
        <v>946</v>
      </c>
      <c r="D1132" s="1143" t="s">
        <v>940</v>
      </c>
      <c r="E1132" s="1144">
        <v>12820</v>
      </c>
      <c r="F1132" s="1145" t="s">
        <v>1660</v>
      </c>
      <c r="G1132" s="1146" t="s">
        <v>2348</v>
      </c>
      <c r="H1132" s="1147" t="s">
        <v>1660</v>
      </c>
      <c r="I1132" s="1146" t="s">
        <v>2335</v>
      </c>
      <c r="J1132" s="1148" t="s">
        <v>935</v>
      </c>
      <c r="K1132" s="1" t="s">
        <v>125</v>
      </c>
      <c r="M1132" s="1" t="s">
        <v>1036</v>
      </c>
    </row>
    <row r="1133" spans="2:13" ht="15" hidden="1" customHeight="1" outlineLevel="1" x14ac:dyDescent="0.25">
      <c r="B1133" s="1142" t="s">
        <v>945</v>
      </c>
      <c r="C1133" s="1143" t="s">
        <v>946</v>
      </c>
      <c r="D1133" s="1143" t="s">
        <v>941</v>
      </c>
      <c r="E1133" s="1144">
        <v>12960</v>
      </c>
      <c r="F1133" s="1145" t="s">
        <v>1660</v>
      </c>
      <c r="G1133" s="1146" t="s">
        <v>2349</v>
      </c>
      <c r="H1133" s="1147" t="s">
        <v>1660</v>
      </c>
      <c r="I1133" s="1146" t="s">
        <v>2336</v>
      </c>
      <c r="J1133" s="1148" t="s">
        <v>935</v>
      </c>
      <c r="K1133" s="1" t="s">
        <v>125</v>
      </c>
      <c r="M1133" s="1" t="s">
        <v>1036</v>
      </c>
    </row>
    <row r="1134" spans="2:13" ht="15" hidden="1" customHeight="1" outlineLevel="1" x14ac:dyDescent="0.25">
      <c r="B1134" s="1149" t="s">
        <v>945</v>
      </c>
      <c r="C1134" s="1150" t="s">
        <v>946</v>
      </c>
      <c r="D1134" s="1150" t="s">
        <v>942</v>
      </c>
      <c r="E1134" s="1151">
        <v>468900</v>
      </c>
      <c r="F1134" s="1152" t="s">
        <v>1660</v>
      </c>
      <c r="G1134" s="1158" t="s">
        <v>2350</v>
      </c>
      <c r="H1134" s="1154" t="s">
        <v>1660</v>
      </c>
      <c r="I1134" s="1158" t="s">
        <v>2337</v>
      </c>
      <c r="J1134" s="1155" t="s">
        <v>935</v>
      </c>
      <c r="K1134" s="1" t="s">
        <v>125</v>
      </c>
      <c r="M1134" s="1" t="s">
        <v>1036</v>
      </c>
    </row>
    <row r="1136" spans="2:13" ht="15" customHeight="1" collapsed="1" x14ac:dyDescent="0.25">
      <c r="B1136" s="1164" t="s">
        <v>825</v>
      </c>
      <c r="C1136" s="1165"/>
      <c r="D1136" s="1208" t="s">
        <v>1205</v>
      </c>
      <c r="E1136" s="1166">
        <v>2168</v>
      </c>
      <c r="F1136" s="1167" t="s">
        <v>1660</v>
      </c>
      <c r="G1136" s="1168" t="s">
        <v>2096</v>
      </c>
      <c r="H1136" s="1169" t="s">
        <v>125</v>
      </c>
      <c r="I1136" s="1168"/>
      <c r="J1136" s="246" t="s">
        <v>221</v>
      </c>
      <c r="K1136" s="292">
        <v>100</v>
      </c>
    </row>
    <row r="1137" spans="2:13" ht="15" hidden="1" customHeight="1" outlineLevel="1" x14ac:dyDescent="0.25">
      <c r="B1137" s="1137" t="s">
        <v>827</v>
      </c>
      <c r="C1137" s="1138" t="s">
        <v>979</v>
      </c>
      <c r="D1137" s="1138" t="s">
        <v>980</v>
      </c>
      <c r="E1137" s="1139">
        <v>0</v>
      </c>
      <c r="F1137" s="1145" t="s">
        <v>125</v>
      </c>
      <c r="G1137" s="1146"/>
      <c r="H1137" s="1147" t="s">
        <v>125</v>
      </c>
      <c r="I1137" s="954"/>
      <c r="J1137" s="955" t="s">
        <v>186</v>
      </c>
      <c r="K1137" s="1" t="s">
        <v>125</v>
      </c>
      <c r="M1137" s="1" t="s">
        <v>997</v>
      </c>
    </row>
    <row r="1138" spans="2:13" ht="15" hidden="1" customHeight="1" outlineLevel="1" x14ac:dyDescent="0.25">
      <c r="B1138" s="1142" t="s">
        <v>827</v>
      </c>
      <c r="C1138" s="1143" t="s">
        <v>981</v>
      </c>
      <c r="D1138" s="1143" t="s">
        <v>982</v>
      </c>
      <c r="E1138" s="1144">
        <v>10000</v>
      </c>
      <c r="F1138" s="1145" t="s">
        <v>125</v>
      </c>
      <c r="G1138" s="1146"/>
      <c r="H1138" s="1147" t="s">
        <v>125</v>
      </c>
      <c r="I1138" s="1146"/>
      <c r="J1138" s="1148" t="s">
        <v>181</v>
      </c>
      <c r="K1138" s="1" t="s">
        <v>125</v>
      </c>
      <c r="M1138" s="1" t="s">
        <v>998</v>
      </c>
    </row>
    <row r="1139" spans="2:13" ht="15" hidden="1" customHeight="1" outlineLevel="1" x14ac:dyDescent="0.25">
      <c r="B1139" s="1142" t="s">
        <v>827</v>
      </c>
      <c r="C1139" s="1143" t="s">
        <v>981</v>
      </c>
      <c r="D1139" s="1143" t="s">
        <v>983</v>
      </c>
      <c r="E1139" s="1144">
        <v>0</v>
      </c>
      <c r="F1139" s="1145" t="s">
        <v>125</v>
      </c>
      <c r="G1139" s="1146"/>
      <c r="H1139" s="1147" t="s">
        <v>125</v>
      </c>
      <c r="I1139" s="1146"/>
      <c r="J1139" s="1148" t="s">
        <v>182</v>
      </c>
      <c r="K1139" s="1" t="s">
        <v>125</v>
      </c>
      <c r="M1139" s="1" t="s">
        <v>999</v>
      </c>
    </row>
    <row r="1140" spans="2:13" ht="15" hidden="1" customHeight="1" outlineLevel="1" x14ac:dyDescent="0.25">
      <c r="B1140" s="1142" t="s">
        <v>827</v>
      </c>
      <c r="C1140" s="1143" t="s">
        <v>981</v>
      </c>
      <c r="D1140" s="1143" t="s">
        <v>984</v>
      </c>
      <c r="E1140" s="1144">
        <v>0</v>
      </c>
      <c r="F1140" s="1145" t="s">
        <v>125</v>
      </c>
      <c r="G1140" s="1146"/>
      <c r="H1140" s="1147" t="s">
        <v>125</v>
      </c>
      <c r="I1140" s="1146"/>
      <c r="J1140" s="1148" t="s">
        <v>182</v>
      </c>
      <c r="K1140" s="1" t="s">
        <v>125</v>
      </c>
      <c r="M1140" s="1" t="s">
        <v>999</v>
      </c>
    </row>
    <row r="1141" spans="2:13" ht="15" hidden="1" customHeight="1" outlineLevel="1" x14ac:dyDescent="0.25">
      <c r="B1141" s="1142" t="s">
        <v>827</v>
      </c>
      <c r="C1141" s="1143" t="s">
        <v>981</v>
      </c>
      <c r="D1141" s="1143" t="s">
        <v>985</v>
      </c>
      <c r="E1141" s="1144">
        <v>0</v>
      </c>
      <c r="F1141" s="1145" t="s">
        <v>125</v>
      </c>
      <c r="G1141" s="1146"/>
      <c r="H1141" s="1147" t="s">
        <v>125</v>
      </c>
      <c r="I1141" s="1146"/>
      <c r="J1141" s="1148" t="s">
        <v>182</v>
      </c>
      <c r="K1141" s="1" t="s">
        <v>125</v>
      </c>
      <c r="M1141" s="1" t="s">
        <v>999</v>
      </c>
    </row>
    <row r="1142" spans="2:13" ht="15" hidden="1" customHeight="1" outlineLevel="1" x14ac:dyDescent="0.25">
      <c r="B1142" s="1142" t="s">
        <v>827</v>
      </c>
      <c r="C1142" s="1143" t="s">
        <v>981</v>
      </c>
      <c r="D1142" s="1143" t="s">
        <v>986</v>
      </c>
      <c r="E1142" s="1144">
        <v>0</v>
      </c>
      <c r="F1142" s="1145" t="s">
        <v>125</v>
      </c>
      <c r="G1142" s="1146"/>
      <c r="H1142" s="1147" t="s">
        <v>125</v>
      </c>
      <c r="I1142" s="1146"/>
      <c r="J1142" s="1148" t="s">
        <v>182</v>
      </c>
      <c r="K1142" s="1" t="s">
        <v>125</v>
      </c>
      <c r="M1142" s="1" t="s">
        <v>999</v>
      </c>
    </row>
    <row r="1143" spans="2:13" ht="15" hidden="1" customHeight="1" outlineLevel="1" x14ac:dyDescent="0.25">
      <c r="B1143" s="1142" t="s">
        <v>827</v>
      </c>
      <c r="C1143" s="1143" t="s">
        <v>981</v>
      </c>
      <c r="D1143" s="1143" t="s">
        <v>987</v>
      </c>
      <c r="E1143" s="1144">
        <v>0</v>
      </c>
      <c r="F1143" s="1145" t="s">
        <v>125</v>
      </c>
      <c r="G1143" s="1146"/>
      <c r="H1143" s="1147" t="s">
        <v>125</v>
      </c>
      <c r="I1143" s="1146"/>
      <c r="J1143" s="1148" t="s">
        <v>182</v>
      </c>
      <c r="K1143" s="1" t="s">
        <v>125</v>
      </c>
      <c r="M1143" s="1" t="s">
        <v>999</v>
      </c>
    </row>
    <row r="1144" spans="2:13" ht="15" hidden="1" customHeight="1" outlineLevel="1" x14ac:dyDescent="0.25">
      <c r="B1144" s="1142" t="s">
        <v>830</v>
      </c>
      <c r="C1144" s="1143"/>
      <c r="D1144" s="1143" t="s">
        <v>665</v>
      </c>
      <c r="E1144" s="1144">
        <v>3522</v>
      </c>
      <c r="F1144" s="1145" t="s">
        <v>1660</v>
      </c>
      <c r="G1144" s="1146" t="s">
        <v>726</v>
      </c>
      <c r="H1144" s="1147" t="s">
        <v>125</v>
      </c>
      <c r="I1144" s="1146"/>
      <c r="J1144" s="1148" t="s">
        <v>221</v>
      </c>
      <c r="K1144" s="1" t="s">
        <v>125</v>
      </c>
      <c r="M1144" s="1" t="s">
        <v>1000</v>
      </c>
    </row>
    <row r="1145" spans="2:13" ht="15" hidden="1" customHeight="1" outlineLevel="1" x14ac:dyDescent="0.25">
      <c r="B1145" s="1142" t="s">
        <v>830</v>
      </c>
      <c r="C1145" s="1143"/>
      <c r="D1145" s="1143" t="s">
        <v>673</v>
      </c>
      <c r="E1145" s="1144">
        <v>308.89999999999998</v>
      </c>
      <c r="F1145" s="1145" t="s">
        <v>1660</v>
      </c>
      <c r="G1145" s="1146" t="s">
        <v>723</v>
      </c>
      <c r="H1145" s="1147" t="s">
        <v>125</v>
      </c>
      <c r="I1145" s="1146"/>
      <c r="J1145" s="1148" t="s">
        <v>221</v>
      </c>
      <c r="K1145" s="1" t="s">
        <v>125</v>
      </c>
      <c r="M1145" s="1" t="s">
        <v>1001</v>
      </c>
    </row>
    <row r="1146" spans="2:13" ht="15" hidden="1" customHeight="1" outlineLevel="1" x14ac:dyDescent="0.25">
      <c r="B1146" s="1142" t="s">
        <v>830</v>
      </c>
      <c r="C1146" s="1143"/>
      <c r="D1146" s="1143" t="s">
        <v>653</v>
      </c>
      <c r="E1146" s="1144">
        <v>22.81</v>
      </c>
      <c r="F1146" s="1145" t="s">
        <v>1660</v>
      </c>
      <c r="G1146" s="1146" t="s">
        <v>1661</v>
      </c>
      <c r="H1146" s="1147" t="s">
        <v>125</v>
      </c>
      <c r="I1146" s="1146"/>
      <c r="J1146" s="1148" t="s">
        <v>221</v>
      </c>
      <c r="K1146" s="1" t="s">
        <v>125</v>
      </c>
      <c r="M1146" s="1" t="s">
        <v>1206</v>
      </c>
    </row>
    <row r="1147" spans="2:13" ht="15" hidden="1" customHeight="1" outlineLevel="1" x14ac:dyDescent="0.25">
      <c r="B1147" s="1142" t="s">
        <v>830</v>
      </c>
      <c r="C1147" s="1143"/>
      <c r="D1147" s="1143" t="s">
        <v>654</v>
      </c>
      <c r="E1147" s="1144">
        <v>8.8729999999999993</v>
      </c>
      <c r="F1147" s="1145" t="s">
        <v>1660</v>
      </c>
      <c r="G1147" s="1146" t="s">
        <v>1661</v>
      </c>
      <c r="H1147" s="1147" t="s">
        <v>125</v>
      </c>
      <c r="I1147" s="1146"/>
      <c r="J1147" s="1148" t="s">
        <v>221</v>
      </c>
      <c r="K1147" s="1" t="s">
        <v>125</v>
      </c>
      <c r="M1147" s="1" t="s">
        <v>1207</v>
      </c>
    </row>
    <row r="1148" spans="2:13" ht="15" hidden="1" customHeight="1" outlineLevel="1" x14ac:dyDescent="0.25">
      <c r="B1148" s="1142" t="s">
        <v>830</v>
      </c>
      <c r="C1148" s="1143"/>
      <c r="D1148" s="1143" t="s">
        <v>652</v>
      </c>
      <c r="E1148" s="1144">
        <v>65.92</v>
      </c>
      <c r="F1148" s="1145" t="s">
        <v>1660</v>
      </c>
      <c r="G1148" s="1146" t="s">
        <v>1661</v>
      </c>
      <c r="H1148" s="1147" t="s">
        <v>125</v>
      </c>
      <c r="I1148" s="1146"/>
      <c r="J1148" s="1148" t="s">
        <v>221</v>
      </c>
      <c r="K1148" s="1" t="s">
        <v>125</v>
      </c>
      <c r="M1148" s="1" t="s">
        <v>1208</v>
      </c>
    </row>
    <row r="1149" spans="2:13" ht="15" hidden="1" customHeight="1" outlineLevel="1" x14ac:dyDescent="0.25">
      <c r="B1149" s="1142" t="s">
        <v>830</v>
      </c>
      <c r="C1149" s="1143"/>
      <c r="D1149" s="1143" t="s">
        <v>650</v>
      </c>
      <c r="E1149" s="1144">
        <v>28.47</v>
      </c>
      <c r="F1149" s="1145" t="s">
        <v>1660</v>
      </c>
      <c r="G1149" s="1146" t="s">
        <v>1661</v>
      </c>
      <c r="H1149" s="1147" t="s">
        <v>125</v>
      </c>
      <c r="I1149" s="1146"/>
      <c r="J1149" s="1148" t="s">
        <v>221</v>
      </c>
      <c r="K1149" s="1" t="s">
        <v>125</v>
      </c>
      <c r="M1149" s="1" t="s">
        <v>1209</v>
      </c>
    </row>
    <row r="1150" spans="2:13" ht="15" hidden="1" customHeight="1" outlineLevel="1" x14ac:dyDescent="0.25">
      <c r="B1150" s="1142" t="s">
        <v>830</v>
      </c>
      <c r="C1150" s="1143"/>
      <c r="D1150" s="1143" t="s">
        <v>649</v>
      </c>
      <c r="E1150" s="1144">
        <v>16.34</v>
      </c>
      <c r="F1150" s="1145" t="s">
        <v>1660</v>
      </c>
      <c r="G1150" s="1146" t="s">
        <v>1661</v>
      </c>
      <c r="H1150" s="1147" t="s">
        <v>125</v>
      </c>
      <c r="I1150" s="1146"/>
      <c r="J1150" s="1148" t="s">
        <v>221</v>
      </c>
      <c r="K1150" s="1" t="s">
        <v>125</v>
      </c>
      <c r="M1150" s="1" t="s">
        <v>1210</v>
      </c>
    </row>
    <row r="1151" spans="2:13" ht="15" hidden="1" customHeight="1" outlineLevel="1" x14ac:dyDescent="0.25">
      <c r="B1151" s="1142" t="s">
        <v>830</v>
      </c>
      <c r="C1151" s="1143"/>
      <c r="D1151" s="1143" t="s">
        <v>648</v>
      </c>
      <c r="E1151" s="1144">
        <v>24.63</v>
      </c>
      <c r="F1151" s="1145" t="s">
        <v>1660</v>
      </c>
      <c r="G1151" s="1146" t="s">
        <v>1661</v>
      </c>
      <c r="H1151" s="1147" t="s">
        <v>125</v>
      </c>
      <c r="I1151" s="1146"/>
      <c r="J1151" s="1148" t="s">
        <v>221</v>
      </c>
      <c r="K1151" s="1" t="s">
        <v>125</v>
      </c>
      <c r="M1151" s="1" t="s">
        <v>1211</v>
      </c>
    </row>
    <row r="1152" spans="2:13" ht="15" hidden="1" customHeight="1" outlineLevel="1" x14ac:dyDescent="0.25">
      <c r="B1152" s="1142" t="s">
        <v>830</v>
      </c>
      <c r="C1152" s="1143"/>
      <c r="D1152" s="1143" t="s">
        <v>657</v>
      </c>
      <c r="E1152" s="1144">
        <v>9.9909999999999997</v>
      </c>
      <c r="F1152" s="1145" t="s">
        <v>1660</v>
      </c>
      <c r="G1152" s="1146" t="s">
        <v>1661</v>
      </c>
      <c r="H1152" s="1147" t="s">
        <v>125</v>
      </c>
      <c r="I1152" s="1146"/>
      <c r="J1152" s="1148" t="s">
        <v>221</v>
      </c>
      <c r="K1152" s="1" t="s">
        <v>125</v>
      </c>
      <c r="M1152" s="1" t="s">
        <v>1212</v>
      </c>
    </row>
    <row r="1153" spans="2:13" ht="15" hidden="1" customHeight="1" outlineLevel="1" x14ac:dyDescent="0.25">
      <c r="B1153" s="1142" t="s">
        <v>830</v>
      </c>
      <c r="C1153" s="1143"/>
      <c r="D1153" s="1143" t="s">
        <v>656</v>
      </c>
      <c r="E1153" s="1144">
        <v>0.16769999999999999</v>
      </c>
      <c r="F1153" s="1145" t="s">
        <v>1660</v>
      </c>
      <c r="G1153" s="1146" t="s">
        <v>1661</v>
      </c>
      <c r="H1153" s="1147" t="s">
        <v>125</v>
      </c>
      <c r="I1153" s="1146"/>
      <c r="J1153" s="1148" t="s">
        <v>221</v>
      </c>
      <c r="K1153" s="1" t="s">
        <v>125</v>
      </c>
      <c r="M1153" s="1" t="s">
        <v>1213</v>
      </c>
    </row>
    <row r="1154" spans="2:13" ht="15" hidden="1" customHeight="1" outlineLevel="1" x14ac:dyDescent="0.25">
      <c r="B1154" s="1142" t="s">
        <v>830</v>
      </c>
      <c r="C1154" s="1143"/>
      <c r="D1154" s="1143" t="s">
        <v>655</v>
      </c>
      <c r="E1154" s="1144">
        <v>3.1080000000000001</v>
      </c>
      <c r="F1154" s="1145" t="s">
        <v>1660</v>
      </c>
      <c r="G1154" s="1146" t="s">
        <v>1661</v>
      </c>
      <c r="H1154" s="1147" t="s">
        <v>125</v>
      </c>
      <c r="I1154" s="1146"/>
      <c r="J1154" s="1148" t="s">
        <v>221</v>
      </c>
      <c r="K1154" s="1" t="s">
        <v>125</v>
      </c>
      <c r="M1154" s="1" t="s">
        <v>1214</v>
      </c>
    </row>
    <row r="1155" spans="2:13" ht="15" hidden="1" customHeight="1" outlineLevel="1" x14ac:dyDescent="0.25">
      <c r="B1155" s="1142" t="s">
        <v>830</v>
      </c>
      <c r="C1155" s="1143"/>
      <c r="D1155" s="1143" t="s">
        <v>658</v>
      </c>
      <c r="E1155" s="1144">
        <v>62.03</v>
      </c>
      <c r="F1155" s="1145" t="s">
        <v>1660</v>
      </c>
      <c r="G1155" s="1146" t="s">
        <v>1661</v>
      </c>
      <c r="H1155" s="1147" t="s">
        <v>125</v>
      </c>
      <c r="I1155" s="1146"/>
      <c r="J1155" s="1148" t="s">
        <v>221</v>
      </c>
      <c r="K1155" s="1" t="s">
        <v>125</v>
      </c>
      <c r="M1155" s="1" t="s">
        <v>1215</v>
      </c>
    </row>
    <row r="1156" spans="2:13" ht="15" hidden="1" customHeight="1" outlineLevel="1" x14ac:dyDescent="0.25">
      <c r="B1156" s="1142" t="s">
        <v>830</v>
      </c>
      <c r="C1156" s="1143"/>
      <c r="D1156" s="1143" t="s">
        <v>659</v>
      </c>
      <c r="E1156" s="1144">
        <v>4.194</v>
      </c>
      <c r="F1156" s="1145" t="s">
        <v>1660</v>
      </c>
      <c r="G1156" s="1146" t="s">
        <v>1661</v>
      </c>
      <c r="H1156" s="1147" t="s">
        <v>125</v>
      </c>
      <c r="I1156" s="1146"/>
      <c r="J1156" s="1148" t="s">
        <v>221</v>
      </c>
      <c r="K1156" s="1" t="s">
        <v>125</v>
      </c>
      <c r="M1156" s="1" t="s">
        <v>1216</v>
      </c>
    </row>
    <row r="1157" spans="2:13" ht="15" hidden="1" customHeight="1" outlineLevel="1" x14ac:dyDescent="0.25">
      <c r="B1157" s="1142" t="s">
        <v>830</v>
      </c>
      <c r="C1157" s="1143"/>
      <c r="D1157" s="1143" t="s">
        <v>988</v>
      </c>
      <c r="E1157" s="1144">
        <v>1</v>
      </c>
      <c r="F1157" s="1145" t="s">
        <v>125</v>
      </c>
      <c r="G1157" s="1146"/>
      <c r="H1157" s="1147" t="s">
        <v>125</v>
      </c>
      <c r="I1157" s="1146"/>
      <c r="J1157" s="1148" t="s">
        <v>188</v>
      </c>
      <c r="K1157" s="1" t="s">
        <v>125</v>
      </c>
      <c r="M1157" s="1" t="s">
        <v>1013</v>
      </c>
    </row>
    <row r="1158" spans="2:13" ht="15" hidden="1" customHeight="1" outlineLevel="1" x14ac:dyDescent="0.25">
      <c r="B1158" s="1142" t="s">
        <v>830</v>
      </c>
      <c r="C1158" s="1143"/>
      <c r="D1158" s="1143" t="s">
        <v>662</v>
      </c>
      <c r="E1158" s="1144">
        <v>400</v>
      </c>
      <c r="F1158" s="1145" t="s">
        <v>125</v>
      </c>
      <c r="G1158" s="1146"/>
      <c r="H1158" s="1147" t="s">
        <v>125</v>
      </c>
      <c r="I1158" s="1146"/>
      <c r="J1158" s="1148" t="s">
        <v>221</v>
      </c>
      <c r="K1158" s="1" t="s">
        <v>125</v>
      </c>
      <c r="M1158" s="1" t="s">
        <v>1014</v>
      </c>
    </row>
    <row r="1159" spans="2:13" ht="15" hidden="1" customHeight="1" outlineLevel="1" x14ac:dyDescent="0.25">
      <c r="B1159" s="1142" t="s">
        <v>830</v>
      </c>
      <c r="C1159" s="1143"/>
      <c r="D1159" s="1143" t="s">
        <v>1217</v>
      </c>
      <c r="E1159" s="1144">
        <v>27.08</v>
      </c>
      <c r="F1159" s="1145" t="s">
        <v>125</v>
      </c>
      <c r="G1159" s="1146"/>
      <c r="H1159" s="1147" t="s">
        <v>125</v>
      </c>
      <c r="I1159" s="1146"/>
      <c r="J1159" s="1148" t="s">
        <v>221</v>
      </c>
      <c r="K1159" s="1" t="s">
        <v>125</v>
      </c>
      <c r="M1159" s="1" t="s">
        <v>1052</v>
      </c>
    </row>
    <row r="1160" spans="2:13" ht="15" hidden="1" customHeight="1" outlineLevel="1" x14ac:dyDescent="0.25">
      <c r="B1160" s="1142" t="s">
        <v>830</v>
      </c>
      <c r="C1160" s="1143"/>
      <c r="D1160" s="1143" t="s">
        <v>990</v>
      </c>
      <c r="E1160" s="1144">
        <v>114.9</v>
      </c>
      <c r="F1160" s="1145" t="s">
        <v>1660</v>
      </c>
      <c r="G1160" s="1146" t="s">
        <v>722</v>
      </c>
      <c r="H1160" s="1147" t="s">
        <v>125</v>
      </c>
      <c r="I1160" s="1146"/>
      <c r="J1160" s="1148" t="s">
        <v>836</v>
      </c>
      <c r="K1160" s="1" t="s">
        <v>125</v>
      </c>
      <c r="M1160" s="1" t="s">
        <v>1015</v>
      </c>
    </row>
    <row r="1161" spans="2:13" ht="15" hidden="1" customHeight="1" outlineLevel="1" x14ac:dyDescent="0.25">
      <c r="B1161" s="1142" t="s">
        <v>830</v>
      </c>
      <c r="C1161" s="1143"/>
      <c r="D1161" s="1143" t="s">
        <v>990</v>
      </c>
      <c r="E1161" s="1144">
        <v>33.99</v>
      </c>
      <c r="F1161" s="1145" t="s">
        <v>1660</v>
      </c>
      <c r="G1161" s="1146" t="s">
        <v>2097</v>
      </c>
      <c r="H1161" s="1147" t="s">
        <v>125</v>
      </c>
      <c r="I1161" s="1146"/>
      <c r="J1161" s="1148" t="s">
        <v>836</v>
      </c>
      <c r="K1161" s="1" t="s">
        <v>125</v>
      </c>
      <c r="M1161" s="1" t="s">
        <v>1016</v>
      </c>
    </row>
    <row r="1162" spans="2:13" ht="15" hidden="1" customHeight="1" outlineLevel="1" x14ac:dyDescent="0.25">
      <c r="B1162" s="1142" t="s">
        <v>830</v>
      </c>
      <c r="C1162" s="1143"/>
      <c r="D1162" s="1143" t="s">
        <v>675</v>
      </c>
      <c r="E1162" s="1144">
        <v>0.32240000000000002</v>
      </c>
      <c r="F1162" s="1145" t="s">
        <v>1660</v>
      </c>
      <c r="G1162" s="1146" t="s">
        <v>1661</v>
      </c>
      <c r="H1162" s="1147" t="s">
        <v>125</v>
      </c>
      <c r="I1162" s="1146"/>
      <c r="J1162" s="1148" t="s">
        <v>221</v>
      </c>
      <c r="K1162" s="1" t="s">
        <v>125</v>
      </c>
      <c r="M1162" s="1" t="s">
        <v>1017</v>
      </c>
    </row>
    <row r="1163" spans="2:13" ht="15" hidden="1" customHeight="1" outlineLevel="1" x14ac:dyDescent="0.25">
      <c r="B1163" s="1142" t="s">
        <v>830</v>
      </c>
      <c r="C1163" s="1143"/>
      <c r="D1163" s="1143" t="s">
        <v>676</v>
      </c>
      <c r="E1163" s="1144">
        <v>2.427</v>
      </c>
      <c r="F1163" s="1145" t="s">
        <v>1660</v>
      </c>
      <c r="G1163" s="1146" t="s">
        <v>1661</v>
      </c>
      <c r="H1163" s="1147" t="s">
        <v>125</v>
      </c>
      <c r="I1163" s="1146"/>
      <c r="J1163" s="1148" t="s">
        <v>221</v>
      </c>
      <c r="K1163" s="1" t="s">
        <v>125</v>
      </c>
      <c r="M1163" s="1" t="s">
        <v>1018</v>
      </c>
    </row>
    <row r="1164" spans="2:13" ht="15" hidden="1" customHeight="1" outlineLevel="1" x14ac:dyDescent="0.25">
      <c r="B1164" s="1142" t="s">
        <v>830</v>
      </c>
      <c r="C1164" s="1143"/>
      <c r="D1164" s="1143" t="s">
        <v>678</v>
      </c>
      <c r="E1164" s="1144">
        <v>3.3940000000000001</v>
      </c>
      <c r="F1164" s="1145" t="s">
        <v>1660</v>
      </c>
      <c r="G1164" s="1146" t="s">
        <v>1661</v>
      </c>
      <c r="H1164" s="1147" t="s">
        <v>125</v>
      </c>
      <c r="I1164" s="1146"/>
      <c r="J1164" s="1148" t="s">
        <v>221</v>
      </c>
      <c r="K1164" s="1" t="s">
        <v>125</v>
      </c>
      <c r="M1164" s="1" t="s">
        <v>1019</v>
      </c>
    </row>
    <row r="1165" spans="2:13" ht="15" hidden="1" customHeight="1" outlineLevel="1" x14ac:dyDescent="0.25">
      <c r="B1165" s="1142" t="s">
        <v>830</v>
      </c>
      <c r="C1165" s="1143"/>
      <c r="D1165" s="1143" t="s">
        <v>991</v>
      </c>
      <c r="E1165" s="1144">
        <v>0.32240000000000002</v>
      </c>
      <c r="F1165" s="1145" t="s">
        <v>1660</v>
      </c>
      <c r="G1165" s="1146" t="s">
        <v>1661</v>
      </c>
      <c r="H1165" s="1147" t="s">
        <v>125</v>
      </c>
      <c r="I1165" s="1146"/>
      <c r="J1165" s="1148" t="s">
        <v>221</v>
      </c>
      <c r="K1165" s="1" t="s">
        <v>125</v>
      </c>
      <c r="M1165" s="1" t="s">
        <v>1020</v>
      </c>
    </row>
    <row r="1166" spans="2:13" ht="15" hidden="1" customHeight="1" outlineLevel="1" x14ac:dyDescent="0.25">
      <c r="B1166" s="1142" t="s">
        <v>830</v>
      </c>
      <c r="C1166" s="1143"/>
      <c r="D1166" s="1143" t="s">
        <v>992</v>
      </c>
      <c r="E1166" s="1144">
        <v>2.427</v>
      </c>
      <c r="F1166" s="1145" t="s">
        <v>1660</v>
      </c>
      <c r="G1166" s="1146" t="s">
        <v>1661</v>
      </c>
      <c r="H1166" s="1147" t="s">
        <v>125</v>
      </c>
      <c r="I1166" s="1146"/>
      <c r="J1166" s="1148" t="s">
        <v>221</v>
      </c>
      <c r="K1166" s="1" t="s">
        <v>125</v>
      </c>
      <c r="M1166" s="1" t="s">
        <v>1021</v>
      </c>
    </row>
    <row r="1167" spans="2:13" ht="15" hidden="1" customHeight="1" outlineLevel="1" x14ac:dyDescent="0.25">
      <c r="B1167" s="1142" t="s">
        <v>830</v>
      </c>
      <c r="C1167" s="1143"/>
      <c r="D1167" s="1143" t="s">
        <v>993</v>
      </c>
      <c r="E1167" s="1144">
        <v>3.3940000000000001</v>
      </c>
      <c r="F1167" s="1145" t="s">
        <v>1660</v>
      </c>
      <c r="G1167" s="1146" t="s">
        <v>1661</v>
      </c>
      <c r="H1167" s="1147" t="s">
        <v>125</v>
      </c>
      <c r="I1167" s="1146"/>
      <c r="J1167" s="1148" t="s">
        <v>221</v>
      </c>
      <c r="K1167" s="1" t="s">
        <v>125</v>
      </c>
      <c r="M1167" s="1" t="s">
        <v>1022</v>
      </c>
    </row>
    <row r="1168" spans="2:13" ht="15" hidden="1" customHeight="1" outlineLevel="1" x14ac:dyDescent="0.25">
      <c r="B1168" s="1142" t="s">
        <v>994</v>
      </c>
      <c r="C1168" s="1143"/>
      <c r="D1168" s="1143" t="s">
        <v>834</v>
      </c>
      <c r="E1168" s="1144">
        <v>3594</v>
      </c>
      <c r="F1168" s="1145" t="s">
        <v>1660</v>
      </c>
      <c r="G1168" s="1146" t="s">
        <v>718</v>
      </c>
      <c r="H1168" s="1147" t="s">
        <v>125</v>
      </c>
      <c r="I1168" s="1146"/>
      <c r="J1168" s="1148" t="s">
        <v>304</v>
      </c>
      <c r="K1168" s="1" t="s">
        <v>125</v>
      </c>
      <c r="M1168" s="1" t="s">
        <v>1023</v>
      </c>
    </row>
    <row r="1169" spans="2:13" ht="15" hidden="1" customHeight="1" outlineLevel="1" x14ac:dyDescent="0.25">
      <c r="B1169" s="1142" t="s">
        <v>839</v>
      </c>
      <c r="C1169" s="1143"/>
      <c r="D1169" s="1143" t="s">
        <v>925</v>
      </c>
      <c r="E1169" s="1144">
        <v>176</v>
      </c>
      <c r="F1169" s="1145" t="s">
        <v>125</v>
      </c>
      <c r="G1169" s="1146"/>
      <c r="H1169" s="1147" t="s">
        <v>125</v>
      </c>
      <c r="I1169" s="1146"/>
      <c r="J1169" s="1148" t="s">
        <v>221</v>
      </c>
      <c r="K1169" s="1" t="s">
        <v>125</v>
      </c>
      <c r="M1169" s="1" t="s">
        <v>1024</v>
      </c>
    </row>
    <row r="1170" spans="2:13" ht="15" hidden="1" customHeight="1" outlineLevel="1" x14ac:dyDescent="0.25">
      <c r="B1170" s="1142" t="s">
        <v>839</v>
      </c>
      <c r="C1170" s="1143"/>
      <c r="D1170" s="1143" t="s">
        <v>925</v>
      </c>
      <c r="E1170" s="1144">
        <v>22.45</v>
      </c>
      <c r="F1170" s="1145" t="s">
        <v>1660</v>
      </c>
      <c r="G1170" s="1146" t="s">
        <v>1661</v>
      </c>
      <c r="H1170" s="1147" t="s">
        <v>125</v>
      </c>
      <c r="I1170" s="1146"/>
      <c r="J1170" s="1148" t="s">
        <v>221</v>
      </c>
      <c r="K1170" s="1" t="s">
        <v>125</v>
      </c>
      <c r="M1170" s="1" t="s">
        <v>1025</v>
      </c>
    </row>
    <row r="1171" spans="2:13" ht="15" hidden="1" customHeight="1" outlineLevel="1" x14ac:dyDescent="0.25">
      <c r="B1171" s="1142" t="s">
        <v>839</v>
      </c>
      <c r="C1171" s="1143"/>
      <c r="D1171" s="1143" t="s">
        <v>843</v>
      </c>
      <c r="E1171" s="1144">
        <v>0.70709999999999995</v>
      </c>
      <c r="F1171" s="1145" t="s">
        <v>1660</v>
      </c>
      <c r="G1171" s="1146" t="s">
        <v>1661</v>
      </c>
      <c r="H1171" s="1147" t="s">
        <v>1660</v>
      </c>
      <c r="I1171" s="1146" t="s">
        <v>1558</v>
      </c>
      <c r="J1171" s="1148" t="s">
        <v>221</v>
      </c>
      <c r="K1171" s="1" t="s">
        <v>125</v>
      </c>
      <c r="M1171" s="1" t="s">
        <v>1026</v>
      </c>
    </row>
    <row r="1172" spans="2:13" ht="15" hidden="1" customHeight="1" outlineLevel="1" x14ac:dyDescent="0.25">
      <c r="B1172" s="1142" t="s">
        <v>839</v>
      </c>
      <c r="C1172" s="1143"/>
      <c r="D1172" s="1143" t="s">
        <v>843</v>
      </c>
      <c r="E1172" s="1144">
        <v>0.2298</v>
      </c>
      <c r="F1172" s="1145" t="s">
        <v>1660</v>
      </c>
      <c r="G1172" s="1146" t="s">
        <v>1661</v>
      </c>
      <c r="H1172" s="1147" t="s">
        <v>1660</v>
      </c>
      <c r="I1172" s="1146" t="s">
        <v>2098</v>
      </c>
      <c r="J1172" s="1148" t="s">
        <v>221</v>
      </c>
      <c r="K1172" s="1" t="s">
        <v>125</v>
      </c>
      <c r="M1172" s="1" t="s">
        <v>1027</v>
      </c>
    </row>
    <row r="1173" spans="2:13" ht="15" hidden="1" customHeight="1" outlineLevel="1" x14ac:dyDescent="0.25">
      <c r="B1173" s="1142" t="s">
        <v>839</v>
      </c>
      <c r="C1173" s="1143"/>
      <c r="D1173" s="1143" t="s">
        <v>846</v>
      </c>
      <c r="E1173" s="1144">
        <v>3.0310000000000001</v>
      </c>
      <c r="F1173" s="1145" t="s">
        <v>1660</v>
      </c>
      <c r="G1173" s="1146" t="s">
        <v>1661</v>
      </c>
      <c r="H1173" s="1147" t="s">
        <v>125</v>
      </c>
      <c r="I1173" s="1146"/>
      <c r="J1173" s="1148" t="s">
        <v>221</v>
      </c>
      <c r="K1173" s="1" t="s">
        <v>125</v>
      </c>
      <c r="M1173" s="1" t="s">
        <v>1028</v>
      </c>
    </row>
    <row r="1174" spans="2:13" ht="15" hidden="1" customHeight="1" outlineLevel="1" x14ac:dyDescent="0.25">
      <c r="B1174" s="1142" t="s">
        <v>839</v>
      </c>
      <c r="C1174" s="1143"/>
      <c r="D1174" s="1143" t="s">
        <v>995</v>
      </c>
      <c r="E1174" s="1144">
        <v>0.315</v>
      </c>
      <c r="F1174" s="1145" t="s">
        <v>1660</v>
      </c>
      <c r="G1174" s="1146" t="s">
        <v>1661</v>
      </c>
      <c r="H1174" s="1147" t="s">
        <v>125</v>
      </c>
      <c r="I1174" s="1146"/>
      <c r="J1174" s="1148" t="s">
        <v>221</v>
      </c>
      <c r="K1174" s="1" t="s">
        <v>125</v>
      </c>
      <c r="M1174" s="1" t="s">
        <v>1029</v>
      </c>
    </row>
    <row r="1175" spans="2:13" ht="15" hidden="1" customHeight="1" outlineLevel="1" x14ac:dyDescent="0.25">
      <c r="B1175" s="1142" t="s">
        <v>839</v>
      </c>
      <c r="C1175" s="1143"/>
      <c r="D1175" s="1143" t="s">
        <v>996</v>
      </c>
      <c r="E1175" s="1144">
        <v>0</v>
      </c>
      <c r="F1175" s="1145" t="s">
        <v>125</v>
      </c>
      <c r="G1175" s="1146"/>
      <c r="H1175" s="1147" t="s">
        <v>125</v>
      </c>
      <c r="I1175" s="1146"/>
      <c r="J1175" s="1148" t="s">
        <v>221</v>
      </c>
      <c r="K1175" s="1" t="s">
        <v>125</v>
      </c>
      <c r="M1175" s="1" t="s">
        <v>999</v>
      </c>
    </row>
    <row r="1176" spans="2:13" ht="15" hidden="1" customHeight="1" outlineLevel="1" x14ac:dyDescent="0.25">
      <c r="B1176" s="1142" t="s">
        <v>839</v>
      </c>
      <c r="C1176" s="1143"/>
      <c r="D1176" s="1143" t="s">
        <v>843</v>
      </c>
      <c r="E1176" s="1144">
        <v>0.54830000000000001</v>
      </c>
      <c r="F1176" s="1145" t="s">
        <v>1660</v>
      </c>
      <c r="G1176" s="1146" t="s">
        <v>683</v>
      </c>
      <c r="H1176" s="1147" t="s">
        <v>1660</v>
      </c>
      <c r="I1176" s="1146" t="s">
        <v>1561</v>
      </c>
      <c r="J1176" s="1148" t="s">
        <v>221</v>
      </c>
      <c r="K1176" s="1" t="s">
        <v>125</v>
      </c>
      <c r="M1176" s="1" t="s">
        <v>1030</v>
      </c>
    </row>
    <row r="1177" spans="2:13" ht="15" hidden="1" customHeight="1" outlineLevel="1" x14ac:dyDescent="0.25">
      <c r="B1177" s="1142" t="s">
        <v>839</v>
      </c>
      <c r="C1177" s="1143"/>
      <c r="D1177" s="1143" t="s">
        <v>843</v>
      </c>
      <c r="E1177" s="1144">
        <v>0.1782</v>
      </c>
      <c r="F1177" s="1145" t="s">
        <v>1660</v>
      </c>
      <c r="G1177" s="1146" t="s">
        <v>683</v>
      </c>
      <c r="H1177" s="1147" t="s">
        <v>1660</v>
      </c>
      <c r="I1177" s="1146" t="s">
        <v>1562</v>
      </c>
      <c r="J1177" s="1148" t="s">
        <v>221</v>
      </c>
      <c r="K1177" s="1" t="s">
        <v>125</v>
      </c>
      <c r="M1177" s="1" t="s">
        <v>1031</v>
      </c>
    </row>
    <row r="1178" spans="2:13" ht="15" hidden="1" customHeight="1" outlineLevel="1" x14ac:dyDescent="0.25">
      <c r="B1178" s="1142" t="s">
        <v>839</v>
      </c>
      <c r="C1178" s="1143"/>
      <c r="D1178" s="1143" t="s">
        <v>846</v>
      </c>
      <c r="E1178" s="1144">
        <v>8.4730000000000008</v>
      </c>
      <c r="F1178" s="1145" t="s">
        <v>1660</v>
      </c>
      <c r="G1178" s="1146" t="s">
        <v>683</v>
      </c>
      <c r="H1178" s="1147" t="s">
        <v>1660</v>
      </c>
      <c r="I1178" s="1146" t="s">
        <v>1564</v>
      </c>
      <c r="J1178" s="1148" t="s">
        <v>221</v>
      </c>
      <c r="K1178" s="1" t="s">
        <v>125</v>
      </c>
      <c r="M1178" s="1" t="s">
        <v>1032</v>
      </c>
    </row>
    <row r="1179" spans="2:13" ht="15" hidden="1" customHeight="1" outlineLevel="1" x14ac:dyDescent="0.25">
      <c r="B1179" s="1142" t="s">
        <v>839</v>
      </c>
      <c r="C1179" s="1143"/>
      <c r="D1179" s="1143" t="s">
        <v>843</v>
      </c>
      <c r="E1179" s="1144">
        <v>0.65180000000000005</v>
      </c>
      <c r="F1179" s="1145" t="s">
        <v>125</v>
      </c>
      <c r="G1179" s="1146"/>
      <c r="H1179" s="1147" t="s">
        <v>125</v>
      </c>
      <c r="I1179" s="1146"/>
      <c r="J1179" s="1148" t="s">
        <v>221</v>
      </c>
      <c r="K1179" s="1" t="s">
        <v>125</v>
      </c>
      <c r="M1179" s="1" t="s">
        <v>1033</v>
      </c>
    </row>
    <row r="1180" spans="2:13" ht="15" hidden="1" customHeight="1" outlineLevel="1" x14ac:dyDescent="0.25">
      <c r="B1180" s="1142" t="s">
        <v>839</v>
      </c>
      <c r="C1180" s="1143"/>
      <c r="D1180" s="1143" t="s">
        <v>843</v>
      </c>
      <c r="E1180" s="1144">
        <v>0.1467</v>
      </c>
      <c r="F1180" s="1145" t="s">
        <v>125</v>
      </c>
      <c r="G1180" s="1146"/>
      <c r="H1180" s="1147" t="s">
        <v>125</v>
      </c>
      <c r="I1180" s="1146"/>
      <c r="J1180" s="1148" t="s">
        <v>221</v>
      </c>
      <c r="K1180" s="1" t="s">
        <v>125</v>
      </c>
      <c r="M1180" s="1" t="s">
        <v>1034</v>
      </c>
    </row>
    <row r="1181" spans="2:13" ht="15" hidden="1" customHeight="1" outlineLevel="1" x14ac:dyDescent="0.25">
      <c r="B1181" s="1142" t="s">
        <v>931</v>
      </c>
      <c r="C1181" s="1143"/>
      <c r="D1181" s="1143" t="s">
        <v>932</v>
      </c>
      <c r="E1181" s="1144">
        <v>59.79</v>
      </c>
      <c r="F1181" s="1145" t="s">
        <v>1660</v>
      </c>
      <c r="G1181" s="1146" t="s">
        <v>1661</v>
      </c>
      <c r="H1181" s="1147" t="s">
        <v>1660</v>
      </c>
      <c r="I1181" s="1146" t="s">
        <v>1691</v>
      </c>
      <c r="J1181" s="1148" t="s">
        <v>221</v>
      </c>
      <c r="K1181" s="1" t="s">
        <v>125</v>
      </c>
      <c r="M1181" s="1" t="s">
        <v>1025</v>
      </c>
    </row>
    <row r="1182" spans="2:13" ht="15" hidden="1" customHeight="1" outlineLevel="1" x14ac:dyDescent="0.25">
      <c r="B1182" s="1142" t="s">
        <v>931</v>
      </c>
      <c r="C1182" s="1143"/>
      <c r="D1182" s="1143" t="s">
        <v>947</v>
      </c>
      <c r="E1182" s="1144">
        <v>0.48570000000000002</v>
      </c>
      <c r="F1182" s="1145" t="s">
        <v>1660</v>
      </c>
      <c r="G1182" s="1146" t="s">
        <v>1661</v>
      </c>
      <c r="H1182" s="1147" t="s">
        <v>125</v>
      </c>
      <c r="I1182" s="1146"/>
      <c r="J1182" s="1148" t="s">
        <v>221</v>
      </c>
      <c r="K1182" s="1" t="s">
        <v>125</v>
      </c>
      <c r="M1182" s="1" t="s">
        <v>1035</v>
      </c>
    </row>
    <row r="1183" spans="2:13" ht="15" hidden="1" customHeight="1" outlineLevel="1" x14ac:dyDescent="0.25">
      <c r="B1183" s="1142" t="s">
        <v>931</v>
      </c>
      <c r="C1183" s="1143"/>
      <c r="D1183" s="1143" t="s">
        <v>934</v>
      </c>
      <c r="E1183" s="1144">
        <v>34.86</v>
      </c>
      <c r="F1183" s="1145" t="s">
        <v>1660</v>
      </c>
      <c r="G1183" s="1146" t="s">
        <v>2099</v>
      </c>
      <c r="H1183" s="1147" t="s">
        <v>1660</v>
      </c>
      <c r="I1183" s="1146" t="s">
        <v>2100</v>
      </c>
      <c r="J1183" s="1148" t="s">
        <v>935</v>
      </c>
      <c r="K1183" s="1" t="s">
        <v>125</v>
      </c>
      <c r="M1183" s="1" t="s">
        <v>1036</v>
      </c>
    </row>
    <row r="1184" spans="2:13" ht="15" hidden="1" customHeight="1" outlineLevel="1" x14ac:dyDescent="0.25">
      <c r="B1184" s="1142" t="s">
        <v>931</v>
      </c>
      <c r="C1184" s="1143"/>
      <c r="D1184" s="1143" t="s">
        <v>937</v>
      </c>
      <c r="E1184" s="1144">
        <v>20760</v>
      </c>
      <c r="F1184" s="1145" t="s">
        <v>1660</v>
      </c>
      <c r="G1184" s="1146" t="s">
        <v>2101</v>
      </c>
      <c r="H1184" s="1147" t="s">
        <v>1660</v>
      </c>
      <c r="I1184" s="1146" t="s">
        <v>2102</v>
      </c>
      <c r="J1184" s="1148" t="s">
        <v>935</v>
      </c>
      <c r="K1184" s="1" t="s">
        <v>125</v>
      </c>
      <c r="M1184" s="1" t="s">
        <v>1036</v>
      </c>
    </row>
    <row r="1185" spans="2:13" ht="15" hidden="1" customHeight="1" outlineLevel="1" x14ac:dyDescent="0.25">
      <c r="B1185" s="1142" t="s">
        <v>931</v>
      </c>
      <c r="C1185" s="1143"/>
      <c r="D1185" s="1143" t="s">
        <v>938</v>
      </c>
      <c r="E1185" s="1144">
        <v>3236</v>
      </c>
      <c r="F1185" s="1145" t="s">
        <v>1660</v>
      </c>
      <c r="G1185" s="1146" t="s">
        <v>2103</v>
      </c>
      <c r="H1185" s="1147" t="s">
        <v>1660</v>
      </c>
      <c r="I1185" s="1146" t="s">
        <v>2104</v>
      </c>
      <c r="J1185" s="1148" t="s">
        <v>935</v>
      </c>
      <c r="K1185" s="1" t="s">
        <v>125</v>
      </c>
      <c r="M1185" s="1" t="s">
        <v>1036</v>
      </c>
    </row>
    <row r="1186" spans="2:13" ht="15" hidden="1" customHeight="1" outlineLevel="1" x14ac:dyDescent="0.25">
      <c r="B1186" s="1142" t="s">
        <v>931</v>
      </c>
      <c r="C1186" s="1143"/>
      <c r="D1186" s="1143" t="s">
        <v>939</v>
      </c>
      <c r="E1186" s="1144">
        <v>0.67049999999999998</v>
      </c>
      <c r="F1186" s="1145" t="s">
        <v>1660</v>
      </c>
      <c r="G1186" s="1146" t="s">
        <v>2105</v>
      </c>
      <c r="H1186" s="1147" t="s">
        <v>1660</v>
      </c>
      <c r="I1186" s="1146" t="s">
        <v>2106</v>
      </c>
      <c r="J1186" s="1148" t="s">
        <v>935</v>
      </c>
      <c r="K1186" s="1" t="s">
        <v>125</v>
      </c>
      <c r="M1186" s="1" t="s">
        <v>1036</v>
      </c>
    </row>
    <row r="1187" spans="2:13" ht="15" hidden="1" customHeight="1" outlineLevel="1" x14ac:dyDescent="0.25">
      <c r="B1187" s="1142" t="s">
        <v>931</v>
      </c>
      <c r="C1187" s="1143"/>
      <c r="D1187" s="1143" t="s">
        <v>940</v>
      </c>
      <c r="E1187" s="1144">
        <v>0</v>
      </c>
      <c r="F1187" s="1145" t="s">
        <v>125</v>
      </c>
      <c r="G1187" s="1146"/>
      <c r="H1187" s="1147" t="s">
        <v>125</v>
      </c>
      <c r="I1187" s="1146"/>
      <c r="J1187" s="1148" t="s">
        <v>935</v>
      </c>
      <c r="K1187" s="1" t="s">
        <v>125</v>
      </c>
      <c r="M1187" s="1" t="s">
        <v>1036</v>
      </c>
    </row>
    <row r="1188" spans="2:13" ht="15" hidden="1" customHeight="1" outlineLevel="1" x14ac:dyDescent="0.25">
      <c r="B1188" s="1142" t="s">
        <v>931</v>
      </c>
      <c r="C1188" s="1143"/>
      <c r="D1188" s="1143" t="s">
        <v>941</v>
      </c>
      <c r="E1188" s="1144">
        <v>229.4</v>
      </c>
      <c r="F1188" s="1145" t="s">
        <v>1660</v>
      </c>
      <c r="G1188" s="1146" t="s">
        <v>2107</v>
      </c>
      <c r="H1188" s="1147" t="s">
        <v>1660</v>
      </c>
      <c r="I1188" s="1146" t="s">
        <v>2108</v>
      </c>
      <c r="J1188" s="1148" t="s">
        <v>935</v>
      </c>
      <c r="K1188" s="1" t="s">
        <v>125</v>
      </c>
      <c r="M1188" s="1" t="s">
        <v>1036</v>
      </c>
    </row>
    <row r="1189" spans="2:13" ht="15" hidden="1" customHeight="1" outlineLevel="1" x14ac:dyDescent="0.25">
      <c r="B1189" s="1142" t="s">
        <v>931</v>
      </c>
      <c r="C1189" s="1143"/>
      <c r="D1189" s="1143" t="s">
        <v>942</v>
      </c>
      <c r="E1189" s="1144">
        <v>27500</v>
      </c>
      <c r="F1189" s="1145" t="s">
        <v>1660</v>
      </c>
      <c r="G1189" s="1146" t="s">
        <v>2109</v>
      </c>
      <c r="H1189" s="1147" t="s">
        <v>1660</v>
      </c>
      <c r="I1189" s="1146" t="s">
        <v>2110</v>
      </c>
      <c r="J1189" s="1148" t="s">
        <v>935</v>
      </c>
      <c r="K1189" s="1" t="s">
        <v>125</v>
      </c>
      <c r="M1189" s="1" t="s">
        <v>1036</v>
      </c>
    </row>
    <row r="1190" spans="2:13" ht="15" hidden="1" customHeight="1" outlineLevel="1" x14ac:dyDescent="0.25">
      <c r="B1190" s="1142" t="s">
        <v>931</v>
      </c>
      <c r="C1190" s="1143"/>
      <c r="D1190" s="1143" t="s">
        <v>932</v>
      </c>
      <c r="E1190" s="1144">
        <v>46.35</v>
      </c>
      <c r="F1190" s="1145" t="s">
        <v>1660</v>
      </c>
      <c r="G1190" s="1146" t="s">
        <v>683</v>
      </c>
      <c r="H1190" s="1147" t="s">
        <v>1660</v>
      </c>
      <c r="I1190" s="1146" t="s">
        <v>1704</v>
      </c>
      <c r="J1190" s="1148" t="s">
        <v>221</v>
      </c>
      <c r="K1190" s="1" t="s">
        <v>125</v>
      </c>
      <c r="M1190" s="1" t="s">
        <v>1032</v>
      </c>
    </row>
    <row r="1191" spans="2:13" ht="15" hidden="1" customHeight="1" outlineLevel="1" x14ac:dyDescent="0.25">
      <c r="B1191" s="1142" t="s">
        <v>931</v>
      </c>
      <c r="C1191" s="1143"/>
      <c r="D1191" s="1143" t="s">
        <v>947</v>
      </c>
      <c r="E1191" s="1144">
        <v>0.4667</v>
      </c>
      <c r="F1191" s="1145" t="s">
        <v>1660</v>
      </c>
      <c r="G1191" s="1146" t="s">
        <v>684</v>
      </c>
      <c r="H1191" s="1147" t="s">
        <v>125</v>
      </c>
      <c r="I1191" s="1146"/>
      <c r="J1191" s="1148" t="s">
        <v>221</v>
      </c>
      <c r="K1191" s="1" t="s">
        <v>125</v>
      </c>
      <c r="M1191" s="1" t="s">
        <v>1037</v>
      </c>
    </row>
    <row r="1192" spans="2:13" ht="15" hidden="1" customHeight="1" outlineLevel="1" x14ac:dyDescent="0.25">
      <c r="B1192" s="1142" t="s">
        <v>931</v>
      </c>
      <c r="C1192" s="1143"/>
      <c r="D1192" s="1143" t="s">
        <v>932</v>
      </c>
      <c r="E1192" s="1144">
        <v>55.11</v>
      </c>
      <c r="F1192" s="1145" t="s">
        <v>125</v>
      </c>
      <c r="G1192" s="1146"/>
      <c r="H1192" s="1147" t="s">
        <v>125</v>
      </c>
      <c r="I1192" s="1146"/>
      <c r="J1192" s="1148" t="s">
        <v>221</v>
      </c>
      <c r="K1192" s="1" t="s">
        <v>125</v>
      </c>
      <c r="M1192" s="1" t="s">
        <v>1038</v>
      </c>
    </row>
    <row r="1193" spans="2:13" ht="15" hidden="1" customHeight="1" outlineLevel="1" x14ac:dyDescent="0.25">
      <c r="B1193" s="1142" t="s">
        <v>945</v>
      </c>
      <c r="C1193" s="1143" t="s">
        <v>946</v>
      </c>
      <c r="D1193" s="1143" t="s">
        <v>934</v>
      </c>
      <c r="E1193" s="1144">
        <v>1426</v>
      </c>
      <c r="F1193" s="1145" t="s">
        <v>1660</v>
      </c>
      <c r="G1193" s="1146" t="s">
        <v>2111</v>
      </c>
      <c r="H1193" s="1147" t="s">
        <v>1660</v>
      </c>
      <c r="I1193" s="1146" t="s">
        <v>2112</v>
      </c>
      <c r="J1193" s="1148" t="s">
        <v>935</v>
      </c>
      <c r="K1193" s="1" t="s">
        <v>125</v>
      </c>
      <c r="M1193" s="1" t="s">
        <v>1036</v>
      </c>
    </row>
    <row r="1194" spans="2:13" ht="15" hidden="1" customHeight="1" outlineLevel="1" x14ac:dyDescent="0.25">
      <c r="B1194" s="1142" t="s">
        <v>945</v>
      </c>
      <c r="C1194" s="1143" t="s">
        <v>946</v>
      </c>
      <c r="D1194" s="1143" t="s">
        <v>937</v>
      </c>
      <c r="E1194" s="1144">
        <v>148900</v>
      </c>
      <c r="F1194" s="1145" t="s">
        <v>1660</v>
      </c>
      <c r="G1194" s="1146" t="s">
        <v>2113</v>
      </c>
      <c r="H1194" s="1147" t="s">
        <v>1660</v>
      </c>
      <c r="I1194" s="1108" t="s">
        <v>2114</v>
      </c>
      <c r="J1194" s="1148" t="s">
        <v>935</v>
      </c>
      <c r="K1194" s="1" t="s">
        <v>125</v>
      </c>
      <c r="M1194" s="1" t="s">
        <v>1036</v>
      </c>
    </row>
    <row r="1195" spans="2:13" ht="15" hidden="1" customHeight="1" outlineLevel="1" x14ac:dyDescent="0.25">
      <c r="B1195" s="1142" t="s">
        <v>945</v>
      </c>
      <c r="C1195" s="1143" t="s">
        <v>946</v>
      </c>
      <c r="D1195" s="1143" t="s">
        <v>938</v>
      </c>
      <c r="E1195" s="1144">
        <v>-6507</v>
      </c>
      <c r="F1195" s="1145" t="s">
        <v>1660</v>
      </c>
      <c r="G1195" s="1146" t="s">
        <v>2115</v>
      </c>
      <c r="H1195" s="1147" t="s">
        <v>1660</v>
      </c>
      <c r="I1195" s="1146" t="s">
        <v>2116</v>
      </c>
      <c r="J1195" s="1148" t="s">
        <v>935</v>
      </c>
      <c r="K1195" s="1" t="s">
        <v>125</v>
      </c>
      <c r="M1195" s="1" t="s">
        <v>1036</v>
      </c>
    </row>
    <row r="1196" spans="2:13" ht="15" hidden="1" customHeight="1" outlineLevel="1" x14ac:dyDescent="0.25">
      <c r="B1196" s="1142" t="s">
        <v>945</v>
      </c>
      <c r="C1196" s="1143" t="s">
        <v>946</v>
      </c>
      <c r="D1196" s="1143" t="s">
        <v>939</v>
      </c>
      <c r="E1196" s="1144">
        <v>42.95</v>
      </c>
      <c r="F1196" s="1145" t="s">
        <v>1660</v>
      </c>
      <c r="G1196" s="1146" t="s">
        <v>2117</v>
      </c>
      <c r="H1196" s="1147" t="s">
        <v>1660</v>
      </c>
      <c r="I1196" s="1146" t="s">
        <v>2118</v>
      </c>
      <c r="J1196" s="1148" t="s">
        <v>935</v>
      </c>
      <c r="K1196" s="1" t="s">
        <v>125</v>
      </c>
      <c r="M1196" s="1" t="s">
        <v>1036</v>
      </c>
    </row>
    <row r="1197" spans="2:13" ht="15" hidden="1" customHeight="1" outlineLevel="1" x14ac:dyDescent="0.25">
      <c r="B1197" s="1142" t="s">
        <v>945</v>
      </c>
      <c r="C1197" s="1143" t="s">
        <v>946</v>
      </c>
      <c r="D1197" s="1143" t="s">
        <v>940</v>
      </c>
      <c r="E1197" s="1144">
        <v>11100</v>
      </c>
      <c r="F1197" s="1145" t="s">
        <v>1660</v>
      </c>
      <c r="G1197" s="1146" t="s">
        <v>2119</v>
      </c>
      <c r="H1197" s="1147" t="s">
        <v>1660</v>
      </c>
      <c r="I1197" s="1146" t="s">
        <v>2120</v>
      </c>
      <c r="J1197" s="1148" t="s">
        <v>935</v>
      </c>
      <c r="K1197" s="1" t="s">
        <v>125</v>
      </c>
      <c r="M1197" s="1" t="s">
        <v>1036</v>
      </c>
    </row>
    <row r="1198" spans="2:13" ht="15" hidden="1" customHeight="1" outlineLevel="1" x14ac:dyDescent="0.25">
      <c r="B1198" s="1142" t="s">
        <v>945</v>
      </c>
      <c r="C1198" s="1143" t="s">
        <v>946</v>
      </c>
      <c r="D1198" s="1143" t="s">
        <v>941</v>
      </c>
      <c r="E1198" s="1144">
        <v>10510</v>
      </c>
      <c r="F1198" s="1145" t="s">
        <v>1660</v>
      </c>
      <c r="G1198" s="1146" t="s">
        <v>2121</v>
      </c>
      <c r="H1198" s="1147" t="s">
        <v>1660</v>
      </c>
      <c r="I1198" s="1146" t="s">
        <v>2122</v>
      </c>
      <c r="J1198" s="1148" t="s">
        <v>935</v>
      </c>
      <c r="K1198" s="1" t="s">
        <v>125</v>
      </c>
      <c r="M1198" s="1" t="s">
        <v>1036</v>
      </c>
    </row>
    <row r="1199" spans="2:13" ht="15" hidden="1" customHeight="1" outlineLevel="1" x14ac:dyDescent="0.25">
      <c r="B1199" s="1149" t="s">
        <v>945</v>
      </c>
      <c r="C1199" s="1150" t="s">
        <v>946</v>
      </c>
      <c r="D1199" s="1150" t="s">
        <v>942</v>
      </c>
      <c r="E1199" s="1151">
        <v>422700</v>
      </c>
      <c r="F1199" s="1152" t="s">
        <v>1660</v>
      </c>
      <c r="G1199" s="1158" t="s">
        <v>2123</v>
      </c>
      <c r="H1199" s="1154" t="s">
        <v>1660</v>
      </c>
      <c r="I1199" s="1158" t="s">
        <v>2124</v>
      </c>
      <c r="J1199" s="1155" t="s">
        <v>935</v>
      </c>
      <c r="K1199" s="1" t="s">
        <v>125</v>
      </c>
      <c r="M1199" s="1" t="s">
        <v>1036</v>
      </c>
    </row>
    <row r="1200" spans="2:13" ht="15" customHeight="1" x14ac:dyDescent="0.25">
      <c r="D1200" s="1159"/>
      <c r="E1200" s="1160"/>
      <c r="F1200" s="1161"/>
      <c r="G1200" s="672"/>
      <c r="H1200" s="1162"/>
      <c r="I1200" s="672"/>
      <c r="J1200" s="672"/>
    </row>
  </sheetData>
  <mergeCells count="2">
    <mergeCell ref="E4:K4"/>
    <mergeCell ref="F5:I5"/>
  </mergeCells>
  <conditionalFormatting sqref="E1:E1048576">
    <cfRule type="expression" dxfId="70" priority="21">
      <formula>E1=0</formula>
    </cfRule>
    <cfRule type="expression" dxfId="69" priority="22">
      <formula>AND(ABS(E1)&lt;10,ABS(E1)&gt;=1)</formula>
    </cfRule>
    <cfRule type="expression" dxfId="68" priority="23">
      <formula>ABS(E1)&lt;1</formula>
    </cfRule>
    <cfRule type="expression" dxfId="67" priority="24">
      <formula>ABS(E1)&gt;=10</formula>
    </cfRule>
  </conditionalFormatting>
  <conditionalFormatting sqref="E936">
    <cfRule type="expression" dxfId="66" priority="17">
      <formula>E936=0</formula>
    </cfRule>
    <cfRule type="expression" dxfId="65" priority="18">
      <formula>AND(ABS(E936)&lt;10,ABS(E936)&gt;=1)</formula>
    </cfRule>
    <cfRule type="expression" dxfId="64" priority="19">
      <formula>ABS(E936)&lt;1</formula>
    </cfRule>
    <cfRule type="expression" dxfId="63" priority="20">
      <formula>ABS(E936)&gt;=10</formula>
    </cfRule>
  </conditionalFormatting>
  <conditionalFormatting sqref="E937:E1001">
    <cfRule type="expression" dxfId="62" priority="13">
      <formula>E937=0</formula>
    </cfRule>
    <cfRule type="expression" dxfId="61" priority="14">
      <formula>AND(ABS(E937)&lt;10,ABS(E937)&gt;=1)</formula>
    </cfRule>
    <cfRule type="expression" dxfId="60" priority="15">
      <formula>ABS(E937)&lt;1</formula>
    </cfRule>
    <cfRule type="expression" dxfId="59" priority="16">
      <formula>ABS(E937)&gt;=10</formula>
    </cfRule>
  </conditionalFormatting>
  <conditionalFormatting sqref="E1002">
    <cfRule type="expression" dxfId="58" priority="9">
      <formula>E1002=0</formula>
    </cfRule>
    <cfRule type="expression" dxfId="57" priority="10">
      <formula>AND(ABS(E1002)&lt;10,ABS(E1002)&gt;=1)</formula>
    </cfRule>
    <cfRule type="expression" dxfId="56" priority="11">
      <formula>ABS(E1002)&lt;1</formula>
    </cfRule>
    <cfRule type="expression" dxfId="55" priority="12">
      <formula>ABS(E1002)&gt;=10</formula>
    </cfRule>
  </conditionalFormatting>
  <conditionalFormatting sqref="E1069">
    <cfRule type="expression" dxfId="54" priority="5">
      <formula>E1069=0</formula>
    </cfRule>
    <cfRule type="expression" dxfId="53" priority="6">
      <formula>AND(ABS(E1069)&lt;10,ABS(E1069)&gt;=1)</formula>
    </cfRule>
    <cfRule type="expression" dxfId="52" priority="7">
      <formula>ABS(E1069)&lt;1</formula>
    </cfRule>
    <cfRule type="expression" dxfId="51" priority="8">
      <formula>ABS(E1069)&gt;=10</formula>
    </cfRule>
  </conditionalFormatting>
  <conditionalFormatting sqref="E1070:E1134">
    <cfRule type="expression" dxfId="50" priority="1">
      <formula>E1070=0</formula>
    </cfRule>
    <cfRule type="expression" dxfId="49" priority="2">
      <formula>AND(ABS(E1070)&lt;10,ABS(E1070)&gt;=1)</formula>
    </cfRule>
    <cfRule type="expression" dxfId="48" priority="3">
      <formula>ABS(E1070)&lt;1</formula>
    </cfRule>
    <cfRule type="expression" dxfId="47" priority="4">
      <formula>ABS(E1070)&gt;=10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DDDB1-ECBF-4978-81B0-689486D6D076}">
  <sheetPr>
    <outlinePr summaryBelow="0" summaryRight="0"/>
  </sheetPr>
  <dimension ref="A1:CO937"/>
  <sheetViews>
    <sheetView zoomScaleNormal="100" workbookViewId="0">
      <pane ySplit="5" topLeftCell="A6" activePane="bottomLeft" state="frozen"/>
      <selection pane="bottomLeft"/>
    </sheetView>
  </sheetViews>
  <sheetFormatPr baseColWidth="10" defaultColWidth="11.42578125" defaultRowHeight="15" customHeight="1" outlineLevelRow="1" x14ac:dyDescent="0.25"/>
  <cols>
    <col min="1" max="1" width="3.7109375" style="1" customWidth="1"/>
    <col min="2" max="2" width="25.7109375" style="1" customWidth="1"/>
    <col min="3" max="3" width="25.7109375" style="1109" customWidth="1"/>
    <col min="4" max="4" width="90.7109375" style="1109" customWidth="1"/>
    <col min="5" max="5" width="15.7109375" style="1" customWidth="1"/>
    <col min="6" max="6" width="3.7109375" style="1" customWidth="1"/>
    <col min="7" max="7" width="20.7109375" style="1" customWidth="1"/>
    <col min="8" max="8" width="3.7109375" style="1" customWidth="1"/>
    <col min="9" max="9" width="30.7109375" style="1" customWidth="1"/>
    <col min="10" max="10" width="5.7109375" style="1" customWidth="1"/>
    <col min="11" max="11" width="15.7109375" style="1" customWidth="1"/>
    <col min="12" max="12" width="3.7109375" style="323" customWidth="1"/>
    <col min="13" max="16384" width="11.42578125" style="1"/>
  </cols>
  <sheetData>
    <row r="1" spans="1:93" ht="15" customHeight="1" x14ac:dyDescent="0.25">
      <c r="C1" s="1110"/>
      <c r="D1" s="1110"/>
      <c r="E1" s="1111"/>
      <c r="F1" s="1111"/>
      <c r="G1" s="1113"/>
      <c r="H1" s="1113"/>
      <c r="I1" s="1113"/>
      <c r="J1" s="1113"/>
    </row>
    <row r="2" spans="1:93" ht="15" customHeight="1" x14ac:dyDescent="0.25">
      <c r="B2" s="673" t="s">
        <v>2353</v>
      </c>
      <c r="C2" s="1110"/>
      <c r="D2" s="1110"/>
      <c r="E2" s="1111"/>
      <c r="F2" s="1111"/>
      <c r="G2" s="1113"/>
      <c r="H2" s="1113"/>
      <c r="I2" s="1113"/>
      <c r="J2" s="1113"/>
    </row>
    <row r="3" spans="1:93" ht="15" customHeight="1" x14ac:dyDescent="0.25">
      <c r="B3" s="1113"/>
      <c r="C3" s="1110"/>
      <c r="D3" s="1110"/>
      <c r="E3" s="1111"/>
      <c r="F3" s="1111"/>
      <c r="G3" s="1113"/>
      <c r="H3" s="1113"/>
      <c r="I3" s="1113"/>
      <c r="J3" s="1113"/>
      <c r="K3" s="218"/>
      <c r="L3" s="895"/>
      <c r="M3" s="218"/>
      <c r="N3" s="218"/>
      <c r="O3" s="218"/>
      <c r="P3" s="218"/>
      <c r="Q3" s="218"/>
      <c r="R3" s="218"/>
      <c r="S3" s="218"/>
      <c r="T3" s="218"/>
      <c r="U3" s="218"/>
      <c r="V3" s="218"/>
      <c r="W3" s="218"/>
      <c r="X3" s="218"/>
      <c r="Y3" s="1109"/>
      <c r="Z3" s="218"/>
    </row>
    <row r="4" spans="1:93" ht="15" customHeight="1" x14ac:dyDescent="0.25">
      <c r="A4" s="1115"/>
      <c r="B4" s="1116" t="s">
        <v>821</v>
      </c>
      <c r="C4" s="1117" t="s">
        <v>822</v>
      </c>
      <c r="D4" s="1117" t="s">
        <v>823</v>
      </c>
      <c r="E4" s="1378" t="s">
        <v>824</v>
      </c>
      <c r="F4" s="1379"/>
      <c r="G4" s="1379"/>
      <c r="H4" s="1379"/>
      <c r="I4" s="1379"/>
      <c r="J4" s="1379"/>
      <c r="K4" s="1380"/>
      <c r="L4" s="1118"/>
      <c r="M4" s="1206"/>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c r="AT4" s="1119"/>
      <c r="AU4" s="1119"/>
      <c r="AV4" s="1119"/>
      <c r="AW4" s="1119"/>
      <c r="AX4" s="1119"/>
      <c r="AY4" s="1119"/>
      <c r="AZ4" s="1119"/>
      <c r="BA4" s="1119"/>
      <c r="BB4" s="1119"/>
      <c r="BC4" s="1119"/>
      <c r="BD4" s="1119"/>
      <c r="BE4" s="1119"/>
      <c r="BF4" s="1119"/>
      <c r="BG4" s="1119"/>
      <c r="BH4" s="1119"/>
      <c r="BI4" s="1119"/>
      <c r="BJ4" s="1119"/>
      <c r="BK4" s="1119"/>
      <c r="BL4" s="1119"/>
      <c r="BM4" s="1119"/>
      <c r="BN4" s="1119"/>
      <c r="BO4" s="1119"/>
      <c r="BP4" s="1119"/>
      <c r="BQ4" s="1119"/>
      <c r="BR4" s="1119"/>
      <c r="BS4" s="1119"/>
      <c r="BT4" s="1119"/>
      <c r="BU4" s="1119"/>
      <c r="BV4" s="1119"/>
      <c r="BW4" s="1119"/>
      <c r="BX4" s="1119"/>
      <c r="BY4" s="1119"/>
      <c r="BZ4" s="1119"/>
      <c r="CA4" s="1119"/>
      <c r="CB4" s="1119"/>
      <c r="CC4" s="1119"/>
      <c r="CD4" s="1119"/>
      <c r="CE4" s="1119"/>
      <c r="CF4" s="1119"/>
      <c r="CG4" s="1119"/>
      <c r="CH4" s="1119"/>
      <c r="CI4" s="1119"/>
      <c r="CJ4" s="1119"/>
      <c r="CK4" s="1119"/>
      <c r="CL4" s="1119"/>
      <c r="CM4" s="1119"/>
      <c r="CN4" s="1119"/>
      <c r="CO4" s="1119"/>
    </row>
    <row r="5" spans="1:93" ht="15" customHeight="1" x14ac:dyDescent="0.25">
      <c r="B5" s="1109"/>
      <c r="E5" s="1120" t="s">
        <v>1656</v>
      </c>
      <c r="F5" s="1381" t="s">
        <v>1657</v>
      </c>
      <c r="G5" s="1382"/>
      <c r="H5" s="1382"/>
      <c r="I5" s="1383"/>
      <c r="J5" s="1121" t="s">
        <v>244</v>
      </c>
      <c r="K5" s="1122" t="s">
        <v>1658</v>
      </c>
      <c r="M5" s="1206"/>
    </row>
    <row r="6" spans="1:93" ht="15" customHeight="1" x14ac:dyDescent="0.25">
      <c r="B6" s="218"/>
      <c r="E6" s="1123"/>
      <c r="F6" s="1156"/>
      <c r="G6" s="1125"/>
      <c r="H6" s="1125"/>
      <c r="I6" s="1125"/>
      <c r="J6" s="1125"/>
    </row>
    <row r="7" spans="1:93" ht="15" customHeight="1" x14ac:dyDescent="0.25">
      <c r="A7" s="217"/>
      <c r="B7" s="1127" t="s">
        <v>825</v>
      </c>
      <c r="C7" s="1128"/>
      <c r="D7" s="1128" t="s">
        <v>1248</v>
      </c>
      <c r="E7" s="1130">
        <v>150</v>
      </c>
      <c r="F7" s="1172" t="s">
        <v>125</v>
      </c>
      <c r="G7" s="1130"/>
      <c r="H7" s="1172" t="s">
        <v>125</v>
      </c>
      <c r="I7" s="1130"/>
      <c r="J7" s="208" t="s">
        <v>221</v>
      </c>
      <c r="K7" s="898">
        <v>32.71</v>
      </c>
    </row>
    <row r="8" spans="1:93" ht="15" customHeight="1" collapsed="1" x14ac:dyDescent="0.25">
      <c r="B8" s="1132" t="s">
        <v>825</v>
      </c>
      <c r="C8" s="1107"/>
      <c r="D8" s="1107" t="s">
        <v>2125</v>
      </c>
      <c r="E8" s="1135">
        <v>120</v>
      </c>
      <c r="F8" s="1173" t="s">
        <v>125</v>
      </c>
      <c r="G8" s="1135"/>
      <c r="H8" s="1173" t="s">
        <v>125</v>
      </c>
      <c r="I8" s="1135"/>
      <c r="J8" s="211" t="s">
        <v>221</v>
      </c>
      <c r="K8" s="531">
        <v>67.290000000000006</v>
      </c>
    </row>
    <row r="9" spans="1:93" ht="15" hidden="1" customHeight="1" outlineLevel="1" x14ac:dyDescent="0.25">
      <c r="B9" s="1142" t="s">
        <v>830</v>
      </c>
      <c r="C9" s="1143"/>
      <c r="D9" s="1143" t="s">
        <v>1249</v>
      </c>
      <c r="E9" s="1146">
        <v>333</v>
      </c>
      <c r="F9" s="1174" t="s">
        <v>125</v>
      </c>
      <c r="G9" s="1146"/>
      <c r="H9" s="1174" t="s">
        <v>125</v>
      </c>
      <c r="I9" s="1108"/>
      <c r="J9" s="1148" t="s">
        <v>221</v>
      </c>
      <c r="K9" s="1175"/>
    </row>
    <row r="10" spans="1:93" ht="15" hidden="1" customHeight="1" outlineLevel="1" x14ac:dyDescent="0.25">
      <c r="B10" s="1142" t="s">
        <v>830</v>
      </c>
      <c r="C10" s="1143"/>
      <c r="D10" s="1143" t="s">
        <v>1250</v>
      </c>
      <c r="E10" s="1146">
        <v>333</v>
      </c>
      <c r="F10" s="1174" t="s">
        <v>125</v>
      </c>
      <c r="G10" s="1146"/>
      <c r="H10" s="1174" t="s">
        <v>125</v>
      </c>
      <c r="I10" s="1146"/>
      <c r="J10" s="1148" t="s">
        <v>221</v>
      </c>
      <c r="K10" s="1175"/>
    </row>
    <row r="11" spans="1:93" ht="15" hidden="1" customHeight="1" outlineLevel="1" x14ac:dyDescent="0.25">
      <c r="B11" s="1142" t="s">
        <v>830</v>
      </c>
      <c r="C11" s="1143"/>
      <c r="D11" s="1143" t="s">
        <v>1251</v>
      </c>
      <c r="E11" s="1146">
        <v>333</v>
      </c>
      <c r="F11" s="1174" t="s">
        <v>125</v>
      </c>
      <c r="G11" s="1146"/>
      <c r="H11" s="1174" t="s">
        <v>125</v>
      </c>
      <c r="I11" s="1146"/>
      <c r="J11" s="1148" t="s">
        <v>221</v>
      </c>
      <c r="K11" s="1175"/>
    </row>
    <row r="12" spans="1:93" ht="15" hidden="1" customHeight="1" outlineLevel="1" x14ac:dyDescent="0.25">
      <c r="B12" s="1142" t="s">
        <v>830</v>
      </c>
      <c r="C12" s="1143"/>
      <c r="D12" s="1143" t="s">
        <v>857</v>
      </c>
      <c r="E12" s="1146">
        <v>153</v>
      </c>
      <c r="F12" s="1174" t="s">
        <v>125</v>
      </c>
      <c r="G12" s="1146"/>
      <c r="H12" s="1174" t="s">
        <v>125</v>
      </c>
      <c r="I12" s="1146"/>
      <c r="J12" s="1148" t="s">
        <v>304</v>
      </c>
      <c r="K12" s="1175"/>
    </row>
    <row r="13" spans="1:93" ht="15" hidden="1" customHeight="1" outlineLevel="1" x14ac:dyDescent="0.25">
      <c r="B13" s="1142" t="s">
        <v>830</v>
      </c>
      <c r="C13" s="1143"/>
      <c r="D13" s="1143" t="s">
        <v>1252</v>
      </c>
      <c r="E13" s="1146">
        <v>1500</v>
      </c>
      <c r="F13" s="1174" t="s">
        <v>125</v>
      </c>
      <c r="G13" s="1146"/>
      <c r="H13" s="1174" t="s">
        <v>125</v>
      </c>
      <c r="I13" s="1146"/>
      <c r="J13" s="1148" t="s">
        <v>304</v>
      </c>
      <c r="K13" s="1175"/>
    </row>
    <row r="14" spans="1:93" ht="15" hidden="1" customHeight="1" outlineLevel="1" x14ac:dyDescent="0.25">
      <c r="B14" s="1149" t="s">
        <v>839</v>
      </c>
      <c r="C14" s="1150"/>
      <c r="D14" s="1150" t="s">
        <v>913</v>
      </c>
      <c r="E14" s="1158">
        <v>730</v>
      </c>
      <c r="F14" s="1176" t="s">
        <v>125</v>
      </c>
      <c r="G14" s="1158"/>
      <c r="H14" s="1176" t="s">
        <v>125</v>
      </c>
      <c r="I14" s="1158"/>
      <c r="J14" s="1155" t="s">
        <v>221</v>
      </c>
      <c r="K14" s="1175"/>
    </row>
    <row r="15" spans="1:93" ht="15" customHeight="1" x14ac:dyDescent="0.25">
      <c r="F15" s="1177" t="s">
        <v>125</v>
      </c>
      <c r="H15" s="1177" t="s">
        <v>125</v>
      </c>
    </row>
    <row r="16" spans="1:93" ht="15" customHeight="1" collapsed="1" x14ac:dyDescent="0.25">
      <c r="B16" s="1164" t="s">
        <v>825</v>
      </c>
      <c r="C16" s="1165"/>
      <c r="D16" s="1165" t="s">
        <v>860</v>
      </c>
      <c r="E16" s="1168">
        <v>1</v>
      </c>
      <c r="F16" s="1178" t="s">
        <v>1660</v>
      </c>
      <c r="G16" s="1168" t="s">
        <v>746</v>
      </c>
      <c r="H16" s="1178" t="s">
        <v>125</v>
      </c>
      <c r="I16" s="1168"/>
      <c r="J16" s="246" t="s">
        <v>221</v>
      </c>
      <c r="K16" s="292">
        <v>100</v>
      </c>
    </row>
    <row r="17" spans="2:11" ht="15" hidden="1" customHeight="1" outlineLevel="1" x14ac:dyDescent="0.25">
      <c r="B17" s="1142" t="s">
        <v>830</v>
      </c>
      <c r="C17" s="1143"/>
      <c r="D17" s="1143" t="s">
        <v>1253</v>
      </c>
      <c r="E17" s="1146">
        <v>2.0999999999999999E-3</v>
      </c>
      <c r="F17" s="1174" t="s">
        <v>1660</v>
      </c>
      <c r="G17" s="1146" t="s">
        <v>747</v>
      </c>
      <c r="H17" s="1174" t="s">
        <v>125</v>
      </c>
      <c r="I17" s="1108"/>
      <c r="J17" s="1148" t="s">
        <v>221</v>
      </c>
      <c r="K17" s="1175"/>
    </row>
    <row r="18" spans="2:11" ht="15" hidden="1" customHeight="1" outlineLevel="1" x14ac:dyDescent="0.25">
      <c r="B18" s="1142" t="s">
        <v>830</v>
      </c>
      <c r="C18" s="1143"/>
      <c r="D18" s="1143" t="s">
        <v>1254</v>
      </c>
      <c r="E18" s="1146">
        <v>1.78E-2</v>
      </c>
      <c r="F18" s="1174" t="s">
        <v>1660</v>
      </c>
      <c r="G18" s="1146" t="s">
        <v>747</v>
      </c>
      <c r="H18" s="1174" t="s">
        <v>125</v>
      </c>
      <c r="I18" s="1146"/>
      <c r="J18" s="1148" t="s">
        <v>221</v>
      </c>
      <c r="K18" s="1175"/>
    </row>
    <row r="19" spans="2:11" ht="15" hidden="1" customHeight="1" outlineLevel="1" x14ac:dyDescent="0.25">
      <c r="B19" s="1142" t="s">
        <v>830</v>
      </c>
      <c r="C19" s="1143"/>
      <c r="D19" s="1143" t="s">
        <v>1255</v>
      </c>
      <c r="E19" s="1146">
        <v>3.8400000000000001E-3</v>
      </c>
      <c r="F19" s="1174" t="s">
        <v>1660</v>
      </c>
      <c r="G19" s="1146" t="s">
        <v>747</v>
      </c>
      <c r="H19" s="1174" t="s">
        <v>125</v>
      </c>
      <c r="I19" s="1146"/>
      <c r="J19" s="1148" t="s">
        <v>221</v>
      </c>
      <c r="K19" s="1175"/>
    </row>
    <row r="20" spans="2:11" ht="15" hidden="1" customHeight="1" outlineLevel="1" x14ac:dyDescent="0.25">
      <c r="B20" s="1142" t="s">
        <v>830</v>
      </c>
      <c r="C20" s="1143"/>
      <c r="D20" s="1143" t="s">
        <v>1256</v>
      </c>
      <c r="E20" s="1146">
        <v>2.5999999999999999E-3</v>
      </c>
      <c r="F20" s="1174" t="s">
        <v>1660</v>
      </c>
      <c r="G20" s="1146" t="s">
        <v>747</v>
      </c>
      <c r="H20" s="1174" t="s">
        <v>125</v>
      </c>
      <c r="I20" s="1146"/>
      <c r="J20" s="1148" t="s">
        <v>221</v>
      </c>
      <c r="K20" s="1175"/>
    </row>
    <row r="21" spans="2:11" ht="15" hidden="1" customHeight="1" outlineLevel="1" x14ac:dyDescent="0.25">
      <c r="B21" s="1142" t="s">
        <v>830</v>
      </c>
      <c r="C21" s="1143"/>
      <c r="D21" s="1143" t="s">
        <v>1257</v>
      </c>
      <c r="E21" s="1146">
        <v>4.9899999999999996E-3</v>
      </c>
      <c r="F21" s="1174" t="s">
        <v>1660</v>
      </c>
      <c r="G21" s="1146" t="s">
        <v>747</v>
      </c>
      <c r="H21" s="1174" t="s">
        <v>125</v>
      </c>
      <c r="I21" s="1146"/>
      <c r="J21" s="1148" t="s">
        <v>221</v>
      </c>
      <c r="K21" s="1175"/>
    </row>
    <row r="22" spans="2:11" ht="15" hidden="1" customHeight="1" outlineLevel="1" x14ac:dyDescent="0.25">
      <c r="B22" s="1142" t="s">
        <v>830</v>
      </c>
      <c r="C22" s="1143"/>
      <c r="D22" s="1143" t="s">
        <v>1258</v>
      </c>
      <c r="E22" s="1146">
        <v>0.435</v>
      </c>
      <c r="F22" s="1174" t="s">
        <v>1660</v>
      </c>
      <c r="G22" s="1146" t="s">
        <v>747</v>
      </c>
      <c r="H22" s="1174" t="s">
        <v>125</v>
      </c>
      <c r="I22" s="1146"/>
      <c r="J22" s="1148" t="s">
        <v>221</v>
      </c>
      <c r="K22" s="1175"/>
    </row>
    <row r="23" spans="2:11" ht="15" hidden="1" customHeight="1" outlineLevel="1" x14ac:dyDescent="0.25">
      <c r="B23" s="1142" t="s">
        <v>830</v>
      </c>
      <c r="C23" s="1143"/>
      <c r="D23" s="1143" t="s">
        <v>1259</v>
      </c>
      <c r="E23" s="1146">
        <v>0.32400000000000001</v>
      </c>
      <c r="F23" s="1174" t="s">
        <v>125</v>
      </c>
      <c r="G23" s="1146"/>
      <c r="H23" s="1174" t="s">
        <v>125</v>
      </c>
      <c r="I23" s="1146"/>
      <c r="J23" s="1148" t="s">
        <v>221</v>
      </c>
      <c r="K23" s="1175"/>
    </row>
    <row r="24" spans="2:11" ht="15" hidden="1" customHeight="1" outlineLevel="1" x14ac:dyDescent="0.25">
      <c r="B24" s="1142" t="s">
        <v>830</v>
      </c>
      <c r="C24" s="1143"/>
      <c r="D24" s="1143" t="s">
        <v>1260</v>
      </c>
      <c r="E24" s="1146">
        <v>0.11799999999999999</v>
      </c>
      <c r="F24" s="1174" t="s">
        <v>1660</v>
      </c>
      <c r="G24" s="1146" t="s">
        <v>747</v>
      </c>
      <c r="H24" s="1174" t="s">
        <v>125</v>
      </c>
      <c r="I24" s="1146"/>
      <c r="J24" s="1148" t="s">
        <v>221</v>
      </c>
      <c r="K24" s="1175"/>
    </row>
    <row r="25" spans="2:11" ht="15" hidden="1" customHeight="1" outlineLevel="1" x14ac:dyDescent="0.25">
      <c r="B25" s="1142" t="s">
        <v>830</v>
      </c>
      <c r="C25" s="1143"/>
      <c r="D25" s="1143" t="s">
        <v>1261</v>
      </c>
      <c r="E25" s="1146">
        <v>2.65E-3</v>
      </c>
      <c r="F25" s="1174" t="s">
        <v>1660</v>
      </c>
      <c r="G25" s="1146" t="s">
        <v>747</v>
      </c>
      <c r="H25" s="1174" t="s">
        <v>125</v>
      </c>
      <c r="I25" s="1146"/>
      <c r="J25" s="1148" t="s">
        <v>221</v>
      </c>
      <c r="K25" s="1175"/>
    </row>
    <row r="26" spans="2:11" ht="15" hidden="1" customHeight="1" outlineLevel="1" x14ac:dyDescent="0.25">
      <c r="B26" s="1142" t="s">
        <v>830</v>
      </c>
      <c r="C26" s="1143"/>
      <c r="D26" s="1143" t="s">
        <v>1262</v>
      </c>
      <c r="E26" s="1146">
        <v>2.01E-2</v>
      </c>
      <c r="F26" s="1174" t="s">
        <v>1660</v>
      </c>
      <c r="G26" s="1146" t="s">
        <v>747</v>
      </c>
      <c r="H26" s="1174" t="s">
        <v>125</v>
      </c>
      <c r="I26" s="1146"/>
      <c r="J26" s="1148" t="s">
        <v>221</v>
      </c>
      <c r="K26" s="1175"/>
    </row>
    <row r="27" spans="2:11" ht="15" hidden="1" customHeight="1" outlineLevel="1" x14ac:dyDescent="0.25">
      <c r="B27" s="1142" t="s">
        <v>830</v>
      </c>
      <c r="C27" s="1143"/>
      <c r="D27" s="1143" t="s">
        <v>1263</v>
      </c>
      <c r="E27" s="1146">
        <v>6.83E-2</v>
      </c>
      <c r="F27" s="1174" t="s">
        <v>1660</v>
      </c>
      <c r="G27" s="1146" t="s">
        <v>747</v>
      </c>
      <c r="H27" s="1174" t="s">
        <v>125</v>
      </c>
      <c r="I27" s="1146"/>
      <c r="J27" s="1148" t="s">
        <v>221</v>
      </c>
      <c r="K27" s="1175"/>
    </row>
    <row r="28" spans="2:11" ht="15" hidden="1" customHeight="1" outlineLevel="1" x14ac:dyDescent="0.25">
      <c r="B28" s="1142" t="s">
        <v>830</v>
      </c>
      <c r="C28" s="1143"/>
      <c r="D28" s="1143" t="s">
        <v>1264</v>
      </c>
      <c r="E28" s="1146">
        <v>7.5949884816207403E-3</v>
      </c>
      <c r="F28" s="1174" t="s">
        <v>1660</v>
      </c>
      <c r="G28" s="1146" t="s">
        <v>747</v>
      </c>
      <c r="H28" s="1174" t="s">
        <v>2220</v>
      </c>
      <c r="I28" s="1146" t="s">
        <v>2221</v>
      </c>
      <c r="J28" s="1148" t="s">
        <v>836</v>
      </c>
      <c r="K28" s="1175"/>
    </row>
    <row r="29" spans="2:11" ht="15" hidden="1" customHeight="1" outlineLevel="1" x14ac:dyDescent="0.25">
      <c r="B29" s="1142" t="s">
        <v>830</v>
      </c>
      <c r="C29" s="1143"/>
      <c r="D29" s="1143" t="s">
        <v>1265</v>
      </c>
      <c r="E29" s="1146">
        <v>5.00780925918047E-2</v>
      </c>
      <c r="F29" s="1174" t="s">
        <v>1660</v>
      </c>
      <c r="G29" s="1146" t="s">
        <v>747</v>
      </c>
      <c r="H29" s="1174" t="s">
        <v>125</v>
      </c>
      <c r="I29" s="1146"/>
      <c r="J29" s="1148" t="s">
        <v>836</v>
      </c>
      <c r="K29" s="1175"/>
    </row>
    <row r="30" spans="2:11" ht="15" hidden="1" customHeight="1" outlineLevel="1" x14ac:dyDescent="0.25">
      <c r="B30" s="1142" t="s">
        <v>830</v>
      </c>
      <c r="C30" s="1143"/>
      <c r="D30" s="1143" t="s">
        <v>1266</v>
      </c>
      <c r="E30" s="1146">
        <v>3.1257326956902198E-2</v>
      </c>
      <c r="F30" s="1174" t="s">
        <v>1660</v>
      </c>
      <c r="G30" s="1146" t="s">
        <v>747</v>
      </c>
      <c r="H30" s="1174" t="s">
        <v>125</v>
      </c>
      <c r="I30" s="1146"/>
      <c r="J30" s="1148" t="s">
        <v>836</v>
      </c>
      <c r="K30" s="1175"/>
    </row>
    <row r="31" spans="2:11" ht="15" hidden="1" customHeight="1" outlineLevel="1" x14ac:dyDescent="0.25">
      <c r="B31" s="1142" t="s">
        <v>830</v>
      </c>
      <c r="C31" s="1143"/>
      <c r="D31" s="1143" t="s">
        <v>1267</v>
      </c>
      <c r="E31" s="1146">
        <v>1.6763474820712999E-4</v>
      </c>
      <c r="F31" s="1174" t="s">
        <v>1660</v>
      </c>
      <c r="G31" s="1146" t="s">
        <v>747</v>
      </c>
      <c r="H31" s="1174" t="s">
        <v>125</v>
      </c>
      <c r="I31" s="1146"/>
      <c r="J31" s="1148" t="s">
        <v>836</v>
      </c>
      <c r="K31" s="1175"/>
    </row>
    <row r="32" spans="2:11" ht="15" hidden="1" customHeight="1" outlineLevel="1" x14ac:dyDescent="0.25">
      <c r="B32" s="1142" t="s">
        <v>830</v>
      </c>
      <c r="C32" s="1143"/>
      <c r="D32" s="1143" t="s">
        <v>1268</v>
      </c>
      <c r="E32" s="1146">
        <v>8.1806948536613605E-2</v>
      </c>
      <c r="F32" s="1174" t="s">
        <v>1660</v>
      </c>
      <c r="G32" s="1146" t="s">
        <v>747</v>
      </c>
      <c r="H32" s="1174" t="s">
        <v>2220</v>
      </c>
      <c r="I32" s="1146" t="s">
        <v>2222</v>
      </c>
      <c r="J32" s="1148" t="s">
        <v>836</v>
      </c>
      <c r="K32" s="1175"/>
    </row>
    <row r="33" spans="2:13" ht="15" hidden="1" customHeight="1" outlineLevel="1" x14ac:dyDescent="0.25">
      <c r="B33" s="1142" t="s">
        <v>830</v>
      </c>
      <c r="C33" s="1143"/>
      <c r="D33" s="1143" t="s">
        <v>1269</v>
      </c>
      <c r="E33" s="1146">
        <v>0.26411117198946099</v>
      </c>
      <c r="F33" s="1174" t="s">
        <v>1660</v>
      </c>
      <c r="G33" s="1146" t="s">
        <v>747</v>
      </c>
      <c r="H33" s="1174" t="s">
        <v>125</v>
      </c>
      <c r="I33" s="1146"/>
      <c r="J33" s="1148" t="s">
        <v>836</v>
      </c>
      <c r="K33" s="1175"/>
    </row>
    <row r="34" spans="2:13" ht="15" hidden="1" customHeight="1" outlineLevel="1" x14ac:dyDescent="0.25">
      <c r="B34" s="1142" t="s">
        <v>830</v>
      </c>
      <c r="C34" s="1143"/>
      <c r="D34" s="1143" t="s">
        <v>1270</v>
      </c>
      <c r="E34" s="1146">
        <v>2.4596208430691099E-2</v>
      </c>
      <c r="F34" s="1174" t="s">
        <v>1660</v>
      </c>
      <c r="G34" s="1146" t="s">
        <v>747</v>
      </c>
      <c r="H34" s="1174" t="s">
        <v>125</v>
      </c>
      <c r="I34" s="1146"/>
      <c r="J34" s="1148" t="s">
        <v>836</v>
      </c>
      <c r="K34" s="1175"/>
    </row>
    <row r="35" spans="2:13" ht="15" hidden="1" customHeight="1" outlineLevel="1" x14ac:dyDescent="0.25">
      <c r="B35" s="1142" t="s">
        <v>830</v>
      </c>
      <c r="C35" s="1143"/>
      <c r="D35" s="1143" t="s">
        <v>1271</v>
      </c>
      <c r="E35" s="1146">
        <v>3.8249002322105402E-2</v>
      </c>
      <c r="F35" s="1174" t="s">
        <v>1660</v>
      </c>
      <c r="G35" s="1146" t="s">
        <v>747</v>
      </c>
      <c r="H35" s="1174" t="s">
        <v>125</v>
      </c>
      <c r="I35" s="1146"/>
      <c r="J35" s="1148" t="s">
        <v>836</v>
      </c>
      <c r="K35" s="1175"/>
    </row>
    <row r="36" spans="2:13" ht="15" hidden="1" customHeight="1" outlineLevel="1" x14ac:dyDescent="0.25">
      <c r="B36" s="1142" t="s">
        <v>830</v>
      </c>
      <c r="C36" s="1143"/>
      <c r="D36" s="1143" t="s">
        <v>1272</v>
      </c>
      <c r="E36" s="1146">
        <v>0.20113109868023801</v>
      </c>
      <c r="F36" s="1174" t="s">
        <v>1660</v>
      </c>
      <c r="G36" s="1146" t="s">
        <v>747</v>
      </c>
      <c r="H36" s="1174" t="s">
        <v>2220</v>
      </c>
      <c r="I36" s="1146" t="s">
        <v>2223</v>
      </c>
      <c r="J36" s="1148" t="s">
        <v>836</v>
      </c>
      <c r="K36" s="1175"/>
    </row>
    <row r="37" spans="2:13" ht="15" hidden="1" customHeight="1" outlineLevel="1" x14ac:dyDescent="0.25">
      <c r="B37" s="1149" t="s">
        <v>830</v>
      </c>
      <c r="C37" s="1150"/>
      <c r="D37" s="1150" t="s">
        <v>1273</v>
      </c>
      <c r="E37" s="1158">
        <v>4.98874390237915E-3</v>
      </c>
      <c r="F37" s="1176" t="s">
        <v>1660</v>
      </c>
      <c r="G37" s="1158" t="s">
        <v>747</v>
      </c>
      <c r="H37" s="1176" t="s">
        <v>125</v>
      </c>
      <c r="I37" s="1158"/>
      <c r="J37" s="1155" t="s">
        <v>836</v>
      </c>
      <c r="K37" s="1175"/>
    </row>
    <row r="38" spans="2:13" ht="15" customHeight="1" x14ac:dyDescent="0.25">
      <c r="F38" s="1177" t="s">
        <v>125</v>
      </c>
      <c r="H38" s="1177" t="s">
        <v>125</v>
      </c>
    </row>
    <row r="39" spans="2:13" ht="15" customHeight="1" collapsed="1" x14ac:dyDescent="0.25">
      <c r="B39" s="1164" t="s">
        <v>825</v>
      </c>
      <c r="C39" s="1165"/>
      <c r="D39" s="1198" t="s">
        <v>833</v>
      </c>
      <c r="E39" s="1168">
        <v>1</v>
      </c>
      <c r="F39" s="1178" t="s">
        <v>125</v>
      </c>
      <c r="G39" s="1168"/>
      <c r="H39" s="1178" t="s">
        <v>125</v>
      </c>
      <c r="I39" s="245"/>
      <c r="J39" s="246" t="s">
        <v>221</v>
      </c>
      <c r="K39" s="246">
        <v>100</v>
      </c>
    </row>
    <row r="40" spans="2:13" ht="15" hidden="1" customHeight="1" outlineLevel="1" x14ac:dyDescent="0.25">
      <c r="B40" s="1142" t="s">
        <v>830</v>
      </c>
      <c r="C40" s="1143"/>
      <c r="D40" s="1143" t="s">
        <v>860</v>
      </c>
      <c r="E40" s="1146">
        <v>290</v>
      </c>
      <c r="F40" s="1174" t="s">
        <v>125</v>
      </c>
      <c r="G40" s="1108"/>
      <c r="H40" s="1187" t="s">
        <v>125</v>
      </c>
      <c r="I40" s="1108"/>
      <c r="J40" s="1148" t="s">
        <v>849</v>
      </c>
      <c r="K40" s="1" t="s">
        <v>125</v>
      </c>
      <c r="M40" s="1" t="s">
        <v>125</v>
      </c>
    </row>
    <row r="41" spans="2:13" ht="15" hidden="1" customHeight="1" outlineLevel="1" x14ac:dyDescent="0.25">
      <c r="B41" s="1142" t="s">
        <v>830</v>
      </c>
      <c r="C41" s="1143"/>
      <c r="D41" s="1143" t="s">
        <v>863</v>
      </c>
      <c r="E41" s="1146">
        <v>90</v>
      </c>
      <c r="F41" s="1174" t="s">
        <v>125</v>
      </c>
      <c r="G41" s="1146"/>
      <c r="H41" s="1174" t="s">
        <v>125</v>
      </c>
      <c r="I41" s="1146"/>
      <c r="J41" s="1148" t="s">
        <v>849</v>
      </c>
      <c r="K41" s="1" t="s">
        <v>125</v>
      </c>
      <c r="M41" s="1" t="s">
        <v>862</v>
      </c>
    </row>
    <row r="42" spans="2:13" ht="15" hidden="1" customHeight="1" outlineLevel="1" x14ac:dyDescent="0.25">
      <c r="B42" s="1142" t="s">
        <v>830</v>
      </c>
      <c r="C42" s="1143"/>
      <c r="D42" s="1143" t="s">
        <v>886</v>
      </c>
      <c r="E42" s="1146">
        <v>50</v>
      </c>
      <c r="F42" s="1174" t="s">
        <v>125</v>
      </c>
      <c r="G42" s="1146"/>
      <c r="H42" s="1174" t="s">
        <v>125</v>
      </c>
      <c r="I42" s="1146"/>
      <c r="J42" s="1148" t="s">
        <v>849</v>
      </c>
      <c r="K42" s="1" t="s">
        <v>125</v>
      </c>
      <c r="M42" s="1" t="s">
        <v>125</v>
      </c>
    </row>
    <row r="43" spans="2:13" ht="15" hidden="1" customHeight="1" outlineLevel="1" x14ac:dyDescent="0.25">
      <c r="B43" s="1142" t="s">
        <v>830</v>
      </c>
      <c r="C43" s="1143"/>
      <c r="D43" s="1143" t="s">
        <v>869</v>
      </c>
      <c r="E43" s="1146">
        <v>150</v>
      </c>
      <c r="F43" s="1174" t="s">
        <v>125</v>
      </c>
      <c r="G43" s="1146"/>
      <c r="H43" s="1174" t="s">
        <v>125</v>
      </c>
      <c r="I43" s="1146"/>
      <c r="J43" s="1148" t="s">
        <v>849</v>
      </c>
      <c r="K43" s="1" t="s">
        <v>125</v>
      </c>
      <c r="M43" s="1" t="s">
        <v>125</v>
      </c>
    </row>
    <row r="44" spans="2:13" ht="15" hidden="1" customHeight="1" outlineLevel="1" x14ac:dyDescent="0.25">
      <c r="B44" s="1142" t="s">
        <v>830</v>
      </c>
      <c r="C44" s="1143"/>
      <c r="D44" s="1143" t="s">
        <v>870</v>
      </c>
      <c r="E44" s="1146">
        <v>90</v>
      </c>
      <c r="F44" s="1174" t="s">
        <v>125</v>
      </c>
      <c r="G44" s="1146"/>
      <c r="H44" s="1174" t="s">
        <v>125</v>
      </c>
      <c r="I44" s="1146"/>
      <c r="J44" s="1148" t="s">
        <v>849</v>
      </c>
      <c r="K44" s="1" t="s">
        <v>125</v>
      </c>
      <c r="M44" s="1" t="s">
        <v>125</v>
      </c>
    </row>
    <row r="45" spans="2:13" ht="15" hidden="1" customHeight="1" outlineLevel="1" x14ac:dyDescent="0.25">
      <c r="B45" s="1142" t="s">
        <v>830</v>
      </c>
      <c r="C45" s="1143"/>
      <c r="D45" s="1143" t="s">
        <v>887</v>
      </c>
      <c r="E45" s="1146">
        <v>120</v>
      </c>
      <c r="F45" s="1174" t="s">
        <v>125</v>
      </c>
      <c r="G45" s="1146"/>
      <c r="H45" s="1174" t="s">
        <v>125</v>
      </c>
      <c r="I45" s="1146"/>
      <c r="J45" s="1148" t="s">
        <v>849</v>
      </c>
      <c r="K45" s="1" t="s">
        <v>125</v>
      </c>
      <c r="M45" s="1" t="s">
        <v>888</v>
      </c>
    </row>
    <row r="46" spans="2:13" ht="15" hidden="1" customHeight="1" outlineLevel="1" x14ac:dyDescent="0.25">
      <c r="B46" s="1142" t="s">
        <v>830</v>
      </c>
      <c r="C46" s="1143"/>
      <c r="D46" s="1143" t="s">
        <v>861</v>
      </c>
      <c r="E46" s="1146">
        <v>210</v>
      </c>
      <c r="F46" s="1174" t="s">
        <v>125</v>
      </c>
      <c r="G46" s="1146"/>
      <c r="H46" s="1174" t="s">
        <v>125</v>
      </c>
      <c r="I46" s="1146"/>
      <c r="J46" s="1148" t="s">
        <v>849</v>
      </c>
      <c r="K46" s="1" t="s">
        <v>125</v>
      </c>
      <c r="M46" s="1" t="s">
        <v>888</v>
      </c>
    </row>
    <row r="47" spans="2:13" ht="15" hidden="1" customHeight="1" outlineLevel="1" x14ac:dyDescent="0.25">
      <c r="B47" s="1142" t="s">
        <v>830</v>
      </c>
      <c r="C47" s="1143"/>
      <c r="D47" s="1143" t="s">
        <v>838</v>
      </c>
      <c r="E47" s="1146">
        <v>0.315</v>
      </c>
      <c r="F47" s="1174" t="s">
        <v>125</v>
      </c>
      <c r="G47" s="1146"/>
      <c r="H47" s="1174" t="s">
        <v>125</v>
      </c>
      <c r="I47" s="1146"/>
      <c r="J47" s="1148" t="s">
        <v>304</v>
      </c>
      <c r="K47" s="1" t="s">
        <v>125</v>
      </c>
      <c r="M47" s="1" t="s">
        <v>876</v>
      </c>
    </row>
    <row r="48" spans="2:13" ht="15" hidden="1" customHeight="1" outlineLevel="1" x14ac:dyDescent="0.25">
      <c r="B48" s="1149" t="s">
        <v>830</v>
      </c>
      <c r="C48" s="1150"/>
      <c r="D48" s="1150" t="s">
        <v>858</v>
      </c>
      <c r="E48" s="1158">
        <v>0.13500000000000001</v>
      </c>
      <c r="F48" s="1176" t="s">
        <v>125</v>
      </c>
      <c r="G48" s="1158"/>
      <c r="H48" s="1176" t="s">
        <v>125</v>
      </c>
      <c r="I48" s="1158"/>
      <c r="J48" s="1155" t="s">
        <v>304</v>
      </c>
      <c r="K48" s="1" t="s">
        <v>125</v>
      </c>
      <c r="M48" s="1" t="s">
        <v>876</v>
      </c>
    </row>
    <row r="49" spans="2:13" ht="15" customHeight="1" collapsed="1" x14ac:dyDescent="0.25">
      <c r="B49" s="1109"/>
      <c r="D49" s="1159"/>
      <c r="E49" s="672"/>
      <c r="F49" s="1195" t="s">
        <v>125</v>
      </c>
      <c r="G49" s="672"/>
      <c r="H49" s="1195" t="s">
        <v>125</v>
      </c>
      <c r="I49" s="672"/>
      <c r="J49" s="672"/>
    </row>
    <row r="50" spans="2:13" ht="15" customHeight="1" collapsed="1" x14ac:dyDescent="0.25">
      <c r="B50" s="1164" t="s">
        <v>825</v>
      </c>
      <c r="C50" s="1165"/>
      <c r="D50" s="1165" t="s">
        <v>909</v>
      </c>
      <c r="E50" s="1168">
        <v>1</v>
      </c>
      <c r="F50" s="1178" t="s">
        <v>125</v>
      </c>
      <c r="G50" s="1168"/>
      <c r="H50" s="1178" t="s">
        <v>125</v>
      </c>
      <c r="I50" s="1168"/>
      <c r="J50" s="246" t="s">
        <v>221</v>
      </c>
      <c r="K50" s="292">
        <v>100</v>
      </c>
    </row>
    <row r="51" spans="2:13" ht="15" hidden="1" customHeight="1" outlineLevel="1" x14ac:dyDescent="0.25">
      <c r="B51" s="1179"/>
      <c r="C51" s="1180"/>
      <c r="D51" s="1180" t="s">
        <v>2126</v>
      </c>
      <c r="E51" s="1181"/>
      <c r="F51" s="1182" t="s">
        <v>125</v>
      </c>
      <c r="G51" s="1181"/>
      <c r="H51" s="1182" t="s">
        <v>125</v>
      </c>
      <c r="I51" s="1181"/>
      <c r="J51" s="957"/>
      <c r="K51" s="1175"/>
      <c r="M51" s="1" t="s">
        <v>2127</v>
      </c>
    </row>
    <row r="52" spans="2:13" ht="15" customHeight="1" x14ac:dyDescent="0.25">
      <c r="F52" s="1177" t="s">
        <v>125</v>
      </c>
      <c r="H52" s="1177" t="s">
        <v>125</v>
      </c>
    </row>
    <row r="53" spans="2:13" ht="15" customHeight="1" collapsed="1" x14ac:dyDescent="0.25">
      <c r="B53" s="1164" t="s">
        <v>825</v>
      </c>
      <c r="C53" s="1165"/>
      <c r="D53" s="1165" t="s">
        <v>855</v>
      </c>
      <c r="E53" s="1168">
        <v>0.94</v>
      </c>
      <c r="F53" s="1178" t="s">
        <v>248</v>
      </c>
      <c r="G53" s="1168" t="s">
        <v>756</v>
      </c>
      <c r="H53" s="1178"/>
      <c r="I53" s="1168"/>
      <c r="J53" s="246" t="s">
        <v>221</v>
      </c>
      <c r="K53" s="292">
        <v>100</v>
      </c>
    </row>
    <row r="54" spans="2:13" ht="15" hidden="1" customHeight="1" outlineLevel="1" x14ac:dyDescent="0.25">
      <c r="B54" s="1137" t="s">
        <v>830</v>
      </c>
      <c r="C54" s="1143"/>
      <c r="D54" s="1138" t="s">
        <v>861</v>
      </c>
      <c r="E54" s="1163">
        <v>250</v>
      </c>
      <c r="F54" s="1196" t="s">
        <v>125</v>
      </c>
      <c r="G54" s="954"/>
      <c r="H54" s="1185" t="s">
        <v>125</v>
      </c>
      <c r="I54" s="954"/>
      <c r="J54" s="955" t="s">
        <v>849</v>
      </c>
      <c r="K54" s="1" t="s">
        <v>125</v>
      </c>
      <c r="M54" s="1" t="s">
        <v>862</v>
      </c>
    </row>
    <row r="55" spans="2:13" ht="15" hidden="1" customHeight="1" outlineLevel="1" x14ac:dyDescent="0.25">
      <c r="B55" s="1142" t="s">
        <v>830</v>
      </c>
      <c r="C55" s="1143"/>
      <c r="D55" s="1143" t="s">
        <v>863</v>
      </c>
      <c r="E55" s="1146">
        <v>180</v>
      </c>
      <c r="F55" s="1174" t="s">
        <v>125</v>
      </c>
      <c r="G55" s="1146"/>
      <c r="H55" s="1174" t="s">
        <v>125</v>
      </c>
      <c r="I55" s="1146"/>
      <c r="J55" s="1148" t="s">
        <v>849</v>
      </c>
      <c r="K55" s="1" t="s">
        <v>125</v>
      </c>
      <c r="M55" s="1" t="s">
        <v>862</v>
      </c>
    </row>
    <row r="56" spans="2:13" ht="15" hidden="1" customHeight="1" outlineLevel="1" x14ac:dyDescent="0.25">
      <c r="B56" s="1142" t="s">
        <v>830</v>
      </c>
      <c r="C56" s="1143"/>
      <c r="D56" s="1143" t="s">
        <v>864</v>
      </c>
      <c r="E56" s="1146">
        <v>5</v>
      </c>
      <c r="F56" s="1174" t="s">
        <v>125</v>
      </c>
      <c r="G56" s="1146"/>
      <c r="H56" s="1174" t="s">
        <v>125</v>
      </c>
      <c r="I56" s="1146"/>
      <c r="J56" s="1148" t="s">
        <v>849</v>
      </c>
      <c r="K56" s="1" t="s">
        <v>125</v>
      </c>
      <c r="M56" s="1" t="s">
        <v>125</v>
      </c>
    </row>
    <row r="57" spans="2:13" ht="15" hidden="1" customHeight="1" outlineLevel="1" x14ac:dyDescent="0.25">
      <c r="B57" s="1142" t="s">
        <v>830</v>
      </c>
      <c r="C57" s="1143"/>
      <c r="D57" s="1143" t="s">
        <v>867</v>
      </c>
      <c r="E57" s="1146">
        <v>310</v>
      </c>
      <c r="F57" s="1174" t="s">
        <v>125</v>
      </c>
      <c r="G57" s="1146"/>
      <c r="H57" s="1174" t="s">
        <v>125</v>
      </c>
      <c r="I57" s="1146"/>
      <c r="J57" s="1148" t="s">
        <v>849</v>
      </c>
      <c r="K57" s="1" t="s">
        <v>125</v>
      </c>
      <c r="M57" s="1" t="s">
        <v>862</v>
      </c>
    </row>
    <row r="58" spans="2:13" ht="15" hidden="1" customHeight="1" outlineLevel="1" x14ac:dyDescent="0.25">
      <c r="B58" s="1142" t="s">
        <v>830</v>
      </c>
      <c r="C58" s="1143"/>
      <c r="D58" s="1143" t="s">
        <v>868</v>
      </c>
      <c r="E58" s="1146">
        <v>5</v>
      </c>
      <c r="F58" s="1174" t="s">
        <v>125</v>
      </c>
      <c r="G58" s="1146"/>
      <c r="H58" s="1174" t="s">
        <v>125</v>
      </c>
      <c r="I58" s="1146"/>
      <c r="J58" s="1148" t="s">
        <v>849</v>
      </c>
      <c r="K58" s="1" t="s">
        <v>125</v>
      </c>
      <c r="M58" s="1" t="s">
        <v>125</v>
      </c>
    </row>
    <row r="59" spans="2:13" ht="15" hidden="1" customHeight="1" outlineLevel="1" x14ac:dyDescent="0.25">
      <c r="B59" s="1142" t="s">
        <v>830</v>
      </c>
      <c r="C59" s="1143"/>
      <c r="D59" s="1143" t="s">
        <v>869</v>
      </c>
      <c r="E59" s="1146">
        <v>110</v>
      </c>
      <c r="F59" s="1174" t="s">
        <v>125</v>
      </c>
      <c r="G59" s="1146"/>
      <c r="H59" s="1174" t="s">
        <v>125</v>
      </c>
      <c r="I59" s="1146"/>
      <c r="J59" s="1148" t="s">
        <v>849</v>
      </c>
      <c r="K59" s="1" t="s">
        <v>125</v>
      </c>
      <c r="M59" s="1" t="s">
        <v>125</v>
      </c>
    </row>
    <row r="60" spans="2:13" ht="15" hidden="1" customHeight="1" outlineLevel="1" x14ac:dyDescent="0.25">
      <c r="B60" s="1142" t="s">
        <v>830</v>
      </c>
      <c r="C60" s="1143"/>
      <c r="D60" s="1143" t="s">
        <v>870</v>
      </c>
      <c r="E60" s="1146">
        <v>5</v>
      </c>
      <c r="F60" s="1174" t="s">
        <v>125</v>
      </c>
      <c r="G60" s="1146"/>
      <c r="H60" s="1174" t="s">
        <v>125</v>
      </c>
      <c r="I60" s="1146"/>
      <c r="J60" s="1148" t="s">
        <v>849</v>
      </c>
      <c r="K60" s="1" t="s">
        <v>125</v>
      </c>
      <c r="M60" s="1" t="s">
        <v>125</v>
      </c>
    </row>
    <row r="61" spans="2:13" ht="15" hidden="1" customHeight="1" outlineLevel="1" x14ac:dyDescent="0.25">
      <c r="B61" s="1142" t="s">
        <v>830</v>
      </c>
      <c r="C61" s="1143"/>
      <c r="D61" s="1143" t="s">
        <v>871</v>
      </c>
      <c r="E61" s="1146">
        <v>30</v>
      </c>
      <c r="F61" s="1174" t="s">
        <v>1660</v>
      </c>
      <c r="G61" s="1146" t="s">
        <v>747</v>
      </c>
      <c r="H61" s="1174" t="s">
        <v>125</v>
      </c>
      <c r="I61" s="1146"/>
      <c r="J61" s="1148" t="s">
        <v>849</v>
      </c>
      <c r="K61" s="1" t="s">
        <v>125</v>
      </c>
      <c r="M61" s="1" t="s">
        <v>872</v>
      </c>
    </row>
    <row r="62" spans="2:13" ht="15" hidden="1" customHeight="1" outlineLevel="1" x14ac:dyDescent="0.25">
      <c r="B62" s="1142" t="s">
        <v>830</v>
      </c>
      <c r="C62" s="1143"/>
      <c r="D62" s="1143" t="s">
        <v>873</v>
      </c>
      <c r="E62" s="1146">
        <v>40</v>
      </c>
      <c r="F62" s="1174" t="s">
        <v>125</v>
      </c>
      <c r="G62" s="1146"/>
      <c r="H62" s="1174" t="s">
        <v>125</v>
      </c>
      <c r="I62" s="1146"/>
      <c r="J62" s="1148" t="s">
        <v>849</v>
      </c>
      <c r="K62" s="1" t="s">
        <v>125</v>
      </c>
      <c r="M62" s="1" t="s">
        <v>125</v>
      </c>
    </row>
    <row r="63" spans="2:13" ht="15" hidden="1" customHeight="1" outlineLevel="1" x14ac:dyDescent="0.25">
      <c r="B63" s="1142" t="s">
        <v>830</v>
      </c>
      <c r="C63" s="1143"/>
      <c r="D63" s="1143" t="s">
        <v>1352</v>
      </c>
      <c r="E63" s="1146">
        <v>5</v>
      </c>
      <c r="F63" s="1174" t="s">
        <v>125</v>
      </c>
      <c r="G63" s="1146"/>
      <c r="H63" s="1174" t="s">
        <v>125</v>
      </c>
      <c r="I63" s="1146"/>
      <c r="J63" s="1148" t="s">
        <v>849</v>
      </c>
      <c r="K63" s="1" t="s">
        <v>125</v>
      </c>
      <c r="M63" s="1" t="s">
        <v>125</v>
      </c>
    </row>
    <row r="64" spans="2:13" ht="15" hidden="1" customHeight="1" outlineLevel="1" x14ac:dyDescent="0.25">
      <c r="B64" s="1142" t="s">
        <v>830</v>
      </c>
      <c r="C64" s="1143"/>
      <c r="D64" s="1143" t="s">
        <v>857</v>
      </c>
      <c r="E64" s="1146">
        <v>0.29599999999999999</v>
      </c>
      <c r="F64" s="1174" t="s">
        <v>125</v>
      </c>
      <c r="G64" s="1146"/>
      <c r="H64" s="1174" t="s">
        <v>125</v>
      </c>
      <c r="I64" s="1146"/>
      <c r="J64" s="1148" t="s">
        <v>304</v>
      </c>
      <c r="K64" s="1" t="s">
        <v>125</v>
      </c>
      <c r="M64" s="1" t="s">
        <v>876</v>
      </c>
    </row>
    <row r="65" spans="2:13" ht="15" hidden="1" customHeight="1" outlineLevel="1" x14ac:dyDescent="0.25">
      <c r="B65" s="1149" t="s">
        <v>830</v>
      </c>
      <c r="C65" s="1150"/>
      <c r="D65" s="1150" t="s">
        <v>858</v>
      </c>
      <c r="E65" s="1158">
        <v>0.127</v>
      </c>
      <c r="F65" s="1176" t="s">
        <v>125</v>
      </c>
      <c r="G65" s="1158"/>
      <c r="H65" s="1176" t="s">
        <v>125</v>
      </c>
      <c r="I65" s="1158"/>
      <c r="J65" s="1155" t="s">
        <v>304</v>
      </c>
      <c r="K65" s="1" t="s">
        <v>125</v>
      </c>
      <c r="M65" s="1" t="s">
        <v>876</v>
      </c>
    </row>
    <row r="66" spans="2:13" ht="15" customHeight="1" collapsed="1" x14ac:dyDescent="0.25">
      <c r="B66" s="1109"/>
      <c r="D66" s="1159"/>
      <c r="E66" s="672"/>
      <c r="F66" s="1195" t="s">
        <v>125</v>
      </c>
      <c r="G66" s="672"/>
      <c r="H66" s="1195" t="s">
        <v>125</v>
      </c>
      <c r="I66" s="672"/>
      <c r="J66" s="672"/>
    </row>
    <row r="67" spans="2:13" ht="15" customHeight="1" collapsed="1" x14ac:dyDescent="0.25">
      <c r="B67" s="1164" t="s">
        <v>825</v>
      </c>
      <c r="C67" s="1165"/>
      <c r="D67" s="1165" t="s">
        <v>879</v>
      </c>
      <c r="E67" s="1168">
        <v>0.96</v>
      </c>
      <c r="F67" s="1178" t="s">
        <v>248</v>
      </c>
      <c r="G67" s="1168" t="s">
        <v>758</v>
      </c>
      <c r="H67" s="1178"/>
      <c r="I67" s="1168"/>
      <c r="J67" s="246" t="s">
        <v>221</v>
      </c>
      <c r="K67" s="292">
        <v>100</v>
      </c>
    </row>
    <row r="68" spans="2:13" ht="15" hidden="1" customHeight="1" outlineLevel="1" x14ac:dyDescent="0.25">
      <c r="B68" s="1142" t="s">
        <v>830</v>
      </c>
      <c r="C68" s="1143"/>
      <c r="D68" s="1143" t="s">
        <v>860</v>
      </c>
      <c r="E68" s="1146">
        <v>70</v>
      </c>
      <c r="F68" s="1174" t="s">
        <v>125</v>
      </c>
      <c r="G68" s="1108"/>
      <c r="H68" s="1187" t="s">
        <v>125</v>
      </c>
      <c r="I68" s="1108"/>
      <c r="J68" s="1148" t="s">
        <v>849</v>
      </c>
      <c r="K68" s="1" t="s">
        <v>125</v>
      </c>
      <c r="M68" s="1" t="s">
        <v>125</v>
      </c>
    </row>
    <row r="69" spans="2:13" ht="15" hidden="1" customHeight="1" outlineLevel="1" x14ac:dyDescent="0.25">
      <c r="B69" s="1142" t="s">
        <v>830</v>
      </c>
      <c r="C69" s="1143"/>
      <c r="D69" s="1143" t="s">
        <v>861</v>
      </c>
      <c r="E69" s="1146">
        <v>170</v>
      </c>
      <c r="F69" s="1174" t="s">
        <v>125</v>
      </c>
      <c r="G69" s="1146"/>
      <c r="H69" s="1174" t="s">
        <v>125</v>
      </c>
      <c r="I69" s="1146"/>
      <c r="J69" s="1148" t="s">
        <v>849</v>
      </c>
      <c r="K69" s="1" t="s">
        <v>125</v>
      </c>
      <c r="M69" s="1" t="s">
        <v>862</v>
      </c>
    </row>
    <row r="70" spans="2:13" ht="15" hidden="1" customHeight="1" outlineLevel="1" x14ac:dyDescent="0.25">
      <c r="B70" s="1142" t="s">
        <v>830</v>
      </c>
      <c r="C70" s="1143"/>
      <c r="D70" s="1143" t="s">
        <v>863</v>
      </c>
      <c r="E70" s="1146">
        <v>340</v>
      </c>
      <c r="F70" s="1174" t="s">
        <v>125</v>
      </c>
      <c r="G70" s="1146"/>
      <c r="H70" s="1174" t="s">
        <v>125</v>
      </c>
      <c r="I70" s="1146"/>
      <c r="J70" s="1148" t="s">
        <v>849</v>
      </c>
      <c r="K70" s="1" t="s">
        <v>125</v>
      </c>
      <c r="M70" s="1" t="s">
        <v>862</v>
      </c>
    </row>
    <row r="71" spans="2:13" ht="15" hidden="1" customHeight="1" outlineLevel="1" x14ac:dyDescent="0.25">
      <c r="B71" s="1142" t="s">
        <v>830</v>
      </c>
      <c r="C71" s="1143"/>
      <c r="D71" s="1143" t="s">
        <v>864</v>
      </c>
      <c r="E71" s="1146">
        <v>120</v>
      </c>
      <c r="F71" s="1174" t="s">
        <v>125</v>
      </c>
      <c r="G71" s="1146"/>
      <c r="H71" s="1174" t="s">
        <v>125</v>
      </c>
      <c r="I71" s="1146"/>
      <c r="J71" s="1148" t="s">
        <v>849</v>
      </c>
      <c r="K71" s="1" t="s">
        <v>125</v>
      </c>
      <c r="M71" s="1" t="s">
        <v>125</v>
      </c>
    </row>
    <row r="72" spans="2:13" ht="15" hidden="1" customHeight="1" outlineLevel="1" x14ac:dyDescent="0.25">
      <c r="B72" s="1142" t="s">
        <v>830</v>
      </c>
      <c r="C72" s="1143"/>
      <c r="D72" s="1143" t="s">
        <v>865</v>
      </c>
      <c r="E72" s="1146">
        <v>12.5</v>
      </c>
      <c r="F72" s="1174" t="s">
        <v>125</v>
      </c>
      <c r="G72" s="1146"/>
      <c r="H72" s="1174" t="s">
        <v>125</v>
      </c>
      <c r="I72" s="1146"/>
      <c r="J72" s="1148" t="s">
        <v>849</v>
      </c>
      <c r="K72" s="1" t="s">
        <v>125</v>
      </c>
      <c r="M72" s="1" t="s">
        <v>125</v>
      </c>
    </row>
    <row r="73" spans="2:13" ht="15" hidden="1" customHeight="1" outlineLevel="1" x14ac:dyDescent="0.25">
      <c r="B73" s="1142" t="s">
        <v>830</v>
      </c>
      <c r="C73" s="1143"/>
      <c r="D73" s="1143" t="s">
        <v>866</v>
      </c>
      <c r="E73" s="1146">
        <v>5</v>
      </c>
      <c r="F73" s="1174" t="s">
        <v>125</v>
      </c>
      <c r="G73" s="1146"/>
      <c r="H73" s="1174" t="s">
        <v>125</v>
      </c>
      <c r="I73" s="1146"/>
      <c r="J73" s="1148" t="s">
        <v>849</v>
      </c>
      <c r="K73" s="1" t="s">
        <v>125</v>
      </c>
      <c r="M73" s="1" t="s">
        <v>125</v>
      </c>
    </row>
    <row r="74" spans="2:13" ht="15" hidden="1" customHeight="1" outlineLevel="1" x14ac:dyDescent="0.25">
      <c r="B74" s="1142" t="s">
        <v>830</v>
      </c>
      <c r="C74" s="1143"/>
      <c r="D74" s="1143" t="s">
        <v>867</v>
      </c>
      <c r="E74" s="1146">
        <v>30</v>
      </c>
      <c r="F74" s="1174" t="s">
        <v>125</v>
      </c>
      <c r="G74" s="1146"/>
      <c r="H74" s="1174" t="s">
        <v>125</v>
      </c>
      <c r="I74" s="1146"/>
      <c r="J74" s="1148" t="s">
        <v>849</v>
      </c>
      <c r="K74" s="1" t="s">
        <v>125</v>
      </c>
      <c r="M74" s="1" t="s">
        <v>862</v>
      </c>
    </row>
    <row r="75" spans="2:13" ht="15" hidden="1" customHeight="1" outlineLevel="1" x14ac:dyDescent="0.25">
      <c r="B75" s="1142" t="s">
        <v>830</v>
      </c>
      <c r="C75" s="1143"/>
      <c r="D75" s="1143" t="s">
        <v>868</v>
      </c>
      <c r="E75" s="1146">
        <v>130</v>
      </c>
      <c r="F75" s="1174" t="s">
        <v>125</v>
      </c>
      <c r="G75" s="1146"/>
      <c r="H75" s="1174" t="s">
        <v>125</v>
      </c>
      <c r="I75" s="1146"/>
      <c r="J75" s="1148" t="s">
        <v>849</v>
      </c>
      <c r="K75" s="1" t="s">
        <v>125</v>
      </c>
      <c r="M75" s="1" t="s">
        <v>125</v>
      </c>
    </row>
    <row r="76" spans="2:13" ht="15" hidden="1" customHeight="1" outlineLevel="1" x14ac:dyDescent="0.25">
      <c r="B76" s="1142" t="s">
        <v>830</v>
      </c>
      <c r="C76" s="1143"/>
      <c r="D76" s="1143" t="s">
        <v>869</v>
      </c>
      <c r="E76" s="1146">
        <v>60</v>
      </c>
      <c r="F76" s="1174" t="s">
        <v>125</v>
      </c>
      <c r="G76" s="1146"/>
      <c r="H76" s="1174" t="s">
        <v>125</v>
      </c>
      <c r="I76" s="1146"/>
      <c r="J76" s="1148" t="s">
        <v>849</v>
      </c>
      <c r="K76" s="1" t="s">
        <v>125</v>
      </c>
      <c r="M76" s="1" t="s">
        <v>125</v>
      </c>
    </row>
    <row r="77" spans="2:13" ht="15" hidden="1" customHeight="1" outlineLevel="1" x14ac:dyDescent="0.25">
      <c r="B77" s="1142" t="s">
        <v>830</v>
      </c>
      <c r="C77" s="1143"/>
      <c r="D77" s="1143" t="s">
        <v>870</v>
      </c>
      <c r="E77" s="1146">
        <v>10</v>
      </c>
      <c r="F77" s="1174" t="s">
        <v>125</v>
      </c>
      <c r="G77" s="1146"/>
      <c r="H77" s="1174" t="s">
        <v>125</v>
      </c>
      <c r="I77" s="1146"/>
      <c r="J77" s="1148" t="s">
        <v>849</v>
      </c>
      <c r="K77" s="1" t="s">
        <v>125</v>
      </c>
      <c r="M77" s="1" t="s">
        <v>125</v>
      </c>
    </row>
    <row r="78" spans="2:13" ht="15" hidden="1" customHeight="1" outlineLevel="1" x14ac:dyDescent="0.25">
      <c r="B78" s="1142" t="s">
        <v>830</v>
      </c>
      <c r="C78" s="1143"/>
      <c r="D78" s="1143" t="s">
        <v>871</v>
      </c>
      <c r="E78" s="1146">
        <v>2.5</v>
      </c>
      <c r="F78" s="1174" t="s">
        <v>1660</v>
      </c>
      <c r="G78" s="1146" t="s">
        <v>747</v>
      </c>
      <c r="H78" s="1174" t="s">
        <v>125</v>
      </c>
      <c r="I78" s="1146"/>
      <c r="J78" s="1148" t="s">
        <v>849</v>
      </c>
      <c r="K78" s="1" t="s">
        <v>125</v>
      </c>
      <c r="M78" s="1" t="s">
        <v>872</v>
      </c>
    </row>
    <row r="79" spans="2:13" ht="15" hidden="1" customHeight="1" outlineLevel="1" x14ac:dyDescent="0.25">
      <c r="B79" s="1142" t="s">
        <v>830</v>
      </c>
      <c r="C79" s="1143"/>
      <c r="D79" s="1143" t="s">
        <v>873</v>
      </c>
      <c r="E79" s="1146">
        <v>10</v>
      </c>
      <c r="F79" s="1174" t="s">
        <v>125</v>
      </c>
      <c r="G79" s="1146"/>
      <c r="H79" s="1174" t="s">
        <v>125</v>
      </c>
      <c r="I79" s="1146"/>
      <c r="J79" s="1148" t="s">
        <v>849</v>
      </c>
      <c r="K79" s="1" t="s">
        <v>125</v>
      </c>
      <c r="M79" s="1" t="s">
        <v>125</v>
      </c>
    </row>
    <row r="80" spans="2:13" ht="15" hidden="1" customHeight="1" outlineLevel="1" x14ac:dyDescent="0.25">
      <c r="B80" s="1142" t="s">
        <v>830</v>
      </c>
      <c r="C80" s="1143"/>
      <c r="D80" s="1143" t="s">
        <v>857</v>
      </c>
      <c r="E80" s="1146">
        <v>0.30199999999999999</v>
      </c>
      <c r="F80" s="1174" t="s">
        <v>125</v>
      </c>
      <c r="G80" s="1146"/>
      <c r="H80" s="1174" t="s">
        <v>125</v>
      </c>
      <c r="I80" s="1146"/>
      <c r="J80" s="1148" t="s">
        <v>304</v>
      </c>
      <c r="K80" s="1" t="s">
        <v>125</v>
      </c>
      <c r="M80" s="1" t="s">
        <v>876</v>
      </c>
    </row>
    <row r="81" spans="2:13" ht="15" hidden="1" customHeight="1" outlineLevel="1" x14ac:dyDescent="0.25">
      <c r="B81" s="1149" t="s">
        <v>830</v>
      </c>
      <c r="C81" s="1150"/>
      <c r="D81" s="1150" t="s">
        <v>858</v>
      </c>
      <c r="E81" s="1158">
        <v>0.13</v>
      </c>
      <c r="F81" s="1176" t="s">
        <v>125</v>
      </c>
      <c r="G81" s="1158"/>
      <c r="H81" s="1176" t="s">
        <v>125</v>
      </c>
      <c r="I81" s="1158"/>
      <c r="J81" s="1155" t="s">
        <v>304</v>
      </c>
      <c r="K81" s="1" t="s">
        <v>125</v>
      </c>
      <c r="M81" s="1" t="s">
        <v>876</v>
      </c>
    </row>
    <row r="82" spans="2:13" ht="15" customHeight="1" collapsed="1" x14ac:dyDescent="0.25">
      <c r="B82" s="1109"/>
      <c r="D82" s="1159"/>
      <c r="E82" s="672"/>
      <c r="F82" s="1195" t="s">
        <v>125</v>
      </c>
      <c r="G82" s="672"/>
      <c r="H82" s="1195" t="s">
        <v>125</v>
      </c>
      <c r="I82" s="672"/>
      <c r="J82" s="672"/>
    </row>
    <row r="83" spans="2:13" ht="15" customHeight="1" collapsed="1" x14ac:dyDescent="0.25">
      <c r="B83" s="1164" t="s">
        <v>825</v>
      </c>
      <c r="C83" s="1165"/>
      <c r="D83" s="1165" t="s">
        <v>859</v>
      </c>
      <c r="E83" s="1168">
        <v>0.96499999999999997</v>
      </c>
      <c r="F83" s="1178" t="s">
        <v>248</v>
      </c>
      <c r="G83" s="1168" t="s">
        <v>757</v>
      </c>
      <c r="H83" s="1178"/>
      <c r="I83" s="1168"/>
      <c r="J83" s="246" t="s">
        <v>221</v>
      </c>
      <c r="K83" s="292">
        <v>100</v>
      </c>
    </row>
    <row r="84" spans="2:13" ht="15" hidden="1" customHeight="1" outlineLevel="1" x14ac:dyDescent="0.25">
      <c r="B84" s="1142" t="s">
        <v>830</v>
      </c>
      <c r="C84" s="1143"/>
      <c r="D84" s="1143" t="s">
        <v>860</v>
      </c>
      <c r="E84" s="1146">
        <v>30</v>
      </c>
      <c r="F84" s="1174" t="s">
        <v>125</v>
      </c>
      <c r="G84" s="1108"/>
      <c r="H84" s="1187" t="s">
        <v>125</v>
      </c>
      <c r="I84" s="1108"/>
      <c r="J84" s="1148" t="s">
        <v>849</v>
      </c>
      <c r="K84" s="1" t="s">
        <v>125</v>
      </c>
      <c r="M84" s="1" t="s">
        <v>125</v>
      </c>
    </row>
    <row r="85" spans="2:13" ht="15" hidden="1" customHeight="1" outlineLevel="1" x14ac:dyDescent="0.25">
      <c r="B85" s="1142" t="s">
        <v>830</v>
      </c>
      <c r="C85" s="1143"/>
      <c r="D85" s="1143" t="s">
        <v>861</v>
      </c>
      <c r="E85" s="1146">
        <v>260</v>
      </c>
      <c r="F85" s="1174" t="s">
        <v>125</v>
      </c>
      <c r="G85" s="1146"/>
      <c r="H85" s="1174" t="s">
        <v>125</v>
      </c>
      <c r="I85" s="1146"/>
      <c r="J85" s="1148" t="s">
        <v>849</v>
      </c>
      <c r="K85" s="1" t="s">
        <v>125</v>
      </c>
      <c r="M85" s="1" t="s">
        <v>862</v>
      </c>
    </row>
    <row r="86" spans="2:13" ht="15" hidden="1" customHeight="1" outlineLevel="1" x14ac:dyDescent="0.25">
      <c r="B86" s="1142" t="s">
        <v>830</v>
      </c>
      <c r="C86" s="1143"/>
      <c r="D86" s="1143" t="s">
        <v>863</v>
      </c>
      <c r="E86" s="1146">
        <v>285</v>
      </c>
      <c r="F86" s="1174" t="s">
        <v>125</v>
      </c>
      <c r="G86" s="1146"/>
      <c r="H86" s="1174" t="s">
        <v>125</v>
      </c>
      <c r="I86" s="1146"/>
      <c r="J86" s="1148" t="s">
        <v>849</v>
      </c>
      <c r="K86" s="1" t="s">
        <v>125</v>
      </c>
      <c r="M86" s="1" t="s">
        <v>862</v>
      </c>
    </row>
    <row r="87" spans="2:13" ht="15" hidden="1" customHeight="1" outlineLevel="1" x14ac:dyDescent="0.25">
      <c r="B87" s="1142" t="s">
        <v>830</v>
      </c>
      <c r="C87" s="1143"/>
      <c r="D87" s="1143" t="s">
        <v>864</v>
      </c>
      <c r="E87" s="1146">
        <v>75</v>
      </c>
      <c r="F87" s="1174" t="s">
        <v>125</v>
      </c>
      <c r="G87" s="1146"/>
      <c r="H87" s="1174" t="s">
        <v>125</v>
      </c>
      <c r="I87" s="1146"/>
      <c r="J87" s="1148" t="s">
        <v>849</v>
      </c>
      <c r="K87" s="1" t="s">
        <v>125</v>
      </c>
      <c r="M87" s="1" t="s">
        <v>125</v>
      </c>
    </row>
    <row r="88" spans="2:13" ht="15" hidden="1" customHeight="1" outlineLevel="1" x14ac:dyDescent="0.25">
      <c r="B88" s="1142" t="s">
        <v>830</v>
      </c>
      <c r="C88" s="1143"/>
      <c r="D88" s="1143" t="s">
        <v>865</v>
      </c>
      <c r="E88" s="1146">
        <v>15</v>
      </c>
      <c r="F88" s="1174" t="s">
        <v>125</v>
      </c>
      <c r="G88" s="1146"/>
      <c r="H88" s="1174" t="s">
        <v>125</v>
      </c>
      <c r="I88" s="1146"/>
      <c r="J88" s="1148" t="s">
        <v>849</v>
      </c>
      <c r="K88" s="1" t="s">
        <v>125</v>
      </c>
      <c r="M88" s="1" t="s">
        <v>125</v>
      </c>
    </row>
    <row r="89" spans="2:13" ht="15" hidden="1" customHeight="1" outlineLevel="1" x14ac:dyDescent="0.25">
      <c r="B89" s="1142" t="s">
        <v>830</v>
      </c>
      <c r="C89" s="1143"/>
      <c r="D89" s="1143" t="s">
        <v>866</v>
      </c>
      <c r="E89" s="1146">
        <v>15</v>
      </c>
      <c r="F89" s="1174" t="s">
        <v>125</v>
      </c>
      <c r="G89" s="1146"/>
      <c r="H89" s="1174" t="s">
        <v>125</v>
      </c>
      <c r="I89" s="1146"/>
      <c r="J89" s="1148" t="s">
        <v>849</v>
      </c>
      <c r="K89" s="1" t="s">
        <v>125</v>
      </c>
      <c r="M89" s="1" t="s">
        <v>125</v>
      </c>
    </row>
    <row r="90" spans="2:13" ht="15" hidden="1" customHeight="1" outlineLevel="1" x14ac:dyDescent="0.25">
      <c r="B90" s="1142" t="s">
        <v>830</v>
      </c>
      <c r="C90" s="1143"/>
      <c r="D90" s="1143" t="s">
        <v>867</v>
      </c>
      <c r="E90" s="1146">
        <v>65</v>
      </c>
      <c r="F90" s="1174" t="s">
        <v>125</v>
      </c>
      <c r="G90" s="1146"/>
      <c r="H90" s="1174" t="s">
        <v>125</v>
      </c>
      <c r="I90" s="1146"/>
      <c r="J90" s="1148" t="s">
        <v>849</v>
      </c>
      <c r="K90" s="1" t="s">
        <v>125</v>
      </c>
      <c r="M90" s="1" t="s">
        <v>862</v>
      </c>
    </row>
    <row r="91" spans="2:13" ht="15" hidden="1" customHeight="1" outlineLevel="1" x14ac:dyDescent="0.25">
      <c r="B91" s="1142" t="s">
        <v>830</v>
      </c>
      <c r="C91" s="1143"/>
      <c r="D91" s="1143" t="s">
        <v>868</v>
      </c>
      <c r="E91" s="1146">
        <v>60</v>
      </c>
      <c r="F91" s="1174" t="s">
        <v>125</v>
      </c>
      <c r="G91" s="1146"/>
      <c r="H91" s="1174" t="s">
        <v>125</v>
      </c>
      <c r="I91" s="1146"/>
      <c r="J91" s="1148" t="s">
        <v>849</v>
      </c>
      <c r="K91" s="1" t="s">
        <v>125</v>
      </c>
      <c r="M91" s="1" t="s">
        <v>125</v>
      </c>
    </row>
    <row r="92" spans="2:13" ht="15" hidden="1" customHeight="1" outlineLevel="1" x14ac:dyDescent="0.25">
      <c r="B92" s="1142" t="s">
        <v>830</v>
      </c>
      <c r="C92" s="1143"/>
      <c r="D92" s="1143" t="s">
        <v>869</v>
      </c>
      <c r="E92" s="1146">
        <v>55</v>
      </c>
      <c r="F92" s="1174" t="s">
        <v>125</v>
      </c>
      <c r="G92" s="1146"/>
      <c r="H92" s="1174" t="s">
        <v>125</v>
      </c>
      <c r="I92" s="1146"/>
      <c r="J92" s="1148" t="s">
        <v>849</v>
      </c>
      <c r="K92" s="1" t="s">
        <v>125</v>
      </c>
      <c r="M92" s="1" t="s">
        <v>125</v>
      </c>
    </row>
    <row r="93" spans="2:13" ht="15" hidden="1" customHeight="1" outlineLevel="1" x14ac:dyDescent="0.25">
      <c r="B93" s="1142" t="s">
        <v>830</v>
      </c>
      <c r="C93" s="1143"/>
      <c r="D93" s="1143" t="s">
        <v>870</v>
      </c>
      <c r="E93" s="1146">
        <v>5</v>
      </c>
      <c r="F93" s="1174" t="s">
        <v>125</v>
      </c>
      <c r="G93" s="1146"/>
      <c r="H93" s="1174" t="s">
        <v>125</v>
      </c>
      <c r="I93" s="1146"/>
      <c r="J93" s="1148" t="s">
        <v>849</v>
      </c>
      <c r="K93" s="1" t="s">
        <v>125</v>
      </c>
      <c r="M93" s="1" t="s">
        <v>125</v>
      </c>
    </row>
    <row r="94" spans="2:13" ht="15" hidden="1" customHeight="1" outlineLevel="1" x14ac:dyDescent="0.25">
      <c r="B94" s="1142" t="s">
        <v>830</v>
      </c>
      <c r="C94" s="1143"/>
      <c r="D94" s="1143" t="s">
        <v>871</v>
      </c>
      <c r="E94" s="1146">
        <v>5</v>
      </c>
      <c r="F94" s="1174" t="s">
        <v>1660</v>
      </c>
      <c r="G94" s="1146" t="s">
        <v>747</v>
      </c>
      <c r="H94" s="1174" t="s">
        <v>125</v>
      </c>
      <c r="I94" s="1146"/>
      <c r="J94" s="1148" t="s">
        <v>849</v>
      </c>
      <c r="K94" s="1" t="s">
        <v>125</v>
      </c>
      <c r="M94" s="1" t="s">
        <v>872</v>
      </c>
    </row>
    <row r="95" spans="2:13" ht="15" hidden="1" customHeight="1" outlineLevel="1" x14ac:dyDescent="0.25">
      <c r="B95" s="1142" t="s">
        <v>830</v>
      </c>
      <c r="C95" s="1143"/>
      <c r="D95" s="1143" t="s">
        <v>873</v>
      </c>
      <c r="E95" s="1146">
        <v>25</v>
      </c>
      <c r="F95" s="1174" t="s">
        <v>125</v>
      </c>
      <c r="G95" s="1146"/>
      <c r="H95" s="1174" t="s">
        <v>125</v>
      </c>
      <c r="I95" s="1146"/>
      <c r="J95" s="1148" t="s">
        <v>849</v>
      </c>
      <c r="K95" s="1" t="s">
        <v>125</v>
      </c>
      <c r="M95" s="1" t="s">
        <v>125</v>
      </c>
    </row>
    <row r="96" spans="2:13" ht="15" hidden="1" customHeight="1" outlineLevel="1" x14ac:dyDescent="0.25">
      <c r="B96" s="1142" t="s">
        <v>830</v>
      </c>
      <c r="C96" s="1143"/>
      <c r="D96" s="1143" t="s">
        <v>874</v>
      </c>
      <c r="E96" s="1146">
        <v>5</v>
      </c>
      <c r="F96" s="1174" t="s">
        <v>125</v>
      </c>
      <c r="G96" s="1146"/>
      <c r="H96" s="1174" t="s">
        <v>125</v>
      </c>
      <c r="I96" s="1146"/>
      <c r="J96" s="1148" t="s">
        <v>849</v>
      </c>
      <c r="K96" s="1" t="s">
        <v>125</v>
      </c>
      <c r="M96" s="1" t="s">
        <v>862</v>
      </c>
    </row>
    <row r="97" spans="2:13" ht="15" hidden="1" customHeight="1" outlineLevel="1" x14ac:dyDescent="0.25">
      <c r="B97" s="1142" t="s">
        <v>830</v>
      </c>
      <c r="C97" s="1143"/>
      <c r="D97" s="1143" t="s">
        <v>875</v>
      </c>
      <c r="E97" s="1146">
        <v>65</v>
      </c>
      <c r="F97" s="1174" t="s">
        <v>1660</v>
      </c>
      <c r="G97" s="1146" t="s">
        <v>747</v>
      </c>
      <c r="H97" s="1174" t="s">
        <v>125</v>
      </c>
      <c r="I97" s="1146"/>
      <c r="J97" s="1148" t="s">
        <v>849</v>
      </c>
      <c r="K97" s="1" t="s">
        <v>125</v>
      </c>
      <c r="M97" s="1" t="s">
        <v>872</v>
      </c>
    </row>
    <row r="98" spans="2:13" ht="15" hidden="1" customHeight="1" outlineLevel="1" x14ac:dyDescent="0.25">
      <c r="B98" s="1142" t="s">
        <v>830</v>
      </c>
      <c r="C98" s="1143"/>
      <c r="D98" s="1143" t="s">
        <v>857</v>
      </c>
      <c r="E98" s="1146">
        <v>0.30399999999999999</v>
      </c>
      <c r="F98" s="1174" t="s">
        <v>125</v>
      </c>
      <c r="G98" s="1146"/>
      <c r="H98" s="1174" t="s">
        <v>125</v>
      </c>
      <c r="I98" s="1146"/>
      <c r="J98" s="1148" t="s">
        <v>304</v>
      </c>
      <c r="K98" s="1" t="s">
        <v>125</v>
      </c>
      <c r="M98" s="1" t="s">
        <v>876</v>
      </c>
    </row>
    <row r="99" spans="2:13" ht="15" hidden="1" customHeight="1" outlineLevel="1" x14ac:dyDescent="0.25">
      <c r="B99" s="1149" t="s">
        <v>830</v>
      </c>
      <c r="C99" s="1150"/>
      <c r="D99" s="1150" t="s">
        <v>858</v>
      </c>
      <c r="E99" s="1158">
        <v>0.13</v>
      </c>
      <c r="F99" s="1176" t="s">
        <v>125</v>
      </c>
      <c r="G99" s="1158"/>
      <c r="H99" s="1176" t="s">
        <v>125</v>
      </c>
      <c r="I99" s="1158"/>
      <c r="J99" s="1155" t="s">
        <v>304</v>
      </c>
      <c r="K99" s="1" t="s">
        <v>125</v>
      </c>
      <c r="M99" s="1" t="s">
        <v>876</v>
      </c>
    </row>
    <row r="100" spans="2:13" ht="15" customHeight="1" collapsed="1" x14ac:dyDescent="0.25">
      <c r="B100" s="1109"/>
      <c r="D100" s="1159"/>
      <c r="E100" s="672"/>
      <c r="F100" s="1195" t="s">
        <v>125</v>
      </c>
      <c r="G100" s="672"/>
      <c r="H100" s="1195" t="s">
        <v>125</v>
      </c>
      <c r="I100" s="672"/>
      <c r="J100" s="672"/>
    </row>
    <row r="101" spans="2:13" ht="15" customHeight="1" x14ac:dyDescent="0.25">
      <c r="B101" s="1127" t="s">
        <v>825</v>
      </c>
      <c r="C101" s="1128"/>
      <c r="D101" s="1128" t="s">
        <v>1274</v>
      </c>
      <c r="E101" s="1130">
        <v>413.2</v>
      </c>
      <c r="F101" s="1172" t="s">
        <v>125</v>
      </c>
      <c r="G101" s="1130"/>
      <c r="H101" s="1172" t="s">
        <v>125</v>
      </c>
      <c r="I101" s="1130"/>
      <c r="J101" s="208" t="s">
        <v>221</v>
      </c>
      <c r="K101" s="898">
        <v>76.98</v>
      </c>
    </row>
    <row r="102" spans="2:13" ht="15" customHeight="1" collapsed="1" x14ac:dyDescent="0.25">
      <c r="B102" s="1132" t="s">
        <v>825</v>
      </c>
      <c r="C102" s="1107"/>
      <c r="D102" s="1107" t="s">
        <v>1275</v>
      </c>
      <c r="E102" s="1135">
        <v>574.4</v>
      </c>
      <c r="F102" s="1173" t="s">
        <v>125</v>
      </c>
      <c r="G102" s="1135"/>
      <c r="H102" s="1173" t="s">
        <v>125</v>
      </c>
      <c r="I102" s="1135"/>
      <c r="J102" s="211" t="s">
        <v>221</v>
      </c>
      <c r="K102" s="531">
        <v>23.02</v>
      </c>
    </row>
    <row r="103" spans="2:13" ht="15" hidden="1" customHeight="1" outlineLevel="1" x14ac:dyDescent="0.25">
      <c r="B103" s="1142" t="s">
        <v>827</v>
      </c>
      <c r="C103" s="1143"/>
      <c r="D103" s="1143" t="s">
        <v>980</v>
      </c>
      <c r="E103" s="1146">
        <v>0.248</v>
      </c>
      <c r="F103" s="1174" t="s">
        <v>125</v>
      </c>
      <c r="G103" s="1146"/>
      <c r="H103" s="1174" t="s">
        <v>125</v>
      </c>
      <c r="I103" s="1146"/>
      <c r="J103" s="1148" t="s">
        <v>186</v>
      </c>
      <c r="K103" s="1175"/>
    </row>
    <row r="104" spans="2:13" ht="15" hidden="1" customHeight="1" outlineLevel="1" x14ac:dyDescent="0.25">
      <c r="B104" s="1142" t="s">
        <v>830</v>
      </c>
      <c r="C104" s="1143"/>
      <c r="D104" s="1143" t="s">
        <v>1276</v>
      </c>
      <c r="E104" s="1146">
        <v>1000</v>
      </c>
      <c r="F104" s="1174" t="s">
        <v>125</v>
      </c>
      <c r="G104" s="1146"/>
      <c r="H104" s="1174" t="s">
        <v>125</v>
      </c>
      <c r="I104" s="1146"/>
      <c r="J104" s="1148" t="s">
        <v>221</v>
      </c>
      <c r="K104" s="1175"/>
    </row>
    <row r="105" spans="2:13" ht="15" hidden="1" customHeight="1" outlineLevel="1" x14ac:dyDescent="0.25">
      <c r="B105" s="1142" t="s">
        <v>830</v>
      </c>
      <c r="C105" s="1143"/>
      <c r="D105" s="1143" t="s">
        <v>1277</v>
      </c>
      <c r="E105" s="1146">
        <v>0.6</v>
      </c>
      <c r="F105" s="1174" t="s">
        <v>125</v>
      </c>
      <c r="G105" s="1146"/>
      <c r="H105" s="1174" t="s">
        <v>125</v>
      </c>
      <c r="I105" s="1146"/>
      <c r="J105" s="1148" t="s">
        <v>221</v>
      </c>
      <c r="K105" s="1175"/>
    </row>
    <row r="106" spans="2:13" ht="15" hidden="1" customHeight="1" outlineLevel="1" x14ac:dyDescent="0.25">
      <c r="B106" s="1142" t="s">
        <v>830</v>
      </c>
      <c r="C106" s="1143"/>
      <c r="D106" s="1143" t="s">
        <v>1054</v>
      </c>
      <c r="E106" s="1146">
        <v>148.80000000000001</v>
      </c>
      <c r="F106" s="1174" t="s">
        <v>125</v>
      </c>
      <c r="G106" s="1146"/>
      <c r="H106" s="1174" t="s">
        <v>125</v>
      </c>
      <c r="I106" s="1146"/>
      <c r="J106" s="1148" t="s">
        <v>304</v>
      </c>
      <c r="K106" s="1175"/>
    </row>
    <row r="107" spans="2:13" ht="15" hidden="1" customHeight="1" outlineLevel="1" x14ac:dyDescent="0.25">
      <c r="B107" s="1142" t="s">
        <v>830</v>
      </c>
      <c r="C107" s="1143"/>
      <c r="D107" s="1143" t="s">
        <v>1278</v>
      </c>
      <c r="E107" s="1146">
        <v>807.6</v>
      </c>
      <c r="F107" s="1174" t="s">
        <v>125</v>
      </c>
      <c r="G107" s="1146"/>
      <c r="H107" s="1174" t="s">
        <v>125</v>
      </c>
      <c r="I107" s="1146"/>
      <c r="J107" s="1148" t="s">
        <v>304</v>
      </c>
      <c r="K107" s="1175"/>
    </row>
    <row r="108" spans="2:13" ht="15" hidden="1" customHeight="1" outlineLevel="1" x14ac:dyDescent="0.25">
      <c r="B108" s="1142" t="s">
        <v>839</v>
      </c>
      <c r="C108" s="1143"/>
      <c r="D108" s="1143" t="s">
        <v>1279</v>
      </c>
      <c r="E108" s="1146">
        <v>0.6</v>
      </c>
      <c r="F108" s="1174" t="s">
        <v>125</v>
      </c>
      <c r="G108" s="1146"/>
      <c r="H108" s="1174" t="s">
        <v>125</v>
      </c>
      <c r="I108" s="1146"/>
      <c r="J108" s="1148" t="s">
        <v>221</v>
      </c>
      <c r="K108" s="1175"/>
    </row>
    <row r="109" spans="2:13" ht="15" hidden="1" customHeight="1" outlineLevel="1" x14ac:dyDescent="0.25">
      <c r="B109" s="1142" t="s">
        <v>839</v>
      </c>
      <c r="C109" s="1143"/>
      <c r="D109" s="1143" t="s">
        <v>913</v>
      </c>
      <c r="E109" s="1146">
        <v>17</v>
      </c>
      <c r="F109" s="1174" t="s">
        <v>125</v>
      </c>
      <c r="G109" s="1146"/>
      <c r="H109" s="1174" t="s">
        <v>125</v>
      </c>
      <c r="I109" s="1146"/>
      <c r="J109" s="1148" t="s">
        <v>221</v>
      </c>
      <c r="K109" s="1175"/>
    </row>
    <row r="110" spans="2:13" ht="15" hidden="1" customHeight="1" outlineLevel="1" x14ac:dyDescent="0.25">
      <c r="B110" s="1142" t="s">
        <v>839</v>
      </c>
      <c r="C110" s="1143"/>
      <c r="D110" s="1143" t="s">
        <v>1280</v>
      </c>
      <c r="E110" s="1146">
        <v>6.2E-2</v>
      </c>
      <c r="F110" s="1174" t="s">
        <v>125</v>
      </c>
      <c r="G110" s="1146"/>
      <c r="H110" s="1174" t="s">
        <v>125</v>
      </c>
      <c r="I110" s="1146"/>
      <c r="J110" s="1148" t="s">
        <v>221</v>
      </c>
      <c r="K110" s="1175"/>
    </row>
    <row r="111" spans="2:13" ht="15" hidden="1" customHeight="1" outlineLevel="1" x14ac:dyDescent="0.25">
      <c r="B111" s="1142" t="s">
        <v>1281</v>
      </c>
      <c r="C111" s="1143"/>
      <c r="D111" s="1143" t="s">
        <v>1282</v>
      </c>
      <c r="E111" s="1146">
        <v>12.4</v>
      </c>
      <c r="F111" s="1174" t="s">
        <v>125</v>
      </c>
      <c r="G111" s="1146"/>
      <c r="H111" s="1174" t="s">
        <v>125</v>
      </c>
      <c r="I111" s="1146"/>
      <c r="J111" s="1148" t="s">
        <v>221</v>
      </c>
      <c r="K111" s="1175"/>
    </row>
    <row r="112" spans="2:13" ht="15" hidden="1" customHeight="1" outlineLevel="1" x14ac:dyDescent="0.25">
      <c r="B112" s="1149" t="s">
        <v>1281</v>
      </c>
      <c r="C112" s="1150"/>
      <c r="D112" s="1150" t="s">
        <v>1283</v>
      </c>
      <c r="E112" s="1158">
        <v>231</v>
      </c>
      <c r="F112" s="1176" t="s">
        <v>125</v>
      </c>
      <c r="G112" s="1158"/>
      <c r="H112" s="1176" t="s">
        <v>125</v>
      </c>
      <c r="I112" s="1158"/>
      <c r="J112" s="1155" t="s">
        <v>221</v>
      </c>
      <c r="K112" s="1175"/>
    </row>
    <row r="113" spans="2:11" ht="15" customHeight="1" x14ac:dyDescent="0.25">
      <c r="F113" s="1177" t="s">
        <v>125</v>
      </c>
      <c r="H113" s="1177" t="s">
        <v>125</v>
      </c>
    </row>
    <row r="114" spans="2:11" ht="15" customHeight="1" x14ac:dyDescent="0.25">
      <c r="B114" s="1127" t="s">
        <v>825</v>
      </c>
      <c r="C114" s="1128"/>
      <c r="D114" s="1128" t="s">
        <v>1284</v>
      </c>
      <c r="E114" s="1130">
        <v>192.31</v>
      </c>
      <c r="F114" s="1172" t="s">
        <v>125</v>
      </c>
      <c r="G114" s="1130"/>
      <c r="H114" s="1172" t="s">
        <v>125</v>
      </c>
      <c r="I114" s="1130"/>
      <c r="J114" s="208" t="s">
        <v>221</v>
      </c>
      <c r="K114" s="898">
        <v>40.450000000000003</v>
      </c>
    </row>
    <row r="115" spans="2:11" ht="15" customHeight="1" collapsed="1" x14ac:dyDescent="0.25">
      <c r="B115" s="1132" t="s">
        <v>825</v>
      </c>
      <c r="C115" s="1107"/>
      <c r="D115" s="1107" t="s">
        <v>1285</v>
      </c>
      <c r="E115" s="1135">
        <v>784.62</v>
      </c>
      <c r="F115" s="1173" t="s">
        <v>125</v>
      </c>
      <c r="G115" s="1135"/>
      <c r="H115" s="1173" t="s">
        <v>125</v>
      </c>
      <c r="I115" s="1135"/>
      <c r="J115" s="211" t="s">
        <v>221</v>
      </c>
      <c r="K115" s="531">
        <v>59.55</v>
      </c>
    </row>
    <row r="116" spans="2:11" ht="15" hidden="1" customHeight="1" outlineLevel="1" x14ac:dyDescent="0.25">
      <c r="B116" s="1142" t="s">
        <v>827</v>
      </c>
      <c r="C116" s="1143"/>
      <c r="D116" s="1143" t="s">
        <v>980</v>
      </c>
      <c r="E116" s="1146">
        <v>250</v>
      </c>
      <c r="F116" s="1174" t="s">
        <v>125</v>
      </c>
      <c r="G116" s="1146"/>
      <c r="H116" s="1174" t="s">
        <v>125</v>
      </c>
      <c r="I116" s="1146"/>
      <c r="J116" s="1148" t="s">
        <v>851</v>
      </c>
      <c r="K116" s="1175" t="s">
        <v>125</v>
      </c>
    </row>
    <row r="117" spans="2:11" ht="15" hidden="1" customHeight="1" outlineLevel="1" x14ac:dyDescent="0.25">
      <c r="B117" s="1142" t="s">
        <v>830</v>
      </c>
      <c r="C117" s="1143"/>
      <c r="D117" s="1143" t="s">
        <v>887</v>
      </c>
      <c r="E117" s="1146">
        <v>1</v>
      </c>
      <c r="F117" s="1174" t="s">
        <v>125</v>
      </c>
      <c r="G117" s="1146"/>
      <c r="H117" s="1174" t="s">
        <v>125</v>
      </c>
      <c r="I117" s="1146"/>
      <c r="J117" s="1148" t="s">
        <v>1286</v>
      </c>
      <c r="K117" s="1175" t="s">
        <v>125</v>
      </c>
    </row>
    <row r="118" spans="2:11" ht="15" hidden="1" customHeight="1" outlineLevel="1" x14ac:dyDescent="0.25">
      <c r="B118" s="1142" t="s">
        <v>830</v>
      </c>
      <c r="C118" s="1143"/>
      <c r="D118" s="1143" t="s">
        <v>1054</v>
      </c>
      <c r="E118" s="1146">
        <v>103.85</v>
      </c>
      <c r="F118" s="1174" t="s">
        <v>125</v>
      </c>
      <c r="G118" s="1146"/>
      <c r="H118" s="1174" t="s">
        <v>125</v>
      </c>
      <c r="I118" s="1146"/>
      <c r="J118" s="1148" t="s">
        <v>304</v>
      </c>
      <c r="K118" s="1175" t="s">
        <v>125</v>
      </c>
    </row>
    <row r="119" spans="2:11" ht="15" hidden="1" customHeight="1" outlineLevel="1" x14ac:dyDescent="0.25">
      <c r="B119" s="1142" t="s">
        <v>830</v>
      </c>
      <c r="C119" s="1143"/>
      <c r="D119" s="1143" t="s">
        <v>1278</v>
      </c>
      <c r="E119" s="1146">
        <v>828.1</v>
      </c>
      <c r="F119" s="1174" t="s">
        <v>125</v>
      </c>
      <c r="G119" s="1146"/>
      <c r="H119" s="1174" t="s">
        <v>125</v>
      </c>
      <c r="I119" s="1146"/>
      <c r="J119" s="1148" t="s">
        <v>304</v>
      </c>
      <c r="K119" s="1175" t="s">
        <v>125</v>
      </c>
    </row>
    <row r="120" spans="2:11" ht="15" hidden="1" customHeight="1" outlineLevel="1" x14ac:dyDescent="0.25">
      <c r="B120" s="1142" t="s">
        <v>830</v>
      </c>
      <c r="C120" s="1143"/>
      <c r="D120" s="1143" t="s">
        <v>1277</v>
      </c>
      <c r="E120" s="1146">
        <v>0.57699999999999996</v>
      </c>
      <c r="F120" s="1174" t="s">
        <v>125</v>
      </c>
      <c r="G120" s="1146"/>
      <c r="H120" s="1174" t="s">
        <v>125</v>
      </c>
      <c r="I120" s="1146"/>
      <c r="J120" s="1148" t="s">
        <v>221</v>
      </c>
      <c r="K120" s="1175" t="s">
        <v>125</v>
      </c>
    </row>
    <row r="121" spans="2:11" ht="15" hidden="1" customHeight="1" outlineLevel="1" x14ac:dyDescent="0.25">
      <c r="B121" s="1142" t="s">
        <v>830</v>
      </c>
      <c r="C121" s="1143"/>
      <c r="D121" s="1143" t="s">
        <v>1287</v>
      </c>
      <c r="E121" s="1146">
        <v>0.02</v>
      </c>
      <c r="F121" s="1174" t="s">
        <v>125</v>
      </c>
      <c r="G121" s="1146"/>
      <c r="H121" s="1174" t="s">
        <v>125</v>
      </c>
      <c r="I121" s="1146"/>
      <c r="J121" s="1148" t="s">
        <v>221</v>
      </c>
      <c r="K121" s="1175" t="s">
        <v>125</v>
      </c>
    </row>
    <row r="122" spans="2:11" ht="15" hidden="1" customHeight="1" outlineLevel="1" x14ac:dyDescent="0.25">
      <c r="B122" s="1142" t="s">
        <v>839</v>
      </c>
      <c r="C122" s="1143"/>
      <c r="D122" s="1143" t="s">
        <v>1279</v>
      </c>
      <c r="E122" s="1146">
        <v>0.57699999999999996</v>
      </c>
      <c r="F122" s="1174" t="s">
        <v>125</v>
      </c>
      <c r="G122" s="1146"/>
      <c r="H122" s="1174" t="s">
        <v>125</v>
      </c>
      <c r="I122" s="1146"/>
      <c r="J122" s="1148" t="s">
        <v>221</v>
      </c>
      <c r="K122" s="1175" t="s">
        <v>125</v>
      </c>
    </row>
    <row r="123" spans="2:11" ht="15" hidden="1" customHeight="1" outlineLevel="1" x14ac:dyDescent="0.25">
      <c r="B123" s="1142" t="s">
        <v>839</v>
      </c>
      <c r="C123" s="1143"/>
      <c r="D123" s="1143" t="s">
        <v>1280</v>
      </c>
      <c r="E123" s="1146">
        <v>3.8500000000000001E-3</v>
      </c>
      <c r="F123" s="1174" t="s">
        <v>125</v>
      </c>
      <c r="G123" s="1146"/>
      <c r="H123" s="1174" t="s">
        <v>125</v>
      </c>
      <c r="I123" s="1146"/>
      <c r="J123" s="1148" t="s">
        <v>221</v>
      </c>
      <c r="K123" s="1175" t="s">
        <v>125</v>
      </c>
    </row>
    <row r="124" spans="2:11" ht="15" hidden="1" customHeight="1" outlineLevel="1" x14ac:dyDescent="0.25">
      <c r="B124" s="1142" t="s">
        <v>1281</v>
      </c>
      <c r="C124" s="1143"/>
      <c r="D124" s="1143" t="s">
        <v>1282</v>
      </c>
      <c r="E124" s="1146">
        <v>23.1</v>
      </c>
      <c r="F124" s="1174" t="s">
        <v>125</v>
      </c>
      <c r="G124" s="1146"/>
      <c r="H124" s="1174" t="s">
        <v>125</v>
      </c>
      <c r="I124" s="1146"/>
      <c r="J124" s="1148" t="s">
        <v>221</v>
      </c>
      <c r="K124" s="1175" t="s">
        <v>125</v>
      </c>
    </row>
    <row r="125" spans="2:11" ht="15" hidden="1" customHeight="1" outlineLevel="1" x14ac:dyDescent="0.25">
      <c r="B125" s="1149" t="s">
        <v>1281</v>
      </c>
      <c r="C125" s="1150"/>
      <c r="D125" s="1150" t="s">
        <v>1283</v>
      </c>
      <c r="E125" s="1158">
        <v>250</v>
      </c>
      <c r="F125" s="1176" t="s">
        <v>125</v>
      </c>
      <c r="G125" s="1158"/>
      <c r="H125" s="1176" t="s">
        <v>125</v>
      </c>
      <c r="I125" s="1158"/>
      <c r="J125" s="1155" t="s">
        <v>221</v>
      </c>
      <c r="K125" s="1175" t="s">
        <v>125</v>
      </c>
    </row>
    <row r="126" spans="2:11" ht="15" customHeight="1" x14ac:dyDescent="0.25">
      <c r="F126" s="1177" t="s">
        <v>125</v>
      </c>
      <c r="H126" s="1177" t="s">
        <v>125</v>
      </c>
    </row>
    <row r="127" spans="2:11" ht="15" customHeight="1" x14ac:dyDescent="0.25">
      <c r="B127" s="1127" t="s">
        <v>825</v>
      </c>
      <c r="C127" s="1128"/>
      <c r="D127" s="1128" t="s">
        <v>1289</v>
      </c>
      <c r="E127" s="1130">
        <v>285</v>
      </c>
      <c r="F127" s="1172" t="s">
        <v>125</v>
      </c>
      <c r="G127" s="1130"/>
      <c r="H127" s="1172" t="s">
        <v>125</v>
      </c>
      <c r="I127" s="1130"/>
      <c r="J127" s="208" t="s">
        <v>221</v>
      </c>
      <c r="K127" s="208">
        <v>79.819999999999993</v>
      </c>
    </row>
    <row r="128" spans="2:11" ht="15" customHeight="1" x14ac:dyDescent="0.25">
      <c r="B128" s="1183" t="s">
        <v>825</v>
      </c>
      <c r="C128" s="1171"/>
      <c r="D128" s="1171" t="s">
        <v>1290</v>
      </c>
      <c r="E128" s="1157">
        <v>350</v>
      </c>
      <c r="F128" s="1184" t="s">
        <v>125</v>
      </c>
      <c r="G128" s="1157"/>
      <c r="H128" s="1184" t="s">
        <v>125</v>
      </c>
      <c r="I128" s="1157"/>
      <c r="J128" s="209" t="s">
        <v>221</v>
      </c>
      <c r="K128" s="209">
        <v>20.18</v>
      </c>
    </row>
    <row r="129" spans="2:13" ht="15" customHeight="1" collapsed="1" x14ac:dyDescent="0.25">
      <c r="B129" s="1132" t="s">
        <v>825</v>
      </c>
      <c r="C129" s="1107"/>
      <c r="D129" s="1107" t="s">
        <v>1291</v>
      </c>
      <c r="E129" s="1135">
        <v>350</v>
      </c>
      <c r="F129" s="1173" t="s">
        <v>125</v>
      </c>
      <c r="G129" s="1135"/>
      <c r="H129" s="1173" t="s">
        <v>125</v>
      </c>
      <c r="I129" s="1135"/>
      <c r="J129" s="211" t="s">
        <v>221</v>
      </c>
      <c r="K129" s="211">
        <v>0</v>
      </c>
    </row>
    <row r="130" spans="2:13" ht="15" hidden="1" customHeight="1" outlineLevel="1" x14ac:dyDescent="0.25">
      <c r="B130" s="1142" t="s">
        <v>827</v>
      </c>
      <c r="C130" s="1143"/>
      <c r="D130" s="1143" t="s">
        <v>980</v>
      </c>
      <c r="E130" s="1146">
        <v>0.248</v>
      </c>
      <c r="F130" s="1174" t="s">
        <v>125</v>
      </c>
      <c r="G130" s="1146"/>
      <c r="H130" s="1174" t="s">
        <v>125</v>
      </c>
      <c r="I130" s="1146"/>
      <c r="J130" s="1148" t="s">
        <v>186</v>
      </c>
      <c r="K130" s="1175"/>
    </row>
    <row r="131" spans="2:13" ht="15" hidden="1" customHeight="1" outlineLevel="1" x14ac:dyDescent="0.25">
      <c r="B131" s="1142" t="s">
        <v>830</v>
      </c>
      <c r="C131" s="1143"/>
      <c r="D131" s="1143" t="s">
        <v>1292</v>
      </c>
      <c r="E131" s="1146">
        <v>1000</v>
      </c>
      <c r="F131" s="1174" t="s">
        <v>125</v>
      </c>
      <c r="G131" s="1146"/>
      <c r="H131" s="1174" t="s">
        <v>125</v>
      </c>
      <c r="I131" s="1146"/>
      <c r="J131" s="1148" t="s">
        <v>221</v>
      </c>
      <c r="K131" s="1175"/>
    </row>
    <row r="132" spans="2:13" ht="15" hidden="1" customHeight="1" outlineLevel="1" x14ac:dyDescent="0.25">
      <c r="B132" s="1142" t="s">
        <v>830</v>
      </c>
      <c r="C132" s="1143"/>
      <c r="D132" s="1143" t="s">
        <v>1277</v>
      </c>
      <c r="E132" s="1146">
        <v>1</v>
      </c>
      <c r="F132" s="1174" t="s">
        <v>125</v>
      </c>
      <c r="G132" s="1146"/>
      <c r="H132" s="1174" t="s">
        <v>125</v>
      </c>
      <c r="I132" s="1146"/>
      <c r="J132" s="1148" t="s">
        <v>221</v>
      </c>
      <c r="K132" s="1175"/>
    </row>
    <row r="133" spans="2:13" ht="15" hidden="1" customHeight="1" outlineLevel="1" x14ac:dyDescent="0.25">
      <c r="B133" s="1142" t="s">
        <v>830</v>
      </c>
      <c r="C133" s="1143"/>
      <c r="D133" s="1143" t="s">
        <v>1054</v>
      </c>
      <c r="E133" s="1146">
        <v>27</v>
      </c>
      <c r="F133" s="1174" t="s">
        <v>125</v>
      </c>
      <c r="G133" s="1146"/>
      <c r="H133" s="1174" t="s">
        <v>125</v>
      </c>
      <c r="I133" s="1146"/>
      <c r="J133" s="1148" t="s">
        <v>304</v>
      </c>
      <c r="K133" s="1175"/>
    </row>
    <row r="134" spans="2:13" ht="15" hidden="1" customHeight="1" outlineLevel="1" x14ac:dyDescent="0.25">
      <c r="B134" s="1142" t="s">
        <v>830</v>
      </c>
      <c r="C134" s="1143"/>
      <c r="D134" s="1143" t="s">
        <v>1278</v>
      </c>
      <c r="E134" s="1146">
        <v>500</v>
      </c>
      <c r="F134" s="1174" t="s">
        <v>125</v>
      </c>
      <c r="G134" s="1146"/>
      <c r="H134" s="1174" t="s">
        <v>125</v>
      </c>
      <c r="I134" s="1146"/>
      <c r="J134" s="1148" t="s">
        <v>304</v>
      </c>
      <c r="K134" s="1175"/>
    </row>
    <row r="135" spans="2:13" ht="15" hidden="1" customHeight="1" outlineLevel="1" x14ac:dyDescent="0.25">
      <c r="B135" s="1142" t="s">
        <v>839</v>
      </c>
      <c r="C135" s="1143"/>
      <c r="D135" s="1143" t="s">
        <v>913</v>
      </c>
      <c r="E135" s="1146">
        <v>15</v>
      </c>
      <c r="F135" s="1174" t="s">
        <v>125</v>
      </c>
      <c r="G135" s="1146"/>
      <c r="H135" s="1174" t="s">
        <v>125</v>
      </c>
      <c r="I135" s="1146"/>
      <c r="J135" s="1148" t="s">
        <v>221</v>
      </c>
      <c r="K135" s="1175"/>
    </row>
    <row r="136" spans="2:13" ht="15" hidden="1" customHeight="1" outlineLevel="1" x14ac:dyDescent="0.25">
      <c r="B136" s="1142" t="s">
        <v>839</v>
      </c>
      <c r="C136" s="1143"/>
      <c r="D136" s="1143" t="s">
        <v>1279</v>
      </c>
      <c r="E136" s="1146">
        <v>1</v>
      </c>
      <c r="F136" s="1174" t="s">
        <v>125</v>
      </c>
      <c r="G136" s="1146"/>
      <c r="H136" s="1174" t="s">
        <v>125</v>
      </c>
      <c r="I136" s="1146"/>
      <c r="J136" s="1148" t="s">
        <v>221</v>
      </c>
      <c r="K136" s="1175"/>
    </row>
    <row r="137" spans="2:13" ht="15" hidden="1" customHeight="1" outlineLevel="1" x14ac:dyDescent="0.25">
      <c r="B137" s="1149" t="s">
        <v>1281</v>
      </c>
      <c r="C137" s="1150"/>
      <c r="D137" s="1150" t="s">
        <v>1283</v>
      </c>
      <c r="E137" s="1158">
        <v>248</v>
      </c>
      <c r="F137" s="1176" t="s">
        <v>125</v>
      </c>
      <c r="G137" s="1158"/>
      <c r="H137" s="1176" t="s">
        <v>125</v>
      </c>
      <c r="I137" s="1158"/>
      <c r="J137" s="1155" t="s">
        <v>221</v>
      </c>
      <c r="K137" s="1175"/>
    </row>
    <row r="138" spans="2:13" ht="15" customHeight="1" x14ac:dyDescent="0.25">
      <c r="B138" s="1109"/>
      <c r="D138" s="1159"/>
      <c r="E138" s="672"/>
      <c r="F138" s="1195" t="s">
        <v>125</v>
      </c>
      <c r="G138" s="672"/>
      <c r="H138" s="1195" t="s">
        <v>125</v>
      </c>
      <c r="I138" s="672"/>
      <c r="J138" s="672"/>
      <c r="K138" s="210"/>
    </row>
    <row r="139" spans="2:13" ht="15" customHeight="1" collapsed="1" x14ac:dyDescent="0.25">
      <c r="B139" s="1164" t="s">
        <v>825</v>
      </c>
      <c r="C139" s="1165"/>
      <c r="D139" s="1165" t="s">
        <v>901</v>
      </c>
      <c r="E139" s="1168">
        <v>0.93</v>
      </c>
      <c r="F139" s="1178" t="s">
        <v>248</v>
      </c>
      <c r="G139" s="1168" t="s">
        <v>750</v>
      </c>
      <c r="H139" s="1178"/>
      <c r="I139" s="1168"/>
      <c r="J139" s="246" t="s">
        <v>221</v>
      </c>
      <c r="K139" s="292">
        <v>100</v>
      </c>
    </row>
    <row r="140" spans="2:13" ht="15" hidden="1" customHeight="1" outlineLevel="1" x14ac:dyDescent="0.25">
      <c r="B140" s="1142" t="s">
        <v>830</v>
      </c>
      <c r="C140" s="1143"/>
      <c r="D140" s="1143" t="s">
        <v>860</v>
      </c>
      <c r="E140" s="1146">
        <v>10</v>
      </c>
      <c r="F140" s="1174" t="s">
        <v>125</v>
      </c>
      <c r="G140" s="1146"/>
      <c r="H140" s="1174" t="s">
        <v>125</v>
      </c>
      <c r="I140" s="1108"/>
      <c r="J140" s="1148" t="s">
        <v>849</v>
      </c>
      <c r="K140" s="1175" t="s">
        <v>125</v>
      </c>
      <c r="M140" s="1" t="s">
        <v>125</v>
      </c>
    </row>
    <row r="141" spans="2:13" ht="15" hidden="1" customHeight="1" outlineLevel="1" x14ac:dyDescent="0.25">
      <c r="B141" s="1142" t="s">
        <v>830</v>
      </c>
      <c r="C141" s="1143"/>
      <c r="D141" s="1143" t="s">
        <v>875</v>
      </c>
      <c r="E141" s="1146">
        <v>85</v>
      </c>
      <c r="F141" s="1174" t="s">
        <v>1660</v>
      </c>
      <c r="G141" s="1146" t="s">
        <v>747</v>
      </c>
      <c r="H141" s="1174" t="s">
        <v>125</v>
      </c>
      <c r="I141" s="1146"/>
      <c r="J141" s="1148" t="s">
        <v>849</v>
      </c>
      <c r="K141" s="1175" t="s">
        <v>125</v>
      </c>
      <c r="M141" s="1" t="s">
        <v>902</v>
      </c>
    </row>
    <row r="142" spans="2:13" ht="15" hidden="1" customHeight="1" outlineLevel="1" x14ac:dyDescent="0.25">
      <c r="B142" s="1142" t="s">
        <v>830</v>
      </c>
      <c r="C142" s="1143"/>
      <c r="D142" s="1143" t="s">
        <v>866</v>
      </c>
      <c r="E142" s="1146">
        <v>10</v>
      </c>
      <c r="F142" s="1174" t="s">
        <v>125</v>
      </c>
      <c r="G142" s="1146"/>
      <c r="H142" s="1174" t="s">
        <v>125</v>
      </c>
      <c r="I142" s="1146"/>
      <c r="J142" s="1148" t="s">
        <v>849</v>
      </c>
      <c r="K142" s="1175" t="s">
        <v>125</v>
      </c>
      <c r="M142" s="1" t="s">
        <v>125</v>
      </c>
    </row>
    <row r="143" spans="2:13" ht="15" hidden="1" customHeight="1" outlineLevel="1" x14ac:dyDescent="0.25">
      <c r="B143" s="1142" t="s">
        <v>830</v>
      </c>
      <c r="C143" s="1143"/>
      <c r="D143" s="1143" t="s">
        <v>861</v>
      </c>
      <c r="E143" s="1146">
        <v>180</v>
      </c>
      <c r="F143" s="1174" t="s">
        <v>125</v>
      </c>
      <c r="G143" s="1146"/>
      <c r="H143" s="1174" t="s">
        <v>125</v>
      </c>
      <c r="I143" s="1146"/>
      <c r="J143" s="1148" t="s">
        <v>849</v>
      </c>
      <c r="K143" s="1175" t="s">
        <v>125</v>
      </c>
      <c r="M143" s="1" t="s">
        <v>862</v>
      </c>
    </row>
    <row r="144" spans="2:13" ht="15" hidden="1" customHeight="1" outlineLevel="1" x14ac:dyDescent="0.25">
      <c r="B144" s="1142" t="s">
        <v>830</v>
      </c>
      <c r="C144" s="1143"/>
      <c r="D144" s="1143" t="s">
        <v>903</v>
      </c>
      <c r="E144" s="1146">
        <v>135</v>
      </c>
      <c r="F144" s="1174" t="s">
        <v>1660</v>
      </c>
      <c r="G144" s="1146" t="s">
        <v>747</v>
      </c>
      <c r="H144" s="1174" t="s">
        <v>125</v>
      </c>
      <c r="I144" s="1146"/>
      <c r="J144" s="1148" t="s">
        <v>849</v>
      </c>
      <c r="K144" s="1175" t="s">
        <v>125</v>
      </c>
      <c r="M144" s="1" t="s">
        <v>902</v>
      </c>
    </row>
    <row r="145" spans="2:13" ht="15" hidden="1" customHeight="1" outlineLevel="1" x14ac:dyDescent="0.25">
      <c r="B145" s="1142" t="s">
        <v>830</v>
      </c>
      <c r="C145" s="1143"/>
      <c r="D145" s="1143" t="s">
        <v>869</v>
      </c>
      <c r="E145" s="1146">
        <v>170</v>
      </c>
      <c r="F145" s="1174" t="s">
        <v>125</v>
      </c>
      <c r="G145" s="1146"/>
      <c r="H145" s="1174" t="s">
        <v>125</v>
      </c>
      <c r="I145" s="1146"/>
      <c r="J145" s="1148" t="s">
        <v>849</v>
      </c>
      <c r="K145" s="1175" t="s">
        <v>125</v>
      </c>
      <c r="M145" s="1" t="s">
        <v>125</v>
      </c>
    </row>
    <row r="146" spans="2:13" ht="15" hidden="1" customHeight="1" outlineLevel="1" x14ac:dyDescent="0.25">
      <c r="B146" s="1142" t="s">
        <v>830</v>
      </c>
      <c r="C146" s="1143"/>
      <c r="D146" s="1143" t="s">
        <v>867</v>
      </c>
      <c r="E146" s="1146">
        <v>110</v>
      </c>
      <c r="F146" s="1174" t="s">
        <v>125</v>
      </c>
      <c r="G146" s="1146"/>
      <c r="H146" s="1174" t="s">
        <v>125</v>
      </c>
      <c r="I146" s="1146"/>
      <c r="J146" s="1148" t="s">
        <v>849</v>
      </c>
      <c r="K146" s="1175" t="s">
        <v>125</v>
      </c>
      <c r="M146" s="1" t="s">
        <v>862</v>
      </c>
    </row>
    <row r="147" spans="2:13" ht="15" hidden="1" customHeight="1" outlineLevel="1" x14ac:dyDescent="0.25">
      <c r="B147" s="1142" t="s">
        <v>830</v>
      </c>
      <c r="C147" s="1143"/>
      <c r="D147" s="1143" t="s">
        <v>904</v>
      </c>
      <c r="E147" s="1146">
        <v>15</v>
      </c>
      <c r="F147" s="1174" t="s">
        <v>1660</v>
      </c>
      <c r="G147" s="1146" t="s">
        <v>747</v>
      </c>
      <c r="H147" s="1174" t="s">
        <v>125</v>
      </c>
      <c r="I147" s="1146"/>
      <c r="J147" s="1148" t="s">
        <v>849</v>
      </c>
      <c r="K147" s="1175" t="s">
        <v>125</v>
      </c>
      <c r="M147" s="1" t="s">
        <v>905</v>
      </c>
    </row>
    <row r="148" spans="2:13" ht="15" hidden="1" customHeight="1" outlineLevel="1" x14ac:dyDescent="0.25">
      <c r="B148" s="1142" t="s">
        <v>830</v>
      </c>
      <c r="C148" s="1143"/>
      <c r="D148" s="1143" t="s">
        <v>886</v>
      </c>
      <c r="E148" s="1146">
        <v>40</v>
      </c>
      <c r="F148" s="1174" t="s">
        <v>125</v>
      </c>
      <c r="G148" s="1146"/>
      <c r="H148" s="1174" t="s">
        <v>125</v>
      </c>
      <c r="I148" s="1146"/>
      <c r="J148" s="1148" t="s">
        <v>849</v>
      </c>
      <c r="K148" s="1175" t="s">
        <v>125</v>
      </c>
      <c r="M148" s="1" t="s">
        <v>125</v>
      </c>
    </row>
    <row r="149" spans="2:13" ht="15" hidden="1" customHeight="1" outlineLevel="1" x14ac:dyDescent="0.25">
      <c r="B149" s="1142" t="s">
        <v>830</v>
      </c>
      <c r="C149" s="1143"/>
      <c r="D149" s="1143" t="s">
        <v>906</v>
      </c>
      <c r="E149" s="1146">
        <v>45</v>
      </c>
      <c r="F149" s="1174" t="s">
        <v>125</v>
      </c>
      <c r="G149" s="1146"/>
      <c r="H149" s="1174" t="s">
        <v>125</v>
      </c>
      <c r="I149" s="1146"/>
      <c r="J149" s="1148" t="s">
        <v>849</v>
      </c>
      <c r="K149" s="1175" t="s">
        <v>125</v>
      </c>
      <c r="M149" s="1" t="s">
        <v>125</v>
      </c>
    </row>
    <row r="150" spans="2:13" ht="15" hidden="1" customHeight="1" outlineLevel="1" x14ac:dyDescent="0.25">
      <c r="B150" s="1142" t="s">
        <v>830</v>
      </c>
      <c r="C150" s="1143"/>
      <c r="D150" s="1143" t="s">
        <v>907</v>
      </c>
      <c r="E150" s="1146">
        <v>25</v>
      </c>
      <c r="F150" s="1174" t="s">
        <v>125</v>
      </c>
      <c r="G150" s="1146"/>
      <c r="H150" s="1174" t="s">
        <v>125</v>
      </c>
      <c r="I150" s="1146"/>
      <c r="J150" s="1148" t="s">
        <v>849</v>
      </c>
      <c r="K150" s="1175" t="s">
        <v>125</v>
      </c>
      <c r="M150" s="1" t="s">
        <v>125</v>
      </c>
    </row>
    <row r="151" spans="2:13" ht="15" hidden="1" customHeight="1" outlineLevel="1" x14ac:dyDescent="0.25">
      <c r="B151" s="1142" t="s">
        <v>830</v>
      </c>
      <c r="C151" s="1143"/>
      <c r="D151" s="1143" t="s">
        <v>899</v>
      </c>
      <c r="E151" s="1146">
        <v>35</v>
      </c>
      <c r="F151" s="1174" t="s">
        <v>125</v>
      </c>
      <c r="G151" s="1146"/>
      <c r="H151" s="1174" t="s">
        <v>125</v>
      </c>
      <c r="I151" s="1146"/>
      <c r="J151" s="1148" t="s">
        <v>849</v>
      </c>
      <c r="K151" s="1175" t="s">
        <v>125</v>
      </c>
      <c r="M151" s="1" t="s">
        <v>125</v>
      </c>
    </row>
    <row r="152" spans="2:13" ht="15" hidden="1" customHeight="1" outlineLevel="1" x14ac:dyDescent="0.25">
      <c r="B152" s="1142" t="s">
        <v>830</v>
      </c>
      <c r="C152" s="1143"/>
      <c r="D152" s="1143" t="s">
        <v>864</v>
      </c>
      <c r="E152" s="1146">
        <v>10</v>
      </c>
      <c r="F152" s="1174" t="s">
        <v>125</v>
      </c>
      <c r="G152" s="1146"/>
      <c r="H152" s="1174" t="s">
        <v>125</v>
      </c>
      <c r="I152" s="1146"/>
      <c r="J152" s="1148" t="s">
        <v>849</v>
      </c>
      <c r="K152" s="1175" t="s">
        <v>125</v>
      </c>
      <c r="M152" s="1" t="s">
        <v>125</v>
      </c>
    </row>
    <row r="153" spans="2:13" ht="15" hidden="1" customHeight="1" outlineLevel="1" x14ac:dyDescent="0.25">
      <c r="B153" s="1142" t="s">
        <v>830</v>
      </c>
      <c r="C153" s="1143"/>
      <c r="D153" s="1143" t="s">
        <v>863</v>
      </c>
      <c r="E153" s="1146">
        <v>60</v>
      </c>
      <c r="F153" s="1174" t="s">
        <v>125</v>
      </c>
      <c r="G153" s="1146"/>
      <c r="H153" s="1174" t="s">
        <v>125</v>
      </c>
      <c r="I153" s="1146"/>
      <c r="J153" s="1148" t="s">
        <v>849</v>
      </c>
      <c r="K153" s="1175" t="s">
        <v>125</v>
      </c>
      <c r="M153" s="1" t="s">
        <v>125</v>
      </c>
    </row>
    <row r="154" spans="2:13" ht="15" hidden="1" customHeight="1" outlineLevel="1" x14ac:dyDescent="0.25">
      <c r="B154" s="1142" t="s">
        <v>830</v>
      </c>
      <c r="C154" s="1143"/>
      <c r="D154" s="1143" t="s">
        <v>857</v>
      </c>
      <c r="E154" s="1146">
        <v>0.29299999999999998</v>
      </c>
      <c r="F154" s="1174" t="s">
        <v>125</v>
      </c>
      <c r="G154" s="1146"/>
      <c r="H154" s="1174" t="s">
        <v>125</v>
      </c>
      <c r="I154" s="1146"/>
      <c r="J154" s="1148" t="s">
        <v>304</v>
      </c>
      <c r="K154" s="1175" t="s">
        <v>125</v>
      </c>
      <c r="M154" s="1" t="s">
        <v>876</v>
      </c>
    </row>
    <row r="155" spans="2:13" ht="15" hidden="1" customHeight="1" outlineLevel="1" x14ac:dyDescent="0.25">
      <c r="B155" s="1149" t="s">
        <v>830</v>
      </c>
      <c r="C155" s="1150"/>
      <c r="D155" s="1150" t="s">
        <v>858</v>
      </c>
      <c r="E155" s="1158">
        <v>0.126</v>
      </c>
      <c r="F155" s="1176" t="s">
        <v>125</v>
      </c>
      <c r="G155" s="1158"/>
      <c r="H155" s="1176" t="s">
        <v>125</v>
      </c>
      <c r="I155" s="1158"/>
      <c r="J155" s="1155" t="s">
        <v>304</v>
      </c>
      <c r="K155" s="1175" t="s">
        <v>125</v>
      </c>
      <c r="M155" s="1" t="s">
        <v>876</v>
      </c>
    </row>
    <row r="156" spans="2:13" ht="15" customHeight="1" x14ac:dyDescent="0.25">
      <c r="B156" s="1109"/>
      <c r="D156" s="1159"/>
      <c r="E156" s="672"/>
      <c r="F156" s="1195" t="s">
        <v>125</v>
      </c>
      <c r="G156" s="672"/>
      <c r="H156" s="1195" t="s">
        <v>125</v>
      </c>
      <c r="I156" s="672"/>
      <c r="J156" s="672"/>
      <c r="K156" s="210"/>
    </row>
    <row r="157" spans="2:13" ht="15" customHeight="1" collapsed="1" x14ac:dyDescent="0.25">
      <c r="B157" s="1164" t="s">
        <v>825</v>
      </c>
      <c r="C157" s="1165"/>
      <c r="D157" s="1165" t="s">
        <v>908</v>
      </c>
      <c r="E157" s="1168">
        <v>1</v>
      </c>
      <c r="F157" s="1178" t="s">
        <v>125</v>
      </c>
      <c r="G157" s="1168"/>
      <c r="H157" s="1178" t="s">
        <v>125</v>
      </c>
      <c r="I157" s="1168"/>
      <c r="J157" s="246" t="s">
        <v>221</v>
      </c>
      <c r="K157" s="292">
        <v>100</v>
      </c>
    </row>
    <row r="158" spans="2:13" ht="15" hidden="1" customHeight="1" outlineLevel="1" x14ac:dyDescent="0.25">
      <c r="B158" s="1142" t="s">
        <v>830</v>
      </c>
      <c r="C158" s="1143"/>
      <c r="D158" s="1143" t="s">
        <v>909</v>
      </c>
      <c r="E158" s="1146">
        <v>180</v>
      </c>
      <c r="F158" s="1174" t="s">
        <v>125</v>
      </c>
      <c r="G158" s="1146"/>
      <c r="H158" s="1174"/>
      <c r="I158" s="1108"/>
      <c r="J158" s="1148" t="s">
        <v>849</v>
      </c>
      <c r="K158" s="1175" t="s">
        <v>125</v>
      </c>
      <c r="M158" s="1" t="s">
        <v>125</v>
      </c>
    </row>
    <row r="159" spans="2:13" ht="15" hidden="1" customHeight="1" outlineLevel="1" x14ac:dyDescent="0.25">
      <c r="B159" s="1142" t="s">
        <v>830</v>
      </c>
      <c r="C159" s="1143"/>
      <c r="D159" s="1143" t="s">
        <v>910</v>
      </c>
      <c r="E159" s="1146">
        <v>140</v>
      </c>
      <c r="F159" s="1174" t="s">
        <v>125</v>
      </c>
      <c r="G159" s="1146"/>
      <c r="H159" s="1174"/>
      <c r="I159" s="1146"/>
      <c r="J159" s="1148" t="s">
        <v>849</v>
      </c>
      <c r="K159" s="1175" t="s">
        <v>125</v>
      </c>
      <c r="M159" s="1" t="s">
        <v>125</v>
      </c>
    </row>
    <row r="160" spans="2:13" ht="15" hidden="1" customHeight="1" outlineLevel="1" x14ac:dyDescent="0.25">
      <c r="B160" s="1142" t="s">
        <v>830</v>
      </c>
      <c r="C160" s="1143"/>
      <c r="D160" s="1143" t="s">
        <v>911</v>
      </c>
      <c r="E160" s="1146">
        <v>230</v>
      </c>
      <c r="F160" s="1174" t="s">
        <v>125</v>
      </c>
      <c r="G160" s="1146"/>
      <c r="H160" s="1174"/>
      <c r="I160" s="1146"/>
      <c r="J160" s="1148" t="s">
        <v>849</v>
      </c>
      <c r="K160" s="1175" t="s">
        <v>125</v>
      </c>
      <c r="M160" s="1" t="s">
        <v>125</v>
      </c>
    </row>
    <row r="161" spans="2:13" ht="15" hidden="1" customHeight="1" outlineLevel="1" x14ac:dyDescent="0.25">
      <c r="B161" s="1142" t="s">
        <v>830</v>
      </c>
      <c r="C161" s="1143"/>
      <c r="D161" s="1143" t="s">
        <v>867</v>
      </c>
      <c r="E161" s="1146">
        <v>180</v>
      </c>
      <c r="F161" s="1174" t="s">
        <v>125</v>
      </c>
      <c r="G161" s="1146"/>
      <c r="H161" s="1174"/>
      <c r="I161" s="1146"/>
      <c r="J161" s="1148" t="s">
        <v>849</v>
      </c>
      <c r="K161" s="1175" t="s">
        <v>125</v>
      </c>
      <c r="M161" s="1" t="s">
        <v>862</v>
      </c>
    </row>
    <row r="162" spans="2:13" ht="15" hidden="1" customHeight="1" outlineLevel="1" x14ac:dyDescent="0.25">
      <c r="B162" s="1142" t="s">
        <v>830</v>
      </c>
      <c r="C162" s="1143"/>
      <c r="D162" s="1143" t="s">
        <v>869</v>
      </c>
      <c r="E162" s="1146">
        <v>90</v>
      </c>
      <c r="F162" s="1174" t="s">
        <v>125</v>
      </c>
      <c r="G162" s="1146"/>
      <c r="H162" s="1174"/>
      <c r="I162" s="1146"/>
      <c r="J162" s="1148" t="s">
        <v>849</v>
      </c>
      <c r="K162" s="1175" t="s">
        <v>125</v>
      </c>
      <c r="M162" s="1" t="s">
        <v>125</v>
      </c>
    </row>
    <row r="163" spans="2:13" ht="15" hidden="1" customHeight="1" outlineLevel="1" x14ac:dyDescent="0.25">
      <c r="B163" s="1142" t="s">
        <v>830</v>
      </c>
      <c r="C163" s="1143"/>
      <c r="D163" s="1143" t="s">
        <v>863</v>
      </c>
      <c r="E163" s="1146">
        <v>90</v>
      </c>
      <c r="F163" s="1174" t="s">
        <v>125</v>
      </c>
      <c r="G163" s="1146"/>
      <c r="H163" s="1174"/>
      <c r="I163" s="1146"/>
      <c r="J163" s="1148" t="s">
        <v>849</v>
      </c>
      <c r="K163" s="1175" t="s">
        <v>125</v>
      </c>
      <c r="M163" s="1" t="s">
        <v>862</v>
      </c>
    </row>
    <row r="164" spans="2:13" ht="15" hidden="1" customHeight="1" outlineLevel="1" x14ac:dyDescent="0.25">
      <c r="B164" s="1142" t="s">
        <v>830</v>
      </c>
      <c r="C164" s="1143"/>
      <c r="D164" s="1143" t="s">
        <v>861</v>
      </c>
      <c r="E164" s="1146">
        <v>90</v>
      </c>
      <c r="F164" s="1174" t="s">
        <v>125</v>
      </c>
      <c r="G164" s="1146"/>
      <c r="H164" s="1174"/>
      <c r="I164" s="1146"/>
      <c r="J164" s="1148" t="s">
        <v>849</v>
      </c>
      <c r="K164" s="1175" t="s">
        <v>125</v>
      </c>
      <c r="M164" s="1" t="s">
        <v>862</v>
      </c>
    </row>
    <row r="165" spans="2:13" ht="15" hidden="1" customHeight="1" outlineLevel="1" x14ac:dyDescent="0.25">
      <c r="B165" s="1142" t="s">
        <v>830</v>
      </c>
      <c r="C165" s="1143"/>
      <c r="D165" s="1143" t="s">
        <v>857</v>
      </c>
      <c r="E165" s="1146">
        <v>0.315</v>
      </c>
      <c r="F165" s="1174" t="s">
        <v>125</v>
      </c>
      <c r="G165" s="1146"/>
      <c r="H165" s="1174"/>
      <c r="I165" s="1146"/>
      <c r="J165" s="1148" t="s">
        <v>304</v>
      </c>
      <c r="K165" s="1175" t="s">
        <v>125</v>
      </c>
      <c r="M165" s="1" t="s">
        <v>876</v>
      </c>
    </row>
    <row r="166" spans="2:13" ht="15" hidden="1" customHeight="1" outlineLevel="1" x14ac:dyDescent="0.25">
      <c r="B166" s="1149" t="s">
        <v>830</v>
      </c>
      <c r="C166" s="1150"/>
      <c r="D166" s="1150" t="s">
        <v>858</v>
      </c>
      <c r="E166" s="1158">
        <v>0.13500000000000001</v>
      </c>
      <c r="F166" s="1176" t="s">
        <v>125</v>
      </c>
      <c r="G166" s="1158"/>
      <c r="H166" s="1176"/>
      <c r="I166" s="1158"/>
      <c r="J166" s="1155" t="s">
        <v>304</v>
      </c>
      <c r="K166" s="1175" t="s">
        <v>125</v>
      </c>
      <c r="M166" s="1" t="s">
        <v>876</v>
      </c>
    </row>
    <row r="167" spans="2:13" ht="15" customHeight="1" x14ac:dyDescent="0.25">
      <c r="F167" s="1177" t="s">
        <v>125</v>
      </c>
      <c r="H167" s="1177" t="s">
        <v>125</v>
      </c>
    </row>
    <row r="168" spans="2:13" ht="15" customHeight="1" collapsed="1" x14ac:dyDescent="0.25">
      <c r="B168" s="1164" t="s">
        <v>825</v>
      </c>
      <c r="C168" s="1165"/>
      <c r="D168" s="1165" t="s">
        <v>873</v>
      </c>
      <c r="E168" s="1168">
        <v>1</v>
      </c>
      <c r="F168" s="1178" t="s">
        <v>125</v>
      </c>
      <c r="G168" s="1168"/>
      <c r="H168" s="1178" t="s">
        <v>125</v>
      </c>
      <c r="I168" s="1168"/>
      <c r="J168" s="246" t="s">
        <v>1286</v>
      </c>
      <c r="K168" s="292">
        <v>100</v>
      </c>
    </row>
    <row r="169" spans="2:13" ht="15" hidden="1" customHeight="1" outlineLevel="1" x14ac:dyDescent="0.25">
      <c r="B169" s="1142" t="s">
        <v>830</v>
      </c>
      <c r="C169" s="1143"/>
      <c r="D169" s="1143" t="s">
        <v>1293</v>
      </c>
      <c r="E169" s="1146">
        <v>1</v>
      </c>
      <c r="F169" s="1174" t="s">
        <v>125</v>
      </c>
      <c r="G169" s="1146"/>
      <c r="H169" s="1174" t="s">
        <v>125</v>
      </c>
      <c r="I169" s="1108"/>
      <c r="J169" s="1148" t="s">
        <v>1286</v>
      </c>
      <c r="K169" s="1175" t="s">
        <v>125</v>
      </c>
      <c r="M169" s="1" t="s">
        <v>1294</v>
      </c>
    </row>
    <row r="170" spans="2:13" ht="15" hidden="1" customHeight="1" outlineLevel="1" x14ac:dyDescent="0.25">
      <c r="B170" s="1142" t="s">
        <v>830</v>
      </c>
      <c r="C170" s="1143"/>
      <c r="D170" s="1143" t="s">
        <v>1272</v>
      </c>
      <c r="E170" s="1146">
        <v>55.89</v>
      </c>
      <c r="F170" s="1174" t="s">
        <v>125</v>
      </c>
      <c r="G170" s="1146"/>
      <c r="H170" s="1174" t="s">
        <v>125</v>
      </c>
      <c r="I170" s="1146"/>
      <c r="J170" s="1148" t="s">
        <v>836</v>
      </c>
      <c r="K170" s="1175" t="s">
        <v>125</v>
      </c>
      <c r="M170" s="1" t="s">
        <v>1295</v>
      </c>
    </row>
    <row r="171" spans="2:13" ht="15" hidden="1" customHeight="1" outlineLevel="1" x14ac:dyDescent="0.25">
      <c r="B171" s="1142" t="s">
        <v>830</v>
      </c>
      <c r="C171" s="1143"/>
      <c r="D171" s="1143" t="s">
        <v>1268</v>
      </c>
      <c r="E171" s="1146">
        <v>2.21</v>
      </c>
      <c r="F171" s="1174" t="s">
        <v>125</v>
      </c>
      <c r="G171" s="1146"/>
      <c r="H171" s="1174" t="s">
        <v>125</v>
      </c>
      <c r="I171" s="1146"/>
      <c r="J171" s="1148" t="s">
        <v>836</v>
      </c>
      <c r="K171" s="1175" t="s">
        <v>125</v>
      </c>
      <c r="M171" s="1" t="s">
        <v>1295</v>
      </c>
    </row>
    <row r="172" spans="2:13" ht="15" hidden="1" customHeight="1" outlineLevel="1" x14ac:dyDescent="0.25">
      <c r="B172" s="1149" t="s">
        <v>830</v>
      </c>
      <c r="C172" s="1150"/>
      <c r="D172" s="1150" t="s">
        <v>1264</v>
      </c>
      <c r="E172" s="1158">
        <v>19.18</v>
      </c>
      <c r="F172" s="1176" t="s">
        <v>125</v>
      </c>
      <c r="G172" s="1158"/>
      <c r="H172" s="1176" t="s">
        <v>125</v>
      </c>
      <c r="I172" s="1158"/>
      <c r="J172" s="1155" t="s">
        <v>836</v>
      </c>
      <c r="K172" s="1175" t="s">
        <v>125</v>
      </c>
      <c r="M172" s="1" t="s">
        <v>1295</v>
      </c>
    </row>
    <row r="173" spans="2:13" ht="15" customHeight="1" collapsed="1" x14ac:dyDescent="0.25">
      <c r="B173" s="1109"/>
      <c r="D173" s="1159"/>
      <c r="E173" s="672"/>
      <c r="F173" s="1195" t="s">
        <v>125</v>
      </c>
      <c r="G173" s="672"/>
      <c r="H173" s="1195" t="s">
        <v>125</v>
      </c>
      <c r="I173" s="672"/>
      <c r="J173" s="672"/>
      <c r="K173" s="210"/>
    </row>
    <row r="174" spans="2:13" ht="15" customHeight="1" collapsed="1" x14ac:dyDescent="0.25">
      <c r="B174" s="1164" t="s">
        <v>825</v>
      </c>
      <c r="C174" s="1165"/>
      <c r="D174" s="1165" t="s">
        <v>831</v>
      </c>
      <c r="E174" s="1168">
        <v>68073.75</v>
      </c>
      <c r="F174" s="1178" t="s">
        <v>125</v>
      </c>
      <c r="G174" s="1168"/>
      <c r="H174" s="1178" t="s">
        <v>125</v>
      </c>
      <c r="I174" s="1168"/>
      <c r="J174" s="246" t="s">
        <v>221</v>
      </c>
      <c r="K174" s="292">
        <v>100</v>
      </c>
    </row>
    <row r="175" spans="2:13" ht="15" hidden="1" customHeight="1" outlineLevel="1" x14ac:dyDescent="0.25">
      <c r="B175" s="1137" t="s">
        <v>827</v>
      </c>
      <c r="C175" s="1138"/>
      <c r="D175" s="1138" t="s">
        <v>916</v>
      </c>
      <c r="E175" s="1163">
        <v>10000</v>
      </c>
      <c r="F175" s="1174" t="s">
        <v>125</v>
      </c>
      <c r="G175" s="1146"/>
      <c r="H175" s="1174" t="s">
        <v>125</v>
      </c>
      <c r="I175" s="954"/>
      <c r="J175" s="955" t="s">
        <v>181</v>
      </c>
      <c r="K175" s="1" t="s">
        <v>125</v>
      </c>
      <c r="M175" s="1" t="s">
        <v>917</v>
      </c>
    </row>
    <row r="176" spans="2:13" ht="15" hidden="1" customHeight="1" outlineLevel="1" x14ac:dyDescent="0.25">
      <c r="B176" s="1142" t="s">
        <v>827</v>
      </c>
      <c r="C176" s="1143"/>
      <c r="D176" s="1143" t="s">
        <v>828</v>
      </c>
      <c r="E176" s="1146">
        <v>0</v>
      </c>
      <c r="F176" s="1174" t="s">
        <v>125</v>
      </c>
      <c r="G176" s="1146"/>
      <c r="H176" s="1174" t="s">
        <v>125</v>
      </c>
      <c r="I176" s="1146"/>
      <c r="J176" s="1148" t="s">
        <v>186</v>
      </c>
      <c r="K176" s="1" t="s">
        <v>125</v>
      </c>
      <c r="M176" s="1" t="s">
        <v>918</v>
      </c>
    </row>
    <row r="177" spans="2:13" ht="15" hidden="1" customHeight="1" outlineLevel="1" x14ac:dyDescent="0.25">
      <c r="B177" s="1142" t="s">
        <v>830</v>
      </c>
      <c r="C177" s="1143"/>
      <c r="D177" s="1143" t="s">
        <v>834</v>
      </c>
      <c r="E177" s="1146">
        <v>4268.22</v>
      </c>
      <c r="F177" s="1174" t="s">
        <v>1660</v>
      </c>
      <c r="G177" s="1146" t="s">
        <v>718</v>
      </c>
      <c r="H177" s="1174" t="s">
        <v>125</v>
      </c>
      <c r="I177" s="1146"/>
      <c r="J177" s="1148" t="s">
        <v>304</v>
      </c>
      <c r="K177" s="1" t="s">
        <v>125</v>
      </c>
      <c r="M177" s="1" t="s">
        <v>919</v>
      </c>
    </row>
    <row r="178" spans="2:13" ht="15" hidden="1" customHeight="1" outlineLevel="1" x14ac:dyDescent="0.25">
      <c r="B178" s="1142" t="s">
        <v>830</v>
      </c>
      <c r="C178" s="1143"/>
      <c r="D178" s="1143" t="s">
        <v>670</v>
      </c>
      <c r="E178" s="1146">
        <v>44892.86</v>
      </c>
      <c r="F178" s="1174" t="s">
        <v>1660</v>
      </c>
      <c r="G178" s="1146" t="s">
        <v>725</v>
      </c>
      <c r="H178" s="1174" t="s">
        <v>125</v>
      </c>
      <c r="I178" s="1146"/>
      <c r="J178" s="1148" t="s">
        <v>221</v>
      </c>
      <c r="K178" s="1" t="s">
        <v>125</v>
      </c>
      <c r="M178" s="1" t="s">
        <v>125</v>
      </c>
    </row>
    <row r="179" spans="2:13" ht="15" hidden="1" customHeight="1" outlineLevel="1" x14ac:dyDescent="0.25">
      <c r="B179" s="1142" t="s">
        <v>830</v>
      </c>
      <c r="C179" s="1143"/>
      <c r="D179" s="1143" t="s">
        <v>655</v>
      </c>
      <c r="E179" s="1146">
        <v>46.04</v>
      </c>
      <c r="F179" s="1174" t="s">
        <v>1660</v>
      </c>
      <c r="G179" s="1146" t="s">
        <v>1661</v>
      </c>
      <c r="H179" s="1174" t="s">
        <v>125</v>
      </c>
      <c r="I179" s="1146"/>
      <c r="J179" s="1148" t="s">
        <v>221</v>
      </c>
      <c r="K179" s="1" t="s">
        <v>125</v>
      </c>
      <c r="M179" s="1" t="s">
        <v>125</v>
      </c>
    </row>
    <row r="180" spans="2:13" ht="15" hidden="1" customHeight="1" outlineLevel="1" x14ac:dyDescent="0.25">
      <c r="B180" s="1142" t="s">
        <v>830</v>
      </c>
      <c r="C180" s="1143"/>
      <c r="D180" s="1143" t="s">
        <v>651</v>
      </c>
      <c r="E180" s="1146">
        <v>6.3</v>
      </c>
      <c r="F180" s="1174" t="s">
        <v>1660</v>
      </c>
      <c r="G180" s="1146" t="s">
        <v>1661</v>
      </c>
      <c r="H180" s="1174" t="s">
        <v>125</v>
      </c>
      <c r="I180" s="1146"/>
      <c r="J180" s="1148" t="s">
        <v>221</v>
      </c>
      <c r="K180" s="1" t="s">
        <v>125</v>
      </c>
      <c r="M180" s="1" t="s">
        <v>125</v>
      </c>
    </row>
    <row r="181" spans="2:13" ht="15" hidden="1" customHeight="1" outlineLevel="1" x14ac:dyDescent="0.25">
      <c r="B181" s="1142" t="s">
        <v>830</v>
      </c>
      <c r="C181" s="1143"/>
      <c r="D181" s="1143" t="s">
        <v>654</v>
      </c>
      <c r="E181" s="1146">
        <v>12.36</v>
      </c>
      <c r="F181" s="1174" t="s">
        <v>1660</v>
      </c>
      <c r="G181" s="1146" t="s">
        <v>1661</v>
      </c>
      <c r="H181" s="1174" t="s">
        <v>125</v>
      </c>
      <c r="I181" s="1146"/>
      <c r="J181" s="1148" t="s">
        <v>221</v>
      </c>
      <c r="K181" s="1" t="s">
        <v>125</v>
      </c>
      <c r="M181" s="1" t="s">
        <v>125</v>
      </c>
    </row>
    <row r="182" spans="2:13" ht="15" hidden="1" customHeight="1" outlineLevel="1" x14ac:dyDescent="0.25">
      <c r="B182" s="1142" t="s">
        <v>830</v>
      </c>
      <c r="C182" s="1143"/>
      <c r="D182" s="1143" t="s">
        <v>652</v>
      </c>
      <c r="E182" s="1146">
        <v>556.13</v>
      </c>
      <c r="F182" s="1174" t="s">
        <v>1660</v>
      </c>
      <c r="G182" s="1146" t="s">
        <v>1661</v>
      </c>
      <c r="H182" s="1174" t="s">
        <v>125</v>
      </c>
      <c r="I182" s="1146"/>
      <c r="J182" s="1148" t="s">
        <v>221</v>
      </c>
      <c r="K182" s="1" t="s">
        <v>125</v>
      </c>
      <c r="M182" s="1" t="s">
        <v>125</v>
      </c>
    </row>
    <row r="183" spans="2:13" ht="15" hidden="1" customHeight="1" outlineLevel="1" x14ac:dyDescent="0.25">
      <c r="B183" s="1142" t="s">
        <v>830</v>
      </c>
      <c r="C183" s="1143"/>
      <c r="D183" s="1143" t="s">
        <v>648</v>
      </c>
      <c r="E183" s="1146">
        <v>97.27</v>
      </c>
      <c r="F183" s="1174" t="s">
        <v>1660</v>
      </c>
      <c r="G183" s="1146" t="s">
        <v>1661</v>
      </c>
      <c r="H183" s="1174" t="s">
        <v>125</v>
      </c>
      <c r="I183" s="1146"/>
      <c r="J183" s="1148" t="s">
        <v>221</v>
      </c>
      <c r="K183" s="1" t="s">
        <v>125</v>
      </c>
      <c r="M183" s="1" t="s">
        <v>125</v>
      </c>
    </row>
    <row r="184" spans="2:13" ht="15" hidden="1" customHeight="1" outlineLevel="1" x14ac:dyDescent="0.25">
      <c r="B184" s="1142" t="s">
        <v>839</v>
      </c>
      <c r="C184" s="1143"/>
      <c r="D184" s="1143" t="s">
        <v>843</v>
      </c>
      <c r="E184" s="1146">
        <v>2.89</v>
      </c>
      <c r="F184" s="1174" t="s">
        <v>1660</v>
      </c>
      <c r="G184" s="1146" t="s">
        <v>685</v>
      </c>
      <c r="H184" s="1174" t="s">
        <v>1660</v>
      </c>
      <c r="I184" s="1146" t="s">
        <v>1561</v>
      </c>
      <c r="J184" s="1148" t="s">
        <v>221</v>
      </c>
      <c r="K184" s="1" t="s">
        <v>125</v>
      </c>
      <c r="M184" s="1" t="s">
        <v>920</v>
      </c>
    </row>
    <row r="185" spans="2:13" ht="15" hidden="1" customHeight="1" outlineLevel="1" x14ac:dyDescent="0.25">
      <c r="B185" s="1142" t="s">
        <v>839</v>
      </c>
      <c r="C185" s="1143"/>
      <c r="D185" s="1143" t="s">
        <v>843</v>
      </c>
      <c r="E185" s="1146">
        <v>1.23</v>
      </c>
      <c r="F185" s="1174" t="s">
        <v>1660</v>
      </c>
      <c r="G185" s="1146" t="s">
        <v>685</v>
      </c>
      <c r="H185" s="1174" t="s">
        <v>1660</v>
      </c>
      <c r="I185" s="1146" t="s">
        <v>2128</v>
      </c>
      <c r="J185" s="1148" t="s">
        <v>221</v>
      </c>
      <c r="K185" s="1" t="s">
        <v>125</v>
      </c>
      <c r="M185" s="1" t="s">
        <v>921</v>
      </c>
    </row>
    <row r="186" spans="2:13" ht="15" hidden="1" customHeight="1" outlineLevel="1" x14ac:dyDescent="0.25">
      <c r="B186" s="1142" t="s">
        <v>839</v>
      </c>
      <c r="C186" s="1143"/>
      <c r="D186" s="1143" t="s">
        <v>846</v>
      </c>
      <c r="E186" s="1146">
        <v>44.7</v>
      </c>
      <c r="F186" s="1174" t="s">
        <v>1660</v>
      </c>
      <c r="G186" s="1146" t="s">
        <v>685</v>
      </c>
      <c r="H186" s="1174" t="s">
        <v>1660</v>
      </c>
      <c r="I186" s="1146" t="s">
        <v>1564</v>
      </c>
      <c r="J186" s="1148" t="s">
        <v>221</v>
      </c>
      <c r="K186" s="1" t="s">
        <v>125</v>
      </c>
      <c r="M186" s="1" t="s">
        <v>922</v>
      </c>
    </row>
    <row r="187" spans="2:13" ht="15" hidden="1" customHeight="1" outlineLevel="1" x14ac:dyDescent="0.25">
      <c r="B187" s="1142" t="s">
        <v>839</v>
      </c>
      <c r="C187" s="1143"/>
      <c r="D187" s="1143" t="s">
        <v>846</v>
      </c>
      <c r="E187" s="1146">
        <v>23.98</v>
      </c>
      <c r="F187" s="1174" t="s">
        <v>1660</v>
      </c>
      <c r="G187" s="1146" t="s">
        <v>1661</v>
      </c>
      <c r="H187" s="1174" t="s">
        <v>125</v>
      </c>
      <c r="I187" s="1146"/>
      <c r="J187" s="1148" t="s">
        <v>221</v>
      </c>
      <c r="K187" s="1" t="s">
        <v>125</v>
      </c>
      <c r="M187" s="1" t="s">
        <v>923</v>
      </c>
    </row>
    <row r="188" spans="2:13" ht="15" hidden="1" customHeight="1" outlineLevel="1" x14ac:dyDescent="0.25">
      <c r="B188" s="1142" t="s">
        <v>839</v>
      </c>
      <c r="C188" s="1143"/>
      <c r="D188" s="1143" t="s">
        <v>846</v>
      </c>
      <c r="E188" s="1146">
        <v>44.91</v>
      </c>
      <c r="F188" s="1174" t="s">
        <v>125</v>
      </c>
      <c r="G188" s="1146"/>
      <c r="H188" s="1174" t="s">
        <v>125</v>
      </c>
      <c r="I188" s="1146"/>
      <c r="J188" s="1148" t="s">
        <v>221</v>
      </c>
      <c r="K188" s="1" t="s">
        <v>125</v>
      </c>
      <c r="M188" s="1" t="s">
        <v>924</v>
      </c>
    </row>
    <row r="189" spans="2:13" ht="15" hidden="1" customHeight="1" outlineLevel="1" x14ac:dyDescent="0.25">
      <c r="B189" s="1142" t="s">
        <v>839</v>
      </c>
      <c r="C189" s="1143"/>
      <c r="D189" s="1143" t="s">
        <v>925</v>
      </c>
      <c r="E189" s="1146">
        <v>131.04</v>
      </c>
      <c r="F189" s="1174" t="s">
        <v>1660</v>
      </c>
      <c r="G189" s="1146" t="s">
        <v>1661</v>
      </c>
      <c r="H189" s="1174" t="s">
        <v>125</v>
      </c>
      <c r="I189" s="1146"/>
      <c r="J189" s="1148" t="s">
        <v>221</v>
      </c>
      <c r="K189" s="1" t="s">
        <v>125</v>
      </c>
      <c r="M189" s="1" t="s">
        <v>926</v>
      </c>
    </row>
    <row r="190" spans="2:13" ht="15" hidden="1" customHeight="1" outlineLevel="1" x14ac:dyDescent="0.25">
      <c r="B190" s="1142" t="s">
        <v>839</v>
      </c>
      <c r="C190" s="1143"/>
      <c r="D190" s="1143" t="s">
        <v>843</v>
      </c>
      <c r="E190" s="1146">
        <v>2.91</v>
      </c>
      <c r="F190" s="1174" t="s">
        <v>125</v>
      </c>
      <c r="G190" s="1146"/>
      <c r="H190" s="1174" t="s">
        <v>125</v>
      </c>
      <c r="I190" s="1146"/>
      <c r="J190" s="1148" t="s">
        <v>221</v>
      </c>
      <c r="K190" s="1" t="s">
        <v>125</v>
      </c>
      <c r="M190" s="1" t="s">
        <v>927</v>
      </c>
    </row>
    <row r="191" spans="2:13" ht="15" hidden="1" customHeight="1" outlineLevel="1" x14ac:dyDescent="0.25">
      <c r="B191" s="1142" t="s">
        <v>839</v>
      </c>
      <c r="C191" s="1143"/>
      <c r="D191" s="1143" t="s">
        <v>843</v>
      </c>
      <c r="E191" s="1146">
        <v>3.11</v>
      </c>
      <c r="F191" s="1174" t="s">
        <v>1660</v>
      </c>
      <c r="G191" s="1146" t="s">
        <v>1661</v>
      </c>
      <c r="H191" s="1174" t="s">
        <v>1660</v>
      </c>
      <c r="I191" s="1146" t="s">
        <v>1558</v>
      </c>
      <c r="J191" s="1148" t="s">
        <v>221</v>
      </c>
      <c r="K191" s="1" t="s">
        <v>125</v>
      </c>
      <c r="M191" s="1" t="s">
        <v>928</v>
      </c>
    </row>
    <row r="192" spans="2:13" ht="15" hidden="1" customHeight="1" outlineLevel="1" x14ac:dyDescent="0.25">
      <c r="B192" s="1142" t="s">
        <v>839</v>
      </c>
      <c r="C192" s="1143"/>
      <c r="D192" s="1143" t="s">
        <v>843</v>
      </c>
      <c r="E192" s="1146">
        <v>1.23</v>
      </c>
      <c r="F192" s="1174" t="s">
        <v>125</v>
      </c>
      <c r="G192" s="1146"/>
      <c r="H192" s="1174" t="s">
        <v>125</v>
      </c>
      <c r="I192" s="1146"/>
      <c r="J192" s="1148" t="s">
        <v>221</v>
      </c>
      <c r="K192" s="1" t="s">
        <v>125</v>
      </c>
      <c r="M192" s="1" t="s">
        <v>929</v>
      </c>
    </row>
    <row r="193" spans="2:13" ht="15" hidden="1" customHeight="1" outlineLevel="1" x14ac:dyDescent="0.25">
      <c r="B193" s="1142" t="s">
        <v>839</v>
      </c>
      <c r="C193" s="1143"/>
      <c r="D193" s="1143" t="s">
        <v>843</v>
      </c>
      <c r="E193" s="1146">
        <v>1.01</v>
      </c>
      <c r="F193" s="1174" t="s">
        <v>1660</v>
      </c>
      <c r="G193" s="1146" t="s">
        <v>1661</v>
      </c>
      <c r="H193" s="1174" t="s">
        <v>1660</v>
      </c>
      <c r="I193" s="1146" t="s">
        <v>2192</v>
      </c>
      <c r="J193" s="1148" t="s">
        <v>221</v>
      </c>
      <c r="K193" s="1" t="s">
        <v>125</v>
      </c>
      <c r="M193" s="1" t="s">
        <v>930</v>
      </c>
    </row>
    <row r="194" spans="2:13" ht="15" hidden="1" customHeight="1" outlineLevel="1" x14ac:dyDescent="0.25">
      <c r="B194" s="1142" t="s">
        <v>931</v>
      </c>
      <c r="C194" s="1143"/>
      <c r="D194" s="1143" t="s">
        <v>932</v>
      </c>
      <c r="E194" s="1146">
        <v>244.54</v>
      </c>
      <c r="F194" s="1174" t="s">
        <v>1660</v>
      </c>
      <c r="G194" s="1146" t="s">
        <v>685</v>
      </c>
      <c r="H194" s="1174" t="s">
        <v>1660</v>
      </c>
      <c r="I194" s="1146" t="s">
        <v>1704</v>
      </c>
      <c r="J194" s="1148" t="s">
        <v>221</v>
      </c>
      <c r="K194" s="1" t="s">
        <v>125</v>
      </c>
      <c r="M194" s="1" t="s">
        <v>933</v>
      </c>
    </row>
    <row r="195" spans="2:13" ht="15" hidden="1" customHeight="1" outlineLevel="1" x14ac:dyDescent="0.25">
      <c r="B195" s="1142" t="s">
        <v>931</v>
      </c>
      <c r="C195" s="1143"/>
      <c r="D195" s="1143" t="s">
        <v>934</v>
      </c>
      <c r="E195" s="1146">
        <v>40.82</v>
      </c>
      <c r="F195" s="1174" t="s">
        <v>1660</v>
      </c>
      <c r="G195" s="1146" t="s">
        <v>2193</v>
      </c>
      <c r="H195" s="1174" t="s">
        <v>1660</v>
      </c>
      <c r="I195" s="1146" t="s">
        <v>2194</v>
      </c>
      <c r="J195" s="1148" t="s">
        <v>935</v>
      </c>
      <c r="K195" s="1" t="s">
        <v>125</v>
      </c>
      <c r="M195" s="1" t="s">
        <v>936</v>
      </c>
    </row>
    <row r="196" spans="2:13" ht="15" hidden="1" customHeight="1" outlineLevel="1" x14ac:dyDescent="0.25">
      <c r="B196" s="1142" t="s">
        <v>931</v>
      </c>
      <c r="C196" s="1143"/>
      <c r="D196" s="1143" t="s">
        <v>937</v>
      </c>
      <c r="E196" s="1146">
        <v>19973.25</v>
      </c>
      <c r="F196" s="1174" t="s">
        <v>1660</v>
      </c>
      <c r="G196" s="1146" t="s">
        <v>2195</v>
      </c>
      <c r="H196" s="1174" t="s">
        <v>1660</v>
      </c>
      <c r="I196" s="1146" t="s">
        <v>2196</v>
      </c>
      <c r="J196" s="1148" t="s">
        <v>935</v>
      </c>
      <c r="K196" s="1" t="s">
        <v>125</v>
      </c>
      <c r="M196" s="1" t="s">
        <v>936</v>
      </c>
    </row>
    <row r="197" spans="2:13" ht="15" hidden="1" customHeight="1" outlineLevel="1" x14ac:dyDescent="0.25">
      <c r="B197" s="1142" t="s">
        <v>931</v>
      </c>
      <c r="C197" s="1143"/>
      <c r="D197" s="1143" t="s">
        <v>938</v>
      </c>
      <c r="E197" s="1146">
        <v>3587.6</v>
      </c>
      <c r="F197" s="1174" t="s">
        <v>1660</v>
      </c>
      <c r="G197" s="1146" t="s">
        <v>2197</v>
      </c>
      <c r="H197" s="1174" t="s">
        <v>1660</v>
      </c>
      <c r="I197" s="1146" t="s">
        <v>2198</v>
      </c>
      <c r="J197" s="1148" t="s">
        <v>935</v>
      </c>
      <c r="K197" s="1" t="s">
        <v>125</v>
      </c>
      <c r="M197" s="1" t="s">
        <v>936</v>
      </c>
    </row>
    <row r="198" spans="2:13" ht="15" hidden="1" customHeight="1" outlineLevel="1" x14ac:dyDescent="0.25">
      <c r="B198" s="1142" t="s">
        <v>931</v>
      </c>
      <c r="C198" s="1143"/>
      <c r="D198" s="1143" t="s">
        <v>939</v>
      </c>
      <c r="E198" s="1146">
        <v>1.19</v>
      </c>
      <c r="F198" s="1174" t="s">
        <v>1660</v>
      </c>
      <c r="G198" s="1146" t="s">
        <v>2199</v>
      </c>
      <c r="H198" s="1174" t="s">
        <v>1660</v>
      </c>
      <c r="I198" s="1146" t="s">
        <v>2200</v>
      </c>
      <c r="J198" s="1148" t="s">
        <v>935</v>
      </c>
      <c r="K198" s="1" t="s">
        <v>125</v>
      </c>
      <c r="M198" s="1" t="s">
        <v>936</v>
      </c>
    </row>
    <row r="199" spans="2:13" ht="15" hidden="1" customHeight="1" outlineLevel="1" x14ac:dyDescent="0.25">
      <c r="B199" s="1142" t="s">
        <v>931</v>
      </c>
      <c r="C199" s="1143"/>
      <c r="D199" s="1143" t="s">
        <v>940</v>
      </c>
      <c r="E199" s="1146">
        <v>0</v>
      </c>
      <c r="F199" s="1174" t="s">
        <v>125</v>
      </c>
      <c r="G199" s="1146"/>
      <c r="H199" s="1174" t="s">
        <v>125</v>
      </c>
      <c r="I199" s="1146"/>
      <c r="J199" s="1148" t="s">
        <v>935</v>
      </c>
      <c r="K199" s="1" t="s">
        <v>125</v>
      </c>
      <c r="M199" s="1" t="s">
        <v>936</v>
      </c>
    </row>
    <row r="200" spans="2:13" ht="15" hidden="1" customHeight="1" outlineLevel="1" x14ac:dyDescent="0.25">
      <c r="B200" s="1142" t="s">
        <v>931</v>
      </c>
      <c r="C200" s="1143"/>
      <c r="D200" s="1143" t="s">
        <v>941</v>
      </c>
      <c r="E200" s="1146">
        <v>381.59</v>
      </c>
      <c r="F200" s="1174" t="s">
        <v>1660</v>
      </c>
      <c r="G200" s="1146" t="s">
        <v>2201</v>
      </c>
      <c r="H200" s="1174" t="s">
        <v>1660</v>
      </c>
      <c r="I200" s="1146" t="s">
        <v>2202</v>
      </c>
      <c r="J200" s="1148" t="s">
        <v>935</v>
      </c>
      <c r="K200" s="1" t="s">
        <v>125</v>
      </c>
      <c r="M200" s="1" t="s">
        <v>936</v>
      </c>
    </row>
    <row r="201" spans="2:13" ht="15" hidden="1" customHeight="1" outlineLevel="1" x14ac:dyDescent="0.25">
      <c r="B201" s="1142" t="s">
        <v>931</v>
      </c>
      <c r="C201" s="1143"/>
      <c r="D201" s="1143" t="s">
        <v>942</v>
      </c>
      <c r="E201" s="1146">
        <v>30261.43</v>
      </c>
      <c r="F201" s="1174" t="s">
        <v>1660</v>
      </c>
      <c r="G201" s="1146" t="s">
        <v>2203</v>
      </c>
      <c r="H201" s="1174" t="s">
        <v>1660</v>
      </c>
      <c r="I201" s="1146" t="s">
        <v>2204</v>
      </c>
      <c r="J201" s="1148" t="s">
        <v>935</v>
      </c>
      <c r="K201" s="1" t="s">
        <v>125</v>
      </c>
      <c r="M201" s="1" t="s">
        <v>936</v>
      </c>
    </row>
    <row r="202" spans="2:13" ht="15" hidden="1" customHeight="1" outlineLevel="1" x14ac:dyDescent="0.25">
      <c r="B202" s="1142" t="s">
        <v>931</v>
      </c>
      <c r="C202" s="1143"/>
      <c r="D202" s="1143" t="s">
        <v>932</v>
      </c>
      <c r="E202" s="1146">
        <v>245.71</v>
      </c>
      <c r="F202" s="1174" t="s">
        <v>125</v>
      </c>
      <c r="G202" s="1146"/>
      <c r="H202" s="1174" t="s">
        <v>125</v>
      </c>
      <c r="I202" s="1146"/>
      <c r="J202" s="1148" t="s">
        <v>221</v>
      </c>
      <c r="K202" s="1" t="s">
        <v>125</v>
      </c>
      <c r="M202" s="1" t="s">
        <v>943</v>
      </c>
    </row>
    <row r="203" spans="2:13" ht="15" hidden="1" customHeight="1" outlineLevel="1" x14ac:dyDescent="0.25">
      <c r="B203" s="1142" t="s">
        <v>931</v>
      </c>
      <c r="C203" s="1143"/>
      <c r="D203" s="1143" t="s">
        <v>932</v>
      </c>
      <c r="E203" s="1146">
        <v>262.39999999999998</v>
      </c>
      <c r="F203" s="1174" t="s">
        <v>1660</v>
      </c>
      <c r="G203" s="1146" t="s">
        <v>1661</v>
      </c>
      <c r="H203" s="1174" t="s">
        <v>1660</v>
      </c>
      <c r="I203" s="1146" t="s">
        <v>1691</v>
      </c>
      <c r="J203" s="1148" t="s">
        <v>221</v>
      </c>
      <c r="K203" s="1" t="s">
        <v>125</v>
      </c>
      <c r="M203" s="1" t="s">
        <v>944</v>
      </c>
    </row>
    <row r="204" spans="2:13" ht="15" hidden="1" customHeight="1" outlineLevel="1" x14ac:dyDescent="0.25">
      <c r="B204" s="1142" t="s">
        <v>945</v>
      </c>
      <c r="C204" s="1143" t="s">
        <v>946</v>
      </c>
      <c r="D204" s="1143" t="s">
        <v>947</v>
      </c>
      <c r="E204" s="1146">
        <v>1.46</v>
      </c>
      <c r="F204" s="1174" t="s">
        <v>1660</v>
      </c>
      <c r="G204" s="1146" t="s">
        <v>686</v>
      </c>
      <c r="H204" s="1174" t="s">
        <v>125</v>
      </c>
      <c r="I204" s="1146"/>
      <c r="J204" s="1148" t="s">
        <v>221</v>
      </c>
      <c r="K204" s="1" t="s">
        <v>125</v>
      </c>
      <c r="M204" s="1" t="s">
        <v>948</v>
      </c>
    </row>
    <row r="205" spans="2:13" ht="15" hidden="1" customHeight="1" outlineLevel="1" x14ac:dyDescent="0.25">
      <c r="B205" s="1142" t="s">
        <v>945</v>
      </c>
      <c r="C205" s="1143" t="s">
        <v>946</v>
      </c>
      <c r="D205" s="1143" t="s">
        <v>934</v>
      </c>
      <c r="E205" s="1146">
        <v>1294.76</v>
      </c>
      <c r="F205" s="1174" t="s">
        <v>1660</v>
      </c>
      <c r="G205" s="1146" t="s">
        <v>2205</v>
      </c>
      <c r="H205" s="1174" t="s">
        <v>1660</v>
      </c>
      <c r="I205" s="1146" t="s">
        <v>2206</v>
      </c>
      <c r="J205" s="1148" t="s">
        <v>935</v>
      </c>
      <c r="K205" s="1" t="s">
        <v>125</v>
      </c>
      <c r="M205" s="1" t="s">
        <v>949</v>
      </c>
    </row>
    <row r="206" spans="2:13" ht="15" hidden="1" customHeight="1" outlineLevel="1" x14ac:dyDescent="0.25">
      <c r="B206" s="1142" t="s">
        <v>945</v>
      </c>
      <c r="C206" s="1143" t="s">
        <v>946</v>
      </c>
      <c r="D206" s="1143" t="s">
        <v>937</v>
      </c>
      <c r="E206" s="1146">
        <v>33296.92</v>
      </c>
      <c r="F206" s="1174" t="s">
        <v>1660</v>
      </c>
      <c r="G206" s="1146" t="s">
        <v>2207</v>
      </c>
      <c r="H206" s="1174" t="s">
        <v>1660</v>
      </c>
      <c r="I206" s="1146" t="s">
        <v>2208</v>
      </c>
      <c r="J206" s="1148" t="s">
        <v>935</v>
      </c>
      <c r="K206" s="1" t="s">
        <v>125</v>
      </c>
      <c r="M206" s="1" t="s">
        <v>949</v>
      </c>
    </row>
    <row r="207" spans="2:13" ht="15" hidden="1" customHeight="1" outlineLevel="1" x14ac:dyDescent="0.25">
      <c r="B207" s="1142" t="s">
        <v>945</v>
      </c>
      <c r="C207" s="1143" t="s">
        <v>946</v>
      </c>
      <c r="D207" s="1143" t="s">
        <v>938</v>
      </c>
      <c r="E207" s="1146">
        <v>599801.87</v>
      </c>
      <c r="F207" s="1174" t="s">
        <v>1660</v>
      </c>
      <c r="G207" s="1146" t="s">
        <v>2209</v>
      </c>
      <c r="H207" s="1174" t="s">
        <v>1660</v>
      </c>
      <c r="I207" s="1146" t="s">
        <v>2210</v>
      </c>
      <c r="J207" s="1148" t="s">
        <v>935</v>
      </c>
      <c r="K207" s="1" t="s">
        <v>125</v>
      </c>
      <c r="M207" s="1" t="s">
        <v>949</v>
      </c>
    </row>
    <row r="208" spans="2:13" ht="15" hidden="1" customHeight="1" outlineLevel="1" x14ac:dyDescent="0.25">
      <c r="B208" s="1142" t="s">
        <v>945</v>
      </c>
      <c r="C208" s="1143" t="s">
        <v>946</v>
      </c>
      <c r="D208" s="1143" t="s">
        <v>939</v>
      </c>
      <c r="E208" s="1146">
        <v>333.99</v>
      </c>
      <c r="F208" s="1174" t="s">
        <v>1660</v>
      </c>
      <c r="G208" s="1146" t="s">
        <v>2211</v>
      </c>
      <c r="H208" s="1174" t="s">
        <v>1660</v>
      </c>
      <c r="I208" s="1146" t="s">
        <v>2212</v>
      </c>
      <c r="J208" s="1148" t="s">
        <v>935</v>
      </c>
      <c r="K208" s="1" t="s">
        <v>125</v>
      </c>
      <c r="M208" s="1" t="s">
        <v>949</v>
      </c>
    </row>
    <row r="209" spans="2:13" ht="15" hidden="1" customHeight="1" outlineLevel="1" x14ac:dyDescent="0.25">
      <c r="B209" s="1142" t="s">
        <v>945</v>
      </c>
      <c r="C209" s="1143" t="s">
        <v>946</v>
      </c>
      <c r="D209" s="1143" t="s">
        <v>940</v>
      </c>
      <c r="E209" s="1146">
        <v>-8128.09</v>
      </c>
      <c r="F209" s="1174" t="s">
        <v>1660</v>
      </c>
      <c r="G209" s="1146" t="s">
        <v>2213</v>
      </c>
      <c r="H209" s="1174" t="s">
        <v>1660</v>
      </c>
      <c r="I209" s="1146" t="s">
        <v>2214</v>
      </c>
      <c r="J209" s="1148" t="s">
        <v>935</v>
      </c>
      <c r="K209" s="1" t="s">
        <v>125</v>
      </c>
      <c r="M209" s="1" t="s">
        <v>949</v>
      </c>
    </row>
    <row r="210" spans="2:13" ht="15" hidden="1" customHeight="1" outlineLevel="1" x14ac:dyDescent="0.25">
      <c r="B210" s="1142" t="s">
        <v>945</v>
      </c>
      <c r="C210" s="1143" t="s">
        <v>946</v>
      </c>
      <c r="D210" s="1143" t="s">
        <v>941</v>
      </c>
      <c r="E210" s="1146">
        <v>16704.22</v>
      </c>
      <c r="F210" s="1174" t="s">
        <v>1660</v>
      </c>
      <c r="G210" s="1146" t="s">
        <v>2215</v>
      </c>
      <c r="H210" s="1174" t="s">
        <v>1660</v>
      </c>
      <c r="I210" s="1146" t="s">
        <v>2216</v>
      </c>
      <c r="J210" s="1148" t="s">
        <v>935</v>
      </c>
      <c r="K210" s="1" t="s">
        <v>125</v>
      </c>
      <c r="M210" s="1" t="s">
        <v>949</v>
      </c>
    </row>
    <row r="211" spans="2:13" ht="15" hidden="1" customHeight="1" outlineLevel="1" x14ac:dyDescent="0.25">
      <c r="B211" s="1142" t="s">
        <v>945</v>
      </c>
      <c r="C211" s="1143" t="s">
        <v>946</v>
      </c>
      <c r="D211" s="1143" t="s">
        <v>942</v>
      </c>
      <c r="E211" s="1146">
        <v>529198.31000000006</v>
      </c>
      <c r="F211" s="1174" t="s">
        <v>1660</v>
      </c>
      <c r="G211" s="1146" t="s">
        <v>2217</v>
      </c>
      <c r="H211" s="1174" t="s">
        <v>1660</v>
      </c>
      <c r="I211" s="1146" t="s">
        <v>2218</v>
      </c>
      <c r="J211" s="1148" t="s">
        <v>935</v>
      </c>
      <c r="K211" s="1" t="s">
        <v>125</v>
      </c>
      <c r="M211" s="1" t="s">
        <v>949</v>
      </c>
    </row>
    <row r="212" spans="2:13" ht="15" hidden="1" customHeight="1" outlineLevel="1" x14ac:dyDescent="0.25">
      <c r="B212" s="1149" t="s">
        <v>945</v>
      </c>
      <c r="C212" s="1150" t="s">
        <v>946</v>
      </c>
      <c r="D212" s="1150" t="s">
        <v>947</v>
      </c>
      <c r="E212" s="1158">
        <v>0.48</v>
      </c>
      <c r="F212" s="1176" t="s">
        <v>1660</v>
      </c>
      <c r="G212" s="1158" t="s">
        <v>1661</v>
      </c>
      <c r="H212" s="1176" t="s">
        <v>125</v>
      </c>
      <c r="I212" s="1158"/>
      <c r="J212" s="1155" t="s">
        <v>221</v>
      </c>
      <c r="K212" s="1" t="s">
        <v>125</v>
      </c>
      <c r="M212" s="1" t="s">
        <v>950</v>
      </c>
    </row>
    <row r="213" spans="2:13" ht="15" customHeight="1" x14ac:dyDescent="0.25">
      <c r="B213" s="1109"/>
      <c r="D213" s="1159"/>
      <c r="E213" s="672"/>
      <c r="F213" s="1195" t="s">
        <v>125</v>
      </c>
      <c r="G213" s="672"/>
      <c r="H213" s="1195" t="s">
        <v>125</v>
      </c>
      <c r="I213" s="672"/>
      <c r="J213" s="672"/>
    </row>
    <row r="214" spans="2:13" ht="15" customHeight="1" collapsed="1" x14ac:dyDescent="0.25">
      <c r="B214" s="1164" t="s">
        <v>825</v>
      </c>
      <c r="C214" s="1165"/>
      <c r="D214" s="1165" t="s">
        <v>832</v>
      </c>
      <c r="E214" s="1168">
        <v>0.34</v>
      </c>
      <c r="F214" s="1178" t="s">
        <v>125</v>
      </c>
      <c r="G214" s="1168"/>
      <c r="H214" s="1178" t="s">
        <v>125</v>
      </c>
      <c r="I214" s="1168"/>
      <c r="J214" s="246" t="s">
        <v>221</v>
      </c>
      <c r="K214" s="292">
        <v>100</v>
      </c>
    </row>
    <row r="215" spans="2:13" ht="15" hidden="1" customHeight="1" outlineLevel="1" x14ac:dyDescent="0.25">
      <c r="B215" s="1137" t="s">
        <v>830</v>
      </c>
      <c r="C215" s="1138"/>
      <c r="D215" s="1138" t="s">
        <v>831</v>
      </c>
      <c r="E215" s="1163">
        <v>1</v>
      </c>
      <c r="F215" s="1174" t="s">
        <v>125</v>
      </c>
      <c r="G215" s="1146"/>
      <c r="H215" s="1174" t="s">
        <v>125</v>
      </c>
      <c r="I215" s="954"/>
      <c r="J215" s="955" t="s">
        <v>221</v>
      </c>
      <c r="K215" s="1" t="s">
        <v>125</v>
      </c>
      <c r="M215" s="1" t="s">
        <v>125</v>
      </c>
    </row>
    <row r="216" spans="2:13" ht="15" hidden="1" customHeight="1" outlineLevel="1" x14ac:dyDescent="0.25">
      <c r="B216" s="1142" t="s">
        <v>830</v>
      </c>
      <c r="C216" s="1143"/>
      <c r="D216" s="1143" t="s">
        <v>912</v>
      </c>
      <c r="E216" s="1146">
        <v>1.25E-3</v>
      </c>
      <c r="F216" s="1174" t="s">
        <v>125</v>
      </c>
      <c r="G216" s="1146"/>
      <c r="H216" s="1174" t="s">
        <v>125</v>
      </c>
      <c r="I216" s="1146"/>
      <c r="J216" s="1148" t="s">
        <v>221</v>
      </c>
      <c r="K216" s="1" t="s">
        <v>125</v>
      </c>
      <c r="M216" s="1" t="s">
        <v>2219</v>
      </c>
    </row>
    <row r="217" spans="2:13" ht="15" hidden="1" customHeight="1" outlineLevel="1" x14ac:dyDescent="0.25">
      <c r="B217" s="1149" t="s">
        <v>839</v>
      </c>
      <c r="C217" s="1150"/>
      <c r="D217" s="1150" t="s">
        <v>913</v>
      </c>
      <c r="E217" s="1158">
        <v>0.66</v>
      </c>
      <c r="F217" s="1176" t="s">
        <v>125</v>
      </c>
      <c r="G217" s="1158"/>
      <c r="H217" s="1176" t="s">
        <v>125</v>
      </c>
      <c r="I217" s="1158"/>
      <c r="J217" s="1155" t="s">
        <v>221</v>
      </c>
      <c r="K217" s="1" t="s">
        <v>125</v>
      </c>
      <c r="M217" s="1" t="s">
        <v>125</v>
      </c>
    </row>
    <row r="218" spans="2:13" ht="15" customHeight="1" x14ac:dyDescent="0.25">
      <c r="B218" s="1109"/>
      <c r="D218" s="1159"/>
      <c r="E218" s="672"/>
      <c r="F218" s="1195" t="s">
        <v>125</v>
      </c>
      <c r="G218" s="672"/>
      <c r="H218" s="1195" t="s">
        <v>125</v>
      </c>
      <c r="I218" s="672"/>
      <c r="J218" s="672"/>
    </row>
    <row r="219" spans="2:13" ht="15" customHeight="1" collapsed="1" x14ac:dyDescent="0.25">
      <c r="B219" s="1164" t="s">
        <v>825</v>
      </c>
      <c r="C219" s="1165"/>
      <c r="D219" s="1165" t="s">
        <v>915</v>
      </c>
      <c r="E219" s="1168">
        <v>68073.75</v>
      </c>
      <c r="F219" s="1178" t="s">
        <v>125</v>
      </c>
      <c r="G219" s="1168"/>
      <c r="H219" s="1178" t="s">
        <v>125</v>
      </c>
      <c r="I219" s="1168"/>
      <c r="J219" s="246" t="s">
        <v>221</v>
      </c>
      <c r="K219" s="292">
        <v>100</v>
      </c>
    </row>
    <row r="220" spans="2:13" ht="15" hidden="1" customHeight="1" outlineLevel="1" x14ac:dyDescent="0.25">
      <c r="B220" s="1137" t="s">
        <v>827</v>
      </c>
      <c r="C220" s="1138"/>
      <c r="D220" s="1138" t="s">
        <v>916</v>
      </c>
      <c r="E220" s="1163">
        <v>10000</v>
      </c>
      <c r="F220" s="1196" t="s">
        <v>125</v>
      </c>
      <c r="G220" s="1163"/>
      <c r="H220" s="1196" t="s">
        <v>125</v>
      </c>
      <c r="I220" s="954"/>
      <c r="J220" s="955" t="s">
        <v>181</v>
      </c>
      <c r="K220" s="1197" t="s">
        <v>125</v>
      </c>
      <c r="M220" s="1" t="s">
        <v>917</v>
      </c>
    </row>
    <row r="221" spans="2:13" ht="15" hidden="1" customHeight="1" outlineLevel="1" x14ac:dyDescent="0.25">
      <c r="B221" s="1142" t="s">
        <v>827</v>
      </c>
      <c r="C221" s="1143"/>
      <c r="D221" s="1143" t="s">
        <v>850</v>
      </c>
      <c r="E221" s="1146">
        <v>0</v>
      </c>
      <c r="F221" s="1174" t="s">
        <v>125</v>
      </c>
      <c r="G221" s="1146"/>
      <c r="H221" s="1174" t="s">
        <v>125</v>
      </c>
      <c r="I221" s="1108"/>
      <c r="J221" s="1148" t="s">
        <v>186</v>
      </c>
      <c r="K221" s="1175" t="s">
        <v>125</v>
      </c>
      <c r="M221" s="1" t="s">
        <v>918</v>
      </c>
    </row>
    <row r="222" spans="2:13" ht="15" hidden="1" customHeight="1" outlineLevel="1" x14ac:dyDescent="0.25">
      <c r="B222" s="1142" t="s">
        <v>830</v>
      </c>
      <c r="C222" s="1143"/>
      <c r="D222" s="1143" t="s">
        <v>834</v>
      </c>
      <c r="E222" s="1146">
        <v>4268.22</v>
      </c>
      <c r="F222" s="1174" t="s">
        <v>1660</v>
      </c>
      <c r="G222" s="1146" t="s">
        <v>719</v>
      </c>
      <c r="H222" s="1174" t="s">
        <v>125</v>
      </c>
      <c r="I222" s="1146"/>
      <c r="J222" s="1148" t="s">
        <v>304</v>
      </c>
      <c r="K222" s="1175" t="s">
        <v>125</v>
      </c>
      <c r="M222" s="1" t="s">
        <v>919</v>
      </c>
    </row>
    <row r="223" spans="2:13" ht="15" hidden="1" customHeight="1" outlineLevel="1" x14ac:dyDescent="0.25">
      <c r="B223" s="1142" t="s">
        <v>830</v>
      </c>
      <c r="C223" s="1143"/>
      <c r="D223" s="1143" t="s">
        <v>670</v>
      </c>
      <c r="E223" s="1146">
        <v>60975.61</v>
      </c>
      <c r="F223" s="1174" t="s">
        <v>1660</v>
      </c>
      <c r="G223" s="1146" t="s">
        <v>725</v>
      </c>
      <c r="H223" s="1174" t="s">
        <v>125</v>
      </c>
      <c r="I223" s="1146"/>
      <c r="J223" s="1148" t="s">
        <v>221</v>
      </c>
      <c r="K223" s="1175" t="s">
        <v>125</v>
      </c>
      <c r="M223" s="1" t="s">
        <v>125</v>
      </c>
    </row>
    <row r="224" spans="2:13" ht="15" hidden="1" customHeight="1" outlineLevel="1" x14ac:dyDescent="0.25">
      <c r="B224" s="1142" t="s">
        <v>830</v>
      </c>
      <c r="C224" s="1143"/>
      <c r="D224" s="1143" t="s">
        <v>653</v>
      </c>
      <c r="E224" s="1146">
        <v>38.770000000000003</v>
      </c>
      <c r="F224" s="1174" t="s">
        <v>1660</v>
      </c>
      <c r="G224" s="1146" t="s">
        <v>1661</v>
      </c>
      <c r="H224" s="1174" t="s">
        <v>125</v>
      </c>
      <c r="I224" s="1146"/>
      <c r="J224" s="1148" t="s">
        <v>221</v>
      </c>
      <c r="K224" s="1175" t="s">
        <v>125</v>
      </c>
      <c r="M224" s="1" t="s">
        <v>125</v>
      </c>
    </row>
    <row r="225" spans="2:13" ht="15" hidden="1" customHeight="1" outlineLevel="1" x14ac:dyDescent="0.25">
      <c r="B225" s="1142" t="s">
        <v>830</v>
      </c>
      <c r="C225" s="1143"/>
      <c r="D225" s="1143" t="s">
        <v>656</v>
      </c>
      <c r="E225" s="1146">
        <v>3.2899999999999997E-4</v>
      </c>
      <c r="F225" s="1174" t="s">
        <v>1660</v>
      </c>
      <c r="G225" s="1146" t="s">
        <v>1661</v>
      </c>
      <c r="H225" s="1174" t="s">
        <v>125</v>
      </c>
      <c r="I225" s="1146"/>
      <c r="J225" s="1148" t="s">
        <v>221</v>
      </c>
      <c r="K225" s="1175" t="s">
        <v>125</v>
      </c>
      <c r="M225" s="1" t="s">
        <v>125</v>
      </c>
    </row>
    <row r="226" spans="2:13" ht="15" hidden="1" customHeight="1" outlineLevel="1" x14ac:dyDescent="0.25">
      <c r="B226" s="1142" t="s">
        <v>830</v>
      </c>
      <c r="C226" s="1143"/>
      <c r="D226" s="1143" t="s">
        <v>655</v>
      </c>
      <c r="E226" s="1146">
        <v>1.4399999999999999E-5</v>
      </c>
      <c r="F226" s="1174" t="s">
        <v>1660</v>
      </c>
      <c r="G226" s="1146" t="s">
        <v>1661</v>
      </c>
      <c r="H226" s="1174" t="s">
        <v>125</v>
      </c>
      <c r="I226" s="1146"/>
      <c r="J226" s="1148" t="s">
        <v>221</v>
      </c>
      <c r="K226" s="1175" t="s">
        <v>125</v>
      </c>
      <c r="M226" s="1" t="s">
        <v>125</v>
      </c>
    </row>
    <row r="227" spans="2:13" ht="15" hidden="1" customHeight="1" outlineLevel="1" x14ac:dyDescent="0.25">
      <c r="B227" s="1142" t="s">
        <v>830</v>
      </c>
      <c r="C227" s="1143"/>
      <c r="D227" s="1143" t="s">
        <v>654</v>
      </c>
      <c r="E227" s="1146">
        <v>24.08</v>
      </c>
      <c r="F227" s="1174" t="s">
        <v>1660</v>
      </c>
      <c r="G227" s="1146" t="s">
        <v>1661</v>
      </c>
      <c r="H227" s="1174" t="s">
        <v>125</v>
      </c>
      <c r="I227" s="1146"/>
      <c r="J227" s="1148" t="s">
        <v>221</v>
      </c>
      <c r="K227" s="1175" t="s">
        <v>125</v>
      </c>
      <c r="M227" s="1" t="s">
        <v>125</v>
      </c>
    </row>
    <row r="228" spans="2:13" ht="15" hidden="1" customHeight="1" outlineLevel="1" x14ac:dyDescent="0.25">
      <c r="B228" s="1142" t="s">
        <v>830</v>
      </c>
      <c r="C228" s="1143"/>
      <c r="D228" s="1143" t="s">
        <v>652</v>
      </c>
      <c r="E228" s="1146">
        <v>684.48</v>
      </c>
      <c r="F228" s="1174" t="s">
        <v>1660</v>
      </c>
      <c r="G228" s="1146" t="s">
        <v>1661</v>
      </c>
      <c r="H228" s="1174" t="s">
        <v>125</v>
      </c>
      <c r="I228" s="1146"/>
      <c r="J228" s="1148" t="s">
        <v>221</v>
      </c>
      <c r="K228" s="1175" t="s">
        <v>125</v>
      </c>
      <c r="M228" s="1" t="s">
        <v>125</v>
      </c>
    </row>
    <row r="229" spans="2:13" ht="15" hidden="1" customHeight="1" outlineLevel="1" x14ac:dyDescent="0.25">
      <c r="B229" s="1142" t="s">
        <v>830</v>
      </c>
      <c r="C229" s="1143"/>
      <c r="D229" s="1143" t="s">
        <v>648</v>
      </c>
      <c r="E229" s="1146">
        <v>5.42</v>
      </c>
      <c r="F229" s="1174" t="s">
        <v>1660</v>
      </c>
      <c r="G229" s="1146" t="s">
        <v>1661</v>
      </c>
      <c r="H229" s="1174" t="s">
        <v>125</v>
      </c>
      <c r="I229" s="1146"/>
      <c r="J229" s="1148" t="s">
        <v>221</v>
      </c>
      <c r="K229" s="1175" t="s">
        <v>125</v>
      </c>
      <c r="M229" s="1" t="s">
        <v>125</v>
      </c>
    </row>
    <row r="230" spans="2:13" ht="15" hidden="1" customHeight="1" outlineLevel="1" x14ac:dyDescent="0.25">
      <c r="B230" s="1142" t="s">
        <v>839</v>
      </c>
      <c r="C230" s="1143"/>
      <c r="D230" s="1143" t="s">
        <v>843</v>
      </c>
      <c r="E230" s="1146">
        <v>3.93</v>
      </c>
      <c r="F230" s="1174" t="s">
        <v>1660</v>
      </c>
      <c r="G230" s="1146" t="s">
        <v>685</v>
      </c>
      <c r="H230" s="1174" t="s">
        <v>1660</v>
      </c>
      <c r="I230" s="1146" t="s">
        <v>1561</v>
      </c>
      <c r="J230" s="1148" t="s">
        <v>221</v>
      </c>
      <c r="K230" s="1175" t="s">
        <v>125</v>
      </c>
      <c r="M230" s="1" t="s">
        <v>920</v>
      </c>
    </row>
    <row r="231" spans="2:13" ht="15" hidden="1" customHeight="1" outlineLevel="1" x14ac:dyDescent="0.25">
      <c r="B231" s="1142" t="s">
        <v>839</v>
      </c>
      <c r="C231" s="1143"/>
      <c r="D231" s="1143" t="s">
        <v>843</v>
      </c>
      <c r="E231" s="1146">
        <v>1.67</v>
      </c>
      <c r="F231" s="1174" t="s">
        <v>1660</v>
      </c>
      <c r="G231" s="1146" t="s">
        <v>685</v>
      </c>
      <c r="H231" s="1174" t="s">
        <v>1660</v>
      </c>
      <c r="I231" s="1146" t="s">
        <v>2128</v>
      </c>
      <c r="J231" s="1148" t="s">
        <v>221</v>
      </c>
      <c r="K231" s="1175" t="s">
        <v>125</v>
      </c>
      <c r="M231" s="1" t="s">
        <v>921</v>
      </c>
    </row>
    <row r="232" spans="2:13" ht="15" hidden="1" customHeight="1" outlineLevel="1" x14ac:dyDescent="0.25">
      <c r="B232" s="1142" t="s">
        <v>839</v>
      </c>
      <c r="C232" s="1143"/>
      <c r="D232" s="1143" t="s">
        <v>846</v>
      </c>
      <c r="E232" s="1146">
        <v>60.71</v>
      </c>
      <c r="F232" s="1174" t="s">
        <v>1660</v>
      </c>
      <c r="G232" s="1146" t="s">
        <v>685</v>
      </c>
      <c r="H232" s="1174" t="s">
        <v>1660</v>
      </c>
      <c r="I232" s="1146" t="s">
        <v>1564</v>
      </c>
      <c r="J232" s="1148" t="s">
        <v>221</v>
      </c>
      <c r="K232" s="1175" t="s">
        <v>125</v>
      </c>
      <c r="M232" s="1" t="s">
        <v>922</v>
      </c>
    </row>
    <row r="233" spans="2:13" ht="15" hidden="1" customHeight="1" outlineLevel="1" x14ac:dyDescent="0.25">
      <c r="B233" s="1142" t="s">
        <v>839</v>
      </c>
      <c r="C233" s="1143"/>
      <c r="D233" s="1143" t="s">
        <v>846</v>
      </c>
      <c r="E233" s="1146">
        <v>23.99</v>
      </c>
      <c r="F233" s="1174" t="s">
        <v>1660</v>
      </c>
      <c r="G233" s="1146" t="s">
        <v>1661</v>
      </c>
      <c r="H233" s="1174" t="s">
        <v>125</v>
      </c>
      <c r="I233" s="1146"/>
      <c r="J233" s="1148" t="s">
        <v>221</v>
      </c>
      <c r="K233" s="1175" t="s">
        <v>125</v>
      </c>
      <c r="M233" s="1" t="s">
        <v>923</v>
      </c>
    </row>
    <row r="234" spans="2:13" ht="15" hidden="1" customHeight="1" outlineLevel="1" x14ac:dyDescent="0.25">
      <c r="B234" s="1142" t="s">
        <v>839</v>
      </c>
      <c r="C234" s="1143"/>
      <c r="D234" s="1143" t="s">
        <v>846</v>
      </c>
      <c r="E234" s="1146">
        <v>44.91</v>
      </c>
      <c r="F234" s="1174" t="s">
        <v>125</v>
      </c>
      <c r="G234" s="1146"/>
      <c r="H234" s="1174" t="s">
        <v>125</v>
      </c>
      <c r="I234" s="1146"/>
      <c r="J234" s="1148" t="s">
        <v>221</v>
      </c>
      <c r="K234" s="1175" t="s">
        <v>125</v>
      </c>
      <c r="M234" s="1" t="s">
        <v>924</v>
      </c>
    </row>
    <row r="235" spans="2:13" ht="15" hidden="1" customHeight="1" outlineLevel="1" x14ac:dyDescent="0.25">
      <c r="B235" s="1142" t="s">
        <v>839</v>
      </c>
      <c r="C235" s="1143"/>
      <c r="D235" s="1143" t="s">
        <v>925</v>
      </c>
      <c r="E235" s="1146">
        <v>77.47</v>
      </c>
      <c r="F235" s="1174" t="s">
        <v>1660</v>
      </c>
      <c r="G235" s="1146" t="s">
        <v>1661</v>
      </c>
      <c r="H235" s="1174" t="s">
        <v>125</v>
      </c>
      <c r="I235" s="1146"/>
      <c r="J235" s="1148" t="s">
        <v>221</v>
      </c>
      <c r="K235" s="1175" t="s">
        <v>125</v>
      </c>
      <c r="M235" s="1" t="s">
        <v>926</v>
      </c>
    </row>
    <row r="236" spans="2:13" ht="15" hidden="1" customHeight="1" outlineLevel="1" x14ac:dyDescent="0.25">
      <c r="B236" s="1142" t="s">
        <v>839</v>
      </c>
      <c r="C236" s="1143"/>
      <c r="D236" s="1143" t="s">
        <v>843</v>
      </c>
      <c r="E236" s="1146">
        <v>2.91</v>
      </c>
      <c r="F236" s="1174" t="s">
        <v>125</v>
      </c>
      <c r="G236" s="1146"/>
      <c r="H236" s="1174" t="s">
        <v>125</v>
      </c>
      <c r="I236" s="1146"/>
      <c r="J236" s="1148" t="s">
        <v>221</v>
      </c>
      <c r="K236" s="1175" t="s">
        <v>125</v>
      </c>
      <c r="M236" s="1" t="s">
        <v>927</v>
      </c>
    </row>
    <row r="237" spans="2:13" ht="15" hidden="1" customHeight="1" outlineLevel="1" x14ac:dyDescent="0.25">
      <c r="B237" s="1142" t="s">
        <v>839</v>
      </c>
      <c r="C237" s="1143"/>
      <c r="D237" s="1143" t="s">
        <v>843</v>
      </c>
      <c r="E237" s="1146">
        <v>3.1</v>
      </c>
      <c r="F237" s="1174" t="s">
        <v>1660</v>
      </c>
      <c r="G237" s="1146" t="s">
        <v>1661</v>
      </c>
      <c r="H237" s="1174" t="s">
        <v>1660</v>
      </c>
      <c r="I237" s="1146" t="s">
        <v>1558</v>
      </c>
      <c r="J237" s="1148" t="s">
        <v>221</v>
      </c>
      <c r="K237" s="1175" t="s">
        <v>125</v>
      </c>
      <c r="M237" s="1" t="s">
        <v>928</v>
      </c>
    </row>
    <row r="238" spans="2:13" ht="15" hidden="1" customHeight="1" outlineLevel="1" x14ac:dyDescent="0.25">
      <c r="B238" s="1142" t="s">
        <v>839</v>
      </c>
      <c r="C238" s="1143"/>
      <c r="D238" s="1143" t="s">
        <v>843</v>
      </c>
      <c r="E238" s="1146">
        <v>1.23</v>
      </c>
      <c r="F238" s="1174" t="s">
        <v>125</v>
      </c>
      <c r="G238" s="1146"/>
      <c r="H238" s="1174" t="s">
        <v>125</v>
      </c>
      <c r="I238" s="1146"/>
      <c r="J238" s="1148" t="s">
        <v>221</v>
      </c>
      <c r="K238" s="1175" t="s">
        <v>125</v>
      </c>
      <c r="M238" s="1" t="s">
        <v>929</v>
      </c>
    </row>
    <row r="239" spans="2:13" ht="15" hidden="1" customHeight="1" outlineLevel="1" x14ac:dyDescent="0.25">
      <c r="B239" s="1142" t="s">
        <v>839</v>
      </c>
      <c r="C239" s="1143"/>
      <c r="D239" s="1143" t="s">
        <v>843</v>
      </c>
      <c r="E239" s="1146">
        <v>1.01</v>
      </c>
      <c r="F239" s="1174" t="s">
        <v>1660</v>
      </c>
      <c r="G239" s="1146" t="s">
        <v>1661</v>
      </c>
      <c r="H239" s="1174" t="s">
        <v>1660</v>
      </c>
      <c r="I239" s="1146" t="s">
        <v>2159</v>
      </c>
      <c r="J239" s="1148" t="s">
        <v>221</v>
      </c>
      <c r="K239" s="1175" t="s">
        <v>125</v>
      </c>
      <c r="M239" s="1" t="s">
        <v>930</v>
      </c>
    </row>
    <row r="240" spans="2:13" ht="15" hidden="1" customHeight="1" outlineLevel="1" x14ac:dyDescent="0.25">
      <c r="B240" s="1142" t="s">
        <v>931</v>
      </c>
      <c r="C240" s="1143"/>
      <c r="D240" s="1143" t="s">
        <v>932</v>
      </c>
      <c r="E240" s="1146">
        <v>332.14</v>
      </c>
      <c r="F240" s="1174" t="s">
        <v>1660</v>
      </c>
      <c r="G240" s="1146" t="s">
        <v>685</v>
      </c>
      <c r="H240" s="1174" t="s">
        <v>1660</v>
      </c>
      <c r="I240" s="1146" t="s">
        <v>1704</v>
      </c>
      <c r="J240" s="1148" t="s">
        <v>221</v>
      </c>
      <c r="K240" s="1175" t="s">
        <v>125</v>
      </c>
      <c r="M240" s="1" t="s">
        <v>933</v>
      </c>
    </row>
    <row r="241" spans="2:13" ht="15" hidden="1" customHeight="1" outlineLevel="1" x14ac:dyDescent="0.25">
      <c r="B241" s="1142" t="s">
        <v>931</v>
      </c>
      <c r="C241" s="1143"/>
      <c r="D241" s="1143" t="s">
        <v>934</v>
      </c>
      <c r="E241" s="1146">
        <v>41.64</v>
      </c>
      <c r="F241" s="1174" t="s">
        <v>1660</v>
      </c>
      <c r="G241" s="1146" t="s">
        <v>2160</v>
      </c>
      <c r="H241" s="1174" t="s">
        <v>1660</v>
      </c>
      <c r="I241" s="1146" t="s">
        <v>2161</v>
      </c>
      <c r="J241" s="1148" t="s">
        <v>935</v>
      </c>
      <c r="K241" s="1175" t="s">
        <v>125</v>
      </c>
      <c r="M241" s="1" t="s">
        <v>936</v>
      </c>
    </row>
    <row r="242" spans="2:13" ht="15" hidden="1" customHeight="1" outlineLevel="1" x14ac:dyDescent="0.25">
      <c r="B242" s="1142" t="s">
        <v>931</v>
      </c>
      <c r="C242" s="1143"/>
      <c r="D242" s="1143" t="s">
        <v>937</v>
      </c>
      <c r="E242" s="1146">
        <v>20160.13</v>
      </c>
      <c r="F242" s="1174" t="s">
        <v>1660</v>
      </c>
      <c r="G242" s="1146" t="s">
        <v>2162</v>
      </c>
      <c r="H242" s="1174" t="s">
        <v>1660</v>
      </c>
      <c r="I242" s="1146" t="s">
        <v>2163</v>
      </c>
      <c r="J242" s="1148" t="s">
        <v>935</v>
      </c>
      <c r="K242" s="1175" t="s">
        <v>125</v>
      </c>
      <c r="M242" s="1" t="s">
        <v>936</v>
      </c>
    </row>
    <row r="243" spans="2:13" ht="15" hidden="1" customHeight="1" outlineLevel="1" x14ac:dyDescent="0.25">
      <c r="B243" s="1142" t="s">
        <v>931</v>
      </c>
      <c r="C243" s="1143"/>
      <c r="D243" s="1143" t="s">
        <v>938</v>
      </c>
      <c r="E243" s="1146">
        <v>3590.84</v>
      </c>
      <c r="F243" s="1174" t="s">
        <v>1660</v>
      </c>
      <c r="G243" s="1146" t="s">
        <v>2164</v>
      </c>
      <c r="H243" s="1174" t="s">
        <v>1660</v>
      </c>
      <c r="I243" s="1146" t="s">
        <v>2165</v>
      </c>
      <c r="J243" s="1148" t="s">
        <v>935</v>
      </c>
      <c r="K243" s="1175" t="s">
        <v>125</v>
      </c>
      <c r="M243" s="1" t="s">
        <v>936</v>
      </c>
    </row>
    <row r="244" spans="2:13" ht="15" hidden="1" customHeight="1" outlineLevel="1" x14ac:dyDescent="0.25">
      <c r="B244" s="1142" t="s">
        <v>931</v>
      </c>
      <c r="C244" s="1143"/>
      <c r="D244" s="1143" t="s">
        <v>939</v>
      </c>
      <c r="E244" s="1146">
        <v>1.21</v>
      </c>
      <c r="F244" s="1174" t="s">
        <v>1660</v>
      </c>
      <c r="G244" s="1146" t="s">
        <v>2166</v>
      </c>
      <c r="H244" s="1174" t="s">
        <v>1660</v>
      </c>
      <c r="I244" s="1146" t="s">
        <v>2167</v>
      </c>
      <c r="J244" s="1148" t="s">
        <v>935</v>
      </c>
      <c r="K244" s="1175" t="s">
        <v>125</v>
      </c>
      <c r="M244" s="1" t="s">
        <v>936</v>
      </c>
    </row>
    <row r="245" spans="2:13" ht="15" hidden="1" customHeight="1" outlineLevel="1" x14ac:dyDescent="0.25">
      <c r="B245" s="1142" t="s">
        <v>931</v>
      </c>
      <c r="C245" s="1143"/>
      <c r="D245" s="1143" t="s">
        <v>940</v>
      </c>
      <c r="E245" s="1146">
        <v>0</v>
      </c>
      <c r="F245" s="1174" t="s">
        <v>125</v>
      </c>
      <c r="G245" s="1146"/>
      <c r="H245" s="1174" t="s">
        <v>125</v>
      </c>
      <c r="I245" s="1146"/>
      <c r="J245" s="1148" t="s">
        <v>935</v>
      </c>
      <c r="K245" s="1175" t="s">
        <v>125</v>
      </c>
      <c r="M245" s="1" t="s">
        <v>936</v>
      </c>
    </row>
    <row r="246" spans="2:13" ht="15" hidden="1" customHeight="1" outlineLevel="1" x14ac:dyDescent="0.25">
      <c r="B246" s="1142" t="s">
        <v>931</v>
      </c>
      <c r="C246" s="1143"/>
      <c r="D246" s="1143" t="s">
        <v>941</v>
      </c>
      <c r="E246" s="1146">
        <v>408.42</v>
      </c>
      <c r="F246" s="1174" t="s">
        <v>1660</v>
      </c>
      <c r="G246" s="1146" t="s">
        <v>2168</v>
      </c>
      <c r="H246" s="1174" t="s">
        <v>1660</v>
      </c>
      <c r="I246" s="1146" t="s">
        <v>2169</v>
      </c>
      <c r="J246" s="1148" t="s">
        <v>935</v>
      </c>
      <c r="K246" s="1175" t="s">
        <v>125</v>
      </c>
      <c r="M246" s="1" t="s">
        <v>936</v>
      </c>
    </row>
    <row r="247" spans="2:13" ht="15" hidden="1" customHeight="1" outlineLevel="1" x14ac:dyDescent="0.25">
      <c r="B247" s="1142" t="s">
        <v>931</v>
      </c>
      <c r="C247" s="1143"/>
      <c r="D247" s="1143" t="s">
        <v>942</v>
      </c>
      <c r="E247" s="1146">
        <v>30907.32</v>
      </c>
      <c r="F247" s="1174" t="s">
        <v>1660</v>
      </c>
      <c r="G247" s="1146" t="s">
        <v>2170</v>
      </c>
      <c r="H247" s="1174" t="s">
        <v>1660</v>
      </c>
      <c r="I247" s="1146" t="s">
        <v>2171</v>
      </c>
      <c r="J247" s="1148" t="s">
        <v>935</v>
      </c>
      <c r="K247" s="1175" t="s">
        <v>125</v>
      </c>
      <c r="M247" s="1" t="s">
        <v>936</v>
      </c>
    </row>
    <row r="248" spans="2:13" ht="15" hidden="1" customHeight="1" outlineLevel="1" x14ac:dyDescent="0.25">
      <c r="B248" s="1142" t="s">
        <v>931</v>
      </c>
      <c r="C248" s="1143"/>
      <c r="D248" s="1143" t="s">
        <v>932</v>
      </c>
      <c r="E248" s="1146">
        <v>245.71</v>
      </c>
      <c r="F248" s="1174" t="s">
        <v>125</v>
      </c>
      <c r="G248" s="1146"/>
      <c r="H248" s="1174" t="s">
        <v>125</v>
      </c>
      <c r="I248" s="1146"/>
      <c r="J248" s="1148" t="s">
        <v>221</v>
      </c>
      <c r="K248" s="1175" t="s">
        <v>125</v>
      </c>
      <c r="M248" s="1" t="s">
        <v>943</v>
      </c>
    </row>
    <row r="249" spans="2:13" ht="15" hidden="1" customHeight="1" outlineLevel="1" x14ac:dyDescent="0.25">
      <c r="B249" s="1142" t="s">
        <v>931</v>
      </c>
      <c r="C249" s="1143"/>
      <c r="D249" s="1143" t="s">
        <v>932</v>
      </c>
      <c r="E249" s="1146">
        <v>262.39</v>
      </c>
      <c r="F249" s="1174" t="s">
        <v>1660</v>
      </c>
      <c r="G249" s="1146" t="s">
        <v>1661</v>
      </c>
      <c r="H249" s="1174" t="s">
        <v>1660</v>
      </c>
      <c r="I249" s="1146" t="s">
        <v>1691</v>
      </c>
      <c r="J249" s="1148" t="s">
        <v>221</v>
      </c>
      <c r="K249" s="1175" t="s">
        <v>125</v>
      </c>
      <c r="M249" s="1" t="s">
        <v>944</v>
      </c>
    </row>
    <row r="250" spans="2:13" ht="15" hidden="1" customHeight="1" outlineLevel="1" x14ac:dyDescent="0.25">
      <c r="B250" s="1142" t="s">
        <v>945</v>
      </c>
      <c r="C250" s="1143" t="s">
        <v>946</v>
      </c>
      <c r="D250" s="1143" t="s">
        <v>947</v>
      </c>
      <c r="E250" s="1146">
        <v>1.98</v>
      </c>
      <c r="F250" s="1174" t="s">
        <v>1660</v>
      </c>
      <c r="G250" s="1146" t="s">
        <v>686</v>
      </c>
      <c r="H250" s="1174" t="s">
        <v>125</v>
      </c>
      <c r="I250" s="1146"/>
      <c r="J250" s="1148" t="s">
        <v>221</v>
      </c>
      <c r="K250" s="1175" t="s">
        <v>125</v>
      </c>
      <c r="M250" s="1" t="s">
        <v>948</v>
      </c>
    </row>
    <row r="251" spans="2:13" ht="15" hidden="1" customHeight="1" outlineLevel="1" x14ac:dyDescent="0.25">
      <c r="B251" s="1142" t="s">
        <v>945</v>
      </c>
      <c r="C251" s="1143" t="s">
        <v>946</v>
      </c>
      <c r="D251" s="1143" t="s">
        <v>934</v>
      </c>
      <c r="E251" s="1146">
        <v>1631.82</v>
      </c>
      <c r="F251" s="1174" t="s">
        <v>1660</v>
      </c>
      <c r="G251" s="1146" t="s">
        <v>2172</v>
      </c>
      <c r="H251" s="1174" t="s">
        <v>1660</v>
      </c>
      <c r="I251" s="1146" t="s">
        <v>2173</v>
      </c>
      <c r="J251" s="1148" t="s">
        <v>935</v>
      </c>
      <c r="K251" s="1175" t="s">
        <v>125</v>
      </c>
      <c r="M251" s="1" t="s">
        <v>949</v>
      </c>
    </row>
    <row r="252" spans="2:13" ht="15" hidden="1" customHeight="1" outlineLevel="1" x14ac:dyDescent="0.25">
      <c r="B252" s="1142" t="s">
        <v>945</v>
      </c>
      <c r="C252" s="1143" t="s">
        <v>946</v>
      </c>
      <c r="D252" s="1143" t="s">
        <v>937</v>
      </c>
      <c r="E252" s="1146">
        <v>44388.56</v>
      </c>
      <c r="F252" s="1174" t="s">
        <v>1660</v>
      </c>
      <c r="G252" s="1146" t="s">
        <v>2174</v>
      </c>
      <c r="H252" s="1174" t="s">
        <v>1660</v>
      </c>
      <c r="I252" s="1146" t="s">
        <v>2175</v>
      </c>
      <c r="J252" s="1148" t="s">
        <v>935</v>
      </c>
      <c r="K252" s="1175" t="s">
        <v>125</v>
      </c>
      <c r="M252" s="1" t="s">
        <v>949</v>
      </c>
    </row>
    <row r="253" spans="2:13" ht="15" hidden="1" customHeight="1" outlineLevel="1" x14ac:dyDescent="0.25">
      <c r="B253" s="1142" t="s">
        <v>945</v>
      </c>
      <c r="C253" s="1143" t="s">
        <v>946</v>
      </c>
      <c r="D253" s="1143" t="s">
        <v>938</v>
      </c>
      <c r="E253" s="1146">
        <v>845845.34</v>
      </c>
      <c r="F253" s="1174" t="s">
        <v>1660</v>
      </c>
      <c r="G253" s="1146" t="s">
        <v>2176</v>
      </c>
      <c r="H253" s="1174" t="s">
        <v>1660</v>
      </c>
      <c r="I253" s="1146" t="s">
        <v>2177</v>
      </c>
      <c r="J253" s="1148" t="s">
        <v>935</v>
      </c>
      <c r="K253" s="1175" t="s">
        <v>125</v>
      </c>
      <c r="M253" s="1" t="s">
        <v>949</v>
      </c>
    </row>
    <row r="254" spans="2:13" ht="15" hidden="1" customHeight="1" outlineLevel="1" x14ac:dyDescent="0.25">
      <c r="B254" s="1142" t="s">
        <v>945</v>
      </c>
      <c r="C254" s="1143" t="s">
        <v>946</v>
      </c>
      <c r="D254" s="1143" t="s">
        <v>939</v>
      </c>
      <c r="E254" s="1146">
        <v>506.61</v>
      </c>
      <c r="F254" s="1174" t="s">
        <v>1660</v>
      </c>
      <c r="G254" s="1146" t="s">
        <v>2178</v>
      </c>
      <c r="H254" s="1174" t="s">
        <v>1660</v>
      </c>
      <c r="I254" s="1146" t="s">
        <v>2179</v>
      </c>
      <c r="J254" s="1148" t="s">
        <v>935</v>
      </c>
      <c r="K254" s="1175" t="s">
        <v>125</v>
      </c>
      <c r="M254" s="1" t="s">
        <v>949</v>
      </c>
    </row>
    <row r="255" spans="2:13" ht="15" hidden="1" customHeight="1" outlineLevel="1" x14ac:dyDescent="0.25">
      <c r="B255" s="1142" t="s">
        <v>945</v>
      </c>
      <c r="C255" s="1143" t="s">
        <v>946</v>
      </c>
      <c r="D255" s="1143" t="s">
        <v>940</v>
      </c>
      <c r="E255" s="1146">
        <v>-1971.35</v>
      </c>
      <c r="F255" s="1174" t="s">
        <v>1660</v>
      </c>
      <c r="G255" s="1146" t="s">
        <v>2180</v>
      </c>
      <c r="H255" s="1174" t="s">
        <v>1660</v>
      </c>
      <c r="I255" s="1146" t="s">
        <v>2181</v>
      </c>
      <c r="J255" s="1148" t="s">
        <v>935</v>
      </c>
      <c r="K255" s="1175" t="s">
        <v>125</v>
      </c>
      <c r="M255" s="1" t="s">
        <v>949</v>
      </c>
    </row>
    <row r="256" spans="2:13" ht="15" hidden="1" customHeight="1" outlineLevel="1" x14ac:dyDescent="0.25">
      <c r="B256" s="1142" t="s">
        <v>945</v>
      </c>
      <c r="C256" s="1143" t="s">
        <v>946</v>
      </c>
      <c r="D256" s="1143" t="s">
        <v>941</v>
      </c>
      <c r="E256" s="1146">
        <v>22776.89</v>
      </c>
      <c r="F256" s="1174" t="s">
        <v>1660</v>
      </c>
      <c r="G256" s="1146" t="s">
        <v>2182</v>
      </c>
      <c r="H256" s="1174" t="s">
        <v>1660</v>
      </c>
      <c r="I256" s="1146" t="s">
        <v>2183</v>
      </c>
      <c r="J256" s="1148" t="s">
        <v>935</v>
      </c>
      <c r="K256" s="1175" t="s">
        <v>125</v>
      </c>
      <c r="M256" s="1" t="s">
        <v>949</v>
      </c>
    </row>
    <row r="257" spans="2:13" ht="15" hidden="1" customHeight="1" outlineLevel="1" x14ac:dyDescent="0.25">
      <c r="B257" s="1142" t="s">
        <v>945</v>
      </c>
      <c r="C257" s="1143" t="s">
        <v>946</v>
      </c>
      <c r="D257" s="1143" t="s">
        <v>942</v>
      </c>
      <c r="E257" s="1146">
        <v>855382.29</v>
      </c>
      <c r="F257" s="1174" t="s">
        <v>1660</v>
      </c>
      <c r="G257" s="1146" t="s">
        <v>2184</v>
      </c>
      <c r="H257" s="1174" t="s">
        <v>1660</v>
      </c>
      <c r="I257" s="1146" t="s">
        <v>2185</v>
      </c>
      <c r="J257" s="1148" t="s">
        <v>935</v>
      </c>
      <c r="K257" s="1175" t="s">
        <v>125</v>
      </c>
      <c r="M257" s="1" t="s">
        <v>949</v>
      </c>
    </row>
    <row r="258" spans="2:13" ht="15" hidden="1" customHeight="1" outlineLevel="1" x14ac:dyDescent="0.25">
      <c r="B258" s="1142" t="s">
        <v>945</v>
      </c>
      <c r="C258" s="1143" t="s">
        <v>946</v>
      </c>
      <c r="D258" s="1143" t="s">
        <v>947</v>
      </c>
      <c r="E258" s="1146">
        <v>0.48</v>
      </c>
      <c r="F258" s="1174" t="s">
        <v>1660</v>
      </c>
      <c r="G258" s="1146" t="s">
        <v>1661</v>
      </c>
      <c r="H258" s="1174" t="s">
        <v>125</v>
      </c>
      <c r="I258" s="1146"/>
      <c r="J258" s="1148" t="s">
        <v>221</v>
      </c>
      <c r="K258" s="1175" t="s">
        <v>125</v>
      </c>
      <c r="M258" s="1" t="s">
        <v>950</v>
      </c>
    </row>
    <row r="259" spans="2:13" ht="15" hidden="1" customHeight="1" outlineLevel="1" x14ac:dyDescent="0.25">
      <c r="B259" s="1142" t="s">
        <v>945</v>
      </c>
      <c r="C259" s="1143" t="s">
        <v>946</v>
      </c>
      <c r="D259" s="1143" t="s">
        <v>951</v>
      </c>
      <c r="E259" s="1146">
        <v>0.14399999999999999</v>
      </c>
      <c r="F259" s="1174" t="s">
        <v>1660</v>
      </c>
      <c r="G259" s="1146" t="s">
        <v>1661</v>
      </c>
      <c r="H259" s="1174" t="s">
        <v>125</v>
      </c>
      <c r="I259" s="1146"/>
      <c r="J259" s="1148" t="s">
        <v>221</v>
      </c>
      <c r="K259" s="1175" t="s">
        <v>125</v>
      </c>
      <c r="M259" s="1" t="s">
        <v>952</v>
      </c>
    </row>
    <row r="260" spans="2:13" ht="15" hidden="1" customHeight="1" outlineLevel="1" x14ac:dyDescent="0.25">
      <c r="B260" s="1149" t="s">
        <v>945</v>
      </c>
      <c r="C260" s="1150" t="s">
        <v>946</v>
      </c>
      <c r="D260" s="1150" t="s">
        <v>953</v>
      </c>
      <c r="E260" s="1158">
        <v>0.2</v>
      </c>
      <c r="F260" s="1176" t="s">
        <v>1660</v>
      </c>
      <c r="G260" s="1158" t="s">
        <v>1661</v>
      </c>
      <c r="H260" s="1176" t="s">
        <v>125</v>
      </c>
      <c r="I260" s="1158"/>
      <c r="J260" s="1155" t="s">
        <v>221</v>
      </c>
      <c r="K260" s="1175" t="s">
        <v>125</v>
      </c>
      <c r="M260" s="1" t="s">
        <v>954</v>
      </c>
    </row>
    <row r="261" spans="2:13" ht="15" customHeight="1" collapsed="1" x14ac:dyDescent="0.25">
      <c r="B261" s="1109"/>
      <c r="D261" s="1159"/>
      <c r="E261" s="672"/>
      <c r="F261" s="1195" t="s">
        <v>125</v>
      </c>
      <c r="G261" s="672"/>
      <c r="H261" s="1195" t="s">
        <v>125</v>
      </c>
      <c r="I261" s="672"/>
      <c r="J261" s="672"/>
      <c r="K261" s="210"/>
    </row>
    <row r="262" spans="2:13" ht="15" customHeight="1" collapsed="1" x14ac:dyDescent="0.25">
      <c r="B262" s="1164" t="s">
        <v>825</v>
      </c>
      <c r="C262" s="1165"/>
      <c r="D262" s="1165" t="s">
        <v>914</v>
      </c>
      <c r="E262" s="1168">
        <v>0.34</v>
      </c>
      <c r="F262" s="1178" t="s">
        <v>125</v>
      </c>
      <c r="G262" s="1168"/>
      <c r="H262" s="1178" t="s">
        <v>125</v>
      </c>
      <c r="I262" s="1168"/>
      <c r="J262" s="246" t="s">
        <v>221</v>
      </c>
      <c r="K262" s="292">
        <v>100</v>
      </c>
    </row>
    <row r="263" spans="2:13" ht="15" hidden="1" customHeight="1" outlineLevel="1" x14ac:dyDescent="0.25">
      <c r="B263" s="1137" t="s">
        <v>830</v>
      </c>
      <c r="C263" s="1138"/>
      <c r="D263" s="1138" t="s">
        <v>915</v>
      </c>
      <c r="E263" s="1163">
        <v>1</v>
      </c>
      <c r="F263" s="1196" t="s">
        <v>125</v>
      </c>
      <c r="G263" s="1163"/>
      <c r="H263" s="1196" t="s">
        <v>125</v>
      </c>
      <c r="I263" s="954"/>
      <c r="J263" s="955" t="s">
        <v>221</v>
      </c>
      <c r="K263" s="1197" t="s">
        <v>125</v>
      </c>
      <c r="M263" s="1" t="s">
        <v>125</v>
      </c>
    </row>
    <row r="264" spans="2:13" ht="15" hidden="1" customHeight="1" outlineLevel="1" x14ac:dyDescent="0.25">
      <c r="B264" s="1142" t="s">
        <v>830</v>
      </c>
      <c r="C264" s="1143"/>
      <c r="D264" s="1143" t="s">
        <v>912</v>
      </c>
      <c r="E264" s="1146">
        <v>1.25E-3</v>
      </c>
      <c r="F264" s="1174" t="s">
        <v>125</v>
      </c>
      <c r="G264" s="1146"/>
      <c r="H264" s="1174" t="s">
        <v>125</v>
      </c>
      <c r="I264" s="1108"/>
      <c r="J264" s="1148" t="s">
        <v>221</v>
      </c>
      <c r="K264" s="1175" t="s">
        <v>125</v>
      </c>
      <c r="M264" s="1" t="s">
        <v>2186</v>
      </c>
    </row>
    <row r="265" spans="2:13" ht="15" hidden="1" customHeight="1" outlineLevel="1" x14ac:dyDescent="0.25">
      <c r="B265" s="1149" t="s">
        <v>839</v>
      </c>
      <c r="C265" s="1150"/>
      <c r="D265" s="1150" t="s">
        <v>913</v>
      </c>
      <c r="E265" s="1158">
        <v>0.66</v>
      </c>
      <c r="F265" s="1176" t="s">
        <v>125</v>
      </c>
      <c r="G265" s="1158"/>
      <c r="H265" s="1176" t="s">
        <v>125</v>
      </c>
      <c r="I265" s="1158"/>
      <c r="J265" s="1155" t="s">
        <v>221</v>
      </c>
      <c r="K265" s="1175"/>
    </row>
    <row r="266" spans="2:13" ht="15" customHeight="1" x14ac:dyDescent="0.25">
      <c r="F266" s="1177" t="s">
        <v>125</v>
      </c>
      <c r="H266" s="1177" t="s">
        <v>125</v>
      </c>
    </row>
    <row r="267" spans="2:13" ht="15" customHeight="1" collapsed="1" x14ac:dyDescent="0.25">
      <c r="B267" s="1164" t="s">
        <v>825</v>
      </c>
      <c r="C267" s="1165"/>
      <c r="D267" s="1165" t="s">
        <v>897</v>
      </c>
      <c r="E267" s="1168">
        <v>0.96899999999999997</v>
      </c>
      <c r="F267" s="1178" t="s">
        <v>248</v>
      </c>
      <c r="G267" s="1168" t="s">
        <v>752</v>
      </c>
      <c r="H267" s="1178"/>
      <c r="I267" s="1168"/>
      <c r="J267" s="246" t="s">
        <v>221</v>
      </c>
      <c r="K267" s="292">
        <v>100</v>
      </c>
    </row>
    <row r="268" spans="2:13" ht="15" hidden="1" customHeight="1" outlineLevel="1" x14ac:dyDescent="0.25">
      <c r="B268" s="1142" t="s">
        <v>830</v>
      </c>
      <c r="C268" s="1143"/>
      <c r="D268" s="1143" t="s">
        <v>860</v>
      </c>
      <c r="E268" s="1146">
        <v>11.1</v>
      </c>
      <c r="F268" s="1174" t="s">
        <v>125</v>
      </c>
      <c r="G268" s="1146"/>
      <c r="H268" s="1174" t="s">
        <v>125</v>
      </c>
      <c r="I268" s="1108"/>
      <c r="J268" s="1148" t="s">
        <v>849</v>
      </c>
      <c r="K268" s="1175" t="s">
        <v>125</v>
      </c>
      <c r="M268" s="1" t="s">
        <v>125</v>
      </c>
    </row>
    <row r="269" spans="2:13" ht="15" hidden="1" customHeight="1" outlineLevel="1" x14ac:dyDescent="0.25">
      <c r="B269" s="1142" t="s">
        <v>830</v>
      </c>
      <c r="C269" s="1143"/>
      <c r="D269" s="1143" t="s">
        <v>861</v>
      </c>
      <c r="E269" s="1146">
        <v>328</v>
      </c>
      <c r="F269" s="1174" t="s">
        <v>125</v>
      </c>
      <c r="G269" s="1146"/>
      <c r="H269" s="1174" t="s">
        <v>125</v>
      </c>
      <c r="I269" s="1146"/>
      <c r="J269" s="1148" t="s">
        <v>849</v>
      </c>
      <c r="K269" s="1175" t="s">
        <v>125</v>
      </c>
      <c r="M269" s="1" t="s">
        <v>862</v>
      </c>
    </row>
    <row r="270" spans="2:13" ht="15" hidden="1" customHeight="1" outlineLevel="1" x14ac:dyDescent="0.25">
      <c r="B270" s="1142" t="s">
        <v>830</v>
      </c>
      <c r="C270" s="1143"/>
      <c r="D270" s="1143" t="s">
        <v>863</v>
      </c>
      <c r="E270" s="1146">
        <v>209.2</v>
      </c>
      <c r="F270" s="1174" t="s">
        <v>125</v>
      </c>
      <c r="G270" s="1146"/>
      <c r="H270" s="1174" t="s">
        <v>125</v>
      </c>
      <c r="I270" s="1146"/>
      <c r="J270" s="1148" t="s">
        <v>849</v>
      </c>
      <c r="K270" s="1175" t="s">
        <v>125</v>
      </c>
      <c r="M270" s="1" t="s">
        <v>862</v>
      </c>
    </row>
    <row r="271" spans="2:13" ht="15" hidden="1" customHeight="1" outlineLevel="1" x14ac:dyDescent="0.25">
      <c r="B271" s="1142" t="s">
        <v>830</v>
      </c>
      <c r="C271" s="1143"/>
      <c r="D271" s="1143" t="s">
        <v>864</v>
      </c>
      <c r="E271" s="1146">
        <v>40.6</v>
      </c>
      <c r="F271" s="1174" t="s">
        <v>125</v>
      </c>
      <c r="G271" s="1146"/>
      <c r="H271" s="1174" t="s">
        <v>125</v>
      </c>
      <c r="I271" s="1146"/>
      <c r="J271" s="1148" t="s">
        <v>849</v>
      </c>
      <c r="K271" s="1175" t="s">
        <v>125</v>
      </c>
      <c r="M271" s="1" t="s">
        <v>125</v>
      </c>
    </row>
    <row r="272" spans="2:13" ht="15" hidden="1" customHeight="1" outlineLevel="1" x14ac:dyDescent="0.25">
      <c r="B272" s="1142" t="s">
        <v>830</v>
      </c>
      <c r="C272" s="1143"/>
      <c r="D272" s="1143" t="s">
        <v>899</v>
      </c>
      <c r="E272" s="1146">
        <v>6.5</v>
      </c>
      <c r="F272" s="1174" t="s">
        <v>125</v>
      </c>
      <c r="G272" s="1146"/>
      <c r="H272" s="1174" t="s">
        <v>125</v>
      </c>
      <c r="I272" s="1146"/>
      <c r="J272" s="1148" t="s">
        <v>849</v>
      </c>
      <c r="K272" s="1175" t="s">
        <v>125</v>
      </c>
      <c r="M272" s="1" t="s">
        <v>125</v>
      </c>
    </row>
    <row r="273" spans="2:13" ht="15" hidden="1" customHeight="1" outlineLevel="1" x14ac:dyDescent="0.25">
      <c r="B273" s="1142" t="s">
        <v>830</v>
      </c>
      <c r="C273" s="1143"/>
      <c r="D273" s="1143" t="s">
        <v>890</v>
      </c>
      <c r="E273" s="1146">
        <v>15</v>
      </c>
      <c r="F273" s="1174" t="s">
        <v>125</v>
      </c>
      <c r="G273" s="1146"/>
      <c r="H273" s="1174" t="s">
        <v>125</v>
      </c>
      <c r="I273" s="1146"/>
      <c r="J273" s="1148" t="s">
        <v>849</v>
      </c>
      <c r="K273" s="1175" t="s">
        <v>125</v>
      </c>
      <c r="M273" s="1" t="s">
        <v>125</v>
      </c>
    </row>
    <row r="274" spans="2:13" ht="15" hidden="1" customHeight="1" outlineLevel="1" x14ac:dyDescent="0.25">
      <c r="B274" s="1142" t="s">
        <v>830</v>
      </c>
      <c r="C274" s="1143"/>
      <c r="D274" s="1143" t="s">
        <v>867</v>
      </c>
      <c r="E274" s="1146">
        <v>134.5</v>
      </c>
      <c r="F274" s="1174" t="s">
        <v>125</v>
      </c>
      <c r="G274" s="1146"/>
      <c r="H274" s="1174" t="s">
        <v>125</v>
      </c>
      <c r="I274" s="1146"/>
      <c r="J274" s="1148" t="s">
        <v>849</v>
      </c>
      <c r="K274" s="1175" t="s">
        <v>125</v>
      </c>
      <c r="M274" s="1" t="s">
        <v>862</v>
      </c>
    </row>
    <row r="275" spans="2:13" ht="15" hidden="1" customHeight="1" outlineLevel="1" x14ac:dyDescent="0.25">
      <c r="B275" s="1142" t="s">
        <v>830</v>
      </c>
      <c r="C275" s="1143"/>
      <c r="D275" s="1143" t="s">
        <v>868</v>
      </c>
      <c r="E275" s="1146">
        <v>32.200000000000003</v>
      </c>
      <c r="F275" s="1174" t="s">
        <v>125</v>
      </c>
      <c r="G275" s="1146"/>
      <c r="H275" s="1174" t="s">
        <v>125</v>
      </c>
      <c r="I275" s="1146"/>
      <c r="J275" s="1148" t="s">
        <v>849</v>
      </c>
      <c r="K275" s="1175" t="s">
        <v>125</v>
      </c>
      <c r="M275" s="1" t="s">
        <v>125</v>
      </c>
    </row>
    <row r="276" spans="2:13" ht="15" hidden="1" customHeight="1" outlineLevel="1" x14ac:dyDescent="0.25">
      <c r="B276" s="1142" t="s">
        <v>830</v>
      </c>
      <c r="C276" s="1143"/>
      <c r="D276" s="1143" t="s">
        <v>891</v>
      </c>
      <c r="E276" s="1146">
        <v>14.6</v>
      </c>
      <c r="F276" s="1174" t="s">
        <v>1660</v>
      </c>
      <c r="G276" s="1146" t="s">
        <v>747</v>
      </c>
      <c r="H276" s="1174" t="s">
        <v>125</v>
      </c>
      <c r="I276" s="1146"/>
      <c r="J276" s="1148" t="s">
        <v>849</v>
      </c>
      <c r="K276" s="1175" t="s">
        <v>125</v>
      </c>
      <c r="M276" s="1" t="s">
        <v>900</v>
      </c>
    </row>
    <row r="277" spans="2:13" ht="15" hidden="1" customHeight="1" outlineLevel="1" x14ac:dyDescent="0.25">
      <c r="B277" s="1142" t="s">
        <v>830</v>
      </c>
      <c r="C277" s="1143"/>
      <c r="D277" s="1143" t="s">
        <v>886</v>
      </c>
      <c r="E277" s="1146">
        <v>1.1000000000000001</v>
      </c>
      <c r="F277" s="1174" t="s">
        <v>125</v>
      </c>
      <c r="G277" s="1146"/>
      <c r="H277" s="1174" t="s">
        <v>125</v>
      </c>
      <c r="I277" s="1146"/>
      <c r="J277" s="1148" t="s">
        <v>849</v>
      </c>
      <c r="K277" s="1175" t="s">
        <v>125</v>
      </c>
      <c r="M277" s="1" t="s">
        <v>125</v>
      </c>
    </row>
    <row r="278" spans="2:13" ht="15" hidden="1" customHeight="1" outlineLevel="1" x14ac:dyDescent="0.25">
      <c r="B278" s="1142" t="s">
        <v>830</v>
      </c>
      <c r="C278" s="1143"/>
      <c r="D278" s="1143" t="s">
        <v>871</v>
      </c>
      <c r="E278" s="1146">
        <v>0.04</v>
      </c>
      <c r="F278" s="1174" t="s">
        <v>1660</v>
      </c>
      <c r="G278" s="1146" t="s">
        <v>747</v>
      </c>
      <c r="H278" s="1174" t="s">
        <v>125</v>
      </c>
      <c r="I278" s="1146"/>
      <c r="J278" s="1148" t="s">
        <v>849</v>
      </c>
      <c r="K278" s="1175" t="s">
        <v>125</v>
      </c>
      <c r="M278" s="1" t="s">
        <v>900</v>
      </c>
    </row>
    <row r="279" spans="2:13" ht="15" hidden="1" customHeight="1" outlineLevel="1" x14ac:dyDescent="0.25">
      <c r="B279" s="1142" t="s">
        <v>830</v>
      </c>
      <c r="C279" s="1143"/>
      <c r="D279" s="1143" t="s">
        <v>873</v>
      </c>
      <c r="E279" s="1146">
        <v>34.1</v>
      </c>
      <c r="F279" s="1174" t="s">
        <v>125</v>
      </c>
      <c r="G279" s="1146"/>
      <c r="H279" s="1174" t="s">
        <v>125</v>
      </c>
      <c r="I279" s="1146"/>
      <c r="J279" s="1148" t="s">
        <v>849</v>
      </c>
      <c r="K279" s="1175" t="s">
        <v>125</v>
      </c>
      <c r="M279" s="1" t="s">
        <v>125</v>
      </c>
    </row>
    <row r="280" spans="2:13" ht="15" hidden="1" customHeight="1" outlineLevel="1" x14ac:dyDescent="0.25">
      <c r="B280" s="1142" t="s">
        <v>830</v>
      </c>
      <c r="C280" s="1143"/>
      <c r="D280" s="1143" t="s">
        <v>874</v>
      </c>
      <c r="E280" s="1146">
        <v>21.5</v>
      </c>
      <c r="F280" s="1174" t="s">
        <v>125</v>
      </c>
      <c r="G280" s="1146"/>
      <c r="H280" s="1174" t="s">
        <v>125</v>
      </c>
      <c r="I280" s="1146"/>
      <c r="J280" s="1148" t="s">
        <v>849</v>
      </c>
      <c r="K280" s="1175" t="s">
        <v>125</v>
      </c>
      <c r="M280" s="1" t="s">
        <v>862</v>
      </c>
    </row>
    <row r="281" spans="2:13" ht="15" hidden="1" customHeight="1" outlineLevel="1" x14ac:dyDescent="0.25">
      <c r="B281" s="1142" t="s">
        <v>830</v>
      </c>
      <c r="C281" s="1143"/>
      <c r="D281" s="1143" t="s">
        <v>893</v>
      </c>
      <c r="E281" s="1146">
        <v>26.7</v>
      </c>
      <c r="F281" s="1174" t="s">
        <v>125</v>
      </c>
      <c r="G281" s="1146"/>
      <c r="H281" s="1174" t="s">
        <v>125</v>
      </c>
      <c r="I281" s="1146"/>
      <c r="J281" s="1148" t="s">
        <v>849</v>
      </c>
      <c r="K281" s="1175" t="s">
        <v>125</v>
      </c>
      <c r="M281" s="1" t="s">
        <v>125</v>
      </c>
    </row>
    <row r="282" spans="2:13" ht="15" hidden="1" customHeight="1" outlineLevel="1" x14ac:dyDescent="0.25">
      <c r="B282" s="1142" t="s">
        <v>830</v>
      </c>
      <c r="C282" s="1143"/>
      <c r="D282" s="1143" t="s">
        <v>887</v>
      </c>
      <c r="E282" s="1146">
        <v>2.6</v>
      </c>
      <c r="F282" s="1174" t="s">
        <v>125</v>
      </c>
      <c r="G282" s="1146"/>
      <c r="H282" s="1174" t="s">
        <v>125</v>
      </c>
      <c r="I282" s="1146"/>
      <c r="J282" s="1148" t="s">
        <v>849</v>
      </c>
      <c r="K282" s="1175" t="s">
        <v>125</v>
      </c>
      <c r="M282" s="1" t="s">
        <v>862</v>
      </c>
    </row>
    <row r="283" spans="2:13" ht="15" hidden="1" customHeight="1" outlineLevel="1" x14ac:dyDescent="0.25">
      <c r="B283" s="1142" t="s">
        <v>830</v>
      </c>
      <c r="C283" s="1143"/>
      <c r="D283" s="1143" t="s">
        <v>894</v>
      </c>
      <c r="E283" s="1146">
        <v>90.9</v>
      </c>
      <c r="F283" s="1174" t="s">
        <v>125</v>
      </c>
      <c r="G283" s="1146"/>
      <c r="H283" s="1174" t="s">
        <v>125</v>
      </c>
      <c r="I283" s="1146"/>
      <c r="J283" s="1148" t="s">
        <v>849</v>
      </c>
      <c r="K283" s="1175" t="s">
        <v>125</v>
      </c>
      <c r="M283" s="1" t="s">
        <v>125</v>
      </c>
    </row>
    <row r="284" spans="2:13" ht="15" hidden="1" customHeight="1" outlineLevel="1" x14ac:dyDescent="0.25">
      <c r="B284" s="1142" t="s">
        <v>830</v>
      </c>
      <c r="C284" s="1143"/>
      <c r="D284" s="1143" t="s">
        <v>857</v>
      </c>
      <c r="E284" s="1146">
        <v>0.30499999999999999</v>
      </c>
      <c r="F284" s="1174" t="s">
        <v>125</v>
      </c>
      <c r="G284" s="1146"/>
      <c r="H284" s="1174" t="s">
        <v>125</v>
      </c>
      <c r="I284" s="1146"/>
      <c r="J284" s="1148" t="s">
        <v>304</v>
      </c>
      <c r="K284" s="1175" t="s">
        <v>125</v>
      </c>
      <c r="M284" s="1" t="s">
        <v>876</v>
      </c>
    </row>
    <row r="285" spans="2:13" ht="15" hidden="1" customHeight="1" outlineLevel="1" x14ac:dyDescent="0.25">
      <c r="B285" s="1149" t="s">
        <v>830</v>
      </c>
      <c r="C285" s="1150"/>
      <c r="D285" s="1150" t="s">
        <v>858</v>
      </c>
      <c r="E285" s="1158">
        <v>0.13100000000000001</v>
      </c>
      <c r="F285" s="1176" t="s">
        <v>125</v>
      </c>
      <c r="G285" s="1158"/>
      <c r="H285" s="1176" t="s">
        <v>125</v>
      </c>
      <c r="I285" s="1158"/>
      <c r="J285" s="1155" t="s">
        <v>304</v>
      </c>
      <c r="K285" s="1175" t="s">
        <v>125</v>
      </c>
      <c r="M285" s="1" t="s">
        <v>876</v>
      </c>
    </row>
    <row r="286" spans="2:13" ht="15" customHeight="1" collapsed="1" x14ac:dyDescent="0.25">
      <c r="B286" s="1109"/>
      <c r="D286" s="1159"/>
      <c r="E286" s="672"/>
      <c r="F286" s="1195" t="s">
        <v>125</v>
      </c>
      <c r="G286" s="672"/>
      <c r="H286" s="1195" t="s">
        <v>125</v>
      </c>
      <c r="I286" s="672"/>
      <c r="J286" s="672"/>
      <c r="K286" s="210"/>
    </row>
    <row r="287" spans="2:13" ht="15" customHeight="1" collapsed="1" x14ac:dyDescent="0.25">
      <c r="B287" s="1164" t="s">
        <v>825</v>
      </c>
      <c r="C287" s="1165"/>
      <c r="D287" s="1165" t="s">
        <v>889</v>
      </c>
      <c r="E287" s="1168">
        <v>0.96799999999999997</v>
      </c>
      <c r="F287" s="1178" t="s">
        <v>248</v>
      </c>
      <c r="G287" s="1168" t="s">
        <v>751</v>
      </c>
      <c r="H287" s="1178"/>
      <c r="I287" s="1168"/>
      <c r="J287" s="246" t="s">
        <v>221</v>
      </c>
      <c r="K287" s="292">
        <v>100</v>
      </c>
    </row>
    <row r="288" spans="2:13" ht="15" hidden="1" customHeight="1" outlineLevel="1" x14ac:dyDescent="0.25">
      <c r="B288" s="1142" t="s">
        <v>830</v>
      </c>
      <c r="C288" s="1143"/>
      <c r="D288" s="1143" t="s">
        <v>860</v>
      </c>
      <c r="E288" s="1146">
        <v>15.1</v>
      </c>
      <c r="F288" s="1174" t="s">
        <v>125</v>
      </c>
      <c r="G288" s="1146"/>
      <c r="H288" s="1174" t="s">
        <v>125</v>
      </c>
      <c r="I288" s="1108"/>
      <c r="J288" s="1148" t="s">
        <v>849</v>
      </c>
      <c r="K288" s="1" t="s">
        <v>125</v>
      </c>
      <c r="M288" s="1" t="s">
        <v>125</v>
      </c>
    </row>
    <row r="289" spans="2:13" ht="15" hidden="1" customHeight="1" outlineLevel="1" x14ac:dyDescent="0.25">
      <c r="B289" s="1142" t="s">
        <v>830</v>
      </c>
      <c r="C289" s="1143"/>
      <c r="D289" s="1143" t="s">
        <v>861</v>
      </c>
      <c r="E289" s="1146">
        <v>386</v>
      </c>
      <c r="F289" s="1174" t="s">
        <v>125</v>
      </c>
      <c r="G289" s="1146"/>
      <c r="H289" s="1174" t="s">
        <v>125</v>
      </c>
      <c r="I289" s="1146"/>
      <c r="J289" s="1148" t="s">
        <v>849</v>
      </c>
      <c r="K289" s="1" t="s">
        <v>125</v>
      </c>
      <c r="M289" s="1" t="s">
        <v>125</v>
      </c>
    </row>
    <row r="290" spans="2:13" ht="15" hidden="1" customHeight="1" outlineLevel="1" x14ac:dyDescent="0.25">
      <c r="B290" s="1142" t="s">
        <v>830</v>
      </c>
      <c r="C290" s="1143"/>
      <c r="D290" s="1143" t="s">
        <v>863</v>
      </c>
      <c r="E290" s="1146">
        <v>132.6</v>
      </c>
      <c r="F290" s="1174" t="s">
        <v>125</v>
      </c>
      <c r="G290" s="1146"/>
      <c r="H290" s="1174" t="s">
        <v>125</v>
      </c>
      <c r="I290" s="1146"/>
      <c r="J290" s="1148" t="s">
        <v>849</v>
      </c>
      <c r="K290" s="1" t="s">
        <v>125</v>
      </c>
      <c r="M290" s="1" t="s">
        <v>125</v>
      </c>
    </row>
    <row r="291" spans="2:13" ht="15" hidden="1" customHeight="1" outlineLevel="1" x14ac:dyDescent="0.25">
      <c r="B291" s="1142" t="s">
        <v>830</v>
      </c>
      <c r="C291" s="1143"/>
      <c r="D291" s="1143" t="s">
        <v>864</v>
      </c>
      <c r="E291" s="1146">
        <v>36.9</v>
      </c>
      <c r="F291" s="1174" t="s">
        <v>125</v>
      </c>
      <c r="G291" s="1146"/>
      <c r="H291" s="1174" t="s">
        <v>125</v>
      </c>
      <c r="I291" s="1146"/>
      <c r="J291" s="1148" t="s">
        <v>849</v>
      </c>
      <c r="K291" s="1" t="s">
        <v>125</v>
      </c>
      <c r="M291" s="1" t="s">
        <v>125</v>
      </c>
    </row>
    <row r="292" spans="2:13" ht="15" hidden="1" customHeight="1" outlineLevel="1" x14ac:dyDescent="0.25">
      <c r="B292" s="1142" t="s">
        <v>830</v>
      </c>
      <c r="C292" s="1143"/>
      <c r="D292" s="1143" t="s">
        <v>890</v>
      </c>
      <c r="E292" s="1146">
        <v>16.100000000000001</v>
      </c>
      <c r="F292" s="1174" t="s">
        <v>125</v>
      </c>
      <c r="G292" s="1146"/>
      <c r="H292" s="1174" t="s">
        <v>125</v>
      </c>
      <c r="I292" s="1146"/>
      <c r="J292" s="1148" t="s">
        <v>849</v>
      </c>
      <c r="K292" s="1" t="s">
        <v>125</v>
      </c>
      <c r="M292" s="1" t="s">
        <v>125</v>
      </c>
    </row>
    <row r="293" spans="2:13" ht="15" hidden="1" customHeight="1" outlineLevel="1" x14ac:dyDescent="0.25">
      <c r="B293" s="1142" t="s">
        <v>830</v>
      </c>
      <c r="C293" s="1143"/>
      <c r="D293" s="1143" t="s">
        <v>867</v>
      </c>
      <c r="E293" s="1146">
        <v>155.30000000000001</v>
      </c>
      <c r="F293" s="1174" t="s">
        <v>125</v>
      </c>
      <c r="G293" s="1146"/>
      <c r="H293" s="1174" t="s">
        <v>125</v>
      </c>
      <c r="I293" s="1146"/>
      <c r="J293" s="1148" t="s">
        <v>849</v>
      </c>
      <c r="K293" s="1" t="s">
        <v>125</v>
      </c>
      <c r="M293" s="1" t="s">
        <v>862</v>
      </c>
    </row>
    <row r="294" spans="2:13" ht="15" hidden="1" customHeight="1" outlineLevel="1" x14ac:dyDescent="0.25">
      <c r="B294" s="1142" t="s">
        <v>830</v>
      </c>
      <c r="C294" s="1143"/>
      <c r="D294" s="1143" t="s">
        <v>868</v>
      </c>
      <c r="E294" s="1146">
        <v>26.1</v>
      </c>
      <c r="F294" s="1174" t="s">
        <v>125</v>
      </c>
      <c r="G294" s="1146"/>
      <c r="H294" s="1174" t="s">
        <v>125</v>
      </c>
      <c r="I294" s="1146"/>
      <c r="J294" s="1148" t="s">
        <v>849</v>
      </c>
      <c r="K294" s="1" t="s">
        <v>125</v>
      </c>
      <c r="M294" s="1" t="s">
        <v>125</v>
      </c>
    </row>
    <row r="295" spans="2:13" ht="15" hidden="1" customHeight="1" outlineLevel="1" x14ac:dyDescent="0.25">
      <c r="B295" s="1142" t="s">
        <v>830</v>
      </c>
      <c r="C295" s="1143"/>
      <c r="D295" s="1143" t="s">
        <v>891</v>
      </c>
      <c r="E295" s="1146">
        <v>9.1</v>
      </c>
      <c r="F295" s="1174" t="s">
        <v>1660</v>
      </c>
      <c r="G295" s="1146" t="s">
        <v>747</v>
      </c>
      <c r="H295" s="1174" t="s">
        <v>125</v>
      </c>
      <c r="I295" s="1146"/>
      <c r="J295" s="1148" t="s">
        <v>849</v>
      </c>
      <c r="K295" s="1" t="s">
        <v>125</v>
      </c>
      <c r="M295" s="1" t="s">
        <v>892</v>
      </c>
    </row>
    <row r="296" spans="2:13" ht="15" hidden="1" customHeight="1" outlineLevel="1" x14ac:dyDescent="0.25">
      <c r="B296" s="1142" t="s">
        <v>830</v>
      </c>
      <c r="C296" s="1143"/>
      <c r="D296" s="1143" t="s">
        <v>886</v>
      </c>
      <c r="E296" s="1146">
        <v>0.5</v>
      </c>
      <c r="F296" s="1174" t="s">
        <v>125</v>
      </c>
      <c r="G296" s="1146"/>
      <c r="H296" s="1174" t="s">
        <v>125</v>
      </c>
      <c r="I296" s="1146"/>
      <c r="J296" s="1148" t="s">
        <v>849</v>
      </c>
      <c r="K296" s="1" t="s">
        <v>125</v>
      </c>
      <c r="M296" s="1" t="s">
        <v>125</v>
      </c>
    </row>
    <row r="297" spans="2:13" ht="15" hidden="1" customHeight="1" outlineLevel="1" x14ac:dyDescent="0.25">
      <c r="B297" s="1142" t="s">
        <v>830</v>
      </c>
      <c r="C297" s="1143"/>
      <c r="D297" s="1143" t="s">
        <v>873</v>
      </c>
      <c r="E297" s="1146">
        <v>34.4</v>
      </c>
      <c r="F297" s="1174" t="s">
        <v>125</v>
      </c>
      <c r="G297" s="1146"/>
      <c r="H297" s="1174" t="s">
        <v>125</v>
      </c>
      <c r="I297" s="1146"/>
      <c r="J297" s="1148" t="s">
        <v>849</v>
      </c>
      <c r="K297" s="1" t="s">
        <v>125</v>
      </c>
      <c r="M297" s="1" t="s">
        <v>125</v>
      </c>
    </row>
    <row r="298" spans="2:13" ht="15" hidden="1" customHeight="1" outlineLevel="1" x14ac:dyDescent="0.25">
      <c r="B298" s="1142" t="s">
        <v>830</v>
      </c>
      <c r="C298" s="1143"/>
      <c r="D298" s="1143" t="s">
        <v>874</v>
      </c>
      <c r="E298" s="1146">
        <v>11.7</v>
      </c>
      <c r="F298" s="1174" t="s">
        <v>125</v>
      </c>
      <c r="G298" s="1146"/>
      <c r="H298" s="1174" t="s">
        <v>125</v>
      </c>
      <c r="I298" s="1146"/>
      <c r="J298" s="1148" t="s">
        <v>849</v>
      </c>
      <c r="K298" s="1" t="s">
        <v>125</v>
      </c>
      <c r="M298" s="1" t="s">
        <v>862</v>
      </c>
    </row>
    <row r="299" spans="2:13" ht="15" hidden="1" customHeight="1" outlineLevel="1" x14ac:dyDescent="0.25">
      <c r="B299" s="1142" t="s">
        <v>830</v>
      </c>
      <c r="C299" s="1143"/>
      <c r="D299" s="1143" t="s">
        <v>893</v>
      </c>
      <c r="E299" s="1146">
        <v>56.2</v>
      </c>
      <c r="F299" s="1174" t="s">
        <v>125</v>
      </c>
      <c r="G299" s="1146"/>
      <c r="H299" s="1174" t="s">
        <v>125</v>
      </c>
      <c r="I299" s="1146"/>
      <c r="J299" s="1148" t="s">
        <v>849</v>
      </c>
      <c r="K299" s="1" t="s">
        <v>125</v>
      </c>
      <c r="M299" s="1" t="s">
        <v>125</v>
      </c>
    </row>
    <row r="300" spans="2:13" ht="15" hidden="1" customHeight="1" outlineLevel="1" x14ac:dyDescent="0.25">
      <c r="B300" s="1142" t="s">
        <v>830</v>
      </c>
      <c r="C300" s="1143"/>
      <c r="D300" s="1143" t="s">
        <v>894</v>
      </c>
      <c r="E300" s="1146">
        <v>88.2</v>
      </c>
      <c r="F300" s="1174" t="s">
        <v>125</v>
      </c>
      <c r="G300" s="1146"/>
      <c r="H300" s="1174" t="s">
        <v>125</v>
      </c>
      <c r="I300" s="1146"/>
      <c r="J300" s="1148" t="s">
        <v>849</v>
      </c>
      <c r="K300" s="1" t="s">
        <v>125</v>
      </c>
      <c r="M300" s="1" t="s">
        <v>125</v>
      </c>
    </row>
    <row r="301" spans="2:13" ht="15" hidden="1" customHeight="1" outlineLevel="1" x14ac:dyDescent="0.25">
      <c r="B301" s="1142" t="s">
        <v>830</v>
      </c>
      <c r="C301" s="1143"/>
      <c r="D301" s="1143" t="s">
        <v>857</v>
      </c>
      <c r="E301" s="1146">
        <v>0.30499999999999999</v>
      </c>
      <c r="F301" s="1174" t="s">
        <v>125</v>
      </c>
      <c r="G301" s="1146"/>
      <c r="H301" s="1174" t="s">
        <v>125</v>
      </c>
      <c r="I301" s="1146"/>
      <c r="J301" s="1148" t="s">
        <v>304</v>
      </c>
      <c r="K301" s="1" t="s">
        <v>125</v>
      </c>
      <c r="M301" s="1" t="s">
        <v>876</v>
      </c>
    </row>
    <row r="302" spans="2:13" ht="15" hidden="1" customHeight="1" outlineLevel="1" x14ac:dyDescent="0.25">
      <c r="B302" s="1149" t="s">
        <v>830</v>
      </c>
      <c r="C302" s="1150"/>
      <c r="D302" s="1150" t="s">
        <v>858</v>
      </c>
      <c r="E302" s="1158">
        <v>0.13100000000000001</v>
      </c>
      <c r="F302" s="1176" t="s">
        <v>125</v>
      </c>
      <c r="G302" s="1158"/>
      <c r="H302" s="1176" t="s">
        <v>125</v>
      </c>
      <c r="I302" s="1158"/>
      <c r="J302" s="1155" t="s">
        <v>304</v>
      </c>
      <c r="K302" s="1" t="s">
        <v>125</v>
      </c>
      <c r="M302" s="1" t="s">
        <v>876</v>
      </c>
    </row>
    <row r="303" spans="2:13" ht="15" customHeight="1" x14ac:dyDescent="0.25">
      <c r="F303" s="1177" t="s">
        <v>125</v>
      </c>
      <c r="H303" s="1177" t="s">
        <v>125</v>
      </c>
    </row>
    <row r="304" spans="2:13" ht="15" customHeight="1" x14ac:dyDescent="0.25">
      <c r="B304" s="1127" t="s">
        <v>825</v>
      </c>
      <c r="C304" s="1128"/>
      <c r="D304" s="1128" t="s">
        <v>1303</v>
      </c>
      <c r="E304" s="1130">
        <v>3583.33</v>
      </c>
      <c r="F304" s="1172" t="s">
        <v>125</v>
      </c>
      <c r="G304" s="1130"/>
      <c r="H304" s="1172" t="s">
        <v>125</v>
      </c>
      <c r="I304" s="1130"/>
      <c r="J304" s="208" t="s">
        <v>221</v>
      </c>
      <c r="K304" s="898">
        <v>86.43</v>
      </c>
    </row>
    <row r="305" spans="2:11" ht="15" customHeight="1" collapsed="1" x14ac:dyDescent="0.25">
      <c r="B305" s="1132" t="s">
        <v>825</v>
      </c>
      <c r="C305" s="1107"/>
      <c r="D305" s="1107" t="s">
        <v>1304</v>
      </c>
      <c r="E305" s="1135">
        <v>150</v>
      </c>
      <c r="F305" s="1173" t="s">
        <v>125</v>
      </c>
      <c r="G305" s="1135"/>
      <c r="H305" s="1173" t="s">
        <v>125</v>
      </c>
      <c r="I305" s="1135"/>
      <c r="J305" s="211" t="s">
        <v>221</v>
      </c>
      <c r="K305" s="531">
        <v>13.57</v>
      </c>
    </row>
    <row r="306" spans="2:11" ht="15" hidden="1" customHeight="1" outlineLevel="1" x14ac:dyDescent="0.25">
      <c r="B306" s="1142" t="s">
        <v>827</v>
      </c>
      <c r="C306" s="1143"/>
      <c r="D306" s="1143" t="s">
        <v>980</v>
      </c>
      <c r="E306" s="1146">
        <v>1655.55</v>
      </c>
      <c r="F306" s="1174" t="s">
        <v>125</v>
      </c>
      <c r="G306" s="1146"/>
      <c r="H306" s="1174" t="s">
        <v>125</v>
      </c>
      <c r="I306" s="1146"/>
      <c r="J306" s="1148" t="s">
        <v>851</v>
      </c>
      <c r="K306" s="1175"/>
    </row>
    <row r="307" spans="2:11" ht="15" hidden="1" customHeight="1" outlineLevel="1" x14ac:dyDescent="0.25">
      <c r="B307" s="1142" t="s">
        <v>830</v>
      </c>
      <c r="C307" s="1143"/>
      <c r="D307" s="1143" t="s">
        <v>1305</v>
      </c>
      <c r="E307" s="1146">
        <v>2077.7800000000002</v>
      </c>
      <c r="F307" s="1174" t="s">
        <v>125</v>
      </c>
      <c r="G307" s="1146"/>
      <c r="H307" s="1174" t="s">
        <v>125</v>
      </c>
      <c r="I307" s="1146"/>
      <c r="J307" s="1148" t="s">
        <v>221</v>
      </c>
      <c r="K307" s="1175"/>
    </row>
    <row r="308" spans="2:11" ht="15" hidden="1" customHeight="1" outlineLevel="1" x14ac:dyDescent="0.25">
      <c r="B308" s="1149" t="s">
        <v>830</v>
      </c>
      <c r="C308" s="1150"/>
      <c r="D308" s="1150" t="s">
        <v>1054</v>
      </c>
      <c r="E308" s="1158">
        <v>51</v>
      </c>
      <c r="F308" s="1176" t="s">
        <v>125</v>
      </c>
      <c r="G308" s="1158"/>
      <c r="H308" s="1176" t="s">
        <v>125</v>
      </c>
      <c r="I308" s="1158"/>
      <c r="J308" s="1155" t="s">
        <v>304</v>
      </c>
      <c r="K308" s="1175"/>
    </row>
    <row r="309" spans="2:11" ht="15" customHeight="1" x14ac:dyDescent="0.25">
      <c r="F309" s="1177" t="s">
        <v>125</v>
      </c>
      <c r="H309" s="1177" t="s">
        <v>125</v>
      </c>
    </row>
    <row r="310" spans="2:11" ht="15" customHeight="1" collapsed="1" x14ac:dyDescent="0.25">
      <c r="B310" s="1164" t="s">
        <v>825</v>
      </c>
      <c r="C310" s="1165"/>
      <c r="D310" s="1165" t="s">
        <v>1306</v>
      </c>
      <c r="E310" s="1168">
        <v>300</v>
      </c>
      <c r="F310" s="1178" t="s">
        <v>125</v>
      </c>
      <c r="G310" s="1168"/>
      <c r="H310" s="1178" t="s">
        <v>125</v>
      </c>
      <c r="I310" s="1168"/>
      <c r="J310" s="246" t="s">
        <v>221</v>
      </c>
      <c r="K310" s="292">
        <v>100</v>
      </c>
    </row>
    <row r="311" spans="2:11" ht="15" hidden="1" customHeight="1" outlineLevel="1" x14ac:dyDescent="0.25">
      <c r="B311" s="1142" t="s">
        <v>830</v>
      </c>
      <c r="C311" s="1143"/>
      <c r="D311" s="1143" t="s">
        <v>1307</v>
      </c>
      <c r="E311" s="1146">
        <v>480</v>
      </c>
      <c r="F311" s="1174" t="s">
        <v>125</v>
      </c>
      <c r="G311" s="1146"/>
      <c r="H311" s="1174" t="s">
        <v>125</v>
      </c>
      <c r="I311" s="1108"/>
      <c r="J311" s="1148" t="s">
        <v>221</v>
      </c>
      <c r="K311" s="1175"/>
    </row>
    <row r="312" spans="2:11" ht="15" hidden="1" customHeight="1" outlineLevel="1" x14ac:dyDescent="0.25">
      <c r="B312" s="1142" t="s">
        <v>830</v>
      </c>
      <c r="C312" s="1143"/>
      <c r="D312" s="1143" t="s">
        <v>1054</v>
      </c>
      <c r="E312" s="1146">
        <v>18</v>
      </c>
      <c r="F312" s="1174" t="s">
        <v>125</v>
      </c>
      <c r="G312" s="1146"/>
      <c r="H312" s="1174" t="s">
        <v>125</v>
      </c>
      <c r="I312" s="1146"/>
      <c r="J312" s="1148" t="s">
        <v>304</v>
      </c>
      <c r="K312" s="1175"/>
    </row>
    <row r="313" spans="2:11" ht="15" hidden="1" customHeight="1" outlineLevel="1" x14ac:dyDescent="0.25">
      <c r="B313" s="1149" t="s">
        <v>1281</v>
      </c>
      <c r="C313" s="1150"/>
      <c r="D313" s="1150" t="s">
        <v>1283</v>
      </c>
      <c r="E313" s="1158">
        <v>180</v>
      </c>
      <c r="F313" s="1176" t="s">
        <v>125</v>
      </c>
      <c r="G313" s="1158"/>
      <c r="H313" s="1176" t="s">
        <v>125</v>
      </c>
      <c r="I313" s="1158"/>
      <c r="J313" s="1155" t="s">
        <v>221</v>
      </c>
      <c r="K313" s="1175"/>
    </row>
    <row r="314" spans="2:11" ht="15" customHeight="1" x14ac:dyDescent="0.25">
      <c r="F314" s="1177" t="s">
        <v>125</v>
      </c>
      <c r="H314" s="1177" t="s">
        <v>125</v>
      </c>
    </row>
    <row r="315" spans="2:11" ht="15" customHeight="1" x14ac:dyDescent="0.25">
      <c r="B315" s="1127" t="s">
        <v>825</v>
      </c>
      <c r="C315" s="1128"/>
      <c r="D315" s="1128" t="s">
        <v>1325</v>
      </c>
      <c r="E315" s="1130">
        <v>2740.74</v>
      </c>
      <c r="F315" s="1172" t="s">
        <v>125</v>
      </c>
      <c r="G315" s="1130"/>
      <c r="H315" s="1172" t="s">
        <v>125</v>
      </c>
      <c r="I315" s="1130"/>
      <c r="J315" s="208" t="s">
        <v>221</v>
      </c>
      <c r="K315" s="898">
        <v>91.57</v>
      </c>
    </row>
    <row r="316" spans="2:11" ht="15" customHeight="1" collapsed="1" x14ac:dyDescent="0.25">
      <c r="B316" s="1132" t="s">
        <v>825</v>
      </c>
      <c r="C316" s="1107"/>
      <c r="D316" s="1107" t="s">
        <v>1307</v>
      </c>
      <c r="E316" s="1135">
        <v>480</v>
      </c>
      <c r="F316" s="1173" t="s">
        <v>125</v>
      </c>
      <c r="G316" s="1135"/>
      <c r="H316" s="1173" t="s">
        <v>125</v>
      </c>
      <c r="I316" s="1135"/>
      <c r="J316" s="211" t="s">
        <v>221</v>
      </c>
      <c r="K316" s="531">
        <v>8.43</v>
      </c>
    </row>
    <row r="317" spans="2:11" ht="15" hidden="1" customHeight="1" outlineLevel="1" x14ac:dyDescent="0.25">
      <c r="B317" s="1142" t="s">
        <v>830</v>
      </c>
      <c r="C317" s="1143"/>
      <c r="D317" s="1143" t="s">
        <v>1303</v>
      </c>
      <c r="E317" s="1146">
        <v>3583.33</v>
      </c>
      <c r="F317" s="1174" t="s">
        <v>125</v>
      </c>
      <c r="G317" s="1146"/>
      <c r="H317" s="1174" t="s">
        <v>125</v>
      </c>
      <c r="I317" s="1146"/>
      <c r="J317" s="1148" t="s">
        <v>221</v>
      </c>
      <c r="K317" s="1175"/>
    </row>
    <row r="318" spans="2:11" ht="15" hidden="1" customHeight="1" outlineLevel="1" x14ac:dyDescent="0.25">
      <c r="B318" s="1142" t="s">
        <v>830</v>
      </c>
      <c r="C318" s="1143"/>
      <c r="D318" s="1143" t="s">
        <v>1054</v>
      </c>
      <c r="E318" s="1146">
        <v>105</v>
      </c>
      <c r="F318" s="1174" t="s">
        <v>125</v>
      </c>
      <c r="G318" s="1146"/>
      <c r="H318" s="1174" t="s">
        <v>125</v>
      </c>
      <c r="I318" s="1146"/>
      <c r="J318" s="1148" t="s">
        <v>304</v>
      </c>
      <c r="K318" s="1175"/>
    </row>
    <row r="319" spans="2:11" ht="15" hidden="1" customHeight="1" outlineLevel="1" x14ac:dyDescent="0.25">
      <c r="B319" s="1149" t="s">
        <v>1281</v>
      </c>
      <c r="C319" s="1150"/>
      <c r="D319" s="1150" t="s">
        <v>1283</v>
      </c>
      <c r="E319" s="1158">
        <v>362.59</v>
      </c>
      <c r="F319" s="1176" t="s">
        <v>125</v>
      </c>
      <c r="G319" s="1158"/>
      <c r="H319" s="1176" t="s">
        <v>125</v>
      </c>
      <c r="I319" s="1158"/>
      <c r="J319" s="1155" t="s">
        <v>221</v>
      </c>
      <c r="K319" s="1175"/>
    </row>
    <row r="320" spans="2:11" ht="15" customHeight="1" x14ac:dyDescent="0.25">
      <c r="F320" s="1177" t="s">
        <v>125</v>
      </c>
      <c r="H320" s="1177" t="s">
        <v>125</v>
      </c>
    </row>
    <row r="321" spans="2:11" ht="15" customHeight="1" x14ac:dyDescent="0.25">
      <c r="B321" s="1127" t="s">
        <v>825</v>
      </c>
      <c r="C321" s="1128"/>
      <c r="D321" s="1128" t="s">
        <v>1308</v>
      </c>
      <c r="E321" s="1130">
        <v>595</v>
      </c>
      <c r="F321" s="1172" t="s">
        <v>125</v>
      </c>
      <c r="G321" s="1130"/>
      <c r="H321" s="1172" t="s">
        <v>125</v>
      </c>
      <c r="I321" s="1130"/>
      <c r="J321" s="208" t="s">
        <v>221</v>
      </c>
      <c r="K321" s="898">
        <v>81.510000000000005</v>
      </c>
    </row>
    <row r="322" spans="2:11" ht="15" customHeight="1" collapsed="1" x14ac:dyDescent="0.25">
      <c r="B322" s="1132" t="s">
        <v>825</v>
      </c>
      <c r="C322" s="1107"/>
      <c r="D322" s="1107" t="s">
        <v>1309</v>
      </c>
      <c r="E322" s="1135">
        <v>405</v>
      </c>
      <c r="F322" s="1173" t="s">
        <v>125</v>
      </c>
      <c r="G322" s="1135"/>
      <c r="H322" s="1173" t="s">
        <v>125</v>
      </c>
      <c r="I322" s="1135"/>
      <c r="J322" s="211" t="s">
        <v>221</v>
      </c>
      <c r="K322" s="531">
        <v>18.489999999999998</v>
      </c>
    </row>
    <row r="323" spans="2:11" ht="15" hidden="1" customHeight="1" outlineLevel="1" x14ac:dyDescent="0.25">
      <c r="B323" s="1142" t="s">
        <v>827</v>
      </c>
      <c r="C323" s="1143"/>
      <c r="D323" s="1143" t="s">
        <v>980</v>
      </c>
      <c r="E323" s="1146">
        <v>0.1</v>
      </c>
      <c r="F323" s="1174" t="s">
        <v>125</v>
      </c>
      <c r="G323" s="1146"/>
      <c r="H323" s="1174" t="s">
        <v>125</v>
      </c>
      <c r="I323" s="1146"/>
      <c r="J323" s="1148" t="s">
        <v>186</v>
      </c>
      <c r="K323" s="1175"/>
    </row>
    <row r="324" spans="2:11" ht="15" hidden="1" customHeight="1" outlineLevel="1" x14ac:dyDescent="0.25">
      <c r="B324" s="1142" t="s">
        <v>830</v>
      </c>
      <c r="C324" s="1143"/>
      <c r="D324" s="1143" t="s">
        <v>861</v>
      </c>
      <c r="E324" s="1146">
        <v>1000</v>
      </c>
      <c r="F324" s="1174" t="s">
        <v>125</v>
      </c>
      <c r="G324" s="1146"/>
      <c r="H324" s="1174" t="s">
        <v>125</v>
      </c>
      <c r="I324" s="1146"/>
      <c r="J324" s="1148" t="s">
        <v>221</v>
      </c>
      <c r="K324" s="1175"/>
    </row>
    <row r="325" spans="2:11" ht="15" hidden="1" customHeight="1" outlineLevel="1" x14ac:dyDescent="0.25">
      <c r="B325" s="1142" t="s">
        <v>830</v>
      </c>
      <c r="C325" s="1143"/>
      <c r="D325" s="1143" t="s">
        <v>1054</v>
      </c>
      <c r="E325" s="1146">
        <v>290</v>
      </c>
      <c r="F325" s="1174" t="s">
        <v>125</v>
      </c>
      <c r="G325" s="1146"/>
      <c r="H325" s="1174" t="s">
        <v>125</v>
      </c>
      <c r="I325" s="1146"/>
      <c r="J325" s="1148" t="s">
        <v>304</v>
      </c>
      <c r="K325" s="1175"/>
    </row>
    <row r="326" spans="2:11" ht="15" hidden="1" customHeight="1" outlineLevel="1" x14ac:dyDescent="0.25">
      <c r="B326" s="1142" t="s">
        <v>830</v>
      </c>
      <c r="C326" s="1143"/>
      <c r="D326" s="1143" t="s">
        <v>1278</v>
      </c>
      <c r="E326" s="1146">
        <v>174</v>
      </c>
      <c r="F326" s="1174" t="s">
        <v>125</v>
      </c>
      <c r="G326" s="1146"/>
      <c r="H326" s="1174" t="s">
        <v>125</v>
      </c>
      <c r="I326" s="1146"/>
      <c r="J326" s="1148" t="s">
        <v>304</v>
      </c>
      <c r="K326" s="1175"/>
    </row>
    <row r="327" spans="2:11" ht="15" hidden="1" customHeight="1" outlineLevel="1" x14ac:dyDescent="0.25">
      <c r="B327" s="1149" t="s">
        <v>1281</v>
      </c>
      <c r="C327" s="1150"/>
      <c r="D327" s="1150" t="s">
        <v>1283</v>
      </c>
      <c r="E327" s="1158">
        <v>0.1</v>
      </c>
      <c r="F327" s="1176" t="s">
        <v>125</v>
      </c>
      <c r="G327" s="1158"/>
      <c r="H327" s="1176" t="s">
        <v>125</v>
      </c>
      <c r="I327" s="1158"/>
      <c r="J327" s="1155" t="s">
        <v>1286</v>
      </c>
      <c r="K327" s="1175"/>
    </row>
    <row r="328" spans="2:11" ht="15" customHeight="1" x14ac:dyDescent="0.25">
      <c r="F328" s="1177" t="s">
        <v>125</v>
      </c>
      <c r="H328" s="1177" t="s">
        <v>125</v>
      </c>
    </row>
    <row r="329" spans="2:11" ht="15" customHeight="1" collapsed="1" x14ac:dyDescent="0.25">
      <c r="B329" s="1164" t="s">
        <v>825</v>
      </c>
      <c r="C329" s="1165"/>
      <c r="D329" s="1165" t="s">
        <v>1310</v>
      </c>
      <c r="E329" s="1168">
        <v>205.6</v>
      </c>
      <c r="F329" s="1178" t="s">
        <v>125</v>
      </c>
      <c r="G329" s="1168"/>
      <c r="H329" s="1178" t="s">
        <v>125</v>
      </c>
      <c r="I329" s="1168"/>
      <c r="J329" s="246" t="s">
        <v>221</v>
      </c>
      <c r="K329" s="292">
        <v>100</v>
      </c>
    </row>
    <row r="330" spans="2:11" ht="15" hidden="1" customHeight="1" outlineLevel="1" x14ac:dyDescent="0.25">
      <c r="B330" s="1142" t="s">
        <v>830</v>
      </c>
      <c r="C330" s="1143"/>
      <c r="D330" s="1143" t="s">
        <v>834</v>
      </c>
      <c r="E330" s="1146">
        <v>1096</v>
      </c>
      <c r="F330" s="1174" t="s">
        <v>125</v>
      </c>
      <c r="G330" s="1146"/>
      <c r="H330" s="1174" t="s">
        <v>125</v>
      </c>
      <c r="I330" s="1108"/>
      <c r="J330" s="1148" t="s">
        <v>304</v>
      </c>
      <c r="K330" s="1175"/>
    </row>
    <row r="331" spans="2:11" ht="15" hidden="1" customHeight="1" outlineLevel="1" x14ac:dyDescent="0.25">
      <c r="B331" s="1142" t="s">
        <v>830</v>
      </c>
      <c r="C331" s="1143"/>
      <c r="D331" s="1143" t="s">
        <v>1306</v>
      </c>
      <c r="E331" s="1146">
        <v>300</v>
      </c>
      <c r="F331" s="1174" t="s">
        <v>125</v>
      </c>
      <c r="G331" s="1146"/>
      <c r="H331" s="1174" t="s">
        <v>125</v>
      </c>
      <c r="I331" s="1146"/>
      <c r="J331" s="1148" t="s">
        <v>221</v>
      </c>
      <c r="K331" s="1175"/>
    </row>
    <row r="332" spans="2:11" ht="15" hidden="1" customHeight="1" outlineLevel="1" x14ac:dyDescent="0.25">
      <c r="B332" s="1142" t="s">
        <v>830</v>
      </c>
      <c r="C332" s="1143"/>
      <c r="D332" s="1143" t="s">
        <v>1311</v>
      </c>
      <c r="E332" s="1146">
        <v>135.4</v>
      </c>
      <c r="F332" s="1174" t="s">
        <v>125</v>
      </c>
      <c r="G332" s="1146"/>
      <c r="H332" s="1174" t="s">
        <v>125</v>
      </c>
      <c r="I332" s="1146"/>
      <c r="J332" s="1148" t="s">
        <v>221</v>
      </c>
      <c r="K332" s="1109"/>
    </row>
    <row r="333" spans="2:11" ht="15" hidden="1" customHeight="1" outlineLevel="1" x14ac:dyDescent="0.25">
      <c r="B333" s="1142" t="s">
        <v>830</v>
      </c>
      <c r="C333" s="1143"/>
      <c r="D333" s="1143" t="s">
        <v>1054</v>
      </c>
      <c r="E333" s="1146">
        <v>47.5</v>
      </c>
      <c r="F333" s="1174" t="s">
        <v>125</v>
      </c>
      <c r="G333" s="1146"/>
      <c r="H333" s="1174" t="s">
        <v>125</v>
      </c>
      <c r="I333" s="1108"/>
      <c r="J333" s="1148" t="s">
        <v>304</v>
      </c>
      <c r="K333" s="1175"/>
    </row>
    <row r="334" spans="2:11" ht="15" hidden="1" customHeight="1" outlineLevel="1" x14ac:dyDescent="0.25">
      <c r="B334" s="1149" t="s">
        <v>839</v>
      </c>
      <c r="C334" s="1150"/>
      <c r="D334" s="1150" t="s">
        <v>913</v>
      </c>
      <c r="E334" s="1158">
        <v>229.8</v>
      </c>
      <c r="F334" s="1176" t="s">
        <v>125</v>
      </c>
      <c r="G334" s="1158"/>
      <c r="H334" s="1176" t="s">
        <v>125</v>
      </c>
      <c r="I334" s="1158"/>
      <c r="J334" s="1155" t="s">
        <v>221</v>
      </c>
      <c r="K334" s="1175"/>
    </row>
    <row r="335" spans="2:11" ht="15" customHeight="1" x14ac:dyDescent="0.25">
      <c r="F335" s="1177" t="s">
        <v>125</v>
      </c>
      <c r="H335" s="1177" t="s">
        <v>125</v>
      </c>
    </row>
    <row r="336" spans="2:11" ht="15" customHeight="1" collapsed="1" x14ac:dyDescent="0.25">
      <c r="B336" s="1164" t="s">
        <v>825</v>
      </c>
      <c r="C336" s="1165"/>
      <c r="D336" s="1165" t="s">
        <v>890</v>
      </c>
      <c r="E336" s="1168">
        <v>1</v>
      </c>
      <c r="F336" s="1178" t="s">
        <v>1660</v>
      </c>
      <c r="G336" s="1168" t="s">
        <v>745</v>
      </c>
      <c r="H336" s="1178" t="s">
        <v>125</v>
      </c>
      <c r="I336" s="1168"/>
      <c r="J336" s="246" t="s">
        <v>1286</v>
      </c>
      <c r="K336" s="292">
        <v>100</v>
      </c>
    </row>
    <row r="337" spans="2:13" ht="15" hidden="1" customHeight="1" outlineLevel="1" x14ac:dyDescent="0.25">
      <c r="B337" s="953" t="s">
        <v>830</v>
      </c>
      <c r="C337" s="1138"/>
      <c r="D337" s="1138" t="s">
        <v>1312</v>
      </c>
      <c r="E337" s="954">
        <v>0.35</v>
      </c>
      <c r="F337" s="1185" t="s">
        <v>1660</v>
      </c>
      <c r="G337" s="954" t="s">
        <v>747</v>
      </c>
      <c r="H337" s="1185" t="s">
        <v>125</v>
      </c>
      <c r="I337" s="954"/>
      <c r="J337" s="955" t="s">
        <v>1286</v>
      </c>
      <c r="K337" s="207" t="s">
        <v>125</v>
      </c>
      <c r="M337" s="1" t="s">
        <v>1294</v>
      </c>
    </row>
    <row r="338" spans="2:13" ht="15" hidden="1" customHeight="1" outlineLevel="1" x14ac:dyDescent="0.25">
      <c r="B338" s="1186" t="s">
        <v>830</v>
      </c>
      <c r="C338" s="1143"/>
      <c r="D338" s="1143" t="s">
        <v>1313</v>
      </c>
      <c r="E338" s="1108">
        <v>0.25</v>
      </c>
      <c r="F338" s="1187" t="s">
        <v>1660</v>
      </c>
      <c r="G338" s="1108" t="s">
        <v>747</v>
      </c>
      <c r="H338" s="1187" t="s">
        <v>125</v>
      </c>
      <c r="I338" s="1108"/>
      <c r="J338" s="1148" t="s">
        <v>1286</v>
      </c>
      <c r="K338" s="1" t="s">
        <v>125</v>
      </c>
      <c r="M338" s="1" t="s">
        <v>1314</v>
      </c>
    </row>
    <row r="339" spans="2:13" ht="15" hidden="1" customHeight="1" outlineLevel="1" x14ac:dyDescent="0.25">
      <c r="B339" s="1186" t="s">
        <v>830</v>
      </c>
      <c r="C339" s="1143"/>
      <c r="D339" s="1143" t="s">
        <v>1315</v>
      </c>
      <c r="E339" s="1108">
        <v>0.2</v>
      </c>
      <c r="F339" s="1187" t="s">
        <v>1660</v>
      </c>
      <c r="G339" s="1108" t="s">
        <v>747</v>
      </c>
      <c r="H339" s="1187" t="s">
        <v>125</v>
      </c>
      <c r="I339" s="1108"/>
      <c r="J339" s="1148" t="s">
        <v>1286</v>
      </c>
      <c r="K339" s="1" t="s">
        <v>125</v>
      </c>
      <c r="M339" s="1" t="s">
        <v>1316</v>
      </c>
    </row>
    <row r="340" spans="2:13" ht="15" hidden="1" customHeight="1" outlineLevel="1" x14ac:dyDescent="0.25">
      <c r="B340" s="1186" t="s">
        <v>830</v>
      </c>
      <c r="C340" s="1143"/>
      <c r="D340" s="1143" t="s">
        <v>1310</v>
      </c>
      <c r="E340" s="1108">
        <v>0.2</v>
      </c>
      <c r="F340" s="1187" t="s">
        <v>125</v>
      </c>
      <c r="G340" s="1108"/>
      <c r="H340" s="1187" t="s">
        <v>125</v>
      </c>
      <c r="I340" s="1108"/>
      <c r="J340" s="1148" t="s">
        <v>1286</v>
      </c>
      <c r="K340" s="1" t="s">
        <v>125</v>
      </c>
      <c r="M340" s="1" t="s">
        <v>1317</v>
      </c>
    </row>
    <row r="341" spans="2:13" ht="15" hidden="1" customHeight="1" outlineLevel="1" x14ac:dyDescent="0.25">
      <c r="B341" s="1186" t="s">
        <v>830</v>
      </c>
      <c r="C341" s="1143"/>
      <c r="D341" s="1143" t="s">
        <v>1272</v>
      </c>
      <c r="E341" s="1108">
        <v>19.559999999999999</v>
      </c>
      <c r="F341" s="1187" t="s">
        <v>1660</v>
      </c>
      <c r="G341" s="1108" t="s">
        <v>747</v>
      </c>
      <c r="H341" s="1187" t="s">
        <v>125</v>
      </c>
      <c r="I341" s="1108"/>
      <c r="J341" s="1148" t="s">
        <v>836</v>
      </c>
      <c r="K341" s="1" t="s">
        <v>125</v>
      </c>
      <c r="M341" s="1" t="s">
        <v>1318</v>
      </c>
    </row>
    <row r="342" spans="2:13" ht="15" hidden="1" customHeight="1" outlineLevel="1" x14ac:dyDescent="0.25">
      <c r="B342" s="1186" t="s">
        <v>830</v>
      </c>
      <c r="C342" s="1143"/>
      <c r="D342" s="1143" t="s">
        <v>1268</v>
      </c>
      <c r="E342" s="1108">
        <v>0.77400000000000002</v>
      </c>
      <c r="F342" s="1187" t="s">
        <v>1660</v>
      </c>
      <c r="G342" s="1108" t="s">
        <v>747</v>
      </c>
      <c r="H342" s="1187" t="s">
        <v>125</v>
      </c>
      <c r="I342" s="1108"/>
      <c r="J342" s="1148" t="s">
        <v>836</v>
      </c>
      <c r="K342" s="1" t="s">
        <v>125</v>
      </c>
      <c r="M342" s="1" t="s">
        <v>1318</v>
      </c>
    </row>
    <row r="343" spans="2:13" ht="15" hidden="1" customHeight="1" outlineLevel="1" x14ac:dyDescent="0.25">
      <c r="B343" s="1186" t="s">
        <v>830</v>
      </c>
      <c r="C343" s="1143"/>
      <c r="D343" s="1143" t="s">
        <v>1265</v>
      </c>
      <c r="E343" s="1108">
        <v>6.71</v>
      </c>
      <c r="F343" s="1187" t="s">
        <v>1660</v>
      </c>
      <c r="G343" s="1108" t="s">
        <v>747</v>
      </c>
      <c r="H343" s="1187" t="s">
        <v>125</v>
      </c>
      <c r="I343" s="1108"/>
      <c r="J343" s="1148" t="s">
        <v>836</v>
      </c>
      <c r="K343" s="1" t="s">
        <v>125</v>
      </c>
      <c r="M343" s="1" t="s">
        <v>1318</v>
      </c>
    </row>
    <row r="344" spans="2:13" ht="15" hidden="1" customHeight="1" outlineLevel="1" x14ac:dyDescent="0.25">
      <c r="B344" s="1186" t="s">
        <v>830</v>
      </c>
      <c r="C344" s="1143"/>
      <c r="D344" s="1143" t="s">
        <v>1271</v>
      </c>
      <c r="E344" s="1108">
        <v>2227.75</v>
      </c>
      <c r="F344" s="1187" t="s">
        <v>1660</v>
      </c>
      <c r="G344" s="1108" t="s">
        <v>747</v>
      </c>
      <c r="H344" s="1187" t="s">
        <v>125</v>
      </c>
      <c r="I344" s="1108"/>
      <c r="J344" s="1148" t="s">
        <v>836</v>
      </c>
      <c r="K344" s="1" t="s">
        <v>125</v>
      </c>
      <c r="M344" s="1" t="s">
        <v>1318</v>
      </c>
    </row>
    <row r="345" spans="2:13" ht="15" hidden="1" customHeight="1" outlineLevel="1" x14ac:dyDescent="0.25">
      <c r="B345" s="1186" t="s">
        <v>830</v>
      </c>
      <c r="C345" s="1143"/>
      <c r="D345" s="1143" t="s">
        <v>1272</v>
      </c>
      <c r="E345" s="1108">
        <v>13.97</v>
      </c>
      <c r="F345" s="1187" t="s">
        <v>1660</v>
      </c>
      <c r="G345" s="1108" t="s">
        <v>747</v>
      </c>
      <c r="H345" s="1187" t="s">
        <v>2220</v>
      </c>
      <c r="I345" s="1108" t="s">
        <v>2224</v>
      </c>
      <c r="J345" s="1148" t="s">
        <v>836</v>
      </c>
      <c r="K345" s="1" t="s">
        <v>125</v>
      </c>
      <c r="M345" s="1" t="s">
        <v>1319</v>
      </c>
    </row>
    <row r="346" spans="2:13" ht="15" hidden="1" customHeight="1" outlineLevel="1" x14ac:dyDescent="0.25">
      <c r="B346" s="1186" t="s">
        <v>830</v>
      </c>
      <c r="C346" s="1143"/>
      <c r="D346" s="1143" t="s">
        <v>1268</v>
      </c>
      <c r="E346" s="1108">
        <v>0.55300000000000005</v>
      </c>
      <c r="F346" s="1187" t="s">
        <v>1660</v>
      </c>
      <c r="G346" s="1108" t="s">
        <v>747</v>
      </c>
      <c r="H346" s="1187" t="s">
        <v>2220</v>
      </c>
      <c r="I346" s="1108" t="s">
        <v>2225</v>
      </c>
      <c r="J346" s="1148" t="s">
        <v>836</v>
      </c>
      <c r="K346" s="1" t="s">
        <v>125</v>
      </c>
      <c r="M346" s="1" t="s">
        <v>1319</v>
      </c>
    </row>
    <row r="347" spans="2:13" ht="15" hidden="1" customHeight="1" outlineLevel="1" x14ac:dyDescent="0.25">
      <c r="B347" s="1186" t="s">
        <v>830</v>
      </c>
      <c r="C347" s="1143"/>
      <c r="D347" s="1143" t="s">
        <v>1264</v>
      </c>
      <c r="E347" s="1108">
        <v>4.8</v>
      </c>
      <c r="F347" s="1187" t="s">
        <v>1660</v>
      </c>
      <c r="G347" s="1108" t="s">
        <v>747</v>
      </c>
      <c r="H347" s="1187" t="s">
        <v>2220</v>
      </c>
      <c r="I347" s="1108" t="s">
        <v>2226</v>
      </c>
      <c r="J347" s="1148" t="s">
        <v>836</v>
      </c>
      <c r="K347" s="1" t="s">
        <v>125</v>
      </c>
      <c r="M347" s="1" t="s">
        <v>1319</v>
      </c>
    </row>
    <row r="348" spans="2:13" ht="15" hidden="1" customHeight="1" outlineLevel="1" x14ac:dyDescent="0.25">
      <c r="B348" s="1186" t="s">
        <v>830</v>
      </c>
      <c r="C348" s="1143"/>
      <c r="D348" s="1143" t="s">
        <v>1272</v>
      </c>
      <c r="E348" s="1108">
        <v>43.25</v>
      </c>
      <c r="F348" s="1187" t="s">
        <v>1660</v>
      </c>
      <c r="G348" s="1108" t="s">
        <v>747</v>
      </c>
      <c r="H348" s="1187" t="s">
        <v>125</v>
      </c>
      <c r="I348" s="1108"/>
      <c r="J348" s="1148" t="s">
        <v>836</v>
      </c>
      <c r="K348" s="1" t="s">
        <v>125</v>
      </c>
      <c r="M348" s="1" t="s">
        <v>1320</v>
      </c>
    </row>
    <row r="349" spans="2:13" ht="15" hidden="1" customHeight="1" outlineLevel="1" x14ac:dyDescent="0.25">
      <c r="B349" s="1186" t="s">
        <v>830</v>
      </c>
      <c r="C349" s="1143"/>
      <c r="D349" s="1143" t="s">
        <v>1268</v>
      </c>
      <c r="E349" s="1108">
        <v>20.64</v>
      </c>
      <c r="F349" s="1187" t="s">
        <v>1660</v>
      </c>
      <c r="G349" s="1108" t="s">
        <v>747</v>
      </c>
      <c r="H349" s="1187" t="s">
        <v>125</v>
      </c>
      <c r="I349" s="1108"/>
      <c r="J349" s="1148" t="s">
        <v>836</v>
      </c>
      <c r="K349" s="1" t="s">
        <v>125</v>
      </c>
      <c r="M349" s="1" t="s">
        <v>1320</v>
      </c>
    </row>
    <row r="350" spans="2:13" ht="15" hidden="1" customHeight="1" outlineLevel="1" x14ac:dyDescent="0.25">
      <c r="B350" s="1186" t="s">
        <v>830</v>
      </c>
      <c r="C350" s="1143"/>
      <c r="D350" s="1143" t="s">
        <v>1265</v>
      </c>
      <c r="E350" s="1108">
        <v>34.72</v>
      </c>
      <c r="F350" s="1187" t="s">
        <v>1660</v>
      </c>
      <c r="G350" s="1108" t="s">
        <v>747</v>
      </c>
      <c r="H350" s="1187" t="s">
        <v>125</v>
      </c>
      <c r="I350" s="1108"/>
      <c r="J350" s="1148" t="s">
        <v>836</v>
      </c>
      <c r="K350" s="1" t="s">
        <v>125</v>
      </c>
      <c r="M350" s="1" t="s">
        <v>1320</v>
      </c>
    </row>
    <row r="351" spans="2:13" ht="15" hidden="1" customHeight="1" outlineLevel="1" x14ac:dyDescent="0.25">
      <c r="B351" s="1186" t="s">
        <v>830</v>
      </c>
      <c r="C351" s="1143"/>
      <c r="D351" s="1143" t="s">
        <v>1272</v>
      </c>
      <c r="E351" s="1108">
        <v>38.75</v>
      </c>
      <c r="F351" s="1187" t="s">
        <v>1660</v>
      </c>
      <c r="G351" s="1108" t="s">
        <v>747</v>
      </c>
      <c r="H351" s="1187" t="s">
        <v>125</v>
      </c>
      <c r="I351" s="1108"/>
      <c r="J351" s="1148" t="s">
        <v>836</v>
      </c>
      <c r="K351" s="1" t="s">
        <v>125</v>
      </c>
      <c r="M351" s="1" t="s">
        <v>1321</v>
      </c>
    </row>
    <row r="352" spans="2:13" ht="15" hidden="1" customHeight="1" outlineLevel="1" x14ac:dyDescent="0.25">
      <c r="B352" s="1186" t="s">
        <v>830</v>
      </c>
      <c r="C352" s="1143"/>
      <c r="D352" s="1143" t="s">
        <v>1268</v>
      </c>
      <c r="E352" s="1108">
        <v>12.7</v>
      </c>
      <c r="F352" s="1187" t="s">
        <v>1660</v>
      </c>
      <c r="G352" s="1108" t="s">
        <v>747</v>
      </c>
      <c r="H352" s="1187" t="s">
        <v>125</v>
      </c>
      <c r="I352" s="1108"/>
      <c r="J352" s="1148" t="s">
        <v>836</v>
      </c>
      <c r="K352" s="1" t="s">
        <v>125</v>
      </c>
      <c r="M352" s="1" t="s">
        <v>1321</v>
      </c>
    </row>
    <row r="353" spans="2:13" ht="15" hidden="1" customHeight="1" outlineLevel="1" x14ac:dyDescent="0.25">
      <c r="B353" s="1186" t="s">
        <v>830</v>
      </c>
      <c r="C353" s="1143"/>
      <c r="D353" s="1143" t="s">
        <v>1266</v>
      </c>
      <c r="E353" s="1108">
        <v>17.62</v>
      </c>
      <c r="F353" s="1187" t="s">
        <v>1660</v>
      </c>
      <c r="G353" s="1108" t="s">
        <v>747</v>
      </c>
      <c r="H353" s="1187" t="s">
        <v>125</v>
      </c>
      <c r="I353" s="1108"/>
      <c r="J353" s="1148" t="s">
        <v>836</v>
      </c>
      <c r="K353" s="1" t="s">
        <v>125</v>
      </c>
      <c r="M353" s="1" t="s">
        <v>1321</v>
      </c>
    </row>
    <row r="354" spans="2:13" ht="15" hidden="1" customHeight="1" outlineLevel="1" x14ac:dyDescent="0.25">
      <c r="B354" s="1188" t="s">
        <v>830</v>
      </c>
      <c r="C354" s="1150"/>
      <c r="D354" s="1150" t="s">
        <v>1269</v>
      </c>
      <c r="E354" s="1153">
        <v>99.58</v>
      </c>
      <c r="F354" s="1189" t="s">
        <v>1660</v>
      </c>
      <c r="G354" s="1153" t="s">
        <v>747</v>
      </c>
      <c r="H354" s="1189" t="s">
        <v>125</v>
      </c>
      <c r="I354" s="1153"/>
      <c r="J354" s="1155" t="s">
        <v>836</v>
      </c>
      <c r="K354" s="1" t="s">
        <v>125</v>
      </c>
      <c r="M354" s="1" t="s">
        <v>1321</v>
      </c>
    </row>
    <row r="355" spans="2:13" ht="15" customHeight="1" x14ac:dyDescent="0.25">
      <c r="F355" s="1177" t="s">
        <v>125</v>
      </c>
      <c r="H355" s="1177" t="s">
        <v>125</v>
      </c>
    </row>
    <row r="356" spans="2:13" ht="15" customHeight="1" x14ac:dyDescent="0.25">
      <c r="B356" s="1127" t="s">
        <v>825</v>
      </c>
      <c r="C356" s="1128"/>
      <c r="D356" s="1128" t="s">
        <v>1323</v>
      </c>
      <c r="E356" s="1130">
        <v>164.71</v>
      </c>
      <c r="F356" s="1172" t="s">
        <v>125</v>
      </c>
      <c r="G356" s="1130"/>
      <c r="H356" s="1172" t="s">
        <v>125</v>
      </c>
      <c r="I356" s="1130"/>
      <c r="J356" s="208" t="s">
        <v>221</v>
      </c>
      <c r="K356" s="898">
        <v>9.89</v>
      </c>
    </row>
    <row r="357" spans="2:13" ht="15" customHeight="1" collapsed="1" x14ac:dyDescent="0.25">
      <c r="B357" s="1132" t="s">
        <v>825</v>
      </c>
      <c r="C357" s="1107"/>
      <c r="D357" s="1107" t="s">
        <v>1324</v>
      </c>
      <c r="E357" s="1135">
        <v>2720</v>
      </c>
      <c r="F357" s="1173" t="s">
        <v>125</v>
      </c>
      <c r="G357" s="1135"/>
      <c r="H357" s="1173" t="s">
        <v>125</v>
      </c>
      <c r="I357" s="1135"/>
      <c r="J357" s="211" t="s">
        <v>221</v>
      </c>
      <c r="K357" s="531">
        <v>90.11</v>
      </c>
    </row>
    <row r="358" spans="2:13" ht="15" hidden="1" customHeight="1" outlineLevel="1" x14ac:dyDescent="0.25">
      <c r="B358" s="953" t="s">
        <v>827</v>
      </c>
      <c r="C358" s="1138"/>
      <c r="D358" s="1138" t="s">
        <v>980</v>
      </c>
      <c r="E358" s="954">
        <v>147.97</v>
      </c>
      <c r="F358" s="1185" t="s">
        <v>125</v>
      </c>
      <c r="G358" s="954"/>
      <c r="H358" s="1185" t="s">
        <v>125</v>
      </c>
      <c r="I358" s="954"/>
      <c r="J358" s="955" t="s">
        <v>851</v>
      </c>
      <c r="K358" s="207" t="s">
        <v>125</v>
      </c>
    </row>
    <row r="359" spans="2:13" ht="15" hidden="1" customHeight="1" outlineLevel="1" x14ac:dyDescent="0.25">
      <c r="B359" s="1186" t="s">
        <v>830</v>
      </c>
      <c r="C359" s="1143"/>
      <c r="D359" s="1143" t="s">
        <v>1325</v>
      </c>
      <c r="E359" s="1108">
        <v>2740.74</v>
      </c>
      <c r="F359" s="1187" t="s">
        <v>125</v>
      </c>
      <c r="G359" s="1108"/>
      <c r="H359" s="1187" t="s">
        <v>125</v>
      </c>
      <c r="I359" s="1108"/>
      <c r="J359" s="1148" t="s">
        <v>221</v>
      </c>
      <c r="K359" s="1" t="s">
        <v>125</v>
      </c>
    </row>
    <row r="360" spans="2:13" ht="15" hidden="1" customHeight="1" outlineLevel="1" x14ac:dyDescent="0.25">
      <c r="B360" s="1186" t="s">
        <v>830</v>
      </c>
      <c r="C360" s="1143"/>
      <c r="D360" s="1143" t="s">
        <v>1054</v>
      </c>
      <c r="E360" s="1108">
        <v>49</v>
      </c>
      <c r="F360" s="1187" t="s">
        <v>125</v>
      </c>
      <c r="G360" s="1108"/>
      <c r="H360" s="1187" t="s">
        <v>125</v>
      </c>
      <c r="I360" s="1108"/>
      <c r="J360" s="1148" t="s">
        <v>304</v>
      </c>
      <c r="K360" s="1" t="s">
        <v>125</v>
      </c>
    </row>
    <row r="361" spans="2:13" ht="15" hidden="1" customHeight="1" outlineLevel="1" x14ac:dyDescent="0.25">
      <c r="B361" s="1188" t="s">
        <v>1281</v>
      </c>
      <c r="C361" s="1150"/>
      <c r="D361" s="1150" t="s">
        <v>1282</v>
      </c>
      <c r="E361" s="1153">
        <v>4</v>
      </c>
      <c r="F361" s="1189" t="s">
        <v>125</v>
      </c>
      <c r="G361" s="1153"/>
      <c r="H361" s="1189" t="s">
        <v>125</v>
      </c>
      <c r="I361" s="1153"/>
      <c r="J361" s="1155" t="s">
        <v>221</v>
      </c>
      <c r="K361" s="1" t="s">
        <v>125</v>
      </c>
      <c r="M361" s="1" t="s">
        <v>1326</v>
      </c>
    </row>
    <row r="362" spans="2:13" ht="15" customHeight="1" x14ac:dyDescent="0.25">
      <c r="F362" s="1177" t="s">
        <v>125</v>
      </c>
      <c r="H362" s="1177" t="s">
        <v>125</v>
      </c>
    </row>
    <row r="363" spans="2:13" ht="15" customHeight="1" collapsed="1" x14ac:dyDescent="0.25">
      <c r="B363" s="1164" t="s">
        <v>825</v>
      </c>
      <c r="C363" s="1165"/>
      <c r="D363" s="1165" t="s">
        <v>866</v>
      </c>
      <c r="E363" s="1168">
        <v>1</v>
      </c>
      <c r="F363" s="1178" t="s">
        <v>1660</v>
      </c>
      <c r="G363" s="1168" t="s">
        <v>745</v>
      </c>
      <c r="H363" s="1178" t="s">
        <v>125</v>
      </c>
      <c r="I363" s="1168"/>
      <c r="J363" s="246" t="s">
        <v>1286</v>
      </c>
      <c r="K363" s="292">
        <v>100</v>
      </c>
    </row>
    <row r="364" spans="2:13" ht="15" hidden="1" customHeight="1" outlineLevel="1" x14ac:dyDescent="0.25">
      <c r="B364" s="953" t="s">
        <v>830</v>
      </c>
      <c r="C364" s="1138"/>
      <c r="D364" s="1138" t="s">
        <v>1322</v>
      </c>
      <c r="E364" s="954">
        <v>0.2</v>
      </c>
      <c r="F364" s="1185" t="s">
        <v>125</v>
      </c>
      <c r="G364" s="954"/>
      <c r="H364" s="1185" t="s">
        <v>125</v>
      </c>
      <c r="I364" s="954"/>
      <c r="J364" s="955" t="s">
        <v>1286</v>
      </c>
      <c r="K364" s="207" t="s">
        <v>125</v>
      </c>
      <c r="M364" s="1" t="s">
        <v>1294</v>
      </c>
    </row>
    <row r="365" spans="2:13" ht="15" hidden="1" customHeight="1" outlineLevel="1" x14ac:dyDescent="0.25">
      <c r="B365" s="1186" t="s">
        <v>830</v>
      </c>
      <c r="C365" s="1143"/>
      <c r="D365" s="1143" t="s">
        <v>1327</v>
      </c>
      <c r="E365" s="1108">
        <v>0.25</v>
      </c>
      <c r="F365" s="1187" t="s">
        <v>1660</v>
      </c>
      <c r="G365" s="1108" t="s">
        <v>747</v>
      </c>
      <c r="H365" s="1187" t="s">
        <v>125</v>
      </c>
      <c r="I365" s="1108"/>
      <c r="J365" s="1148" t="s">
        <v>1286</v>
      </c>
      <c r="K365" s="1" t="s">
        <v>125</v>
      </c>
      <c r="M365" s="1" t="s">
        <v>1314</v>
      </c>
    </row>
    <row r="366" spans="2:13" ht="15" hidden="1" customHeight="1" outlineLevel="1" x14ac:dyDescent="0.25">
      <c r="B366" s="1186" t="s">
        <v>830</v>
      </c>
      <c r="C366" s="1143"/>
      <c r="D366" s="1143" t="s">
        <v>1328</v>
      </c>
      <c r="E366" s="1108">
        <v>0.35</v>
      </c>
      <c r="F366" s="1187" t="s">
        <v>1660</v>
      </c>
      <c r="G366" s="1108" t="s">
        <v>747</v>
      </c>
      <c r="H366" s="1187" t="s">
        <v>125</v>
      </c>
      <c r="I366" s="1108"/>
      <c r="J366" s="1148" t="s">
        <v>1286</v>
      </c>
      <c r="K366" s="1" t="s">
        <v>125</v>
      </c>
      <c r="M366" s="1" t="s">
        <v>1316</v>
      </c>
    </row>
    <row r="367" spans="2:13" ht="15" hidden="1" customHeight="1" outlineLevel="1" x14ac:dyDescent="0.25">
      <c r="B367" s="1186" t="s">
        <v>830</v>
      </c>
      <c r="C367" s="1143"/>
      <c r="D367" s="1143" t="s">
        <v>1329</v>
      </c>
      <c r="E367" s="1108">
        <v>0.2</v>
      </c>
      <c r="F367" s="1187" t="s">
        <v>1660</v>
      </c>
      <c r="G367" s="1108" t="s">
        <v>747</v>
      </c>
      <c r="H367" s="1187" t="s">
        <v>125</v>
      </c>
      <c r="I367" s="1108"/>
      <c r="J367" s="1148" t="s">
        <v>1286</v>
      </c>
      <c r="K367" s="1" t="s">
        <v>125</v>
      </c>
      <c r="M367" s="1" t="s">
        <v>1317</v>
      </c>
    </row>
    <row r="368" spans="2:13" ht="15" hidden="1" customHeight="1" outlineLevel="1" x14ac:dyDescent="0.25">
      <c r="B368" s="1186" t="s">
        <v>830</v>
      </c>
      <c r="C368" s="1143"/>
      <c r="D368" s="1143" t="s">
        <v>1272</v>
      </c>
      <c r="E368" s="1108">
        <v>43.25</v>
      </c>
      <c r="F368" s="1187" t="s">
        <v>1660</v>
      </c>
      <c r="G368" s="1108" t="s">
        <v>747</v>
      </c>
      <c r="H368" s="1187" t="s">
        <v>125</v>
      </c>
      <c r="I368" s="1108"/>
      <c r="J368" s="1148" t="s">
        <v>836</v>
      </c>
      <c r="K368" s="1" t="s">
        <v>125</v>
      </c>
      <c r="M368" s="1" t="s">
        <v>1330</v>
      </c>
    </row>
    <row r="369" spans="2:13" ht="15" hidden="1" customHeight="1" outlineLevel="1" x14ac:dyDescent="0.25">
      <c r="B369" s="1186" t="s">
        <v>830</v>
      </c>
      <c r="C369" s="1143"/>
      <c r="D369" s="1143" t="s">
        <v>1268</v>
      </c>
      <c r="E369" s="1108">
        <v>20.64</v>
      </c>
      <c r="F369" s="1187" t="s">
        <v>1660</v>
      </c>
      <c r="G369" s="1108" t="s">
        <v>747</v>
      </c>
      <c r="H369" s="1187" t="s">
        <v>125</v>
      </c>
      <c r="I369" s="1108"/>
      <c r="J369" s="1148" t="s">
        <v>836</v>
      </c>
      <c r="K369" s="1" t="s">
        <v>125</v>
      </c>
      <c r="M369" s="1" t="s">
        <v>1330</v>
      </c>
    </row>
    <row r="370" spans="2:13" ht="15" hidden="1" customHeight="1" outlineLevel="1" x14ac:dyDescent="0.25">
      <c r="B370" s="1186" t="s">
        <v>830</v>
      </c>
      <c r="C370" s="1143"/>
      <c r="D370" s="1143" t="s">
        <v>1265</v>
      </c>
      <c r="E370" s="1108">
        <v>34.72</v>
      </c>
      <c r="F370" s="1187" t="s">
        <v>1660</v>
      </c>
      <c r="G370" s="1108" t="s">
        <v>747</v>
      </c>
      <c r="H370" s="1187" t="s">
        <v>125</v>
      </c>
      <c r="I370" s="1108"/>
      <c r="J370" s="1148" t="s">
        <v>836</v>
      </c>
      <c r="K370" s="1" t="s">
        <v>125</v>
      </c>
      <c r="M370" s="1" t="s">
        <v>1330</v>
      </c>
    </row>
    <row r="371" spans="2:13" ht="15" hidden="1" customHeight="1" outlineLevel="1" x14ac:dyDescent="0.25">
      <c r="B371" s="1186" t="s">
        <v>830</v>
      </c>
      <c r="C371" s="1143"/>
      <c r="D371" s="1143" t="s">
        <v>1272</v>
      </c>
      <c r="E371" s="1108">
        <v>13.97</v>
      </c>
      <c r="F371" s="1187" t="s">
        <v>1660</v>
      </c>
      <c r="G371" s="1108" t="s">
        <v>747</v>
      </c>
      <c r="H371" s="1187" t="s">
        <v>2220</v>
      </c>
      <c r="I371" s="1108" t="s">
        <v>2224</v>
      </c>
      <c r="J371" s="1148" t="s">
        <v>836</v>
      </c>
      <c r="K371" s="1" t="s">
        <v>125</v>
      </c>
      <c r="M371" s="1" t="s">
        <v>1319</v>
      </c>
    </row>
    <row r="372" spans="2:13" ht="15" hidden="1" customHeight="1" outlineLevel="1" x14ac:dyDescent="0.25">
      <c r="B372" s="1186" t="s">
        <v>830</v>
      </c>
      <c r="C372" s="1143"/>
      <c r="D372" s="1143" t="s">
        <v>1268</v>
      </c>
      <c r="E372" s="1108">
        <v>0.55300000000000005</v>
      </c>
      <c r="F372" s="1187" t="s">
        <v>1660</v>
      </c>
      <c r="G372" s="1108" t="s">
        <v>747</v>
      </c>
      <c r="H372" s="1187" t="s">
        <v>2220</v>
      </c>
      <c r="I372" s="1108" t="s">
        <v>2225</v>
      </c>
      <c r="J372" s="1148" t="s">
        <v>836</v>
      </c>
      <c r="K372" s="1" t="s">
        <v>125</v>
      </c>
      <c r="M372" s="1" t="s">
        <v>1319</v>
      </c>
    </row>
    <row r="373" spans="2:13" ht="15" hidden="1" customHeight="1" outlineLevel="1" x14ac:dyDescent="0.25">
      <c r="B373" s="1186" t="s">
        <v>830</v>
      </c>
      <c r="C373" s="1143"/>
      <c r="D373" s="1143" t="s">
        <v>1264</v>
      </c>
      <c r="E373" s="1108">
        <v>4.8</v>
      </c>
      <c r="F373" s="1187" t="s">
        <v>1660</v>
      </c>
      <c r="G373" s="1108" t="s">
        <v>747</v>
      </c>
      <c r="H373" s="1187" t="s">
        <v>2220</v>
      </c>
      <c r="I373" s="1108" t="s">
        <v>2226</v>
      </c>
      <c r="J373" s="1148" t="s">
        <v>836</v>
      </c>
      <c r="K373" s="1" t="s">
        <v>125</v>
      </c>
      <c r="M373" s="1" t="s">
        <v>1319</v>
      </c>
    </row>
    <row r="374" spans="2:13" ht="15" hidden="1" customHeight="1" outlineLevel="1" x14ac:dyDescent="0.25">
      <c r="B374" s="1186" t="s">
        <v>830</v>
      </c>
      <c r="C374" s="1143"/>
      <c r="D374" s="1143" t="s">
        <v>1272</v>
      </c>
      <c r="E374" s="1108">
        <v>19.559999999999999</v>
      </c>
      <c r="F374" s="1187" t="s">
        <v>1660</v>
      </c>
      <c r="G374" s="1108" t="s">
        <v>747</v>
      </c>
      <c r="H374" s="1187" t="s">
        <v>125</v>
      </c>
      <c r="I374" s="1108"/>
      <c r="J374" s="1148" t="s">
        <v>836</v>
      </c>
      <c r="K374" s="1" t="s">
        <v>125</v>
      </c>
      <c r="M374" s="1" t="s">
        <v>1331</v>
      </c>
    </row>
    <row r="375" spans="2:13" ht="15" hidden="1" customHeight="1" outlineLevel="1" x14ac:dyDescent="0.25">
      <c r="B375" s="1186" t="s">
        <v>830</v>
      </c>
      <c r="C375" s="1143"/>
      <c r="D375" s="1143" t="s">
        <v>1268</v>
      </c>
      <c r="E375" s="1108">
        <v>0.77400000000000002</v>
      </c>
      <c r="F375" s="1187" t="s">
        <v>1660</v>
      </c>
      <c r="G375" s="1108" t="s">
        <v>747</v>
      </c>
      <c r="H375" s="1187" t="s">
        <v>125</v>
      </c>
      <c r="I375" s="1108"/>
      <c r="J375" s="1148" t="s">
        <v>836</v>
      </c>
      <c r="K375" s="1" t="s">
        <v>125</v>
      </c>
      <c r="M375" s="1" t="s">
        <v>1331</v>
      </c>
    </row>
    <row r="376" spans="2:13" ht="15" hidden="1" customHeight="1" outlineLevel="1" x14ac:dyDescent="0.25">
      <c r="B376" s="1186" t="s">
        <v>830</v>
      </c>
      <c r="C376" s="1143"/>
      <c r="D376" s="1143" t="s">
        <v>1265</v>
      </c>
      <c r="E376" s="1108">
        <v>6.71</v>
      </c>
      <c r="F376" s="1187" t="s">
        <v>1660</v>
      </c>
      <c r="G376" s="1108" t="s">
        <v>747</v>
      </c>
      <c r="H376" s="1187" t="s">
        <v>125</v>
      </c>
      <c r="I376" s="1108"/>
      <c r="J376" s="1148" t="s">
        <v>836</v>
      </c>
      <c r="K376" s="1" t="s">
        <v>125</v>
      </c>
      <c r="M376" s="1" t="s">
        <v>1331</v>
      </c>
    </row>
    <row r="377" spans="2:13" ht="15" hidden="1" customHeight="1" outlineLevel="1" x14ac:dyDescent="0.25">
      <c r="B377" s="1186" t="s">
        <v>830</v>
      </c>
      <c r="C377" s="1143"/>
      <c r="D377" s="1143" t="s">
        <v>1271</v>
      </c>
      <c r="E377" s="1108">
        <v>2227.75</v>
      </c>
      <c r="F377" s="1187" t="s">
        <v>1660</v>
      </c>
      <c r="G377" s="1108" t="s">
        <v>747</v>
      </c>
      <c r="H377" s="1187" t="s">
        <v>125</v>
      </c>
      <c r="I377" s="1108"/>
      <c r="J377" s="1148" t="s">
        <v>836</v>
      </c>
      <c r="K377" s="1" t="s">
        <v>125</v>
      </c>
      <c r="M377" s="1" t="s">
        <v>1331</v>
      </c>
    </row>
    <row r="378" spans="2:13" ht="15" hidden="1" customHeight="1" outlineLevel="1" x14ac:dyDescent="0.25">
      <c r="B378" s="1186" t="s">
        <v>830</v>
      </c>
      <c r="C378" s="1143"/>
      <c r="D378" s="1143" t="s">
        <v>1272</v>
      </c>
      <c r="E378" s="1108">
        <v>38.75</v>
      </c>
      <c r="F378" s="1187" t="s">
        <v>1660</v>
      </c>
      <c r="G378" s="1108" t="s">
        <v>747</v>
      </c>
      <c r="H378" s="1187" t="s">
        <v>125</v>
      </c>
      <c r="I378" s="1108"/>
      <c r="J378" s="1148" t="s">
        <v>836</v>
      </c>
      <c r="K378" s="1" t="s">
        <v>125</v>
      </c>
      <c r="M378" s="1" t="s">
        <v>1321</v>
      </c>
    </row>
    <row r="379" spans="2:13" ht="15" hidden="1" customHeight="1" outlineLevel="1" x14ac:dyDescent="0.25">
      <c r="B379" s="1186" t="s">
        <v>830</v>
      </c>
      <c r="C379" s="1143"/>
      <c r="D379" s="1143" t="s">
        <v>1268</v>
      </c>
      <c r="E379" s="1108">
        <v>12.7</v>
      </c>
      <c r="F379" s="1187" t="s">
        <v>1660</v>
      </c>
      <c r="G379" s="1108" t="s">
        <v>747</v>
      </c>
      <c r="H379" s="1187" t="s">
        <v>125</v>
      </c>
      <c r="I379" s="1108"/>
      <c r="J379" s="1148" t="s">
        <v>836</v>
      </c>
      <c r="K379" s="1" t="s">
        <v>125</v>
      </c>
      <c r="M379" s="1" t="s">
        <v>1321</v>
      </c>
    </row>
    <row r="380" spans="2:13" ht="15" hidden="1" customHeight="1" outlineLevel="1" x14ac:dyDescent="0.25">
      <c r="B380" s="1186" t="s">
        <v>830</v>
      </c>
      <c r="C380" s="1143"/>
      <c r="D380" s="1143" t="s">
        <v>1266</v>
      </c>
      <c r="E380" s="1108">
        <v>17.62</v>
      </c>
      <c r="F380" s="1187" t="s">
        <v>1660</v>
      </c>
      <c r="G380" s="1108" t="s">
        <v>747</v>
      </c>
      <c r="H380" s="1187" t="s">
        <v>125</v>
      </c>
      <c r="I380" s="1108"/>
      <c r="J380" s="1148" t="s">
        <v>836</v>
      </c>
      <c r="K380" s="1" t="s">
        <v>125</v>
      </c>
      <c r="M380" s="1" t="s">
        <v>1321</v>
      </c>
    </row>
    <row r="381" spans="2:13" ht="15" hidden="1" customHeight="1" outlineLevel="1" x14ac:dyDescent="0.25">
      <c r="B381" s="1188" t="s">
        <v>830</v>
      </c>
      <c r="C381" s="1150"/>
      <c r="D381" s="1150" t="s">
        <v>1269</v>
      </c>
      <c r="E381" s="1153">
        <v>99.58</v>
      </c>
      <c r="F381" s="1189" t="s">
        <v>1660</v>
      </c>
      <c r="G381" s="1153" t="s">
        <v>747</v>
      </c>
      <c r="H381" s="1189" t="s">
        <v>125</v>
      </c>
      <c r="I381" s="1153"/>
      <c r="J381" s="1155" t="s">
        <v>836</v>
      </c>
      <c r="K381" s="1" t="s">
        <v>125</v>
      </c>
      <c r="M381" s="1" t="s">
        <v>1321</v>
      </c>
    </row>
    <row r="382" spans="2:13" ht="15" customHeight="1" x14ac:dyDescent="0.25">
      <c r="F382" s="1177" t="s">
        <v>125</v>
      </c>
      <c r="H382" s="1177" t="s">
        <v>125</v>
      </c>
    </row>
    <row r="383" spans="2:13" ht="15" customHeight="1" collapsed="1" x14ac:dyDescent="0.25">
      <c r="B383" s="1164" t="s">
        <v>825</v>
      </c>
      <c r="C383" s="1165"/>
      <c r="D383" s="1165" t="s">
        <v>1322</v>
      </c>
      <c r="E383" s="1168">
        <v>62.2</v>
      </c>
      <c r="F383" s="1178" t="s">
        <v>125</v>
      </c>
      <c r="G383" s="1168"/>
      <c r="H383" s="1178" t="s">
        <v>125</v>
      </c>
      <c r="I383" s="1168"/>
      <c r="J383" s="246" t="s">
        <v>221</v>
      </c>
      <c r="K383" s="292">
        <v>100</v>
      </c>
    </row>
    <row r="384" spans="2:13" ht="15" hidden="1" customHeight="1" outlineLevel="1" x14ac:dyDescent="0.25">
      <c r="B384" s="953" t="s">
        <v>830</v>
      </c>
      <c r="C384" s="1138"/>
      <c r="D384" s="1138" t="s">
        <v>834</v>
      </c>
      <c r="E384" s="954">
        <v>174</v>
      </c>
      <c r="F384" s="1185" t="s">
        <v>125</v>
      </c>
      <c r="G384" s="954"/>
      <c r="H384" s="1185" t="s">
        <v>125</v>
      </c>
      <c r="I384" s="954"/>
      <c r="J384" s="955" t="s">
        <v>304</v>
      </c>
      <c r="K384" s="207"/>
    </row>
    <row r="385" spans="2:11" ht="15" hidden="1" customHeight="1" outlineLevel="1" x14ac:dyDescent="0.25">
      <c r="B385" s="1186" t="s">
        <v>830</v>
      </c>
      <c r="C385" s="1143"/>
      <c r="D385" s="1143" t="s">
        <v>1323</v>
      </c>
      <c r="E385" s="1108">
        <v>164.71</v>
      </c>
      <c r="F385" s="1187" t="s">
        <v>125</v>
      </c>
      <c r="G385" s="1108"/>
      <c r="H385" s="1187" t="s">
        <v>125</v>
      </c>
      <c r="I385" s="1108"/>
      <c r="J385" s="1148" t="s">
        <v>221</v>
      </c>
    </row>
    <row r="386" spans="2:11" ht="15" hidden="1" customHeight="1" outlineLevel="1" x14ac:dyDescent="0.25">
      <c r="B386" s="1186" t="s">
        <v>830</v>
      </c>
      <c r="C386" s="1143"/>
      <c r="D386" s="1143" t="s">
        <v>1054</v>
      </c>
      <c r="E386" s="1108">
        <v>25</v>
      </c>
      <c r="F386" s="1187" t="s">
        <v>125</v>
      </c>
      <c r="G386" s="1108"/>
      <c r="H386" s="1187" t="s">
        <v>125</v>
      </c>
      <c r="I386" s="1108"/>
      <c r="J386" s="1148" t="s">
        <v>304</v>
      </c>
    </row>
    <row r="387" spans="2:11" ht="15" hidden="1" customHeight="1" outlineLevel="1" x14ac:dyDescent="0.25">
      <c r="B387" s="1188" t="s">
        <v>839</v>
      </c>
      <c r="C387" s="1150"/>
      <c r="D387" s="1150" t="s">
        <v>913</v>
      </c>
      <c r="E387" s="1153">
        <v>102.5</v>
      </c>
      <c r="F387" s="1189" t="s">
        <v>125</v>
      </c>
      <c r="G387" s="1153"/>
      <c r="H387" s="1189" t="s">
        <v>125</v>
      </c>
      <c r="I387" s="1153"/>
      <c r="J387" s="1155" t="s">
        <v>221</v>
      </c>
    </row>
    <row r="388" spans="2:11" ht="15" customHeight="1" x14ac:dyDescent="0.25">
      <c r="F388" s="1177" t="s">
        <v>125</v>
      </c>
      <c r="H388" s="1177" t="s">
        <v>125</v>
      </c>
    </row>
    <row r="389" spans="2:11" ht="15" customHeight="1" collapsed="1" x14ac:dyDescent="0.25">
      <c r="B389" s="1164" t="s">
        <v>825</v>
      </c>
      <c r="C389" s="1165"/>
      <c r="D389" s="1165" t="s">
        <v>861</v>
      </c>
      <c r="E389" s="1168">
        <v>1</v>
      </c>
      <c r="F389" s="1178" t="s">
        <v>1660</v>
      </c>
      <c r="G389" s="1168" t="s">
        <v>744</v>
      </c>
      <c r="H389" s="1178" t="s">
        <v>125</v>
      </c>
      <c r="I389" s="1168"/>
      <c r="J389" s="246" t="s">
        <v>221</v>
      </c>
      <c r="K389" s="292">
        <v>100</v>
      </c>
    </row>
    <row r="390" spans="2:11" ht="15" hidden="1" customHeight="1" outlineLevel="1" x14ac:dyDescent="0.25">
      <c r="B390" s="953" t="s">
        <v>830</v>
      </c>
      <c r="C390" s="1138"/>
      <c r="D390" s="1138" t="s">
        <v>1343</v>
      </c>
      <c r="E390" s="954">
        <v>2.0899999999999998E-3</v>
      </c>
      <c r="F390" s="1185" t="s">
        <v>1660</v>
      </c>
      <c r="G390" s="954" t="s">
        <v>747</v>
      </c>
      <c r="H390" s="1185" t="s">
        <v>125</v>
      </c>
      <c r="I390" s="954"/>
      <c r="J390" s="955" t="s">
        <v>221</v>
      </c>
      <c r="K390" s="207"/>
    </row>
    <row r="391" spans="2:11" ht="15" hidden="1" customHeight="1" outlineLevel="1" x14ac:dyDescent="0.25">
      <c r="B391" s="1186" t="s">
        <v>830</v>
      </c>
      <c r="C391" s="1143"/>
      <c r="D391" s="1143" t="s">
        <v>1344</v>
      </c>
      <c r="E391" s="1108">
        <v>1.8800000000000001E-2</v>
      </c>
      <c r="F391" s="1187" t="s">
        <v>1660</v>
      </c>
      <c r="G391" s="1108" t="s">
        <v>747</v>
      </c>
      <c r="H391" s="1187" t="s">
        <v>125</v>
      </c>
      <c r="I391" s="1108"/>
      <c r="J391" s="1148" t="s">
        <v>221</v>
      </c>
    </row>
    <row r="392" spans="2:11" ht="15" hidden="1" customHeight="1" outlineLevel="1" x14ac:dyDescent="0.25">
      <c r="B392" s="1186" t="s">
        <v>830</v>
      </c>
      <c r="C392" s="1143"/>
      <c r="D392" s="1143" t="s">
        <v>1345</v>
      </c>
      <c r="E392" s="1108">
        <v>9.3100000000000002E-2</v>
      </c>
      <c r="F392" s="1187" t="s">
        <v>1660</v>
      </c>
      <c r="G392" s="1108" t="s">
        <v>747</v>
      </c>
      <c r="H392" s="1187" t="s">
        <v>125</v>
      </c>
      <c r="I392" s="1108"/>
      <c r="J392" s="1148" t="s">
        <v>221</v>
      </c>
    </row>
    <row r="393" spans="2:11" ht="15" hidden="1" customHeight="1" outlineLevel="1" x14ac:dyDescent="0.25">
      <c r="B393" s="1186" t="s">
        <v>830</v>
      </c>
      <c r="C393" s="1143"/>
      <c r="D393" s="1143" t="s">
        <v>1092</v>
      </c>
      <c r="E393" s="1108">
        <v>0.67600000000000005</v>
      </c>
      <c r="F393" s="1187" t="s">
        <v>125</v>
      </c>
      <c r="G393" s="1108"/>
      <c r="H393" s="1187" t="s">
        <v>125</v>
      </c>
      <c r="I393" s="1108"/>
      <c r="J393" s="1148" t="s">
        <v>221</v>
      </c>
    </row>
    <row r="394" spans="2:11" ht="15" hidden="1" customHeight="1" outlineLevel="1" x14ac:dyDescent="0.25">
      <c r="B394" s="1186" t="s">
        <v>830</v>
      </c>
      <c r="C394" s="1143"/>
      <c r="D394" s="1143" t="s">
        <v>1346</v>
      </c>
      <c r="E394" s="1108">
        <v>5.0999999999999997E-2</v>
      </c>
      <c r="F394" s="1187" t="s">
        <v>1660</v>
      </c>
      <c r="G394" s="1108" t="s">
        <v>747</v>
      </c>
      <c r="H394" s="1187" t="s">
        <v>125</v>
      </c>
      <c r="I394" s="1108"/>
      <c r="J394" s="1148" t="s">
        <v>221</v>
      </c>
    </row>
    <row r="395" spans="2:11" ht="15" hidden="1" customHeight="1" outlineLevel="1" x14ac:dyDescent="0.25">
      <c r="B395" s="1186" t="s">
        <v>830</v>
      </c>
      <c r="C395" s="1143"/>
      <c r="D395" s="1143" t="s">
        <v>1347</v>
      </c>
      <c r="E395" s="1108">
        <v>9.7300000000000008E-3</v>
      </c>
      <c r="F395" s="1187" t="s">
        <v>1660</v>
      </c>
      <c r="G395" s="1108" t="s">
        <v>747</v>
      </c>
      <c r="H395" s="1187" t="s">
        <v>125</v>
      </c>
      <c r="I395" s="1108"/>
      <c r="J395" s="1148" t="s">
        <v>221</v>
      </c>
    </row>
    <row r="396" spans="2:11" ht="15" hidden="1" customHeight="1" outlineLevel="1" x14ac:dyDescent="0.25">
      <c r="B396" s="1186" t="s">
        <v>830</v>
      </c>
      <c r="C396" s="1143"/>
      <c r="D396" s="1143" t="s">
        <v>1348</v>
      </c>
      <c r="E396" s="1108">
        <v>8.1799999999999998E-2</v>
      </c>
      <c r="F396" s="1187" t="s">
        <v>1660</v>
      </c>
      <c r="G396" s="1108" t="s">
        <v>747</v>
      </c>
      <c r="H396" s="1187" t="s">
        <v>125</v>
      </c>
      <c r="I396" s="1108"/>
      <c r="J396" s="1148" t="s">
        <v>221</v>
      </c>
    </row>
    <row r="397" spans="2:11" ht="15" hidden="1" customHeight="1" outlineLevel="1" x14ac:dyDescent="0.25">
      <c r="B397" s="1186" t="s">
        <v>830</v>
      </c>
      <c r="C397" s="1143"/>
      <c r="D397" s="1143" t="s">
        <v>1349</v>
      </c>
      <c r="E397" s="1108">
        <v>8.5699999999999995E-3</v>
      </c>
      <c r="F397" s="1187" t="s">
        <v>1660</v>
      </c>
      <c r="G397" s="1108" t="s">
        <v>747</v>
      </c>
      <c r="H397" s="1187" t="s">
        <v>125</v>
      </c>
      <c r="I397" s="1108"/>
      <c r="J397" s="1148" t="s">
        <v>221</v>
      </c>
    </row>
    <row r="398" spans="2:11" ht="15" hidden="1" customHeight="1" outlineLevel="1" x14ac:dyDescent="0.25">
      <c r="B398" s="1186" t="s">
        <v>830</v>
      </c>
      <c r="C398" s="1143"/>
      <c r="D398" s="1143" t="s">
        <v>1350</v>
      </c>
      <c r="E398" s="1108">
        <v>3.8800000000000002E-3</v>
      </c>
      <c r="F398" s="1187" t="s">
        <v>1660</v>
      </c>
      <c r="G398" s="1108" t="s">
        <v>747</v>
      </c>
      <c r="H398" s="1187" t="s">
        <v>125</v>
      </c>
      <c r="I398" s="1108"/>
      <c r="J398" s="1148" t="s">
        <v>221</v>
      </c>
    </row>
    <row r="399" spans="2:11" ht="15" hidden="1" customHeight="1" outlineLevel="1" x14ac:dyDescent="0.25">
      <c r="B399" s="1186" t="s">
        <v>830</v>
      </c>
      <c r="C399" s="1143"/>
      <c r="D399" s="1143" t="s">
        <v>1351</v>
      </c>
      <c r="E399" s="1108">
        <v>5.4600000000000003E-2</v>
      </c>
      <c r="F399" s="1187" t="s">
        <v>1660</v>
      </c>
      <c r="G399" s="1108" t="s">
        <v>747</v>
      </c>
      <c r="H399" s="1187" t="s">
        <v>125</v>
      </c>
      <c r="I399" s="1108"/>
      <c r="J399" s="1148" t="s">
        <v>221</v>
      </c>
    </row>
    <row r="400" spans="2:11" ht="15" hidden="1" customHeight="1" outlineLevel="1" x14ac:dyDescent="0.25">
      <c r="B400" s="1186" t="s">
        <v>830</v>
      </c>
      <c r="C400" s="1143"/>
      <c r="D400" s="1143" t="s">
        <v>1264</v>
      </c>
      <c r="E400" s="1108">
        <v>5.4188781049920899E-2</v>
      </c>
      <c r="F400" s="1187" t="s">
        <v>1660</v>
      </c>
      <c r="G400" s="1108" t="s">
        <v>747</v>
      </c>
      <c r="H400" s="1187" t="s">
        <v>2220</v>
      </c>
      <c r="I400" s="1108" t="s">
        <v>2227</v>
      </c>
      <c r="J400" s="1148" t="s">
        <v>836</v>
      </c>
    </row>
    <row r="401" spans="2:13" ht="15" hidden="1" customHeight="1" outlineLevel="1" x14ac:dyDescent="0.25">
      <c r="B401" s="1186" t="s">
        <v>830</v>
      </c>
      <c r="C401" s="1143"/>
      <c r="D401" s="1143" t="s">
        <v>1265</v>
      </c>
      <c r="E401" s="1108">
        <v>6.4595299122621403E-3</v>
      </c>
      <c r="F401" s="1187" t="s">
        <v>1660</v>
      </c>
      <c r="G401" s="1108" t="s">
        <v>747</v>
      </c>
      <c r="H401" s="1187" t="s">
        <v>125</v>
      </c>
      <c r="I401" s="1108"/>
      <c r="J401" s="1148" t="s">
        <v>836</v>
      </c>
    </row>
    <row r="402" spans="2:13" ht="15" hidden="1" customHeight="1" outlineLevel="1" x14ac:dyDescent="0.25">
      <c r="B402" s="1186" t="s">
        <v>830</v>
      </c>
      <c r="C402" s="1143"/>
      <c r="D402" s="1143" t="s">
        <v>1266</v>
      </c>
      <c r="E402" s="1108">
        <v>2.1997578519551E-4</v>
      </c>
      <c r="F402" s="1187" t="s">
        <v>1660</v>
      </c>
      <c r="G402" s="1108" t="s">
        <v>747</v>
      </c>
      <c r="H402" s="1187" t="s">
        <v>125</v>
      </c>
      <c r="I402" s="1108"/>
      <c r="J402" s="1148" t="s">
        <v>836</v>
      </c>
    </row>
    <row r="403" spans="2:13" ht="15" hidden="1" customHeight="1" outlineLevel="1" x14ac:dyDescent="0.25">
      <c r="B403" s="1186" t="s">
        <v>830</v>
      </c>
      <c r="C403" s="1143"/>
      <c r="D403" s="1143" t="s">
        <v>1268</v>
      </c>
      <c r="E403" s="1108">
        <v>0.126415291383457</v>
      </c>
      <c r="F403" s="1187" t="s">
        <v>1660</v>
      </c>
      <c r="G403" s="1108" t="s">
        <v>747</v>
      </c>
      <c r="H403" s="1187" t="s">
        <v>2220</v>
      </c>
      <c r="I403" s="1108" t="s">
        <v>2228</v>
      </c>
      <c r="J403" s="1148" t="s">
        <v>836</v>
      </c>
    </row>
    <row r="404" spans="2:13" ht="15" hidden="1" customHeight="1" outlineLevel="1" x14ac:dyDescent="0.25">
      <c r="B404" s="1186" t="s">
        <v>830</v>
      </c>
      <c r="C404" s="1143"/>
      <c r="D404" s="1143" t="s">
        <v>1271</v>
      </c>
      <c r="E404" s="1108">
        <v>3.0234543930501099E-2</v>
      </c>
      <c r="F404" s="1187" t="s">
        <v>1660</v>
      </c>
      <c r="G404" s="1108" t="s">
        <v>747</v>
      </c>
      <c r="H404" s="1187" t="s">
        <v>125</v>
      </c>
      <c r="I404" s="1108"/>
      <c r="J404" s="1148" t="s">
        <v>836</v>
      </c>
    </row>
    <row r="405" spans="2:13" ht="15" hidden="1" customHeight="1" outlineLevel="1" x14ac:dyDescent="0.25">
      <c r="B405" s="1186" t="s">
        <v>830</v>
      </c>
      <c r="C405" s="1143"/>
      <c r="D405" s="1143" t="s">
        <v>1272</v>
      </c>
      <c r="E405" s="1108">
        <v>0.29839542530497198</v>
      </c>
      <c r="F405" s="1187" t="s">
        <v>1660</v>
      </c>
      <c r="G405" s="1108" t="s">
        <v>747</v>
      </c>
      <c r="H405" s="1187" t="s">
        <v>2220</v>
      </c>
      <c r="I405" s="1108" t="s">
        <v>2229</v>
      </c>
      <c r="J405" s="1148" t="s">
        <v>836</v>
      </c>
    </row>
    <row r="406" spans="2:13" ht="15" hidden="1" customHeight="1" outlineLevel="1" x14ac:dyDescent="0.25">
      <c r="B406" s="1188" t="s">
        <v>830</v>
      </c>
      <c r="C406" s="1150"/>
      <c r="D406" s="1150" t="s">
        <v>1273</v>
      </c>
      <c r="E406" s="1153">
        <v>0.28095986072165002</v>
      </c>
      <c r="F406" s="1189" t="s">
        <v>1660</v>
      </c>
      <c r="G406" s="1153" t="s">
        <v>747</v>
      </c>
      <c r="H406" s="1189" t="s">
        <v>125</v>
      </c>
      <c r="I406" s="1153"/>
      <c r="J406" s="1155" t="s">
        <v>836</v>
      </c>
    </row>
    <row r="407" spans="2:13" ht="15" customHeight="1" x14ac:dyDescent="0.25">
      <c r="F407" s="1177" t="s">
        <v>125</v>
      </c>
      <c r="H407" s="1177" t="s">
        <v>125</v>
      </c>
    </row>
    <row r="408" spans="2:13" ht="15" customHeight="1" collapsed="1" x14ac:dyDescent="0.25">
      <c r="B408" s="1164" t="s">
        <v>825</v>
      </c>
      <c r="C408" s="1165"/>
      <c r="D408" s="1165" t="s">
        <v>965</v>
      </c>
      <c r="E408" s="1168">
        <v>1</v>
      </c>
      <c r="F408" s="1178" t="s">
        <v>1660</v>
      </c>
      <c r="G408" s="1168" t="s">
        <v>745</v>
      </c>
      <c r="H408" s="1178" t="s">
        <v>125</v>
      </c>
      <c r="I408" s="1168"/>
      <c r="J408" s="246" t="s">
        <v>1286</v>
      </c>
      <c r="K408" s="292">
        <v>100</v>
      </c>
    </row>
    <row r="409" spans="2:13" ht="15" hidden="1" customHeight="1" outlineLevel="1" x14ac:dyDescent="0.25">
      <c r="B409" s="953" t="s">
        <v>830</v>
      </c>
      <c r="C409" s="1138"/>
      <c r="D409" s="1138" t="s">
        <v>1332</v>
      </c>
      <c r="E409" s="954">
        <v>0.2</v>
      </c>
      <c r="F409" s="1185" t="s">
        <v>1660</v>
      </c>
      <c r="G409" s="954" t="s">
        <v>747</v>
      </c>
      <c r="H409" s="1185" t="s">
        <v>125</v>
      </c>
      <c r="I409" s="954"/>
      <c r="J409" s="955" t="s">
        <v>1286</v>
      </c>
      <c r="K409" s="207" t="s">
        <v>125</v>
      </c>
      <c r="M409" s="1" t="s">
        <v>1294</v>
      </c>
    </row>
    <row r="410" spans="2:13" ht="15" hidden="1" customHeight="1" outlineLevel="1" x14ac:dyDescent="0.25">
      <c r="B410" s="1186" t="s">
        <v>830</v>
      </c>
      <c r="C410" s="1143"/>
      <c r="D410" s="1143" t="s">
        <v>1309</v>
      </c>
      <c r="E410" s="1108">
        <v>0.2</v>
      </c>
      <c r="F410" s="1187" t="s">
        <v>125</v>
      </c>
      <c r="G410" s="1108"/>
      <c r="H410" s="1187" t="s">
        <v>125</v>
      </c>
      <c r="I410" s="1108"/>
      <c r="J410" s="1148" t="s">
        <v>1286</v>
      </c>
      <c r="K410" s="1" t="s">
        <v>125</v>
      </c>
      <c r="M410" s="1" t="s">
        <v>1314</v>
      </c>
    </row>
    <row r="411" spans="2:13" ht="15" hidden="1" customHeight="1" outlineLevel="1" x14ac:dyDescent="0.25">
      <c r="B411" s="1186" t="s">
        <v>830</v>
      </c>
      <c r="C411" s="1143"/>
      <c r="D411" s="1143" t="s">
        <v>1333</v>
      </c>
      <c r="E411" s="1108">
        <v>0.25</v>
      </c>
      <c r="F411" s="1187" t="s">
        <v>1660</v>
      </c>
      <c r="G411" s="1108" t="s">
        <v>747</v>
      </c>
      <c r="H411" s="1187" t="s">
        <v>125</v>
      </c>
      <c r="I411" s="1108"/>
      <c r="J411" s="1148" t="s">
        <v>1286</v>
      </c>
      <c r="K411" s="1" t="s">
        <v>125</v>
      </c>
      <c r="M411" s="1" t="s">
        <v>1316</v>
      </c>
    </row>
    <row r="412" spans="2:13" ht="15" hidden="1" customHeight="1" outlineLevel="1" x14ac:dyDescent="0.25">
      <c r="B412" s="1186" t="s">
        <v>830</v>
      </c>
      <c r="C412" s="1143"/>
      <c r="D412" s="1143" t="s">
        <v>1334</v>
      </c>
      <c r="E412" s="1108">
        <v>0.35</v>
      </c>
      <c r="F412" s="1187" t="s">
        <v>1660</v>
      </c>
      <c r="G412" s="1108" t="s">
        <v>747</v>
      </c>
      <c r="H412" s="1187" t="s">
        <v>125</v>
      </c>
      <c r="I412" s="1108"/>
      <c r="J412" s="1148" t="s">
        <v>1286</v>
      </c>
      <c r="K412" s="1" t="s">
        <v>125</v>
      </c>
      <c r="M412" s="1" t="s">
        <v>1317</v>
      </c>
    </row>
    <row r="413" spans="2:13" ht="15" hidden="1" customHeight="1" outlineLevel="1" x14ac:dyDescent="0.25">
      <c r="B413" s="1186" t="s">
        <v>830</v>
      </c>
      <c r="C413" s="1143"/>
      <c r="D413" s="1143" t="s">
        <v>1272</v>
      </c>
      <c r="E413" s="1108">
        <v>38.75</v>
      </c>
      <c r="F413" s="1187" t="s">
        <v>1660</v>
      </c>
      <c r="G413" s="1108" t="s">
        <v>747</v>
      </c>
      <c r="H413" s="1187" t="s">
        <v>125</v>
      </c>
      <c r="I413" s="1108"/>
      <c r="J413" s="1148" t="s">
        <v>836</v>
      </c>
      <c r="K413" s="1" t="s">
        <v>125</v>
      </c>
      <c r="M413" s="1" t="s">
        <v>1335</v>
      </c>
    </row>
    <row r="414" spans="2:13" ht="15" hidden="1" customHeight="1" outlineLevel="1" x14ac:dyDescent="0.25">
      <c r="B414" s="1186" t="s">
        <v>830</v>
      </c>
      <c r="C414" s="1143"/>
      <c r="D414" s="1143" t="s">
        <v>1268</v>
      </c>
      <c r="E414" s="1108">
        <v>12.7</v>
      </c>
      <c r="F414" s="1187" t="s">
        <v>1660</v>
      </c>
      <c r="G414" s="1108" t="s">
        <v>747</v>
      </c>
      <c r="H414" s="1187" t="s">
        <v>125</v>
      </c>
      <c r="I414" s="1108"/>
      <c r="J414" s="1148" t="s">
        <v>836</v>
      </c>
      <c r="K414" s="1" t="s">
        <v>125</v>
      </c>
      <c r="M414" s="1" t="s">
        <v>1335</v>
      </c>
    </row>
    <row r="415" spans="2:13" ht="15" hidden="1" customHeight="1" outlineLevel="1" x14ac:dyDescent="0.25">
      <c r="B415" s="1186" t="s">
        <v>830</v>
      </c>
      <c r="C415" s="1143"/>
      <c r="D415" s="1143" t="s">
        <v>1266</v>
      </c>
      <c r="E415" s="1108">
        <v>17.62</v>
      </c>
      <c r="F415" s="1187" t="s">
        <v>1660</v>
      </c>
      <c r="G415" s="1108" t="s">
        <v>747</v>
      </c>
      <c r="H415" s="1187" t="s">
        <v>125</v>
      </c>
      <c r="I415" s="1108"/>
      <c r="J415" s="1148" t="s">
        <v>836</v>
      </c>
      <c r="K415" s="1" t="s">
        <v>125</v>
      </c>
      <c r="M415" s="1" t="s">
        <v>1335</v>
      </c>
    </row>
    <row r="416" spans="2:13" ht="15" hidden="1" customHeight="1" outlineLevel="1" x14ac:dyDescent="0.25">
      <c r="B416" s="1186" t="s">
        <v>830</v>
      </c>
      <c r="C416" s="1143"/>
      <c r="D416" s="1143" t="s">
        <v>1269</v>
      </c>
      <c r="E416" s="1108">
        <v>99.58</v>
      </c>
      <c r="F416" s="1187" t="s">
        <v>1660</v>
      </c>
      <c r="G416" s="1108" t="s">
        <v>747</v>
      </c>
      <c r="H416" s="1187" t="s">
        <v>125</v>
      </c>
      <c r="I416" s="1108"/>
      <c r="J416" s="1148" t="s">
        <v>836</v>
      </c>
      <c r="K416" s="1" t="s">
        <v>125</v>
      </c>
      <c r="M416" s="1" t="s">
        <v>1335</v>
      </c>
    </row>
    <row r="417" spans="2:13" ht="15" hidden="1" customHeight="1" outlineLevel="1" x14ac:dyDescent="0.25">
      <c r="B417" s="1186" t="s">
        <v>830</v>
      </c>
      <c r="C417" s="1143"/>
      <c r="D417" s="1143" t="s">
        <v>1272</v>
      </c>
      <c r="E417" s="1108">
        <v>43.25</v>
      </c>
      <c r="F417" s="1187" t="s">
        <v>1660</v>
      </c>
      <c r="G417" s="1108" t="s">
        <v>747</v>
      </c>
      <c r="H417" s="1187" t="s">
        <v>125</v>
      </c>
      <c r="I417" s="1108"/>
      <c r="J417" s="1148" t="s">
        <v>836</v>
      </c>
      <c r="K417" s="1" t="s">
        <v>125</v>
      </c>
      <c r="M417" s="1" t="s">
        <v>1336</v>
      </c>
    </row>
    <row r="418" spans="2:13" ht="15" hidden="1" customHeight="1" outlineLevel="1" x14ac:dyDescent="0.25">
      <c r="B418" s="1186" t="s">
        <v>830</v>
      </c>
      <c r="C418" s="1143"/>
      <c r="D418" s="1143" t="s">
        <v>1268</v>
      </c>
      <c r="E418" s="1108">
        <v>20.64</v>
      </c>
      <c r="F418" s="1187" t="s">
        <v>1660</v>
      </c>
      <c r="G418" s="1108" t="s">
        <v>747</v>
      </c>
      <c r="H418" s="1187" t="s">
        <v>125</v>
      </c>
      <c r="I418" s="1108"/>
      <c r="J418" s="1148" t="s">
        <v>836</v>
      </c>
      <c r="K418" s="1" t="s">
        <v>125</v>
      </c>
      <c r="M418" s="1" t="s">
        <v>1336</v>
      </c>
    </row>
    <row r="419" spans="2:13" ht="15" hidden="1" customHeight="1" outlineLevel="1" x14ac:dyDescent="0.25">
      <c r="B419" s="1186" t="s">
        <v>830</v>
      </c>
      <c r="C419" s="1143"/>
      <c r="D419" s="1143" t="s">
        <v>1265</v>
      </c>
      <c r="E419" s="1108">
        <v>34.72</v>
      </c>
      <c r="F419" s="1187" t="s">
        <v>1660</v>
      </c>
      <c r="G419" s="1108" t="s">
        <v>747</v>
      </c>
      <c r="H419" s="1187" t="s">
        <v>125</v>
      </c>
      <c r="I419" s="1108"/>
      <c r="J419" s="1148" t="s">
        <v>836</v>
      </c>
      <c r="K419" s="1" t="s">
        <v>125</v>
      </c>
      <c r="M419" s="1" t="s">
        <v>1336</v>
      </c>
    </row>
    <row r="420" spans="2:13" ht="15" hidden="1" customHeight="1" outlineLevel="1" x14ac:dyDescent="0.25">
      <c r="B420" s="1186" t="s">
        <v>830</v>
      </c>
      <c r="C420" s="1143"/>
      <c r="D420" s="1143" t="s">
        <v>1272</v>
      </c>
      <c r="E420" s="1108">
        <v>13.97</v>
      </c>
      <c r="F420" s="1187" t="s">
        <v>1660</v>
      </c>
      <c r="G420" s="1108" t="s">
        <v>747</v>
      </c>
      <c r="H420" s="1187" t="s">
        <v>2220</v>
      </c>
      <c r="I420" s="1108" t="s">
        <v>2224</v>
      </c>
      <c r="J420" s="1148" t="s">
        <v>836</v>
      </c>
      <c r="K420" s="1" t="s">
        <v>125</v>
      </c>
      <c r="M420" s="1" t="s">
        <v>1337</v>
      </c>
    </row>
    <row r="421" spans="2:13" ht="15" hidden="1" customHeight="1" outlineLevel="1" x14ac:dyDescent="0.25">
      <c r="B421" s="1186" t="s">
        <v>830</v>
      </c>
      <c r="C421" s="1143"/>
      <c r="D421" s="1143" t="s">
        <v>1264</v>
      </c>
      <c r="E421" s="1108">
        <v>4.8</v>
      </c>
      <c r="F421" s="1187" t="s">
        <v>1660</v>
      </c>
      <c r="G421" s="1108" t="s">
        <v>747</v>
      </c>
      <c r="H421" s="1187" t="s">
        <v>2220</v>
      </c>
      <c r="I421" s="1108" t="s">
        <v>2226</v>
      </c>
      <c r="J421" s="1148" t="s">
        <v>836</v>
      </c>
      <c r="K421" s="1" t="s">
        <v>125</v>
      </c>
      <c r="M421" s="1" t="s">
        <v>1337</v>
      </c>
    </row>
    <row r="422" spans="2:13" ht="15" hidden="1" customHeight="1" outlineLevel="1" x14ac:dyDescent="0.25">
      <c r="B422" s="1186" t="s">
        <v>830</v>
      </c>
      <c r="C422" s="1143"/>
      <c r="D422" s="1143" t="s">
        <v>1268</v>
      </c>
      <c r="E422" s="1108">
        <v>0.55300000000000005</v>
      </c>
      <c r="F422" s="1187" t="s">
        <v>1660</v>
      </c>
      <c r="G422" s="1108" t="s">
        <v>747</v>
      </c>
      <c r="H422" s="1187" t="s">
        <v>2220</v>
      </c>
      <c r="I422" s="1108" t="s">
        <v>2225</v>
      </c>
      <c r="J422" s="1148" t="s">
        <v>836</v>
      </c>
      <c r="K422" s="1" t="s">
        <v>125</v>
      </c>
      <c r="M422" s="1" t="s">
        <v>1337</v>
      </c>
    </row>
    <row r="423" spans="2:13" ht="15" hidden="1" customHeight="1" outlineLevel="1" x14ac:dyDescent="0.25">
      <c r="B423" s="1186" t="s">
        <v>830</v>
      </c>
      <c r="C423" s="1143"/>
      <c r="D423" s="1143" t="s">
        <v>1272</v>
      </c>
      <c r="E423" s="1108">
        <v>0.55300000000000005</v>
      </c>
      <c r="F423" s="1187" t="s">
        <v>1660</v>
      </c>
      <c r="G423" s="1108" t="s">
        <v>747</v>
      </c>
      <c r="H423" s="1187" t="s">
        <v>125</v>
      </c>
      <c r="I423" s="1108"/>
      <c r="J423" s="1148" t="s">
        <v>836</v>
      </c>
      <c r="K423" s="1" t="s">
        <v>125</v>
      </c>
      <c r="M423" s="1" t="s">
        <v>1338</v>
      </c>
    </row>
    <row r="424" spans="2:13" ht="15" hidden="1" customHeight="1" outlineLevel="1" x14ac:dyDescent="0.25">
      <c r="B424" s="1186" t="s">
        <v>830</v>
      </c>
      <c r="C424" s="1143"/>
      <c r="D424" s="1143" t="s">
        <v>1268</v>
      </c>
      <c r="E424" s="1108">
        <v>0.77400000000000002</v>
      </c>
      <c r="F424" s="1187" t="s">
        <v>1660</v>
      </c>
      <c r="G424" s="1108" t="s">
        <v>747</v>
      </c>
      <c r="H424" s="1187" t="s">
        <v>125</v>
      </c>
      <c r="I424" s="1108"/>
      <c r="J424" s="1148" t="s">
        <v>836</v>
      </c>
      <c r="K424" s="1" t="s">
        <v>125</v>
      </c>
      <c r="M424" s="1" t="s">
        <v>1338</v>
      </c>
    </row>
    <row r="425" spans="2:13" ht="15" hidden="1" customHeight="1" outlineLevel="1" x14ac:dyDescent="0.25">
      <c r="B425" s="1186" t="s">
        <v>830</v>
      </c>
      <c r="C425" s="1143"/>
      <c r="D425" s="1143" t="s">
        <v>1265</v>
      </c>
      <c r="E425" s="1108">
        <v>6.71</v>
      </c>
      <c r="F425" s="1187" t="s">
        <v>1660</v>
      </c>
      <c r="G425" s="1108" t="s">
        <v>747</v>
      </c>
      <c r="H425" s="1187" t="s">
        <v>125</v>
      </c>
      <c r="I425" s="1108"/>
      <c r="J425" s="1148" t="s">
        <v>836</v>
      </c>
      <c r="K425" s="1" t="s">
        <v>125</v>
      </c>
      <c r="M425" s="1" t="s">
        <v>1338</v>
      </c>
    </row>
    <row r="426" spans="2:13" ht="15" hidden="1" customHeight="1" outlineLevel="1" x14ac:dyDescent="0.25">
      <c r="B426" s="1188" t="s">
        <v>830</v>
      </c>
      <c r="C426" s="1150"/>
      <c r="D426" s="1150" t="s">
        <v>1271</v>
      </c>
      <c r="E426" s="1153">
        <v>2227.75</v>
      </c>
      <c r="F426" s="1189" t="s">
        <v>1660</v>
      </c>
      <c r="G426" s="1153" t="s">
        <v>747</v>
      </c>
      <c r="H426" s="1189" t="s">
        <v>125</v>
      </c>
      <c r="I426" s="1153"/>
      <c r="J426" s="1155" t="s">
        <v>836</v>
      </c>
      <c r="K426" s="1" t="s">
        <v>125</v>
      </c>
      <c r="M426" s="1" t="s">
        <v>1338</v>
      </c>
    </row>
    <row r="427" spans="2:13" ht="15" customHeight="1" x14ac:dyDescent="0.25">
      <c r="F427" s="1177" t="s">
        <v>125</v>
      </c>
      <c r="H427" s="1177" t="s">
        <v>125</v>
      </c>
    </row>
    <row r="428" spans="2:13" ht="15" customHeight="1" collapsed="1" x14ac:dyDescent="0.25">
      <c r="B428" s="1164" t="s">
        <v>825</v>
      </c>
      <c r="C428" s="1165"/>
      <c r="D428" s="1165" t="s">
        <v>959</v>
      </c>
      <c r="E428" s="1168">
        <v>46478.33</v>
      </c>
      <c r="F428" s="1178" t="s">
        <v>1660</v>
      </c>
      <c r="G428" s="1168" t="s">
        <v>1688</v>
      </c>
      <c r="H428" s="1178" t="s">
        <v>125</v>
      </c>
      <c r="I428" s="1168"/>
      <c r="J428" s="246" t="s">
        <v>221</v>
      </c>
      <c r="K428" s="292">
        <v>100</v>
      </c>
    </row>
    <row r="429" spans="2:13" ht="15" hidden="1" customHeight="1" outlineLevel="1" x14ac:dyDescent="0.25">
      <c r="B429" s="953" t="s">
        <v>827</v>
      </c>
      <c r="C429" s="1138"/>
      <c r="D429" s="1138" t="s">
        <v>850</v>
      </c>
      <c r="E429" s="954">
        <v>140</v>
      </c>
      <c r="F429" s="1185" t="s">
        <v>125</v>
      </c>
      <c r="G429" s="954"/>
      <c r="H429" s="1185" t="s">
        <v>125</v>
      </c>
      <c r="I429" s="954"/>
      <c r="J429" s="955" t="s">
        <v>186</v>
      </c>
      <c r="K429" s="207" t="s">
        <v>125</v>
      </c>
      <c r="M429" s="1" t="s">
        <v>918</v>
      </c>
    </row>
    <row r="430" spans="2:13" ht="15" hidden="1" customHeight="1" outlineLevel="1" x14ac:dyDescent="0.25">
      <c r="B430" s="1186" t="s">
        <v>827</v>
      </c>
      <c r="C430" s="1143"/>
      <c r="D430" s="1143" t="s">
        <v>984</v>
      </c>
      <c r="E430" s="1108">
        <v>0</v>
      </c>
      <c r="F430" s="1187" t="s">
        <v>125</v>
      </c>
      <c r="G430" s="1108"/>
      <c r="H430" s="1187" t="s">
        <v>125</v>
      </c>
      <c r="I430" s="1108"/>
      <c r="J430" s="1148" t="s">
        <v>182</v>
      </c>
      <c r="K430" s="1" t="s">
        <v>125</v>
      </c>
      <c r="M430" s="1" t="s">
        <v>1339</v>
      </c>
    </row>
    <row r="431" spans="2:13" ht="15" hidden="1" customHeight="1" outlineLevel="1" x14ac:dyDescent="0.25">
      <c r="B431" s="1186" t="s">
        <v>827</v>
      </c>
      <c r="C431" s="1143"/>
      <c r="D431" s="1143" t="s">
        <v>985</v>
      </c>
      <c r="E431" s="1108">
        <v>20.21</v>
      </c>
      <c r="F431" s="1187" t="s">
        <v>125</v>
      </c>
      <c r="G431" s="1108"/>
      <c r="H431" s="1187" t="s">
        <v>125</v>
      </c>
      <c r="I431" s="1108"/>
      <c r="J431" s="1148" t="s">
        <v>182</v>
      </c>
      <c r="K431" s="1" t="s">
        <v>125</v>
      </c>
      <c r="M431" s="1" t="s">
        <v>1339</v>
      </c>
    </row>
    <row r="432" spans="2:13" ht="15" hidden="1" customHeight="1" outlineLevel="1" x14ac:dyDescent="0.25">
      <c r="B432" s="1186" t="s">
        <v>827</v>
      </c>
      <c r="C432" s="1143"/>
      <c r="D432" s="1143" t="s">
        <v>982</v>
      </c>
      <c r="E432" s="1108">
        <v>10000</v>
      </c>
      <c r="F432" s="1187" t="s">
        <v>125</v>
      </c>
      <c r="G432" s="1108"/>
      <c r="H432" s="1187" t="s">
        <v>125</v>
      </c>
      <c r="I432" s="1108"/>
      <c r="J432" s="1148" t="s">
        <v>181</v>
      </c>
      <c r="K432" s="1" t="s">
        <v>125</v>
      </c>
      <c r="M432" s="1" t="s">
        <v>917</v>
      </c>
    </row>
    <row r="433" spans="2:13" ht="15" hidden="1" customHeight="1" outlineLevel="1" x14ac:dyDescent="0.25">
      <c r="B433" s="1186" t="s">
        <v>827</v>
      </c>
      <c r="C433" s="1143"/>
      <c r="D433" s="1143" t="s">
        <v>986</v>
      </c>
      <c r="E433" s="1108">
        <v>265.98</v>
      </c>
      <c r="F433" s="1187" t="s">
        <v>125</v>
      </c>
      <c r="G433" s="1108"/>
      <c r="H433" s="1187" t="s">
        <v>125</v>
      </c>
      <c r="I433" s="1108"/>
      <c r="J433" s="1148" t="s">
        <v>182</v>
      </c>
      <c r="K433" s="1" t="s">
        <v>125</v>
      </c>
      <c r="M433" s="1" t="s">
        <v>1339</v>
      </c>
    </row>
    <row r="434" spans="2:13" ht="15" hidden="1" customHeight="1" outlineLevel="1" x14ac:dyDescent="0.25">
      <c r="B434" s="1186" t="s">
        <v>827</v>
      </c>
      <c r="C434" s="1143"/>
      <c r="D434" s="1143" t="s">
        <v>987</v>
      </c>
      <c r="E434" s="1108">
        <v>286.19</v>
      </c>
      <c r="F434" s="1187" t="s">
        <v>125</v>
      </c>
      <c r="G434" s="1108"/>
      <c r="H434" s="1187" t="s">
        <v>125</v>
      </c>
      <c r="I434" s="1108"/>
      <c r="J434" s="1148" t="s">
        <v>182</v>
      </c>
      <c r="K434" s="1" t="s">
        <v>125</v>
      </c>
      <c r="M434" s="1" t="s">
        <v>1339</v>
      </c>
    </row>
    <row r="435" spans="2:13" ht="15" hidden="1" customHeight="1" outlineLevel="1" x14ac:dyDescent="0.25">
      <c r="B435" s="1186" t="s">
        <v>827</v>
      </c>
      <c r="C435" s="1143"/>
      <c r="D435" s="1143" t="s">
        <v>983</v>
      </c>
      <c r="E435" s="1108">
        <v>0</v>
      </c>
      <c r="F435" s="1187" t="s">
        <v>125</v>
      </c>
      <c r="G435" s="1108"/>
      <c r="H435" s="1187" t="s">
        <v>125</v>
      </c>
      <c r="I435" s="1108"/>
      <c r="J435" s="1148" t="s">
        <v>182</v>
      </c>
      <c r="K435" s="1" t="s">
        <v>125</v>
      </c>
      <c r="M435" s="1" t="s">
        <v>1339</v>
      </c>
    </row>
    <row r="436" spans="2:13" ht="15" hidden="1" customHeight="1" outlineLevel="1" x14ac:dyDescent="0.25">
      <c r="B436" s="1186" t="s">
        <v>830</v>
      </c>
      <c r="C436" s="1143"/>
      <c r="D436" s="1143" t="s">
        <v>834</v>
      </c>
      <c r="E436" s="1108">
        <v>14390.35</v>
      </c>
      <c r="F436" s="1187" t="s">
        <v>1660</v>
      </c>
      <c r="G436" s="1108" t="s">
        <v>718</v>
      </c>
      <c r="H436" s="1187" t="s">
        <v>125</v>
      </c>
      <c r="I436" s="1108"/>
      <c r="J436" s="1148" t="s">
        <v>304</v>
      </c>
      <c r="K436" s="1" t="s">
        <v>125</v>
      </c>
      <c r="M436" s="1" t="s">
        <v>919</v>
      </c>
    </row>
    <row r="437" spans="2:13" ht="15" hidden="1" customHeight="1" outlineLevel="1" x14ac:dyDescent="0.25">
      <c r="B437" s="1186" t="s">
        <v>830</v>
      </c>
      <c r="C437" s="1143"/>
      <c r="D437" s="1143" t="s">
        <v>912</v>
      </c>
      <c r="E437" s="1108">
        <v>145.71</v>
      </c>
      <c r="F437" s="1187" t="s">
        <v>125</v>
      </c>
      <c r="G437" s="1108"/>
      <c r="H437" s="1187" t="s">
        <v>125</v>
      </c>
      <c r="I437" s="1108"/>
      <c r="J437" s="1148" t="s">
        <v>221</v>
      </c>
      <c r="K437" s="1" t="s">
        <v>125</v>
      </c>
      <c r="M437" s="1" t="s">
        <v>1340</v>
      </c>
    </row>
    <row r="438" spans="2:13" ht="15" hidden="1" customHeight="1" outlineLevel="1" x14ac:dyDescent="0.25">
      <c r="B438" s="1186" t="s">
        <v>830</v>
      </c>
      <c r="C438" s="1143"/>
      <c r="D438" s="1143" t="s">
        <v>670</v>
      </c>
      <c r="E438" s="1108">
        <v>60975.61</v>
      </c>
      <c r="F438" s="1187" t="s">
        <v>1660</v>
      </c>
      <c r="G438" s="1108" t="s">
        <v>725</v>
      </c>
      <c r="H438" s="1187" t="s">
        <v>125</v>
      </c>
      <c r="I438" s="1108"/>
      <c r="J438" s="1148" t="s">
        <v>221</v>
      </c>
      <c r="K438" s="1" t="s">
        <v>125</v>
      </c>
    </row>
    <row r="439" spans="2:13" ht="15" hidden="1" customHeight="1" outlineLevel="1" x14ac:dyDescent="0.25">
      <c r="B439" s="1186" t="s">
        <v>830</v>
      </c>
      <c r="C439" s="1143"/>
      <c r="D439" s="1143" t="s">
        <v>653</v>
      </c>
      <c r="E439" s="1108">
        <v>12.46</v>
      </c>
      <c r="F439" s="1187" t="s">
        <v>1660</v>
      </c>
      <c r="G439" s="1108" t="s">
        <v>1661</v>
      </c>
      <c r="H439" s="1187" t="s">
        <v>125</v>
      </c>
      <c r="I439" s="1108"/>
      <c r="J439" s="1148" t="s">
        <v>221</v>
      </c>
      <c r="K439" s="1" t="s">
        <v>125</v>
      </c>
    </row>
    <row r="440" spans="2:13" ht="15" hidden="1" customHeight="1" outlineLevel="1" x14ac:dyDescent="0.25">
      <c r="B440" s="1186" t="s">
        <v>830</v>
      </c>
      <c r="C440" s="1143"/>
      <c r="D440" s="1143" t="s">
        <v>656</v>
      </c>
      <c r="E440" s="1108">
        <v>1.06E-4</v>
      </c>
      <c r="F440" s="1187" t="s">
        <v>1660</v>
      </c>
      <c r="G440" s="1108" t="s">
        <v>1661</v>
      </c>
      <c r="H440" s="1187" t="s">
        <v>125</v>
      </c>
      <c r="I440" s="1108"/>
      <c r="J440" s="1148" t="s">
        <v>221</v>
      </c>
      <c r="K440" s="1" t="s">
        <v>125</v>
      </c>
    </row>
    <row r="441" spans="2:13" ht="15" hidden="1" customHeight="1" outlineLevel="1" x14ac:dyDescent="0.25">
      <c r="B441" s="1186" t="s">
        <v>830</v>
      </c>
      <c r="C441" s="1143"/>
      <c r="D441" s="1143" t="s">
        <v>655</v>
      </c>
      <c r="E441" s="1108">
        <v>4.6299999999999997E-6</v>
      </c>
      <c r="F441" s="1187" t="s">
        <v>1660</v>
      </c>
      <c r="G441" s="1108" t="s">
        <v>1661</v>
      </c>
      <c r="H441" s="1187" t="s">
        <v>125</v>
      </c>
      <c r="I441" s="1108"/>
      <c r="J441" s="1148" t="s">
        <v>221</v>
      </c>
      <c r="K441" s="1" t="s">
        <v>125</v>
      </c>
    </row>
    <row r="442" spans="2:13" ht="15" hidden="1" customHeight="1" outlineLevel="1" x14ac:dyDescent="0.25">
      <c r="B442" s="1186" t="s">
        <v>830</v>
      </c>
      <c r="C442" s="1143"/>
      <c r="D442" s="1143" t="s">
        <v>654</v>
      </c>
      <c r="E442" s="1108">
        <v>5.7</v>
      </c>
      <c r="F442" s="1187" t="s">
        <v>1660</v>
      </c>
      <c r="G442" s="1108" t="s">
        <v>1661</v>
      </c>
      <c r="H442" s="1187" t="s">
        <v>125</v>
      </c>
      <c r="I442" s="1108"/>
      <c r="J442" s="1148" t="s">
        <v>221</v>
      </c>
      <c r="K442" s="1" t="s">
        <v>125</v>
      </c>
    </row>
    <row r="443" spans="2:13" ht="15" hidden="1" customHeight="1" outlineLevel="1" x14ac:dyDescent="0.25">
      <c r="B443" s="1186" t="s">
        <v>830</v>
      </c>
      <c r="C443" s="1143"/>
      <c r="D443" s="1143" t="s">
        <v>652</v>
      </c>
      <c r="E443" s="1108">
        <v>162.13</v>
      </c>
      <c r="F443" s="1187" t="s">
        <v>1660</v>
      </c>
      <c r="G443" s="1108" t="s">
        <v>1661</v>
      </c>
      <c r="H443" s="1187" t="s">
        <v>125</v>
      </c>
      <c r="I443" s="1108"/>
      <c r="J443" s="1148" t="s">
        <v>221</v>
      </c>
      <c r="K443" s="1" t="s">
        <v>125</v>
      </c>
    </row>
    <row r="444" spans="2:13" ht="15" hidden="1" customHeight="1" outlineLevel="1" x14ac:dyDescent="0.25">
      <c r="B444" s="1186" t="s">
        <v>830</v>
      </c>
      <c r="C444" s="1143"/>
      <c r="D444" s="1143" t="s">
        <v>648</v>
      </c>
      <c r="E444" s="1108">
        <v>1.28</v>
      </c>
      <c r="F444" s="1187" t="s">
        <v>1660</v>
      </c>
      <c r="G444" s="1108" t="s">
        <v>1661</v>
      </c>
      <c r="H444" s="1187" t="s">
        <v>125</v>
      </c>
      <c r="I444" s="1108"/>
      <c r="J444" s="1148" t="s">
        <v>221</v>
      </c>
      <c r="K444" s="1" t="s">
        <v>125</v>
      </c>
    </row>
    <row r="445" spans="2:13" ht="15" hidden="1" customHeight="1" outlineLevel="1" x14ac:dyDescent="0.25">
      <c r="B445" s="1186" t="s">
        <v>839</v>
      </c>
      <c r="C445" s="1143"/>
      <c r="D445" s="1143" t="s">
        <v>843</v>
      </c>
      <c r="E445" s="1108">
        <v>3.93</v>
      </c>
      <c r="F445" s="1187" t="s">
        <v>1660</v>
      </c>
      <c r="G445" s="1108" t="s">
        <v>685</v>
      </c>
      <c r="H445" s="1187" t="s">
        <v>1660</v>
      </c>
      <c r="I445" s="1108" t="s">
        <v>1561</v>
      </c>
      <c r="J445" s="1148" t="s">
        <v>221</v>
      </c>
      <c r="K445" s="1" t="s">
        <v>125</v>
      </c>
      <c r="M445" s="1" t="s">
        <v>920</v>
      </c>
    </row>
    <row r="446" spans="2:13" ht="15" hidden="1" customHeight="1" outlineLevel="1" x14ac:dyDescent="0.25">
      <c r="B446" s="1186" t="s">
        <v>839</v>
      </c>
      <c r="C446" s="1143"/>
      <c r="D446" s="1143" t="s">
        <v>843</v>
      </c>
      <c r="E446" s="1108">
        <v>1.67</v>
      </c>
      <c r="F446" s="1187" t="s">
        <v>1660</v>
      </c>
      <c r="G446" s="1108" t="s">
        <v>685</v>
      </c>
      <c r="H446" s="1187" t="s">
        <v>1660</v>
      </c>
      <c r="I446" s="1108" t="s">
        <v>2128</v>
      </c>
      <c r="J446" s="1148" t="s">
        <v>221</v>
      </c>
      <c r="K446" s="1" t="s">
        <v>125</v>
      </c>
      <c r="M446" s="1" t="s">
        <v>921</v>
      </c>
    </row>
    <row r="447" spans="2:13" ht="15" hidden="1" customHeight="1" outlineLevel="1" x14ac:dyDescent="0.25">
      <c r="B447" s="1186" t="s">
        <v>839</v>
      </c>
      <c r="C447" s="1143"/>
      <c r="D447" s="1143" t="s">
        <v>846</v>
      </c>
      <c r="E447" s="1108">
        <v>60.71</v>
      </c>
      <c r="F447" s="1187" t="s">
        <v>1660</v>
      </c>
      <c r="G447" s="1108" t="s">
        <v>685</v>
      </c>
      <c r="H447" s="1187" t="s">
        <v>1660</v>
      </c>
      <c r="I447" s="1108" t="s">
        <v>1564</v>
      </c>
      <c r="J447" s="1148" t="s">
        <v>221</v>
      </c>
      <c r="K447" s="1" t="s">
        <v>125</v>
      </c>
      <c r="M447" s="1" t="s">
        <v>922</v>
      </c>
    </row>
    <row r="448" spans="2:13" ht="15" hidden="1" customHeight="1" outlineLevel="1" x14ac:dyDescent="0.25">
      <c r="B448" s="1186" t="s">
        <v>839</v>
      </c>
      <c r="C448" s="1143"/>
      <c r="D448" s="1143" t="s">
        <v>846</v>
      </c>
      <c r="E448" s="1108">
        <v>5.77</v>
      </c>
      <c r="F448" s="1187" t="s">
        <v>1660</v>
      </c>
      <c r="G448" s="1108" t="s">
        <v>1661</v>
      </c>
      <c r="H448" s="1187" t="s">
        <v>125</v>
      </c>
      <c r="I448" s="1108"/>
      <c r="J448" s="1148" t="s">
        <v>221</v>
      </c>
      <c r="K448" s="1" t="s">
        <v>125</v>
      </c>
      <c r="M448" s="1" t="s">
        <v>923</v>
      </c>
    </row>
    <row r="449" spans="2:13" ht="15" hidden="1" customHeight="1" outlineLevel="1" x14ac:dyDescent="0.25">
      <c r="B449" s="1186" t="s">
        <v>839</v>
      </c>
      <c r="C449" s="1143"/>
      <c r="D449" s="1143" t="s">
        <v>846</v>
      </c>
      <c r="E449" s="1108">
        <v>5.67</v>
      </c>
      <c r="F449" s="1187" t="s">
        <v>125</v>
      </c>
      <c r="G449" s="1108"/>
      <c r="H449" s="1187" t="s">
        <v>125</v>
      </c>
      <c r="I449" s="1108"/>
      <c r="J449" s="1148" t="s">
        <v>221</v>
      </c>
      <c r="K449" s="1" t="s">
        <v>125</v>
      </c>
      <c r="M449" s="1" t="s">
        <v>924</v>
      </c>
    </row>
    <row r="450" spans="2:13" ht="15" hidden="1" customHeight="1" outlineLevel="1" x14ac:dyDescent="0.25">
      <c r="B450" s="1186" t="s">
        <v>839</v>
      </c>
      <c r="C450" s="1143"/>
      <c r="D450" s="1143" t="s">
        <v>925</v>
      </c>
      <c r="E450" s="1108">
        <v>18.350000000000001</v>
      </c>
      <c r="F450" s="1187" t="s">
        <v>1660</v>
      </c>
      <c r="G450" s="1108" t="s">
        <v>1661</v>
      </c>
      <c r="H450" s="1187" t="s">
        <v>125</v>
      </c>
      <c r="I450" s="1108"/>
      <c r="J450" s="1148" t="s">
        <v>221</v>
      </c>
      <c r="K450" s="1" t="s">
        <v>125</v>
      </c>
      <c r="M450" s="1" t="s">
        <v>926</v>
      </c>
    </row>
    <row r="451" spans="2:13" ht="15" hidden="1" customHeight="1" outlineLevel="1" x14ac:dyDescent="0.25">
      <c r="B451" s="1186" t="s">
        <v>839</v>
      </c>
      <c r="C451" s="1143"/>
      <c r="D451" s="1143" t="s">
        <v>843</v>
      </c>
      <c r="E451" s="1108">
        <v>0.36699999999999999</v>
      </c>
      <c r="F451" s="1187" t="s">
        <v>125</v>
      </c>
      <c r="G451" s="1108"/>
      <c r="H451" s="1187" t="s">
        <v>125</v>
      </c>
      <c r="I451" s="1108"/>
      <c r="J451" s="1148" t="s">
        <v>221</v>
      </c>
      <c r="K451" s="1" t="s">
        <v>125</v>
      </c>
      <c r="M451" s="1" t="s">
        <v>927</v>
      </c>
    </row>
    <row r="452" spans="2:13" ht="15" hidden="1" customHeight="1" outlineLevel="1" x14ac:dyDescent="0.25">
      <c r="B452" s="1186" t="s">
        <v>839</v>
      </c>
      <c r="C452" s="1143"/>
      <c r="D452" s="1143" t="s">
        <v>843</v>
      </c>
      <c r="E452" s="1108">
        <v>0.746</v>
      </c>
      <c r="F452" s="1187" t="s">
        <v>1660</v>
      </c>
      <c r="G452" s="1108" t="s">
        <v>1661</v>
      </c>
      <c r="H452" s="1187" t="s">
        <v>1660</v>
      </c>
      <c r="I452" s="1108" t="s">
        <v>1558</v>
      </c>
      <c r="J452" s="1148" t="s">
        <v>221</v>
      </c>
      <c r="K452" s="1" t="s">
        <v>125</v>
      </c>
      <c r="M452" s="1" t="s">
        <v>928</v>
      </c>
    </row>
    <row r="453" spans="2:13" ht="15" hidden="1" customHeight="1" outlineLevel="1" x14ac:dyDescent="0.25">
      <c r="B453" s="1186" t="s">
        <v>839</v>
      </c>
      <c r="C453" s="1143"/>
      <c r="D453" s="1143" t="s">
        <v>843</v>
      </c>
      <c r="E453" s="1108">
        <v>0.156</v>
      </c>
      <c r="F453" s="1187" t="s">
        <v>125</v>
      </c>
      <c r="G453" s="1108"/>
      <c r="H453" s="1187" t="s">
        <v>125</v>
      </c>
      <c r="I453" s="1108"/>
      <c r="J453" s="1148" t="s">
        <v>221</v>
      </c>
      <c r="K453" s="1" t="s">
        <v>125</v>
      </c>
      <c r="M453" s="1" t="s">
        <v>929</v>
      </c>
    </row>
    <row r="454" spans="2:13" ht="15" hidden="1" customHeight="1" outlineLevel="1" x14ac:dyDescent="0.25">
      <c r="B454" s="1186" t="s">
        <v>839</v>
      </c>
      <c r="C454" s="1143"/>
      <c r="D454" s="1143" t="s">
        <v>843</v>
      </c>
      <c r="E454" s="1108">
        <v>0.24199999999999999</v>
      </c>
      <c r="F454" s="1187" t="s">
        <v>1660</v>
      </c>
      <c r="G454" s="1108" t="s">
        <v>1661</v>
      </c>
      <c r="H454" s="1187" t="s">
        <v>1660</v>
      </c>
      <c r="I454" s="1108" t="s">
        <v>2129</v>
      </c>
      <c r="J454" s="1148" t="s">
        <v>221</v>
      </c>
      <c r="K454" s="1" t="s">
        <v>125</v>
      </c>
      <c r="M454" s="1" t="s">
        <v>930</v>
      </c>
    </row>
    <row r="455" spans="2:13" ht="15" hidden="1" customHeight="1" outlineLevel="1" x14ac:dyDescent="0.25">
      <c r="B455" s="1186" t="s">
        <v>839</v>
      </c>
      <c r="C455" s="1143"/>
      <c r="D455" s="1143" t="s">
        <v>996</v>
      </c>
      <c r="E455" s="1108">
        <v>0.56200000000000006</v>
      </c>
      <c r="F455" s="1187" t="s">
        <v>125</v>
      </c>
      <c r="G455" s="1108"/>
      <c r="H455" s="1187" t="s">
        <v>125</v>
      </c>
      <c r="I455" s="1108"/>
      <c r="J455" s="1148" t="s">
        <v>1286</v>
      </c>
      <c r="K455" s="1" t="s">
        <v>125</v>
      </c>
      <c r="M455" s="1" t="s">
        <v>1339</v>
      </c>
    </row>
    <row r="456" spans="2:13" ht="15" hidden="1" customHeight="1" outlineLevel="1" x14ac:dyDescent="0.25">
      <c r="B456" s="1186" t="s">
        <v>931</v>
      </c>
      <c r="C456" s="1143"/>
      <c r="D456" s="1143" t="s">
        <v>932</v>
      </c>
      <c r="E456" s="1108">
        <v>332.14</v>
      </c>
      <c r="F456" s="1187" t="s">
        <v>1660</v>
      </c>
      <c r="G456" s="1108" t="s">
        <v>685</v>
      </c>
      <c r="H456" s="1187" t="s">
        <v>1660</v>
      </c>
      <c r="I456" s="1108" t="s">
        <v>1704</v>
      </c>
      <c r="J456" s="1148" t="s">
        <v>221</v>
      </c>
      <c r="K456" s="1" t="s">
        <v>125</v>
      </c>
      <c r="M456" s="1" t="s">
        <v>933</v>
      </c>
    </row>
    <row r="457" spans="2:13" ht="15" hidden="1" customHeight="1" outlineLevel="1" x14ac:dyDescent="0.25">
      <c r="B457" s="1186" t="s">
        <v>931</v>
      </c>
      <c r="C457" s="1143"/>
      <c r="D457" s="1143" t="s">
        <v>934</v>
      </c>
      <c r="E457" s="1108">
        <v>36.840000000000003</v>
      </c>
      <c r="F457" s="1187" t="s">
        <v>1660</v>
      </c>
      <c r="G457" s="1108" t="s">
        <v>2130</v>
      </c>
      <c r="H457" s="1187" t="s">
        <v>1660</v>
      </c>
      <c r="I457" s="1108" t="s">
        <v>2131</v>
      </c>
      <c r="J457" s="1148" t="s">
        <v>935</v>
      </c>
      <c r="K457" s="1" t="s">
        <v>125</v>
      </c>
      <c r="M457" s="1" t="s">
        <v>936</v>
      </c>
    </row>
    <row r="458" spans="2:13" ht="15" hidden="1" customHeight="1" outlineLevel="1" x14ac:dyDescent="0.25">
      <c r="B458" s="1186" t="s">
        <v>931</v>
      </c>
      <c r="C458" s="1143"/>
      <c r="D458" s="1143" t="s">
        <v>937</v>
      </c>
      <c r="E458" s="1108">
        <v>19754.509999999998</v>
      </c>
      <c r="F458" s="1187" t="s">
        <v>1660</v>
      </c>
      <c r="G458" s="1108" t="s">
        <v>2132</v>
      </c>
      <c r="H458" s="1187" t="s">
        <v>1660</v>
      </c>
      <c r="I458" s="1108" t="s">
        <v>2133</v>
      </c>
      <c r="J458" s="1148" t="s">
        <v>935</v>
      </c>
      <c r="K458" s="1" t="s">
        <v>125</v>
      </c>
      <c r="M458" s="1" t="s">
        <v>936</v>
      </c>
    </row>
    <row r="459" spans="2:13" ht="15" hidden="1" customHeight="1" outlineLevel="1" x14ac:dyDescent="0.25">
      <c r="B459" s="1186" t="s">
        <v>931</v>
      </c>
      <c r="C459" s="1143"/>
      <c r="D459" s="1143" t="s">
        <v>938</v>
      </c>
      <c r="E459" s="1108">
        <v>3590.78</v>
      </c>
      <c r="F459" s="1187" t="s">
        <v>1660</v>
      </c>
      <c r="G459" s="1108" t="s">
        <v>2134</v>
      </c>
      <c r="H459" s="1187" t="s">
        <v>1660</v>
      </c>
      <c r="I459" s="1108" t="s">
        <v>2135</v>
      </c>
      <c r="J459" s="1148" t="s">
        <v>935</v>
      </c>
      <c r="K459" s="1" t="s">
        <v>125</v>
      </c>
      <c r="M459" s="1" t="s">
        <v>936</v>
      </c>
    </row>
    <row r="460" spans="2:13" ht="15" hidden="1" customHeight="1" outlineLevel="1" x14ac:dyDescent="0.25">
      <c r="B460" s="1186" t="s">
        <v>931</v>
      </c>
      <c r="C460" s="1143"/>
      <c r="D460" s="1143" t="s">
        <v>939</v>
      </c>
      <c r="E460" s="1108">
        <v>1.21</v>
      </c>
      <c r="F460" s="1187" t="s">
        <v>1660</v>
      </c>
      <c r="G460" s="1108" t="s">
        <v>2136</v>
      </c>
      <c r="H460" s="1187" t="s">
        <v>1660</v>
      </c>
      <c r="I460" s="1108" t="s">
        <v>2137</v>
      </c>
      <c r="J460" s="1148" t="s">
        <v>935</v>
      </c>
      <c r="K460" s="1" t="s">
        <v>125</v>
      </c>
      <c r="M460" s="1" t="s">
        <v>936</v>
      </c>
    </row>
    <row r="461" spans="2:13" ht="15" hidden="1" customHeight="1" outlineLevel="1" x14ac:dyDescent="0.25">
      <c r="B461" s="1186" t="s">
        <v>931</v>
      </c>
      <c r="C461" s="1143"/>
      <c r="D461" s="1143" t="s">
        <v>940</v>
      </c>
      <c r="E461" s="1108">
        <v>0</v>
      </c>
      <c r="F461" s="1187" t="s">
        <v>125</v>
      </c>
      <c r="G461" s="1108"/>
      <c r="H461" s="1187" t="s">
        <v>125</v>
      </c>
      <c r="I461" s="1108"/>
      <c r="J461" s="1148" t="s">
        <v>935</v>
      </c>
      <c r="K461" s="1" t="s">
        <v>125</v>
      </c>
      <c r="M461" s="1" t="s">
        <v>936</v>
      </c>
    </row>
    <row r="462" spans="2:13" ht="15" hidden="1" customHeight="1" outlineLevel="1" x14ac:dyDescent="0.25">
      <c r="B462" s="1186" t="s">
        <v>931</v>
      </c>
      <c r="C462" s="1143"/>
      <c r="D462" s="1143" t="s">
        <v>941</v>
      </c>
      <c r="E462" s="1108">
        <v>369.29</v>
      </c>
      <c r="F462" s="1187" t="s">
        <v>1660</v>
      </c>
      <c r="G462" s="1108" t="s">
        <v>2138</v>
      </c>
      <c r="H462" s="1187" t="s">
        <v>1660</v>
      </c>
      <c r="I462" s="1108" t="s">
        <v>2139</v>
      </c>
      <c r="J462" s="1148" t="s">
        <v>935</v>
      </c>
      <c r="K462" s="1" t="s">
        <v>125</v>
      </c>
      <c r="M462" s="1" t="s">
        <v>936</v>
      </c>
    </row>
    <row r="463" spans="2:13" ht="15" hidden="1" customHeight="1" outlineLevel="1" x14ac:dyDescent="0.25">
      <c r="B463" s="1186" t="s">
        <v>931</v>
      </c>
      <c r="C463" s="1143"/>
      <c r="D463" s="1143" t="s">
        <v>942</v>
      </c>
      <c r="E463" s="1108">
        <v>30834.69</v>
      </c>
      <c r="F463" s="1187" t="s">
        <v>1660</v>
      </c>
      <c r="G463" s="1108" t="s">
        <v>2140</v>
      </c>
      <c r="H463" s="1187" t="s">
        <v>1660</v>
      </c>
      <c r="I463" s="1108" t="s">
        <v>2141</v>
      </c>
      <c r="J463" s="1148" t="s">
        <v>935</v>
      </c>
      <c r="K463" s="1" t="s">
        <v>125</v>
      </c>
      <c r="M463" s="1" t="s">
        <v>936</v>
      </c>
    </row>
    <row r="464" spans="2:13" ht="15" hidden="1" customHeight="1" outlineLevel="1" x14ac:dyDescent="0.25">
      <c r="B464" s="1186" t="s">
        <v>931</v>
      </c>
      <c r="C464" s="1143"/>
      <c r="D464" s="1143" t="s">
        <v>932</v>
      </c>
      <c r="E464" s="1108">
        <v>31.04</v>
      </c>
      <c r="F464" s="1187" t="s">
        <v>125</v>
      </c>
      <c r="G464" s="1108"/>
      <c r="H464" s="1187" t="s">
        <v>125</v>
      </c>
      <c r="I464" s="1108"/>
      <c r="J464" s="1148" t="s">
        <v>221</v>
      </c>
      <c r="K464" s="1" t="s">
        <v>125</v>
      </c>
      <c r="M464" s="1" t="s">
        <v>943</v>
      </c>
    </row>
    <row r="465" spans="2:13" ht="15" hidden="1" customHeight="1" outlineLevel="1" x14ac:dyDescent="0.25">
      <c r="B465" s="1186" t="s">
        <v>931</v>
      </c>
      <c r="C465" s="1143"/>
      <c r="D465" s="1143" t="s">
        <v>932</v>
      </c>
      <c r="E465" s="1108">
        <v>63.11</v>
      </c>
      <c r="F465" s="1187" t="s">
        <v>1660</v>
      </c>
      <c r="G465" s="1108" t="s">
        <v>1661</v>
      </c>
      <c r="H465" s="1187" t="s">
        <v>1660</v>
      </c>
      <c r="I465" s="1108" t="s">
        <v>1691</v>
      </c>
      <c r="J465" s="1148" t="s">
        <v>221</v>
      </c>
      <c r="K465" s="1" t="s">
        <v>125</v>
      </c>
      <c r="M465" s="1" t="s">
        <v>944</v>
      </c>
    </row>
    <row r="466" spans="2:13" ht="15" hidden="1" customHeight="1" outlineLevel="1" x14ac:dyDescent="0.25">
      <c r="B466" s="1186" t="s">
        <v>945</v>
      </c>
      <c r="C466" s="1143" t="s">
        <v>946</v>
      </c>
      <c r="D466" s="1143" t="s">
        <v>947</v>
      </c>
      <c r="E466" s="1108">
        <v>1.98</v>
      </c>
      <c r="F466" s="1187" t="s">
        <v>1660</v>
      </c>
      <c r="G466" s="1108" t="s">
        <v>686</v>
      </c>
      <c r="H466" s="1187" t="s">
        <v>125</v>
      </c>
      <c r="I466" s="1108"/>
      <c r="J466" s="1148" t="s">
        <v>221</v>
      </c>
      <c r="K466" s="1" t="s">
        <v>125</v>
      </c>
      <c r="M466" s="1" t="s">
        <v>948</v>
      </c>
    </row>
    <row r="467" spans="2:13" ht="15" hidden="1" customHeight="1" outlineLevel="1" x14ac:dyDescent="0.25">
      <c r="B467" s="1186" t="s">
        <v>945</v>
      </c>
      <c r="C467" s="1143" t="s">
        <v>946</v>
      </c>
      <c r="D467" s="1143" t="s">
        <v>934</v>
      </c>
      <c r="E467" s="1108">
        <v>-3419.55</v>
      </c>
      <c r="F467" s="1187" t="s">
        <v>1660</v>
      </c>
      <c r="G467" s="1108" t="s">
        <v>2142</v>
      </c>
      <c r="H467" s="1187" t="s">
        <v>1660</v>
      </c>
      <c r="I467" s="1108" t="s">
        <v>2143</v>
      </c>
      <c r="J467" s="1148" t="s">
        <v>935</v>
      </c>
      <c r="K467" s="1" t="s">
        <v>125</v>
      </c>
      <c r="M467" s="1" t="s">
        <v>949</v>
      </c>
    </row>
    <row r="468" spans="2:13" ht="15" hidden="1" customHeight="1" outlineLevel="1" x14ac:dyDescent="0.25">
      <c r="B468" s="1186" t="s">
        <v>945</v>
      </c>
      <c r="C468" s="1143" t="s">
        <v>946</v>
      </c>
      <c r="D468" s="1143" t="s">
        <v>937</v>
      </c>
      <c r="E468" s="1108">
        <v>27009.09</v>
      </c>
      <c r="F468" s="1187" t="s">
        <v>1660</v>
      </c>
      <c r="G468" s="1108" t="s">
        <v>2144</v>
      </c>
      <c r="H468" s="1187" t="s">
        <v>1660</v>
      </c>
      <c r="I468" s="1108" t="s">
        <v>2145</v>
      </c>
      <c r="J468" s="1148" t="s">
        <v>935</v>
      </c>
      <c r="K468" s="1" t="s">
        <v>125</v>
      </c>
      <c r="M468" s="1" t="s">
        <v>949</v>
      </c>
    </row>
    <row r="469" spans="2:13" ht="15" hidden="1" customHeight="1" outlineLevel="1" x14ac:dyDescent="0.25">
      <c r="B469" s="1186" t="s">
        <v>945</v>
      </c>
      <c r="C469" s="1143" t="s">
        <v>946</v>
      </c>
      <c r="D469" s="1143" t="s">
        <v>938</v>
      </c>
      <c r="E469" s="1108">
        <v>908552.6</v>
      </c>
      <c r="F469" s="1187" t="s">
        <v>1660</v>
      </c>
      <c r="G469" s="1108" t="s">
        <v>2146</v>
      </c>
      <c r="H469" s="1187" t="s">
        <v>1660</v>
      </c>
      <c r="I469" s="1108" t="s">
        <v>2147</v>
      </c>
      <c r="J469" s="1148" t="s">
        <v>935</v>
      </c>
      <c r="K469" s="1" t="s">
        <v>125</v>
      </c>
      <c r="M469" s="1" t="s">
        <v>949</v>
      </c>
    </row>
    <row r="470" spans="2:13" ht="15" hidden="1" customHeight="1" outlineLevel="1" x14ac:dyDescent="0.25">
      <c r="B470" s="1186" t="s">
        <v>945</v>
      </c>
      <c r="C470" s="1143" t="s">
        <v>946</v>
      </c>
      <c r="D470" s="1143" t="s">
        <v>939</v>
      </c>
      <c r="E470" s="1108">
        <v>543.29999999999995</v>
      </c>
      <c r="F470" s="1187" t="s">
        <v>1660</v>
      </c>
      <c r="G470" s="1108" t="s">
        <v>2148</v>
      </c>
      <c r="H470" s="1187" t="s">
        <v>1660</v>
      </c>
      <c r="I470" s="1108" t="s">
        <v>2149</v>
      </c>
      <c r="J470" s="1148" t="s">
        <v>935</v>
      </c>
      <c r="K470" s="1" t="s">
        <v>125</v>
      </c>
      <c r="M470" s="1" t="s">
        <v>949</v>
      </c>
    </row>
    <row r="471" spans="2:13" ht="15" hidden="1" customHeight="1" outlineLevel="1" x14ac:dyDescent="0.25">
      <c r="B471" s="1186" t="s">
        <v>945</v>
      </c>
      <c r="C471" s="1143" t="s">
        <v>946</v>
      </c>
      <c r="D471" s="1143" t="s">
        <v>940</v>
      </c>
      <c r="E471" s="1108">
        <v>19396.21</v>
      </c>
      <c r="F471" s="1187" t="s">
        <v>1660</v>
      </c>
      <c r="G471" s="1108" t="s">
        <v>2150</v>
      </c>
      <c r="H471" s="1187" t="s">
        <v>1660</v>
      </c>
      <c r="I471" s="1108" t="s">
        <v>2151</v>
      </c>
      <c r="J471" s="1148" t="s">
        <v>935</v>
      </c>
      <c r="K471" s="1" t="s">
        <v>125</v>
      </c>
      <c r="M471" s="1" t="s">
        <v>949</v>
      </c>
    </row>
    <row r="472" spans="2:13" ht="15" hidden="1" customHeight="1" outlineLevel="1" x14ac:dyDescent="0.25">
      <c r="B472" s="1186" t="s">
        <v>945</v>
      </c>
      <c r="C472" s="1143" t="s">
        <v>946</v>
      </c>
      <c r="D472" s="1143" t="s">
        <v>941</v>
      </c>
      <c r="E472" s="1108">
        <v>18407.07</v>
      </c>
      <c r="F472" s="1187" t="s">
        <v>1660</v>
      </c>
      <c r="G472" s="1108" t="s">
        <v>2152</v>
      </c>
      <c r="H472" s="1187" t="s">
        <v>1660</v>
      </c>
      <c r="I472" s="1108" t="s">
        <v>2153</v>
      </c>
      <c r="J472" s="1148" t="s">
        <v>935</v>
      </c>
      <c r="K472" s="1" t="s">
        <v>125</v>
      </c>
      <c r="M472" s="1" t="s">
        <v>949</v>
      </c>
    </row>
    <row r="473" spans="2:13" ht="15" hidden="1" customHeight="1" outlineLevel="1" x14ac:dyDescent="0.25">
      <c r="B473" s="1186" t="s">
        <v>945</v>
      </c>
      <c r="C473" s="1143" t="s">
        <v>946</v>
      </c>
      <c r="D473" s="1143" t="s">
        <v>942</v>
      </c>
      <c r="E473" s="1108">
        <v>975073.7</v>
      </c>
      <c r="F473" s="1187" t="s">
        <v>1660</v>
      </c>
      <c r="G473" s="1108" t="s">
        <v>2154</v>
      </c>
      <c r="H473" s="1187" t="s">
        <v>1660</v>
      </c>
      <c r="I473" s="1108" t="s">
        <v>2155</v>
      </c>
      <c r="J473" s="1148" t="s">
        <v>935</v>
      </c>
      <c r="K473" s="1" t="s">
        <v>125</v>
      </c>
      <c r="M473" s="1" t="s">
        <v>949</v>
      </c>
    </row>
    <row r="474" spans="2:13" ht="15" hidden="1" customHeight="1" outlineLevel="1" x14ac:dyDescent="0.25">
      <c r="B474" s="1186" t="s">
        <v>945</v>
      </c>
      <c r="C474" s="1143" t="s">
        <v>946</v>
      </c>
      <c r="D474" s="1143" t="s">
        <v>947</v>
      </c>
      <c r="E474" s="1108">
        <v>0.16</v>
      </c>
      <c r="F474" s="1187" t="s">
        <v>1660</v>
      </c>
      <c r="G474" s="1108" t="s">
        <v>1661</v>
      </c>
      <c r="H474" s="1187" t="s">
        <v>125</v>
      </c>
      <c r="I474" s="1108"/>
      <c r="J474" s="1148" t="s">
        <v>221</v>
      </c>
      <c r="K474" s="1" t="s">
        <v>125</v>
      </c>
      <c r="M474" s="1" t="s">
        <v>950</v>
      </c>
    </row>
    <row r="475" spans="2:13" ht="15" hidden="1" customHeight="1" outlineLevel="1" x14ac:dyDescent="0.25">
      <c r="B475" s="1188" t="s">
        <v>945</v>
      </c>
      <c r="C475" s="1150" t="s">
        <v>946</v>
      </c>
      <c r="D475" s="1150" t="s">
        <v>951</v>
      </c>
      <c r="E475" s="1153">
        <v>1.44</v>
      </c>
      <c r="F475" s="1189" t="s">
        <v>1660</v>
      </c>
      <c r="G475" s="1153" t="s">
        <v>1661</v>
      </c>
      <c r="H475" s="1189" t="s">
        <v>125</v>
      </c>
      <c r="I475" s="1153"/>
      <c r="J475" s="1155" t="s">
        <v>221</v>
      </c>
      <c r="K475" s="1" t="s">
        <v>125</v>
      </c>
      <c r="M475" s="1" t="s">
        <v>952</v>
      </c>
    </row>
    <row r="476" spans="2:13" ht="15" customHeight="1" x14ac:dyDescent="0.25">
      <c r="F476" s="1177" t="s">
        <v>125</v>
      </c>
      <c r="H476" s="1177" t="s">
        <v>125</v>
      </c>
    </row>
    <row r="477" spans="2:13" ht="15" customHeight="1" collapsed="1" x14ac:dyDescent="0.25">
      <c r="B477" s="1164" t="s">
        <v>825</v>
      </c>
      <c r="C477" s="1165"/>
      <c r="D477" s="1165" t="s">
        <v>1311</v>
      </c>
      <c r="E477" s="1168">
        <v>135.4</v>
      </c>
      <c r="F477" s="1178" t="s">
        <v>125</v>
      </c>
      <c r="G477" s="1168"/>
      <c r="H477" s="1178" t="s">
        <v>125</v>
      </c>
      <c r="I477" s="1168"/>
      <c r="J477" s="246" t="s">
        <v>221</v>
      </c>
      <c r="K477" s="292">
        <v>100</v>
      </c>
    </row>
    <row r="478" spans="2:13" ht="15" hidden="1" customHeight="1" outlineLevel="1" x14ac:dyDescent="0.25">
      <c r="B478" s="953" t="s">
        <v>830</v>
      </c>
      <c r="C478" s="1138"/>
      <c r="D478" s="1138" t="s">
        <v>1341</v>
      </c>
      <c r="E478" s="954">
        <v>650</v>
      </c>
      <c r="F478" s="1185" t="s">
        <v>125</v>
      </c>
      <c r="G478" s="954"/>
      <c r="H478" s="1185" t="s">
        <v>125</v>
      </c>
      <c r="I478" s="954"/>
      <c r="J478" s="955" t="s">
        <v>221</v>
      </c>
      <c r="K478" s="207"/>
    </row>
    <row r="479" spans="2:13" ht="15" hidden="1" customHeight="1" outlineLevel="1" x14ac:dyDescent="0.25">
      <c r="B479" s="1186" t="s">
        <v>830</v>
      </c>
      <c r="C479" s="1143"/>
      <c r="D479" s="1143" t="s">
        <v>1054</v>
      </c>
      <c r="E479" s="1108">
        <v>25.5</v>
      </c>
      <c r="F479" s="1187" t="s">
        <v>125</v>
      </c>
      <c r="G479" s="1108"/>
      <c r="H479" s="1187" t="s">
        <v>125</v>
      </c>
      <c r="I479" s="1108"/>
      <c r="J479" s="1148" t="s">
        <v>304</v>
      </c>
    </row>
    <row r="480" spans="2:13" ht="15" hidden="1" customHeight="1" outlineLevel="1" x14ac:dyDescent="0.25">
      <c r="B480" s="1186" t="s">
        <v>830</v>
      </c>
      <c r="C480" s="1143"/>
      <c r="D480" s="1143" t="s">
        <v>1278</v>
      </c>
      <c r="E480" s="1108">
        <v>1192</v>
      </c>
      <c r="F480" s="1187" t="s">
        <v>125</v>
      </c>
      <c r="G480" s="1108"/>
      <c r="H480" s="1187" t="s">
        <v>125</v>
      </c>
      <c r="I480" s="1108"/>
      <c r="J480" s="1148" t="s">
        <v>304</v>
      </c>
    </row>
    <row r="481" spans="2:13" ht="15" hidden="1" customHeight="1" outlineLevel="1" x14ac:dyDescent="0.25">
      <c r="B481" s="1188" t="s">
        <v>1281</v>
      </c>
      <c r="C481" s="1150"/>
      <c r="D481" s="1150" t="s">
        <v>1283</v>
      </c>
      <c r="E481" s="1153">
        <v>514.6</v>
      </c>
      <c r="F481" s="1189" t="s">
        <v>125</v>
      </c>
      <c r="G481" s="1153"/>
      <c r="H481" s="1189" t="s">
        <v>125</v>
      </c>
      <c r="I481" s="1153"/>
      <c r="J481" s="1155" t="s">
        <v>221</v>
      </c>
    </row>
    <row r="482" spans="2:13" ht="15" customHeight="1" x14ac:dyDescent="0.25">
      <c r="F482" s="1177" t="s">
        <v>125</v>
      </c>
      <c r="H482" s="1177" t="s">
        <v>125</v>
      </c>
    </row>
    <row r="483" spans="2:13" ht="15" customHeight="1" x14ac:dyDescent="0.25">
      <c r="B483" s="1127" t="s">
        <v>825</v>
      </c>
      <c r="C483" s="1128"/>
      <c r="D483" s="1128" t="s">
        <v>1305</v>
      </c>
      <c r="E483" s="1130">
        <v>2077.7800000000002</v>
      </c>
      <c r="F483" s="1172" t="s">
        <v>125</v>
      </c>
      <c r="G483" s="1130"/>
      <c r="H483" s="1172" t="s">
        <v>125</v>
      </c>
      <c r="I483" s="1130"/>
      <c r="J483" s="208" t="s">
        <v>221</v>
      </c>
      <c r="K483" s="898">
        <v>96.2</v>
      </c>
    </row>
    <row r="484" spans="2:13" ht="15" customHeight="1" collapsed="1" x14ac:dyDescent="0.25">
      <c r="B484" s="1132" t="s">
        <v>825</v>
      </c>
      <c r="C484" s="1107"/>
      <c r="D484" s="1107" t="s">
        <v>1341</v>
      </c>
      <c r="E484" s="1135">
        <v>650</v>
      </c>
      <c r="F484" s="1173" t="s">
        <v>125</v>
      </c>
      <c r="G484" s="1135"/>
      <c r="H484" s="1173" t="s">
        <v>125</v>
      </c>
      <c r="I484" s="1135"/>
      <c r="J484" s="211" t="s">
        <v>221</v>
      </c>
      <c r="K484" s="531">
        <v>3.8</v>
      </c>
    </row>
    <row r="485" spans="2:13" ht="15" hidden="1" customHeight="1" outlineLevel="1" x14ac:dyDescent="0.25">
      <c r="B485" s="953" t="s">
        <v>827</v>
      </c>
      <c r="C485" s="1138"/>
      <c r="D485" s="1138" t="s">
        <v>980</v>
      </c>
      <c r="E485" s="954">
        <v>1.73</v>
      </c>
      <c r="F485" s="1185" t="s">
        <v>125</v>
      </c>
      <c r="G485" s="954"/>
      <c r="H485" s="1185" t="s">
        <v>125</v>
      </c>
      <c r="I485" s="954"/>
      <c r="J485" s="955" t="s">
        <v>186</v>
      </c>
      <c r="K485" s="207"/>
    </row>
    <row r="486" spans="2:13" ht="15" hidden="1" customHeight="1" outlineLevel="1" x14ac:dyDescent="0.25">
      <c r="B486" s="1186" t="s">
        <v>830</v>
      </c>
      <c r="C486" s="1143"/>
      <c r="D486" s="1143" t="s">
        <v>861</v>
      </c>
      <c r="E486" s="1108">
        <v>1000</v>
      </c>
      <c r="F486" s="1187" t="s">
        <v>125</v>
      </c>
      <c r="G486" s="1108"/>
      <c r="H486" s="1187" t="s">
        <v>125</v>
      </c>
      <c r="I486" s="1108"/>
      <c r="J486" s="1148" t="s">
        <v>221</v>
      </c>
    </row>
    <row r="487" spans="2:13" ht="15" hidden="1" customHeight="1" outlineLevel="1" x14ac:dyDescent="0.25">
      <c r="B487" s="1186" t="s">
        <v>830</v>
      </c>
      <c r="C487" s="1143"/>
      <c r="D487" s="1143" t="s">
        <v>1342</v>
      </c>
      <c r="E487" s="1108">
        <v>3.46</v>
      </c>
      <c r="F487" s="1187" t="s">
        <v>125</v>
      </c>
      <c r="G487" s="1108"/>
      <c r="H487" s="1187" t="s">
        <v>125</v>
      </c>
      <c r="I487" s="1108"/>
      <c r="J487" s="1148" t="s">
        <v>221</v>
      </c>
    </row>
    <row r="488" spans="2:13" ht="15" hidden="1" customHeight="1" outlineLevel="1" x14ac:dyDescent="0.25">
      <c r="B488" s="1186" t="s">
        <v>830</v>
      </c>
      <c r="C488" s="1143"/>
      <c r="D488" s="1143" t="s">
        <v>1054</v>
      </c>
      <c r="E488" s="1108">
        <v>31</v>
      </c>
      <c r="F488" s="1187" t="s">
        <v>125</v>
      </c>
      <c r="G488" s="1108"/>
      <c r="H488" s="1187" t="s">
        <v>125</v>
      </c>
      <c r="I488" s="1108"/>
      <c r="J488" s="1148" t="s">
        <v>304</v>
      </c>
    </row>
    <row r="489" spans="2:13" ht="15" hidden="1" customHeight="1" outlineLevel="1" x14ac:dyDescent="0.25">
      <c r="B489" s="1188" t="s">
        <v>830</v>
      </c>
      <c r="C489" s="1150"/>
      <c r="D489" s="1150" t="s">
        <v>1278</v>
      </c>
      <c r="E489" s="1153">
        <v>192</v>
      </c>
      <c r="F489" s="1189" t="s">
        <v>125</v>
      </c>
      <c r="G489" s="1153"/>
      <c r="H489" s="1189" t="s">
        <v>125</v>
      </c>
      <c r="I489" s="1153"/>
      <c r="J489" s="1155" t="s">
        <v>304</v>
      </c>
    </row>
    <row r="490" spans="2:13" ht="15" customHeight="1" x14ac:dyDescent="0.25">
      <c r="F490" s="1177" t="s">
        <v>125</v>
      </c>
      <c r="H490" s="1177" t="s">
        <v>125</v>
      </c>
    </row>
    <row r="491" spans="2:13" ht="15" customHeight="1" collapsed="1" x14ac:dyDescent="0.25">
      <c r="B491" s="1164" t="s">
        <v>825</v>
      </c>
      <c r="C491" s="1165"/>
      <c r="D491" s="1165" t="s">
        <v>1352</v>
      </c>
      <c r="E491" s="1168">
        <v>1</v>
      </c>
      <c r="F491" s="1178" t="s">
        <v>125</v>
      </c>
      <c r="G491" s="1168"/>
      <c r="H491" s="1178" t="s">
        <v>125</v>
      </c>
      <c r="I491" s="1168"/>
      <c r="J491" s="246" t="s">
        <v>1286</v>
      </c>
      <c r="K491" s="292">
        <v>100</v>
      </c>
    </row>
    <row r="492" spans="2:13" ht="15" hidden="1" customHeight="1" outlineLevel="1" x14ac:dyDescent="0.25">
      <c r="B492" s="953" t="s">
        <v>830</v>
      </c>
      <c r="C492" s="1138"/>
      <c r="D492" s="1138" t="s">
        <v>1248</v>
      </c>
      <c r="E492" s="954">
        <v>1</v>
      </c>
      <c r="F492" s="1185" t="s">
        <v>125</v>
      </c>
      <c r="G492" s="954"/>
      <c r="H492" s="1185" t="s">
        <v>125</v>
      </c>
      <c r="I492" s="954"/>
      <c r="J492" s="955" t="s">
        <v>1286</v>
      </c>
      <c r="K492" s="207" t="s">
        <v>125</v>
      </c>
      <c r="M492" s="1" t="s">
        <v>1294</v>
      </c>
    </row>
    <row r="493" spans="2:13" ht="15" hidden="1" customHeight="1" outlineLevel="1" x14ac:dyDescent="0.25">
      <c r="B493" s="1186" t="s">
        <v>830</v>
      </c>
      <c r="C493" s="1143"/>
      <c r="D493" s="1143" t="s">
        <v>1272</v>
      </c>
      <c r="E493" s="1108">
        <v>55.89</v>
      </c>
      <c r="F493" s="1187" t="s">
        <v>125</v>
      </c>
      <c r="G493" s="1108"/>
      <c r="H493" s="1187" t="s">
        <v>125</v>
      </c>
      <c r="I493" s="1108"/>
      <c r="J493" s="1148" t="s">
        <v>836</v>
      </c>
      <c r="K493" s="1" t="s">
        <v>125</v>
      </c>
      <c r="M493" s="1" t="s">
        <v>1295</v>
      </c>
    </row>
    <row r="494" spans="2:13" ht="15" hidden="1" customHeight="1" outlineLevel="1" x14ac:dyDescent="0.25">
      <c r="B494" s="1186" t="s">
        <v>830</v>
      </c>
      <c r="C494" s="1143"/>
      <c r="D494" s="1143" t="s">
        <v>1268</v>
      </c>
      <c r="E494" s="1108">
        <v>2.21</v>
      </c>
      <c r="F494" s="1187" t="s">
        <v>125</v>
      </c>
      <c r="G494" s="1108"/>
      <c r="H494" s="1187" t="s">
        <v>125</v>
      </c>
      <c r="I494" s="1108"/>
      <c r="J494" s="1148" t="s">
        <v>836</v>
      </c>
      <c r="K494" s="1" t="s">
        <v>125</v>
      </c>
      <c r="M494" s="1" t="s">
        <v>1295</v>
      </c>
    </row>
    <row r="495" spans="2:13" ht="15" hidden="1" customHeight="1" outlineLevel="1" x14ac:dyDescent="0.25">
      <c r="B495" s="1188" t="s">
        <v>830</v>
      </c>
      <c r="C495" s="1150"/>
      <c r="D495" s="1150" t="s">
        <v>1264</v>
      </c>
      <c r="E495" s="1153">
        <v>19.18</v>
      </c>
      <c r="F495" s="1189" t="s">
        <v>125</v>
      </c>
      <c r="G495" s="1153"/>
      <c r="H495" s="1189" t="s">
        <v>125</v>
      </c>
      <c r="I495" s="1153"/>
      <c r="J495" s="1155" t="s">
        <v>836</v>
      </c>
      <c r="K495" s="1" t="s">
        <v>125</v>
      </c>
      <c r="M495" s="1" t="s">
        <v>1295</v>
      </c>
    </row>
    <row r="496" spans="2:13" ht="15" customHeight="1" x14ac:dyDescent="0.25">
      <c r="F496" s="1177" t="s">
        <v>125</v>
      </c>
      <c r="H496" s="1177" t="s">
        <v>125</v>
      </c>
    </row>
    <row r="497" spans="2:11" ht="15" customHeight="1" collapsed="1" x14ac:dyDescent="0.25">
      <c r="B497" s="1164" t="s">
        <v>825</v>
      </c>
      <c r="C497" s="1165"/>
      <c r="D497" s="1165" t="s">
        <v>886</v>
      </c>
      <c r="E497" s="1168">
        <v>1</v>
      </c>
      <c r="F497" s="1178" t="s">
        <v>1660</v>
      </c>
      <c r="G497" s="1168" t="s">
        <v>743</v>
      </c>
      <c r="H497" s="1178" t="s">
        <v>125</v>
      </c>
      <c r="I497" s="1168"/>
      <c r="J497" s="246" t="s">
        <v>221</v>
      </c>
      <c r="K497" s="292">
        <v>100</v>
      </c>
    </row>
    <row r="498" spans="2:11" ht="15" hidden="1" customHeight="1" outlineLevel="1" x14ac:dyDescent="0.25">
      <c r="B498" s="953" t="s">
        <v>830</v>
      </c>
      <c r="C498" s="1138"/>
      <c r="D498" s="1138" t="s">
        <v>1353</v>
      </c>
      <c r="E498" s="954">
        <v>2.2700000000000001E-2</v>
      </c>
      <c r="F498" s="1185" t="s">
        <v>1660</v>
      </c>
      <c r="G498" s="954" t="s">
        <v>747</v>
      </c>
      <c r="H498" s="1185" t="s">
        <v>125</v>
      </c>
      <c r="I498" s="954"/>
      <c r="J498" s="955" t="s">
        <v>221</v>
      </c>
      <c r="K498" s="207"/>
    </row>
    <row r="499" spans="2:11" ht="15" hidden="1" customHeight="1" outlineLevel="1" x14ac:dyDescent="0.25">
      <c r="B499" s="1186" t="s">
        <v>830</v>
      </c>
      <c r="C499" s="1143"/>
      <c r="D499" s="1143" t="s">
        <v>1354</v>
      </c>
      <c r="E499" s="1108">
        <v>1.43E-2</v>
      </c>
      <c r="F499" s="1187" t="s">
        <v>1660</v>
      </c>
      <c r="G499" s="1108" t="s">
        <v>747</v>
      </c>
      <c r="H499" s="1187" t="s">
        <v>125</v>
      </c>
      <c r="I499" s="1108"/>
      <c r="J499" s="1148" t="s">
        <v>221</v>
      </c>
    </row>
    <row r="500" spans="2:11" ht="15" hidden="1" customHeight="1" outlineLevel="1" x14ac:dyDescent="0.25">
      <c r="B500" s="1186" t="s">
        <v>830</v>
      </c>
      <c r="C500" s="1143"/>
      <c r="D500" s="1143" t="s">
        <v>1299</v>
      </c>
      <c r="E500" s="1108">
        <v>0.14299999999999999</v>
      </c>
      <c r="F500" s="1187" t="s">
        <v>125</v>
      </c>
      <c r="G500" s="1108"/>
      <c r="H500" s="1187" t="s">
        <v>125</v>
      </c>
      <c r="I500" s="1108"/>
      <c r="J500" s="1148" t="s">
        <v>221</v>
      </c>
    </row>
    <row r="501" spans="2:11" ht="15" hidden="1" customHeight="1" outlineLevel="1" x14ac:dyDescent="0.25">
      <c r="B501" s="1186" t="s">
        <v>830</v>
      </c>
      <c r="C501" s="1143"/>
      <c r="D501" s="1143" t="s">
        <v>1355</v>
      </c>
      <c r="E501" s="1108">
        <v>0.113</v>
      </c>
      <c r="F501" s="1187" t="s">
        <v>1660</v>
      </c>
      <c r="G501" s="1108" t="s">
        <v>747</v>
      </c>
      <c r="H501" s="1187" t="s">
        <v>125</v>
      </c>
      <c r="I501" s="1108"/>
      <c r="J501" s="1148" t="s">
        <v>221</v>
      </c>
    </row>
    <row r="502" spans="2:11" ht="15" hidden="1" customHeight="1" outlineLevel="1" x14ac:dyDescent="0.25">
      <c r="B502" s="1186" t="s">
        <v>830</v>
      </c>
      <c r="C502" s="1143"/>
      <c r="D502" s="1143" t="s">
        <v>1356</v>
      </c>
      <c r="E502" s="1108">
        <v>1.52E-2</v>
      </c>
      <c r="F502" s="1187" t="s">
        <v>1660</v>
      </c>
      <c r="G502" s="1108" t="s">
        <v>747</v>
      </c>
      <c r="H502" s="1187" t="s">
        <v>125</v>
      </c>
      <c r="I502" s="1108"/>
      <c r="J502" s="1148" t="s">
        <v>221</v>
      </c>
    </row>
    <row r="503" spans="2:11" ht="15" hidden="1" customHeight="1" outlineLevel="1" x14ac:dyDescent="0.25">
      <c r="B503" s="1186" t="s">
        <v>830</v>
      </c>
      <c r="C503" s="1143"/>
      <c r="D503" s="1143" t="s">
        <v>1357</v>
      </c>
      <c r="E503" s="1108">
        <v>0.46700000000000003</v>
      </c>
      <c r="F503" s="1187" t="s">
        <v>1660</v>
      </c>
      <c r="G503" s="1108" t="s">
        <v>747</v>
      </c>
      <c r="H503" s="1187" t="s">
        <v>125</v>
      </c>
      <c r="I503" s="1108"/>
      <c r="J503" s="1148" t="s">
        <v>221</v>
      </c>
    </row>
    <row r="504" spans="2:11" ht="15" hidden="1" customHeight="1" outlineLevel="1" x14ac:dyDescent="0.25">
      <c r="B504" s="1186" t="s">
        <v>830</v>
      </c>
      <c r="C504" s="1143"/>
      <c r="D504" s="1143" t="s">
        <v>1358</v>
      </c>
      <c r="E504" s="1108">
        <v>9.69E-2</v>
      </c>
      <c r="F504" s="1187" t="s">
        <v>1660</v>
      </c>
      <c r="G504" s="1108" t="s">
        <v>747</v>
      </c>
      <c r="H504" s="1187" t="s">
        <v>125</v>
      </c>
      <c r="I504" s="1108"/>
      <c r="J504" s="1148" t="s">
        <v>221</v>
      </c>
    </row>
    <row r="505" spans="2:11" ht="15" hidden="1" customHeight="1" outlineLevel="1" x14ac:dyDescent="0.25">
      <c r="B505" s="1186" t="s">
        <v>830</v>
      </c>
      <c r="C505" s="1143"/>
      <c r="D505" s="1143" t="s">
        <v>1359</v>
      </c>
      <c r="E505" s="1108">
        <v>6.8399999999999997E-3</v>
      </c>
      <c r="F505" s="1187" t="s">
        <v>1660</v>
      </c>
      <c r="G505" s="1108" t="s">
        <v>747</v>
      </c>
      <c r="H505" s="1187" t="s">
        <v>125</v>
      </c>
      <c r="I505" s="1108"/>
      <c r="J505" s="1148" t="s">
        <v>221</v>
      </c>
    </row>
    <row r="506" spans="2:11" ht="15" hidden="1" customHeight="1" outlineLevel="1" x14ac:dyDescent="0.25">
      <c r="B506" s="1186" t="s">
        <v>830</v>
      </c>
      <c r="C506" s="1143"/>
      <c r="D506" s="1143" t="s">
        <v>1360</v>
      </c>
      <c r="E506" s="1108">
        <v>2.9499999999999998E-2</v>
      </c>
      <c r="F506" s="1187" t="s">
        <v>1660</v>
      </c>
      <c r="G506" s="1108" t="s">
        <v>747</v>
      </c>
      <c r="H506" s="1187" t="s">
        <v>125</v>
      </c>
      <c r="I506" s="1108"/>
      <c r="J506" s="1148" t="s">
        <v>221</v>
      </c>
    </row>
    <row r="507" spans="2:11" ht="15" hidden="1" customHeight="1" outlineLevel="1" x14ac:dyDescent="0.25">
      <c r="B507" s="1186" t="s">
        <v>830</v>
      </c>
      <c r="C507" s="1143"/>
      <c r="D507" s="1143" t="s">
        <v>1361</v>
      </c>
      <c r="E507" s="1108">
        <v>1.29E-2</v>
      </c>
      <c r="F507" s="1187" t="s">
        <v>1660</v>
      </c>
      <c r="G507" s="1108" t="s">
        <v>747</v>
      </c>
      <c r="H507" s="1187" t="s">
        <v>125</v>
      </c>
      <c r="I507" s="1108"/>
      <c r="J507" s="1148" t="s">
        <v>221</v>
      </c>
    </row>
    <row r="508" spans="2:11" ht="15" hidden="1" customHeight="1" outlineLevel="1" x14ac:dyDescent="0.25">
      <c r="B508" s="1186" t="s">
        <v>830</v>
      </c>
      <c r="C508" s="1143"/>
      <c r="D508" s="1143" t="s">
        <v>1362</v>
      </c>
      <c r="E508" s="1108">
        <v>7.8200000000000006E-2</v>
      </c>
      <c r="F508" s="1187" t="s">
        <v>1660</v>
      </c>
      <c r="G508" s="1108" t="s">
        <v>747</v>
      </c>
      <c r="H508" s="1187" t="s">
        <v>125</v>
      </c>
      <c r="I508" s="1108"/>
      <c r="J508" s="1148" t="s">
        <v>221</v>
      </c>
    </row>
    <row r="509" spans="2:11" ht="15" hidden="1" customHeight="1" outlineLevel="1" x14ac:dyDescent="0.25">
      <c r="B509" s="1186" t="s">
        <v>830</v>
      </c>
      <c r="C509" s="1143"/>
      <c r="D509" s="1143" t="s">
        <v>1363</v>
      </c>
      <c r="E509" s="1190">
        <v>7.9715404716483904E-2</v>
      </c>
      <c r="F509" s="1191" t="s">
        <v>1660</v>
      </c>
      <c r="G509" s="1108" t="s">
        <v>747</v>
      </c>
      <c r="H509" s="1187" t="s">
        <v>125</v>
      </c>
      <c r="I509" s="1108"/>
      <c r="J509" s="1148" t="s">
        <v>836</v>
      </c>
    </row>
    <row r="510" spans="2:11" ht="15" hidden="1" customHeight="1" outlineLevel="1" x14ac:dyDescent="0.25">
      <c r="B510" s="1186" t="s">
        <v>830</v>
      </c>
      <c r="C510" s="1143"/>
      <c r="D510" s="1143" t="s">
        <v>1264</v>
      </c>
      <c r="E510" s="1190">
        <v>2.07998307347271E-2</v>
      </c>
      <c r="F510" s="1191" t="s">
        <v>1660</v>
      </c>
      <c r="G510" s="1108" t="s">
        <v>747</v>
      </c>
      <c r="H510" s="1187" t="s">
        <v>2220</v>
      </c>
      <c r="I510" s="1108" t="s">
        <v>2230</v>
      </c>
      <c r="J510" s="1148" t="s">
        <v>836</v>
      </c>
    </row>
    <row r="511" spans="2:11" ht="15" hidden="1" customHeight="1" outlineLevel="1" x14ac:dyDescent="0.25">
      <c r="B511" s="1186" t="s">
        <v>830</v>
      </c>
      <c r="C511" s="1143"/>
      <c r="D511" s="1143" t="s">
        <v>1265</v>
      </c>
      <c r="E511" s="1190">
        <v>2.2095098937004499E-2</v>
      </c>
      <c r="F511" s="1191" t="s">
        <v>1660</v>
      </c>
      <c r="G511" s="1108" t="s">
        <v>747</v>
      </c>
      <c r="H511" s="1187" t="s">
        <v>125</v>
      </c>
      <c r="I511" s="1108"/>
      <c r="J511" s="1148" t="s">
        <v>836</v>
      </c>
    </row>
    <row r="512" spans="2:11" ht="15" hidden="1" customHeight="1" outlineLevel="1" x14ac:dyDescent="0.25">
      <c r="B512" s="1186" t="s">
        <v>830</v>
      </c>
      <c r="C512" s="1143"/>
      <c r="D512" s="1143" t="s">
        <v>1266</v>
      </c>
      <c r="E512" s="1190">
        <v>1.27671153014396E-3</v>
      </c>
      <c r="F512" s="1191" t="s">
        <v>1660</v>
      </c>
      <c r="G512" s="1108" t="s">
        <v>747</v>
      </c>
      <c r="H512" s="1187" t="s">
        <v>125</v>
      </c>
      <c r="I512" s="1108"/>
      <c r="J512" s="1148" t="s">
        <v>836</v>
      </c>
    </row>
    <row r="513" spans="2:11" ht="15" hidden="1" customHeight="1" outlineLevel="1" x14ac:dyDescent="0.25">
      <c r="B513" s="1186" t="s">
        <v>830</v>
      </c>
      <c r="C513" s="1143"/>
      <c r="D513" s="1143" t="s">
        <v>1267</v>
      </c>
      <c r="E513" s="1108">
        <v>0.124362877056268</v>
      </c>
      <c r="F513" s="1187" t="s">
        <v>1660</v>
      </c>
      <c r="G513" s="1108" t="s">
        <v>747</v>
      </c>
      <c r="H513" s="1187" t="s">
        <v>125</v>
      </c>
      <c r="I513" s="1108"/>
      <c r="J513" s="1148" t="s">
        <v>836</v>
      </c>
    </row>
    <row r="514" spans="2:11" ht="15" hidden="1" customHeight="1" outlineLevel="1" x14ac:dyDescent="0.25">
      <c r="B514" s="1186" t="s">
        <v>830</v>
      </c>
      <c r="C514" s="1143"/>
      <c r="D514" s="1143" t="s">
        <v>1268</v>
      </c>
      <c r="E514" s="1190">
        <v>2.4714375577427901E-2</v>
      </c>
      <c r="F514" s="1191" t="s">
        <v>1660</v>
      </c>
      <c r="G514" s="1108" t="s">
        <v>747</v>
      </c>
      <c r="H514" s="1187" t="s">
        <v>2220</v>
      </c>
      <c r="I514" s="1108" t="s">
        <v>2231</v>
      </c>
      <c r="J514" s="1148" t="s">
        <v>836</v>
      </c>
    </row>
    <row r="515" spans="2:11" ht="15" hidden="1" customHeight="1" outlineLevel="1" x14ac:dyDescent="0.25">
      <c r="B515" s="1186" t="s">
        <v>830</v>
      </c>
      <c r="C515" s="1143"/>
      <c r="D515" s="1143" t="s">
        <v>1269</v>
      </c>
      <c r="E515" s="1190">
        <v>1.5954098763862501E-2</v>
      </c>
      <c r="F515" s="1191" t="s">
        <v>1660</v>
      </c>
      <c r="G515" s="1108" t="s">
        <v>747</v>
      </c>
      <c r="H515" s="1187" t="s">
        <v>125</v>
      </c>
      <c r="I515" s="1108"/>
      <c r="J515" s="1148" t="s">
        <v>836</v>
      </c>
    </row>
    <row r="516" spans="2:11" ht="15" hidden="1" customHeight="1" outlineLevel="1" x14ac:dyDescent="0.25">
      <c r="B516" s="1186" t="s">
        <v>830</v>
      </c>
      <c r="C516" s="1143"/>
      <c r="D516" s="1143" t="s">
        <v>1270</v>
      </c>
      <c r="E516" s="1108">
        <v>2.9097175971686902</v>
      </c>
      <c r="F516" s="1187" t="s">
        <v>1660</v>
      </c>
      <c r="G516" s="1108" t="s">
        <v>747</v>
      </c>
      <c r="H516" s="1187" t="s">
        <v>125</v>
      </c>
      <c r="I516" s="1108"/>
      <c r="J516" s="1148" t="s">
        <v>836</v>
      </c>
    </row>
    <row r="517" spans="2:11" ht="15" hidden="1" customHeight="1" outlineLevel="1" x14ac:dyDescent="0.25">
      <c r="B517" s="1186" t="s">
        <v>830</v>
      </c>
      <c r="C517" s="1143"/>
      <c r="D517" s="1143" t="s">
        <v>1271</v>
      </c>
      <c r="E517" s="1108">
        <v>0.68977440367178899</v>
      </c>
      <c r="F517" s="1187" t="s">
        <v>1660</v>
      </c>
      <c r="G517" s="1108" t="s">
        <v>747</v>
      </c>
      <c r="H517" s="1187" t="s">
        <v>125</v>
      </c>
      <c r="I517" s="1108"/>
      <c r="J517" s="1148" t="s">
        <v>836</v>
      </c>
    </row>
    <row r="518" spans="2:11" ht="15" hidden="1" customHeight="1" outlineLevel="1" x14ac:dyDescent="0.25">
      <c r="B518" s="1186" t="s">
        <v>830</v>
      </c>
      <c r="C518" s="1143"/>
      <c r="D518" s="1143" t="s">
        <v>1272</v>
      </c>
      <c r="E518" s="1108">
        <v>0.23608940917167301</v>
      </c>
      <c r="F518" s="1187" t="s">
        <v>1660</v>
      </c>
      <c r="G518" s="1108" t="s">
        <v>747</v>
      </c>
      <c r="H518" s="1187" t="s">
        <v>2220</v>
      </c>
      <c r="I518" s="1108" t="s">
        <v>2232</v>
      </c>
      <c r="J518" s="1148" t="s">
        <v>836</v>
      </c>
    </row>
    <row r="519" spans="2:11" ht="15" hidden="1" customHeight="1" outlineLevel="1" x14ac:dyDescent="0.25">
      <c r="B519" s="1188" t="s">
        <v>830</v>
      </c>
      <c r="C519" s="1150"/>
      <c r="D519" s="1150" t="s">
        <v>1273</v>
      </c>
      <c r="E519" s="1192">
        <v>1.30738717776629E-2</v>
      </c>
      <c r="F519" s="1193" t="s">
        <v>1660</v>
      </c>
      <c r="G519" s="1153" t="s">
        <v>747</v>
      </c>
      <c r="H519" s="1189" t="s">
        <v>125</v>
      </c>
      <c r="I519" s="1153"/>
      <c r="J519" s="1155" t="s">
        <v>836</v>
      </c>
    </row>
    <row r="520" spans="2:11" ht="15" customHeight="1" x14ac:dyDescent="0.25">
      <c r="F520" s="1177" t="s">
        <v>125</v>
      </c>
      <c r="H520" s="1177" t="s">
        <v>125</v>
      </c>
    </row>
    <row r="521" spans="2:11" ht="15" customHeight="1" collapsed="1" x14ac:dyDescent="0.25">
      <c r="B521" s="1164" t="s">
        <v>825</v>
      </c>
      <c r="C521" s="1165"/>
      <c r="D521" s="1165" t="s">
        <v>870</v>
      </c>
      <c r="E521" s="1168">
        <v>1</v>
      </c>
      <c r="F521" s="1178" t="s">
        <v>1660</v>
      </c>
      <c r="G521" s="1168" t="s">
        <v>742</v>
      </c>
      <c r="H521" s="1178" t="s">
        <v>125</v>
      </c>
      <c r="I521" s="1168"/>
      <c r="J521" s="246" t="s">
        <v>221</v>
      </c>
      <c r="K521" s="292">
        <v>100</v>
      </c>
    </row>
    <row r="522" spans="2:11" ht="15" hidden="1" customHeight="1" outlineLevel="1" x14ac:dyDescent="0.25">
      <c r="B522" s="953" t="s">
        <v>830</v>
      </c>
      <c r="C522" s="1138"/>
      <c r="D522" s="1138" t="s">
        <v>1364</v>
      </c>
      <c r="E522" s="954">
        <v>1.8599999999999998E-2</v>
      </c>
      <c r="F522" s="1185" t="s">
        <v>1660</v>
      </c>
      <c r="G522" s="954" t="s">
        <v>747</v>
      </c>
      <c r="H522" s="1185" t="s">
        <v>125</v>
      </c>
      <c r="I522" s="954"/>
      <c r="J522" s="955" t="s">
        <v>221</v>
      </c>
      <c r="K522" s="207"/>
    </row>
    <row r="523" spans="2:11" ht="15" hidden="1" customHeight="1" outlineLevel="1" x14ac:dyDescent="0.25">
      <c r="B523" s="1186" t="s">
        <v>830</v>
      </c>
      <c r="C523" s="1143"/>
      <c r="D523" s="1143" t="s">
        <v>1365</v>
      </c>
      <c r="E523" s="1108">
        <v>4.0500000000000001E-2</v>
      </c>
      <c r="F523" s="1187" t="s">
        <v>1660</v>
      </c>
      <c r="G523" s="1108" t="s">
        <v>747</v>
      </c>
      <c r="H523" s="1187" t="s">
        <v>125</v>
      </c>
      <c r="I523" s="1108"/>
      <c r="J523" s="1148" t="s">
        <v>221</v>
      </c>
    </row>
    <row r="524" spans="2:11" ht="15" hidden="1" customHeight="1" outlineLevel="1" x14ac:dyDescent="0.25">
      <c r="B524" s="1186" t="s">
        <v>830</v>
      </c>
      <c r="C524" s="1143"/>
      <c r="D524" s="1143" t="s">
        <v>1366</v>
      </c>
      <c r="E524" s="1108">
        <v>0.27200000000000002</v>
      </c>
      <c r="F524" s="1187" t="s">
        <v>1660</v>
      </c>
      <c r="G524" s="1108" t="s">
        <v>747</v>
      </c>
      <c r="H524" s="1187" t="s">
        <v>125</v>
      </c>
      <c r="I524" s="1108"/>
      <c r="J524" s="1148" t="s">
        <v>221</v>
      </c>
    </row>
    <row r="525" spans="2:11" ht="15" hidden="1" customHeight="1" outlineLevel="1" x14ac:dyDescent="0.25">
      <c r="B525" s="1186" t="s">
        <v>830</v>
      </c>
      <c r="C525" s="1143"/>
      <c r="D525" s="1143" t="s">
        <v>1367</v>
      </c>
      <c r="E525" s="1108">
        <v>0.125</v>
      </c>
      <c r="F525" s="1187" t="s">
        <v>1660</v>
      </c>
      <c r="G525" s="1108" t="s">
        <v>747</v>
      </c>
      <c r="H525" s="1187" t="s">
        <v>125</v>
      </c>
      <c r="I525" s="1108"/>
      <c r="J525" s="1148" t="s">
        <v>221</v>
      </c>
    </row>
    <row r="526" spans="2:11" ht="15" hidden="1" customHeight="1" outlineLevel="1" x14ac:dyDescent="0.25">
      <c r="B526" s="1186" t="s">
        <v>830</v>
      </c>
      <c r="C526" s="1143"/>
      <c r="D526" s="1143" t="s">
        <v>1368</v>
      </c>
      <c r="E526" s="1108">
        <v>0.16600000000000001</v>
      </c>
      <c r="F526" s="1187" t="s">
        <v>125</v>
      </c>
      <c r="G526" s="1108"/>
      <c r="H526" s="1187" t="s">
        <v>125</v>
      </c>
      <c r="I526" s="1108"/>
      <c r="J526" s="1148" t="s">
        <v>221</v>
      </c>
    </row>
    <row r="527" spans="2:11" ht="15" hidden="1" customHeight="1" outlineLevel="1" x14ac:dyDescent="0.25">
      <c r="B527" s="1186" t="s">
        <v>830</v>
      </c>
      <c r="C527" s="1143"/>
      <c r="D527" s="1143" t="s">
        <v>1369</v>
      </c>
      <c r="E527" s="1108">
        <v>2.3900000000000001E-2</v>
      </c>
      <c r="F527" s="1187" t="s">
        <v>1660</v>
      </c>
      <c r="G527" s="1108" t="s">
        <v>747</v>
      </c>
      <c r="H527" s="1187" t="s">
        <v>125</v>
      </c>
      <c r="I527" s="1108"/>
      <c r="J527" s="1148" t="s">
        <v>221</v>
      </c>
    </row>
    <row r="528" spans="2:11" ht="15" hidden="1" customHeight="1" outlineLevel="1" x14ac:dyDescent="0.25">
      <c r="B528" s="1186" t="s">
        <v>830</v>
      </c>
      <c r="C528" s="1143"/>
      <c r="D528" s="1143" t="s">
        <v>1370</v>
      </c>
      <c r="E528" s="1108">
        <v>0.126</v>
      </c>
      <c r="F528" s="1187" t="s">
        <v>1660</v>
      </c>
      <c r="G528" s="1108" t="s">
        <v>747</v>
      </c>
      <c r="H528" s="1187" t="s">
        <v>125</v>
      </c>
      <c r="I528" s="1108"/>
      <c r="J528" s="1148" t="s">
        <v>221</v>
      </c>
    </row>
    <row r="529" spans="2:11" ht="15" hidden="1" customHeight="1" outlineLevel="1" x14ac:dyDescent="0.25">
      <c r="B529" s="1186" t="s">
        <v>830</v>
      </c>
      <c r="C529" s="1143"/>
      <c r="D529" s="1143" t="s">
        <v>1371</v>
      </c>
      <c r="E529" s="1108">
        <v>0.128</v>
      </c>
      <c r="F529" s="1187" t="s">
        <v>1660</v>
      </c>
      <c r="G529" s="1108" t="s">
        <v>747</v>
      </c>
      <c r="H529" s="1187" t="s">
        <v>125</v>
      </c>
      <c r="I529" s="1108"/>
      <c r="J529" s="1148" t="s">
        <v>221</v>
      </c>
    </row>
    <row r="530" spans="2:11" ht="15" hidden="1" customHeight="1" outlineLevel="1" x14ac:dyDescent="0.25">
      <c r="B530" s="1186" t="s">
        <v>830</v>
      </c>
      <c r="C530" s="1143"/>
      <c r="D530" s="1143" t="s">
        <v>1372</v>
      </c>
      <c r="E530" s="1108">
        <v>5.6099999999999997E-2</v>
      </c>
      <c r="F530" s="1187" t="s">
        <v>1660</v>
      </c>
      <c r="G530" s="1108" t="s">
        <v>747</v>
      </c>
      <c r="H530" s="1187" t="s">
        <v>125</v>
      </c>
      <c r="I530" s="1108"/>
      <c r="J530" s="1148" t="s">
        <v>221</v>
      </c>
    </row>
    <row r="531" spans="2:11" ht="15" hidden="1" customHeight="1" outlineLevel="1" x14ac:dyDescent="0.25">
      <c r="B531" s="1186" t="s">
        <v>830</v>
      </c>
      <c r="C531" s="1143"/>
      <c r="D531" s="1143" t="s">
        <v>1373</v>
      </c>
      <c r="E531" s="1108">
        <v>4.3799999999999999E-2</v>
      </c>
      <c r="F531" s="1187" t="s">
        <v>1660</v>
      </c>
      <c r="G531" s="1108" t="s">
        <v>747</v>
      </c>
      <c r="H531" s="1187" t="s">
        <v>125</v>
      </c>
      <c r="I531" s="1108"/>
      <c r="J531" s="1148" t="s">
        <v>221</v>
      </c>
    </row>
    <row r="532" spans="2:11" ht="15" hidden="1" customHeight="1" outlineLevel="1" x14ac:dyDescent="0.25">
      <c r="B532" s="1186" t="s">
        <v>830</v>
      </c>
      <c r="C532" s="1143"/>
      <c r="D532" s="1143" t="s">
        <v>1264</v>
      </c>
      <c r="E532" s="1190">
        <v>7.4524469062762097E-2</v>
      </c>
      <c r="F532" s="1191" t="s">
        <v>1660</v>
      </c>
      <c r="G532" s="1108" t="s">
        <v>747</v>
      </c>
      <c r="H532" s="1187" t="s">
        <v>2220</v>
      </c>
      <c r="I532" s="1108" t="s">
        <v>2233</v>
      </c>
      <c r="J532" s="1148" t="s">
        <v>836</v>
      </c>
    </row>
    <row r="533" spans="2:11" ht="15" hidden="1" customHeight="1" outlineLevel="1" x14ac:dyDescent="0.25">
      <c r="B533" s="1186" t="s">
        <v>830</v>
      </c>
      <c r="C533" s="1143"/>
      <c r="D533" s="1143" t="s">
        <v>1265</v>
      </c>
      <c r="E533" s="1108">
        <v>0.205774255813305</v>
      </c>
      <c r="F533" s="1187" t="s">
        <v>1660</v>
      </c>
      <c r="G533" s="1108" t="s">
        <v>747</v>
      </c>
      <c r="H533" s="1187" t="s">
        <v>125</v>
      </c>
      <c r="I533" s="1108"/>
      <c r="J533" s="1148" t="s">
        <v>836</v>
      </c>
    </row>
    <row r="534" spans="2:11" ht="15" hidden="1" customHeight="1" outlineLevel="1" x14ac:dyDescent="0.25">
      <c r="B534" s="1186" t="s">
        <v>830</v>
      </c>
      <c r="C534" s="1143"/>
      <c r="D534" s="1143" t="s">
        <v>1266</v>
      </c>
      <c r="E534" s="1190">
        <v>7.30840870224716E-2</v>
      </c>
      <c r="F534" s="1191" t="s">
        <v>1660</v>
      </c>
      <c r="G534" s="1108" t="s">
        <v>747</v>
      </c>
      <c r="H534" s="1187" t="s">
        <v>125</v>
      </c>
      <c r="I534" s="1108"/>
      <c r="J534" s="1148" t="s">
        <v>836</v>
      </c>
    </row>
    <row r="535" spans="2:11" ht="15" hidden="1" customHeight="1" outlineLevel="1" x14ac:dyDescent="0.25">
      <c r="B535" s="1186" t="s">
        <v>830</v>
      </c>
      <c r="C535" s="1143"/>
      <c r="D535" s="1143" t="s">
        <v>1268</v>
      </c>
      <c r="E535" s="1108">
        <v>1.32250172870645</v>
      </c>
      <c r="F535" s="1187" t="s">
        <v>1660</v>
      </c>
      <c r="G535" s="1108" t="s">
        <v>747</v>
      </c>
      <c r="H535" s="1187" t="s">
        <v>2220</v>
      </c>
      <c r="I535" s="1108" t="s">
        <v>2234</v>
      </c>
      <c r="J535" s="1148" t="s">
        <v>836</v>
      </c>
    </row>
    <row r="536" spans="2:11" ht="15" hidden="1" customHeight="1" outlineLevel="1" x14ac:dyDescent="0.25">
      <c r="B536" s="1186" t="s">
        <v>830</v>
      </c>
      <c r="C536" s="1143"/>
      <c r="D536" s="1143" t="s">
        <v>1269</v>
      </c>
      <c r="E536" s="1108">
        <v>0.94982827354849997</v>
      </c>
      <c r="F536" s="1187" t="s">
        <v>1660</v>
      </c>
      <c r="G536" s="1108" t="s">
        <v>747</v>
      </c>
      <c r="H536" s="1187" t="s">
        <v>125</v>
      </c>
      <c r="I536" s="1108"/>
      <c r="J536" s="1148" t="s">
        <v>836</v>
      </c>
    </row>
    <row r="537" spans="2:11" ht="15" hidden="1" customHeight="1" outlineLevel="1" x14ac:dyDescent="0.25">
      <c r="B537" s="1186" t="s">
        <v>830</v>
      </c>
      <c r="C537" s="1143"/>
      <c r="D537" s="1143" t="s">
        <v>1271</v>
      </c>
      <c r="E537" s="1108">
        <v>4.5243271955110496</v>
      </c>
      <c r="F537" s="1187" t="s">
        <v>1660</v>
      </c>
      <c r="G537" s="1108" t="s">
        <v>747</v>
      </c>
      <c r="H537" s="1187" t="s">
        <v>125</v>
      </c>
      <c r="I537" s="1108"/>
      <c r="J537" s="1148" t="s">
        <v>836</v>
      </c>
    </row>
    <row r="538" spans="2:11" ht="15" hidden="1" customHeight="1" outlineLevel="1" x14ac:dyDescent="0.25">
      <c r="B538" s="1186" t="s">
        <v>830</v>
      </c>
      <c r="C538" s="1143"/>
      <c r="D538" s="1143" t="s">
        <v>1272</v>
      </c>
      <c r="E538" s="1108">
        <v>1.3788451771839301</v>
      </c>
      <c r="F538" s="1187" t="s">
        <v>1660</v>
      </c>
      <c r="G538" s="1108" t="s">
        <v>747</v>
      </c>
      <c r="H538" s="1187" t="s">
        <v>2220</v>
      </c>
      <c r="I538" s="1108" t="s">
        <v>2235</v>
      </c>
      <c r="J538" s="1148" t="s">
        <v>836</v>
      </c>
    </row>
    <row r="539" spans="2:11" ht="15" hidden="1" customHeight="1" outlineLevel="1" x14ac:dyDescent="0.25">
      <c r="B539" s="1188" t="s">
        <v>830</v>
      </c>
      <c r="C539" s="1150"/>
      <c r="D539" s="1150" t="s">
        <v>1273</v>
      </c>
      <c r="E539" s="1153">
        <v>0.57273230383854701</v>
      </c>
      <c r="F539" s="1189" t="s">
        <v>1660</v>
      </c>
      <c r="G539" s="1153" t="s">
        <v>747</v>
      </c>
      <c r="H539" s="1189" t="s">
        <v>125</v>
      </c>
      <c r="I539" s="1153"/>
      <c r="J539" s="1155" t="s">
        <v>836</v>
      </c>
    </row>
    <row r="540" spans="2:11" ht="15" customHeight="1" x14ac:dyDescent="0.25">
      <c r="F540" s="1177" t="s">
        <v>125</v>
      </c>
      <c r="H540" s="1177" t="s">
        <v>125</v>
      </c>
    </row>
    <row r="541" spans="2:11" ht="15" customHeight="1" collapsed="1" x14ac:dyDescent="0.25">
      <c r="B541" s="1164" t="s">
        <v>825</v>
      </c>
      <c r="C541" s="1165"/>
      <c r="D541" s="1165" t="s">
        <v>874</v>
      </c>
      <c r="E541" s="1168">
        <v>1</v>
      </c>
      <c r="F541" s="1178" t="s">
        <v>1660</v>
      </c>
      <c r="G541" s="1168" t="s">
        <v>741</v>
      </c>
      <c r="H541" s="1178" t="s">
        <v>125</v>
      </c>
      <c r="I541" s="1168"/>
      <c r="J541" s="246" t="s">
        <v>221</v>
      </c>
      <c r="K541" s="292">
        <v>100</v>
      </c>
    </row>
    <row r="542" spans="2:11" ht="15" hidden="1" customHeight="1" outlineLevel="1" x14ac:dyDescent="0.25">
      <c r="B542" s="953" t="s">
        <v>830</v>
      </c>
      <c r="C542" s="1138"/>
      <c r="D542" s="1138" t="s">
        <v>1374</v>
      </c>
      <c r="E542" s="954">
        <v>2.1800000000000001E-3</v>
      </c>
      <c r="F542" s="1185" t="s">
        <v>1660</v>
      </c>
      <c r="G542" s="954" t="s">
        <v>747</v>
      </c>
      <c r="H542" s="1185" t="s">
        <v>125</v>
      </c>
      <c r="I542" s="954"/>
      <c r="J542" s="955" t="s">
        <v>221</v>
      </c>
      <c r="K542" s="207"/>
    </row>
    <row r="543" spans="2:11" ht="15" hidden="1" customHeight="1" outlineLevel="1" x14ac:dyDescent="0.25">
      <c r="B543" s="1186" t="s">
        <v>830</v>
      </c>
      <c r="C543" s="1143"/>
      <c r="D543" s="1143" t="s">
        <v>1375</v>
      </c>
      <c r="E543" s="1108">
        <v>1.37E-2</v>
      </c>
      <c r="F543" s="1187" t="s">
        <v>1660</v>
      </c>
      <c r="G543" s="1108" t="s">
        <v>747</v>
      </c>
      <c r="H543" s="1187" t="s">
        <v>125</v>
      </c>
      <c r="I543" s="1108"/>
      <c r="J543" s="1148" t="s">
        <v>221</v>
      </c>
    </row>
    <row r="544" spans="2:11" ht="15" hidden="1" customHeight="1" outlineLevel="1" x14ac:dyDescent="0.25">
      <c r="B544" s="1186" t="s">
        <v>830</v>
      </c>
      <c r="C544" s="1143"/>
      <c r="D544" s="1143" t="s">
        <v>1376</v>
      </c>
      <c r="E544" s="1108">
        <v>3.0599999999999999E-2</v>
      </c>
      <c r="F544" s="1187" t="s">
        <v>1660</v>
      </c>
      <c r="G544" s="1108" t="s">
        <v>747</v>
      </c>
      <c r="H544" s="1187" t="s">
        <v>125</v>
      </c>
      <c r="I544" s="1108"/>
      <c r="J544" s="1148" t="s">
        <v>221</v>
      </c>
    </row>
    <row r="545" spans="2:10" ht="15" hidden="1" customHeight="1" outlineLevel="1" x14ac:dyDescent="0.25">
      <c r="B545" s="1186" t="s">
        <v>830</v>
      </c>
      <c r="C545" s="1143"/>
      <c r="D545" s="1143" t="s">
        <v>1377</v>
      </c>
      <c r="E545" s="1108">
        <v>9.6900000000000007E-3</v>
      </c>
      <c r="F545" s="1187" t="s">
        <v>1660</v>
      </c>
      <c r="G545" s="1108" t="s">
        <v>747</v>
      </c>
      <c r="H545" s="1187" t="s">
        <v>125</v>
      </c>
      <c r="I545" s="1108"/>
      <c r="J545" s="1148" t="s">
        <v>221</v>
      </c>
    </row>
    <row r="546" spans="2:10" ht="15" hidden="1" customHeight="1" outlineLevel="1" x14ac:dyDescent="0.25">
      <c r="B546" s="1186" t="s">
        <v>830</v>
      </c>
      <c r="C546" s="1143"/>
      <c r="D546" s="1143" t="s">
        <v>1378</v>
      </c>
      <c r="E546" s="1108">
        <v>1.03E-2</v>
      </c>
      <c r="F546" s="1187" t="s">
        <v>1660</v>
      </c>
      <c r="G546" s="1108" t="s">
        <v>747</v>
      </c>
      <c r="H546" s="1187" t="s">
        <v>125</v>
      </c>
      <c r="I546" s="1108"/>
      <c r="J546" s="1148" t="s">
        <v>221</v>
      </c>
    </row>
    <row r="547" spans="2:10" ht="15" hidden="1" customHeight="1" outlineLevel="1" x14ac:dyDescent="0.25">
      <c r="B547" s="1186" t="s">
        <v>830</v>
      </c>
      <c r="C547" s="1143"/>
      <c r="D547" s="1143" t="s">
        <v>1379</v>
      </c>
      <c r="E547" s="1108">
        <v>0.14199999999999999</v>
      </c>
      <c r="F547" s="1187" t="s">
        <v>1660</v>
      </c>
      <c r="G547" s="1108" t="s">
        <v>747</v>
      </c>
      <c r="H547" s="1187" t="s">
        <v>125</v>
      </c>
      <c r="I547" s="1108"/>
      <c r="J547" s="1148" t="s">
        <v>221</v>
      </c>
    </row>
    <row r="548" spans="2:10" ht="15" hidden="1" customHeight="1" outlineLevel="1" x14ac:dyDescent="0.25">
      <c r="B548" s="1186" t="s">
        <v>830</v>
      </c>
      <c r="C548" s="1143"/>
      <c r="D548" s="1143" t="s">
        <v>1133</v>
      </c>
      <c r="E548" s="1108">
        <v>0.68799999999999994</v>
      </c>
      <c r="F548" s="1187" t="s">
        <v>125</v>
      </c>
      <c r="G548" s="1108"/>
      <c r="H548" s="1187" t="s">
        <v>125</v>
      </c>
      <c r="I548" s="1108"/>
      <c r="J548" s="1148" t="s">
        <v>221</v>
      </c>
    </row>
    <row r="549" spans="2:10" ht="15" hidden="1" customHeight="1" outlineLevel="1" x14ac:dyDescent="0.25">
      <c r="B549" s="1186" t="s">
        <v>830</v>
      </c>
      <c r="C549" s="1143"/>
      <c r="D549" s="1143" t="s">
        <v>1380</v>
      </c>
      <c r="E549" s="1108">
        <v>3.2800000000000003E-2</v>
      </c>
      <c r="F549" s="1187" t="s">
        <v>1660</v>
      </c>
      <c r="G549" s="1108" t="s">
        <v>747</v>
      </c>
      <c r="H549" s="1187" t="s">
        <v>125</v>
      </c>
      <c r="I549" s="1108"/>
      <c r="J549" s="1148" t="s">
        <v>221</v>
      </c>
    </row>
    <row r="550" spans="2:10" ht="15" hidden="1" customHeight="1" outlineLevel="1" x14ac:dyDescent="0.25">
      <c r="B550" s="1186" t="s">
        <v>830</v>
      </c>
      <c r="C550" s="1143"/>
      <c r="D550" s="1143" t="s">
        <v>1381</v>
      </c>
      <c r="E550" s="1108">
        <v>1.5100000000000001E-2</v>
      </c>
      <c r="F550" s="1187" t="s">
        <v>1660</v>
      </c>
      <c r="G550" s="1108" t="s">
        <v>747</v>
      </c>
      <c r="H550" s="1187" t="s">
        <v>125</v>
      </c>
      <c r="I550" s="1108"/>
      <c r="J550" s="1148" t="s">
        <v>221</v>
      </c>
    </row>
    <row r="551" spans="2:10" ht="15" hidden="1" customHeight="1" outlineLevel="1" x14ac:dyDescent="0.25">
      <c r="B551" s="1186" t="s">
        <v>830</v>
      </c>
      <c r="C551" s="1143"/>
      <c r="D551" s="1143" t="s">
        <v>1382</v>
      </c>
      <c r="E551" s="1108">
        <v>3.7599999999999999E-3</v>
      </c>
      <c r="F551" s="1187" t="s">
        <v>1660</v>
      </c>
      <c r="G551" s="1108" t="s">
        <v>747</v>
      </c>
      <c r="H551" s="1187" t="s">
        <v>125</v>
      </c>
      <c r="I551" s="1108"/>
      <c r="J551" s="1148" t="s">
        <v>221</v>
      </c>
    </row>
    <row r="552" spans="2:10" ht="15" hidden="1" customHeight="1" outlineLevel="1" x14ac:dyDescent="0.25">
      <c r="B552" s="1186" t="s">
        <v>830</v>
      </c>
      <c r="C552" s="1143"/>
      <c r="D552" s="1143" t="s">
        <v>1383</v>
      </c>
      <c r="E552" s="1108">
        <v>2.6499999999999999E-2</v>
      </c>
      <c r="F552" s="1187" t="s">
        <v>1660</v>
      </c>
      <c r="G552" s="1108" t="s">
        <v>747</v>
      </c>
      <c r="H552" s="1187" t="s">
        <v>125</v>
      </c>
      <c r="I552" s="1108"/>
      <c r="J552" s="1148" t="s">
        <v>221</v>
      </c>
    </row>
    <row r="553" spans="2:10" ht="15" hidden="1" customHeight="1" outlineLevel="1" x14ac:dyDescent="0.25">
      <c r="B553" s="1186" t="s">
        <v>830</v>
      </c>
      <c r="C553" s="1143"/>
      <c r="D553" s="1143" t="s">
        <v>1384</v>
      </c>
      <c r="E553" s="1108">
        <v>2.1100000000000001E-2</v>
      </c>
      <c r="F553" s="1187" t="s">
        <v>1660</v>
      </c>
      <c r="G553" s="1108" t="s">
        <v>747</v>
      </c>
      <c r="H553" s="1187" t="s">
        <v>125</v>
      </c>
      <c r="I553" s="1108"/>
      <c r="J553" s="1148" t="s">
        <v>221</v>
      </c>
    </row>
    <row r="554" spans="2:10" ht="15" hidden="1" customHeight="1" outlineLevel="1" x14ac:dyDescent="0.25">
      <c r="B554" s="1186" t="s">
        <v>830</v>
      </c>
      <c r="C554" s="1143"/>
      <c r="D554" s="1143" t="s">
        <v>1385</v>
      </c>
      <c r="E554" s="1108">
        <v>3.6900000000000001E-3</v>
      </c>
      <c r="F554" s="1187" t="s">
        <v>1660</v>
      </c>
      <c r="G554" s="1108" t="s">
        <v>747</v>
      </c>
      <c r="H554" s="1187" t="s">
        <v>125</v>
      </c>
      <c r="I554" s="1108"/>
      <c r="J554" s="1148" t="s">
        <v>221</v>
      </c>
    </row>
    <row r="555" spans="2:10" ht="15" hidden="1" customHeight="1" outlineLevel="1" x14ac:dyDescent="0.25">
      <c r="B555" s="1186" t="s">
        <v>830</v>
      </c>
      <c r="C555" s="1143"/>
      <c r="D555" s="1143" t="s">
        <v>1264</v>
      </c>
      <c r="E555" s="1190">
        <v>4.0757144938131699E-2</v>
      </c>
      <c r="F555" s="1191" t="s">
        <v>1660</v>
      </c>
      <c r="G555" s="1108" t="s">
        <v>747</v>
      </c>
      <c r="H555" s="1187" t="s">
        <v>2220</v>
      </c>
      <c r="I555" s="1108" t="s">
        <v>2236</v>
      </c>
      <c r="J555" s="1148" t="s">
        <v>836</v>
      </c>
    </row>
    <row r="556" spans="2:10" ht="15" hidden="1" customHeight="1" outlineLevel="1" x14ac:dyDescent="0.25">
      <c r="B556" s="1186" t="s">
        <v>830</v>
      </c>
      <c r="C556" s="1143"/>
      <c r="D556" s="1143" t="s">
        <v>1265</v>
      </c>
      <c r="E556" s="1190">
        <v>1.6275237129085102E-2</v>
      </c>
      <c r="F556" s="1191" t="s">
        <v>1660</v>
      </c>
      <c r="G556" s="1108" t="s">
        <v>747</v>
      </c>
      <c r="H556" s="1187" t="s">
        <v>125</v>
      </c>
      <c r="I556" s="1108"/>
      <c r="J556" s="1148" t="s">
        <v>836</v>
      </c>
    </row>
    <row r="557" spans="2:10" ht="15" hidden="1" customHeight="1" outlineLevel="1" x14ac:dyDescent="0.25">
      <c r="B557" s="1186" t="s">
        <v>830</v>
      </c>
      <c r="C557" s="1143"/>
      <c r="D557" s="1143" t="s">
        <v>1266</v>
      </c>
      <c r="E557" s="1190">
        <v>3.61402622271777E-4</v>
      </c>
      <c r="F557" s="1191" t="s">
        <v>1660</v>
      </c>
      <c r="G557" s="1108" t="s">
        <v>747</v>
      </c>
      <c r="H557" s="1187" t="s">
        <v>125</v>
      </c>
      <c r="I557" s="1108"/>
      <c r="J557" s="1148" t="s">
        <v>836</v>
      </c>
    </row>
    <row r="558" spans="2:10" ht="15" hidden="1" customHeight="1" outlineLevel="1" x14ac:dyDescent="0.25">
      <c r="B558" s="1186" t="s">
        <v>830</v>
      </c>
      <c r="C558" s="1143"/>
      <c r="D558" s="1143" t="s">
        <v>1268</v>
      </c>
      <c r="E558" s="1108">
        <v>0.110492846207232</v>
      </c>
      <c r="F558" s="1187" t="s">
        <v>1660</v>
      </c>
      <c r="G558" s="1108" t="s">
        <v>747</v>
      </c>
      <c r="H558" s="1187" t="s">
        <v>2220</v>
      </c>
      <c r="I558" s="1108" t="s">
        <v>2237</v>
      </c>
      <c r="J558" s="1148" t="s">
        <v>836</v>
      </c>
    </row>
    <row r="559" spans="2:10" ht="15" hidden="1" customHeight="1" outlineLevel="1" x14ac:dyDescent="0.25">
      <c r="B559" s="1186" t="s">
        <v>830</v>
      </c>
      <c r="C559" s="1143"/>
      <c r="D559" s="1143" t="s">
        <v>1271</v>
      </c>
      <c r="E559" s="1108">
        <v>0.17023391821602399</v>
      </c>
      <c r="F559" s="1187" t="s">
        <v>1660</v>
      </c>
      <c r="G559" s="1108" t="s">
        <v>747</v>
      </c>
      <c r="H559" s="1187" t="s">
        <v>125</v>
      </c>
      <c r="I559" s="1108"/>
      <c r="J559" s="1148" t="s">
        <v>836</v>
      </c>
    </row>
    <row r="560" spans="2:10" ht="15" hidden="1" customHeight="1" outlineLevel="1" x14ac:dyDescent="0.25">
      <c r="B560" s="1186" t="s">
        <v>830</v>
      </c>
      <c r="C560" s="1143"/>
      <c r="D560" s="1143" t="s">
        <v>1272</v>
      </c>
      <c r="E560" s="1108">
        <v>0.20229799814338401</v>
      </c>
      <c r="F560" s="1187" t="s">
        <v>1660</v>
      </c>
      <c r="G560" s="1108" t="s">
        <v>747</v>
      </c>
      <c r="H560" s="1187" t="s">
        <v>2220</v>
      </c>
      <c r="I560" s="1108" t="s">
        <v>2238</v>
      </c>
      <c r="J560" s="1148" t="s">
        <v>836</v>
      </c>
    </row>
    <row r="561" spans="2:13" ht="15" hidden="1" customHeight="1" outlineLevel="1" x14ac:dyDescent="0.25">
      <c r="B561" s="1188" t="s">
        <v>830</v>
      </c>
      <c r="C561" s="1150"/>
      <c r="D561" s="1150" t="s">
        <v>1273</v>
      </c>
      <c r="E561" s="1192">
        <v>8.8584275750077907E-2</v>
      </c>
      <c r="F561" s="1193" t="s">
        <v>1660</v>
      </c>
      <c r="G561" s="1153" t="s">
        <v>747</v>
      </c>
      <c r="H561" s="1189" t="s">
        <v>125</v>
      </c>
      <c r="I561" s="1153"/>
      <c r="J561" s="1155" t="s">
        <v>836</v>
      </c>
    </row>
    <row r="562" spans="2:13" ht="15" customHeight="1" x14ac:dyDescent="0.25">
      <c r="F562" s="1177" t="s">
        <v>125</v>
      </c>
      <c r="H562" s="1177" t="s">
        <v>125</v>
      </c>
    </row>
    <row r="563" spans="2:13" ht="15" customHeight="1" collapsed="1" x14ac:dyDescent="0.25">
      <c r="B563" s="1164" t="s">
        <v>825</v>
      </c>
      <c r="C563" s="1165"/>
      <c r="D563" s="1165" t="s">
        <v>962</v>
      </c>
      <c r="E563" s="1168">
        <v>0.98</v>
      </c>
      <c r="F563" s="1178" t="s">
        <v>248</v>
      </c>
      <c r="G563" s="1168" t="s">
        <v>753</v>
      </c>
      <c r="H563" s="1178"/>
      <c r="I563" s="1168"/>
      <c r="J563" s="246" t="s">
        <v>221</v>
      </c>
      <c r="K563" s="292">
        <v>100</v>
      </c>
    </row>
    <row r="564" spans="2:13" ht="15" hidden="1" customHeight="1" outlineLevel="1" x14ac:dyDescent="0.25">
      <c r="B564" s="1142" t="s">
        <v>830</v>
      </c>
      <c r="C564" s="1143"/>
      <c r="D564" s="1143" t="s">
        <v>863</v>
      </c>
      <c r="E564" s="1146">
        <v>250</v>
      </c>
      <c r="F564" s="1174" t="s">
        <v>125</v>
      </c>
      <c r="G564" s="1108"/>
      <c r="H564" s="1187" t="s">
        <v>125</v>
      </c>
      <c r="I564" s="1108"/>
      <c r="J564" s="1148" t="s">
        <v>849</v>
      </c>
      <c r="K564" s="1170"/>
      <c r="M564" s="1170" t="s">
        <v>862</v>
      </c>
    </row>
    <row r="565" spans="2:13" ht="15" hidden="1" customHeight="1" outlineLevel="1" x14ac:dyDescent="0.25">
      <c r="B565" s="1142" t="s">
        <v>830</v>
      </c>
      <c r="C565" s="1143"/>
      <c r="D565" s="1143" t="s">
        <v>860</v>
      </c>
      <c r="E565" s="1146">
        <v>290</v>
      </c>
      <c r="F565" s="1174" t="s">
        <v>125</v>
      </c>
      <c r="G565" s="1146"/>
      <c r="H565" s="1174" t="s">
        <v>125</v>
      </c>
      <c r="I565" s="1146"/>
      <c r="J565" s="1148" t="s">
        <v>849</v>
      </c>
      <c r="K565" s="1170"/>
      <c r="M565" s="1170" t="s">
        <v>862</v>
      </c>
    </row>
    <row r="566" spans="2:13" ht="15" hidden="1" customHeight="1" outlineLevel="1" x14ac:dyDescent="0.25">
      <c r="B566" s="1142" t="s">
        <v>830</v>
      </c>
      <c r="C566" s="1143"/>
      <c r="D566" s="1143" t="s">
        <v>963</v>
      </c>
      <c r="E566" s="1146">
        <v>30</v>
      </c>
      <c r="F566" s="1174" t="s">
        <v>125</v>
      </c>
      <c r="G566" s="1146"/>
      <c r="H566" s="1174" t="s">
        <v>125</v>
      </c>
      <c r="I566" s="1146"/>
      <c r="J566" s="1148" t="s">
        <v>849</v>
      </c>
      <c r="K566" s="1170"/>
      <c r="M566" s="1170" t="s">
        <v>862</v>
      </c>
    </row>
    <row r="567" spans="2:13" ht="15" hidden="1" customHeight="1" outlineLevel="1" x14ac:dyDescent="0.25">
      <c r="B567" s="1142" t="s">
        <v>830</v>
      </c>
      <c r="C567" s="1143"/>
      <c r="D567" s="1143" t="s">
        <v>861</v>
      </c>
      <c r="E567" s="1146">
        <v>20</v>
      </c>
      <c r="F567" s="1174" t="s">
        <v>125</v>
      </c>
      <c r="G567" s="1146"/>
      <c r="H567" s="1174" t="s">
        <v>125</v>
      </c>
      <c r="I567" s="1146"/>
      <c r="J567" s="1148" t="s">
        <v>849</v>
      </c>
      <c r="K567" s="1170"/>
      <c r="M567" s="1170" t="s">
        <v>862</v>
      </c>
    </row>
    <row r="568" spans="2:13" ht="15" hidden="1" customHeight="1" outlineLevel="1" x14ac:dyDescent="0.25">
      <c r="B568" s="1142" t="s">
        <v>830</v>
      </c>
      <c r="C568" s="1143"/>
      <c r="D568" s="1143" t="s">
        <v>907</v>
      </c>
      <c r="E568" s="1146">
        <v>20</v>
      </c>
      <c r="F568" s="1174" t="s">
        <v>125</v>
      </c>
      <c r="G568" s="1146"/>
      <c r="H568" s="1174" t="s">
        <v>125</v>
      </c>
      <c r="I568" s="1146"/>
      <c r="J568" s="1148" t="s">
        <v>849</v>
      </c>
      <c r="K568" s="1170"/>
      <c r="M568" s="1170"/>
    </row>
    <row r="569" spans="2:13" ht="15" hidden="1" customHeight="1" outlineLevel="1" x14ac:dyDescent="0.25">
      <c r="B569" s="1142" t="s">
        <v>830</v>
      </c>
      <c r="C569" s="1143"/>
      <c r="D569" s="1143" t="s">
        <v>964</v>
      </c>
      <c r="E569" s="1146">
        <v>60</v>
      </c>
      <c r="F569" s="1174" t="s">
        <v>125</v>
      </c>
      <c r="G569" s="1146"/>
      <c r="H569" s="1174" t="s">
        <v>125</v>
      </c>
      <c r="I569" s="1146"/>
      <c r="J569" s="1148" t="s">
        <v>849</v>
      </c>
      <c r="K569" s="1170"/>
      <c r="M569" s="1170" t="s">
        <v>862</v>
      </c>
    </row>
    <row r="570" spans="2:13" ht="15" hidden="1" customHeight="1" outlineLevel="1" x14ac:dyDescent="0.25">
      <c r="B570" s="1142" t="s">
        <v>830</v>
      </c>
      <c r="C570" s="1143"/>
      <c r="D570" s="1143" t="s">
        <v>899</v>
      </c>
      <c r="E570" s="1146">
        <v>10</v>
      </c>
      <c r="F570" s="1174" t="s">
        <v>125</v>
      </c>
      <c r="G570" s="1146"/>
      <c r="H570" s="1174" t="s">
        <v>125</v>
      </c>
      <c r="I570" s="1146"/>
      <c r="J570" s="1148" t="s">
        <v>849</v>
      </c>
      <c r="K570" s="1170"/>
      <c r="M570" s="1170"/>
    </row>
    <row r="571" spans="2:13" ht="15" hidden="1" customHeight="1" outlineLevel="1" x14ac:dyDescent="0.25">
      <c r="B571" s="1142" t="s">
        <v>830</v>
      </c>
      <c r="C571" s="1143"/>
      <c r="D571" s="1143" t="s">
        <v>965</v>
      </c>
      <c r="E571" s="1146">
        <v>10</v>
      </c>
      <c r="F571" s="1174" t="s">
        <v>125</v>
      </c>
      <c r="G571" s="1146"/>
      <c r="H571" s="1174" t="s">
        <v>125</v>
      </c>
      <c r="I571" s="1146"/>
      <c r="J571" s="1148" t="s">
        <v>849</v>
      </c>
      <c r="K571" s="1170"/>
      <c r="M571" s="1170"/>
    </row>
    <row r="572" spans="2:13" ht="15" hidden="1" customHeight="1" outlineLevel="1" x14ac:dyDescent="0.25">
      <c r="B572" s="1142" t="s">
        <v>830</v>
      </c>
      <c r="C572" s="1143"/>
      <c r="D572" s="1143" t="s">
        <v>886</v>
      </c>
      <c r="E572" s="1146">
        <v>10</v>
      </c>
      <c r="F572" s="1174" t="s">
        <v>125</v>
      </c>
      <c r="G572" s="1146"/>
      <c r="H572" s="1174" t="s">
        <v>125</v>
      </c>
      <c r="I572" s="1146"/>
      <c r="J572" s="1148" t="s">
        <v>849</v>
      </c>
      <c r="K572" s="1170"/>
      <c r="M572" s="1170"/>
    </row>
    <row r="573" spans="2:13" ht="15" hidden="1" customHeight="1" outlineLevel="1" x14ac:dyDescent="0.25">
      <c r="B573" s="1142" t="s">
        <v>830</v>
      </c>
      <c r="C573" s="1143"/>
      <c r="D573" s="1143" t="s">
        <v>906</v>
      </c>
      <c r="E573" s="1146">
        <v>10</v>
      </c>
      <c r="F573" s="1174" t="s">
        <v>125</v>
      </c>
      <c r="G573" s="1146"/>
      <c r="H573" s="1174" t="s">
        <v>125</v>
      </c>
      <c r="I573" s="1146"/>
      <c r="J573" s="1148" t="s">
        <v>849</v>
      </c>
      <c r="K573" s="1170"/>
      <c r="M573" s="1170" t="s">
        <v>862</v>
      </c>
    </row>
    <row r="574" spans="2:13" ht="15" hidden="1" customHeight="1" outlineLevel="1" x14ac:dyDescent="0.25">
      <c r="B574" s="1142" t="s">
        <v>830</v>
      </c>
      <c r="C574" s="1143"/>
      <c r="D574" s="1143" t="s">
        <v>871</v>
      </c>
      <c r="E574" s="1146">
        <v>15</v>
      </c>
      <c r="F574" s="1174" t="s">
        <v>1660</v>
      </c>
      <c r="G574" s="1146" t="s">
        <v>747</v>
      </c>
      <c r="H574" s="1174" t="s">
        <v>125</v>
      </c>
      <c r="I574" s="1146"/>
      <c r="J574" s="1148" t="s">
        <v>849</v>
      </c>
      <c r="K574" s="1170"/>
      <c r="M574" s="1170" t="s">
        <v>872</v>
      </c>
    </row>
    <row r="575" spans="2:13" ht="15" hidden="1" customHeight="1" outlineLevel="1" x14ac:dyDescent="0.25">
      <c r="B575" s="1142" t="s">
        <v>830</v>
      </c>
      <c r="C575" s="1143"/>
      <c r="D575" s="1143" t="s">
        <v>867</v>
      </c>
      <c r="E575" s="1146">
        <v>80</v>
      </c>
      <c r="F575" s="1174" t="s">
        <v>125</v>
      </c>
      <c r="G575" s="1146"/>
      <c r="H575" s="1174" t="s">
        <v>125</v>
      </c>
      <c r="I575" s="1146"/>
      <c r="J575" s="1148" t="s">
        <v>849</v>
      </c>
      <c r="K575" s="1170"/>
      <c r="M575" s="1170" t="s">
        <v>862</v>
      </c>
    </row>
    <row r="576" spans="2:13" ht="15" hidden="1" customHeight="1" outlineLevel="1" x14ac:dyDescent="0.25">
      <c r="B576" s="1142" t="s">
        <v>830</v>
      </c>
      <c r="C576" s="1143"/>
      <c r="D576" s="1143" t="s">
        <v>904</v>
      </c>
      <c r="E576" s="1146">
        <v>5</v>
      </c>
      <c r="F576" s="1174" t="s">
        <v>125</v>
      </c>
      <c r="G576" s="1146"/>
      <c r="H576" s="1174" t="s">
        <v>125</v>
      </c>
      <c r="I576" s="1146"/>
      <c r="J576" s="1148" t="s">
        <v>849</v>
      </c>
      <c r="K576" s="1170"/>
      <c r="M576" s="1170"/>
    </row>
    <row r="577" spans="2:13" ht="15" hidden="1" customHeight="1" outlineLevel="1" x14ac:dyDescent="0.25">
      <c r="B577" s="1142" t="s">
        <v>830</v>
      </c>
      <c r="C577" s="1143"/>
      <c r="D577" s="1143" t="s">
        <v>869</v>
      </c>
      <c r="E577" s="1146">
        <v>100</v>
      </c>
      <c r="F577" s="1174" t="s">
        <v>125</v>
      </c>
      <c r="G577" s="1146"/>
      <c r="H577" s="1174" t="s">
        <v>125</v>
      </c>
      <c r="I577" s="1146"/>
      <c r="J577" s="1148" t="s">
        <v>849</v>
      </c>
      <c r="K577" s="1170"/>
      <c r="M577" s="1170"/>
    </row>
    <row r="578" spans="2:13" ht="15" hidden="1" customHeight="1" outlineLevel="1" x14ac:dyDescent="0.25">
      <c r="B578" s="1142" t="s">
        <v>830</v>
      </c>
      <c r="C578" s="1143"/>
      <c r="D578" s="1143" t="s">
        <v>868</v>
      </c>
      <c r="E578" s="1146">
        <v>40</v>
      </c>
      <c r="F578" s="1174" t="s">
        <v>125</v>
      </c>
      <c r="G578" s="1146"/>
      <c r="H578" s="1174" t="s">
        <v>125</v>
      </c>
      <c r="I578" s="1146"/>
      <c r="J578" s="1148" t="s">
        <v>849</v>
      </c>
      <c r="K578" s="1170"/>
      <c r="M578" s="1170"/>
    </row>
    <row r="579" spans="2:13" ht="15" hidden="1" customHeight="1" outlineLevel="1" x14ac:dyDescent="0.25">
      <c r="B579" s="1142" t="s">
        <v>830</v>
      </c>
      <c r="C579" s="1143"/>
      <c r="D579" s="1143" t="s">
        <v>903</v>
      </c>
      <c r="E579" s="1146">
        <v>25</v>
      </c>
      <c r="F579" s="1174" t="s">
        <v>1660</v>
      </c>
      <c r="G579" s="1146" t="s">
        <v>747</v>
      </c>
      <c r="H579" s="1174" t="s">
        <v>125</v>
      </c>
      <c r="I579" s="1146"/>
      <c r="J579" s="1148" t="s">
        <v>849</v>
      </c>
      <c r="K579" s="1170"/>
      <c r="M579" s="1170" t="s">
        <v>872</v>
      </c>
    </row>
    <row r="580" spans="2:13" ht="15" hidden="1" customHeight="1" outlineLevel="1" x14ac:dyDescent="0.25">
      <c r="B580" s="1142" t="s">
        <v>830</v>
      </c>
      <c r="C580" s="1143"/>
      <c r="D580" s="1143" t="s">
        <v>873</v>
      </c>
      <c r="E580" s="1146">
        <v>5</v>
      </c>
      <c r="F580" s="1174" t="s">
        <v>125</v>
      </c>
      <c r="G580" s="1146"/>
      <c r="H580" s="1174" t="s">
        <v>125</v>
      </c>
      <c r="I580" s="1146"/>
      <c r="J580" s="1148" t="s">
        <v>849</v>
      </c>
      <c r="K580" s="1170"/>
      <c r="M580" s="1170"/>
    </row>
    <row r="581" spans="2:13" ht="15" hidden="1" customHeight="1" outlineLevel="1" x14ac:dyDescent="0.25">
      <c r="B581" s="1142" t="s">
        <v>830</v>
      </c>
      <c r="C581" s="1143"/>
      <c r="D581" s="1143" t="s">
        <v>857</v>
      </c>
      <c r="E581" s="1146">
        <v>0.309</v>
      </c>
      <c r="F581" s="1174" t="s">
        <v>125</v>
      </c>
      <c r="G581" s="1146"/>
      <c r="H581" s="1174" t="s">
        <v>125</v>
      </c>
      <c r="I581" s="1146"/>
      <c r="J581" s="1148" t="s">
        <v>304</v>
      </c>
      <c r="K581" s="1170"/>
      <c r="M581" s="1170" t="s">
        <v>876</v>
      </c>
    </row>
    <row r="582" spans="2:13" ht="15" hidden="1" customHeight="1" outlineLevel="1" x14ac:dyDescent="0.25">
      <c r="B582" s="1149" t="s">
        <v>830</v>
      </c>
      <c r="C582" s="1150"/>
      <c r="D582" s="1150" t="s">
        <v>858</v>
      </c>
      <c r="E582" s="1158">
        <v>0.13200000000000001</v>
      </c>
      <c r="F582" s="1176" t="s">
        <v>125</v>
      </c>
      <c r="G582" s="1158"/>
      <c r="H582" s="1176" t="s">
        <v>125</v>
      </c>
      <c r="I582" s="1158"/>
      <c r="J582" s="1155" t="s">
        <v>304</v>
      </c>
      <c r="K582" s="1170"/>
      <c r="M582" s="1170" t="s">
        <v>876</v>
      </c>
    </row>
    <row r="583" spans="2:13" ht="15" customHeight="1" collapsed="1" x14ac:dyDescent="0.25">
      <c r="B583" s="1109"/>
      <c r="D583" s="1159"/>
      <c r="E583" s="672"/>
      <c r="F583" s="1195" t="s">
        <v>125</v>
      </c>
      <c r="G583" s="672"/>
      <c r="H583" s="1195" t="s">
        <v>125</v>
      </c>
      <c r="I583" s="672"/>
      <c r="J583" s="672"/>
    </row>
    <row r="584" spans="2:13" ht="15" customHeight="1" collapsed="1" x14ac:dyDescent="0.25">
      <c r="B584" s="1164" t="s">
        <v>825</v>
      </c>
      <c r="C584" s="1165"/>
      <c r="D584" s="1165" t="s">
        <v>971</v>
      </c>
      <c r="E584" s="1168">
        <v>0.96</v>
      </c>
      <c r="F584" s="1178" t="s">
        <v>248</v>
      </c>
      <c r="G584" s="1168" t="s">
        <v>754</v>
      </c>
      <c r="H584" s="1178"/>
      <c r="I584" s="1168"/>
      <c r="J584" s="246" t="s">
        <v>221</v>
      </c>
      <c r="K584" s="292">
        <v>100</v>
      </c>
    </row>
    <row r="585" spans="2:13" ht="15" hidden="1" customHeight="1" outlineLevel="1" x14ac:dyDescent="0.25">
      <c r="B585" s="1142" t="s">
        <v>830</v>
      </c>
      <c r="C585" s="1143"/>
      <c r="D585" s="1143" t="s">
        <v>964</v>
      </c>
      <c r="E585" s="1146">
        <v>260</v>
      </c>
      <c r="F585" s="1174" t="s">
        <v>125</v>
      </c>
      <c r="G585" s="1108"/>
      <c r="H585" s="1187" t="s">
        <v>125</v>
      </c>
      <c r="I585" s="1108"/>
      <c r="J585" s="1148" t="s">
        <v>849</v>
      </c>
      <c r="K585" s="1" t="s">
        <v>125</v>
      </c>
      <c r="M585" s="1" t="s">
        <v>972</v>
      </c>
    </row>
    <row r="586" spans="2:13" ht="15" hidden="1" customHeight="1" outlineLevel="1" x14ac:dyDescent="0.25">
      <c r="B586" s="1142" t="s">
        <v>830</v>
      </c>
      <c r="C586" s="1143"/>
      <c r="D586" s="1143" t="s">
        <v>860</v>
      </c>
      <c r="E586" s="1146">
        <v>360</v>
      </c>
      <c r="F586" s="1174" t="s">
        <v>125</v>
      </c>
      <c r="G586" s="1146"/>
      <c r="H586" s="1174" t="s">
        <v>125</v>
      </c>
      <c r="I586" s="1146"/>
      <c r="J586" s="1148" t="s">
        <v>849</v>
      </c>
      <c r="K586" s="1" t="s">
        <v>125</v>
      </c>
      <c r="M586" s="1" t="s">
        <v>125</v>
      </c>
    </row>
    <row r="587" spans="2:13" ht="15" hidden="1" customHeight="1" outlineLevel="1" x14ac:dyDescent="0.25">
      <c r="B587" s="1142" t="s">
        <v>830</v>
      </c>
      <c r="C587" s="1143"/>
      <c r="D587" s="1143" t="s">
        <v>861</v>
      </c>
      <c r="E587" s="1146">
        <v>60</v>
      </c>
      <c r="F587" s="1174" t="s">
        <v>125</v>
      </c>
      <c r="G587" s="1146"/>
      <c r="H587" s="1174" t="s">
        <v>125</v>
      </c>
      <c r="I587" s="1146"/>
      <c r="J587" s="1148" t="s">
        <v>849</v>
      </c>
      <c r="K587" s="1" t="s">
        <v>125</v>
      </c>
      <c r="M587" s="1" t="s">
        <v>972</v>
      </c>
    </row>
    <row r="588" spans="2:13" ht="15" hidden="1" customHeight="1" outlineLevel="1" x14ac:dyDescent="0.25">
      <c r="B588" s="1142" t="s">
        <v>830</v>
      </c>
      <c r="C588" s="1143"/>
      <c r="D588" s="1143" t="s">
        <v>870</v>
      </c>
      <c r="E588" s="1146">
        <v>10</v>
      </c>
      <c r="F588" s="1174" t="s">
        <v>125</v>
      </c>
      <c r="G588" s="1146"/>
      <c r="H588" s="1174" t="s">
        <v>125</v>
      </c>
      <c r="I588" s="1146"/>
      <c r="J588" s="1148" t="s">
        <v>849</v>
      </c>
      <c r="K588" s="1" t="s">
        <v>125</v>
      </c>
      <c r="M588" s="1" t="s">
        <v>125</v>
      </c>
    </row>
    <row r="589" spans="2:13" ht="15" hidden="1" customHeight="1" outlineLevel="1" x14ac:dyDescent="0.25">
      <c r="B589" s="1142" t="s">
        <v>830</v>
      </c>
      <c r="C589" s="1143"/>
      <c r="D589" s="1143" t="s">
        <v>964</v>
      </c>
      <c r="E589" s="1146">
        <v>20</v>
      </c>
      <c r="F589" s="1174" t="s">
        <v>125</v>
      </c>
      <c r="G589" s="1146"/>
      <c r="H589" s="1174" t="s">
        <v>125</v>
      </c>
      <c r="I589" s="1146"/>
      <c r="J589" s="1148" t="s">
        <v>849</v>
      </c>
      <c r="K589" s="1" t="s">
        <v>125</v>
      </c>
      <c r="M589" s="1" t="s">
        <v>972</v>
      </c>
    </row>
    <row r="590" spans="2:13" ht="15" hidden="1" customHeight="1" outlineLevel="1" x14ac:dyDescent="0.25">
      <c r="B590" s="1142" t="s">
        <v>830</v>
      </c>
      <c r="C590" s="1143"/>
      <c r="D590" s="1143" t="s">
        <v>899</v>
      </c>
      <c r="E590" s="1146">
        <v>10</v>
      </c>
      <c r="F590" s="1174" t="s">
        <v>125</v>
      </c>
      <c r="G590" s="1146"/>
      <c r="H590" s="1174" t="s">
        <v>125</v>
      </c>
      <c r="I590" s="1146"/>
      <c r="J590" s="1148" t="s">
        <v>849</v>
      </c>
      <c r="K590" s="1" t="s">
        <v>125</v>
      </c>
      <c r="M590" s="1" t="s">
        <v>125</v>
      </c>
    </row>
    <row r="591" spans="2:13" ht="15" hidden="1" customHeight="1" outlineLevel="1" x14ac:dyDescent="0.25">
      <c r="B591" s="1142" t="s">
        <v>830</v>
      </c>
      <c r="C591" s="1143"/>
      <c r="D591" s="1143" t="s">
        <v>886</v>
      </c>
      <c r="E591" s="1146">
        <v>10</v>
      </c>
      <c r="F591" s="1174" t="s">
        <v>125</v>
      </c>
      <c r="G591" s="1146"/>
      <c r="H591" s="1174" t="s">
        <v>125</v>
      </c>
      <c r="I591" s="1146"/>
      <c r="J591" s="1148" t="s">
        <v>849</v>
      </c>
      <c r="K591" s="1" t="s">
        <v>125</v>
      </c>
      <c r="M591" s="1" t="s">
        <v>125</v>
      </c>
    </row>
    <row r="592" spans="2:13" ht="15" hidden="1" customHeight="1" outlineLevel="1" x14ac:dyDescent="0.25">
      <c r="B592" s="1142" t="s">
        <v>830</v>
      </c>
      <c r="C592" s="1143"/>
      <c r="D592" s="1143" t="s">
        <v>906</v>
      </c>
      <c r="E592" s="1146">
        <v>10</v>
      </c>
      <c r="F592" s="1174" t="s">
        <v>125</v>
      </c>
      <c r="G592" s="1146"/>
      <c r="H592" s="1174" t="s">
        <v>125</v>
      </c>
      <c r="I592" s="1146"/>
      <c r="J592" s="1148" t="s">
        <v>849</v>
      </c>
      <c r="K592" s="1" t="s">
        <v>125</v>
      </c>
      <c r="M592" s="1" t="s">
        <v>972</v>
      </c>
    </row>
    <row r="593" spans="2:13" ht="15" hidden="1" customHeight="1" outlineLevel="1" x14ac:dyDescent="0.25">
      <c r="B593" s="1142" t="s">
        <v>830</v>
      </c>
      <c r="C593" s="1143"/>
      <c r="D593" s="1143" t="s">
        <v>871</v>
      </c>
      <c r="E593" s="1146">
        <v>10</v>
      </c>
      <c r="F593" s="1174" t="s">
        <v>1660</v>
      </c>
      <c r="G593" s="1146" t="s">
        <v>747</v>
      </c>
      <c r="H593" s="1174" t="s">
        <v>125</v>
      </c>
      <c r="I593" s="1146"/>
      <c r="J593" s="1148" t="s">
        <v>849</v>
      </c>
      <c r="K593" s="1" t="s">
        <v>125</v>
      </c>
      <c r="M593" s="1" t="s">
        <v>973</v>
      </c>
    </row>
    <row r="594" spans="2:13" ht="15" hidden="1" customHeight="1" outlineLevel="1" x14ac:dyDescent="0.25">
      <c r="B594" s="1142" t="s">
        <v>830</v>
      </c>
      <c r="C594" s="1143"/>
      <c r="D594" s="1143" t="s">
        <v>887</v>
      </c>
      <c r="E594" s="1146">
        <v>40</v>
      </c>
      <c r="F594" s="1174" t="s">
        <v>125</v>
      </c>
      <c r="G594" s="1146"/>
      <c r="H594" s="1174" t="s">
        <v>125</v>
      </c>
      <c r="I594" s="1146"/>
      <c r="J594" s="1148" t="s">
        <v>849</v>
      </c>
      <c r="K594" s="1" t="s">
        <v>125</v>
      </c>
      <c r="M594" s="1" t="s">
        <v>972</v>
      </c>
    </row>
    <row r="595" spans="2:13" ht="15" hidden="1" customHeight="1" outlineLevel="1" x14ac:dyDescent="0.25">
      <c r="B595" s="1142" t="s">
        <v>830</v>
      </c>
      <c r="C595" s="1143"/>
      <c r="D595" s="1143" t="s">
        <v>867</v>
      </c>
      <c r="E595" s="1146">
        <v>130</v>
      </c>
      <c r="F595" s="1174" t="s">
        <v>125</v>
      </c>
      <c r="G595" s="1146"/>
      <c r="H595" s="1174" t="s">
        <v>125</v>
      </c>
      <c r="I595" s="1146"/>
      <c r="J595" s="1148" t="s">
        <v>849</v>
      </c>
      <c r="K595" s="1" t="s">
        <v>125</v>
      </c>
      <c r="M595" s="1" t="s">
        <v>972</v>
      </c>
    </row>
    <row r="596" spans="2:13" ht="15" hidden="1" customHeight="1" outlineLevel="1" x14ac:dyDescent="0.25">
      <c r="B596" s="1142" t="s">
        <v>830</v>
      </c>
      <c r="C596" s="1143"/>
      <c r="D596" s="1143" t="s">
        <v>869</v>
      </c>
      <c r="E596" s="1146">
        <v>20</v>
      </c>
      <c r="F596" s="1174" t="s">
        <v>125</v>
      </c>
      <c r="G596" s="1146"/>
      <c r="H596" s="1174" t="s">
        <v>125</v>
      </c>
      <c r="I596" s="1146"/>
      <c r="J596" s="1148" t="s">
        <v>849</v>
      </c>
      <c r="K596" s="1" t="s">
        <v>125</v>
      </c>
      <c r="M596" s="1" t="s">
        <v>125</v>
      </c>
    </row>
    <row r="597" spans="2:13" ht="15" hidden="1" customHeight="1" outlineLevel="1" x14ac:dyDescent="0.25">
      <c r="B597" s="1142" t="s">
        <v>830</v>
      </c>
      <c r="C597" s="1143"/>
      <c r="D597" s="1143" t="s">
        <v>868</v>
      </c>
      <c r="E597" s="1146">
        <v>20</v>
      </c>
      <c r="F597" s="1174" t="s">
        <v>125</v>
      </c>
      <c r="G597" s="1146"/>
      <c r="H597" s="1174" t="s">
        <v>125</v>
      </c>
      <c r="I597" s="1146"/>
      <c r="J597" s="1148" t="s">
        <v>849</v>
      </c>
      <c r="K597" s="1" t="s">
        <v>125</v>
      </c>
      <c r="M597" s="1" t="s">
        <v>125</v>
      </c>
    </row>
    <row r="598" spans="2:13" ht="15" hidden="1" customHeight="1" outlineLevel="1" x14ac:dyDescent="0.25">
      <c r="B598" s="1142" t="s">
        <v>830</v>
      </c>
      <c r="C598" s="1143"/>
      <c r="D598" s="1143" t="s">
        <v>857</v>
      </c>
      <c r="E598" s="1146">
        <v>0.30199999999999999</v>
      </c>
      <c r="F598" s="1174" t="s">
        <v>125</v>
      </c>
      <c r="G598" s="1146"/>
      <c r="H598" s="1174" t="s">
        <v>125</v>
      </c>
      <c r="I598" s="1146"/>
      <c r="J598" s="1148" t="s">
        <v>304</v>
      </c>
      <c r="K598" s="1" t="s">
        <v>125</v>
      </c>
      <c r="M598" s="1" t="s">
        <v>876</v>
      </c>
    </row>
    <row r="599" spans="2:13" ht="15" hidden="1" customHeight="1" outlineLevel="1" x14ac:dyDescent="0.25">
      <c r="B599" s="1149" t="s">
        <v>830</v>
      </c>
      <c r="C599" s="1150"/>
      <c r="D599" s="1150" t="s">
        <v>858</v>
      </c>
      <c r="E599" s="1158">
        <v>0.13</v>
      </c>
      <c r="F599" s="1176" t="s">
        <v>125</v>
      </c>
      <c r="G599" s="1158"/>
      <c r="H599" s="1176" t="s">
        <v>125</v>
      </c>
      <c r="I599" s="1158"/>
      <c r="J599" s="1155" t="s">
        <v>304</v>
      </c>
      <c r="K599" s="1" t="s">
        <v>125</v>
      </c>
      <c r="M599" s="1" t="s">
        <v>876</v>
      </c>
    </row>
    <row r="600" spans="2:13" ht="15" customHeight="1" collapsed="1" x14ac:dyDescent="0.25">
      <c r="B600" s="1109"/>
      <c r="D600" s="1159"/>
      <c r="E600" s="672"/>
      <c r="F600" s="1195" t="s">
        <v>125</v>
      </c>
      <c r="G600" s="672"/>
      <c r="H600" s="1195" t="s">
        <v>125</v>
      </c>
      <c r="I600" s="672"/>
      <c r="J600" s="672"/>
    </row>
    <row r="601" spans="2:13" ht="15" customHeight="1" x14ac:dyDescent="0.25">
      <c r="B601" s="1127" t="s">
        <v>825</v>
      </c>
      <c r="C601" s="1128"/>
      <c r="D601" s="1128" t="s">
        <v>1386</v>
      </c>
      <c r="E601" s="1130">
        <v>16</v>
      </c>
      <c r="F601" s="1172" t="s">
        <v>125</v>
      </c>
      <c r="G601" s="1130"/>
      <c r="H601" s="1172" t="s">
        <v>125</v>
      </c>
      <c r="I601" s="1130"/>
      <c r="J601" s="208" t="s">
        <v>221</v>
      </c>
      <c r="K601" s="208">
        <v>11.53</v>
      </c>
    </row>
    <row r="602" spans="2:13" ht="15" customHeight="1" x14ac:dyDescent="0.25">
      <c r="B602" s="1183" t="s">
        <v>825</v>
      </c>
      <c r="C602" s="1171"/>
      <c r="D602" s="1171" t="s">
        <v>1387</v>
      </c>
      <c r="E602" s="1157">
        <v>54</v>
      </c>
      <c r="F602" s="1184" t="s">
        <v>125</v>
      </c>
      <c r="G602" s="1157"/>
      <c r="H602" s="1184" t="s">
        <v>125</v>
      </c>
      <c r="I602" s="1157"/>
      <c r="J602" s="209" t="s">
        <v>221</v>
      </c>
      <c r="K602" s="209">
        <v>0.97</v>
      </c>
    </row>
    <row r="603" spans="2:13" ht="15" customHeight="1" x14ac:dyDescent="0.25">
      <c r="B603" s="1183" t="s">
        <v>825</v>
      </c>
      <c r="C603" s="1171"/>
      <c r="D603" s="1171" t="s">
        <v>1388</v>
      </c>
      <c r="E603" s="1157">
        <v>140</v>
      </c>
      <c r="F603" s="1184" t="s">
        <v>125</v>
      </c>
      <c r="G603" s="1157"/>
      <c r="H603" s="1184" t="s">
        <v>125</v>
      </c>
      <c r="I603" s="1157"/>
      <c r="J603" s="209" t="s">
        <v>221</v>
      </c>
      <c r="K603" s="209">
        <v>1.77</v>
      </c>
    </row>
    <row r="604" spans="2:13" ht="15" customHeight="1" collapsed="1" x14ac:dyDescent="0.25">
      <c r="B604" s="1132" t="s">
        <v>825</v>
      </c>
      <c r="C604" s="1107"/>
      <c r="D604" s="1107" t="s">
        <v>1389</v>
      </c>
      <c r="E604" s="1135">
        <v>238</v>
      </c>
      <c r="F604" s="1173" t="s">
        <v>125</v>
      </c>
      <c r="G604" s="1135"/>
      <c r="H604" s="1173" t="s">
        <v>125</v>
      </c>
      <c r="I604" s="1135"/>
      <c r="J604" s="211" t="s">
        <v>221</v>
      </c>
      <c r="K604" s="531">
        <v>85.73</v>
      </c>
    </row>
    <row r="605" spans="2:13" ht="15" hidden="1" customHeight="1" outlineLevel="1" x14ac:dyDescent="0.25">
      <c r="B605" s="953" t="s">
        <v>827</v>
      </c>
      <c r="C605" s="1138"/>
      <c r="D605" s="1138" t="s">
        <v>980</v>
      </c>
      <c r="E605" s="954">
        <v>1100</v>
      </c>
      <c r="F605" s="1185" t="s">
        <v>125</v>
      </c>
      <c r="G605" s="954"/>
      <c r="H605" s="1185" t="s">
        <v>125</v>
      </c>
      <c r="I605" s="954"/>
      <c r="J605" s="955" t="s">
        <v>851</v>
      </c>
      <c r="K605" s="207"/>
    </row>
    <row r="606" spans="2:13" ht="15" hidden="1" customHeight="1" outlineLevel="1" x14ac:dyDescent="0.25">
      <c r="B606" s="1186" t="s">
        <v>830</v>
      </c>
      <c r="C606" s="1143"/>
      <c r="D606" s="1143" t="s">
        <v>1390</v>
      </c>
      <c r="E606" s="1108">
        <v>1000</v>
      </c>
      <c r="F606" s="1187" t="s">
        <v>125</v>
      </c>
      <c r="G606" s="1108"/>
      <c r="H606" s="1187" t="s">
        <v>125</v>
      </c>
      <c r="I606" s="1108"/>
      <c r="J606" s="1148" t="s">
        <v>221</v>
      </c>
    </row>
    <row r="607" spans="2:13" ht="15" hidden="1" customHeight="1" outlineLevel="1" x14ac:dyDescent="0.25">
      <c r="B607" s="1186" t="s">
        <v>830</v>
      </c>
      <c r="C607" s="1143"/>
      <c r="D607" s="1143" t="s">
        <v>1278</v>
      </c>
      <c r="E607" s="1108">
        <v>790</v>
      </c>
      <c r="F607" s="1187" t="s">
        <v>125</v>
      </c>
      <c r="G607" s="1108"/>
      <c r="H607" s="1187" t="s">
        <v>125</v>
      </c>
      <c r="I607" s="1108"/>
      <c r="J607" s="1148" t="s">
        <v>304</v>
      </c>
    </row>
    <row r="608" spans="2:13" ht="15" hidden="1" customHeight="1" outlineLevel="1" x14ac:dyDescent="0.25">
      <c r="B608" s="1188" t="s">
        <v>1281</v>
      </c>
      <c r="C608" s="1150"/>
      <c r="D608" s="1150" t="s">
        <v>1283</v>
      </c>
      <c r="E608" s="1153">
        <v>1652</v>
      </c>
      <c r="F608" s="1189" t="s">
        <v>125</v>
      </c>
      <c r="G608" s="1153"/>
      <c r="H608" s="1189" t="s">
        <v>125</v>
      </c>
      <c r="I608" s="1153"/>
      <c r="J608" s="1155" t="s">
        <v>221</v>
      </c>
    </row>
    <row r="609" spans="2:13" ht="15" customHeight="1" x14ac:dyDescent="0.25">
      <c r="F609" s="1177" t="s">
        <v>125</v>
      </c>
      <c r="H609" s="1177" t="s">
        <v>125</v>
      </c>
    </row>
    <row r="610" spans="2:13" ht="15" customHeight="1" collapsed="1" x14ac:dyDescent="0.25">
      <c r="B610" s="1164" t="s">
        <v>825</v>
      </c>
      <c r="C610" s="1165"/>
      <c r="D610" s="1165" t="s">
        <v>910</v>
      </c>
      <c r="E610" s="1168">
        <v>1</v>
      </c>
      <c r="F610" s="1178" t="s">
        <v>1660</v>
      </c>
      <c r="G610" s="1168" t="s">
        <v>2156</v>
      </c>
      <c r="H610" s="1178" t="s">
        <v>125</v>
      </c>
      <c r="I610" s="1168"/>
      <c r="J610" s="246" t="s">
        <v>1286</v>
      </c>
      <c r="K610" s="292">
        <v>100</v>
      </c>
    </row>
    <row r="611" spans="2:13" ht="15" hidden="1" customHeight="1" outlineLevel="1" x14ac:dyDescent="0.25">
      <c r="B611" s="953" t="s">
        <v>830</v>
      </c>
      <c r="C611" s="1138"/>
      <c r="D611" s="1138" t="s">
        <v>1388</v>
      </c>
      <c r="E611" s="954">
        <v>0.1</v>
      </c>
      <c r="F611" s="1185" t="s">
        <v>125</v>
      </c>
      <c r="G611" s="954"/>
      <c r="H611" s="1185" t="s">
        <v>125</v>
      </c>
      <c r="I611" s="954"/>
      <c r="J611" s="955" t="s">
        <v>1286</v>
      </c>
      <c r="K611" s="207" t="s">
        <v>125</v>
      </c>
      <c r="M611" s="1" t="s">
        <v>1294</v>
      </c>
    </row>
    <row r="612" spans="2:13" ht="15" hidden="1" customHeight="1" outlineLevel="1" x14ac:dyDescent="0.25">
      <c r="B612" s="1186" t="s">
        <v>830</v>
      </c>
      <c r="C612" s="1143"/>
      <c r="D612" s="1143" t="s">
        <v>1391</v>
      </c>
      <c r="E612" s="1108">
        <v>0.9</v>
      </c>
      <c r="F612" s="1187" t="s">
        <v>1660</v>
      </c>
      <c r="G612" s="1108" t="s">
        <v>747</v>
      </c>
      <c r="H612" s="1187" t="s">
        <v>125</v>
      </c>
      <c r="I612" s="1108"/>
      <c r="J612" s="1148" t="s">
        <v>1286</v>
      </c>
      <c r="K612" s="1" t="s">
        <v>125</v>
      </c>
      <c r="M612" s="1" t="s">
        <v>1314</v>
      </c>
    </row>
    <row r="613" spans="2:13" ht="15" hidden="1" customHeight="1" outlineLevel="1" x14ac:dyDescent="0.25">
      <c r="B613" s="1186" t="s">
        <v>830</v>
      </c>
      <c r="C613" s="1143"/>
      <c r="D613" s="1143" t="s">
        <v>1272</v>
      </c>
      <c r="E613" s="1108">
        <v>21.63</v>
      </c>
      <c r="F613" s="1187" t="s">
        <v>1660</v>
      </c>
      <c r="G613" s="1108" t="s">
        <v>747</v>
      </c>
      <c r="H613" s="1187" t="s">
        <v>125</v>
      </c>
      <c r="I613" s="1108"/>
      <c r="J613" s="1148" t="s">
        <v>836</v>
      </c>
      <c r="K613" s="1" t="s">
        <v>125</v>
      </c>
      <c r="M613" s="1" t="s">
        <v>1330</v>
      </c>
    </row>
    <row r="614" spans="2:13" ht="15" hidden="1" customHeight="1" outlineLevel="1" x14ac:dyDescent="0.25">
      <c r="B614" s="1186" t="s">
        <v>830</v>
      </c>
      <c r="C614" s="1143"/>
      <c r="D614" s="1143" t="s">
        <v>1268</v>
      </c>
      <c r="E614" s="1108">
        <v>10.32</v>
      </c>
      <c r="F614" s="1187" t="s">
        <v>1660</v>
      </c>
      <c r="G614" s="1108" t="s">
        <v>747</v>
      </c>
      <c r="H614" s="1187" t="s">
        <v>125</v>
      </c>
      <c r="I614" s="1108"/>
      <c r="J614" s="1148" t="s">
        <v>836</v>
      </c>
      <c r="K614" s="1" t="s">
        <v>125</v>
      </c>
      <c r="M614" s="1" t="s">
        <v>1330</v>
      </c>
    </row>
    <row r="615" spans="2:13" ht="15" hidden="1" customHeight="1" outlineLevel="1" x14ac:dyDescent="0.25">
      <c r="B615" s="1186" t="s">
        <v>830</v>
      </c>
      <c r="C615" s="1143"/>
      <c r="D615" s="1143" t="s">
        <v>1265</v>
      </c>
      <c r="E615" s="1108">
        <v>17.36</v>
      </c>
      <c r="F615" s="1187" t="s">
        <v>1660</v>
      </c>
      <c r="G615" s="1108" t="s">
        <v>747</v>
      </c>
      <c r="H615" s="1187" t="s">
        <v>125</v>
      </c>
      <c r="I615" s="1108"/>
      <c r="J615" s="1148" t="s">
        <v>836</v>
      </c>
      <c r="K615" s="1" t="s">
        <v>125</v>
      </c>
      <c r="M615" s="1" t="s">
        <v>1330</v>
      </c>
    </row>
    <row r="616" spans="2:13" ht="15" hidden="1" customHeight="1" outlineLevel="1" x14ac:dyDescent="0.25">
      <c r="B616" s="1186" t="s">
        <v>830</v>
      </c>
      <c r="C616" s="1143"/>
      <c r="D616" s="1143" t="s">
        <v>1272</v>
      </c>
      <c r="E616" s="1108">
        <v>50.3</v>
      </c>
      <c r="F616" s="1187" t="s">
        <v>1660</v>
      </c>
      <c r="G616" s="1108" t="s">
        <v>747</v>
      </c>
      <c r="H616" s="1187" t="s">
        <v>2220</v>
      </c>
      <c r="I616" s="1108" t="s">
        <v>2239</v>
      </c>
      <c r="J616" s="1148" t="s">
        <v>836</v>
      </c>
      <c r="K616" s="1" t="s">
        <v>125</v>
      </c>
      <c r="M616" s="1" t="s">
        <v>1319</v>
      </c>
    </row>
    <row r="617" spans="2:13" ht="15" hidden="1" customHeight="1" outlineLevel="1" x14ac:dyDescent="0.25">
      <c r="B617" s="1186" t="s">
        <v>830</v>
      </c>
      <c r="C617" s="1143"/>
      <c r="D617" s="1143" t="s">
        <v>1268</v>
      </c>
      <c r="E617" s="1108">
        <v>1.99</v>
      </c>
      <c r="F617" s="1187" t="s">
        <v>1660</v>
      </c>
      <c r="G617" s="1108" t="s">
        <v>747</v>
      </c>
      <c r="H617" s="1187" t="s">
        <v>2220</v>
      </c>
      <c r="I617" s="1108" t="s">
        <v>2240</v>
      </c>
      <c r="J617" s="1148" t="s">
        <v>836</v>
      </c>
      <c r="K617" s="1" t="s">
        <v>125</v>
      </c>
      <c r="M617" s="1" t="s">
        <v>1319</v>
      </c>
    </row>
    <row r="618" spans="2:13" ht="15" hidden="1" customHeight="1" outlineLevel="1" x14ac:dyDescent="0.25">
      <c r="B618" s="1188" t="s">
        <v>830</v>
      </c>
      <c r="C618" s="1150"/>
      <c r="D618" s="1150" t="s">
        <v>1264</v>
      </c>
      <c r="E618" s="1153">
        <v>17.260000000000002</v>
      </c>
      <c r="F618" s="1189" t="s">
        <v>1660</v>
      </c>
      <c r="G618" s="1153" t="s">
        <v>747</v>
      </c>
      <c r="H618" s="1189" t="s">
        <v>2220</v>
      </c>
      <c r="I618" s="1153" t="s">
        <v>2241</v>
      </c>
      <c r="J618" s="1155" t="s">
        <v>836</v>
      </c>
      <c r="K618" s="1" t="s">
        <v>125</v>
      </c>
      <c r="M618" s="1" t="s">
        <v>1319</v>
      </c>
    </row>
    <row r="619" spans="2:13" ht="15" customHeight="1" x14ac:dyDescent="0.25">
      <c r="F619" s="1177" t="s">
        <v>125</v>
      </c>
      <c r="H619" s="1177" t="s">
        <v>125</v>
      </c>
    </row>
    <row r="620" spans="2:13" ht="15" customHeight="1" collapsed="1" x14ac:dyDescent="0.25">
      <c r="B620" s="1164" t="s">
        <v>825</v>
      </c>
      <c r="C620" s="1165"/>
      <c r="D620" s="1165" t="s">
        <v>1390</v>
      </c>
      <c r="E620" s="1168">
        <v>1</v>
      </c>
      <c r="F620" s="1178" t="s">
        <v>1660</v>
      </c>
      <c r="G620" s="1168" t="s">
        <v>739</v>
      </c>
      <c r="H620" s="1178" t="s">
        <v>125</v>
      </c>
      <c r="I620" s="1168"/>
      <c r="J620" s="246" t="s">
        <v>221</v>
      </c>
      <c r="K620" s="292">
        <v>100</v>
      </c>
    </row>
    <row r="621" spans="2:13" ht="15" hidden="1" customHeight="1" outlineLevel="1" x14ac:dyDescent="0.25">
      <c r="B621" s="953" t="s">
        <v>830</v>
      </c>
      <c r="C621" s="1138"/>
      <c r="D621" s="1138" t="s">
        <v>1160</v>
      </c>
      <c r="E621" s="954">
        <v>0.96299999999999997</v>
      </c>
      <c r="F621" s="1185" t="s">
        <v>125</v>
      </c>
      <c r="G621" s="954"/>
      <c r="H621" s="1185" t="s">
        <v>125</v>
      </c>
      <c r="I621" s="954"/>
      <c r="J621" s="955" t="s">
        <v>221</v>
      </c>
      <c r="K621" s="207"/>
    </row>
    <row r="622" spans="2:13" ht="15" hidden="1" customHeight="1" outlineLevel="1" x14ac:dyDescent="0.25">
      <c r="B622" s="1186" t="s">
        <v>830</v>
      </c>
      <c r="C622" s="1143"/>
      <c r="D622" s="1143" t="s">
        <v>1392</v>
      </c>
      <c r="E622" s="1108">
        <v>3.6900000000000002E-2</v>
      </c>
      <c r="F622" s="1187" t="s">
        <v>1660</v>
      </c>
      <c r="G622" s="1108" t="s">
        <v>747</v>
      </c>
      <c r="H622" s="1187" t="s">
        <v>125</v>
      </c>
      <c r="I622" s="1108"/>
      <c r="J622" s="1148" t="s">
        <v>221</v>
      </c>
    </row>
    <row r="623" spans="2:13" ht="15" hidden="1" customHeight="1" outlineLevel="1" x14ac:dyDescent="0.25">
      <c r="B623" s="1186" t="s">
        <v>830</v>
      </c>
      <c r="C623" s="1143"/>
      <c r="D623" s="1143" t="s">
        <v>1264</v>
      </c>
      <c r="E623" s="1190">
        <v>3.4724512401596401E-3</v>
      </c>
      <c r="F623" s="1191" t="s">
        <v>1660</v>
      </c>
      <c r="G623" s="1108" t="s">
        <v>747</v>
      </c>
      <c r="H623" s="1187" t="s">
        <v>2220</v>
      </c>
      <c r="I623" s="1108" t="s">
        <v>2242</v>
      </c>
      <c r="J623" s="1148" t="s">
        <v>836</v>
      </c>
    </row>
    <row r="624" spans="2:13" ht="15" hidden="1" customHeight="1" outlineLevel="1" x14ac:dyDescent="0.25">
      <c r="B624" s="1186" t="s">
        <v>830</v>
      </c>
      <c r="C624" s="1143"/>
      <c r="D624" s="1143" t="s">
        <v>1268</v>
      </c>
      <c r="E624" s="1108">
        <v>1.7159301068703999E-2</v>
      </c>
      <c r="F624" s="1187" t="s">
        <v>1660</v>
      </c>
      <c r="G624" s="1108" t="s">
        <v>747</v>
      </c>
      <c r="H624" s="1187" t="s">
        <v>2220</v>
      </c>
      <c r="I624" s="1108" t="s">
        <v>2243</v>
      </c>
      <c r="J624" s="1148" t="s">
        <v>836</v>
      </c>
    </row>
    <row r="625" spans="2:11" ht="15" hidden="1" customHeight="1" outlineLevel="1" x14ac:dyDescent="0.25">
      <c r="B625" s="1188" t="s">
        <v>830</v>
      </c>
      <c r="C625" s="1150"/>
      <c r="D625" s="1150" t="s">
        <v>1272</v>
      </c>
      <c r="E625" s="1192">
        <v>8.1348657796877499E-2</v>
      </c>
      <c r="F625" s="1193" t="s">
        <v>1660</v>
      </c>
      <c r="G625" s="1153" t="s">
        <v>747</v>
      </c>
      <c r="H625" s="1189" t="s">
        <v>2220</v>
      </c>
      <c r="I625" s="1153" t="s">
        <v>2244</v>
      </c>
      <c r="J625" s="1155" t="s">
        <v>836</v>
      </c>
    </row>
    <row r="626" spans="2:11" ht="15" customHeight="1" x14ac:dyDescent="0.25">
      <c r="F626" s="1177" t="s">
        <v>125</v>
      </c>
      <c r="H626" s="1177" t="s">
        <v>125</v>
      </c>
    </row>
    <row r="627" spans="2:11" ht="15" customHeight="1" collapsed="1" x14ac:dyDescent="0.25">
      <c r="B627" s="1164" t="s">
        <v>825</v>
      </c>
      <c r="C627" s="1165"/>
      <c r="D627" s="1165" t="s">
        <v>869</v>
      </c>
      <c r="E627" s="1168">
        <v>1</v>
      </c>
      <c r="F627" s="1178" t="s">
        <v>1660</v>
      </c>
      <c r="G627" s="1168" t="s">
        <v>738</v>
      </c>
      <c r="H627" s="1178" t="s">
        <v>125</v>
      </c>
      <c r="I627" s="1168"/>
      <c r="J627" s="246" t="s">
        <v>221</v>
      </c>
      <c r="K627" s="292">
        <v>100</v>
      </c>
    </row>
    <row r="628" spans="2:11" ht="15" hidden="1" customHeight="1" outlineLevel="1" x14ac:dyDescent="0.25">
      <c r="B628" s="953" t="s">
        <v>830</v>
      </c>
      <c r="C628" s="1138"/>
      <c r="D628" s="1138" t="s">
        <v>1393</v>
      </c>
      <c r="E628" s="954">
        <v>9.8799999999999999E-2</v>
      </c>
      <c r="F628" s="1185" t="s">
        <v>1660</v>
      </c>
      <c r="G628" s="954" t="s">
        <v>747</v>
      </c>
      <c r="H628" s="1185" t="s">
        <v>125</v>
      </c>
      <c r="I628" s="954"/>
      <c r="J628" s="955" t="s">
        <v>221</v>
      </c>
      <c r="K628" s="207"/>
    </row>
    <row r="629" spans="2:11" ht="15" hidden="1" customHeight="1" outlineLevel="1" x14ac:dyDescent="0.25">
      <c r="B629" s="1186" t="s">
        <v>830</v>
      </c>
      <c r="C629" s="1143"/>
      <c r="D629" s="1143" t="s">
        <v>1394</v>
      </c>
      <c r="E629" s="1108">
        <v>2.1000000000000001E-2</v>
      </c>
      <c r="F629" s="1187" t="s">
        <v>1660</v>
      </c>
      <c r="G629" s="1108" t="s">
        <v>747</v>
      </c>
      <c r="H629" s="1187" t="s">
        <v>125</v>
      </c>
      <c r="I629" s="1108"/>
      <c r="J629" s="1148" t="s">
        <v>221</v>
      </c>
    </row>
    <row r="630" spans="2:11" ht="15" hidden="1" customHeight="1" outlineLevel="1" x14ac:dyDescent="0.25">
      <c r="B630" s="1186" t="s">
        <v>830</v>
      </c>
      <c r="C630" s="1143"/>
      <c r="D630" s="1143" t="s">
        <v>1395</v>
      </c>
      <c r="E630" s="1108">
        <v>2.5499999999999998E-2</v>
      </c>
      <c r="F630" s="1187" t="s">
        <v>1660</v>
      </c>
      <c r="G630" s="1108" t="s">
        <v>747</v>
      </c>
      <c r="H630" s="1187" t="s">
        <v>125</v>
      </c>
      <c r="I630" s="1108"/>
      <c r="J630" s="1148" t="s">
        <v>221</v>
      </c>
    </row>
    <row r="631" spans="2:11" ht="15" hidden="1" customHeight="1" outlineLevel="1" x14ac:dyDescent="0.25">
      <c r="B631" s="1186" t="s">
        <v>830</v>
      </c>
      <c r="C631" s="1143"/>
      <c r="D631" s="1143" t="s">
        <v>1275</v>
      </c>
      <c r="E631" s="1108">
        <v>0.47899999999999998</v>
      </c>
      <c r="F631" s="1187" t="s">
        <v>125</v>
      </c>
      <c r="G631" s="1108"/>
      <c r="H631" s="1187" t="s">
        <v>125</v>
      </c>
      <c r="I631" s="1108"/>
      <c r="J631" s="1148" t="s">
        <v>221</v>
      </c>
    </row>
    <row r="632" spans="2:11" ht="15" hidden="1" customHeight="1" outlineLevel="1" x14ac:dyDescent="0.25">
      <c r="B632" s="1186" t="s">
        <v>830</v>
      </c>
      <c r="C632" s="1143"/>
      <c r="D632" s="1143" t="s">
        <v>1396</v>
      </c>
      <c r="E632" s="1108">
        <v>0.36399999999999999</v>
      </c>
      <c r="F632" s="1187" t="s">
        <v>1660</v>
      </c>
      <c r="G632" s="1108" t="s">
        <v>747</v>
      </c>
      <c r="H632" s="1187" t="s">
        <v>125</v>
      </c>
      <c r="I632" s="1108"/>
      <c r="J632" s="1148" t="s">
        <v>221</v>
      </c>
    </row>
    <row r="633" spans="2:11" ht="15" hidden="1" customHeight="1" outlineLevel="1" x14ac:dyDescent="0.25">
      <c r="B633" s="1186" t="s">
        <v>830</v>
      </c>
      <c r="C633" s="1143"/>
      <c r="D633" s="1143" t="s">
        <v>1397</v>
      </c>
      <c r="E633" s="1108">
        <v>1.14E-2</v>
      </c>
      <c r="F633" s="1187" t="s">
        <v>1660</v>
      </c>
      <c r="G633" s="1108" t="s">
        <v>747</v>
      </c>
      <c r="H633" s="1187" t="s">
        <v>125</v>
      </c>
      <c r="I633" s="1108"/>
      <c r="J633" s="1148" t="s">
        <v>221</v>
      </c>
    </row>
    <row r="634" spans="2:11" ht="15" hidden="1" customHeight="1" outlineLevel="1" x14ac:dyDescent="0.25">
      <c r="B634" s="1186" t="s">
        <v>830</v>
      </c>
      <c r="C634" s="1143"/>
      <c r="D634" s="1143" t="s">
        <v>1264</v>
      </c>
      <c r="E634" s="1190">
        <v>2.6127822513978199E-2</v>
      </c>
      <c r="F634" s="1191" t="s">
        <v>1660</v>
      </c>
      <c r="G634" s="1108" t="s">
        <v>747</v>
      </c>
      <c r="H634" s="1187" t="s">
        <v>2220</v>
      </c>
      <c r="I634" s="1108" t="s">
        <v>2245</v>
      </c>
      <c r="J634" s="1148" t="s">
        <v>836</v>
      </c>
    </row>
    <row r="635" spans="2:11" ht="15" hidden="1" customHeight="1" outlineLevel="1" x14ac:dyDescent="0.25">
      <c r="B635" s="1186" t="s">
        <v>830</v>
      </c>
      <c r="C635" s="1143"/>
      <c r="D635" s="1143" t="s">
        <v>1265</v>
      </c>
      <c r="E635" s="1190">
        <v>7.4071572544292794E-2</v>
      </c>
      <c r="F635" s="1191" t="s">
        <v>1660</v>
      </c>
      <c r="G635" s="1108" t="s">
        <v>747</v>
      </c>
      <c r="H635" s="1187" t="s">
        <v>125</v>
      </c>
      <c r="I635" s="1108"/>
      <c r="J635" s="1148" t="s">
        <v>836</v>
      </c>
    </row>
    <row r="636" spans="2:11" ht="15" hidden="1" customHeight="1" outlineLevel="1" x14ac:dyDescent="0.25">
      <c r="B636" s="1186" t="s">
        <v>830</v>
      </c>
      <c r="C636" s="1143"/>
      <c r="D636" s="1143" t="s">
        <v>1266</v>
      </c>
      <c r="E636" s="1190">
        <v>2.9440185492535802E-3</v>
      </c>
      <c r="F636" s="1191" t="s">
        <v>1660</v>
      </c>
      <c r="G636" s="1108" t="s">
        <v>747</v>
      </c>
      <c r="H636" s="1187" t="s">
        <v>125</v>
      </c>
      <c r="I636" s="1108"/>
      <c r="J636" s="1148" t="s">
        <v>836</v>
      </c>
    </row>
    <row r="637" spans="2:11" ht="15" hidden="1" customHeight="1" outlineLevel="1" x14ac:dyDescent="0.25">
      <c r="B637" s="1186" t="s">
        <v>830</v>
      </c>
      <c r="C637" s="1143"/>
      <c r="D637" s="1143" t="s">
        <v>1268</v>
      </c>
      <c r="E637" s="1190">
        <v>7.69481818070058E-2</v>
      </c>
      <c r="F637" s="1191" t="s">
        <v>1660</v>
      </c>
      <c r="G637" s="1108" t="s">
        <v>747</v>
      </c>
      <c r="H637" s="1187" t="s">
        <v>2220</v>
      </c>
      <c r="I637" s="1108" t="s">
        <v>2246</v>
      </c>
      <c r="J637" s="1148" t="s">
        <v>836</v>
      </c>
    </row>
    <row r="638" spans="2:11" ht="15" hidden="1" customHeight="1" outlineLevel="1" x14ac:dyDescent="0.25">
      <c r="B638" s="1186" t="s">
        <v>830</v>
      </c>
      <c r="C638" s="1143"/>
      <c r="D638" s="1143" t="s">
        <v>1269</v>
      </c>
      <c r="E638" s="1190">
        <v>1.50493068385041E-2</v>
      </c>
      <c r="F638" s="1191" t="s">
        <v>1660</v>
      </c>
      <c r="G638" s="1108" t="s">
        <v>747</v>
      </c>
      <c r="H638" s="1187" t="s">
        <v>125</v>
      </c>
      <c r="I638" s="1108"/>
      <c r="J638" s="1148" t="s">
        <v>836</v>
      </c>
    </row>
    <row r="639" spans="2:11" ht="15" hidden="1" customHeight="1" outlineLevel="1" x14ac:dyDescent="0.25">
      <c r="B639" s="1186" t="s">
        <v>830</v>
      </c>
      <c r="C639" s="1143"/>
      <c r="D639" s="1143" t="s">
        <v>1272</v>
      </c>
      <c r="E639" s="1108">
        <v>0.183740234506587</v>
      </c>
      <c r="F639" s="1187" t="s">
        <v>1660</v>
      </c>
      <c r="G639" s="1108" t="s">
        <v>747</v>
      </c>
      <c r="H639" s="1187" t="s">
        <v>2220</v>
      </c>
      <c r="I639" s="1108" t="s">
        <v>2247</v>
      </c>
      <c r="J639" s="1148" t="s">
        <v>836</v>
      </c>
    </row>
    <row r="640" spans="2:11" ht="15" hidden="1" customHeight="1" outlineLevel="1" x14ac:dyDescent="0.25">
      <c r="B640" s="1188" t="s">
        <v>830</v>
      </c>
      <c r="C640" s="1150"/>
      <c r="D640" s="1150" t="s">
        <v>1273</v>
      </c>
      <c r="E640" s="1192">
        <v>1.1722610885562101E-2</v>
      </c>
      <c r="F640" s="1193" t="s">
        <v>1660</v>
      </c>
      <c r="G640" s="1153" t="s">
        <v>747</v>
      </c>
      <c r="H640" s="1189" t="s">
        <v>125</v>
      </c>
      <c r="I640" s="1153"/>
      <c r="J640" s="1155" t="s">
        <v>836</v>
      </c>
    </row>
    <row r="641" spans="2:11" ht="15" customHeight="1" x14ac:dyDescent="0.25">
      <c r="F641" s="1177" t="s">
        <v>125</v>
      </c>
      <c r="H641" s="1177" t="s">
        <v>125</v>
      </c>
    </row>
    <row r="642" spans="2:11" ht="15" customHeight="1" x14ac:dyDescent="0.25">
      <c r="B642" s="1127" t="s">
        <v>825</v>
      </c>
      <c r="C642" s="1128"/>
      <c r="D642" s="1128" t="s">
        <v>1274</v>
      </c>
      <c r="E642" s="1130">
        <v>413.2</v>
      </c>
      <c r="F642" s="1172" t="s">
        <v>125</v>
      </c>
      <c r="G642" s="1130"/>
      <c r="H642" s="1172" t="s">
        <v>125</v>
      </c>
      <c r="I642" s="1130"/>
      <c r="J642" s="208" t="s">
        <v>221</v>
      </c>
      <c r="K642" s="898">
        <v>76.98</v>
      </c>
    </row>
    <row r="643" spans="2:11" ht="15" customHeight="1" collapsed="1" x14ac:dyDescent="0.25">
      <c r="B643" s="1132" t="s">
        <v>825</v>
      </c>
      <c r="C643" s="1107"/>
      <c r="D643" s="1107" t="s">
        <v>1275</v>
      </c>
      <c r="E643" s="1135">
        <v>574.4</v>
      </c>
      <c r="F643" s="1173" t="s">
        <v>125</v>
      </c>
      <c r="G643" s="1135"/>
      <c r="H643" s="1173" t="s">
        <v>125</v>
      </c>
      <c r="I643" s="1135"/>
      <c r="J643" s="211" t="s">
        <v>221</v>
      </c>
      <c r="K643" s="531">
        <v>23.02</v>
      </c>
    </row>
    <row r="644" spans="2:11" ht="15" hidden="1" customHeight="1" outlineLevel="1" x14ac:dyDescent="0.25">
      <c r="B644" s="953" t="s">
        <v>827</v>
      </c>
      <c r="C644" s="1138"/>
      <c r="D644" s="1138" t="s">
        <v>980</v>
      </c>
      <c r="E644" s="954">
        <v>0.248</v>
      </c>
      <c r="F644" s="1185" t="s">
        <v>125</v>
      </c>
      <c r="G644" s="954"/>
      <c r="H644" s="1185" t="s">
        <v>125</v>
      </c>
      <c r="I644" s="954"/>
      <c r="J644" s="955" t="s">
        <v>186</v>
      </c>
      <c r="K644" s="207"/>
    </row>
    <row r="645" spans="2:11" ht="15" hidden="1" customHeight="1" outlineLevel="1" x14ac:dyDescent="0.25">
      <c r="B645" s="1186" t="s">
        <v>830</v>
      </c>
      <c r="C645" s="1143"/>
      <c r="D645" s="1143" t="s">
        <v>1276</v>
      </c>
      <c r="E645" s="1108">
        <v>1000</v>
      </c>
      <c r="F645" s="1187" t="s">
        <v>125</v>
      </c>
      <c r="G645" s="1108"/>
      <c r="H645" s="1187" t="s">
        <v>125</v>
      </c>
      <c r="I645" s="1108"/>
      <c r="J645" s="1148" t="s">
        <v>221</v>
      </c>
    </row>
    <row r="646" spans="2:11" ht="15" hidden="1" customHeight="1" outlineLevel="1" x14ac:dyDescent="0.25">
      <c r="B646" s="1186" t="s">
        <v>830</v>
      </c>
      <c r="C646" s="1143"/>
      <c r="D646" s="1143" t="s">
        <v>1277</v>
      </c>
      <c r="E646" s="1108">
        <v>0.6</v>
      </c>
      <c r="F646" s="1187" t="s">
        <v>125</v>
      </c>
      <c r="G646" s="1108"/>
      <c r="H646" s="1187" t="s">
        <v>125</v>
      </c>
      <c r="I646" s="1108"/>
      <c r="J646" s="1148" t="s">
        <v>221</v>
      </c>
    </row>
    <row r="647" spans="2:11" ht="15" hidden="1" customHeight="1" outlineLevel="1" x14ac:dyDescent="0.25">
      <c r="B647" s="1186" t="s">
        <v>830</v>
      </c>
      <c r="C647" s="1143"/>
      <c r="D647" s="1143" t="s">
        <v>1054</v>
      </c>
      <c r="E647" s="1108">
        <v>148.80000000000001</v>
      </c>
      <c r="F647" s="1187" t="s">
        <v>125</v>
      </c>
      <c r="G647" s="1108"/>
      <c r="H647" s="1187" t="s">
        <v>125</v>
      </c>
      <c r="I647" s="1108"/>
      <c r="J647" s="1148" t="s">
        <v>304</v>
      </c>
    </row>
    <row r="648" spans="2:11" ht="15" hidden="1" customHeight="1" outlineLevel="1" x14ac:dyDescent="0.25">
      <c r="B648" s="1186" t="s">
        <v>830</v>
      </c>
      <c r="C648" s="1143"/>
      <c r="D648" s="1143" t="s">
        <v>1278</v>
      </c>
      <c r="E648" s="1108">
        <v>807.6</v>
      </c>
      <c r="F648" s="1187" t="s">
        <v>125</v>
      </c>
      <c r="G648" s="1108"/>
      <c r="H648" s="1187" t="s">
        <v>125</v>
      </c>
      <c r="I648" s="1108"/>
      <c r="J648" s="1148" t="s">
        <v>304</v>
      </c>
    </row>
    <row r="649" spans="2:11" ht="15" hidden="1" customHeight="1" outlineLevel="1" x14ac:dyDescent="0.25">
      <c r="B649" s="1186" t="s">
        <v>839</v>
      </c>
      <c r="C649" s="1143"/>
      <c r="D649" s="1143" t="s">
        <v>1279</v>
      </c>
      <c r="E649" s="1108">
        <v>0.6</v>
      </c>
      <c r="F649" s="1187" t="s">
        <v>125</v>
      </c>
      <c r="G649" s="1108"/>
      <c r="H649" s="1187" t="s">
        <v>125</v>
      </c>
      <c r="I649" s="1108"/>
      <c r="J649" s="1148" t="s">
        <v>221</v>
      </c>
    </row>
    <row r="650" spans="2:11" ht="15" hidden="1" customHeight="1" outlineLevel="1" x14ac:dyDescent="0.25">
      <c r="B650" s="1186" t="s">
        <v>839</v>
      </c>
      <c r="C650" s="1143"/>
      <c r="D650" s="1143" t="s">
        <v>913</v>
      </c>
      <c r="E650" s="1108">
        <v>17</v>
      </c>
      <c r="F650" s="1187" t="s">
        <v>125</v>
      </c>
      <c r="G650" s="1108"/>
      <c r="H650" s="1187" t="s">
        <v>125</v>
      </c>
      <c r="I650" s="1108"/>
      <c r="J650" s="1148" t="s">
        <v>221</v>
      </c>
    </row>
    <row r="651" spans="2:11" ht="15" hidden="1" customHeight="1" outlineLevel="1" x14ac:dyDescent="0.25">
      <c r="B651" s="1186" t="s">
        <v>839</v>
      </c>
      <c r="C651" s="1143"/>
      <c r="D651" s="1143" t="s">
        <v>1280</v>
      </c>
      <c r="E651" s="1108">
        <v>6.2E-2</v>
      </c>
      <c r="F651" s="1187" t="s">
        <v>125</v>
      </c>
      <c r="G651" s="1108"/>
      <c r="H651" s="1187" t="s">
        <v>125</v>
      </c>
      <c r="I651" s="1108"/>
      <c r="J651" s="1148" t="s">
        <v>221</v>
      </c>
    </row>
    <row r="652" spans="2:11" ht="15" hidden="1" customHeight="1" outlineLevel="1" x14ac:dyDescent="0.25">
      <c r="B652" s="1186" t="s">
        <v>1281</v>
      </c>
      <c r="C652" s="1143"/>
      <c r="D652" s="1143" t="s">
        <v>1282</v>
      </c>
      <c r="E652" s="1108">
        <v>12.4</v>
      </c>
      <c r="F652" s="1187" t="s">
        <v>125</v>
      </c>
      <c r="G652" s="1108"/>
      <c r="H652" s="1187" t="s">
        <v>125</v>
      </c>
      <c r="I652" s="1108"/>
      <c r="J652" s="1148" t="s">
        <v>221</v>
      </c>
    </row>
    <row r="653" spans="2:11" ht="15" hidden="1" customHeight="1" outlineLevel="1" x14ac:dyDescent="0.25">
      <c r="B653" s="1188" t="s">
        <v>1281</v>
      </c>
      <c r="C653" s="1150"/>
      <c r="D653" s="1150" t="s">
        <v>1283</v>
      </c>
      <c r="E653" s="1153">
        <v>231</v>
      </c>
      <c r="F653" s="1189" t="s">
        <v>125</v>
      </c>
      <c r="G653" s="1153"/>
      <c r="H653" s="1189" t="s">
        <v>125</v>
      </c>
      <c r="I653" s="1153"/>
      <c r="J653" s="1155" t="s">
        <v>221</v>
      </c>
    </row>
    <row r="654" spans="2:11" ht="15" customHeight="1" x14ac:dyDescent="0.25">
      <c r="F654" s="1177" t="s">
        <v>125</v>
      </c>
      <c r="H654" s="1177" t="s">
        <v>125</v>
      </c>
    </row>
    <row r="655" spans="2:11" ht="15" customHeight="1" collapsed="1" x14ac:dyDescent="0.25">
      <c r="B655" s="1164" t="s">
        <v>825</v>
      </c>
      <c r="C655" s="1165"/>
      <c r="D655" s="1165" t="s">
        <v>1276</v>
      </c>
      <c r="E655" s="1168">
        <v>1</v>
      </c>
      <c r="F655" s="1178" t="s">
        <v>1660</v>
      </c>
      <c r="G655" s="1168" t="s">
        <v>737</v>
      </c>
      <c r="H655" s="1178" t="s">
        <v>125</v>
      </c>
      <c r="I655" s="1168"/>
      <c r="J655" s="246" t="s">
        <v>221</v>
      </c>
      <c r="K655" s="292">
        <v>100</v>
      </c>
    </row>
    <row r="656" spans="2:11" ht="15" hidden="1" customHeight="1" outlineLevel="1" x14ac:dyDescent="0.25">
      <c r="B656" s="953" t="s">
        <v>830</v>
      </c>
      <c r="C656" s="1138"/>
      <c r="D656" s="1138" t="s">
        <v>1398</v>
      </c>
      <c r="E656" s="954">
        <v>7.5399999999999995E-2</v>
      </c>
      <c r="F656" s="1185" t="s">
        <v>1660</v>
      </c>
      <c r="G656" s="954" t="s">
        <v>747</v>
      </c>
      <c r="H656" s="1185" t="s">
        <v>125</v>
      </c>
      <c r="I656" s="954"/>
      <c r="J656" s="955" t="s">
        <v>221</v>
      </c>
      <c r="K656" s="207"/>
    </row>
    <row r="657" spans="2:10" ht="15" hidden="1" customHeight="1" outlineLevel="1" x14ac:dyDescent="0.25">
      <c r="B657" s="1186" t="s">
        <v>830</v>
      </c>
      <c r="C657" s="1143"/>
      <c r="D657" s="1143" t="s">
        <v>1399</v>
      </c>
      <c r="E657" s="1108">
        <v>8.6800000000000002E-3</v>
      </c>
      <c r="F657" s="1187" t="s">
        <v>1660</v>
      </c>
      <c r="G657" s="1108" t="s">
        <v>747</v>
      </c>
      <c r="H657" s="1187" t="s">
        <v>125</v>
      </c>
      <c r="I657" s="1108"/>
      <c r="J657" s="1148" t="s">
        <v>221</v>
      </c>
    </row>
    <row r="658" spans="2:10" ht="15" hidden="1" customHeight="1" outlineLevel="1" x14ac:dyDescent="0.25">
      <c r="B658" s="1186" t="s">
        <v>830</v>
      </c>
      <c r="C658" s="1143"/>
      <c r="D658" s="1143" t="s">
        <v>1400</v>
      </c>
      <c r="E658" s="1108">
        <v>9.92E-3</v>
      </c>
      <c r="F658" s="1187" t="s">
        <v>1660</v>
      </c>
      <c r="G658" s="1108" t="s">
        <v>747</v>
      </c>
      <c r="H658" s="1187" t="s">
        <v>125</v>
      </c>
      <c r="I658" s="1108"/>
      <c r="J658" s="1148" t="s">
        <v>221</v>
      </c>
    </row>
    <row r="659" spans="2:10" ht="15" hidden="1" customHeight="1" outlineLevel="1" x14ac:dyDescent="0.25">
      <c r="B659" s="1186" t="s">
        <v>830</v>
      </c>
      <c r="C659" s="1143"/>
      <c r="D659" s="1143" t="s">
        <v>1401</v>
      </c>
      <c r="E659" s="1108">
        <v>2.3400000000000001E-3</v>
      </c>
      <c r="F659" s="1187" t="s">
        <v>1660</v>
      </c>
      <c r="G659" s="1108" t="s">
        <v>747</v>
      </c>
      <c r="H659" s="1187" t="s">
        <v>125</v>
      </c>
      <c r="I659" s="1108"/>
      <c r="J659" s="1148" t="s">
        <v>221</v>
      </c>
    </row>
    <row r="660" spans="2:10" ht="15" hidden="1" customHeight="1" outlineLevel="1" x14ac:dyDescent="0.25">
      <c r="B660" s="1186" t="s">
        <v>830</v>
      </c>
      <c r="C660" s="1143"/>
      <c r="D660" s="1143" t="s">
        <v>1402</v>
      </c>
      <c r="E660" s="1108">
        <v>2.48E-3</v>
      </c>
      <c r="F660" s="1187" t="s">
        <v>1660</v>
      </c>
      <c r="G660" s="1108" t="s">
        <v>747</v>
      </c>
      <c r="H660" s="1187" t="s">
        <v>125</v>
      </c>
      <c r="I660" s="1108"/>
      <c r="J660" s="1148" t="s">
        <v>221</v>
      </c>
    </row>
    <row r="661" spans="2:10" ht="15" hidden="1" customHeight="1" outlineLevel="1" x14ac:dyDescent="0.25">
      <c r="B661" s="1186" t="s">
        <v>830</v>
      </c>
      <c r="C661" s="1143"/>
      <c r="D661" s="1143" t="s">
        <v>1403</v>
      </c>
      <c r="E661" s="1108">
        <v>3.7900000000000003E-2</v>
      </c>
      <c r="F661" s="1187" t="s">
        <v>1660</v>
      </c>
      <c r="G661" s="1108" t="s">
        <v>747</v>
      </c>
      <c r="H661" s="1187" t="s">
        <v>125</v>
      </c>
      <c r="I661" s="1108"/>
      <c r="J661" s="1148" t="s">
        <v>221</v>
      </c>
    </row>
    <row r="662" spans="2:10" ht="15" hidden="1" customHeight="1" outlineLevel="1" x14ac:dyDescent="0.25">
      <c r="B662" s="1186" t="s">
        <v>830</v>
      </c>
      <c r="C662" s="1143"/>
      <c r="D662" s="1143" t="s">
        <v>1404</v>
      </c>
      <c r="E662" s="1108">
        <v>1.17E-2</v>
      </c>
      <c r="F662" s="1187" t="s">
        <v>1660</v>
      </c>
      <c r="G662" s="1108" t="s">
        <v>747</v>
      </c>
      <c r="H662" s="1187" t="s">
        <v>125</v>
      </c>
      <c r="I662" s="1108"/>
      <c r="J662" s="1148" t="s">
        <v>221</v>
      </c>
    </row>
    <row r="663" spans="2:10" ht="15" hidden="1" customHeight="1" outlineLevel="1" x14ac:dyDescent="0.25">
      <c r="B663" s="1186" t="s">
        <v>830</v>
      </c>
      <c r="C663" s="1143"/>
      <c r="D663" s="1143" t="s">
        <v>1405</v>
      </c>
      <c r="E663" s="1108">
        <v>0.14899999999999999</v>
      </c>
      <c r="F663" s="1187" t="s">
        <v>1660</v>
      </c>
      <c r="G663" s="1108" t="s">
        <v>747</v>
      </c>
      <c r="H663" s="1187" t="s">
        <v>125</v>
      </c>
      <c r="I663" s="1108"/>
      <c r="J663" s="1148" t="s">
        <v>221</v>
      </c>
    </row>
    <row r="664" spans="2:10" ht="15" hidden="1" customHeight="1" outlineLevel="1" x14ac:dyDescent="0.25">
      <c r="B664" s="1186" t="s">
        <v>830</v>
      </c>
      <c r="C664" s="1143"/>
      <c r="D664" s="1143" t="s">
        <v>1406</v>
      </c>
      <c r="E664" s="1108">
        <v>0.55800000000000005</v>
      </c>
      <c r="F664" s="1187" t="s">
        <v>125</v>
      </c>
      <c r="G664" s="1108"/>
      <c r="H664" s="1187" t="s">
        <v>125</v>
      </c>
      <c r="I664" s="1108"/>
      <c r="J664" s="1148" t="s">
        <v>221</v>
      </c>
    </row>
    <row r="665" spans="2:10" ht="15" hidden="1" customHeight="1" outlineLevel="1" x14ac:dyDescent="0.25">
      <c r="B665" s="1186" t="s">
        <v>830</v>
      </c>
      <c r="C665" s="1143"/>
      <c r="D665" s="1143" t="s">
        <v>1407</v>
      </c>
      <c r="E665" s="1108">
        <v>3.09E-2</v>
      </c>
      <c r="F665" s="1187" t="s">
        <v>1660</v>
      </c>
      <c r="G665" s="1108" t="s">
        <v>747</v>
      </c>
      <c r="H665" s="1187" t="s">
        <v>125</v>
      </c>
      <c r="I665" s="1108"/>
      <c r="J665" s="1148" t="s">
        <v>221</v>
      </c>
    </row>
    <row r="666" spans="2:10" ht="15" hidden="1" customHeight="1" outlineLevel="1" x14ac:dyDescent="0.25">
      <c r="B666" s="1186" t="s">
        <v>830</v>
      </c>
      <c r="C666" s="1143"/>
      <c r="D666" s="1143" t="s">
        <v>1408</v>
      </c>
      <c r="E666" s="1108">
        <v>2.4499999999999999E-3</v>
      </c>
      <c r="F666" s="1187" t="s">
        <v>1660</v>
      </c>
      <c r="G666" s="1108" t="s">
        <v>747</v>
      </c>
      <c r="H666" s="1187" t="s">
        <v>125</v>
      </c>
      <c r="I666" s="1108"/>
      <c r="J666" s="1148" t="s">
        <v>221</v>
      </c>
    </row>
    <row r="667" spans="2:10" ht="15" hidden="1" customHeight="1" outlineLevel="1" x14ac:dyDescent="0.25">
      <c r="B667" s="1186" t="s">
        <v>830</v>
      </c>
      <c r="C667" s="1143"/>
      <c r="D667" s="1143" t="s">
        <v>1409</v>
      </c>
      <c r="E667" s="1108">
        <v>3.6099999999999999E-3</v>
      </c>
      <c r="F667" s="1187" t="s">
        <v>1660</v>
      </c>
      <c r="G667" s="1108" t="s">
        <v>747</v>
      </c>
      <c r="H667" s="1187" t="s">
        <v>125</v>
      </c>
      <c r="I667" s="1108"/>
      <c r="J667" s="1148" t="s">
        <v>221</v>
      </c>
    </row>
    <row r="668" spans="2:10" ht="15" hidden="1" customHeight="1" outlineLevel="1" x14ac:dyDescent="0.25">
      <c r="B668" s="1186" t="s">
        <v>830</v>
      </c>
      <c r="C668" s="1143"/>
      <c r="D668" s="1143" t="s">
        <v>1410</v>
      </c>
      <c r="E668" s="1108">
        <v>9.4700000000000003E-4</v>
      </c>
      <c r="F668" s="1187" t="s">
        <v>1660</v>
      </c>
      <c r="G668" s="1108" t="s">
        <v>747</v>
      </c>
      <c r="H668" s="1187" t="s">
        <v>125</v>
      </c>
      <c r="I668" s="1108"/>
      <c r="J668" s="1148" t="s">
        <v>221</v>
      </c>
    </row>
    <row r="669" spans="2:10" ht="15" hidden="1" customHeight="1" outlineLevel="1" x14ac:dyDescent="0.25">
      <c r="B669" s="1186" t="s">
        <v>830</v>
      </c>
      <c r="C669" s="1143"/>
      <c r="D669" s="1143" t="s">
        <v>1411</v>
      </c>
      <c r="E669" s="1108">
        <v>5.8400000000000001E-2</v>
      </c>
      <c r="F669" s="1187" t="s">
        <v>1660</v>
      </c>
      <c r="G669" s="1108" t="s">
        <v>747</v>
      </c>
      <c r="H669" s="1187" t="s">
        <v>125</v>
      </c>
      <c r="I669" s="1108"/>
      <c r="J669" s="1148" t="s">
        <v>221</v>
      </c>
    </row>
    <row r="670" spans="2:10" ht="15" hidden="1" customHeight="1" outlineLevel="1" x14ac:dyDescent="0.25">
      <c r="B670" s="1186" t="s">
        <v>830</v>
      </c>
      <c r="C670" s="1143"/>
      <c r="D670" s="1143" t="s">
        <v>1412</v>
      </c>
      <c r="E670" s="1108">
        <v>1.4200000000000001E-2</v>
      </c>
      <c r="F670" s="1187" t="s">
        <v>1660</v>
      </c>
      <c r="G670" s="1108" t="s">
        <v>747</v>
      </c>
      <c r="H670" s="1187" t="s">
        <v>125</v>
      </c>
      <c r="I670" s="1108"/>
      <c r="J670" s="1148" t="s">
        <v>221</v>
      </c>
    </row>
    <row r="671" spans="2:10" ht="15" hidden="1" customHeight="1" outlineLevel="1" x14ac:dyDescent="0.25">
      <c r="B671" s="1186" t="s">
        <v>830</v>
      </c>
      <c r="C671" s="1143"/>
      <c r="D671" s="1143" t="s">
        <v>1413</v>
      </c>
      <c r="E671" s="1108">
        <v>2.18E-2</v>
      </c>
      <c r="F671" s="1187" t="s">
        <v>1660</v>
      </c>
      <c r="G671" s="1108" t="s">
        <v>747</v>
      </c>
      <c r="H671" s="1187" t="s">
        <v>125</v>
      </c>
      <c r="I671" s="1108"/>
      <c r="J671" s="1148" t="s">
        <v>221</v>
      </c>
    </row>
    <row r="672" spans="2:10" ht="15" hidden="1" customHeight="1" outlineLevel="1" x14ac:dyDescent="0.25">
      <c r="B672" s="1186" t="s">
        <v>830</v>
      </c>
      <c r="C672" s="1143"/>
      <c r="D672" s="1143" t="s">
        <v>1414</v>
      </c>
      <c r="E672" s="1108">
        <v>1.29E-2</v>
      </c>
      <c r="F672" s="1187" t="s">
        <v>1660</v>
      </c>
      <c r="G672" s="1108" t="s">
        <v>747</v>
      </c>
      <c r="H672" s="1187" t="s">
        <v>125</v>
      </c>
      <c r="I672" s="1108"/>
      <c r="J672" s="1148" t="s">
        <v>221</v>
      </c>
    </row>
    <row r="673" spans="2:11" ht="15" hidden="1" customHeight="1" outlineLevel="1" x14ac:dyDescent="0.25">
      <c r="B673" s="1186" t="s">
        <v>830</v>
      </c>
      <c r="C673" s="1143"/>
      <c r="D673" s="1143" t="s">
        <v>1264</v>
      </c>
      <c r="E673" s="1190">
        <v>4.3125738502171898E-2</v>
      </c>
      <c r="F673" s="1191" t="s">
        <v>1660</v>
      </c>
      <c r="G673" s="1108" t="s">
        <v>747</v>
      </c>
      <c r="H673" s="1187" t="s">
        <v>2220</v>
      </c>
      <c r="I673" s="1108" t="s">
        <v>2248</v>
      </c>
      <c r="J673" s="1148" t="s">
        <v>836</v>
      </c>
    </row>
    <row r="674" spans="2:11" ht="15" hidden="1" customHeight="1" outlineLevel="1" x14ac:dyDescent="0.25">
      <c r="B674" s="1186" t="s">
        <v>830</v>
      </c>
      <c r="C674" s="1143"/>
      <c r="D674" s="1143" t="s">
        <v>1265</v>
      </c>
      <c r="E674" s="1108">
        <v>5.1315723388580002E-2</v>
      </c>
      <c r="F674" s="1187" t="s">
        <v>1660</v>
      </c>
      <c r="G674" s="1108" t="s">
        <v>747</v>
      </c>
      <c r="H674" s="1187" t="s">
        <v>125</v>
      </c>
      <c r="I674" s="1108"/>
      <c r="J674" s="1148" t="s">
        <v>836</v>
      </c>
    </row>
    <row r="675" spans="2:11" ht="15" hidden="1" customHeight="1" outlineLevel="1" x14ac:dyDescent="0.25">
      <c r="B675" s="1186" t="s">
        <v>830</v>
      </c>
      <c r="C675" s="1143"/>
      <c r="D675" s="1143" t="s">
        <v>1266</v>
      </c>
      <c r="E675" s="1190">
        <v>4.6539863556095202E-4</v>
      </c>
      <c r="F675" s="1191" t="s">
        <v>1660</v>
      </c>
      <c r="G675" s="1108" t="s">
        <v>747</v>
      </c>
      <c r="H675" s="1187" t="s">
        <v>125</v>
      </c>
      <c r="I675" s="1108"/>
      <c r="J675" s="1148" t="s">
        <v>836</v>
      </c>
    </row>
    <row r="676" spans="2:11" ht="15" hidden="1" customHeight="1" outlineLevel="1" x14ac:dyDescent="0.25">
      <c r="B676" s="1186" t="s">
        <v>830</v>
      </c>
      <c r="C676" s="1143"/>
      <c r="D676" s="1143" t="s">
        <v>1267</v>
      </c>
      <c r="E676" s="1190">
        <v>7.5364914454500997E-3</v>
      </c>
      <c r="F676" s="1191" t="s">
        <v>1660</v>
      </c>
      <c r="G676" s="1108" t="s">
        <v>747</v>
      </c>
      <c r="H676" s="1187" t="s">
        <v>125</v>
      </c>
      <c r="I676" s="1108"/>
      <c r="J676" s="1148" t="s">
        <v>836</v>
      </c>
    </row>
    <row r="677" spans="2:11" ht="15" hidden="1" customHeight="1" outlineLevel="1" x14ac:dyDescent="0.25">
      <c r="B677" s="1186" t="s">
        <v>830</v>
      </c>
      <c r="C677" s="1143"/>
      <c r="D677" s="1143" t="s">
        <v>1268</v>
      </c>
      <c r="E677" s="1108">
        <v>0.18467786453482901</v>
      </c>
      <c r="F677" s="1187" t="s">
        <v>1660</v>
      </c>
      <c r="G677" s="1108" t="s">
        <v>747</v>
      </c>
      <c r="H677" s="1187" t="s">
        <v>2220</v>
      </c>
      <c r="I677" s="1108" t="s">
        <v>2249</v>
      </c>
      <c r="J677" s="1148" t="s">
        <v>836</v>
      </c>
    </row>
    <row r="678" spans="2:11" ht="15" hidden="1" customHeight="1" outlineLevel="1" x14ac:dyDescent="0.25">
      <c r="B678" s="1186" t="s">
        <v>830</v>
      </c>
      <c r="C678" s="1143"/>
      <c r="D678" s="1143" t="s">
        <v>1271</v>
      </c>
      <c r="E678" s="1108">
        <v>3.2420554902155398</v>
      </c>
      <c r="F678" s="1187" t="s">
        <v>1660</v>
      </c>
      <c r="G678" s="1108" t="s">
        <v>747</v>
      </c>
      <c r="H678" s="1187" t="s">
        <v>125</v>
      </c>
      <c r="I678" s="1108"/>
      <c r="J678" s="1148" t="s">
        <v>836</v>
      </c>
    </row>
    <row r="679" spans="2:11" ht="15" hidden="1" customHeight="1" outlineLevel="1" x14ac:dyDescent="0.25">
      <c r="B679" s="1186" t="s">
        <v>830</v>
      </c>
      <c r="C679" s="1143"/>
      <c r="D679" s="1143" t="s">
        <v>1272</v>
      </c>
      <c r="E679" s="1108">
        <v>0.26688065580230702</v>
      </c>
      <c r="F679" s="1187" t="s">
        <v>1660</v>
      </c>
      <c r="G679" s="1108" t="s">
        <v>747</v>
      </c>
      <c r="H679" s="1187" t="s">
        <v>2220</v>
      </c>
      <c r="I679" s="1108" t="s">
        <v>2250</v>
      </c>
      <c r="J679" s="1148" t="s">
        <v>836</v>
      </c>
    </row>
    <row r="680" spans="2:11" ht="15" hidden="1" customHeight="1" outlineLevel="1" x14ac:dyDescent="0.25">
      <c r="B680" s="1188" t="s">
        <v>830</v>
      </c>
      <c r="C680" s="1150"/>
      <c r="D680" s="1150" t="s">
        <v>1273</v>
      </c>
      <c r="E680" s="1153">
        <v>0.31774972988023897</v>
      </c>
      <c r="F680" s="1189" t="s">
        <v>1660</v>
      </c>
      <c r="G680" s="1153" t="s">
        <v>747</v>
      </c>
      <c r="H680" s="1189" t="s">
        <v>125</v>
      </c>
      <c r="I680" s="1153"/>
      <c r="J680" s="1155" t="s">
        <v>836</v>
      </c>
    </row>
    <row r="681" spans="2:11" ht="15" customHeight="1" x14ac:dyDescent="0.25">
      <c r="F681" s="1177" t="s">
        <v>125</v>
      </c>
      <c r="H681" s="1177" t="s">
        <v>125</v>
      </c>
    </row>
    <row r="682" spans="2:11" ht="15" customHeight="1" collapsed="1" x14ac:dyDescent="0.25">
      <c r="B682" s="1164" t="s">
        <v>825</v>
      </c>
      <c r="C682" s="1165"/>
      <c r="D682" s="1165" t="s">
        <v>963</v>
      </c>
      <c r="E682" s="1168">
        <v>1</v>
      </c>
      <c r="F682" s="1178" t="s">
        <v>1660</v>
      </c>
      <c r="G682" s="1168" t="s">
        <v>736</v>
      </c>
      <c r="H682" s="1178" t="s">
        <v>125</v>
      </c>
      <c r="I682" s="1168"/>
      <c r="J682" s="246" t="s">
        <v>221</v>
      </c>
      <c r="K682" s="292">
        <v>100</v>
      </c>
    </row>
    <row r="683" spans="2:11" ht="15" hidden="1" customHeight="1" outlineLevel="1" x14ac:dyDescent="0.25">
      <c r="B683" s="953" t="s">
        <v>830</v>
      </c>
      <c r="C683" s="1138"/>
      <c r="D683" s="1138" t="s">
        <v>1415</v>
      </c>
      <c r="E683" s="954">
        <v>0.91600000000000004</v>
      </c>
      <c r="F683" s="1185" t="s">
        <v>125</v>
      </c>
      <c r="G683" s="954"/>
      <c r="H683" s="1185" t="s">
        <v>125</v>
      </c>
      <c r="I683" s="954"/>
      <c r="J683" s="955" t="s">
        <v>221</v>
      </c>
      <c r="K683" s="207"/>
    </row>
    <row r="684" spans="2:11" ht="15" hidden="1" customHeight="1" outlineLevel="1" x14ac:dyDescent="0.25">
      <c r="B684" s="1186" t="s">
        <v>830</v>
      </c>
      <c r="C684" s="1143"/>
      <c r="D684" s="1143" t="s">
        <v>1416</v>
      </c>
      <c r="E684" s="1108">
        <v>2.3400000000000001E-3</v>
      </c>
      <c r="F684" s="1187" t="s">
        <v>1660</v>
      </c>
      <c r="G684" s="1108" t="s">
        <v>747</v>
      </c>
      <c r="H684" s="1187" t="s">
        <v>125</v>
      </c>
      <c r="I684" s="1108"/>
      <c r="J684" s="1148" t="s">
        <v>221</v>
      </c>
    </row>
    <row r="685" spans="2:11" ht="15" hidden="1" customHeight="1" outlineLevel="1" x14ac:dyDescent="0.25">
      <c r="B685" s="1186" t="s">
        <v>830</v>
      </c>
      <c r="C685" s="1143"/>
      <c r="D685" s="1143" t="s">
        <v>1417</v>
      </c>
      <c r="E685" s="1108">
        <v>8.1199999999999994E-2</v>
      </c>
      <c r="F685" s="1187" t="s">
        <v>1660</v>
      </c>
      <c r="G685" s="1108" t="s">
        <v>747</v>
      </c>
      <c r="H685" s="1187" t="s">
        <v>125</v>
      </c>
      <c r="I685" s="1108"/>
      <c r="J685" s="1148" t="s">
        <v>221</v>
      </c>
    </row>
    <row r="686" spans="2:11" ht="15" hidden="1" customHeight="1" outlineLevel="1" x14ac:dyDescent="0.25">
      <c r="B686" s="1186" t="s">
        <v>830</v>
      </c>
      <c r="C686" s="1143"/>
      <c r="D686" s="1143" t="s">
        <v>1264</v>
      </c>
      <c r="E686" s="1190">
        <v>9.9216222903433203E-3</v>
      </c>
      <c r="F686" s="1191" t="s">
        <v>1660</v>
      </c>
      <c r="G686" s="1108" t="s">
        <v>747</v>
      </c>
      <c r="H686" s="1187" t="s">
        <v>2220</v>
      </c>
      <c r="I686" s="1108" t="s">
        <v>2251</v>
      </c>
      <c r="J686" s="1148" t="s">
        <v>836</v>
      </c>
    </row>
    <row r="687" spans="2:11" ht="15" hidden="1" customHeight="1" outlineLevel="1" x14ac:dyDescent="0.25">
      <c r="B687" s="1186" t="s">
        <v>830</v>
      </c>
      <c r="C687" s="1143"/>
      <c r="D687" s="1143" t="s">
        <v>1265</v>
      </c>
      <c r="E687" s="1190">
        <v>4.7954613633286299E-4</v>
      </c>
      <c r="F687" s="1191" t="s">
        <v>1660</v>
      </c>
      <c r="G687" s="1108" t="s">
        <v>747</v>
      </c>
      <c r="H687" s="1187" t="s">
        <v>125</v>
      </c>
      <c r="I687" s="1108"/>
      <c r="J687" s="1148" t="s">
        <v>836</v>
      </c>
    </row>
    <row r="688" spans="2:11" ht="15" hidden="1" customHeight="1" outlineLevel="1" x14ac:dyDescent="0.25">
      <c r="B688" s="1186" t="s">
        <v>830</v>
      </c>
      <c r="C688" s="1143"/>
      <c r="D688" s="1143" t="s">
        <v>1268</v>
      </c>
      <c r="E688" s="1190">
        <v>6.8011834525923395E-2</v>
      </c>
      <c r="F688" s="1191" t="s">
        <v>1660</v>
      </c>
      <c r="G688" s="1108" t="s">
        <v>747</v>
      </c>
      <c r="H688" s="1187" t="s">
        <v>2220</v>
      </c>
      <c r="I688" s="1108" t="s">
        <v>2252</v>
      </c>
      <c r="J688" s="1148" t="s">
        <v>836</v>
      </c>
    </row>
    <row r="689" spans="2:13" ht="15" hidden="1" customHeight="1" outlineLevel="1" x14ac:dyDescent="0.25">
      <c r="B689" s="1186" t="s">
        <v>830</v>
      </c>
      <c r="C689" s="1143"/>
      <c r="D689" s="1143" t="s">
        <v>1271</v>
      </c>
      <c r="E689" s="1190">
        <v>1.4148437118118201E-2</v>
      </c>
      <c r="F689" s="1191" t="s">
        <v>1660</v>
      </c>
      <c r="G689" s="1108" t="s">
        <v>747</v>
      </c>
      <c r="H689" s="1187" t="s">
        <v>125</v>
      </c>
      <c r="I689" s="1108"/>
      <c r="J689" s="1148" t="s">
        <v>836</v>
      </c>
    </row>
    <row r="690" spans="2:13" ht="15" hidden="1" customHeight="1" outlineLevel="1" x14ac:dyDescent="0.25">
      <c r="B690" s="1186" t="s">
        <v>830</v>
      </c>
      <c r="C690" s="1143"/>
      <c r="D690" s="1143" t="s">
        <v>1272</v>
      </c>
      <c r="E690" s="1108">
        <v>0.23742104381113099</v>
      </c>
      <c r="F690" s="1187" t="s">
        <v>1660</v>
      </c>
      <c r="G690" s="1108" t="s">
        <v>747</v>
      </c>
      <c r="H690" s="1187" t="s">
        <v>2220</v>
      </c>
      <c r="I690" s="1108" t="s">
        <v>2253</v>
      </c>
      <c r="J690" s="1148" t="s">
        <v>836</v>
      </c>
    </row>
    <row r="691" spans="2:13" ht="15" hidden="1" customHeight="1" outlineLevel="1" x14ac:dyDescent="0.25">
      <c r="B691" s="1188" t="s">
        <v>830</v>
      </c>
      <c r="C691" s="1150"/>
      <c r="D691" s="1150" t="s">
        <v>1273</v>
      </c>
      <c r="E691" s="1192">
        <v>3.3875538743386301E-2</v>
      </c>
      <c r="F691" s="1193" t="s">
        <v>1660</v>
      </c>
      <c r="G691" s="1153" t="s">
        <v>747</v>
      </c>
      <c r="H691" s="1189" t="s">
        <v>125</v>
      </c>
      <c r="I691" s="1153"/>
      <c r="J691" s="1155" t="s">
        <v>836</v>
      </c>
    </row>
    <row r="692" spans="2:13" ht="15" customHeight="1" x14ac:dyDescent="0.25">
      <c r="F692" s="1177" t="s">
        <v>125</v>
      </c>
      <c r="H692" s="1177" t="s">
        <v>125</v>
      </c>
    </row>
    <row r="693" spans="2:13" ht="15" customHeight="1" collapsed="1" x14ac:dyDescent="0.25">
      <c r="B693" s="1164" t="s">
        <v>825</v>
      </c>
      <c r="C693" s="1165"/>
      <c r="D693" s="1165" t="s">
        <v>976</v>
      </c>
      <c r="E693" s="1168">
        <v>0.98</v>
      </c>
      <c r="F693" s="1178" t="s">
        <v>248</v>
      </c>
      <c r="G693" s="1168" t="s">
        <v>755</v>
      </c>
      <c r="H693" s="1178"/>
      <c r="I693" s="1168"/>
      <c r="J693" s="246" t="s">
        <v>221</v>
      </c>
      <c r="K693" s="292">
        <v>100</v>
      </c>
    </row>
    <row r="694" spans="2:13" ht="15" hidden="1" customHeight="1" outlineLevel="1" x14ac:dyDescent="0.25">
      <c r="B694" s="1142" t="s">
        <v>830</v>
      </c>
      <c r="C694" s="1143"/>
      <c r="D694" s="1143" t="s">
        <v>863</v>
      </c>
      <c r="E694" s="1146">
        <v>130</v>
      </c>
      <c r="F694" s="1174" t="s">
        <v>125</v>
      </c>
      <c r="G694" s="1108"/>
      <c r="H694" s="1187" t="s">
        <v>125</v>
      </c>
      <c r="I694" s="1108"/>
      <c r="J694" s="1148" t="s">
        <v>849</v>
      </c>
      <c r="K694" s="1170"/>
      <c r="M694" s="1170" t="s">
        <v>972</v>
      </c>
    </row>
    <row r="695" spans="2:13" ht="15" hidden="1" customHeight="1" outlineLevel="1" x14ac:dyDescent="0.25">
      <c r="B695" s="1142" t="s">
        <v>830</v>
      </c>
      <c r="C695" s="1143"/>
      <c r="D695" s="1143" t="s">
        <v>860</v>
      </c>
      <c r="E695" s="1146">
        <v>210</v>
      </c>
      <c r="F695" s="1174" t="s">
        <v>125</v>
      </c>
      <c r="G695" s="1146"/>
      <c r="H695" s="1174" t="s">
        <v>125</v>
      </c>
      <c r="I695" s="1146"/>
      <c r="J695" s="1148" t="s">
        <v>849</v>
      </c>
      <c r="K695" s="1170"/>
      <c r="M695" s="1170"/>
    </row>
    <row r="696" spans="2:13" ht="15" hidden="1" customHeight="1" outlineLevel="1" x14ac:dyDescent="0.25">
      <c r="B696" s="1142" t="s">
        <v>830</v>
      </c>
      <c r="C696" s="1143"/>
      <c r="D696" s="1143" t="s">
        <v>963</v>
      </c>
      <c r="E696" s="1146">
        <v>40</v>
      </c>
      <c r="F696" s="1174" t="s">
        <v>125</v>
      </c>
      <c r="G696" s="1146"/>
      <c r="H696" s="1174" t="s">
        <v>125</v>
      </c>
      <c r="I696" s="1146"/>
      <c r="J696" s="1148" t="s">
        <v>849</v>
      </c>
      <c r="K696" s="1170"/>
      <c r="M696" s="1170" t="s">
        <v>972</v>
      </c>
    </row>
    <row r="697" spans="2:13" ht="15" hidden="1" customHeight="1" outlineLevel="1" x14ac:dyDescent="0.25">
      <c r="B697" s="1142" t="s">
        <v>830</v>
      </c>
      <c r="C697" s="1143"/>
      <c r="D697" s="1143" t="s">
        <v>861</v>
      </c>
      <c r="E697" s="1146">
        <v>40</v>
      </c>
      <c r="F697" s="1174" t="s">
        <v>125</v>
      </c>
      <c r="G697" s="1146"/>
      <c r="H697" s="1174" t="s">
        <v>125</v>
      </c>
      <c r="I697" s="1146"/>
      <c r="J697" s="1148" t="s">
        <v>849</v>
      </c>
      <c r="K697" s="1170"/>
      <c r="M697" s="1170" t="s">
        <v>972</v>
      </c>
    </row>
    <row r="698" spans="2:13" ht="15" hidden="1" customHeight="1" outlineLevel="1" x14ac:dyDescent="0.25">
      <c r="B698" s="1142" t="s">
        <v>830</v>
      </c>
      <c r="C698" s="1143"/>
      <c r="D698" s="1143" t="s">
        <v>907</v>
      </c>
      <c r="E698" s="1146">
        <v>5</v>
      </c>
      <c r="F698" s="1174" t="s">
        <v>125</v>
      </c>
      <c r="G698" s="1146"/>
      <c r="H698" s="1174" t="s">
        <v>125</v>
      </c>
      <c r="I698" s="1146"/>
      <c r="J698" s="1148" t="s">
        <v>849</v>
      </c>
      <c r="K698" s="1170"/>
      <c r="M698" s="1170"/>
    </row>
    <row r="699" spans="2:13" ht="15" hidden="1" customHeight="1" outlineLevel="1" x14ac:dyDescent="0.25">
      <c r="B699" s="1142" t="s">
        <v>830</v>
      </c>
      <c r="C699" s="1143"/>
      <c r="D699" s="1143" t="s">
        <v>964</v>
      </c>
      <c r="E699" s="1146">
        <v>170</v>
      </c>
      <c r="F699" s="1174" t="s">
        <v>125</v>
      </c>
      <c r="G699" s="1146"/>
      <c r="H699" s="1174" t="s">
        <v>125</v>
      </c>
      <c r="I699" s="1146"/>
      <c r="J699" s="1148" t="s">
        <v>849</v>
      </c>
      <c r="K699" s="1170"/>
      <c r="M699" s="1170" t="s">
        <v>972</v>
      </c>
    </row>
    <row r="700" spans="2:13" ht="15" hidden="1" customHeight="1" outlineLevel="1" x14ac:dyDescent="0.25">
      <c r="B700" s="1142" t="s">
        <v>830</v>
      </c>
      <c r="C700" s="1143"/>
      <c r="D700" s="1143" t="s">
        <v>899</v>
      </c>
      <c r="E700" s="1146">
        <v>40</v>
      </c>
      <c r="F700" s="1174" t="s">
        <v>125</v>
      </c>
      <c r="G700" s="1146"/>
      <c r="H700" s="1174" t="s">
        <v>125</v>
      </c>
      <c r="I700" s="1146"/>
      <c r="J700" s="1148" t="s">
        <v>849</v>
      </c>
      <c r="K700" s="1170"/>
      <c r="M700" s="1170"/>
    </row>
    <row r="701" spans="2:13" ht="15" hidden="1" customHeight="1" outlineLevel="1" x14ac:dyDescent="0.25">
      <c r="B701" s="1142" t="s">
        <v>830</v>
      </c>
      <c r="C701" s="1143"/>
      <c r="D701" s="1143" t="s">
        <v>965</v>
      </c>
      <c r="E701" s="1146">
        <v>20</v>
      </c>
      <c r="F701" s="1174" t="s">
        <v>125</v>
      </c>
      <c r="G701" s="1146"/>
      <c r="H701" s="1174" t="s">
        <v>125</v>
      </c>
      <c r="I701" s="1146"/>
      <c r="J701" s="1148" t="s">
        <v>849</v>
      </c>
      <c r="K701" s="1170"/>
      <c r="M701" s="1170"/>
    </row>
    <row r="702" spans="2:13" ht="15" hidden="1" customHeight="1" outlineLevel="1" x14ac:dyDescent="0.25">
      <c r="B702" s="1142" t="s">
        <v>830</v>
      </c>
      <c r="C702" s="1143"/>
      <c r="D702" s="1143" t="s">
        <v>886</v>
      </c>
      <c r="E702" s="1146">
        <v>10</v>
      </c>
      <c r="F702" s="1174" t="s">
        <v>125</v>
      </c>
      <c r="G702" s="1146"/>
      <c r="H702" s="1174" t="s">
        <v>125</v>
      </c>
      <c r="I702" s="1146"/>
      <c r="J702" s="1148" t="s">
        <v>849</v>
      </c>
      <c r="K702" s="1170"/>
      <c r="M702" s="1170"/>
    </row>
    <row r="703" spans="2:13" ht="15" hidden="1" customHeight="1" outlineLevel="1" x14ac:dyDescent="0.25">
      <c r="B703" s="1142" t="s">
        <v>830</v>
      </c>
      <c r="C703" s="1143"/>
      <c r="D703" s="1143" t="s">
        <v>906</v>
      </c>
      <c r="E703" s="1146">
        <v>50</v>
      </c>
      <c r="F703" s="1174" t="s">
        <v>125</v>
      </c>
      <c r="G703" s="1146"/>
      <c r="H703" s="1174" t="s">
        <v>125</v>
      </c>
      <c r="I703" s="1146"/>
      <c r="J703" s="1148" t="s">
        <v>849</v>
      </c>
      <c r="K703" s="1170"/>
      <c r="M703" s="1170" t="s">
        <v>972</v>
      </c>
    </row>
    <row r="704" spans="2:13" ht="15" hidden="1" customHeight="1" outlineLevel="1" x14ac:dyDescent="0.25">
      <c r="B704" s="1142" t="s">
        <v>830</v>
      </c>
      <c r="C704" s="1143"/>
      <c r="D704" s="1143" t="s">
        <v>871</v>
      </c>
      <c r="E704" s="1146">
        <v>10</v>
      </c>
      <c r="F704" s="1174" t="s">
        <v>1660</v>
      </c>
      <c r="G704" s="1146" t="s">
        <v>747</v>
      </c>
      <c r="H704" s="1174" t="s">
        <v>125</v>
      </c>
      <c r="I704" s="1146"/>
      <c r="J704" s="1148" t="s">
        <v>849</v>
      </c>
      <c r="K704" s="1170"/>
      <c r="M704" s="1170" t="s">
        <v>872</v>
      </c>
    </row>
    <row r="705" spans="2:13" ht="15" hidden="1" customHeight="1" outlineLevel="1" x14ac:dyDescent="0.25">
      <c r="B705" s="1142" t="s">
        <v>830</v>
      </c>
      <c r="C705" s="1143"/>
      <c r="D705" s="1143" t="s">
        <v>867</v>
      </c>
      <c r="E705" s="1146">
        <v>45</v>
      </c>
      <c r="F705" s="1174" t="s">
        <v>125</v>
      </c>
      <c r="G705" s="1146"/>
      <c r="H705" s="1174" t="s">
        <v>125</v>
      </c>
      <c r="I705" s="1146"/>
      <c r="J705" s="1148" t="s">
        <v>849</v>
      </c>
      <c r="K705" s="1170"/>
      <c r="M705" s="1170" t="s">
        <v>972</v>
      </c>
    </row>
    <row r="706" spans="2:13" ht="15" hidden="1" customHeight="1" outlineLevel="1" x14ac:dyDescent="0.25">
      <c r="B706" s="1142" t="s">
        <v>830</v>
      </c>
      <c r="C706" s="1143"/>
      <c r="D706" s="1143" t="s">
        <v>904</v>
      </c>
      <c r="E706" s="1146">
        <v>55</v>
      </c>
      <c r="F706" s="1174" t="s">
        <v>125</v>
      </c>
      <c r="G706" s="1146"/>
      <c r="H706" s="1174" t="s">
        <v>125</v>
      </c>
      <c r="I706" s="1146"/>
      <c r="J706" s="1148" t="s">
        <v>849</v>
      </c>
      <c r="K706" s="1170"/>
      <c r="M706" s="1170"/>
    </row>
    <row r="707" spans="2:13" ht="15" hidden="1" customHeight="1" outlineLevel="1" x14ac:dyDescent="0.25">
      <c r="B707" s="1142" t="s">
        <v>830</v>
      </c>
      <c r="C707" s="1143"/>
      <c r="D707" s="1143" t="s">
        <v>869</v>
      </c>
      <c r="E707" s="1146">
        <v>40</v>
      </c>
      <c r="F707" s="1174" t="s">
        <v>125</v>
      </c>
      <c r="G707" s="1146"/>
      <c r="H707" s="1174" t="s">
        <v>125</v>
      </c>
      <c r="I707" s="1146"/>
      <c r="J707" s="1148" t="s">
        <v>849</v>
      </c>
      <c r="K707" s="1170"/>
      <c r="M707" s="1170"/>
    </row>
    <row r="708" spans="2:13" ht="15" hidden="1" customHeight="1" outlineLevel="1" x14ac:dyDescent="0.25">
      <c r="B708" s="1142" t="s">
        <v>830</v>
      </c>
      <c r="C708" s="1143"/>
      <c r="D708" s="1143" t="s">
        <v>868</v>
      </c>
      <c r="E708" s="1146">
        <v>30</v>
      </c>
      <c r="F708" s="1174" t="s">
        <v>125</v>
      </c>
      <c r="G708" s="1146"/>
      <c r="H708" s="1174" t="s">
        <v>125</v>
      </c>
      <c r="I708" s="1146"/>
      <c r="J708" s="1148" t="s">
        <v>849</v>
      </c>
      <c r="K708" s="1170"/>
      <c r="M708" s="1170"/>
    </row>
    <row r="709" spans="2:13" ht="15" hidden="1" customHeight="1" outlineLevel="1" x14ac:dyDescent="0.25">
      <c r="B709" s="1142" t="s">
        <v>830</v>
      </c>
      <c r="C709" s="1143"/>
      <c r="D709" s="1143" t="s">
        <v>903</v>
      </c>
      <c r="E709" s="1146">
        <v>80</v>
      </c>
      <c r="F709" s="1174" t="s">
        <v>1660</v>
      </c>
      <c r="G709" s="1108" t="s">
        <v>747</v>
      </c>
      <c r="H709" s="1187" t="s">
        <v>125</v>
      </c>
      <c r="I709" s="1108"/>
      <c r="J709" s="1148" t="s">
        <v>849</v>
      </c>
      <c r="K709" s="1170"/>
      <c r="M709" s="1170" t="s">
        <v>872</v>
      </c>
    </row>
    <row r="710" spans="2:13" ht="15" hidden="1" customHeight="1" outlineLevel="1" x14ac:dyDescent="0.25">
      <c r="B710" s="1142" t="s">
        <v>830</v>
      </c>
      <c r="C710" s="1143"/>
      <c r="D710" s="1143" t="s">
        <v>873</v>
      </c>
      <c r="E710" s="1146">
        <v>5</v>
      </c>
      <c r="F710" s="1174" t="s">
        <v>125</v>
      </c>
      <c r="G710" s="1146"/>
      <c r="H710" s="1174" t="s">
        <v>125</v>
      </c>
      <c r="I710" s="1146"/>
      <c r="J710" s="1148" t="s">
        <v>849</v>
      </c>
      <c r="K710" s="1170"/>
      <c r="M710" s="1170"/>
    </row>
    <row r="711" spans="2:13" ht="15" hidden="1" customHeight="1" outlineLevel="1" x14ac:dyDescent="0.25">
      <c r="B711" s="1142" t="s">
        <v>830</v>
      </c>
      <c r="C711" s="1143"/>
      <c r="D711" s="1143" t="s">
        <v>857</v>
      </c>
      <c r="E711" s="1146">
        <v>0.309</v>
      </c>
      <c r="F711" s="1174" t="s">
        <v>125</v>
      </c>
      <c r="G711" s="1146"/>
      <c r="H711" s="1174" t="s">
        <v>125</v>
      </c>
      <c r="I711" s="1146"/>
      <c r="J711" s="1148" t="s">
        <v>304</v>
      </c>
      <c r="K711" s="1170"/>
      <c r="M711" s="1170" t="s">
        <v>876</v>
      </c>
    </row>
    <row r="712" spans="2:13" ht="15" hidden="1" customHeight="1" outlineLevel="1" x14ac:dyDescent="0.25">
      <c r="B712" s="1149" t="s">
        <v>830</v>
      </c>
      <c r="C712" s="1150"/>
      <c r="D712" s="1150" t="s">
        <v>858</v>
      </c>
      <c r="E712" s="1158">
        <v>0.13200000000000001</v>
      </c>
      <c r="F712" s="1176" t="s">
        <v>125</v>
      </c>
      <c r="G712" s="1158"/>
      <c r="H712" s="1176" t="s">
        <v>125</v>
      </c>
      <c r="I712" s="1158"/>
      <c r="J712" s="1155" t="s">
        <v>304</v>
      </c>
      <c r="K712" s="1170"/>
      <c r="M712" s="1170" t="s">
        <v>876</v>
      </c>
    </row>
    <row r="713" spans="2:13" ht="15" customHeight="1" collapsed="1" x14ac:dyDescent="0.25">
      <c r="B713" s="1109"/>
      <c r="E713" s="1130"/>
      <c r="F713" s="1184" t="s">
        <v>125</v>
      </c>
      <c r="G713" s="1125"/>
      <c r="H713" s="1184" t="s">
        <v>125</v>
      </c>
      <c r="I713" s="1125"/>
      <c r="J713" s="1125"/>
    </row>
    <row r="714" spans="2:13" ht="15" customHeight="1" collapsed="1" x14ac:dyDescent="0.25">
      <c r="B714" s="1164" t="s">
        <v>825</v>
      </c>
      <c r="C714" s="1165"/>
      <c r="D714" s="1165" t="s">
        <v>1421</v>
      </c>
      <c r="E714" s="1168">
        <v>1000</v>
      </c>
      <c r="F714" s="1178" t="s">
        <v>125</v>
      </c>
      <c r="G714" s="1168"/>
      <c r="H714" s="1178" t="s">
        <v>125</v>
      </c>
      <c r="I714" s="1168"/>
      <c r="J714" s="246" t="s">
        <v>221</v>
      </c>
      <c r="K714" s="292">
        <v>100</v>
      </c>
    </row>
    <row r="715" spans="2:13" ht="15" hidden="1" customHeight="1" outlineLevel="1" x14ac:dyDescent="0.25">
      <c r="B715" s="953" t="s">
        <v>830</v>
      </c>
      <c r="C715" s="1138"/>
      <c r="D715" s="1138" t="s">
        <v>887</v>
      </c>
      <c r="E715" s="954">
        <v>1</v>
      </c>
      <c r="F715" s="1185" t="s">
        <v>125</v>
      </c>
      <c r="G715" s="954"/>
      <c r="H715" s="1185" t="s">
        <v>125</v>
      </c>
      <c r="I715" s="954"/>
      <c r="J715" s="955" t="s">
        <v>1286</v>
      </c>
      <c r="K715" s="207" t="s">
        <v>125</v>
      </c>
      <c r="M715" s="1" t="s">
        <v>862</v>
      </c>
    </row>
    <row r="716" spans="2:13" ht="15" hidden="1" customHeight="1" outlineLevel="1" x14ac:dyDescent="0.25">
      <c r="B716" s="1188" t="s">
        <v>830</v>
      </c>
      <c r="C716" s="1150"/>
      <c r="D716" s="1150" t="s">
        <v>1252</v>
      </c>
      <c r="E716" s="1153">
        <v>60</v>
      </c>
      <c r="F716" s="1189" t="s">
        <v>125</v>
      </c>
      <c r="G716" s="1153"/>
      <c r="H716" s="1189" t="s">
        <v>125</v>
      </c>
      <c r="I716" s="1153"/>
      <c r="J716" s="1155" t="s">
        <v>304</v>
      </c>
      <c r="K716" s="1" t="s">
        <v>125</v>
      </c>
      <c r="M716" s="1" t="s">
        <v>125</v>
      </c>
    </row>
    <row r="717" spans="2:13" ht="15" customHeight="1" x14ac:dyDescent="0.25">
      <c r="F717" s="1177" t="s">
        <v>125</v>
      </c>
      <c r="H717" s="1177" t="s">
        <v>125</v>
      </c>
    </row>
    <row r="718" spans="2:13" ht="15" customHeight="1" collapsed="1" x14ac:dyDescent="0.25">
      <c r="B718" s="1164" t="s">
        <v>825</v>
      </c>
      <c r="C718" s="1165"/>
      <c r="D718" s="1165" t="s">
        <v>867</v>
      </c>
      <c r="E718" s="1168">
        <v>1</v>
      </c>
      <c r="F718" s="1178" t="s">
        <v>1660</v>
      </c>
      <c r="G718" s="1168" t="s">
        <v>735</v>
      </c>
      <c r="H718" s="1178" t="s">
        <v>125</v>
      </c>
      <c r="I718" s="1168"/>
      <c r="J718" s="246" t="s">
        <v>221</v>
      </c>
      <c r="K718" s="292">
        <v>100</v>
      </c>
    </row>
    <row r="719" spans="2:13" ht="15" hidden="1" customHeight="1" outlineLevel="1" x14ac:dyDescent="0.25">
      <c r="B719" s="953" t="s">
        <v>830</v>
      </c>
      <c r="C719" s="1138"/>
      <c r="D719" s="1138" t="s">
        <v>1418</v>
      </c>
      <c r="E719" s="954">
        <v>0.115</v>
      </c>
      <c r="F719" s="1185" t="s">
        <v>1660</v>
      </c>
      <c r="G719" s="954" t="s">
        <v>747</v>
      </c>
      <c r="H719" s="1185" t="s">
        <v>125</v>
      </c>
      <c r="I719" s="954"/>
      <c r="J719" s="955" t="s">
        <v>221</v>
      </c>
      <c r="K719" s="207"/>
    </row>
    <row r="720" spans="2:13" ht="15" hidden="1" customHeight="1" outlineLevel="1" x14ac:dyDescent="0.25">
      <c r="B720" s="1186" t="s">
        <v>830</v>
      </c>
      <c r="C720" s="1143"/>
      <c r="D720" s="1143" t="s">
        <v>1419</v>
      </c>
      <c r="E720" s="1108">
        <v>0.374</v>
      </c>
      <c r="F720" s="1187" t="s">
        <v>1660</v>
      </c>
      <c r="G720" s="1108" t="s">
        <v>747</v>
      </c>
      <c r="H720" s="1187" t="s">
        <v>125</v>
      </c>
      <c r="I720" s="1108"/>
      <c r="J720" s="1148" t="s">
        <v>221</v>
      </c>
    </row>
    <row r="721" spans="2:13" ht="15" hidden="1" customHeight="1" outlineLevel="1" x14ac:dyDescent="0.25">
      <c r="B721" s="1186" t="s">
        <v>830</v>
      </c>
      <c r="C721" s="1143"/>
      <c r="D721" s="1143" t="s">
        <v>1285</v>
      </c>
      <c r="E721" s="1108">
        <v>0.44400000000000001</v>
      </c>
      <c r="F721" s="1187" t="s">
        <v>125</v>
      </c>
      <c r="G721" s="1108"/>
      <c r="H721" s="1187" t="s">
        <v>125</v>
      </c>
      <c r="I721" s="1108"/>
      <c r="J721" s="1148" t="s">
        <v>221</v>
      </c>
    </row>
    <row r="722" spans="2:13" ht="15" hidden="1" customHeight="1" outlineLevel="1" x14ac:dyDescent="0.25">
      <c r="B722" s="1186" t="s">
        <v>830</v>
      </c>
      <c r="C722" s="1143"/>
      <c r="D722" s="1143" t="s">
        <v>1420</v>
      </c>
      <c r="E722" s="1108">
        <v>6.7000000000000004E-2</v>
      </c>
      <c r="F722" s="1187" t="s">
        <v>1660</v>
      </c>
      <c r="G722" s="1108" t="s">
        <v>747</v>
      </c>
      <c r="H722" s="1187" t="s">
        <v>125</v>
      </c>
      <c r="I722" s="1108"/>
      <c r="J722" s="1148" t="s">
        <v>221</v>
      </c>
    </row>
    <row r="723" spans="2:13" ht="15" hidden="1" customHeight="1" outlineLevel="1" x14ac:dyDescent="0.25">
      <c r="B723" s="1186" t="s">
        <v>830</v>
      </c>
      <c r="C723" s="1143"/>
      <c r="D723" s="1143" t="s">
        <v>1363</v>
      </c>
      <c r="E723" s="1190">
        <v>3.7840593257427398E-2</v>
      </c>
      <c r="F723" s="1191" t="s">
        <v>1660</v>
      </c>
      <c r="G723" s="1108" t="s">
        <v>747</v>
      </c>
      <c r="H723" s="1187" t="s">
        <v>125</v>
      </c>
      <c r="I723" s="1108"/>
      <c r="J723" s="1148" t="s">
        <v>836</v>
      </c>
    </row>
    <row r="724" spans="2:13" ht="15" hidden="1" customHeight="1" outlineLevel="1" x14ac:dyDescent="0.25">
      <c r="B724" s="1186" t="s">
        <v>830</v>
      </c>
      <c r="C724" s="1143"/>
      <c r="D724" s="1143" t="s">
        <v>1264</v>
      </c>
      <c r="E724" s="1190">
        <v>5.6360615030237003E-3</v>
      </c>
      <c r="F724" s="1191" t="s">
        <v>1660</v>
      </c>
      <c r="G724" s="1108" t="s">
        <v>747</v>
      </c>
      <c r="H724" s="1187" t="s">
        <v>2220</v>
      </c>
      <c r="I724" s="1108" t="s">
        <v>2254</v>
      </c>
      <c r="J724" s="1148" t="s">
        <v>836</v>
      </c>
    </row>
    <row r="725" spans="2:13" ht="15" hidden="1" customHeight="1" outlineLevel="1" x14ac:dyDescent="0.25">
      <c r="B725" s="1186" t="s">
        <v>830</v>
      </c>
      <c r="C725" s="1143"/>
      <c r="D725" s="1143" t="s">
        <v>1265</v>
      </c>
      <c r="E725" s="1190">
        <v>8.6710000932283399E-3</v>
      </c>
      <c r="F725" s="1191" t="s">
        <v>1660</v>
      </c>
      <c r="G725" s="1108" t="s">
        <v>747</v>
      </c>
      <c r="H725" s="1187" t="s">
        <v>125</v>
      </c>
      <c r="I725" s="1108"/>
      <c r="J725" s="1148" t="s">
        <v>836</v>
      </c>
    </row>
    <row r="726" spans="2:13" ht="15" hidden="1" customHeight="1" outlineLevel="1" x14ac:dyDescent="0.25">
      <c r="B726" s="1186" t="s">
        <v>830</v>
      </c>
      <c r="C726" s="1143"/>
      <c r="D726" s="1143" t="s">
        <v>1267</v>
      </c>
      <c r="E726" s="1108">
        <v>0.18757506604312699</v>
      </c>
      <c r="F726" s="1187" t="s">
        <v>1660</v>
      </c>
      <c r="G726" s="1108" t="s">
        <v>747</v>
      </c>
      <c r="H726" s="1187" t="s">
        <v>125</v>
      </c>
      <c r="I726" s="1108"/>
      <c r="J726" s="1148" t="s">
        <v>836</v>
      </c>
    </row>
    <row r="727" spans="2:13" ht="15" hidden="1" customHeight="1" outlineLevel="1" x14ac:dyDescent="0.25">
      <c r="B727" s="1186" t="s">
        <v>830</v>
      </c>
      <c r="C727" s="1143"/>
      <c r="D727" s="1143" t="s">
        <v>1268</v>
      </c>
      <c r="E727" s="1190">
        <v>1.73953718321124E-2</v>
      </c>
      <c r="F727" s="1191" t="s">
        <v>1660</v>
      </c>
      <c r="G727" s="1108" t="s">
        <v>747</v>
      </c>
      <c r="H727" s="1187" t="s">
        <v>2220</v>
      </c>
      <c r="I727" s="1108" t="s">
        <v>2255</v>
      </c>
      <c r="J727" s="1148" t="s">
        <v>836</v>
      </c>
    </row>
    <row r="728" spans="2:13" ht="15" hidden="1" customHeight="1" outlineLevel="1" x14ac:dyDescent="0.25">
      <c r="B728" s="1186" t="s">
        <v>830</v>
      </c>
      <c r="C728" s="1143"/>
      <c r="D728" s="1143" t="s">
        <v>1270</v>
      </c>
      <c r="E728" s="1108">
        <v>3.7784477696491998</v>
      </c>
      <c r="F728" s="1187" t="s">
        <v>1660</v>
      </c>
      <c r="G728" s="1108" t="s">
        <v>747</v>
      </c>
      <c r="H728" s="1187" t="s">
        <v>125</v>
      </c>
      <c r="I728" s="1108"/>
      <c r="J728" s="1148" t="s">
        <v>836</v>
      </c>
    </row>
    <row r="729" spans="2:13" ht="15" hidden="1" customHeight="1" outlineLevel="1" x14ac:dyDescent="0.25">
      <c r="B729" s="1186" t="s">
        <v>830</v>
      </c>
      <c r="C729" s="1143"/>
      <c r="D729" s="1143" t="s">
        <v>1271</v>
      </c>
      <c r="E729" s="1108">
        <v>1.4076793598072801</v>
      </c>
      <c r="F729" s="1187" t="s">
        <v>1660</v>
      </c>
      <c r="G729" s="1108" t="s">
        <v>747</v>
      </c>
      <c r="H729" s="1187" t="s">
        <v>125</v>
      </c>
      <c r="I729" s="1108"/>
      <c r="J729" s="1148" t="s">
        <v>836</v>
      </c>
    </row>
    <row r="730" spans="2:13" ht="15" hidden="1" customHeight="1" outlineLevel="1" x14ac:dyDescent="0.25">
      <c r="B730" s="1186" t="s">
        <v>830</v>
      </c>
      <c r="C730" s="1143"/>
      <c r="D730" s="1143" t="s">
        <v>1272</v>
      </c>
      <c r="E730" s="1108">
        <v>0.45017865578642502</v>
      </c>
      <c r="F730" s="1187" t="s">
        <v>1660</v>
      </c>
      <c r="G730" s="1108" t="s">
        <v>747</v>
      </c>
      <c r="H730" s="1187" t="s">
        <v>2220</v>
      </c>
      <c r="I730" s="1108" t="s">
        <v>2256</v>
      </c>
      <c r="J730" s="1148" t="s">
        <v>836</v>
      </c>
    </row>
    <row r="731" spans="2:13" ht="15" hidden="1" customHeight="1" outlineLevel="1" x14ac:dyDescent="0.25">
      <c r="B731" s="1188" t="s">
        <v>830</v>
      </c>
      <c r="C731" s="1150"/>
      <c r="D731" s="1150" t="s">
        <v>1273</v>
      </c>
      <c r="E731" s="1192">
        <v>6.0731195689386498E-3</v>
      </c>
      <c r="F731" s="1193" t="s">
        <v>1660</v>
      </c>
      <c r="G731" s="1153" t="s">
        <v>747</v>
      </c>
      <c r="H731" s="1189" t="s">
        <v>125</v>
      </c>
      <c r="I731" s="1153"/>
      <c r="J731" s="1155" t="s">
        <v>836</v>
      </c>
    </row>
    <row r="732" spans="2:13" ht="15" customHeight="1" x14ac:dyDescent="0.25">
      <c r="F732" s="1177" t="s">
        <v>125</v>
      </c>
      <c r="H732" s="1177" t="s">
        <v>125</v>
      </c>
    </row>
    <row r="733" spans="2:13" ht="15" customHeight="1" x14ac:dyDescent="0.25">
      <c r="B733" s="1127" t="s">
        <v>825</v>
      </c>
      <c r="C733" s="1128"/>
      <c r="D733" s="1128" t="s">
        <v>1284</v>
      </c>
      <c r="E733" s="1130">
        <v>192.31</v>
      </c>
      <c r="F733" s="1172" t="s">
        <v>125</v>
      </c>
      <c r="G733" s="1130"/>
      <c r="H733" s="1172" t="s">
        <v>125</v>
      </c>
      <c r="I733" s="1130"/>
      <c r="J733" s="208" t="s">
        <v>221</v>
      </c>
      <c r="K733" s="898">
        <v>40.450000000000003</v>
      </c>
    </row>
    <row r="734" spans="2:13" ht="15" customHeight="1" collapsed="1" x14ac:dyDescent="0.25">
      <c r="B734" s="1132" t="s">
        <v>825</v>
      </c>
      <c r="C734" s="1107"/>
      <c r="D734" s="1107" t="s">
        <v>1285</v>
      </c>
      <c r="E734" s="1135">
        <v>784.62</v>
      </c>
      <c r="F734" s="1173" t="s">
        <v>125</v>
      </c>
      <c r="G734" s="1135"/>
      <c r="H734" s="1173" t="s">
        <v>125</v>
      </c>
      <c r="I734" s="1135"/>
      <c r="J734" s="211" t="s">
        <v>221</v>
      </c>
      <c r="K734" s="531">
        <v>59.55</v>
      </c>
    </row>
    <row r="735" spans="2:13" ht="15" hidden="1" customHeight="1" outlineLevel="1" x14ac:dyDescent="0.25">
      <c r="B735" s="953" t="s">
        <v>830</v>
      </c>
      <c r="C735" s="1138"/>
      <c r="D735" s="1138" t="s">
        <v>887</v>
      </c>
      <c r="E735" s="954">
        <v>1</v>
      </c>
      <c r="F735" s="1185" t="s">
        <v>125</v>
      </c>
      <c r="G735" s="954"/>
      <c r="H735" s="1185" t="s">
        <v>125</v>
      </c>
      <c r="I735" s="954"/>
      <c r="J735" s="955" t="s">
        <v>1286</v>
      </c>
      <c r="K735" s="207" t="s">
        <v>125</v>
      </c>
      <c r="M735" s="1" t="s">
        <v>125</v>
      </c>
    </row>
    <row r="736" spans="2:13" ht="15" hidden="1" customHeight="1" outlineLevel="1" x14ac:dyDescent="0.25">
      <c r="B736" s="1186" t="s">
        <v>830</v>
      </c>
      <c r="C736" s="1143"/>
      <c r="D736" s="1143" t="s">
        <v>1054</v>
      </c>
      <c r="E736" s="1108">
        <v>103.85</v>
      </c>
      <c r="F736" s="1187" t="s">
        <v>125</v>
      </c>
      <c r="G736" s="1108"/>
      <c r="H736" s="1187" t="s">
        <v>125</v>
      </c>
      <c r="I736" s="1108"/>
      <c r="J736" s="1148" t="s">
        <v>304</v>
      </c>
      <c r="K736" s="1" t="s">
        <v>125</v>
      </c>
      <c r="M736" s="1" t="s">
        <v>125</v>
      </c>
    </row>
    <row r="737" spans="2:13" ht="15" hidden="1" customHeight="1" outlineLevel="1" x14ac:dyDescent="0.25">
      <c r="B737" s="1186" t="s">
        <v>830</v>
      </c>
      <c r="C737" s="1143"/>
      <c r="D737" s="1143" t="s">
        <v>1278</v>
      </c>
      <c r="E737" s="1108">
        <v>828.1</v>
      </c>
      <c r="F737" s="1187" t="s">
        <v>125</v>
      </c>
      <c r="G737" s="1108"/>
      <c r="H737" s="1187" t="s">
        <v>125</v>
      </c>
      <c r="I737" s="1108"/>
      <c r="J737" s="1148" t="s">
        <v>304</v>
      </c>
      <c r="K737" s="1" t="s">
        <v>125</v>
      </c>
      <c r="M737" s="1" t="s">
        <v>125</v>
      </c>
    </row>
    <row r="738" spans="2:13" ht="15" hidden="1" customHeight="1" outlineLevel="1" x14ac:dyDescent="0.25">
      <c r="B738" s="1186" t="s">
        <v>830</v>
      </c>
      <c r="C738" s="1143"/>
      <c r="D738" s="1143" t="s">
        <v>1277</v>
      </c>
      <c r="E738" s="1108">
        <v>0.57699999999999996</v>
      </c>
      <c r="F738" s="1187" t="s">
        <v>125</v>
      </c>
      <c r="G738" s="1108"/>
      <c r="H738" s="1187" t="s">
        <v>125</v>
      </c>
      <c r="I738" s="1108"/>
      <c r="J738" s="1148" t="s">
        <v>221</v>
      </c>
      <c r="K738" s="1" t="s">
        <v>125</v>
      </c>
      <c r="M738" s="1" t="s">
        <v>125</v>
      </c>
    </row>
    <row r="739" spans="2:13" ht="15" hidden="1" customHeight="1" outlineLevel="1" x14ac:dyDescent="0.25">
      <c r="B739" s="1186" t="s">
        <v>830</v>
      </c>
      <c r="C739" s="1143"/>
      <c r="D739" s="1143" t="s">
        <v>1287</v>
      </c>
      <c r="E739" s="1108">
        <v>0.02</v>
      </c>
      <c r="F739" s="1187" t="s">
        <v>125</v>
      </c>
      <c r="G739" s="1108"/>
      <c r="H739" s="1187" t="s">
        <v>125</v>
      </c>
      <c r="I739" s="1108"/>
      <c r="J739" s="1148" t="s">
        <v>221</v>
      </c>
      <c r="K739" s="1" t="s">
        <v>125</v>
      </c>
      <c r="M739" s="1" t="s">
        <v>125</v>
      </c>
    </row>
    <row r="740" spans="2:13" ht="15" hidden="1" customHeight="1" outlineLevel="1" x14ac:dyDescent="0.25">
      <c r="B740" s="1186" t="s">
        <v>839</v>
      </c>
      <c r="C740" s="1143"/>
      <c r="D740" s="1143" t="s">
        <v>1279</v>
      </c>
      <c r="E740" s="1108">
        <v>0.57699999999999996</v>
      </c>
      <c r="F740" s="1187" t="s">
        <v>125</v>
      </c>
      <c r="G740" s="1108"/>
      <c r="H740" s="1187" t="s">
        <v>125</v>
      </c>
      <c r="I740" s="1108"/>
      <c r="J740" s="1148" t="s">
        <v>221</v>
      </c>
      <c r="K740" s="1" t="s">
        <v>125</v>
      </c>
      <c r="M740" s="1" t="s">
        <v>125</v>
      </c>
    </row>
    <row r="741" spans="2:13" ht="15" hidden="1" customHeight="1" outlineLevel="1" x14ac:dyDescent="0.25">
      <c r="B741" s="1186" t="s">
        <v>839</v>
      </c>
      <c r="C741" s="1143"/>
      <c r="D741" s="1143" t="s">
        <v>1280</v>
      </c>
      <c r="E741" s="1108">
        <v>3.8500000000000001E-3</v>
      </c>
      <c r="F741" s="1187" t="s">
        <v>125</v>
      </c>
      <c r="G741" s="1108"/>
      <c r="H741" s="1187" t="s">
        <v>125</v>
      </c>
      <c r="I741" s="1108"/>
      <c r="J741" s="1148" t="s">
        <v>221</v>
      </c>
      <c r="K741" s="1" t="s">
        <v>125</v>
      </c>
      <c r="M741" s="1" t="s">
        <v>125</v>
      </c>
    </row>
    <row r="742" spans="2:13" ht="15" hidden="1" customHeight="1" outlineLevel="1" x14ac:dyDescent="0.25">
      <c r="B742" s="1186" t="s">
        <v>1281</v>
      </c>
      <c r="C742" s="1143"/>
      <c r="D742" s="1143" t="s">
        <v>1282</v>
      </c>
      <c r="E742" s="1108">
        <v>23.1</v>
      </c>
      <c r="F742" s="1187" t="s">
        <v>125</v>
      </c>
      <c r="G742" s="1108"/>
      <c r="H742" s="1187" t="s">
        <v>125</v>
      </c>
      <c r="I742" s="1108"/>
      <c r="J742" s="1148" t="s">
        <v>221</v>
      </c>
      <c r="K742" s="1" t="s">
        <v>125</v>
      </c>
      <c r="M742" s="1" t="s">
        <v>1288</v>
      </c>
    </row>
    <row r="743" spans="2:13" ht="15" hidden="1" customHeight="1" outlineLevel="1" x14ac:dyDescent="0.25">
      <c r="B743" s="1188" t="s">
        <v>1281</v>
      </c>
      <c r="C743" s="1150"/>
      <c r="D743" s="1150" t="s">
        <v>1283</v>
      </c>
      <c r="E743" s="1153">
        <v>250</v>
      </c>
      <c r="F743" s="1189" t="s">
        <v>125</v>
      </c>
      <c r="G743" s="1153"/>
      <c r="H743" s="1189" t="s">
        <v>125</v>
      </c>
      <c r="I743" s="1153"/>
      <c r="J743" s="1155" t="s">
        <v>221</v>
      </c>
      <c r="K743" s="1" t="s">
        <v>125</v>
      </c>
      <c r="M743" s="1" t="s">
        <v>125</v>
      </c>
    </row>
    <row r="744" spans="2:13" ht="15" customHeight="1" x14ac:dyDescent="0.25">
      <c r="F744" s="1177" t="s">
        <v>125</v>
      </c>
      <c r="H744" s="1177" t="s">
        <v>125</v>
      </c>
    </row>
    <row r="745" spans="2:13" ht="15" customHeight="1" collapsed="1" x14ac:dyDescent="0.25">
      <c r="B745" s="1164" t="s">
        <v>825</v>
      </c>
      <c r="C745" s="1165"/>
      <c r="D745" s="1165" t="s">
        <v>893</v>
      </c>
      <c r="E745" s="1168">
        <v>1</v>
      </c>
      <c r="F745" s="1178" t="s">
        <v>125</v>
      </c>
      <c r="G745" s="1168"/>
      <c r="H745" s="1178" t="s">
        <v>125</v>
      </c>
      <c r="I745" s="1168"/>
      <c r="J745" s="246" t="s">
        <v>1286</v>
      </c>
      <c r="K745" s="292">
        <v>100</v>
      </c>
    </row>
    <row r="746" spans="2:13" ht="15" hidden="1" customHeight="1" outlineLevel="1" x14ac:dyDescent="0.25">
      <c r="B746" s="953" t="s">
        <v>830</v>
      </c>
      <c r="C746" s="1138"/>
      <c r="D746" s="1138" t="s">
        <v>1272</v>
      </c>
      <c r="E746" s="954">
        <v>55.89</v>
      </c>
      <c r="F746" s="1185" t="s">
        <v>1660</v>
      </c>
      <c r="G746" s="954" t="s">
        <v>747</v>
      </c>
      <c r="H746" s="1185" t="s">
        <v>2220</v>
      </c>
      <c r="I746" s="954" t="s">
        <v>1524</v>
      </c>
      <c r="J746" s="955" t="s">
        <v>836</v>
      </c>
      <c r="K746" s="207" t="s">
        <v>125</v>
      </c>
      <c r="M746" s="1" t="s">
        <v>1295</v>
      </c>
    </row>
    <row r="747" spans="2:13" ht="15" hidden="1" customHeight="1" outlineLevel="1" x14ac:dyDescent="0.25">
      <c r="B747" s="1186" t="s">
        <v>830</v>
      </c>
      <c r="C747" s="1143"/>
      <c r="D747" s="1143" t="s">
        <v>1268</v>
      </c>
      <c r="E747" s="1108">
        <v>2.21</v>
      </c>
      <c r="F747" s="1187" t="s">
        <v>1660</v>
      </c>
      <c r="G747" s="1108" t="s">
        <v>747</v>
      </c>
      <c r="H747" s="1187" t="s">
        <v>2220</v>
      </c>
      <c r="I747" s="1108" t="s">
        <v>749</v>
      </c>
      <c r="J747" s="1148" t="s">
        <v>836</v>
      </c>
      <c r="K747" s="1" t="s">
        <v>125</v>
      </c>
      <c r="M747" s="1" t="s">
        <v>1295</v>
      </c>
    </row>
    <row r="748" spans="2:13" ht="15" hidden="1" customHeight="1" outlineLevel="1" x14ac:dyDescent="0.25">
      <c r="B748" s="1186" t="s">
        <v>830</v>
      </c>
      <c r="C748" s="1143"/>
      <c r="D748" s="1143" t="s">
        <v>1264</v>
      </c>
      <c r="E748" s="1108">
        <v>19.18</v>
      </c>
      <c r="F748" s="1187" t="s">
        <v>1660</v>
      </c>
      <c r="G748" s="1108" t="s">
        <v>747</v>
      </c>
      <c r="H748" s="1187" t="s">
        <v>2220</v>
      </c>
      <c r="I748" s="1108" t="s">
        <v>748</v>
      </c>
      <c r="J748" s="1148" t="s">
        <v>836</v>
      </c>
      <c r="K748" s="1" t="s">
        <v>125</v>
      </c>
      <c r="M748" s="1" t="s">
        <v>1295</v>
      </c>
    </row>
    <row r="749" spans="2:13" ht="15" hidden="1" customHeight="1" outlineLevel="1" x14ac:dyDescent="0.25">
      <c r="B749" s="1188" t="s">
        <v>830</v>
      </c>
      <c r="C749" s="1150"/>
      <c r="D749" s="1150" t="s">
        <v>1421</v>
      </c>
      <c r="E749" s="1153">
        <v>1</v>
      </c>
      <c r="F749" s="1189" t="s">
        <v>125</v>
      </c>
      <c r="G749" s="1153"/>
      <c r="H749" s="1189" t="s">
        <v>125</v>
      </c>
      <c r="I749" s="1153"/>
      <c r="J749" s="1155" t="s">
        <v>1286</v>
      </c>
      <c r="K749" s="1" t="s">
        <v>125</v>
      </c>
      <c r="M749" s="1" t="s">
        <v>125</v>
      </c>
    </row>
    <row r="750" spans="2:13" ht="15" customHeight="1" x14ac:dyDescent="0.25">
      <c r="F750" s="1177" t="s">
        <v>125</v>
      </c>
      <c r="H750" s="1177" t="s">
        <v>125</v>
      </c>
    </row>
    <row r="751" spans="2:13" ht="15" customHeight="1" collapsed="1" x14ac:dyDescent="0.25">
      <c r="B751" s="1164" t="s">
        <v>825</v>
      </c>
      <c r="C751" s="1165"/>
      <c r="D751" s="1165" t="s">
        <v>887</v>
      </c>
      <c r="E751" s="1168">
        <v>1</v>
      </c>
      <c r="F751" s="1178" t="s">
        <v>1660</v>
      </c>
      <c r="G751" s="1168" t="s">
        <v>734</v>
      </c>
      <c r="H751" s="1178" t="s">
        <v>125</v>
      </c>
      <c r="I751" s="1168"/>
      <c r="J751" s="246" t="s">
        <v>221</v>
      </c>
      <c r="K751" s="292">
        <v>100</v>
      </c>
    </row>
    <row r="752" spans="2:13" ht="15" hidden="1" customHeight="1" outlineLevel="1" x14ac:dyDescent="0.25">
      <c r="B752" s="953" t="s">
        <v>830</v>
      </c>
      <c r="C752" s="1138"/>
      <c r="D752" s="1138" t="s">
        <v>1422</v>
      </c>
      <c r="E752" s="954">
        <v>3.4399999999999999E-3</v>
      </c>
      <c r="F752" s="1185" t="s">
        <v>1660</v>
      </c>
      <c r="G752" s="954" t="s">
        <v>747</v>
      </c>
      <c r="H752" s="1185" t="s">
        <v>125</v>
      </c>
      <c r="I752" s="954"/>
      <c r="J752" s="955" t="s">
        <v>221</v>
      </c>
      <c r="K752" s="207"/>
    </row>
    <row r="753" spans="2:10" ht="15" hidden="1" customHeight="1" outlineLevel="1" x14ac:dyDescent="0.25">
      <c r="B753" s="1186" t="s">
        <v>830</v>
      </c>
      <c r="C753" s="1143"/>
      <c r="D753" s="1143" t="s">
        <v>1423</v>
      </c>
      <c r="E753" s="1108">
        <v>0.318</v>
      </c>
      <c r="F753" s="1187" t="s">
        <v>1660</v>
      </c>
      <c r="G753" s="1108" t="s">
        <v>747</v>
      </c>
      <c r="H753" s="1187" t="s">
        <v>125</v>
      </c>
      <c r="I753" s="1108"/>
      <c r="J753" s="1148" t="s">
        <v>221</v>
      </c>
    </row>
    <row r="754" spans="2:10" ht="15" hidden="1" customHeight="1" outlineLevel="1" x14ac:dyDescent="0.25">
      <c r="B754" s="1186" t="s">
        <v>830</v>
      </c>
      <c r="C754" s="1143"/>
      <c r="D754" s="1143" t="s">
        <v>1424</v>
      </c>
      <c r="E754" s="1108">
        <v>9.06E-2</v>
      </c>
      <c r="F754" s="1187" t="s">
        <v>1660</v>
      </c>
      <c r="G754" s="1108" t="s">
        <v>747</v>
      </c>
      <c r="H754" s="1187" t="s">
        <v>125</v>
      </c>
      <c r="I754" s="1108"/>
      <c r="J754" s="1148" t="s">
        <v>221</v>
      </c>
    </row>
    <row r="755" spans="2:10" ht="15" hidden="1" customHeight="1" outlineLevel="1" x14ac:dyDescent="0.25">
      <c r="B755" s="1186" t="s">
        <v>830</v>
      </c>
      <c r="C755" s="1143"/>
      <c r="D755" s="1143" t="s">
        <v>1190</v>
      </c>
      <c r="E755" s="1108">
        <v>6.1199999999999996E-3</v>
      </c>
      <c r="F755" s="1187" t="s">
        <v>125</v>
      </c>
      <c r="G755" s="1108"/>
      <c r="H755" s="1187" t="s">
        <v>125</v>
      </c>
      <c r="I755" s="1108"/>
      <c r="J755" s="1148" t="s">
        <v>221</v>
      </c>
    </row>
    <row r="756" spans="2:10" ht="15" hidden="1" customHeight="1" outlineLevel="1" x14ac:dyDescent="0.25">
      <c r="B756" s="1186" t="s">
        <v>830</v>
      </c>
      <c r="C756" s="1143"/>
      <c r="D756" s="1143" t="s">
        <v>1425</v>
      </c>
      <c r="E756" s="1108">
        <v>0.123</v>
      </c>
      <c r="F756" s="1187" t="s">
        <v>1660</v>
      </c>
      <c r="G756" s="1108" t="s">
        <v>747</v>
      </c>
      <c r="H756" s="1187" t="s">
        <v>125</v>
      </c>
      <c r="I756" s="1108"/>
      <c r="J756" s="1148" t="s">
        <v>221</v>
      </c>
    </row>
    <row r="757" spans="2:10" ht="15" hidden="1" customHeight="1" outlineLevel="1" x14ac:dyDescent="0.25">
      <c r="B757" s="1186" t="s">
        <v>830</v>
      </c>
      <c r="C757" s="1143"/>
      <c r="D757" s="1143" t="s">
        <v>1426</v>
      </c>
      <c r="E757" s="1108">
        <v>2.3999999999999998E-3</v>
      </c>
      <c r="F757" s="1187" t="s">
        <v>1660</v>
      </c>
      <c r="G757" s="1108" t="s">
        <v>747</v>
      </c>
      <c r="H757" s="1187" t="s">
        <v>125</v>
      </c>
      <c r="I757" s="1108"/>
      <c r="J757" s="1148" t="s">
        <v>221</v>
      </c>
    </row>
    <row r="758" spans="2:10" ht="15" hidden="1" customHeight="1" outlineLevel="1" x14ac:dyDescent="0.25">
      <c r="B758" s="1186" t="s">
        <v>830</v>
      </c>
      <c r="C758" s="1143"/>
      <c r="D758" s="1143" t="s">
        <v>1427</v>
      </c>
      <c r="E758" s="1108">
        <v>5.45E-3</v>
      </c>
      <c r="F758" s="1187" t="s">
        <v>1660</v>
      </c>
      <c r="G758" s="1108" t="s">
        <v>747</v>
      </c>
      <c r="H758" s="1187" t="s">
        <v>125</v>
      </c>
      <c r="I758" s="1108"/>
      <c r="J758" s="1148" t="s">
        <v>221</v>
      </c>
    </row>
    <row r="759" spans="2:10" ht="15" hidden="1" customHeight="1" outlineLevel="1" x14ac:dyDescent="0.25">
      <c r="B759" s="1186" t="s">
        <v>830</v>
      </c>
      <c r="C759" s="1143"/>
      <c r="D759" s="1143" t="s">
        <v>1428</v>
      </c>
      <c r="E759" s="1108">
        <v>0.45100000000000001</v>
      </c>
      <c r="F759" s="1187" t="s">
        <v>1660</v>
      </c>
      <c r="G759" s="1108" t="s">
        <v>747</v>
      </c>
      <c r="H759" s="1187" t="s">
        <v>125</v>
      </c>
      <c r="I759" s="1108"/>
      <c r="J759" s="1148" t="s">
        <v>221</v>
      </c>
    </row>
    <row r="760" spans="2:10" ht="15" hidden="1" customHeight="1" outlineLevel="1" x14ac:dyDescent="0.25">
      <c r="B760" s="1186" t="s">
        <v>830</v>
      </c>
      <c r="C760" s="1143"/>
      <c r="D760" s="1143" t="s">
        <v>1363</v>
      </c>
      <c r="E760" s="1108">
        <v>0.49190988605358599</v>
      </c>
      <c r="F760" s="1187" t="s">
        <v>1660</v>
      </c>
      <c r="G760" s="1108" t="s">
        <v>747</v>
      </c>
      <c r="H760" s="1187" t="s">
        <v>125</v>
      </c>
      <c r="I760" s="1108"/>
      <c r="J760" s="1148" t="s">
        <v>836</v>
      </c>
    </row>
    <row r="761" spans="2:10" ht="15" hidden="1" customHeight="1" outlineLevel="1" x14ac:dyDescent="0.25">
      <c r="B761" s="1186" t="s">
        <v>830</v>
      </c>
      <c r="C761" s="1143"/>
      <c r="D761" s="1143" t="s">
        <v>1264</v>
      </c>
      <c r="E761" s="1190">
        <v>4.4117782147414603E-5</v>
      </c>
      <c r="F761" s="1191" t="s">
        <v>1660</v>
      </c>
      <c r="G761" s="1108" t="s">
        <v>747</v>
      </c>
      <c r="H761" s="1187" t="s">
        <v>2220</v>
      </c>
      <c r="I761" s="1108" t="s">
        <v>2257</v>
      </c>
      <c r="J761" s="1148" t="s">
        <v>836</v>
      </c>
    </row>
    <row r="762" spans="2:10" ht="15" hidden="1" customHeight="1" outlineLevel="1" x14ac:dyDescent="0.25">
      <c r="B762" s="1186" t="s">
        <v>830</v>
      </c>
      <c r="C762" s="1143"/>
      <c r="D762" s="1143" t="s">
        <v>1265</v>
      </c>
      <c r="E762" s="1190">
        <v>9.3054724084878498E-2</v>
      </c>
      <c r="F762" s="1191" t="s">
        <v>1660</v>
      </c>
      <c r="G762" s="1108" t="s">
        <v>747</v>
      </c>
      <c r="H762" s="1187" t="s">
        <v>125</v>
      </c>
      <c r="I762" s="1108"/>
      <c r="J762" s="1148" t="s">
        <v>836</v>
      </c>
    </row>
    <row r="763" spans="2:10" ht="15" hidden="1" customHeight="1" outlineLevel="1" x14ac:dyDescent="0.25">
      <c r="B763" s="1186" t="s">
        <v>830</v>
      </c>
      <c r="C763" s="1143"/>
      <c r="D763" s="1143" t="s">
        <v>1267</v>
      </c>
      <c r="E763" s="1108">
        <v>0.43076903512046899</v>
      </c>
      <c r="F763" s="1187" t="s">
        <v>1660</v>
      </c>
      <c r="G763" s="1108" t="s">
        <v>747</v>
      </c>
      <c r="H763" s="1187" t="s">
        <v>125</v>
      </c>
      <c r="I763" s="1108"/>
      <c r="J763" s="1148" t="s">
        <v>836</v>
      </c>
    </row>
    <row r="764" spans="2:10" ht="15" hidden="1" customHeight="1" outlineLevel="1" x14ac:dyDescent="0.25">
      <c r="B764" s="1186" t="s">
        <v>830</v>
      </c>
      <c r="C764" s="1143"/>
      <c r="D764" s="1143" t="s">
        <v>1268</v>
      </c>
      <c r="E764" s="1190">
        <v>5.8351494417348902E-2</v>
      </c>
      <c r="F764" s="1191" t="s">
        <v>1660</v>
      </c>
      <c r="G764" s="1108" t="s">
        <v>747</v>
      </c>
      <c r="H764" s="1187" t="s">
        <v>2220</v>
      </c>
      <c r="I764" s="1108" t="s">
        <v>2258</v>
      </c>
      <c r="J764" s="1148" t="s">
        <v>836</v>
      </c>
    </row>
    <row r="765" spans="2:10" ht="15" hidden="1" customHeight="1" outlineLevel="1" x14ac:dyDescent="0.25">
      <c r="B765" s="1186" t="s">
        <v>830</v>
      </c>
      <c r="C765" s="1143"/>
      <c r="D765" s="1143" t="s">
        <v>1270</v>
      </c>
      <c r="E765" s="1108">
        <v>3.2118081795583802</v>
      </c>
      <c r="F765" s="1187" t="s">
        <v>1660</v>
      </c>
      <c r="G765" s="1108" t="s">
        <v>747</v>
      </c>
      <c r="H765" s="1187" t="s">
        <v>125</v>
      </c>
      <c r="I765" s="1108"/>
      <c r="J765" s="1148" t="s">
        <v>836</v>
      </c>
    </row>
    <row r="766" spans="2:10" ht="15" hidden="1" customHeight="1" outlineLevel="1" x14ac:dyDescent="0.25">
      <c r="B766" s="1186" t="s">
        <v>830</v>
      </c>
      <c r="C766" s="1143"/>
      <c r="D766" s="1143" t="s">
        <v>1271</v>
      </c>
      <c r="E766" s="1108">
        <v>5.3459728563819997</v>
      </c>
      <c r="F766" s="1187" t="s">
        <v>1660</v>
      </c>
      <c r="G766" s="1108" t="s">
        <v>747</v>
      </c>
      <c r="H766" s="1187" t="s">
        <v>125</v>
      </c>
      <c r="I766" s="1108"/>
      <c r="J766" s="1148" t="s">
        <v>836</v>
      </c>
    </row>
    <row r="767" spans="2:10" ht="15" hidden="1" customHeight="1" outlineLevel="1" x14ac:dyDescent="0.25">
      <c r="B767" s="1186" t="s">
        <v>830</v>
      </c>
      <c r="C767" s="1143"/>
      <c r="D767" s="1143" t="s">
        <v>1272</v>
      </c>
      <c r="E767" s="1108">
        <v>0.360390729154907</v>
      </c>
      <c r="F767" s="1187" t="s">
        <v>1660</v>
      </c>
      <c r="G767" s="1108" t="s">
        <v>747</v>
      </c>
      <c r="H767" s="1187" t="s">
        <v>2220</v>
      </c>
      <c r="I767" s="1108" t="s">
        <v>2259</v>
      </c>
      <c r="J767" s="1148" t="s">
        <v>836</v>
      </c>
    </row>
    <row r="768" spans="2:10" ht="15" hidden="1" customHeight="1" outlineLevel="1" x14ac:dyDescent="0.25">
      <c r="B768" s="1188" t="s">
        <v>830</v>
      </c>
      <c r="C768" s="1150"/>
      <c r="D768" s="1150" t="s">
        <v>1273</v>
      </c>
      <c r="E768" s="1153">
        <v>0.24397864475028799</v>
      </c>
      <c r="F768" s="1189" t="s">
        <v>1660</v>
      </c>
      <c r="G768" s="1153" t="s">
        <v>747</v>
      </c>
      <c r="H768" s="1189" t="s">
        <v>125</v>
      </c>
      <c r="I768" s="1153"/>
      <c r="J768" s="1155" t="s">
        <v>836</v>
      </c>
    </row>
    <row r="769" spans="2:11" ht="15" customHeight="1" x14ac:dyDescent="0.25">
      <c r="F769" s="1177" t="s">
        <v>125</v>
      </c>
      <c r="H769" s="1177" t="s">
        <v>125</v>
      </c>
    </row>
    <row r="770" spans="2:11" ht="15" customHeight="1" collapsed="1" x14ac:dyDescent="0.25">
      <c r="B770" s="1164" t="s">
        <v>825</v>
      </c>
      <c r="C770" s="1165"/>
      <c r="D770" s="1165" t="s">
        <v>906</v>
      </c>
      <c r="E770" s="1168">
        <v>56</v>
      </c>
      <c r="F770" s="1178" t="s">
        <v>125</v>
      </c>
      <c r="G770" s="1168"/>
      <c r="H770" s="1178" t="s">
        <v>125</v>
      </c>
      <c r="I770" s="1168"/>
      <c r="J770" s="246" t="s">
        <v>221</v>
      </c>
      <c r="K770" s="292">
        <v>100</v>
      </c>
    </row>
    <row r="771" spans="2:11" ht="15" hidden="1" customHeight="1" outlineLevel="1" x14ac:dyDescent="0.25">
      <c r="B771" s="953" t="s">
        <v>830</v>
      </c>
      <c r="C771" s="1138"/>
      <c r="D771" s="1138" t="s">
        <v>1298</v>
      </c>
      <c r="E771" s="954">
        <v>230</v>
      </c>
      <c r="F771" s="1185" t="s">
        <v>125</v>
      </c>
      <c r="G771" s="954"/>
      <c r="H771" s="1185" t="s">
        <v>125</v>
      </c>
      <c r="I771" s="954"/>
      <c r="J771" s="955" t="s">
        <v>221</v>
      </c>
      <c r="K771" s="207"/>
    </row>
    <row r="772" spans="2:11" ht="15" hidden="1" customHeight="1" outlineLevel="1" x14ac:dyDescent="0.25">
      <c r="B772" s="1186" t="s">
        <v>830</v>
      </c>
      <c r="C772" s="1143"/>
      <c r="D772" s="1143" t="s">
        <v>1054</v>
      </c>
      <c r="E772" s="1108">
        <v>10</v>
      </c>
      <c r="F772" s="1187" t="s">
        <v>125</v>
      </c>
      <c r="G772" s="1108"/>
      <c r="H772" s="1187" t="s">
        <v>125</v>
      </c>
      <c r="I772" s="1108"/>
      <c r="J772" s="1148" t="s">
        <v>304</v>
      </c>
    </row>
    <row r="773" spans="2:11" ht="15" hidden="1" customHeight="1" outlineLevel="1" x14ac:dyDescent="0.25">
      <c r="B773" s="1186" t="s">
        <v>830</v>
      </c>
      <c r="C773" s="1143"/>
      <c r="D773" s="1143" t="s">
        <v>1278</v>
      </c>
      <c r="E773" s="1108">
        <v>325</v>
      </c>
      <c r="F773" s="1187" t="s">
        <v>125</v>
      </c>
      <c r="G773" s="1108"/>
      <c r="H773" s="1187" t="s">
        <v>125</v>
      </c>
      <c r="I773" s="1108"/>
      <c r="J773" s="1148" t="s">
        <v>304</v>
      </c>
    </row>
    <row r="774" spans="2:11" ht="15" hidden="1" customHeight="1" outlineLevel="1" x14ac:dyDescent="0.25">
      <c r="B774" s="1188" t="s">
        <v>839</v>
      </c>
      <c r="C774" s="1150"/>
      <c r="D774" s="1150" t="s">
        <v>913</v>
      </c>
      <c r="E774" s="1153">
        <v>174</v>
      </c>
      <c r="F774" s="1189" t="s">
        <v>125</v>
      </c>
      <c r="G774" s="1153"/>
      <c r="H774" s="1189" t="s">
        <v>125</v>
      </c>
      <c r="I774" s="1153"/>
      <c r="J774" s="1155" t="s">
        <v>221</v>
      </c>
    </row>
    <row r="775" spans="2:11" ht="15" customHeight="1" x14ac:dyDescent="0.25">
      <c r="F775" s="1177" t="s">
        <v>125</v>
      </c>
      <c r="H775" s="1177" t="s">
        <v>125</v>
      </c>
      <c r="K775" s="210"/>
    </row>
    <row r="776" spans="2:11" ht="15" customHeight="1" collapsed="1" x14ac:dyDescent="0.25">
      <c r="B776" s="1164" t="s">
        <v>825</v>
      </c>
      <c r="C776" s="1165"/>
      <c r="D776" s="1165" t="s">
        <v>911</v>
      </c>
      <c r="E776" s="1168">
        <v>1</v>
      </c>
      <c r="F776" s="1178" t="s">
        <v>1660</v>
      </c>
      <c r="G776" s="1168" t="s">
        <v>733</v>
      </c>
      <c r="H776" s="1178" t="s">
        <v>125</v>
      </c>
      <c r="I776" s="1168"/>
      <c r="J776" s="246" t="s">
        <v>221</v>
      </c>
      <c r="K776" s="292">
        <v>100</v>
      </c>
    </row>
    <row r="777" spans="2:11" ht="15" hidden="1" customHeight="1" outlineLevel="1" x14ac:dyDescent="0.25">
      <c r="B777" s="953" t="s">
        <v>830</v>
      </c>
      <c r="C777" s="1138"/>
      <c r="D777" s="1138" t="s">
        <v>1429</v>
      </c>
      <c r="E777" s="954">
        <v>1.44E-2</v>
      </c>
      <c r="F777" s="1185" t="s">
        <v>1660</v>
      </c>
      <c r="G777" s="954" t="s">
        <v>747</v>
      </c>
      <c r="H777" s="1185" t="s">
        <v>125</v>
      </c>
      <c r="I777" s="954"/>
      <c r="J777" s="955" t="s">
        <v>221</v>
      </c>
      <c r="K777" s="207"/>
    </row>
    <row r="778" spans="2:11" ht="15" hidden="1" customHeight="1" outlineLevel="1" x14ac:dyDescent="0.25">
      <c r="B778" s="1186" t="s">
        <v>830</v>
      </c>
      <c r="C778" s="1143"/>
      <c r="D778" s="1143" t="s">
        <v>1430</v>
      </c>
      <c r="E778" s="1108">
        <v>1.1900000000000001E-2</v>
      </c>
      <c r="F778" s="1187" t="s">
        <v>1660</v>
      </c>
      <c r="G778" s="1108" t="s">
        <v>747</v>
      </c>
      <c r="H778" s="1187" t="s">
        <v>125</v>
      </c>
      <c r="I778" s="1108"/>
      <c r="J778" s="1148" t="s">
        <v>221</v>
      </c>
    </row>
    <row r="779" spans="2:11" ht="15" hidden="1" customHeight="1" outlineLevel="1" x14ac:dyDescent="0.25">
      <c r="B779" s="1186" t="s">
        <v>830</v>
      </c>
      <c r="C779" s="1143"/>
      <c r="D779" s="1143" t="s">
        <v>1431</v>
      </c>
      <c r="E779" s="1108">
        <v>6.7100000000000007E-2</v>
      </c>
      <c r="F779" s="1187" t="s">
        <v>1660</v>
      </c>
      <c r="G779" s="1108" t="s">
        <v>747</v>
      </c>
      <c r="H779" s="1187" t="s">
        <v>125</v>
      </c>
      <c r="I779" s="1108"/>
      <c r="J779" s="1148" t="s">
        <v>221</v>
      </c>
    </row>
    <row r="780" spans="2:11" ht="15" hidden="1" customHeight="1" outlineLevel="1" x14ac:dyDescent="0.25">
      <c r="B780" s="1186" t="s">
        <v>830</v>
      </c>
      <c r="C780" s="1143"/>
      <c r="D780" s="1143" t="s">
        <v>1298</v>
      </c>
      <c r="E780" s="1108">
        <v>4.1200000000000001E-2</v>
      </c>
      <c r="F780" s="1187" t="s">
        <v>125</v>
      </c>
      <c r="G780" s="1108"/>
      <c r="H780" s="1187" t="s">
        <v>125</v>
      </c>
      <c r="I780" s="1108"/>
      <c r="J780" s="1148" t="s">
        <v>221</v>
      </c>
    </row>
    <row r="781" spans="2:11" ht="15" hidden="1" customHeight="1" outlineLevel="1" x14ac:dyDescent="0.25">
      <c r="B781" s="1186" t="s">
        <v>830</v>
      </c>
      <c r="C781" s="1143"/>
      <c r="D781" s="1143" t="s">
        <v>1432</v>
      </c>
      <c r="E781" s="1108">
        <v>0.83199999999999996</v>
      </c>
      <c r="F781" s="1187" t="s">
        <v>1660</v>
      </c>
      <c r="G781" s="1108" t="s">
        <v>747</v>
      </c>
      <c r="H781" s="1187" t="s">
        <v>125</v>
      </c>
      <c r="I781" s="1108"/>
      <c r="J781" s="1148" t="s">
        <v>221</v>
      </c>
    </row>
    <row r="782" spans="2:11" ht="15" hidden="1" customHeight="1" outlineLevel="1" x14ac:dyDescent="0.25">
      <c r="B782" s="1186" t="s">
        <v>830</v>
      </c>
      <c r="C782" s="1143"/>
      <c r="D782" s="1143" t="s">
        <v>1433</v>
      </c>
      <c r="E782" s="1108">
        <v>3.32E-2</v>
      </c>
      <c r="F782" s="1187" t="s">
        <v>1660</v>
      </c>
      <c r="G782" s="1108" t="s">
        <v>747</v>
      </c>
      <c r="H782" s="1187" t="s">
        <v>125</v>
      </c>
      <c r="I782" s="1108"/>
      <c r="J782" s="1148" t="s">
        <v>221</v>
      </c>
    </row>
    <row r="783" spans="2:11" ht="15" hidden="1" customHeight="1" outlineLevel="1" x14ac:dyDescent="0.25">
      <c r="B783" s="1186" t="s">
        <v>830</v>
      </c>
      <c r="C783" s="1143"/>
      <c r="D783" s="1143" t="s">
        <v>1264</v>
      </c>
      <c r="E783" s="1190">
        <v>3.3317714610094203E-2</v>
      </c>
      <c r="F783" s="1191" t="s">
        <v>1660</v>
      </c>
      <c r="G783" s="1108" t="s">
        <v>747</v>
      </c>
      <c r="H783" s="1187" t="s">
        <v>2220</v>
      </c>
      <c r="I783" s="1108" t="s">
        <v>2260</v>
      </c>
      <c r="J783" s="1148" t="s">
        <v>836</v>
      </c>
    </row>
    <row r="784" spans="2:11" ht="15" hidden="1" customHeight="1" outlineLevel="1" x14ac:dyDescent="0.25">
      <c r="B784" s="1186" t="s">
        <v>830</v>
      </c>
      <c r="C784" s="1143"/>
      <c r="D784" s="1143" t="s">
        <v>1265</v>
      </c>
      <c r="E784" s="1190">
        <v>7.5471553829557902E-3</v>
      </c>
      <c r="F784" s="1191" t="s">
        <v>1660</v>
      </c>
      <c r="G784" s="1108" t="s">
        <v>747</v>
      </c>
      <c r="H784" s="1187" t="s">
        <v>125</v>
      </c>
      <c r="I784" s="1108"/>
      <c r="J784" s="1148" t="s">
        <v>836</v>
      </c>
    </row>
    <row r="785" spans="2:11" ht="15" hidden="1" customHeight="1" outlineLevel="1" x14ac:dyDescent="0.25">
      <c r="B785" s="1186" t="s">
        <v>830</v>
      </c>
      <c r="C785" s="1143"/>
      <c r="D785" s="1143" t="s">
        <v>1266</v>
      </c>
      <c r="E785" s="1190">
        <v>4.9241904305076696E-3</v>
      </c>
      <c r="F785" s="1191" t="s">
        <v>1660</v>
      </c>
      <c r="G785" s="1108" t="s">
        <v>747</v>
      </c>
      <c r="H785" s="1187" t="s">
        <v>125</v>
      </c>
      <c r="I785" s="1108"/>
      <c r="J785" s="1148" t="s">
        <v>836</v>
      </c>
    </row>
    <row r="786" spans="2:11" ht="15" hidden="1" customHeight="1" outlineLevel="1" x14ac:dyDescent="0.25">
      <c r="B786" s="1186" t="s">
        <v>830</v>
      </c>
      <c r="C786" s="1143"/>
      <c r="D786" s="1143" t="s">
        <v>1268</v>
      </c>
      <c r="E786" s="1108">
        <v>2.2694832764152999E-2</v>
      </c>
      <c r="F786" s="1187" t="s">
        <v>1660</v>
      </c>
      <c r="G786" s="1108" t="s">
        <v>747</v>
      </c>
      <c r="H786" s="1187" t="s">
        <v>2220</v>
      </c>
      <c r="I786" s="1108" t="s">
        <v>2261</v>
      </c>
      <c r="J786" s="1148" t="s">
        <v>836</v>
      </c>
    </row>
    <row r="787" spans="2:11" ht="15" hidden="1" customHeight="1" outlineLevel="1" x14ac:dyDescent="0.25">
      <c r="B787" s="1186" t="s">
        <v>830</v>
      </c>
      <c r="C787" s="1143"/>
      <c r="D787" s="1143" t="s">
        <v>1269</v>
      </c>
      <c r="E787" s="1190">
        <v>5.6160197570675398E-2</v>
      </c>
      <c r="F787" s="1191" t="s">
        <v>1660</v>
      </c>
      <c r="G787" s="1108" t="s">
        <v>747</v>
      </c>
      <c r="H787" s="1187" t="s">
        <v>125</v>
      </c>
      <c r="I787" s="1108"/>
      <c r="J787" s="1148" t="s">
        <v>836</v>
      </c>
    </row>
    <row r="788" spans="2:11" ht="15" hidden="1" customHeight="1" outlineLevel="1" x14ac:dyDescent="0.25">
      <c r="B788" s="1186" t="s">
        <v>830</v>
      </c>
      <c r="C788" s="1143"/>
      <c r="D788" s="1143" t="s">
        <v>1272</v>
      </c>
      <c r="E788" s="1108">
        <v>0.12355867935944299</v>
      </c>
      <c r="F788" s="1187" t="s">
        <v>1660</v>
      </c>
      <c r="G788" s="1108" t="s">
        <v>747</v>
      </c>
      <c r="H788" s="1187" t="s">
        <v>2220</v>
      </c>
      <c r="I788" s="1108" t="s">
        <v>2262</v>
      </c>
      <c r="J788" s="1148" t="s">
        <v>836</v>
      </c>
    </row>
    <row r="789" spans="2:11" ht="15" hidden="1" customHeight="1" outlineLevel="1" x14ac:dyDescent="0.25">
      <c r="B789" s="1188" t="s">
        <v>830</v>
      </c>
      <c r="C789" s="1150"/>
      <c r="D789" s="1150" t="s">
        <v>1273</v>
      </c>
      <c r="E789" s="1192">
        <v>6.0678740863025198E-3</v>
      </c>
      <c r="F789" s="1193" t="s">
        <v>1660</v>
      </c>
      <c r="G789" s="1153" t="s">
        <v>747</v>
      </c>
      <c r="H789" s="1189" t="s">
        <v>125</v>
      </c>
      <c r="I789" s="1153"/>
      <c r="J789" s="1155" t="s">
        <v>836</v>
      </c>
    </row>
    <row r="790" spans="2:11" ht="15" customHeight="1" x14ac:dyDescent="0.25">
      <c r="F790" s="1177" t="s">
        <v>125</v>
      </c>
      <c r="H790" s="1177" t="s">
        <v>125</v>
      </c>
    </row>
    <row r="791" spans="2:11" ht="15" customHeight="1" collapsed="1" x14ac:dyDescent="0.25">
      <c r="B791" s="1164" t="s">
        <v>825</v>
      </c>
      <c r="C791" s="1165"/>
      <c r="D791" s="1165" t="s">
        <v>1302</v>
      </c>
      <c r="E791" s="1168">
        <v>1</v>
      </c>
      <c r="F791" s="1178" t="s">
        <v>1660</v>
      </c>
      <c r="G791" s="1168" t="s">
        <v>732</v>
      </c>
      <c r="H791" s="1178" t="s">
        <v>125</v>
      </c>
      <c r="I791" s="1168"/>
      <c r="J791" s="246" t="s">
        <v>221</v>
      </c>
      <c r="K791" s="292">
        <v>100</v>
      </c>
    </row>
    <row r="792" spans="2:11" ht="15" hidden="1" customHeight="1" outlineLevel="1" x14ac:dyDescent="0.25">
      <c r="B792" s="953" t="s">
        <v>830</v>
      </c>
      <c r="C792" s="1138"/>
      <c r="D792" s="1138" t="s">
        <v>1204</v>
      </c>
      <c r="E792" s="954">
        <v>0.995</v>
      </c>
      <c r="F792" s="1185" t="s">
        <v>125</v>
      </c>
      <c r="G792" s="954"/>
      <c r="H792" s="1185" t="s">
        <v>125</v>
      </c>
      <c r="I792" s="954"/>
      <c r="J792" s="955" t="s">
        <v>221</v>
      </c>
      <c r="K792" s="207"/>
    </row>
    <row r="793" spans="2:11" ht="15" hidden="1" customHeight="1" outlineLevel="1" x14ac:dyDescent="0.25">
      <c r="B793" s="1186" t="s">
        <v>830</v>
      </c>
      <c r="C793" s="1143"/>
      <c r="D793" s="1143" t="s">
        <v>1434</v>
      </c>
      <c r="E793" s="1108">
        <v>5.3499999999999997E-3</v>
      </c>
      <c r="F793" s="1187" t="s">
        <v>1660</v>
      </c>
      <c r="G793" s="1108" t="s">
        <v>747</v>
      </c>
      <c r="H793" s="1187" t="s">
        <v>125</v>
      </c>
      <c r="I793" s="1108"/>
      <c r="J793" s="1148" t="s">
        <v>221</v>
      </c>
    </row>
    <row r="794" spans="2:11" ht="15" hidden="1" customHeight="1" outlineLevel="1" x14ac:dyDescent="0.25">
      <c r="B794" s="1186" t="s">
        <v>830</v>
      </c>
      <c r="C794" s="1143"/>
      <c r="D794" s="1143" t="s">
        <v>1264</v>
      </c>
      <c r="E794" s="1190">
        <v>3.5862402538658598E-3</v>
      </c>
      <c r="F794" s="1191" t="s">
        <v>1660</v>
      </c>
      <c r="G794" s="1108" t="s">
        <v>747</v>
      </c>
      <c r="H794" s="1187" t="s">
        <v>2220</v>
      </c>
      <c r="I794" s="1108" t="s">
        <v>2263</v>
      </c>
      <c r="J794" s="1148" t="s">
        <v>836</v>
      </c>
    </row>
    <row r="795" spans="2:11" ht="15" hidden="1" customHeight="1" outlineLevel="1" x14ac:dyDescent="0.25">
      <c r="B795" s="1186" t="s">
        <v>830</v>
      </c>
      <c r="C795" s="1143"/>
      <c r="D795" s="1143" t="s">
        <v>1268</v>
      </c>
      <c r="E795" s="1190">
        <v>1.7721595485372599E-2</v>
      </c>
      <c r="F795" s="1191" t="s">
        <v>1660</v>
      </c>
      <c r="G795" s="1108" t="s">
        <v>747</v>
      </c>
      <c r="H795" s="1187" t="s">
        <v>2220</v>
      </c>
      <c r="I795" s="1108" t="s">
        <v>2264</v>
      </c>
      <c r="J795" s="1148" t="s">
        <v>836</v>
      </c>
    </row>
    <row r="796" spans="2:11" ht="15" hidden="1" customHeight="1" outlineLevel="1" x14ac:dyDescent="0.25">
      <c r="B796" s="1188" t="s">
        <v>830</v>
      </c>
      <c r="C796" s="1150"/>
      <c r="D796" s="1150" t="s">
        <v>1272</v>
      </c>
      <c r="E796" s="1192">
        <v>8.4014378032190404E-2</v>
      </c>
      <c r="F796" s="1193" t="s">
        <v>1660</v>
      </c>
      <c r="G796" s="1153" t="s">
        <v>747</v>
      </c>
      <c r="H796" s="1189" t="s">
        <v>2220</v>
      </c>
      <c r="I796" s="1153" t="s">
        <v>2265</v>
      </c>
      <c r="J796" s="1155" t="s">
        <v>836</v>
      </c>
    </row>
    <row r="797" spans="2:11" ht="15" customHeight="1" x14ac:dyDescent="0.25">
      <c r="F797" s="1177" t="s">
        <v>125</v>
      </c>
      <c r="H797" s="1177" t="s">
        <v>125</v>
      </c>
    </row>
    <row r="798" spans="2:11" ht="15" customHeight="1" x14ac:dyDescent="0.25">
      <c r="B798" s="1127" t="s">
        <v>825</v>
      </c>
      <c r="C798" s="1128"/>
      <c r="D798" s="1128" t="s">
        <v>1296</v>
      </c>
      <c r="E798" s="1130">
        <v>128</v>
      </c>
      <c r="F798" s="1172" t="s">
        <v>125</v>
      </c>
      <c r="G798" s="1130"/>
      <c r="H798" s="1172" t="s">
        <v>125</v>
      </c>
      <c r="I798" s="1130"/>
      <c r="J798" s="208" t="s">
        <v>221</v>
      </c>
      <c r="K798" s="208">
        <v>91.48</v>
      </c>
    </row>
    <row r="799" spans="2:11" ht="15" customHeight="1" x14ac:dyDescent="0.25">
      <c r="B799" s="1183" t="s">
        <v>825</v>
      </c>
      <c r="C799" s="1171"/>
      <c r="D799" s="1171" t="s">
        <v>1297</v>
      </c>
      <c r="E799" s="1157">
        <v>27</v>
      </c>
      <c r="F799" s="1184" t="s">
        <v>125</v>
      </c>
      <c r="G799" s="1157"/>
      <c r="H799" s="1184" t="s">
        <v>125</v>
      </c>
      <c r="I799" s="1157"/>
      <c r="J799" s="209" t="s">
        <v>221</v>
      </c>
      <c r="K799" s="209">
        <v>2.3199999999999998</v>
      </c>
    </row>
    <row r="800" spans="2:11" ht="15" customHeight="1" x14ac:dyDescent="0.25">
      <c r="B800" s="1183" t="s">
        <v>825</v>
      </c>
      <c r="C800" s="1171"/>
      <c r="D800" s="1171" t="s">
        <v>1298</v>
      </c>
      <c r="E800" s="1157">
        <v>385</v>
      </c>
      <c r="F800" s="1184" t="s">
        <v>125</v>
      </c>
      <c r="G800" s="1157"/>
      <c r="H800" s="1184" t="s">
        <v>125</v>
      </c>
      <c r="I800" s="1157"/>
      <c r="J800" s="209" t="s">
        <v>221</v>
      </c>
      <c r="K800" s="209">
        <v>0</v>
      </c>
    </row>
    <row r="801" spans="2:11" ht="15" customHeight="1" collapsed="1" x14ac:dyDescent="0.25">
      <c r="B801" s="1132" t="s">
        <v>825</v>
      </c>
      <c r="C801" s="1107"/>
      <c r="D801" s="1107" t="s">
        <v>1299</v>
      </c>
      <c r="E801" s="1135">
        <v>40</v>
      </c>
      <c r="F801" s="1173" t="s">
        <v>125</v>
      </c>
      <c r="G801" s="1135"/>
      <c r="H801" s="1173" t="s">
        <v>125</v>
      </c>
      <c r="I801" s="1135"/>
      <c r="J801" s="211" t="s">
        <v>221</v>
      </c>
      <c r="K801" s="531">
        <v>6.2</v>
      </c>
    </row>
    <row r="802" spans="2:11" ht="15" hidden="1" customHeight="1" outlineLevel="1" x14ac:dyDescent="0.25">
      <c r="B802" s="1142" t="s">
        <v>1300</v>
      </c>
      <c r="C802" s="1143"/>
      <c r="D802" s="1143" t="s">
        <v>1301</v>
      </c>
      <c r="E802" s="1146">
        <v>0.376</v>
      </c>
      <c r="F802" s="1174" t="s">
        <v>125</v>
      </c>
      <c r="G802" s="1146"/>
      <c r="H802" s="1174" t="s">
        <v>125</v>
      </c>
      <c r="I802" s="1146"/>
      <c r="J802" s="1148" t="s">
        <v>223</v>
      </c>
      <c r="K802" s="1175"/>
    </row>
    <row r="803" spans="2:11" ht="15" hidden="1" customHeight="1" outlineLevel="1" x14ac:dyDescent="0.25">
      <c r="B803" s="1142" t="s">
        <v>1300</v>
      </c>
      <c r="C803" s="1143"/>
      <c r="D803" s="1143" t="s">
        <v>1054</v>
      </c>
      <c r="E803" s="1146">
        <v>3.76</v>
      </c>
      <c r="F803" s="1174" t="s">
        <v>125</v>
      </c>
      <c r="G803" s="1146"/>
      <c r="H803" s="1174" t="s">
        <v>125</v>
      </c>
      <c r="I803" s="1146"/>
      <c r="J803" s="1148" t="s">
        <v>223</v>
      </c>
      <c r="K803" s="1175"/>
    </row>
    <row r="804" spans="2:11" ht="15" hidden="1" customHeight="1" outlineLevel="1" x14ac:dyDescent="0.25">
      <c r="B804" s="1142" t="s">
        <v>830</v>
      </c>
      <c r="C804" s="1143"/>
      <c r="D804" s="1143" t="s">
        <v>1302</v>
      </c>
      <c r="E804" s="1146">
        <v>1</v>
      </c>
      <c r="F804" s="1174" t="s">
        <v>125</v>
      </c>
      <c r="G804" s="1146"/>
      <c r="H804" s="1174" t="s">
        <v>125</v>
      </c>
      <c r="I804" s="1146"/>
      <c r="J804" s="1148" t="s">
        <v>1286</v>
      </c>
      <c r="K804" s="1175"/>
    </row>
    <row r="805" spans="2:11" ht="15" hidden="1" customHeight="1" outlineLevel="1" x14ac:dyDescent="0.25">
      <c r="B805" s="1142" t="s">
        <v>830</v>
      </c>
      <c r="C805" s="1143"/>
      <c r="D805" s="1143" t="s">
        <v>894</v>
      </c>
      <c r="E805" s="1146">
        <v>15.36</v>
      </c>
      <c r="F805" s="1174" t="s">
        <v>125</v>
      </c>
      <c r="G805" s="1146"/>
      <c r="H805" s="1174" t="s">
        <v>125</v>
      </c>
      <c r="I805" s="1146"/>
      <c r="J805" s="1148" t="s">
        <v>221</v>
      </c>
      <c r="K805" s="1175"/>
    </row>
    <row r="806" spans="2:11" ht="15" hidden="1" customHeight="1" outlineLevel="1" x14ac:dyDescent="0.25">
      <c r="B806" s="1142" t="s">
        <v>830</v>
      </c>
      <c r="C806" s="1143"/>
      <c r="D806" s="1143" t="s">
        <v>1054</v>
      </c>
      <c r="E806" s="1146">
        <v>9.5</v>
      </c>
      <c r="F806" s="1174" t="s">
        <v>125</v>
      </c>
      <c r="G806" s="1146"/>
      <c r="H806" s="1174" t="s">
        <v>125</v>
      </c>
      <c r="I806" s="1146"/>
      <c r="J806" s="1148" t="s">
        <v>223</v>
      </c>
      <c r="K806" s="1175"/>
    </row>
    <row r="807" spans="2:11" ht="15" hidden="1" customHeight="1" outlineLevel="1" x14ac:dyDescent="0.25">
      <c r="B807" s="1142" t="s">
        <v>830</v>
      </c>
      <c r="C807" s="1143"/>
      <c r="D807" s="1143" t="s">
        <v>1278</v>
      </c>
      <c r="E807" s="1146">
        <v>194.82</v>
      </c>
      <c r="F807" s="1174" t="s">
        <v>125</v>
      </c>
      <c r="G807" s="1146"/>
      <c r="H807" s="1174" t="s">
        <v>125</v>
      </c>
      <c r="I807" s="1146"/>
      <c r="J807" s="1148" t="s">
        <v>223</v>
      </c>
      <c r="K807" s="1109"/>
    </row>
    <row r="808" spans="2:11" ht="15" hidden="1" customHeight="1" outlineLevel="1" x14ac:dyDescent="0.25">
      <c r="B808" s="1149" t="s">
        <v>839</v>
      </c>
      <c r="C808" s="1150"/>
      <c r="D808" s="1150" t="s">
        <v>913</v>
      </c>
      <c r="E808" s="1158">
        <v>435</v>
      </c>
      <c r="F808" s="1176" t="s">
        <v>125</v>
      </c>
      <c r="G808" s="1158"/>
      <c r="H808" s="1176" t="s">
        <v>125</v>
      </c>
      <c r="I808" s="1158"/>
      <c r="J808" s="1155" t="s">
        <v>221</v>
      </c>
      <c r="K808" s="1175"/>
    </row>
    <row r="809" spans="2:11" ht="15" customHeight="1" collapsed="1" x14ac:dyDescent="0.25">
      <c r="B809" s="1109"/>
      <c r="D809" s="1159"/>
      <c r="E809" s="672"/>
      <c r="F809" s="1195" t="s">
        <v>125</v>
      </c>
      <c r="G809" s="672"/>
      <c r="H809" s="1195" t="s">
        <v>125</v>
      </c>
      <c r="I809" s="672"/>
      <c r="J809" s="672"/>
    </row>
    <row r="810" spans="2:11" ht="15" customHeight="1" collapsed="1" x14ac:dyDescent="0.25">
      <c r="B810" s="1164" t="s">
        <v>825</v>
      </c>
      <c r="C810" s="1165"/>
      <c r="D810" s="1165" t="s">
        <v>868</v>
      </c>
      <c r="E810" s="1168">
        <v>1</v>
      </c>
      <c r="F810" s="1178" t="s">
        <v>1660</v>
      </c>
      <c r="G810" s="1168" t="s">
        <v>731</v>
      </c>
      <c r="H810" s="1178" t="s">
        <v>125</v>
      </c>
      <c r="I810" s="1168"/>
      <c r="J810" s="246" t="s">
        <v>221</v>
      </c>
      <c r="K810" s="292">
        <v>100</v>
      </c>
    </row>
    <row r="811" spans="2:11" ht="15" hidden="1" customHeight="1" outlineLevel="1" x14ac:dyDescent="0.25">
      <c r="B811" s="953" t="s">
        <v>830</v>
      </c>
      <c r="C811" s="1138"/>
      <c r="D811" s="1138" t="s">
        <v>1435</v>
      </c>
      <c r="E811" s="954">
        <v>0.27700000000000002</v>
      </c>
      <c r="F811" s="1185" t="s">
        <v>1660</v>
      </c>
      <c r="G811" s="954" t="s">
        <v>747</v>
      </c>
      <c r="H811" s="1185" t="s">
        <v>125</v>
      </c>
      <c r="I811" s="954"/>
      <c r="J811" s="955" t="s">
        <v>221</v>
      </c>
      <c r="K811" s="207"/>
    </row>
    <row r="812" spans="2:11" ht="15" hidden="1" customHeight="1" outlineLevel="1" x14ac:dyDescent="0.25">
      <c r="B812" s="1186" t="s">
        <v>830</v>
      </c>
      <c r="C812" s="1143"/>
      <c r="D812" s="1143" t="s">
        <v>1436</v>
      </c>
      <c r="E812" s="1108">
        <v>1.3599999999999999E-2</v>
      </c>
      <c r="F812" s="1187" t="s">
        <v>1660</v>
      </c>
      <c r="G812" s="1108" t="s">
        <v>747</v>
      </c>
      <c r="H812" s="1187" t="s">
        <v>125</v>
      </c>
      <c r="I812" s="1108"/>
      <c r="J812" s="1148" t="s">
        <v>221</v>
      </c>
    </row>
    <row r="813" spans="2:11" ht="15" hidden="1" customHeight="1" outlineLevel="1" x14ac:dyDescent="0.25">
      <c r="B813" s="1186" t="s">
        <v>830</v>
      </c>
      <c r="C813" s="1143"/>
      <c r="D813" s="1143" t="s">
        <v>1290</v>
      </c>
      <c r="E813" s="1108">
        <v>8.8400000000000006E-2</v>
      </c>
      <c r="F813" s="1187" t="s">
        <v>125</v>
      </c>
      <c r="G813" s="1108"/>
      <c r="H813" s="1187" t="s">
        <v>125</v>
      </c>
      <c r="I813" s="1108"/>
      <c r="J813" s="1148" t="s">
        <v>221</v>
      </c>
    </row>
    <row r="814" spans="2:11" ht="15" hidden="1" customHeight="1" outlineLevel="1" x14ac:dyDescent="0.25">
      <c r="B814" s="1186" t="s">
        <v>830</v>
      </c>
      <c r="C814" s="1143"/>
      <c r="D814" s="1143" t="s">
        <v>1437</v>
      </c>
      <c r="E814" s="1108">
        <v>3.6299999999999999E-2</v>
      </c>
      <c r="F814" s="1187" t="s">
        <v>1660</v>
      </c>
      <c r="G814" s="1108" t="s">
        <v>747</v>
      </c>
      <c r="H814" s="1187" t="s">
        <v>125</v>
      </c>
      <c r="I814" s="1108"/>
      <c r="J814" s="1148" t="s">
        <v>221</v>
      </c>
    </row>
    <row r="815" spans="2:11" ht="15" hidden="1" customHeight="1" outlineLevel="1" x14ac:dyDescent="0.25">
      <c r="B815" s="1186" t="s">
        <v>830</v>
      </c>
      <c r="C815" s="1143"/>
      <c r="D815" s="1143" t="s">
        <v>1438</v>
      </c>
      <c r="E815" s="1108">
        <v>0.38300000000000001</v>
      </c>
      <c r="F815" s="1187" t="s">
        <v>1660</v>
      </c>
      <c r="G815" s="1108" t="s">
        <v>747</v>
      </c>
      <c r="H815" s="1187" t="s">
        <v>125</v>
      </c>
      <c r="I815" s="1108"/>
      <c r="J815" s="1148" t="s">
        <v>221</v>
      </c>
    </row>
    <row r="816" spans="2:11" ht="15" hidden="1" customHeight="1" outlineLevel="1" x14ac:dyDescent="0.25">
      <c r="B816" s="1186" t="s">
        <v>830</v>
      </c>
      <c r="C816" s="1143"/>
      <c r="D816" s="1143" t="s">
        <v>1439</v>
      </c>
      <c r="E816" s="1108">
        <v>1.12E-2</v>
      </c>
      <c r="F816" s="1187" t="s">
        <v>1660</v>
      </c>
      <c r="G816" s="1108" t="s">
        <v>747</v>
      </c>
      <c r="H816" s="1187" t="s">
        <v>125</v>
      </c>
      <c r="I816" s="1108"/>
      <c r="J816" s="1148" t="s">
        <v>221</v>
      </c>
    </row>
    <row r="817" spans="2:11" ht="15" hidden="1" customHeight="1" outlineLevel="1" x14ac:dyDescent="0.25">
      <c r="B817" s="1186" t="s">
        <v>830</v>
      </c>
      <c r="C817" s="1143"/>
      <c r="D817" s="1143" t="s">
        <v>1440</v>
      </c>
      <c r="E817" s="1108">
        <v>0.19</v>
      </c>
      <c r="F817" s="1187" t="s">
        <v>1660</v>
      </c>
      <c r="G817" s="1108" t="s">
        <v>747</v>
      </c>
      <c r="H817" s="1187" t="s">
        <v>125</v>
      </c>
      <c r="I817" s="1108"/>
      <c r="J817" s="1148" t="s">
        <v>221</v>
      </c>
    </row>
    <row r="818" spans="2:11" ht="15" hidden="1" customHeight="1" outlineLevel="1" x14ac:dyDescent="0.25">
      <c r="B818" s="1186" t="s">
        <v>830</v>
      </c>
      <c r="C818" s="1143"/>
      <c r="D818" s="1143" t="s">
        <v>1264</v>
      </c>
      <c r="E818" s="1190">
        <v>1.7801962848920199E-2</v>
      </c>
      <c r="F818" s="1191" t="s">
        <v>1660</v>
      </c>
      <c r="G818" s="1108" t="s">
        <v>747</v>
      </c>
      <c r="H818" s="1187" t="s">
        <v>2220</v>
      </c>
      <c r="I818" s="1108" t="s">
        <v>2266</v>
      </c>
      <c r="J818" s="1148" t="s">
        <v>836</v>
      </c>
    </row>
    <row r="819" spans="2:11" ht="15" hidden="1" customHeight="1" outlineLevel="1" x14ac:dyDescent="0.25">
      <c r="B819" s="1186" t="s">
        <v>830</v>
      </c>
      <c r="C819" s="1143"/>
      <c r="D819" s="1143" t="s">
        <v>1265</v>
      </c>
      <c r="E819" s="1190">
        <v>1.7921678096984701E-2</v>
      </c>
      <c r="F819" s="1191" t="s">
        <v>1660</v>
      </c>
      <c r="G819" s="1108" t="s">
        <v>747</v>
      </c>
      <c r="H819" s="1187" t="s">
        <v>125</v>
      </c>
      <c r="I819" s="1108"/>
      <c r="J819" s="1148" t="s">
        <v>836</v>
      </c>
    </row>
    <row r="820" spans="2:11" ht="15" hidden="1" customHeight="1" outlineLevel="1" x14ac:dyDescent="0.25">
      <c r="B820" s="1186" t="s">
        <v>830</v>
      </c>
      <c r="C820" s="1143"/>
      <c r="D820" s="1143" t="s">
        <v>1266</v>
      </c>
      <c r="E820" s="1190">
        <v>9.6664540163406696E-4</v>
      </c>
      <c r="F820" s="1191" t="s">
        <v>1660</v>
      </c>
      <c r="G820" s="1108" t="s">
        <v>747</v>
      </c>
      <c r="H820" s="1187" t="s">
        <v>125</v>
      </c>
      <c r="I820" s="1108"/>
      <c r="J820" s="1148" t="s">
        <v>836</v>
      </c>
    </row>
    <row r="821" spans="2:11" ht="15" hidden="1" customHeight="1" outlineLevel="1" x14ac:dyDescent="0.25">
      <c r="B821" s="1186" t="s">
        <v>830</v>
      </c>
      <c r="C821" s="1143"/>
      <c r="D821" s="1143" t="s">
        <v>1267</v>
      </c>
      <c r="E821" s="1190">
        <v>2.21791753205243E-2</v>
      </c>
      <c r="F821" s="1191" t="s">
        <v>1660</v>
      </c>
      <c r="G821" s="1108" t="s">
        <v>747</v>
      </c>
      <c r="H821" s="1187" t="s">
        <v>125</v>
      </c>
      <c r="I821" s="1108"/>
      <c r="J821" s="1148" t="s">
        <v>836</v>
      </c>
    </row>
    <row r="822" spans="2:11" ht="15" hidden="1" customHeight="1" outlineLevel="1" x14ac:dyDescent="0.25">
      <c r="B822" s="1186" t="s">
        <v>830</v>
      </c>
      <c r="C822" s="1143"/>
      <c r="D822" s="1143" t="s">
        <v>1268</v>
      </c>
      <c r="E822" s="1190">
        <v>4.1232953264542398E-2</v>
      </c>
      <c r="F822" s="1191" t="s">
        <v>1660</v>
      </c>
      <c r="G822" s="1108" t="s">
        <v>747</v>
      </c>
      <c r="H822" s="1187" t="s">
        <v>2220</v>
      </c>
      <c r="I822" s="1108" t="s">
        <v>2291</v>
      </c>
      <c r="J822" s="1148" t="s">
        <v>836</v>
      </c>
    </row>
    <row r="823" spans="2:11" ht="15" hidden="1" customHeight="1" outlineLevel="1" x14ac:dyDescent="0.25">
      <c r="B823" s="1186" t="s">
        <v>830</v>
      </c>
      <c r="C823" s="1143"/>
      <c r="D823" s="1143" t="s">
        <v>1269</v>
      </c>
      <c r="E823" s="1190">
        <v>6.7499981881410402E-3</v>
      </c>
      <c r="F823" s="1191" t="s">
        <v>1660</v>
      </c>
      <c r="G823" s="1108" t="s">
        <v>747</v>
      </c>
      <c r="H823" s="1187" t="s">
        <v>125</v>
      </c>
      <c r="I823" s="1108"/>
      <c r="J823" s="1148" t="s">
        <v>836</v>
      </c>
    </row>
    <row r="824" spans="2:11" ht="15" hidden="1" customHeight="1" outlineLevel="1" x14ac:dyDescent="0.25">
      <c r="B824" s="1186" t="s">
        <v>830</v>
      </c>
      <c r="C824" s="1143"/>
      <c r="D824" s="1143" t="s">
        <v>1270</v>
      </c>
      <c r="E824" s="1108">
        <v>3.2542394989039201</v>
      </c>
      <c r="F824" s="1187" t="s">
        <v>1660</v>
      </c>
      <c r="G824" s="1108" t="s">
        <v>747</v>
      </c>
      <c r="H824" s="1187" t="s">
        <v>125</v>
      </c>
      <c r="I824" s="1108"/>
      <c r="J824" s="1148" t="s">
        <v>836</v>
      </c>
    </row>
    <row r="825" spans="2:11" ht="15" hidden="1" customHeight="1" outlineLevel="1" x14ac:dyDescent="0.25">
      <c r="B825" s="1186" t="s">
        <v>830</v>
      </c>
      <c r="C825" s="1143"/>
      <c r="D825" s="1143" t="s">
        <v>1271</v>
      </c>
      <c r="E825" s="1108">
        <v>1.2961852429347001</v>
      </c>
      <c r="F825" s="1187" t="s">
        <v>1660</v>
      </c>
      <c r="G825" s="1108" t="s">
        <v>747</v>
      </c>
      <c r="H825" s="1187" t="s">
        <v>125</v>
      </c>
      <c r="I825" s="1108"/>
      <c r="J825" s="1148" t="s">
        <v>836</v>
      </c>
    </row>
    <row r="826" spans="2:11" ht="15" hidden="1" customHeight="1" outlineLevel="1" x14ac:dyDescent="0.25">
      <c r="B826" s="1186" t="s">
        <v>830</v>
      </c>
      <c r="C826" s="1143"/>
      <c r="D826" s="1143" t="s">
        <v>1272</v>
      </c>
      <c r="E826" s="1108">
        <v>0.237389792646059</v>
      </c>
      <c r="F826" s="1187" t="s">
        <v>1660</v>
      </c>
      <c r="G826" s="1108" t="s">
        <v>747</v>
      </c>
      <c r="H826" s="1187" t="s">
        <v>2220</v>
      </c>
      <c r="I826" s="1108" t="s">
        <v>2292</v>
      </c>
      <c r="J826" s="1148" t="s">
        <v>836</v>
      </c>
    </row>
    <row r="827" spans="2:11" ht="15" hidden="1" customHeight="1" outlineLevel="1" x14ac:dyDescent="0.25">
      <c r="B827" s="1188" t="s">
        <v>830</v>
      </c>
      <c r="C827" s="1150"/>
      <c r="D827" s="1150" t="s">
        <v>1273</v>
      </c>
      <c r="E827" s="1192">
        <v>3.3200158237222402E-2</v>
      </c>
      <c r="F827" s="1193" t="s">
        <v>1660</v>
      </c>
      <c r="G827" s="1153" t="s">
        <v>747</v>
      </c>
      <c r="H827" s="1189" t="s">
        <v>125</v>
      </c>
      <c r="I827" s="1153"/>
      <c r="J827" s="1155" t="s">
        <v>836</v>
      </c>
    </row>
    <row r="828" spans="2:11" ht="15" customHeight="1" x14ac:dyDescent="0.25">
      <c r="F828" s="1177" t="s">
        <v>125</v>
      </c>
      <c r="H828" s="1177" t="s">
        <v>125</v>
      </c>
    </row>
    <row r="829" spans="2:11" ht="15" customHeight="1" collapsed="1" x14ac:dyDescent="0.25">
      <c r="B829" s="1164" t="s">
        <v>825</v>
      </c>
      <c r="C829" s="1165"/>
      <c r="D829" s="1165" t="s">
        <v>1292</v>
      </c>
      <c r="E829" s="1168">
        <v>1</v>
      </c>
      <c r="F829" s="1178" t="s">
        <v>1660</v>
      </c>
      <c r="G829" s="1168" t="s">
        <v>730</v>
      </c>
      <c r="H829" s="1178" t="s">
        <v>125</v>
      </c>
      <c r="I829" s="1168"/>
      <c r="J829" s="246" t="s">
        <v>221</v>
      </c>
      <c r="K829" s="292">
        <v>100</v>
      </c>
    </row>
    <row r="830" spans="2:11" ht="15" hidden="1" customHeight="1" outlineLevel="1" x14ac:dyDescent="0.25">
      <c r="B830" s="953" t="s">
        <v>830</v>
      </c>
      <c r="C830" s="1138"/>
      <c r="D830" s="1138" t="s">
        <v>1441</v>
      </c>
      <c r="E830" s="954">
        <v>2.69E-2</v>
      </c>
      <c r="F830" s="1185" t="s">
        <v>1660</v>
      </c>
      <c r="G830" s="954" t="s">
        <v>747</v>
      </c>
      <c r="H830" s="1185" t="s">
        <v>125</v>
      </c>
      <c r="I830" s="954"/>
      <c r="J830" s="955" t="s">
        <v>221</v>
      </c>
      <c r="K830" s="207"/>
    </row>
    <row r="831" spans="2:11" ht="15" hidden="1" customHeight="1" outlineLevel="1" x14ac:dyDescent="0.25">
      <c r="B831" s="1186" t="s">
        <v>830</v>
      </c>
      <c r="C831" s="1143"/>
      <c r="D831" s="1143" t="s">
        <v>1442</v>
      </c>
      <c r="E831" s="1108">
        <v>0.151</v>
      </c>
      <c r="F831" s="1187" t="s">
        <v>1660</v>
      </c>
      <c r="G831" s="1108" t="s">
        <v>747</v>
      </c>
      <c r="H831" s="1187" t="s">
        <v>125</v>
      </c>
      <c r="I831" s="1108"/>
      <c r="J831" s="1148" t="s">
        <v>221</v>
      </c>
    </row>
    <row r="832" spans="2:11" ht="15" hidden="1" customHeight="1" outlineLevel="1" x14ac:dyDescent="0.25">
      <c r="B832" s="1186" t="s">
        <v>830</v>
      </c>
      <c r="C832" s="1143"/>
      <c r="D832" s="1143" t="s">
        <v>1443</v>
      </c>
      <c r="E832" s="1108">
        <v>3.0499999999999999E-2</v>
      </c>
      <c r="F832" s="1187" t="s">
        <v>1660</v>
      </c>
      <c r="G832" s="1108" t="s">
        <v>747</v>
      </c>
      <c r="H832" s="1187" t="s">
        <v>125</v>
      </c>
      <c r="I832" s="1108"/>
      <c r="J832" s="1148" t="s">
        <v>221</v>
      </c>
    </row>
    <row r="833" spans="2:10" ht="15" hidden="1" customHeight="1" outlineLevel="1" x14ac:dyDescent="0.25">
      <c r="B833" s="1186" t="s">
        <v>830</v>
      </c>
      <c r="C833" s="1143"/>
      <c r="D833" s="1143" t="s">
        <v>1444</v>
      </c>
      <c r="E833" s="1108">
        <v>0.21199999999999999</v>
      </c>
      <c r="F833" s="1187" t="s">
        <v>1660</v>
      </c>
      <c r="G833" s="1108" t="s">
        <v>747</v>
      </c>
      <c r="H833" s="1187" t="s">
        <v>125</v>
      </c>
      <c r="I833" s="1108"/>
      <c r="J833" s="1148" t="s">
        <v>221</v>
      </c>
    </row>
    <row r="834" spans="2:10" ht="15" hidden="1" customHeight="1" outlineLevel="1" x14ac:dyDescent="0.25">
      <c r="B834" s="1186" t="s">
        <v>830</v>
      </c>
      <c r="C834" s="1143"/>
      <c r="D834" s="1143" t="s">
        <v>1205</v>
      </c>
      <c r="E834" s="1108">
        <v>9.6299999999999997E-2</v>
      </c>
      <c r="F834" s="1187" t="s">
        <v>125</v>
      </c>
      <c r="G834" s="1108"/>
      <c r="H834" s="1187" t="s">
        <v>125</v>
      </c>
      <c r="I834" s="1108"/>
      <c r="J834" s="1148" t="s">
        <v>221</v>
      </c>
    </row>
    <row r="835" spans="2:10" ht="15" hidden="1" customHeight="1" outlineLevel="1" x14ac:dyDescent="0.25">
      <c r="B835" s="1186" t="s">
        <v>830</v>
      </c>
      <c r="C835" s="1143"/>
      <c r="D835" s="1143" t="s">
        <v>1445</v>
      </c>
      <c r="E835" s="1108">
        <v>0.24099999999999999</v>
      </c>
      <c r="F835" s="1187" t="s">
        <v>1660</v>
      </c>
      <c r="G835" s="1108" t="s">
        <v>747</v>
      </c>
      <c r="H835" s="1187" t="s">
        <v>125</v>
      </c>
      <c r="I835" s="1108"/>
      <c r="J835" s="1148" t="s">
        <v>221</v>
      </c>
    </row>
    <row r="836" spans="2:10" ht="15" hidden="1" customHeight="1" outlineLevel="1" x14ac:dyDescent="0.25">
      <c r="B836" s="1186" t="s">
        <v>830</v>
      </c>
      <c r="C836" s="1143"/>
      <c r="D836" s="1143" t="s">
        <v>1446</v>
      </c>
      <c r="E836" s="1108">
        <v>1.5100000000000001E-2</v>
      </c>
      <c r="F836" s="1187" t="s">
        <v>1660</v>
      </c>
      <c r="G836" s="1108" t="s">
        <v>747</v>
      </c>
      <c r="H836" s="1187" t="s">
        <v>125</v>
      </c>
      <c r="I836" s="1108"/>
      <c r="J836" s="1148" t="s">
        <v>221</v>
      </c>
    </row>
    <row r="837" spans="2:10" ht="15" hidden="1" customHeight="1" outlineLevel="1" x14ac:dyDescent="0.25">
      <c r="B837" s="1186" t="s">
        <v>830</v>
      </c>
      <c r="C837" s="1143"/>
      <c r="D837" s="1143" t="s">
        <v>1447</v>
      </c>
      <c r="E837" s="1108">
        <v>7.0699999999999999E-2</v>
      </c>
      <c r="F837" s="1187" t="s">
        <v>1660</v>
      </c>
      <c r="G837" s="1108" t="s">
        <v>747</v>
      </c>
      <c r="H837" s="1187" t="s">
        <v>125</v>
      </c>
      <c r="I837" s="1108"/>
      <c r="J837" s="1148" t="s">
        <v>221</v>
      </c>
    </row>
    <row r="838" spans="2:10" ht="15" hidden="1" customHeight="1" outlineLevel="1" x14ac:dyDescent="0.25">
      <c r="B838" s="1186" t="s">
        <v>830</v>
      </c>
      <c r="C838" s="1143"/>
      <c r="D838" s="1143" t="s">
        <v>1448</v>
      </c>
      <c r="E838" s="1108">
        <v>0.13900000000000001</v>
      </c>
      <c r="F838" s="1187" t="s">
        <v>1660</v>
      </c>
      <c r="G838" s="1108" t="s">
        <v>747</v>
      </c>
      <c r="H838" s="1187" t="s">
        <v>125</v>
      </c>
      <c r="I838" s="1108"/>
      <c r="J838" s="1148" t="s">
        <v>221</v>
      </c>
    </row>
    <row r="839" spans="2:10" ht="15" hidden="1" customHeight="1" outlineLevel="1" x14ac:dyDescent="0.25">
      <c r="B839" s="1186" t="s">
        <v>830</v>
      </c>
      <c r="C839" s="1143"/>
      <c r="D839" s="1143" t="s">
        <v>1449</v>
      </c>
      <c r="E839" s="1108">
        <v>1.91E-3</v>
      </c>
      <c r="F839" s="1187" t="s">
        <v>1660</v>
      </c>
      <c r="G839" s="1108" t="s">
        <v>747</v>
      </c>
      <c r="H839" s="1187" t="s">
        <v>125</v>
      </c>
      <c r="I839" s="1108"/>
      <c r="J839" s="1148" t="s">
        <v>221</v>
      </c>
    </row>
    <row r="840" spans="2:10" ht="15" hidden="1" customHeight="1" outlineLevel="1" x14ac:dyDescent="0.25">
      <c r="B840" s="1186" t="s">
        <v>830</v>
      </c>
      <c r="C840" s="1143"/>
      <c r="D840" s="1143" t="s">
        <v>1450</v>
      </c>
      <c r="E840" s="1108">
        <v>1.55E-2</v>
      </c>
      <c r="F840" s="1187" t="s">
        <v>1660</v>
      </c>
      <c r="G840" s="1108" t="s">
        <v>747</v>
      </c>
      <c r="H840" s="1187" t="s">
        <v>125</v>
      </c>
      <c r="I840" s="1108"/>
      <c r="J840" s="1148" t="s">
        <v>221</v>
      </c>
    </row>
    <row r="841" spans="2:10" ht="15" hidden="1" customHeight="1" outlineLevel="1" x14ac:dyDescent="0.25">
      <c r="B841" s="1186" t="s">
        <v>830</v>
      </c>
      <c r="C841" s="1143"/>
      <c r="D841" s="1143" t="s">
        <v>1264</v>
      </c>
      <c r="E841" s="1108">
        <v>0.107152112224882</v>
      </c>
      <c r="F841" s="1187" t="s">
        <v>1660</v>
      </c>
      <c r="G841" s="1108" t="s">
        <v>747</v>
      </c>
      <c r="H841" s="1187" t="s">
        <v>2220</v>
      </c>
      <c r="I841" s="1108" t="s">
        <v>2267</v>
      </c>
      <c r="J841" s="1148" t="s">
        <v>836</v>
      </c>
    </row>
    <row r="842" spans="2:10" ht="15" hidden="1" customHeight="1" outlineLevel="1" x14ac:dyDescent="0.25">
      <c r="B842" s="1186" t="s">
        <v>830</v>
      </c>
      <c r="C842" s="1143"/>
      <c r="D842" s="1143" t="s">
        <v>1265</v>
      </c>
      <c r="E842" s="1108">
        <v>0.265724465837193</v>
      </c>
      <c r="F842" s="1187" t="s">
        <v>1660</v>
      </c>
      <c r="G842" s="1108" t="s">
        <v>747</v>
      </c>
      <c r="H842" s="1187" t="s">
        <v>125</v>
      </c>
      <c r="I842" s="1108"/>
      <c r="J842" s="1148" t="s">
        <v>836</v>
      </c>
    </row>
    <row r="843" spans="2:10" ht="15" hidden="1" customHeight="1" outlineLevel="1" x14ac:dyDescent="0.25">
      <c r="B843" s="1186" t="s">
        <v>830</v>
      </c>
      <c r="C843" s="1143"/>
      <c r="D843" s="1143" t="s">
        <v>1266</v>
      </c>
      <c r="E843" s="1190">
        <v>1.00147386807927E-3</v>
      </c>
      <c r="F843" s="1191" t="s">
        <v>1660</v>
      </c>
      <c r="G843" s="1108" t="s">
        <v>747</v>
      </c>
      <c r="H843" s="1187" t="s">
        <v>125</v>
      </c>
      <c r="I843" s="1108"/>
      <c r="J843" s="1148" t="s">
        <v>836</v>
      </c>
    </row>
    <row r="844" spans="2:10" ht="15" hidden="1" customHeight="1" outlineLevel="1" x14ac:dyDescent="0.25">
      <c r="B844" s="1186" t="s">
        <v>830</v>
      </c>
      <c r="C844" s="1143"/>
      <c r="D844" s="1143" t="s">
        <v>1268</v>
      </c>
      <c r="E844" s="1108">
        <v>0.85149995674159296</v>
      </c>
      <c r="F844" s="1187" t="s">
        <v>1660</v>
      </c>
      <c r="G844" s="1108" t="s">
        <v>747</v>
      </c>
      <c r="H844" s="1187" t="s">
        <v>2220</v>
      </c>
      <c r="I844" s="1108" t="s">
        <v>2268</v>
      </c>
      <c r="J844" s="1148" t="s">
        <v>836</v>
      </c>
    </row>
    <row r="845" spans="2:10" ht="15" hidden="1" customHeight="1" outlineLevel="1" x14ac:dyDescent="0.25">
      <c r="B845" s="1186" t="s">
        <v>830</v>
      </c>
      <c r="C845" s="1143"/>
      <c r="D845" s="1143" t="s">
        <v>1271</v>
      </c>
      <c r="E845" s="1108">
        <v>0.64026080657382101</v>
      </c>
      <c r="F845" s="1187" t="s">
        <v>1660</v>
      </c>
      <c r="G845" s="1108" t="s">
        <v>747</v>
      </c>
      <c r="H845" s="1187" t="s">
        <v>125</v>
      </c>
      <c r="I845" s="1108"/>
      <c r="J845" s="1148" t="s">
        <v>836</v>
      </c>
    </row>
    <row r="846" spans="2:10" ht="15" hidden="1" customHeight="1" outlineLevel="1" x14ac:dyDescent="0.25">
      <c r="B846" s="1186" t="s">
        <v>830</v>
      </c>
      <c r="C846" s="1143"/>
      <c r="D846" s="1143" t="s">
        <v>1272</v>
      </c>
      <c r="E846" s="1108">
        <v>0.30510914883795498</v>
      </c>
      <c r="F846" s="1187" t="s">
        <v>1660</v>
      </c>
      <c r="G846" s="1108" t="s">
        <v>747</v>
      </c>
      <c r="H846" s="1187" t="s">
        <v>2220</v>
      </c>
      <c r="I846" s="1108" t="s">
        <v>2269</v>
      </c>
      <c r="J846" s="1148" t="s">
        <v>836</v>
      </c>
    </row>
    <row r="847" spans="2:10" ht="15" hidden="1" customHeight="1" outlineLevel="1" x14ac:dyDescent="0.25">
      <c r="B847" s="1188" t="s">
        <v>830</v>
      </c>
      <c r="C847" s="1150"/>
      <c r="D847" s="1150" t="s">
        <v>1273</v>
      </c>
      <c r="E847" s="1153">
        <v>1.2093853421627001</v>
      </c>
      <c r="F847" s="1189" t="s">
        <v>1660</v>
      </c>
      <c r="G847" s="1153" t="s">
        <v>747</v>
      </c>
      <c r="H847" s="1189" t="s">
        <v>125</v>
      </c>
      <c r="I847" s="1153"/>
      <c r="J847" s="1155" t="s">
        <v>836</v>
      </c>
    </row>
    <row r="848" spans="2:10" ht="15" customHeight="1" x14ac:dyDescent="0.25">
      <c r="F848" s="1177" t="s">
        <v>125</v>
      </c>
      <c r="H848" s="1177" t="s">
        <v>125</v>
      </c>
    </row>
    <row r="849" spans="2:11" ht="15" customHeight="1" collapsed="1" x14ac:dyDescent="0.25">
      <c r="B849" s="1164" t="s">
        <v>825</v>
      </c>
      <c r="C849" s="1165"/>
      <c r="D849" s="1165" t="s">
        <v>907</v>
      </c>
      <c r="E849" s="1168">
        <v>1</v>
      </c>
      <c r="F849" s="1178" t="s">
        <v>1660</v>
      </c>
      <c r="G849" s="1168" t="s">
        <v>729</v>
      </c>
      <c r="H849" s="1178" t="s">
        <v>125</v>
      </c>
      <c r="I849" s="1168"/>
      <c r="J849" s="246" t="s">
        <v>221</v>
      </c>
      <c r="K849" s="292">
        <v>100</v>
      </c>
    </row>
    <row r="850" spans="2:11" ht="15" hidden="1" customHeight="1" outlineLevel="1" x14ac:dyDescent="0.25">
      <c r="B850" s="953" t="s">
        <v>830</v>
      </c>
      <c r="C850" s="1138"/>
      <c r="D850" s="1138" t="s">
        <v>1451</v>
      </c>
      <c r="E850" s="954">
        <v>4.9899999999999996E-3</v>
      </c>
      <c r="F850" s="1185" t="s">
        <v>1660</v>
      </c>
      <c r="G850" s="954" t="s">
        <v>747</v>
      </c>
      <c r="H850" s="1185" t="s">
        <v>125</v>
      </c>
      <c r="I850" s="954"/>
      <c r="J850" s="955" t="s">
        <v>221</v>
      </c>
      <c r="K850" s="207"/>
    </row>
    <row r="851" spans="2:11" ht="15" hidden="1" customHeight="1" outlineLevel="1" x14ac:dyDescent="0.25">
      <c r="B851" s="1186" t="s">
        <v>830</v>
      </c>
      <c r="C851" s="1143"/>
      <c r="D851" s="1143" t="s">
        <v>1452</v>
      </c>
      <c r="E851" s="1108">
        <v>0.104</v>
      </c>
      <c r="F851" s="1187" t="s">
        <v>1660</v>
      </c>
      <c r="G851" s="1108" t="s">
        <v>747</v>
      </c>
      <c r="H851" s="1187" t="s">
        <v>125</v>
      </c>
      <c r="I851" s="1108"/>
      <c r="J851" s="1148" t="s">
        <v>221</v>
      </c>
    </row>
    <row r="852" spans="2:11" ht="15" hidden="1" customHeight="1" outlineLevel="1" x14ac:dyDescent="0.25">
      <c r="B852" s="1186" t="s">
        <v>830</v>
      </c>
      <c r="C852" s="1143"/>
      <c r="D852" s="1143" t="s">
        <v>1453</v>
      </c>
      <c r="E852" s="1108">
        <v>0.55200000000000005</v>
      </c>
      <c r="F852" s="1187" t="s">
        <v>125</v>
      </c>
      <c r="G852" s="1108"/>
      <c r="H852" s="1187" t="s">
        <v>125</v>
      </c>
      <c r="I852" s="1108"/>
      <c r="J852" s="1148" t="s">
        <v>221</v>
      </c>
    </row>
    <row r="853" spans="2:11" ht="15" hidden="1" customHeight="1" outlineLevel="1" x14ac:dyDescent="0.25">
      <c r="B853" s="1186" t="s">
        <v>830</v>
      </c>
      <c r="C853" s="1143"/>
      <c r="D853" s="1143" t="s">
        <v>1454</v>
      </c>
      <c r="E853" s="1108">
        <v>0.13</v>
      </c>
      <c r="F853" s="1187" t="s">
        <v>1660</v>
      </c>
      <c r="G853" s="1108" t="s">
        <v>747</v>
      </c>
      <c r="H853" s="1187" t="s">
        <v>125</v>
      </c>
      <c r="I853" s="1108"/>
      <c r="J853" s="1148" t="s">
        <v>221</v>
      </c>
    </row>
    <row r="854" spans="2:11" ht="15" hidden="1" customHeight="1" outlineLevel="1" x14ac:dyDescent="0.25">
      <c r="B854" s="1186" t="s">
        <v>830</v>
      </c>
      <c r="C854" s="1143"/>
      <c r="D854" s="1143" t="s">
        <v>1455</v>
      </c>
      <c r="E854" s="1108">
        <v>8.9300000000000004E-2</v>
      </c>
      <c r="F854" s="1187" t="s">
        <v>1660</v>
      </c>
      <c r="G854" s="1108" t="s">
        <v>747</v>
      </c>
      <c r="H854" s="1187" t="s">
        <v>125</v>
      </c>
      <c r="I854" s="1108"/>
      <c r="J854" s="1148" t="s">
        <v>221</v>
      </c>
    </row>
    <row r="855" spans="2:11" ht="15" hidden="1" customHeight="1" outlineLevel="1" x14ac:dyDescent="0.25">
      <c r="B855" s="1186" t="s">
        <v>830</v>
      </c>
      <c r="C855" s="1143"/>
      <c r="D855" s="1143" t="s">
        <v>1456</v>
      </c>
      <c r="E855" s="1108">
        <v>0.11899999999999999</v>
      </c>
      <c r="F855" s="1187" t="s">
        <v>1660</v>
      </c>
      <c r="G855" s="1108" t="s">
        <v>747</v>
      </c>
      <c r="H855" s="1187" t="s">
        <v>125</v>
      </c>
      <c r="I855" s="1108"/>
      <c r="J855" s="1148" t="s">
        <v>221</v>
      </c>
    </row>
    <row r="856" spans="2:11" ht="15" hidden="1" customHeight="1" outlineLevel="1" x14ac:dyDescent="0.25">
      <c r="B856" s="1186" t="s">
        <v>830</v>
      </c>
      <c r="C856" s="1143"/>
      <c r="D856" s="1143" t="s">
        <v>1264</v>
      </c>
      <c r="E856" s="1190">
        <v>7.1800785516455299E-3</v>
      </c>
      <c r="F856" s="1191" t="s">
        <v>1660</v>
      </c>
      <c r="G856" s="1108" t="s">
        <v>747</v>
      </c>
      <c r="H856" s="1187" t="s">
        <v>2220</v>
      </c>
      <c r="I856" s="1108" t="s">
        <v>2270</v>
      </c>
      <c r="J856" s="1148" t="s">
        <v>836</v>
      </c>
    </row>
    <row r="857" spans="2:11" ht="15" hidden="1" customHeight="1" outlineLevel="1" x14ac:dyDescent="0.25">
      <c r="B857" s="1186" t="s">
        <v>830</v>
      </c>
      <c r="C857" s="1143"/>
      <c r="D857" s="1143" t="s">
        <v>1265</v>
      </c>
      <c r="E857" s="1190">
        <v>8.5333163504162604E-2</v>
      </c>
      <c r="F857" s="1191" t="s">
        <v>1660</v>
      </c>
      <c r="G857" s="1108" t="s">
        <v>747</v>
      </c>
      <c r="H857" s="1187" t="s">
        <v>125</v>
      </c>
      <c r="I857" s="1108"/>
      <c r="J857" s="1148" t="s">
        <v>836</v>
      </c>
    </row>
    <row r="858" spans="2:11" ht="15" hidden="1" customHeight="1" outlineLevel="1" x14ac:dyDescent="0.25">
      <c r="B858" s="1186" t="s">
        <v>830</v>
      </c>
      <c r="C858" s="1143"/>
      <c r="D858" s="1143" t="s">
        <v>1266</v>
      </c>
      <c r="E858" s="1190">
        <v>7.4752080363759002E-3</v>
      </c>
      <c r="F858" s="1191" t="s">
        <v>1660</v>
      </c>
      <c r="G858" s="1108" t="s">
        <v>747</v>
      </c>
      <c r="H858" s="1187" t="s">
        <v>125</v>
      </c>
      <c r="I858" s="1108"/>
      <c r="J858" s="1148" t="s">
        <v>836</v>
      </c>
    </row>
    <row r="859" spans="2:11" ht="15" hidden="1" customHeight="1" outlineLevel="1" x14ac:dyDescent="0.25">
      <c r="B859" s="1186" t="s">
        <v>830</v>
      </c>
      <c r="C859" s="1143"/>
      <c r="D859" s="1143" t="s">
        <v>1268</v>
      </c>
      <c r="E859" s="1108">
        <v>0.18445217739351</v>
      </c>
      <c r="F859" s="1187" t="s">
        <v>1660</v>
      </c>
      <c r="G859" s="1108" t="s">
        <v>747</v>
      </c>
      <c r="H859" s="1187" t="s">
        <v>2220</v>
      </c>
      <c r="I859" s="1108" t="s">
        <v>2271</v>
      </c>
      <c r="J859" s="1148" t="s">
        <v>836</v>
      </c>
    </row>
    <row r="860" spans="2:11" ht="15" hidden="1" customHeight="1" outlineLevel="1" x14ac:dyDescent="0.25">
      <c r="B860" s="1186" t="s">
        <v>830</v>
      </c>
      <c r="C860" s="1143"/>
      <c r="D860" s="1143" t="s">
        <v>1269</v>
      </c>
      <c r="E860" s="1190">
        <v>7.64179514435194E-2</v>
      </c>
      <c r="F860" s="1191" t="s">
        <v>1660</v>
      </c>
      <c r="G860" s="1108" t="s">
        <v>747</v>
      </c>
      <c r="H860" s="1187" t="s">
        <v>125</v>
      </c>
      <c r="I860" s="1108"/>
      <c r="J860" s="1148" t="s">
        <v>836</v>
      </c>
    </row>
    <row r="861" spans="2:11" ht="15" hidden="1" customHeight="1" outlineLevel="1" x14ac:dyDescent="0.25">
      <c r="B861" s="1186" t="s">
        <v>830</v>
      </c>
      <c r="C861" s="1143"/>
      <c r="D861" s="1143" t="s">
        <v>1271</v>
      </c>
      <c r="E861" s="1190">
        <v>9.1983532770916199E-2</v>
      </c>
      <c r="F861" s="1191" t="s">
        <v>1660</v>
      </c>
      <c r="G861" s="1108" t="s">
        <v>747</v>
      </c>
      <c r="H861" s="1187" t="s">
        <v>125</v>
      </c>
      <c r="I861" s="1108"/>
      <c r="J861" s="1148" t="s">
        <v>836</v>
      </c>
    </row>
    <row r="862" spans="2:11" ht="15" hidden="1" customHeight="1" outlineLevel="1" x14ac:dyDescent="0.25">
      <c r="B862" s="1186" t="s">
        <v>830</v>
      </c>
      <c r="C862" s="1143"/>
      <c r="D862" s="1143" t="s">
        <v>1272</v>
      </c>
      <c r="E862" s="1108">
        <v>0.24387556627238999</v>
      </c>
      <c r="F862" s="1187" t="s">
        <v>1660</v>
      </c>
      <c r="G862" s="1108" t="s">
        <v>747</v>
      </c>
      <c r="H862" s="1187" t="s">
        <v>2220</v>
      </c>
      <c r="I862" s="1108" t="s">
        <v>2272</v>
      </c>
      <c r="J862" s="1148" t="s">
        <v>836</v>
      </c>
    </row>
    <row r="863" spans="2:11" ht="15" hidden="1" customHeight="1" outlineLevel="1" x14ac:dyDescent="0.25">
      <c r="B863" s="1188" t="s">
        <v>830</v>
      </c>
      <c r="C863" s="1150"/>
      <c r="D863" s="1150" t="s">
        <v>1273</v>
      </c>
      <c r="E863" s="1153">
        <v>5.1240610115598002E-2</v>
      </c>
      <c r="F863" s="1189" t="s">
        <v>1660</v>
      </c>
      <c r="G863" s="1153" t="s">
        <v>747</v>
      </c>
      <c r="H863" s="1189" t="s">
        <v>125</v>
      </c>
      <c r="I863" s="1153"/>
      <c r="J863" s="1155" t="s">
        <v>836</v>
      </c>
    </row>
    <row r="864" spans="2:11" ht="15" customHeight="1" x14ac:dyDescent="0.25">
      <c r="F864" s="1177" t="s">
        <v>125</v>
      </c>
      <c r="H864" s="1177" t="s">
        <v>125</v>
      </c>
    </row>
    <row r="865" spans="2:13" ht="15" customHeight="1" collapsed="1" x14ac:dyDescent="0.25">
      <c r="B865" s="1164" t="s">
        <v>825</v>
      </c>
      <c r="C865" s="1165"/>
      <c r="D865" s="1165" t="s">
        <v>864</v>
      </c>
      <c r="E865" s="1168">
        <v>1</v>
      </c>
      <c r="F865" s="1178" t="s">
        <v>1660</v>
      </c>
      <c r="G865" s="1168" t="s">
        <v>728</v>
      </c>
      <c r="H865" s="1178" t="s">
        <v>125</v>
      </c>
      <c r="I865" s="1168"/>
      <c r="J865" s="246" t="s">
        <v>1286</v>
      </c>
      <c r="K865" s="292">
        <v>100</v>
      </c>
    </row>
    <row r="866" spans="2:13" ht="15" hidden="1" customHeight="1" outlineLevel="1" x14ac:dyDescent="0.25">
      <c r="B866" s="953" t="s">
        <v>830</v>
      </c>
      <c r="C866" s="1138"/>
      <c r="D866" s="1138" t="s">
        <v>1457</v>
      </c>
      <c r="E866" s="954">
        <v>0.8</v>
      </c>
      <c r="F866" s="1185" t="s">
        <v>1660</v>
      </c>
      <c r="G866" s="954" t="s">
        <v>747</v>
      </c>
      <c r="H866" s="1185" t="s">
        <v>125</v>
      </c>
      <c r="I866" s="954"/>
      <c r="J866" s="955" t="s">
        <v>1286</v>
      </c>
      <c r="K866" s="207" t="s">
        <v>125</v>
      </c>
      <c r="M866" s="1" t="s">
        <v>1294</v>
      </c>
    </row>
    <row r="867" spans="2:13" ht="15" hidden="1" customHeight="1" outlineLevel="1" x14ac:dyDescent="0.25">
      <c r="B867" s="1186" t="s">
        <v>830</v>
      </c>
      <c r="C867" s="1143"/>
      <c r="D867" s="1143" t="s">
        <v>1458</v>
      </c>
      <c r="E867" s="1108">
        <v>0.1</v>
      </c>
      <c r="F867" s="1187" t="s">
        <v>1660</v>
      </c>
      <c r="G867" s="1108" t="s">
        <v>747</v>
      </c>
      <c r="H867" s="1187" t="s">
        <v>125</v>
      </c>
      <c r="I867" s="1108"/>
      <c r="J867" s="1148" t="s">
        <v>1286</v>
      </c>
      <c r="K867" s="1" t="s">
        <v>125</v>
      </c>
      <c r="M867" s="1" t="s">
        <v>1314</v>
      </c>
    </row>
    <row r="868" spans="2:13" ht="15" hidden="1" customHeight="1" outlineLevel="1" x14ac:dyDescent="0.25">
      <c r="B868" s="1186" t="s">
        <v>830</v>
      </c>
      <c r="C868" s="1143"/>
      <c r="D868" s="1143" t="s">
        <v>1459</v>
      </c>
      <c r="E868" s="1108">
        <v>0.1</v>
      </c>
      <c r="F868" s="1187" t="s">
        <v>125</v>
      </c>
      <c r="G868" s="1108"/>
      <c r="H868" s="1187"/>
      <c r="I868" s="1108"/>
      <c r="J868" s="1148" t="s">
        <v>1286</v>
      </c>
      <c r="K868" s="1" t="s">
        <v>125</v>
      </c>
      <c r="M868" s="1" t="s">
        <v>1316</v>
      </c>
    </row>
    <row r="869" spans="2:13" ht="15" hidden="1" customHeight="1" outlineLevel="1" x14ac:dyDescent="0.25">
      <c r="B869" s="1186" t="s">
        <v>830</v>
      </c>
      <c r="C869" s="1143"/>
      <c r="D869" s="1143" t="s">
        <v>1272</v>
      </c>
      <c r="E869" s="1108">
        <v>44.71</v>
      </c>
      <c r="F869" s="1187" t="s">
        <v>1660</v>
      </c>
      <c r="G869" s="1108" t="s">
        <v>747</v>
      </c>
      <c r="H869" s="1187" t="s">
        <v>2220</v>
      </c>
      <c r="I869" s="1108" t="s">
        <v>2273</v>
      </c>
      <c r="J869" s="1148" t="s">
        <v>836</v>
      </c>
      <c r="K869" s="1" t="s">
        <v>125</v>
      </c>
      <c r="M869" s="1" t="s">
        <v>1295</v>
      </c>
    </row>
    <row r="870" spans="2:13" ht="15" hidden="1" customHeight="1" outlineLevel="1" x14ac:dyDescent="0.25">
      <c r="B870" s="1186" t="s">
        <v>830</v>
      </c>
      <c r="C870" s="1143"/>
      <c r="D870" s="1143" t="s">
        <v>1268</v>
      </c>
      <c r="E870" s="1108">
        <v>1.77</v>
      </c>
      <c r="F870" s="1187" t="s">
        <v>1660</v>
      </c>
      <c r="G870" s="1108" t="s">
        <v>747</v>
      </c>
      <c r="H870" s="1187" t="s">
        <v>2220</v>
      </c>
      <c r="I870" s="1108" t="s">
        <v>2274</v>
      </c>
      <c r="J870" s="1148" t="s">
        <v>836</v>
      </c>
      <c r="K870" s="1" t="s">
        <v>125</v>
      </c>
      <c r="M870" s="1" t="s">
        <v>1295</v>
      </c>
    </row>
    <row r="871" spans="2:13" ht="15" hidden="1" customHeight="1" outlineLevel="1" x14ac:dyDescent="0.25">
      <c r="B871" s="1186" t="s">
        <v>830</v>
      </c>
      <c r="C871" s="1143"/>
      <c r="D871" s="1143" t="s">
        <v>1264</v>
      </c>
      <c r="E871" s="1108">
        <v>15.35</v>
      </c>
      <c r="F871" s="1187" t="s">
        <v>1660</v>
      </c>
      <c r="G871" s="1108" t="s">
        <v>747</v>
      </c>
      <c r="H871" s="1187" t="s">
        <v>2220</v>
      </c>
      <c r="I871" s="1108" t="s">
        <v>2275</v>
      </c>
      <c r="J871" s="1148" t="s">
        <v>836</v>
      </c>
      <c r="K871" s="1" t="s">
        <v>125</v>
      </c>
      <c r="M871" s="1" t="s">
        <v>1295</v>
      </c>
    </row>
    <row r="872" spans="2:13" ht="15" hidden="1" customHeight="1" outlineLevel="1" x14ac:dyDescent="0.25">
      <c r="B872" s="1186" t="s">
        <v>830</v>
      </c>
      <c r="C872" s="1143"/>
      <c r="D872" s="1143" t="s">
        <v>1272</v>
      </c>
      <c r="E872" s="1108">
        <v>21.63</v>
      </c>
      <c r="F872" s="1187" t="s">
        <v>1660</v>
      </c>
      <c r="G872" s="1108" t="s">
        <v>747</v>
      </c>
      <c r="H872" s="1187" t="s">
        <v>125</v>
      </c>
      <c r="I872" s="1108"/>
      <c r="J872" s="1148" t="s">
        <v>836</v>
      </c>
      <c r="K872" s="1" t="s">
        <v>125</v>
      </c>
      <c r="M872" s="1" t="s">
        <v>1336</v>
      </c>
    </row>
    <row r="873" spans="2:13" ht="15" hidden="1" customHeight="1" outlineLevel="1" x14ac:dyDescent="0.25">
      <c r="B873" s="1186" t="s">
        <v>830</v>
      </c>
      <c r="C873" s="1143"/>
      <c r="D873" s="1143" t="s">
        <v>1268</v>
      </c>
      <c r="E873" s="1108">
        <v>10.32</v>
      </c>
      <c r="F873" s="1187" t="s">
        <v>1660</v>
      </c>
      <c r="G873" s="1108" t="s">
        <v>747</v>
      </c>
      <c r="H873" s="1187" t="s">
        <v>125</v>
      </c>
      <c r="I873" s="1108"/>
      <c r="J873" s="1148" t="s">
        <v>836</v>
      </c>
      <c r="K873" s="1" t="s">
        <v>125</v>
      </c>
      <c r="M873" s="1" t="s">
        <v>1336</v>
      </c>
    </row>
    <row r="874" spans="2:13" ht="15" hidden="1" customHeight="1" outlineLevel="1" x14ac:dyDescent="0.25">
      <c r="B874" s="1186" t="s">
        <v>830</v>
      </c>
      <c r="C874" s="1143"/>
      <c r="D874" s="1143" t="s">
        <v>1265</v>
      </c>
      <c r="E874" s="1108">
        <v>17.36</v>
      </c>
      <c r="F874" s="1187" t="s">
        <v>1660</v>
      </c>
      <c r="G874" s="1108" t="s">
        <v>747</v>
      </c>
      <c r="H874" s="1187" t="s">
        <v>125</v>
      </c>
      <c r="I874" s="1108"/>
      <c r="J874" s="1148" t="s">
        <v>836</v>
      </c>
      <c r="K874" s="1" t="s">
        <v>125</v>
      </c>
      <c r="M874" s="1" t="s">
        <v>1336</v>
      </c>
    </row>
    <row r="875" spans="2:13" ht="15" hidden="1" customHeight="1" outlineLevel="1" x14ac:dyDescent="0.25">
      <c r="B875" s="1186" t="s">
        <v>830</v>
      </c>
      <c r="C875" s="1143"/>
      <c r="D875" s="1143" t="s">
        <v>1272</v>
      </c>
      <c r="E875" s="1108">
        <v>12.78</v>
      </c>
      <c r="F875" s="1187" t="s">
        <v>1660</v>
      </c>
      <c r="G875" s="1108" t="s">
        <v>747</v>
      </c>
      <c r="H875" s="1187" t="s">
        <v>125</v>
      </c>
      <c r="I875" s="1108"/>
      <c r="J875" s="1148" t="s">
        <v>836</v>
      </c>
      <c r="K875" s="1" t="s">
        <v>125</v>
      </c>
      <c r="M875" s="1" t="s">
        <v>1460</v>
      </c>
    </row>
    <row r="876" spans="2:13" ht="15" hidden="1" customHeight="1" outlineLevel="1" x14ac:dyDescent="0.25">
      <c r="B876" s="1186" t="s">
        <v>830</v>
      </c>
      <c r="C876" s="1143"/>
      <c r="D876" s="1143" t="s">
        <v>1268</v>
      </c>
      <c r="E876" s="1108">
        <v>4.18</v>
      </c>
      <c r="F876" s="1187" t="s">
        <v>1660</v>
      </c>
      <c r="G876" s="1108" t="s">
        <v>747</v>
      </c>
      <c r="H876" s="1187" t="s">
        <v>125</v>
      </c>
      <c r="I876" s="1108"/>
      <c r="J876" s="1148" t="s">
        <v>836</v>
      </c>
      <c r="K876" s="1" t="s">
        <v>125</v>
      </c>
      <c r="M876" s="1" t="s">
        <v>1460</v>
      </c>
    </row>
    <row r="877" spans="2:13" ht="15" hidden="1" customHeight="1" outlineLevel="1" x14ac:dyDescent="0.25">
      <c r="B877" s="1188" t="s">
        <v>830</v>
      </c>
      <c r="C877" s="1150"/>
      <c r="D877" s="1150" t="s">
        <v>1264</v>
      </c>
      <c r="E877" s="1153">
        <v>12.35</v>
      </c>
      <c r="F877" s="1189" t="s">
        <v>1660</v>
      </c>
      <c r="G877" s="1153" t="s">
        <v>747</v>
      </c>
      <c r="H877" s="1189" t="s">
        <v>125</v>
      </c>
      <c r="I877" s="1153"/>
      <c r="J877" s="1155" t="s">
        <v>836</v>
      </c>
      <c r="K877" s="1" t="s">
        <v>125</v>
      </c>
      <c r="M877" s="1" t="s">
        <v>1460</v>
      </c>
    </row>
    <row r="878" spans="2:13" ht="15" customHeight="1" x14ac:dyDescent="0.25">
      <c r="F878" s="1177" t="s">
        <v>125</v>
      </c>
      <c r="H878" s="1177" t="s">
        <v>125</v>
      </c>
    </row>
    <row r="879" spans="2:13" ht="15" customHeight="1" x14ac:dyDescent="0.25">
      <c r="B879" s="1127" t="s">
        <v>825</v>
      </c>
      <c r="C879" s="1128"/>
      <c r="D879" s="1128" t="s">
        <v>1461</v>
      </c>
      <c r="E879" s="1130">
        <v>730</v>
      </c>
      <c r="F879" s="1172" t="s">
        <v>125</v>
      </c>
      <c r="G879" s="1130"/>
      <c r="H879" s="1172" t="s">
        <v>125</v>
      </c>
      <c r="I879" s="1130"/>
      <c r="J879" s="208" t="s">
        <v>221</v>
      </c>
      <c r="K879" s="208">
        <v>83.96</v>
      </c>
    </row>
    <row r="880" spans="2:13" ht="15" customHeight="1" x14ac:dyDescent="0.25">
      <c r="B880" s="1183" t="s">
        <v>825</v>
      </c>
      <c r="C880" s="1171"/>
      <c r="D880" s="1171" t="s">
        <v>1462</v>
      </c>
      <c r="E880" s="1157">
        <v>20</v>
      </c>
      <c r="F880" s="1184" t="s">
        <v>125</v>
      </c>
      <c r="G880" s="1157"/>
      <c r="H880" s="1184" t="s">
        <v>125</v>
      </c>
      <c r="I880" s="1157"/>
      <c r="J880" s="209" t="s">
        <v>221</v>
      </c>
      <c r="K880" s="209">
        <v>3.19</v>
      </c>
    </row>
    <row r="881" spans="2:11" ht="15" customHeight="1" x14ac:dyDescent="0.25">
      <c r="B881" s="1183" t="s">
        <v>825</v>
      </c>
      <c r="C881" s="1171"/>
      <c r="D881" s="1171" t="s">
        <v>964</v>
      </c>
      <c r="E881" s="1157">
        <v>125</v>
      </c>
      <c r="F881" s="1184" t="s">
        <v>125</v>
      </c>
      <c r="G881" s="1157"/>
      <c r="H881" s="1184" t="s">
        <v>125</v>
      </c>
      <c r="I881" s="1157"/>
      <c r="J881" s="209" t="s">
        <v>221</v>
      </c>
      <c r="K881" s="209">
        <v>6.55</v>
      </c>
    </row>
    <row r="882" spans="2:11" ht="15" customHeight="1" collapsed="1" x14ac:dyDescent="0.25">
      <c r="B882" s="1132" t="s">
        <v>825</v>
      </c>
      <c r="C882" s="1107"/>
      <c r="D882" s="1107" t="s">
        <v>1463</v>
      </c>
      <c r="E882" s="1135">
        <v>120</v>
      </c>
      <c r="F882" s="1173" t="s">
        <v>125</v>
      </c>
      <c r="G882" s="1135"/>
      <c r="H882" s="1173" t="s">
        <v>125</v>
      </c>
      <c r="I882" s="1135"/>
      <c r="J882" s="211" t="s">
        <v>221</v>
      </c>
      <c r="K882" s="531">
        <v>6.3</v>
      </c>
    </row>
    <row r="883" spans="2:11" ht="15" hidden="1" customHeight="1" outlineLevel="1" x14ac:dyDescent="0.25">
      <c r="B883" s="953" t="s">
        <v>827</v>
      </c>
      <c r="C883" s="1138"/>
      <c r="D883" s="1138" t="s">
        <v>980</v>
      </c>
      <c r="E883" s="954">
        <v>0.1</v>
      </c>
      <c r="F883" s="1185" t="s">
        <v>125</v>
      </c>
      <c r="G883" s="954"/>
      <c r="H883" s="1185" t="s">
        <v>125</v>
      </c>
      <c r="I883" s="954"/>
      <c r="J883" s="955" t="s">
        <v>186</v>
      </c>
      <c r="K883" s="207"/>
    </row>
    <row r="884" spans="2:11" ht="15" hidden="1" customHeight="1" outlineLevel="1" x14ac:dyDescent="0.25">
      <c r="B884" s="1186" t="s">
        <v>830</v>
      </c>
      <c r="C884" s="1143"/>
      <c r="D884" s="1143" t="s">
        <v>863</v>
      </c>
      <c r="E884" s="1108">
        <v>1000</v>
      </c>
      <c r="F884" s="1187" t="s">
        <v>125</v>
      </c>
      <c r="G884" s="1108"/>
      <c r="H884" s="1187" t="s">
        <v>125</v>
      </c>
      <c r="I884" s="1108"/>
      <c r="J884" s="1148" t="s">
        <v>221</v>
      </c>
    </row>
    <row r="885" spans="2:11" ht="15" hidden="1" customHeight="1" outlineLevel="1" x14ac:dyDescent="0.25">
      <c r="B885" s="1186" t="s">
        <v>830</v>
      </c>
      <c r="C885" s="1143"/>
      <c r="D885" s="1143" t="s">
        <v>1054</v>
      </c>
      <c r="E885" s="1108">
        <v>290</v>
      </c>
      <c r="F885" s="1187" t="s">
        <v>125</v>
      </c>
      <c r="G885" s="1108"/>
      <c r="H885" s="1187" t="s">
        <v>125</v>
      </c>
      <c r="I885" s="1108"/>
      <c r="J885" s="1148" t="s">
        <v>304</v>
      </c>
    </row>
    <row r="886" spans="2:11" ht="15" hidden="1" customHeight="1" outlineLevel="1" x14ac:dyDescent="0.25">
      <c r="B886" s="1186" t="s">
        <v>830</v>
      </c>
      <c r="C886" s="1143"/>
      <c r="D886" s="1143" t="s">
        <v>1278</v>
      </c>
      <c r="E886" s="1108">
        <v>174</v>
      </c>
      <c r="F886" s="1187" t="s">
        <v>125</v>
      </c>
      <c r="G886" s="1108"/>
      <c r="H886" s="1187" t="s">
        <v>125</v>
      </c>
      <c r="I886" s="1108"/>
      <c r="J886" s="1148" t="s">
        <v>304</v>
      </c>
    </row>
    <row r="887" spans="2:11" ht="15" hidden="1" customHeight="1" outlineLevel="1" x14ac:dyDescent="0.25">
      <c r="B887" s="1186" t="s">
        <v>1281</v>
      </c>
      <c r="C887" s="1143"/>
      <c r="D887" s="1143" t="s">
        <v>1282</v>
      </c>
      <c r="E887" s="1108">
        <v>5</v>
      </c>
      <c r="F887" s="1187" t="s">
        <v>125</v>
      </c>
      <c r="G887" s="1108"/>
      <c r="H887" s="1187" t="s">
        <v>125</v>
      </c>
      <c r="I887" s="1108"/>
      <c r="J887" s="1148" t="s">
        <v>221</v>
      </c>
    </row>
    <row r="888" spans="2:11" ht="15" hidden="1" customHeight="1" outlineLevel="1" x14ac:dyDescent="0.25">
      <c r="B888" s="1188" t="s">
        <v>1281</v>
      </c>
      <c r="C888" s="1150"/>
      <c r="D888" s="1150" t="s">
        <v>1283</v>
      </c>
      <c r="E888" s="1153">
        <v>0.1</v>
      </c>
      <c r="F888" s="1189" t="s">
        <v>125</v>
      </c>
      <c r="G888" s="1153"/>
      <c r="H888" s="1189" t="s">
        <v>125</v>
      </c>
      <c r="I888" s="1153"/>
      <c r="J888" s="1155" t="s">
        <v>1286</v>
      </c>
    </row>
    <row r="889" spans="2:11" ht="15" customHeight="1" x14ac:dyDescent="0.25">
      <c r="F889" s="1177" t="s">
        <v>125</v>
      </c>
      <c r="H889" s="1177" t="s">
        <v>125</v>
      </c>
    </row>
    <row r="890" spans="2:11" ht="15" customHeight="1" x14ac:dyDescent="0.25">
      <c r="B890" s="1127" t="s">
        <v>825</v>
      </c>
      <c r="C890" s="1128"/>
      <c r="D890" s="1128" t="s">
        <v>1476</v>
      </c>
      <c r="E890" s="1130">
        <v>540</v>
      </c>
      <c r="F890" s="1172" t="s">
        <v>125</v>
      </c>
      <c r="G890" s="1130"/>
      <c r="H890" s="1172" t="s">
        <v>125</v>
      </c>
      <c r="I890" s="1130"/>
      <c r="J890" s="208" t="s">
        <v>221</v>
      </c>
      <c r="K890" s="898">
        <v>54.36</v>
      </c>
    </row>
    <row r="891" spans="2:11" ht="15" customHeight="1" x14ac:dyDescent="0.25">
      <c r="B891" s="1183" t="s">
        <v>825</v>
      </c>
      <c r="C891" s="1171"/>
      <c r="D891" s="1171" t="s">
        <v>1459</v>
      </c>
      <c r="E891" s="1157">
        <v>176</v>
      </c>
      <c r="F891" s="1184" t="s">
        <v>125</v>
      </c>
      <c r="G891" s="1157"/>
      <c r="H891" s="1184" t="s">
        <v>125</v>
      </c>
      <c r="I891" s="1157"/>
      <c r="J891" s="209" t="s">
        <v>221</v>
      </c>
      <c r="K891" s="209">
        <v>8.2200000000000006</v>
      </c>
    </row>
    <row r="892" spans="2:11" ht="15" customHeight="1" x14ac:dyDescent="0.25">
      <c r="B892" s="1183" t="s">
        <v>825</v>
      </c>
      <c r="C892" s="1171"/>
      <c r="D892" s="1171" t="s">
        <v>1464</v>
      </c>
      <c r="E892" s="1157">
        <v>78</v>
      </c>
      <c r="F892" s="1184" t="s">
        <v>125</v>
      </c>
      <c r="G892" s="1157"/>
      <c r="H892" s="1184" t="s">
        <v>125</v>
      </c>
      <c r="I892" s="1157"/>
      <c r="J892" s="209" t="s">
        <v>221</v>
      </c>
      <c r="K892" s="209">
        <v>5.03</v>
      </c>
    </row>
    <row r="893" spans="2:11" ht="15" customHeight="1" x14ac:dyDescent="0.25">
      <c r="B893" s="1183" t="s">
        <v>825</v>
      </c>
      <c r="C893" s="1171"/>
      <c r="D893" s="1171" t="s">
        <v>1468</v>
      </c>
      <c r="E893" s="1157">
        <v>93</v>
      </c>
      <c r="F893" s="1184" t="s">
        <v>125</v>
      </c>
      <c r="G893" s="1157"/>
      <c r="H893" s="1184" t="s">
        <v>125</v>
      </c>
      <c r="I893" s="1157"/>
      <c r="J893" s="209" t="s">
        <v>221</v>
      </c>
      <c r="K893" s="209">
        <v>29.02</v>
      </c>
    </row>
    <row r="894" spans="2:11" ht="15" customHeight="1" collapsed="1" x14ac:dyDescent="0.25">
      <c r="B894" s="1132" t="s">
        <v>825</v>
      </c>
      <c r="C894" s="1107"/>
      <c r="D894" s="1107" t="s">
        <v>1477</v>
      </c>
      <c r="E894" s="1135">
        <v>419</v>
      </c>
      <c r="F894" s="1173" t="s">
        <v>125</v>
      </c>
      <c r="G894" s="1135"/>
      <c r="H894" s="1173" t="s">
        <v>125</v>
      </c>
      <c r="I894" s="1135"/>
      <c r="J894" s="210" t="s">
        <v>221</v>
      </c>
      <c r="K894" s="531">
        <v>3.37</v>
      </c>
    </row>
    <row r="895" spans="2:11" ht="15" hidden="1" customHeight="1" outlineLevel="1" x14ac:dyDescent="0.25">
      <c r="B895" s="953" t="s">
        <v>827</v>
      </c>
      <c r="C895" s="1138"/>
      <c r="D895" s="1138" t="s">
        <v>980</v>
      </c>
      <c r="E895" s="954">
        <v>2.1</v>
      </c>
      <c r="F895" s="1185" t="s">
        <v>125</v>
      </c>
      <c r="G895" s="954"/>
      <c r="H895" s="1185" t="s">
        <v>125</v>
      </c>
      <c r="I895" s="954"/>
      <c r="J895" s="955" t="s">
        <v>186</v>
      </c>
    </row>
    <row r="896" spans="2:11" ht="15" hidden="1" customHeight="1" outlineLevel="1" x14ac:dyDescent="0.25">
      <c r="B896" s="1186" t="s">
        <v>830</v>
      </c>
      <c r="C896" s="1143"/>
      <c r="D896" s="1143" t="s">
        <v>863</v>
      </c>
      <c r="E896" s="1108">
        <v>1000</v>
      </c>
      <c r="F896" s="1187" t="s">
        <v>125</v>
      </c>
      <c r="G896" s="1108"/>
      <c r="H896" s="1187" t="s">
        <v>125</v>
      </c>
      <c r="I896" s="1108"/>
      <c r="J896" s="1148" t="s">
        <v>221</v>
      </c>
    </row>
    <row r="897" spans="2:13" ht="15" hidden="1" customHeight="1" outlineLevel="1" x14ac:dyDescent="0.25">
      <c r="B897" s="1186" t="s">
        <v>830</v>
      </c>
      <c r="C897" s="1143"/>
      <c r="D897" s="1143" t="s">
        <v>1054</v>
      </c>
      <c r="E897" s="1108">
        <v>1260</v>
      </c>
      <c r="F897" s="1187" t="s">
        <v>125</v>
      </c>
      <c r="G897" s="1108"/>
      <c r="H897" s="1187" t="s">
        <v>125</v>
      </c>
      <c r="I897" s="1108"/>
      <c r="J897" s="1148" t="s">
        <v>304</v>
      </c>
    </row>
    <row r="898" spans="2:13" ht="15" hidden="1" customHeight="1" outlineLevel="1" x14ac:dyDescent="0.25">
      <c r="B898" s="1186" t="s">
        <v>830</v>
      </c>
      <c r="C898" s="1143"/>
      <c r="D898" s="1143" t="s">
        <v>1278</v>
      </c>
      <c r="E898" s="1108">
        <v>3780</v>
      </c>
      <c r="F898" s="1187" t="s">
        <v>125</v>
      </c>
      <c r="G898" s="1108"/>
      <c r="H898" s="1187" t="s">
        <v>125</v>
      </c>
      <c r="I898" s="1108"/>
      <c r="J898" s="1148" t="s">
        <v>304</v>
      </c>
    </row>
    <row r="899" spans="2:13" ht="15" hidden="1" customHeight="1" outlineLevel="1" x14ac:dyDescent="0.25">
      <c r="B899" s="1188" t="s">
        <v>1281</v>
      </c>
      <c r="C899" s="1150"/>
      <c r="D899" s="1150" t="s">
        <v>1283</v>
      </c>
      <c r="E899" s="1153">
        <v>1794</v>
      </c>
      <c r="F899" s="1189" t="s">
        <v>125</v>
      </c>
      <c r="G899" s="1153"/>
      <c r="H899" s="1189" t="s">
        <v>125</v>
      </c>
      <c r="I899" s="1153"/>
      <c r="J899" s="1155" t="s">
        <v>221</v>
      </c>
    </row>
    <row r="900" spans="2:13" ht="15" customHeight="1" x14ac:dyDescent="0.25">
      <c r="F900" s="1177" t="s">
        <v>125</v>
      </c>
      <c r="H900" s="1177" t="s">
        <v>125</v>
      </c>
    </row>
    <row r="901" spans="2:13" ht="15" customHeight="1" collapsed="1" x14ac:dyDescent="0.25">
      <c r="B901" s="1164" t="s">
        <v>825</v>
      </c>
      <c r="C901" s="1165"/>
      <c r="D901" s="1165" t="s">
        <v>899</v>
      </c>
      <c r="E901" s="1168">
        <v>1</v>
      </c>
      <c r="F901" s="1178" t="s">
        <v>1660</v>
      </c>
      <c r="G901" s="1168" t="s">
        <v>728</v>
      </c>
      <c r="H901" s="1178" t="s">
        <v>125</v>
      </c>
      <c r="I901" s="1168"/>
      <c r="J901" s="246" t="s">
        <v>1286</v>
      </c>
      <c r="K901" s="292">
        <v>100</v>
      </c>
    </row>
    <row r="902" spans="2:13" ht="15" hidden="1" customHeight="1" outlineLevel="1" x14ac:dyDescent="0.25">
      <c r="B902" s="953" t="s">
        <v>830</v>
      </c>
      <c r="C902" s="1138"/>
      <c r="D902" s="1138" t="s">
        <v>1464</v>
      </c>
      <c r="E902" s="954">
        <v>0.1</v>
      </c>
      <c r="F902" s="1185" t="s">
        <v>125</v>
      </c>
      <c r="G902" s="954"/>
      <c r="H902" s="1185" t="s">
        <v>125</v>
      </c>
      <c r="I902" s="954"/>
      <c r="J902" s="955" t="s">
        <v>1286</v>
      </c>
      <c r="K902" s="207" t="s">
        <v>125</v>
      </c>
      <c r="M902" s="1" t="s">
        <v>1294</v>
      </c>
    </row>
    <row r="903" spans="2:13" ht="15" hidden="1" customHeight="1" outlineLevel="1" x14ac:dyDescent="0.25">
      <c r="B903" s="1186" t="s">
        <v>830</v>
      </c>
      <c r="C903" s="1143"/>
      <c r="D903" s="1143" t="s">
        <v>1465</v>
      </c>
      <c r="E903" s="1108">
        <v>0.8</v>
      </c>
      <c r="F903" s="1187" t="s">
        <v>1660</v>
      </c>
      <c r="G903" s="1108" t="s">
        <v>747</v>
      </c>
      <c r="H903" s="1187" t="s">
        <v>125</v>
      </c>
      <c r="I903" s="1108"/>
      <c r="J903" s="1148" t="s">
        <v>1286</v>
      </c>
      <c r="K903" s="1" t="s">
        <v>125</v>
      </c>
      <c r="M903" s="1" t="s">
        <v>1314</v>
      </c>
    </row>
    <row r="904" spans="2:13" ht="15" hidden="1" customHeight="1" outlineLevel="1" x14ac:dyDescent="0.25">
      <c r="B904" s="1186" t="s">
        <v>830</v>
      </c>
      <c r="C904" s="1143"/>
      <c r="D904" s="1143" t="s">
        <v>1466</v>
      </c>
      <c r="E904" s="1108">
        <v>0.1</v>
      </c>
      <c r="F904" s="1187" t="s">
        <v>1660</v>
      </c>
      <c r="G904" s="1108" t="s">
        <v>747</v>
      </c>
      <c r="H904" s="1187" t="s">
        <v>125</v>
      </c>
      <c r="I904" s="1108"/>
      <c r="J904" s="1148" t="s">
        <v>1286</v>
      </c>
      <c r="K904" s="1" t="s">
        <v>125</v>
      </c>
      <c r="M904" s="1" t="s">
        <v>1316</v>
      </c>
    </row>
    <row r="905" spans="2:13" ht="15" hidden="1" customHeight="1" outlineLevel="1" x14ac:dyDescent="0.25">
      <c r="B905" s="1186" t="s">
        <v>830</v>
      </c>
      <c r="C905" s="1143"/>
      <c r="D905" s="1143" t="s">
        <v>1272</v>
      </c>
      <c r="E905" s="1108">
        <v>21.63</v>
      </c>
      <c r="F905" s="1187" t="s">
        <v>1660</v>
      </c>
      <c r="G905" s="1108" t="s">
        <v>747</v>
      </c>
      <c r="H905" s="1187"/>
      <c r="I905" s="1108"/>
      <c r="J905" s="1148" t="s">
        <v>836</v>
      </c>
      <c r="K905" s="1" t="s">
        <v>125</v>
      </c>
      <c r="M905" s="1" t="s">
        <v>1330</v>
      </c>
    </row>
    <row r="906" spans="2:13" ht="15" hidden="1" customHeight="1" outlineLevel="1" x14ac:dyDescent="0.25">
      <c r="B906" s="1186" t="s">
        <v>830</v>
      </c>
      <c r="C906" s="1143"/>
      <c r="D906" s="1143" t="s">
        <v>1268</v>
      </c>
      <c r="E906" s="1108">
        <v>10.32</v>
      </c>
      <c r="F906" s="1187" t="s">
        <v>1660</v>
      </c>
      <c r="G906" s="1108" t="s">
        <v>747</v>
      </c>
      <c r="H906" s="1187" t="s">
        <v>125</v>
      </c>
      <c r="I906" s="1108"/>
      <c r="J906" s="1148" t="s">
        <v>836</v>
      </c>
      <c r="K906" s="1" t="s">
        <v>125</v>
      </c>
      <c r="M906" s="1" t="s">
        <v>1330</v>
      </c>
    </row>
    <row r="907" spans="2:13" ht="15" hidden="1" customHeight="1" outlineLevel="1" x14ac:dyDescent="0.25">
      <c r="B907" s="1186" t="s">
        <v>830</v>
      </c>
      <c r="C907" s="1143"/>
      <c r="D907" s="1143" t="s">
        <v>1265</v>
      </c>
      <c r="E907" s="1108">
        <v>17.36</v>
      </c>
      <c r="F907" s="1187" t="s">
        <v>1660</v>
      </c>
      <c r="G907" s="1108" t="s">
        <v>747</v>
      </c>
      <c r="H907" s="1187" t="s">
        <v>125</v>
      </c>
      <c r="I907" s="1108"/>
      <c r="J907" s="1148" t="s">
        <v>836</v>
      </c>
      <c r="K907" s="1" t="s">
        <v>125</v>
      </c>
      <c r="M907" s="1" t="s">
        <v>1330</v>
      </c>
    </row>
    <row r="908" spans="2:13" ht="15" hidden="1" customHeight="1" outlineLevel="1" x14ac:dyDescent="0.25">
      <c r="B908" s="1186" t="s">
        <v>830</v>
      </c>
      <c r="C908" s="1143"/>
      <c r="D908" s="1143" t="s">
        <v>1272</v>
      </c>
      <c r="E908" s="1108">
        <v>44.71</v>
      </c>
      <c r="F908" s="1187" t="s">
        <v>1660</v>
      </c>
      <c r="G908" s="1108" t="s">
        <v>747</v>
      </c>
      <c r="H908" s="1187" t="s">
        <v>2220</v>
      </c>
      <c r="I908" s="1108" t="s">
        <v>2276</v>
      </c>
      <c r="J908" s="1148" t="s">
        <v>836</v>
      </c>
      <c r="K908" s="1" t="s">
        <v>125</v>
      </c>
      <c r="M908" s="1" t="s">
        <v>1319</v>
      </c>
    </row>
    <row r="909" spans="2:13" ht="15" hidden="1" customHeight="1" outlineLevel="1" x14ac:dyDescent="0.25">
      <c r="B909" s="1186" t="s">
        <v>830</v>
      </c>
      <c r="C909" s="1143"/>
      <c r="D909" s="1143" t="s">
        <v>1268</v>
      </c>
      <c r="E909" s="1108">
        <v>1.77</v>
      </c>
      <c r="F909" s="1187" t="s">
        <v>1660</v>
      </c>
      <c r="G909" s="1108" t="s">
        <v>747</v>
      </c>
      <c r="H909" s="1187" t="s">
        <v>2220</v>
      </c>
      <c r="I909" s="1108" t="s">
        <v>2277</v>
      </c>
      <c r="J909" s="1148" t="s">
        <v>836</v>
      </c>
      <c r="K909" s="1" t="s">
        <v>125</v>
      </c>
      <c r="M909" s="1" t="s">
        <v>1319</v>
      </c>
    </row>
    <row r="910" spans="2:13" ht="15" hidden="1" customHeight="1" outlineLevel="1" x14ac:dyDescent="0.25">
      <c r="B910" s="1186" t="s">
        <v>830</v>
      </c>
      <c r="C910" s="1143"/>
      <c r="D910" s="1143" t="s">
        <v>1264</v>
      </c>
      <c r="E910" s="1108">
        <v>15.35</v>
      </c>
      <c r="F910" s="1187" t="s">
        <v>1660</v>
      </c>
      <c r="G910" s="1108" t="s">
        <v>747</v>
      </c>
      <c r="H910" s="1187" t="s">
        <v>2220</v>
      </c>
      <c r="I910" s="1108" t="s">
        <v>2278</v>
      </c>
      <c r="J910" s="1148" t="s">
        <v>836</v>
      </c>
      <c r="K910" s="1" t="s">
        <v>125</v>
      </c>
      <c r="M910" s="1" t="s">
        <v>1319</v>
      </c>
    </row>
    <row r="911" spans="2:13" ht="15" hidden="1" customHeight="1" outlineLevel="1" x14ac:dyDescent="0.25">
      <c r="B911" s="1186" t="s">
        <v>830</v>
      </c>
      <c r="C911" s="1143"/>
      <c r="D911" s="1143" t="s">
        <v>1272</v>
      </c>
      <c r="E911" s="1108">
        <v>12.78</v>
      </c>
      <c r="F911" s="1187" t="s">
        <v>1660</v>
      </c>
      <c r="G911" s="1108" t="s">
        <v>747</v>
      </c>
      <c r="H911" s="1187" t="s">
        <v>125</v>
      </c>
      <c r="I911" s="1108"/>
      <c r="J911" s="1148" t="s">
        <v>836</v>
      </c>
      <c r="K911" s="1" t="s">
        <v>125</v>
      </c>
      <c r="M911" s="1" t="s">
        <v>1460</v>
      </c>
    </row>
    <row r="912" spans="2:13" ht="15" hidden="1" customHeight="1" outlineLevel="1" x14ac:dyDescent="0.25">
      <c r="B912" s="1186" t="s">
        <v>830</v>
      </c>
      <c r="C912" s="1143"/>
      <c r="D912" s="1143" t="s">
        <v>1268</v>
      </c>
      <c r="E912" s="1108">
        <v>4.18</v>
      </c>
      <c r="F912" s="1187" t="s">
        <v>1660</v>
      </c>
      <c r="G912" s="1108" t="s">
        <v>747</v>
      </c>
      <c r="H912" s="1187" t="s">
        <v>125</v>
      </c>
      <c r="I912" s="1108"/>
      <c r="J912" s="1148" t="s">
        <v>836</v>
      </c>
      <c r="K912" s="1" t="s">
        <v>125</v>
      </c>
      <c r="M912" s="1" t="s">
        <v>1460</v>
      </c>
    </row>
    <row r="913" spans="2:13" ht="15" hidden="1" customHeight="1" outlineLevel="1" x14ac:dyDescent="0.25">
      <c r="B913" s="1188" t="s">
        <v>830</v>
      </c>
      <c r="C913" s="1150"/>
      <c r="D913" s="1150" t="s">
        <v>1264</v>
      </c>
      <c r="E913" s="1153">
        <v>12.35</v>
      </c>
      <c r="F913" s="1189" t="s">
        <v>1660</v>
      </c>
      <c r="G913" s="1153" t="s">
        <v>747</v>
      </c>
      <c r="H913" s="1189" t="s">
        <v>125</v>
      </c>
      <c r="I913" s="1153"/>
      <c r="J913" s="1155" t="s">
        <v>836</v>
      </c>
      <c r="K913" s="1" t="s">
        <v>125</v>
      </c>
      <c r="M913" s="1" t="s">
        <v>1460</v>
      </c>
    </row>
    <row r="914" spans="2:13" ht="15" customHeight="1" x14ac:dyDescent="0.25">
      <c r="F914" s="1177" t="s">
        <v>125</v>
      </c>
      <c r="H914" s="1177" t="s">
        <v>125</v>
      </c>
    </row>
    <row r="915" spans="2:13" ht="15" customHeight="1" collapsed="1" x14ac:dyDescent="0.25">
      <c r="B915" s="1164" t="s">
        <v>825</v>
      </c>
      <c r="C915" s="1165"/>
      <c r="D915" s="1165" t="s">
        <v>865</v>
      </c>
      <c r="E915" s="1168">
        <v>1</v>
      </c>
      <c r="F915" s="1178" t="s">
        <v>1660</v>
      </c>
      <c r="G915" s="1168" t="s">
        <v>728</v>
      </c>
      <c r="H915" s="1178" t="s">
        <v>125</v>
      </c>
      <c r="I915" s="1168"/>
      <c r="J915" s="246" t="s">
        <v>1286</v>
      </c>
      <c r="K915" s="292">
        <v>100</v>
      </c>
    </row>
    <row r="916" spans="2:13" ht="15" hidden="1" customHeight="1" outlineLevel="1" x14ac:dyDescent="0.25">
      <c r="B916" s="953" t="s">
        <v>830</v>
      </c>
      <c r="C916" s="1138"/>
      <c r="D916" s="1138" t="s">
        <v>1467</v>
      </c>
      <c r="E916" s="954">
        <v>0.8</v>
      </c>
      <c r="F916" s="1185" t="s">
        <v>1660</v>
      </c>
      <c r="G916" s="954" t="s">
        <v>747</v>
      </c>
      <c r="H916" s="1185" t="s">
        <v>125</v>
      </c>
      <c r="I916" s="954"/>
      <c r="J916" s="955" t="s">
        <v>1286</v>
      </c>
      <c r="K916" s="207" t="s">
        <v>125</v>
      </c>
      <c r="M916" s="1" t="s">
        <v>1294</v>
      </c>
    </row>
    <row r="917" spans="2:13" ht="15" hidden="1" customHeight="1" outlineLevel="1" x14ac:dyDescent="0.25">
      <c r="B917" s="1186" t="s">
        <v>830</v>
      </c>
      <c r="C917" s="1143"/>
      <c r="D917" s="1143" t="s">
        <v>1468</v>
      </c>
      <c r="E917" s="1108">
        <v>0.1</v>
      </c>
      <c r="F917" s="1187" t="s">
        <v>125</v>
      </c>
      <c r="G917" s="1108"/>
      <c r="H917" s="1187" t="s">
        <v>125</v>
      </c>
      <c r="I917" s="1108"/>
      <c r="J917" s="1148" t="s">
        <v>1286</v>
      </c>
      <c r="K917" s="1" t="s">
        <v>125</v>
      </c>
      <c r="M917" s="1" t="s">
        <v>1314</v>
      </c>
    </row>
    <row r="918" spans="2:13" ht="15" hidden="1" customHeight="1" outlineLevel="1" x14ac:dyDescent="0.25">
      <c r="B918" s="1186" t="s">
        <v>830</v>
      </c>
      <c r="C918" s="1143"/>
      <c r="D918" s="1143" t="s">
        <v>1469</v>
      </c>
      <c r="E918" s="1108">
        <v>0.1</v>
      </c>
      <c r="F918" s="1187" t="s">
        <v>1660</v>
      </c>
      <c r="G918" s="1108" t="s">
        <v>747</v>
      </c>
      <c r="H918" s="1187" t="s">
        <v>125</v>
      </c>
      <c r="I918" s="1108"/>
      <c r="J918" s="1148" t="s">
        <v>1286</v>
      </c>
      <c r="K918" s="1" t="s">
        <v>125</v>
      </c>
      <c r="M918" s="1" t="s">
        <v>1316</v>
      </c>
    </row>
    <row r="919" spans="2:13" ht="15" hidden="1" customHeight="1" outlineLevel="1" x14ac:dyDescent="0.25">
      <c r="B919" s="1186" t="s">
        <v>830</v>
      </c>
      <c r="C919" s="1143"/>
      <c r="D919" s="1143" t="s">
        <v>1272</v>
      </c>
      <c r="E919" s="1108">
        <v>44.71</v>
      </c>
      <c r="F919" s="1187" t="s">
        <v>1660</v>
      </c>
      <c r="G919" s="1108" t="s">
        <v>747</v>
      </c>
      <c r="H919" s="1187" t="s">
        <v>2220</v>
      </c>
      <c r="I919" s="1108" t="s">
        <v>2273</v>
      </c>
      <c r="J919" s="1148" t="s">
        <v>836</v>
      </c>
      <c r="K919" s="1" t="s">
        <v>125</v>
      </c>
      <c r="M919" s="1" t="s">
        <v>1295</v>
      </c>
    </row>
    <row r="920" spans="2:13" ht="15" hidden="1" customHeight="1" outlineLevel="1" x14ac:dyDescent="0.25">
      <c r="B920" s="1186" t="s">
        <v>830</v>
      </c>
      <c r="C920" s="1143"/>
      <c r="D920" s="1143" t="s">
        <v>1268</v>
      </c>
      <c r="E920" s="1108">
        <v>1.77</v>
      </c>
      <c r="F920" s="1187" t="s">
        <v>1660</v>
      </c>
      <c r="G920" s="1108" t="s">
        <v>747</v>
      </c>
      <c r="H920" s="1187" t="s">
        <v>2220</v>
      </c>
      <c r="I920" s="1108" t="s">
        <v>2274</v>
      </c>
      <c r="J920" s="1148" t="s">
        <v>836</v>
      </c>
      <c r="K920" s="1" t="s">
        <v>125</v>
      </c>
      <c r="M920" s="1" t="s">
        <v>1295</v>
      </c>
    </row>
    <row r="921" spans="2:13" ht="15" hidden="1" customHeight="1" outlineLevel="1" x14ac:dyDescent="0.25">
      <c r="B921" s="1186" t="s">
        <v>830</v>
      </c>
      <c r="C921" s="1143"/>
      <c r="D921" s="1143" t="s">
        <v>1264</v>
      </c>
      <c r="E921" s="1108">
        <v>15.35</v>
      </c>
      <c r="F921" s="1187" t="s">
        <v>1660</v>
      </c>
      <c r="G921" s="1108" t="s">
        <v>747</v>
      </c>
      <c r="H921" s="1187" t="s">
        <v>2220</v>
      </c>
      <c r="I921" s="1108" t="s">
        <v>2275</v>
      </c>
      <c r="J921" s="1148" t="s">
        <v>836</v>
      </c>
      <c r="K921" s="1" t="s">
        <v>125</v>
      </c>
      <c r="M921" s="1" t="s">
        <v>1295</v>
      </c>
    </row>
    <row r="922" spans="2:13" ht="15" hidden="1" customHeight="1" outlineLevel="1" x14ac:dyDescent="0.25">
      <c r="B922" s="1186" t="s">
        <v>830</v>
      </c>
      <c r="C922" s="1143"/>
      <c r="D922" s="1143" t="s">
        <v>1272</v>
      </c>
      <c r="E922" s="1108">
        <v>12.78</v>
      </c>
      <c r="F922" s="1187" t="s">
        <v>1660</v>
      </c>
      <c r="G922" s="1108" t="s">
        <v>747</v>
      </c>
      <c r="H922" s="1187" t="s">
        <v>125</v>
      </c>
      <c r="I922" s="1108"/>
      <c r="J922" s="1148" t="s">
        <v>836</v>
      </c>
      <c r="K922" s="1" t="s">
        <v>125</v>
      </c>
      <c r="M922" s="1" t="s">
        <v>1470</v>
      </c>
    </row>
    <row r="923" spans="2:13" ht="15" hidden="1" customHeight="1" outlineLevel="1" x14ac:dyDescent="0.25">
      <c r="B923" s="1186" t="s">
        <v>830</v>
      </c>
      <c r="C923" s="1143"/>
      <c r="D923" s="1143" t="s">
        <v>1268</v>
      </c>
      <c r="E923" s="1108">
        <v>4.18</v>
      </c>
      <c r="F923" s="1187" t="s">
        <v>1660</v>
      </c>
      <c r="G923" s="1108" t="s">
        <v>747</v>
      </c>
      <c r="H923" s="1187" t="s">
        <v>125</v>
      </c>
      <c r="I923" s="1108"/>
      <c r="J923" s="1148" t="s">
        <v>836</v>
      </c>
      <c r="K923" s="1" t="s">
        <v>125</v>
      </c>
      <c r="M923" s="1" t="s">
        <v>1470</v>
      </c>
    </row>
    <row r="924" spans="2:13" ht="15" hidden="1" customHeight="1" outlineLevel="1" x14ac:dyDescent="0.25">
      <c r="B924" s="1186" t="s">
        <v>830</v>
      </c>
      <c r="C924" s="1143"/>
      <c r="D924" s="1143" t="s">
        <v>1264</v>
      </c>
      <c r="E924" s="1108">
        <v>12.35</v>
      </c>
      <c r="F924" s="1187" t="s">
        <v>1660</v>
      </c>
      <c r="G924" s="1108" t="s">
        <v>747</v>
      </c>
      <c r="H924" s="1187" t="s">
        <v>125</v>
      </c>
      <c r="I924" s="1108"/>
      <c r="J924" s="1148" t="s">
        <v>836</v>
      </c>
      <c r="K924" s="1" t="s">
        <v>125</v>
      </c>
      <c r="M924" s="1" t="s">
        <v>1470</v>
      </c>
    </row>
    <row r="925" spans="2:13" ht="15" hidden="1" customHeight="1" outlineLevel="1" x14ac:dyDescent="0.25">
      <c r="B925" s="1186" t="s">
        <v>830</v>
      </c>
      <c r="C925" s="1143"/>
      <c r="D925" s="1143" t="s">
        <v>1272</v>
      </c>
      <c r="E925" s="1108">
        <v>21.63</v>
      </c>
      <c r="F925" s="1187" t="s">
        <v>1660</v>
      </c>
      <c r="G925" s="1108" t="s">
        <v>747</v>
      </c>
      <c r="H925" s="1187" t="s">
        <v>125</v>
      </c>
      <c r="I925" s="1108"/>
      <c r="J925" s="1148" t="s">
        <v>836</v>
      </c>
      <c r="K925" s="1" t="s">
        <v>125</v>
      </c>
      <c r="M925" s="1" t="s">
        <v>1320</v>
      </c>
    </row>
    <row r="926" spans="2:13" ht="15" hidden="1" customHeight="1" outlineLevel="1" x14ac:dyDescent="0.25">
      <c r="B926" s="1186" t="s">
        <v>830</v>
      </c>
      <c r="C926" s="1143"/>
      <c r="D926" s="1143" t="s">
        <v>1268</v>
      </c>
      <c r="E926" s="1108">
        <v>10.32</v>
      </c>
      <c r="F926" s="1187" t="s">
        <v>1660</v>
      </c>
      <c r="G926" s="1108" t="s">
        <v>747</v>
      </c>
      <c r="H926" s="1187" t="s">
        <v>125</v>
      </c>
      <c r="I926" s="1108"/>
      <c r="J926" s="1148" t="s">
        <v>836</v>
      </c>
      <c r="K926" s="1" t="s">
        <v>125</v>
      </c>
      <c r="M926" s="1" t="s">
        <v>1320</v>
      </c>
    </row>
    <row r="927" spans="2:13" ht="15" hidden="1" customHeight="1" outlineLevel="1" x14ac:dyDescent="0.25">
      <c r="B927" s="1188" t="s">
        <v>830</v>
      </c>
      <c r="C927" s="1150"/>
      <c r="D927" s="1150" t="s">
        <v>1265</v>
      </c>
      <c r="E927" s="1153">
        <v>17.36</v>
      </c>
      <c r="F927" s="1189" t="s">
        <v>1660</v>
      </c>
      <c r="G927" s="1153" t="s">
        <v>747</v>
      </c>
      <c r="H927" s="1189" t="s">
        <v>125</v>
      </c>
      <c r="I927" s="1153"/>
      <c r="J927" s="1155" t="s">
        <v>836</v>
      </c>
      <c r="K927" s="1" t="s">
        <v>125</v>
      </c>
      <c r="M927" s="1" t="s">
        <v>1320</v>
      </c>
    </row>
    <row r="928" spans="2:13" ht="15" customHeight="1" x14ac:dyDescent="0.25">
      <c r="F928" s="1177" t="s">
        <v>125</v>
      </c>
      <c r="H928" s="1177" t="s">
        <v>125</v>
      </c>
    </row>
    <row r="929" spans="2:11" ht="15" customHeight="1" collapsed="1" x14ac:dyDescent="0.25">
      <c r="B929" s="1164" t="s">
        <v>825</v>
      </c>
      <c r="C929" s="1165"/>
      <c r="D929" s="1165" t="s">
        <v>863</v>
      </c>
      <c r="E929" s="1168">
        <v>1</v>
      </c>
      <c r="F929" s="1178" t="s">
        <v>1660</v>
      </c>
      <c r="G929" s="1168" t="s">
        <v>727</v>
      </c>
      <c r="H929" s="1178" t="s">
        <v>125</v>
      </c>
      <c r="I929" s="1168"/>
      <c r="J929" s="246" t="s">
        <v>221</v>
      </c>
      <c r="K929" s="292">
        <v>100</v>
      </c>
    </row>
    <row r="930" spans="2:11" ht="15" hidden="1" customHeight="1" outlineLevel="1" x14ac:dyDescent="0.25">
      <c r="B930" s="953" t="s">
        <v>830</v>
      </c>
      <c r="C930" s="1138"/>
      <c r="D930" s="1138" t="s">
        <v>1471</v>
      </c>
      <c r="E930" s="954">
        <v>6.2700000000000006E-2</v>
      </c>
      <c r="F930" s="1185" t="s">
        <v>1660</v>
      </c>
      <c r="G930" s="954" t="s">
        <v>747</v>
      </c>
      <c r="H930" s="1185" t="s">
        <v>125</v>
      </c>
      <c r="I930" s="954"/>
      <c r="J930" s="955" t="s">
        <v>221</v>
      </c>
      <c r="K930" s="207"/>
    </row>
    <row r="931" spans="2:11" ht="15" hidden="1" customHeight="1" outlineLevel="1" x14ac:dyDescent="0.25">
      <c r="B931" s="1186" t="s">
        <v>830</v>
      </c>
      <c r="C931" s="1143"/>
      <c r="D931" s="1143" t="s">
        <v>1472</v>
      </c>
      <c r="E931" s="1108">
        <v>1.1299999999999999E-2</v>
      </c>
      <c r="F931" s="1187" t="s">
        <v>1660</v>
      </c>
      <c r="G931" s="1108" t="s">
        <v>747</v>
      </c>
      <c r="H931" s="1187" t="s">
        <v>125</v>
      </c>
      <c r="I931" s="1108"/>
      <c r="J931" s="1148" t="s">
        <v>221</v>
      </c>
    </row>
    <row r="932" spans="2:11" ht="15" hidden="1" customHeight="1" outlineLevel="1" x14ac:dyDescent="0.25">
      <c r="B932" s="1186" t="s">
        <v>830</v>
      </c>
      <c r="C932" s="1143"/>
      <c r="D932" s="1143" t="s">
        <v>1473</v>
      </c>
      <c r="E932" s="1108">
        <v>0.89300000000000002</v>
      </c>
      <c r="F932" s="1187" t="s">
        <v>125</v>
      </c>
      <c r="G932" s="1108"/>
      <c r="H932" s="1187" t="s">
        <v>125</v>
      </c>
      <c r="I932" s="1108"/>
      <c r="J932" s="1148" t="s">
        <v>221</v>
      </c>
    </row>
    <row r="933" spans="2:11" ht="15" hidden="1" customHeight="1" outlineLevel="1" x14ac:dyDescent="0.25">
      <c r="B933" s="1186" t="s">
        <v>830</v>
      </c>
      <c r="C933" s="1143"/>
      <c r="D933" s="1143" t="s">
        <v>1474</v>
      </c>
      <c r="E933" s="1108">
        <v>4.6600000000000001E-3</v>
      </c>
      <c r="F933" s="1187" t="s">
        <v>1660</v>
      </c>
      <c r="G933" s="1108" t="s">
        <v>747</v>
      </c>
      <c r="H933" s="1187" t="s">
        <v>125</v>
      </c>
      <c r="I933" s="1108"/>
      <c r="J933" s="1148" t="s">
        <v>221</v>
      </c>
    </row>
    <row r="934" spans="2:11" ht="15" hidden="1" customHeight="1" outlineLevel="1" x14ac:dyDescent="0.25">
      <c r="B934" s="1186" t="s">
        <v>830</v>
      </c>
      <c r="C934" s="1143"/>
      <c r="D934" s="1143" t="s">
        <v>1475</v>
      </c>
      <c r="E934" s="1108">
        <v>2.8299999999999999E-2</v>
      </c>
      <c r="F934" s="1187" t="s">
        <v>1660</v>
      </c>
      <c r="G934" s="1108" t="s">
        <v>747</v>
      </c>
      <c r="H934" s="1187" t="s">
        <v>125</v>
      </c>
      <c r="I934" s="1108"/>
      <c r="J934" s="1148" t="s">
        <v>221</v>
      </c>
    </row>
    <row r="935" spans="2:11" ht="15" hidden="1" customHeight="1" outlineLevel="1" x14ac:dyDescent="0.25">
      <c r="B935" s="1186" t="s">
        <v>830</v>
      </c>
      <c r="C935" s="1143"/>
      <c r="D935" s="1143" t="s">
        <v>1264</v>
      </c>
      <c r="E935" s="1190">
        <v>3.22029778154849E-3</v>
      </c>
      <c r="F935" s="1191" t="s">
        <v>1660</v>
      </c>
      <c r="G935" s="1108" t="s">
        <v>747</v>
      </c>
      <c r="H935" s="1187" t="s">
        <v>2220</v>
      </c>
      <c r="I935" s="1108" t="s">
        <v>2279</v>
      </c>
      <c r="J935" s="1148" t="s">
        <v>836</v>
      </c>
    </row>
    <row r="936" spans="2:11" ht="15" hidden="1" customHeight="1" outlineLevel="1" x14ac:dyDescent="0.25">
      <c r="B936" s="1186" t="s">
        <v>830</v>
      </c>
      <c r="C936" s="1143"/>
      <c r="D936" s="1143" t="s">
        <v>1268</v>
      </c>
      <c r="E936" s="1190">
        <v>1.5913271445081398E-2</v>
      </c>
      <c r="F936" s="1191" t="s">
        <v>1660</v>
      </c>
      <c r="G936" s="1108" t="s">
        <v>747</v>
      </c>
      <c r="H936" s="1187" t="s">
        <v>2220</v>
      </c>
      <c r="I936" s="1108" t="s">
        <v>2280</v>
      </c>
      <c r="J936" s="1148" t="s">
        <v>836</v>
      </c>
    </row>
    <row r="937" spans="2:11" ht="15" hidden="1" customHeight="1" outlineLevel="1" x14ac:dyDescent="0.25">
      <c r="B937" s="1188" t="s">
        <v>830</v>
      </c>
      <c r="C937" s="1150"/>
      <c r="D937" s="1150" t="s">
        <v>1272</v>
      </c>
      <c r="E937" s="1192">
        <v>7.5441491936741503E-2</v>
      </c>
      <c r="F937" s="1193" t="s">
        <v>1660</v>
      </c>
      <c r="G937" s="1153" t="s">
        <v>747</v>
      </c>
      <c r="H937" s="1189" t="s">
        <v>2220</v>
      </c>
      <c r="I937" s="1153" t="s">
        <v>2281</v>
      </c>
      <c r="J937" s="1155" t="s">
        <v>836</v>
      </c>
    </row>
  </sheetData>
  <mergeCells count="2">
    <mergeCell ref="E4:K4"/>
    <mergeCell ref="F5:I5"/>
  </mergeCells>
  <conditionalFormatting sqref="E1:E38 E303:E562 E601:E1048576 E101:E266 E50:E52">
    <cfRule type="expression" dxfId="46" priority="25">
      <formula>E1=0</formula>
    </cfRule>
    <cfRule type="expression" dxfId="45" priority="26">
      <formula>AND(ABS(E1)&lt;100,ABS(E1)&gt;=1)</formula>
    </cfRule>
    <cfRule type="expression" dxfId="44" priority="27">
      <formula>ABS(E1)&lt;1</formula>
    </cfRule>
    <cfRule type="expression" dxfId="43" priority="28">
      <formula>ABS(E1)&gt;=100</formula>
    </cfRule>
  </conditionalFormatting>
  <conditionalFormatting sqref="E138:E166 E267:E302 E809 E563:E600 E693:E713 E39:E49 E173:E265">
    <cfRule type="expression" dxfId="42" priority="21">
      <formula>E39=0</formula>
    </cfRule>
    <cfRule type="expression" dxfId="41" priority="22">
      <formula>AND(ABS(E39)&lt;10,ABS(E39)&gt;=1)</formula>
    </cfRule>
    <cfRule type="expression" dxfId="40" priority="23">
      <formula>ABS(E39)&lt;1</formula>
    </cfRule>
    <cfRule type="expression" dxfId="39" priority="24">
      <formula>ABS(E39)&gt;=10</formula>
    </cfRule>
  </conditionalFormatting>
  <conditionalFormatting sqref="E53:E100">
    <cfRule type="expression" dxfId="38" priority="9">
      <formula>E53=0</formula>
    </cfRule>
    <cfRule type="expression" dxfId="37" priority="10">
      <formula>AND(ABS(E53)&lt;10,ABS(E53)&gt;=1)</formula>
    </cfRule>
    <cfRule type="expression" dxfId="36" priority="11">
      <formula>ABS(E53)&lt;1</formula>
    </cfRule>
    <cfRule type="expression" dxfId="35" priority="12">
      <formula>ABS(E53)&gt;=10</formula>
    </cfRule>
  </conditionalFormatting>
  <conditionalFormatting sqref="E218">
    <cfRule type="expression" dxfId="34" priority="1">
      <formula>E218=0</formula>
    </cfRule>
    <cfRule type="expression" dxfId="33" priority="2">
      <formula>AND(ABS(E218)&lt;10,ABS(E218)&gt;=1)</formula>
    </cfRule>
    <cfRule type="expression" dxfId="32" priority="3">
      <formula>ABS(E218)&lt;1</formula>
    </cfRule>
    <cfRule type="expression" dxfId="31" priority="4">
      <formula>ABS(E218)&gt;=10</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EF451-1AA0-4A57-A0A2-7D082B71EA22}">
  <sheetPr>
    <outlinePr summaryBelow="0" summaryRight="0"/>
  </sheetPr>
  <dimension ref="A1:CO164"/>
  <sheetViews>
    <sheetView zoomScaleNormal="100" workbookViewId="0">
      <pane ySplit="5" topLeftCell="A6" activePane="bottomLeft" state="frozen"/>
      <selection pane="bottomLeft"/>
    </sheetView>
  </sheetViews>
  <sheetFormatPr baseColWidth="10" defaultColWidth="11.42578125" defaultRowHeight="15" customHeight="1" outlineLevelRow="1" x14ac:dyDescent="0.25"/>
  <cols>
    <col min="1" max="1" width="3.7109375" style="1" customWidth="1"/>
    <col min="2" max="3" width="25.7109375" style="1109" customWidth="1"/>
    <col min="4" max="4" width="90.7109375" style="1109" customWidth="1"/>
    <col min="5" max="5" width="15.7109375" style="1" customWidth="1"/>
    <col min="6" max="6" width="3.7109375" style="1" customWidth="1"/>
    <col min="7" max="7" width="20.7109375" style="1" customWidth="1"/>
    <col min="8" max="8" width="3.7109375" style="1" customWidth="1"/>
    <col min="9" max="9" width="30.7109375" style="1" customWidth="1"/>
    <col min="10" max="10" width="5.7109375" style="1" customWidth="1"/>
    <col min="11" max="11" width="15.7109375" style="1" customWidth="1"/>
    <col min="12" max="12" width="3.7109375" style="323" customWidth="1"/>
    <col min="13" max="16384" width="11.42578125" style="1"/>
  </cols>
  <sheetData>
    <row r="1" spans="1:93" ht="15" customHeight="1" x14ac:dyDescent="0.25">
      <c r="B1" s="1"/>
      <c r="C1" s="1110"/>
      <c r="D1" s="1110"/>
      <c r="E1" s="1111"/>
      <c r="F1" s="1111"/>
      <c r="G1" s="1113"/>
      <c r="H1" s="1113"/>
      <c r="I1" s="1113"/>
      <c r="J1" s="1113"/>
    </row>
    <row r="2" spans="1:93" ht="15" customHeight="1" x14ac:dyDescent="0.25">
      <c r="B2" s="673" t="s">
        <v>2355</v>
      </c>
      <c r="C2" s="1110"/>
      <c r="D2" s="1110"/>
      <c r="E2" s="1111"/>
      <c r="F2" s="1111"/>
      <c r="G2" s="1113"/>
      <c r="H2" s="1113"/>
      <c r="I2" s="1113"/>
      <c r="J2" s="1113"/>
    </row>
    <row r="3" spans="1:93" ht="15" customHeight="1" x14ac:dyDescent="0.25">
      <c r="B3" s="1113"/>
      <c r="C3" s="1110"/>
      <c r="D3" s="1110"/>
      <c r="E3" s="1111"/>
      <c r="F3" s="1111"/>
      <c r="G3" s="1113"/>
      <c r="H3" s="1113"/>
      <c r="I3" s="1113"/>
      <c r="J3" s="1113"/>
      <c r="K3" s="218"/>
      <c r="L3" s="895"/>
      <c r="M3" s="218"/>
      <c r="N3" s="218"/>
      <c r="O3" s="218"/>
      <c r="P3" s="218"/>
      <c r="Q3" s="218"/>
      <c r="R3" s="218"/>
      <c r="S3" s="218"/>
      <c r="T3" s="218"/>
      <c r="U3" s="218"/>
      <c r="V3" s="218"/>
      <c r="W3" s="218"/>
      <c r="X3" s="218"/>
      <c r="Y3" s="1109"/>
      <c r="Z3" s="218"/>
    </row>
    <row r="4" spans="1:93" ht="15" customHeight="1" x14ac:dyDescent="0.25">
      <c r="A4" s="1115"/>
      <c r="B4" s="1116" t="s">
        <v>821</v>
      </c>
      <c r="C4" s="1117" t="s">
        <v>822</v>
      </c>
      <c r="D4" s="1117" t="s">
        <v>823</v>
      </c>
      <c r="E4" s="1378" t="s">
        <v>824</v>
      </c>
      <c r="F4" s="1379"/>
      <c r="G4" s="1379"/>
      <c r="H4" s="1379"/>
      <c r="I4" s="1379"/>
      <c r="J4" s="1379"/>
      <c r="K4" s="1380"/>
      <c r="L4" s="1118"/>
      <c r="M4" s="1206" t="s">
        <v>2351</v>
      </c>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c r="AT4" s="1119"/>
      <c r="AU4" s="1119"/>
      <c r="AV4" s="1119"/>
      <c r="AW4" s="1119"/>
      <c r="AX4" s="1119"/>
      <c r="AY4" s="1119"/>
      <c r="AZ4" s="1119"/>
      <c r="BA4" s="1119"/>
      <c r="BB4" s="1119"/>
      <c r="BC4" s="1119"/>
      <c r="BD4" s="1119"/>
      <c r="BE4" s="1119"/>
      <c r="BF4" s="1119"/>
      <c r="BG4" s="1119"/>
      <c r="BH4" s="1119"/>
      <c r="BI4" s="1119"/>
      <c r="BJ4" s="1119"/>
      <c r="BK4" s="1119"/>
      <c r="BL4" s="1119"/>
      <c r="BM4" s="1119"/>
      <c r="BN4" s="1119"/>
      <c r="BO4" s="1119"/>
      <c r="BP4" s="1119"/>
      <c r="BQ4" s="1119"/>
      <c r="BR4" s="1119"/>
      <c r="BS4" s="1119"/>
      <c r="BT4" s="1119"/>
      <c r="BU4" s="1119"/>
      <c r="BV4" s="1119"/>
      <c r="BW4" s="1119"/>
      <c r="BX4" s="1119"/>
      <c r="BY4" s="1119"/>
      <c r="BZ4" s="1119"/>
      <c r="CA4" s="1119"/>
      <c r="CB4" s="1119"/>
      <c r="CC4" s="1119"/>
      <c r="CD4" s="1119"/>
      <c r="CE4" s="1119"/>
      <c r="CF4" s="1119"/>
      <c r="CG4" s="1119"/>
      <c r="CH4" s="1119"/>
      <c r="CI4" s="1119"/>
      <c r="CJ4" s="1119"/>
      <c r="CK4" s="1119"/>
      <c r="CL4" s="1119"/>
      <c r="CM4" s="1119"/>
      <c r="CN4" s="1119"/>
      <c r="CO4" s="1119"/>
    </row>
    <row r="5" spans="1:93" ht="15" customHeight="1" x14ac:dyDescent="0.25">
      <c r="E5" s="1120" t="s">
        <v>1656</v>
      </c>
      <c r="F5" s="1381" t="s">
        <v>1657</v>
      </c>
      <c r="G5" s="1382"/>
      <c r="H5" s="1382"/>
      <c r="I5" s="1383"/>
      <c r="J5" s="1121" t="s">
        <v>244</v>
      </c>
      <c r="K5" s="1122" t="s">
        <v>1658</v>
      </c>
      <c r="M5" s="1206" t="s">
        <v>2354</v>
      </c>
    </row>
    <row r="6" spans="1:93" ht="15" customHeight="1" x14ac:dyDescent="0.25">
      <c r="B6" s="218"/>
      <c r="E6" s="1123"/>
      <c r="F6" s="1156"/>
      <c r="G6" s="1125"/>
      <c r="H6" s="1125"/>
      <c r="I6" s="1125"/>
      <c r="J6" s="1125"/>
    </row>
    <row r="7" spans="1:93" ht="15" customHeight="1" collapsed="1" x14ac:dyDescent="0.25">
      <c r="A7" s="217"/>
      <c r="B7" s="1164" t="s">
        <v>825</v>
      </c>
      <c r="C7" s="1165"/>
      <c r="D7" s="1208" t="s">
        <v>826</v>
      </c>
      <c r="E7" s="1168">
        <v>11700</v>
      </c>
      <c r="F7" s="1178" t="s">
        <v>1660</v>
      </c>
      <c r="G7" s="1168" t="s">
        <v>2282</v>
      </c>
      <c r="H7" s="1178" t="s">
        <v>256</v>
      </c>
      <c r="I7" s="1168" t="s">
        <v>2284</v>
      </c>
      <c r="J7" s="246" t="s">
        <v>221</v>
      </c>
      <c r="K7" s="292">
        <v>100</v>
      </c>
    </row>
    <row r="8" spans="1:93" ht="15" hidden="1" customHeight="1" outlineLevel="1" x14ac:dyDescent="0.25">
      <c r="B8" s="1142" t="s">
        <v>827</v>
      </c>
      <c r="C8" s="1143"/>
      <c r="D8" s="1143" t="s">
        <v>828</v>
      </c>
      <c r="E8" s="1146">
        <v>587.41999999999996</v>
      </c>
      <c r="F8" s="1174" t="s">
        <v>125</v>
      </c>
      <c r="G8" s="1108"/>
      <c r="H8" s="1187" t="s">
        <v>125</v>
      </c>
      <c r="I8" s="1108"/>
      <c r="J8" s="1148" t="s">
        <v>186</v>
      </c>
      <c r="K8" s="1" t="s">
        <v>125</v>
      </c>
      <c r="M8" s="1" t="s">
        <v>829</v>
      </c>
    </row>
    <row r="9" spans="1:93" ht="15" hidden="1" customHeight="1" outlineLevel="1" x14ac:dyDescent="0.25">
      <c r="B9" s="1142" t="s">
        <v>830</v>
      </c>
      <c r="C9" s="1143"/>
      <c r="D9" s="1143" t="s">
        <v>831</v>
      </c>
      <c r="E9" s="1146" t="s">
        <v>2190</v>
      </c>
      <c r="F9" s="1174" t="s">
        <v>125</v>
      </c>
      <c r="G9" s="1146"/>
      <c r="H9" s="1174" t="s">
        <v>125</v>
      </c>
      <c r="I9" s="1146"/>
      <c r="J9" s="1148" t="s">
        <v>221</v>
      </c>
      <c r="K9" s="1" t="s">
        <v>125</v>
      </c>
      <c r="M9" s="1" t="s">
        <v>125</v>
      </c>
    </row>
    <row r="10" spans="1:93" ht="15" hidden="1" customHeight="1" outlineLevel="1" x14ac:dyDescent="0.25">
      <c r="B10" s="1142" t="s">
        <v>830</v>
      </c>
      <c r="C10" s="1143"/>
      <c r="D10" s="1143" t="s">
        <v>832</v>
      </c>
      <c r="E10" s="1146">
        <v>122137</v>
      </c>
      <c r="F10" s="1174" t="s">
        <v>1660</v>
      </c>
      <c r="G10" s="1146" t="s">
        <v>2191</v>
      </c>
      <c r="H10" s="1174" t="s">
        <v>125</v>
      </c>
      <c r="I10" s="1146"/>
      <c r="J10" s="1148" t="s">
        <v>221</v>
      </c>
      <c r="K10" s="1" t="s">
        <v>125</v>
      </c>
      <c r="M10" s="1" t="s">
        <v>125</v>
      </c>
    </row>
    <row r="11" spans="1:93" ht="15" hidden="1" customHeight="1" outlineLevel="1" x14ac:dyDescent="0.25">
      <c r="B11" s="1142" t="s">
        <v>830</v>
      </c>
      <c r="C11" s="1143"/>
      <c r="D11" s="1143" t="s">
        <v>833</v>
      </c>
      <c r="E11" s="1146">
        <v>32803</v>
      </c>
      <c r="F11" s="1174" t="s">
        <v>1660</v>
      </c>
      <c r="G11" s="1146" t="s">
        <v>2191</v>
      </c>
      <c r="H11" s="1174" t="s">
        <v>125</v>
      </c>
      <c r="I11" s="1146"/>
      <c r="J11" s="1148" t="s">
        <v>221</v>
      </c>
      <c r="K11" s="1" t="s">
        <v>125</v>
      </c>
      <c r="M11" s="1" t="s">
        <v>125</v>
      </c>
    </row>
    <row r="12" spans="1:93" ht="15" hidden="1" customHeight="1" outlineLevel="1" x14ac:dyDescent="0.25">
      <c r="B12" s="1142" t="s">
        <v>830</v>
      </c>
      <c r="C12" s="1143"/>
      <c r="D12" s="1143" t="s">
        <v>834</v>
      </c>
      <c r="E12" s="1146">
        <v>68043.7</v>
      </c>
      <c r="F12" s="1174" t="s">
        <v>1660</v>
      </c>
      <c r="G12" s="1146" t="s">
        <v>719</v>
      </c>
      <c r="H12" s="1174" t="s">
        <v>125</v>
      </c>
      <c r="I12" s="1146"/>
      <c r="J12" s="1148" t="s">
        <v>304</v>
      </c>
      <c r="K12" s="1" t="s">
        <v>125</v>
      </c>
      <c r="M12" s="1" t="s">
        <v>125</v>
      </c>
    </row>
    <row r="13" spans="1:93" ht="15" hidden="1" customHeight="1" outlineLevel="1" x14ac:dyDescent="0.25">
      <c r="B13" s="1142" t="s">
        <v>830</v>
      </c>
      <c r="C13" s="1143"/>
      <c r="D13" s="1143" t="s">
        <v>835</v>
      </c>
      <c r="E13" s="1146">
        <v>3280.3</v>
      </c>
      <c r="F13" s="1174" t="s">
        <v>1660</v>
      </c>
      <c r="G13" s="1146" t="s">
        <v>2191</v>
      </c>
      <c r="H13" s="1174" t="s">
        <v>125</v>
      </c>
      <c r="I13" s="1146"/>
      <c r="J13" s="1148" t="s">
        <v>836</v>
      </c>
      <c r="K13" s="1" t="s">
        <v>125</v>
      </c>
      <c r="M13" s="1" t="s">
        <v>837</v>
      </c>
    </row>
    <row r="14" spans="1:93" ht="15" hidden="1" customHeight="1" outlineLevel="1" x14ac:dyDescent="0.25">
      <c r="B14" s="1142" t="s">
        <v>830</v>
      </c>
      <c r="C14" s="1143"/>
      <c r="D14" s="1143" t="s">
        <v>838</v>
      </c>
      <c r="E14" s="1146">
        <v>3555</v>
      </c>
      <c r="F14" s="1174" t="s">
        <v>1660</v>
      </c>
      <c r="G14" s="1146" t="s">
        <v>721</v>
      </c>
      <c r="H14" s="1174" t="s">
        <v>125</v>
      </c>
      <c r="I14" s="1146"/>
      <c r="J14" s="1148" t="s">
        <v>223</v>
      </c>
      <c r="K14" s="1" t="s">
        <v>125</v>
      </c>
      <c r="M14" s="1" t="s">
        <v>125</v>
      </c>
    </row>
    <row r="15" spans="1:93" ht="15" hidden="1" customHeight="1" outlineLevel="1" x14ac:dyDescent="0.25">
      <c r="B15" s="1142" t="s">
        <v>839</v>
      </c>
      <c r="C15" s="1143"/>
      <c r="D15" s="1143" t="s">
        <v>840</v>
      </c>
      <c r="E15" s="1146">
        <v>2279.6799999999998</v>
      </c>
      <c r="F15" s="1174" t="s">
        <v>125</v>
      </c>
      <c r="G15" s="1146"/>
      <c r="H15" s="1174" t="s">
        <v>125</v>
      </c>
      <c r="I15" s="1146"/>
      <c r="J15" s="1148" t="s">
        <v>221</v>
      </c>
      <c r="K15" s="1" t="s">
        <v>125</v>
      </c>
      <c r="M15" s="1" t="s">
        <v>841</v>
      </c>
    </row>
    <row r="16" spans="1:93" ht="15" hidden="1" customHeight="1" outlineLevel="1" x14ac:dyDescent="0.25">
      <c r="B16" s="1142" t="s">
        <v>839</v>
      </c>
      <c r="C16" s="1143"/>
      <c r="D16" s="1143" t="s">
        <v>840</v>
      </c>
      <c r="E16" s="1146">
        <v>642.54</v>
      </c>
      <c r="F16" s="1174" t="s">
        <v>125</v>
      </c>
      <c r="G16" s="1146"/>
      <c r="H16" s="1174" t="s">
        <v>125</v>
      </c>
      <c r="I16" s="1146"/>
      <c r="J16" s="1148" t="s">
        <v>221</v>
      </c>
      <c r="K16" s="1" t="s">
        <v>125</v>
      </c>
      <c r="M16" s="1" t="s">
        <v>842</v>
      </c>
    </row>
    <row r="17" spans="1:13" ht="15" hidden="1" customHeight="1" outlineLevel="1" x14ac:dyDescent="0.25">
      <c r="B17" s="1142" t="s">
        <v>839</v>
      </c>
      <c r="C17" s="1143"/>
      <c r="D17" s="1143" t="s">
        <v>843</v>
      </c>
      <c r="E17" s="1146">
        <v>4.25</v>
      </c>
      <c r="F17" s="1174" t="s">
        <v>125</v>
      </c>
      <c r="G17" s="1146"/>
      <c r="H17" s="1174" t="s">
        <v>125</v>
      </c>
      <c r="I17" s="1146"/>
      <c r="J17" s="1148" t="s">
        <v>221</v>
      </c>
      <c r="K17" s="1" t="s">
        <v>125</v>
      </c>
      <c r="M17" s="1" t="s">
        <v>844</v>
      </c>
    </row>
    <row r="18" spans="1:13" ht="15" hidden="1" customHeight="1" outlineLevel="1" x14ac:dyDescent="0.25">
      <c r="B18" s="1142" t="s">
        <v>839</v>
      </c>
      <c r="C18" s="1143"/>
      <c r="D18" s="1143" t="s">
        <v>843</v>
      </c>
      <c r="E18" s="1146">
        <v>5.95</v>
      </c>
      <c r="F18" s="1174" t="s">
        <v>125</v>
      </c>
      <c r="G18" s="1146"/>
      <c r="H18" s="1174" t="s">
        <v>125</v>
      </c>
      <c r="I18" s="1146"/>
      <c r="J18" s="1148" t="s">
        <v>221</v>
      </c>
      <c r="K18" s="1" t="s">
        <v>125</v>
      </c>
      <c r="M18" s="1" t="s">
        <v>845</v>
      </c>
    </row>
    <row r="19" spans="1:13" ht="15" hidden="1" customHeight="1" outlineLevel="1" x14ac:dyDescent="0.25">
      <c r="B19" s="1142" t="s">
        <v>839</v>
      </c>
      <c r="C19" s="1143"/>
      <c r="D19" s="1143" t="s">
        <v>846</v>
      </c>
      <c r="E19" s="1146">
        <v>459.69</v>
      </c>
      <c r="F19" s="1174" t="s">
        <v>125</v>
      </c>
      <c r="G19" s="1146"/>
      <c r="H19" s="1174" t="s">
        <v>125</v>
      </c>
      <c r="I19" s="1146"/>
      <c r="J19" s="1148" t="s">
        <v>221</v>
      </c>
      <c r="K19" s="1" t="s">
        <v>125</v>
      </c>
      <c r="M19" s="1" t="s">
        <v>847</v>
      </c>
    </row>
    <row r="20" spans="1:13" ht="15" hidden="1" customHeight="1" outlineLevel="1" x14ac:dyDescent="0.25">
      <c r="B20" s="1149" t="s">
        <v>839</v>
      </c>
      <c r="C20" s="1150"/>
      <c r="D20" s="1150" t="s">
        <v>848</v>
      </c>
      <c r="E20" s="1158">
        <v>10200</v>
      </c>
      <c r="F20" s="1176" t="s">
        <v>125</v>
      </c>
      <c r="G20" s="1158"/>
      <c r="H20" s="1176" t="s">
        <v>125</v>
      </c>
      <c r="I20" s="1158"/>
      <c r="J20" s="1155" t="s">
        <v>849</v>
      </c>
      <c r="K20" s="1" t="s">
        <v>125</v>
      </c>
      <c r="M20" s="1" t="s">
        <v>125</v>
      </c>
    </row>
    <row r="21" spans="1:13" ht="15" customHeight="1" collapsed="1" x14ac:dyDescent="0.25">
      <c r="D21" s="1159"/>
      <c r="E21" s="672"/>
      <c r="F21" s="1195" t="s">
        <v>125</v>
      </c>
      <c r="G21" s="672"/>
      <c r="H21" s="1195" t="s">
        <v>125</v>
      </c>
      <c r="I21" s="672"/>
      <c r="J21" s="672"/>
    </row>
    <row r="22" spans="1:13" ht="15" customHeight="1" collapsed="1" x14ac:dyDescent="0.25">
      <c r="A22" s="217"/>
      <c r="B22" s="1164" t="s">
        <v>825</v>
      </c>
      <c r="C22" s="1165"/>
      <c r="D22" s="1208" t="s">
        <v>881</v>
      </c>
      <c r="E22" s="1168">
        <v>16.760000000000002</v>
      </c>
      <c r="F22" s="1178" t="s">
        <v>1660</v>
      </c>
      <c r="G22" s="1168" t="s">
        <v>2285</v>
      </c>
      <c r="H22" s="1178" t="s">
        <v>256</v>
      </c>
      <c r="I22" s="1168" t="s">
        <v>2289</v>
      </c>
      <c r="J22" s="246" t="s">
        <v>221</v>
      </c>
      <c r="K22" s="292">
        <v>100</v>
      </c>
    </row>
    <row r="23" spans="1:13" ht="15" hidden="1" customHeight="1" outlineLevel="1" x14ac:dyDescent="0.25">
      <c r="B23" s="1137" t="s">
        <v>827</v>
      </c>
      <c r="C23" s="1143"/>
      <c r="D23" s="1138" t="s">
        <v>850</v>
      </c>
      <c r="E23" s="1163">
        <v>52.14</v>
      </c>
      <c r="F23" s="1196" t="s">
        <v>125</v>
      </c>
      <c r="G23" s="954"/>
      <c r="H23" s="1185" t="s">
        <v>125</v>
      </c>
      <c r="I23" s="954"/>
      <c r="J23" s="955" t="s">
        <v>851</v>
      </c>
      <c r="K23" s="1" t="s">
        <v>125</v>
      </c>
      <c r="M23" s="1" t="s">
        <v>125</v>
      </c>
    </row>
    <row r="24" spans="1:13" ht="15" hidden="1" customHeight="1" outlineLevel="1" x14ac:dyDescent="0.25">
      <c r="B24" s="1142" t="s">
        <v>830</v>
      </c>
      <c r="C24" s="1143"/>
      <c r="D24" s="1143" t="s">
        <v>852</v>
      </c>
      <c r="E24" s="1146">
        <v>7.69</v>
      </c>
      <c r="F24" s="1174" t="s">
        <v>125</v>
      </c>
      <c r="G24" s="1146"/>
      <c r="H24" s="1174" t="s">
        <v>125</v>
      </c>
      <c r="I24" s="1146"/>
      <c r="J24" s="1148" t="s">
        <v>853</v>
      </c>
      <c r="K24" s="1" t="s">
        <v>125</v>
      </c>
      <c r="M24" s="1" t="s">
        <v>854</v>
      </c>
    </row>
    <row r="25" spans="1:13" ht="15" hidden="1" customHeight="1" outlineLevel="1" x14ac:dyDescent="0.25">
      <c r="B25" s="1142" t="s">
        <v>830</v>
      </c>
      <c r="C25" s="1143"/>
      <c r="D25" s="1143" t="s">
        <v>855</v>
      </c>
      <c r="E25" s="1146">
        <v>28.16</v>
      </c>
      <c r="F25" s="1174" t="s">
        <v>125</v>
      </c>
      <c r="G25" s="1146"/>
      <c r="H25" s="1174" t="s">
        <v>125</v>
      </c>
      <c r="I25" s="1146"/>
      <c r="J25" s="1148" t="s">
        <v>221</v>
      </c>
      <c r="K25" s="1" t="s">
        <v>125</v>
      </c>
      <c r="M25" s="1" t="s">
        <v>856</v>
      </c>
    </row>
    <row r="26" spans="1:13" ht="15" hidden="1" customHeight="1" outlineLevel="1" x14ac:dyDescent="0.25">
      <c r="B26" s="1142" t="s">
        <v>830</v>
      </c>
      <c r="C26" s="1143"/>
      <c r="D26" s="1143" t="s">
        <v>835</v>
      </c>
      <c r="E26" s="1146">
        <v>2.82</v>
      </c>
      <c r="F26" s="1174" t="s">
        <v>125</v>
      </c>
      <c r="G26" s="1146"/>
      <c r="H26" s="1174" t="s">
        <v>125</v>
      </c>
      <c r="I26" s="1146"/>
      <c r="J26" s="1148" t="s">
        <v>836</v>
      </c>
      <c r="K26" s="1" t="s">
        <v>125</v>
      </c>
      <c r="M26" s="1" t="s">
        <v>837</v>
      </c>
    </row>
    <row r="27" spans="1:13" ht="15" hidden="1" customHeight="1" outlineLevel="1" x14ac:dyDescent="0.25">
      <c r="B27" s="1142" t="s">
        <v>830</v>
      </c>
      <c r="C27" s="1143"/>
      <c r="D27" s="1143" t="s">
        <v>857</v>
      </c>
      <c r="E27" s="1146">
        <v>0.81899999999999995</v>
      </c>
      <c r="F27" s="1174" t="s">
        <v>1660</v>
      </c>
      <c r="G27" s="1146" t="s">
        <v>721</v>
      </c>
      <c r="H27" s="1174" t="s">
        <v>125</v>
      </c>
      <c r="I27" s="1146"/>
      <c r="J27" s="1148" t="s">
        <v>223</v>
      </c>
      <c r="K27" s="1" t="s">
        <v>125</v>
      </c>
      <c r="M27" s="1" t="s">
        <v>125</v>
      </c>
    </row>
    <row r="28" spans="1:13" ht="15" hidden="1" customHeight="1" outlineLevel="1" x14ac:dyDescent="0.25">
      <c r="B28" s="1142" t="s">
        <v>830</v>
      </c>
      <c r="C28" s="1143"/>
      <c r="D28" s="1143" t="s">
        <v>858</v>
      </c>
      <c r="E28" s="1146">
        <v>19.760000000000002</v>
      </c>
      <c r="F28" s="1174" t="s">
        <v>1660</v>
      </c>
      <c r="G28" s="1146" t="s">
        <v>721</v>
      </c>
      <c r="H28" s="1174" t="s">
        <v>125</v>
      </c>
      <c r="I28" s="1146"/>
      <c r="J28" s="1148" t="s">
        <v>304</v>
      </c>
      <c r="K28" s="1" t="s">
        <v>125</v>
      </c>
      <c r="M28" s="1" t="s">
        <v>125</v>
      </c>
    </row>
    <row r="29" spans="1:13" ht="15" hidden="1" customHeight="1" outlineLevel="1" x14ac:dyDescent="0.25">
      <c r="B29" s="1142" t="s">
        <v>839</v>
      </c>
      <c r="C29" s="1143"/>
      <c r="D29" s="1143" t="s">
        <v>840</v>
      </c>
      <c r="E29" s="1146">
        <v>7.2700000000000004E-3</v>
      </c>
      <c r="F29" s="1174" t="s">
        <v>125</v>
      </c>
      <c r="G29" s="1146"/>
      <c r="H29" s="1174" t="s">
        <v>125</v>
      </c>
      <c r="I29" s="1146"/>
      <c r="J29" s="1148" t="s">
        <v>221</v>
      </c>
      <c r="K29" s="1" t="s">
        <v>125</v>
      </c>
      <c r="M29" s="1" t="s">
        <v>842</v>
      </c>
    </row>
    <row r="30" spans="1:13" ht="15" hidden="1" customHeight="1" outlineLevel="1" x14ac:dyDescent="0.25">
      <c r="B30" s="1142" t="s">
        <v>839</v>
      </c>
      <c r="C30" s="1143"/>
      <c r="D30" s="1143" t="s">
        <v>843</v>
      </c>
      <c r="E30" s="1146">
        <v>6.8000000000000005E-4</v>
      </c>
      <c r="F30" s="1174" t="s">
        <v>125</v>
      </c>
      <c r="G30" s="1146"/>
      <c r="H30" s="1174" t="s">
        <v>125</v>
      </c>
      <c r="I30" s="1146"/>
      <c r="J30" s="1148" t="s">
        <v>221</v>
      </c>
      <c r="K30" s="1" t="s">
        <v>125</v>
      </c>
      <c r="M30" s="1" t="s">
        <v>844</v>
      </c>
    </row>
    <row r="31" spans="1:13" ht="15" hidden="1" customHeight="1" outlineLevel="1" x14ac:dyDescent="0.25">
      <c r="B31" s="1142" t="s">
        <v>839</v>
      </c>
      <c r="C31" s="1143"/>
      <c r="D31" s="1143" t="s">
        <v>843</v>
      </c>
      <c r="E31" s="1146">
        <v>2.8700000000000002E-3</v>
      </c>
      <c r="F31" s="1174" t="s">
        <v>125</v>
      </c>
      <c r="G31" s="1146"/>
      <c r="H31" s="1174" t="s">
        <v>125</v>
      </c>
      <c r="I31" s="1146"/>
      <c r="J31" s="1148" t="s">
        <v>221</v>
      </c>
      <c r="K31" s="1" t="s">
        <v>125</v>
      </c>
      <c r="M31" s="1" t="s">
        <v>845</v>
      </c>
    </row>
    <row r="32" spans="1:13" ht="15" hidden="1" customHeight="1" outlineLevel="1" x14ac:dyDescent="0.25">
      <c r="B32" s="1142" t="s">
        <v>839</v>
      </c>
      <c r="C32" s="1143"/>
      <c r="D32" s="1143" t="s">
        <v>846</v>
      </c>
      <c r="E32" s="1146">
        <v>0.222</v>
      </c>
      <c r="F32" s="1174" t="s">
        <v>125</v>
      </c>
      <c r="G32" s="1146"/>
      <c r="H32" s="1174" t="s">
        <v>125</v>
      </c>
      <c r="I32" s="1146"/>
      <c r="J32" s="1148" t="s">
        <v>221</v>
      </c>
      <c r="K32" s="1" t="s">
        <v>125</v>
      </c>
      <c r="M32" s="1" t="s">
        <v>847</v>
      </c>
    </row>
    <row r="33" spans="1:13" ht="15" hidden="1" customHeight="1" outlineLevel="1" x14ac:dyDescent="0.25">
      <c r="B33" s="1149" t="s">
        <v>839</v>
      </c>
      <c r="C33" s="1150"/>
      <c r="D33" s="1150" t="s">
        <v>848</v>
      </c>
      <c r="E33" s="1158">
        <v>17.88</v>
      </c>
      <c r="F33" s="1176" t="s">
        <v>125</v>
      </c>
      <c r="G33" s="1158"/>
      <c r="H33" s="1176" t="s">
        <v>125</v>
      </c>
      <c r="I33" s="1158"/>
      <c r="J33" s="1155" t="s">
        <v>849</v>
      </c>
      <c r="K33" s="1" t="s">
        <v>125</v>
      </c>
      <c r="M33" s="1" t="s">
        <v>125</v>
      </c>
    </row>
    <row r="34" spans="1:13" ht="15" customHeight="1" collapsed="1" x14ac:dyDescent="0.25">
      <c r="D34" s="1159"/>
      <c r="E34" s="672"/>
      <c r="F34" s="1195" t="s">
        <v>125</v>
      </c>
      <c r="G34" s="672"/>
      <c r="H34" s="1195" t="s">
        <v>125</v>
      </c>
      <c r="I34" s="672"/>
      <c r="J34" s="672"/>
    </row>
    <row r="35" spans="1:13" ht="15" customHeight="1" collapsed="1" x14ac:dyDescent="0.25">
      <c r="A35" s="217"/>
      <c r="B35" s="1164" t="s">
        <v>825</v>
      </c>
      <c r="C35" s="1165"/>
      <c r="D35" s="1210" t="s">
        <v>877</v>
      </c>
      <c r="E35" s="1168">
        <v>2.27</v>
      </c>
      <c r="F35" s="1178" t="s">
        <v>1660</v>
      </c>
      <c r="G35" s="1168" t="s">
        <v>2285</v>
      </c>
      <c r="H35" s="1178" t="s">
        <v>256</v>
      </c>
      <c r="I35" s="1168" t="s">
        <v>2289</v>
      </c>
      <c r="J35" s="246" t="s">
        <v>221</v>
      </c>
      <c r="K35" s="292">
        <v>100</v>
      </c>
    </row>
    <row r="36" spans="1:13" ht="15" hidden="1" customHeight="1" outlineLevel="1" x14ac:dyDescent="0.25">
      <c r="B36" s="1137" t="s">
        <v>827</v>
      </c>
      <c r="C36" s="1143"/>
      <c r="D36" s="1138" t="s">
        <v>850</v>
      </c>
      <c r="E36" s="1163">
        <v>45.34</v>
      </c>
      <c r="F36" s="1196" t="s">
        <v>125</v>
      </c>
      <c r="G36" s="954"/>
      <c r="H36" s="1185" t="s">
        <v>125</v>
      </c>
      <c r="I36" s="954"/>
      <c r="J36" s="955" t="s">
        <v>851</v>
      </c>
      <c r="K36" s="1" t="s">
        <v>125</v>
      </c>
      <c r="M36" s="1" t="s">
        <v>125</v>
      </c>
    </row>
    <row r="37" spans="1:13" ht="15" hidden="1" customHeight="1" outlineLevel="1" x14ac:dyDescent="0.25">
      <c r="B37" s="1142" t="s">
        <v>830</v>
      </c>
      <c r="C37" s="1143"/>
      <c r="D37" s="1143" t="s">
        <v>859</v>
      </c>
      <c r="E37" s="1146">
        <v>22.67</v>
      </c>
      <c r="F37" s="1174" t="s">
        <v>125</v>
      </c>
      <c r="G37" s="1146"/>
      <c r="H37" s="1174" t="s">
        <v>125</v>
      </c>
      <c r="I37" s="1146"/>
      <c r="J37" s="1148" t="s">
        <v>853</v>
      </c>
      <c r="K37" s="1" t="s">
        <v>125</v>
      </c>
      <c r="M37" s="1" t="s">
        <v>878</v>
      </c>
    </row>
    <row r="38" spans="1:13" ht="15" hidden="1" customHeight="1" outlineLevel="1" x14ac:dyDescent="0.25">
      <c r="B38" s="1142" t="s">
        <v>830</v>
      </c>
      <c r="C38" s="1143"/>
      <c r="D38" s="1143" t="s">
        <v>835</v>
      </c>
      <c r="E38" s="1146">
        <v>2.27</v>
      </c>
      <c r="F38" s="1174" t="s">
        <v>125</v>
      </c>
      <c r="G38" s="1146"/>
      <c r="H38" s="1174" t="s">
        <v>125</v>
      </c>
      <c r="I38" s="1146"/>
      <c r="J38" s="1148" t="s">
        <v>221</v>
      </c>
      <c r="K38" s="1" t="s">
        <v>125</v>
      </c>
      <c r="M38" s="1" t="s">
        <v>837</v>
      </c>
    </row>
    <row r="39" spans="1:13" ht="15" hidden="1" customHeight="1" outlineLevel="1" x14ac:dyDescent="0.25">
      <c r="B39" s="1142" t="s">
        <v>830</v>
      </c>
      <c r="C39" s="1143"/>
      <c r="D39" s="1143" t="s">
        <v>857</v>
      </c>
      <c r="E39" s="1146">
        <v>1.59</v>
      </c>
      <c r="F39" s="1174" t="s">
        <v>1660</v>
      </c>
      <c r="G39" s="1146" t="s">
        <v>721</v>
      </c>
      <c r="H39" s="1174" t="s">
        <v>125</v>
      </c>
      <c r="I39" s="1146"/>
      <c r="J39" s="1148" t="s">
        <v>836</v>
      </c>
      <c r="K39" s="1" t="s">
        <v>125</v>
      </c>
      <c r="M39" s="1" t="s">
        <v>125</v>
      </c>
    </row>
    <row r="40" spans="1:13" ht="15" hidden="1" customHeight="1" outlineLevel="1" x14ac:dyDescent="0.25">
      <c r="B40" s="1142" t="s">
        <v>830</v>
      </c>
      <c r="C40" s="1143"/>
      <c r="D40" s="1143" t="s">
        <v>858</v>
      </c>
      <c r="E40" s="1146">
        <v>34.74</v>
      </c>
      <c r="F40" s="1174" t="s">
        <v>1660</v>
      </c>
      <c r="G40" s="1146" t="s">
        <v>721</v>
      </c>
      <c r="H40" s="1174" t="s">
        <v>125</v>
      </c>
      <c r="I40" s="1146"/>
      <c r="J40" s="1148" t="s">
        <v>304</v>
      </c>
      <c r="K40" s="1" t="s">
        <v>125</v>
      </c>
      <c r="M40" s="1" t="s">
        <v>125</v>
      </c>
    </row>
    <row r="41" spans="1:13" ht="15" hidden="1" customHeight="1" outlineLevel="1" x14ac:dyDescent="0.25">
      <c r="B41" s="1142" t="s">
        <v>839</v>
      </c>
      <c r="C41" s="1143"/>
      <c r="D41" s="1143" t="s">
        <v>840</v>
      </c>
      <c r="E41" s="1146">
        <v>1.3899999999999999E-2</v>
      </c>
      <c r="F41" s="1174" t="s">
        <v>125</v>
      </c>
      <c r="G41" s="1146"/>
      <c r="H41" s="1174" t="s">
        <v>125</v>
      </c>
      <c r="I41" s="1146"/>
      <c r="J41" s="1148" t="s">
        <v>221</v>
      </c>
      <c r="K41" s="1" t="s">
        <v>125</v>
      </c>
      <c r="M41" s="1" t="s">
        <v>842</v>
      </c>
    </row>
    <row r="42" spans="1:13" ht="15" hidden="1" customHeight="1" outlineLevel="1" x14ac:dyDescent="0.25">
      <c r="B42" s="1142" t="s">
        <v>839</v>
      </c>
      <c r="C42" s="1143"/>
      <c r="D42" s="1143" t="s">
        <v>843</v>
      </c>
      <c r="E42" s="1146">
        <v>5.6800000000000004E-4</v>
      </c>
      <c r="F42" s="1174" t="s">
        <v>125</v>
      </c>
      <c r="G42" s="1146"/>
      <c r="H42" s="1174" t="s">
        <v>125</v>
      </c>
      <c r="I42" s="1146"/>
      <c r="J42" s="1148" t="s">
        <v>221</v>
      </c>
      <c r="K42" s="1" t="s">
        <v>125</v>
      </c>
      <c r="M42" s="1" t="s">
        <v>844</v>
      </c>
    </row>
    <row r="43" spans="1:13" ht="15" hidden="1" customHeight="1" outlineLevel="1" x14ac:dyDescent="0.25">
      <c r="B43" s="1142" t="s">
        <v>839</v>
      </c>
      <c r="C43" s="1143"/>
      <c r="D43" s="1143" t="s">
        <v>843</v>
      </c>
      <c r="E43" s="1146">
        <v>2.97E-3</v>
      </c>
      <c r="F43" s="1174" t="s">
        <v>125</v>
      </c>
      <c r="G43" s="1146"/>
      <c r="H43" s="1174" t="s">
        <v>125</v>
      </c>
      <c r="I43" s="1146"/>
      <c r="J43" s="1148" t="s">
        <v>221</v>
      </c>
      <c r="K43" s="1" t="s">
        <v>125</v>
      </c>
      <c r="M43" s="1" t="s">
        <v>845</v>
      </c>
    </row>
    <row r="44" spans="1:13" ht="15" hidden="1" customHeight="1" outlineLevel="1" x14ac:dyDescent="0.25">
      <c r="B44" s="1142" t="s">
        <v>839</v>
      </c>
      <c r="C44" s="1143"/>
      <c r="D44" s="1143" t="s">
        <v>846</v>
      </c>
      <c r="E44" s="1146">
        <v>0.23</v>
      </c>
      <c r="F44" s="1174" t="s">
        <v>125</v>
      </c>
      <c r="G44" s="1146"/>
      <c r="H44" s="1174" t="s">
        <v>125</v>
      </c>
      <c r="I44" s="1146"/>
      <c r="J44" s="1148" t="s">
        <v>221</v>
      </c>
      <c r="K44" s="1" t="s">
        <v>125</v>
      </c>
      <c r="M44" s="1" t="s">
        <v>847</v>
      </c>
    </row>
    <row r="45" spans="1:13" ht="15" hidden="1" customHeight="1" outlineLevel="1" x14ac:dyDescent="0.25">
      <c r="B45" s="1149" t="s">
        <v>839</v>
      </c>
      <c r="C45" s="1150"/>
      <c r="D45" s="1150" t="s">
        <v>848</v>
      </c>
      <c r="E45" s="1158">
        <v>22.08</v>
      </c>
      <c r="F45" s="1176" t="s">
        <v>125</v>
      </c>
      <c r="G45" s="1158"/>
      <c r="H45" s="1176" t="s">
        <v>125</v>
      </c>
      <c r="I45" s="1158"/>
      <c r="J45" s="1155" t="s">
        <v>849</v>
      </c>
      <c r="K45" s="1" t="s">
        <v>125</v>
      </c>
      <c r="M45" s="1" t="s">
        <v>125</v>
      </c>
    </row>
    <row r="46" spans="1:13" ht="15" customHeight="1" collapsed="1" x14ac:dyDescent="0.25">
      <c r="D46" s="1159"/>
      <c r="E46" s="672"/>
      <c r="F46" s="1195" t="s">
        <v>125</v>
      </c>
      <c r="G46" s="672"/>
      <c r="H46" s="1195" t="s">
        <v>125</v>
      </c>
      <c r="I46" s="672"/>
      <c r="J46" s="672"/>
    </row>
    <row r="47" spans="1:13" ht="15" customHeight="1" x14ac:dyDescent="0.25">
      <c r="A47" s="217"/>
      <c r="B47" s="1127" t="s">
        <v>825</v>
      </c>
      <c r="C47" s="1128"/>
      <c r="D47" s="1211" t="s">
        <v>880</v>
      </c>
      <c r="E47" s="1130">
        <v>4.1100000000000003</v>
      </c>
      <c r="F47" s="1172" t="s">
        <v>1660</v>
      </c>
      <c r="G47" s="1130" t="s">
        <v>2285</v>
      </c>
      <c r="H47" s="1172" t="s">
        <v>256</v>
      </c>
      <c r="I47" s="1130" t="s">
        <v>2289</v>
      </c>
      <c r="J47" s="208" t="s">
        <v>221</v>
      </c>
      <c r="K47" s="898">
        <v>5.23</v>
      </c>
    </row>
    <row r="48" spans="1:13" ht="15" customHeight="1" x14ac:dyDescent="0.25">
      <c r="A48" s="217"/>
      <c r="B48" s="1183" t="s">
        <v>825</v>
      </c>
      <c r="C48" s="1171"/>
      <c r="D48" s="1212" t="s">
        <v>882</v>
      </c>
      <c r="E48" s="1157">
        <v>0.68700000000000006</v>
      </c>
      <c r="F48" s="1184" t="s">
        <v>1660</v>
      </c>
      <c r="G48" s="1157" t="s">
        <v>2188</v>
      </c>
      <c r="H48" s="1184"/>
      <c r="I48" s="1157"/>
      <c r="J48" s="209" t="s">
        <v>221</v>
      </c>
      <c r="K48" s="534">
        <v>0.16</v>
      </c>
    </row>
    <row r="49" spans="1:13" ht="15" customHeight="1" collapsed="1" x14ac:dyDescent="0.25">
      <c r="A49" s="217"/>
      <c r="B49" s="1132" t="s">
        <v>825</v>
      </c>
      <c r="C49" s="1107"/>
      <c r="D49" s="1209" t="s">
        <v>883</v>
      </c>
      <c r="E49" s="1135">
        <v>10.99</v>
      </c>
      <c r="F49" s="1173" t="s">
        <v>1660</v>
      </c>
      <c r="G49" s="1135" t="s">
        <v>2188</v>
      </c>
      <c r="H49" s="1173"/>
      <c r="I49" s="1135"/>
      <c r="J49" s="211" t="s">
        <v>221</v>
      </c>
      <c r="K49" s="531">
        <v>94.61</v>
      </c>
    </row>
    <row r="50" spans="1:13" ht="15" hidden="1" customHeight="1" outlineLevel="1" x14ac:dyDescent="0.25">
      <c r="B50" s="1137" t="s">
        <v>827</v>
      </c>
      <c r="C50" s="1143"/>
      <c r="D50" s="1138" t="s">
        <v>850</v>
      </c>
      <c r="E50" s="1163">
        <v>111.96</v>
      </c>
      <c r="F50" s="1196"/>
      <c r="G50" s="954"/>
      <c r="H50" s="1185"/>
      <c r="I50" s="954"/>
      <c r="J50" s="955" t="s">
        <v>851</v>
      </c>
      <c r="K50" s="1" t="s">
        <v>125</v>
      </c>
      <c r="M50" s="1" t="s">
        <v>125</v>
      </c>
    </row>
    <row r="51" spans="1:13" ht="15" hidden="1" customHeight="1" outlineLevel="1" x14ac:dyDescent="0.25">
      <c r="B51" s="1142" t="s">
        <v>830</v>
      </c>
      <c r="C51" s="1143"/>
      <c r="D51" s="1143" t="s">
        <v>877</v>
      </c>
      <c r="E51" s="1146">
        <v>1.24</v>
      </c>
      <c r="F51" s="1174"/>
      <c r="G51" s="1146"/>
      <c r="H51" s="1174"/>
      <c r="I51" s="1146"/>
      <c r="J51" s="1148" t="s">
        <v>853</v>
      </c>
      <c r="K51" s="1" t="s">
        <v>125</v>
      </c>
      <c r="M51" s="1" t="s">
        <v>854</v>
      </c>
    </row>
    <row r="52" spans="1:13" ht="15" hidden="1" customHeight="1" outlineLevel="1" x14ac:dyDescent="0.25">
      <c r="B52" s="1142" t="s">
        <v>830</v>
      </c>
      <c r="C52" s="1143"/>
      <c r="D52" s="1143" t="s">
        <v>879</v>
      </c>
      <c r="E52" s="1146">
        <v>55.09</v>
      </c>
      <c r="F52" s="1174"/>
      <c r="G52" s="1146"/>
      <c r="H52" s="1174"/>
      <c r="I52" s="1146"/>
      <c r="J52" s="1148" t="s">
        <v>221</v>
      </c>
      <c r="K52" s="1" t="s">
        <v>125</v>
      </c>
      <c r="M52" s="1" t="s">
        <v>856</v>
      </c>
    </row>
    <row r="53" spans="1:13" ht="15" hidden="1" customHeight="1" outlineLevel="1" x14ac:dyDescent="0.25">
      <c r="B53" s="1142" t="s">
        <v>830</v>
      </c>
      <c r="C53" s="1143"/>
      <c r="D53" s="1143" t="s">
        <v>835</v>
      </c>
      <c r="E53" s="1146">
        <v>5.51</v>
      </c>
      <c r="F53" s="1174"/>
      <c r="G53" s="1146"/>
      <c r="H53" s="1174"/>
      <c r="I53" s="1146"/>
      <c r="J53" s="1148" t="s">
        <v>836</v>
      </c>
      <c r="K53" s="1" t="s">
        <v>125</v>
      </c>
      <c r="M53" s="1" t="s">
        <v>837</v>
      </c>
    </row>
    <row r="54" spans="1:13" ht="15" hidden="1" customHeight="1" outlineLevel="1" x14ac:dyDescent="0.25">
      <c r="B54" s="1142" t="s">
        <v>830</v>
      </c>
      <c r="C54" s="1143"/>
      <c r="D54" s="1143" t="s">
        <v>857</v>
      </c>
      <c r="E54" s="1146">
        <v>4.37</v>
      </c>
      <c r="F54" s="1174" t="s">
        <v>1660</v>
      </c>
      <c r="G54" s="1146" t="s">
        <v>721</v>
      </c>
      <c r="H54" s="1174"/>
      <c r="I54" s="1146"/>
      <c r="J54" s="1148" t="s">
        <v>223</v>
      </c>
      <c r="K54" s="1" t="s">
        <v>125</v>
      </c>
      <c r="M54" s="1" t="s">
        <v>125</v>
      </c>
    </row>
    <row r="55" spans="1:13" ht="15" hidden="1" customHeight="1" outlineLevel="1" x14ac:dyDescent="0.25">
      <c r="B55" s="1142" t="s">
        <v>830</v>
      </c>
      <c r="C55" s="1143"/>
      <c r="D55" s="1143" t="s">
        <v>858</v>
      </c>
      <c r="E55" s="1146">
        <v>9.61</v>
      </c>
      <c r="F55" s="1174" t="s">
        <v>1660</v>
      </c>
      <c r="G55" s="1146" t="s">
        <v>721</v>
      </c>
      <c r="H55" s="1174"/>
      <c r="I55" s="1146"/>
      <c r="J55" s="1148" t="s">
        <v>304</v>
      </c>
      <c r="K55" s="1" t="s">
        <v>125</v>
      </c>
      <c r="M55" s="1" t="s">
        <v>125</v>
      </c>
    </row>
    <row r="56" spans="1:13" ht="15" hidden="1" customHeight="1" outlineLevel="1" x14ac:dyDescent="0.25">
      <c r="B56" s="1142" t="s">
        <v>839</v>
      </c>
      <c r="C56" s="1143"/>
      <c r="D56" s="1143" t="s">
        <v>840</v>
      </c>
      <c r="E56" s="1146">
        <v>3.0599999999999999E-2</v>
      </c>
      <c r="F56" s="1174"/>
      <c r="G56" s="1146"/>
      <c r="H56" s="1174"/>
      <c r="I56" s="1146"/>
      <c r="J56" s="1148" t="s">
        <v>221</v>
      </c>
      <c r="K56" s="1" t="s">
        <v>125</v>
      </c>
      <c r="M56" s="1" t="s">
        <v>842</v>
      </c>
    </row>
    <row r="57" spans="1:13" ht="15" hidden="1" customHeight="1" outlineLevel="1" x14ac:dyDescent="0.25">
      <c r="B57" s="1142" t="s">
        <v>839</v>
      </c>
      <c r="C57" s="1143"/>
      <c r="D57" s="1143" t="s">
        <v>843</v>
      </c>
      <c r="E57" s="1146">
        <v>1.6900000000000001E-3</v>
      </c>
      <c r="F57" s="1174"/>
      <c r="G57" s="1146"/>
      <c r="H57" s="1174"/>
      <c r="I57" s="1146"/>
      <c r="J57" s="1148" t="s">
        <v>221</v>
      </c>
      <c r="K57" s="1" t="s">
        <v>125</v>
      </c>
      <c r="M57" s="1" t="s">
        <v>844</v>
      </c>
    </row>
    <row r="58" spans="1:13" ht="15" hidden="1" customHeight="1" outlineLevel="1" x14ac:dyDescent="0.25">
      <c r="B58" s="1142" t="s">
        <v>839</v>
      </c>
      <c r="C58" s="1143"/>
      <c r="D58" s="1143" t="s">
        <v>843</v>
      </c>
      <c r="E58" s="1146">
        <v>7.8499999999999993E-3</v>
      </c>
      <c r="F58" s="1174"/>
      <c r="G58" s="1146"/>
      <c r="H58" s="1174"/>
      <c r="I58" s="1146"/>
      <c r="J58" s="1148" t="s">
        <v>221</v>
      </c>
      <c r="K58" s="1" t="s">
        <v>125</v>
      </c>
      <c r="M58" s="1" t="s">
        <v>845</v>
      </c>
    </row>
    <row r="59" spans="1:13" ht="15" hidden="1" customHeight="1" outlineLevel="1" x14ac:dyDescent="0.25">
      <c r="B59" s="1142" t="s">
        <v>839</v>
      </c>
      <c r="C59" s="1143"/>
      <c r="D59" s="1143" t="s">
        <v>846</v>
      </c>
      <c r="E59" s="1146">
        <v>0.60699999999999998</v>
      </c>
      <c r="F59" s="1174"/>
      <c r="G59" s="1146"/>
      <c r="H59" s="1174"/>
      <c r="I59" s="1146"/>
      <c r="J59" s="1148" t="s">
        <v>221</v>
      </c>
      <c r="K59" s="1" t="s">
        <v>125</v>
      </c>
      <c r="M59" s="1" t="s">
        <v>847</v>
      </c>
    </row>
    <row r="60" spans="1:13" ht="15" hidden="1" customHeight="1" outlineLevel="1" x14ac:dyDescent="0.25">
      <c r="B60" s="1149" t="s">
        <v>839</v>
      </c>
      <c r="C60" s="1150"/>
      <c r="D60" s="1150" t="s">
        <v>848</v>
      </c>
      <c r="E60" s="1158">
        <v>37.409999999999997</v>
      </c>
      <c r="F60" s="1176"/>
      <c r="G60" s="1158"/>
      <c r="H60" s="1176"/>
      <c r="I60" s="1158"/>
      <c r="J60" s="1155" t="s">
        <v>849</v>
      </c>
      <c r="K60" s="1" t="s">
        <v>125</v>
      </c>
      <c r="M60" s="1" t="s">
        <v>125</v>
      </c>
    </row>
    <row r="61" spans="1:13" ht="15" customHeight="1" collapsed="1" x14ac:dyDescent="0.25">
      <c r="D61" s="1159"/>
      <c r="E61" s="672"/>
      <c r="F61" s="1195" t="s">
        <v>125</v>
      </c>
      <c r="G61" s="672"/>
      <c r="H61" s="1195" t="s">
        <v>125</v>
      </c>
      <c r="I61" s="672"/>
      <c r="J61" s="672"/>
    </row>
    <row r="62" spans="1:13" ht="15" customHeight="1" x14ac:dyDescent="0.25">
      <c r="A62" s="217"/>
      <c r="B62" s="1127" t="s">
        <v>825</v>
      </c>
      <c r="C62" s="1128"/>
      <c r="D62" s="1207" t="s">
        <v>884</v>
      </c>
      <c r="E62" s="1130">
        <v>17.760000000000002</v>
      </c>
      <c r="F62" s="1172" t="s">
        <v>1660</v>
      </c>
      <c r="G62" s="1130" t="s">
        <v>2188</v>
      </c>
      <c r="H62" s="1172" t="s">
        <v>125</v>
      </c>
      <c r="I62" s="1130"/>
      <c r="J62" s="208" t="s">
        <v>221</v>
      </c>
      <c r="K62" s="898">
        <v>98.74</v>
      </c>
    </row>
    <row r="63" spans="1:13" ht="15" customHeight="1" collapsed="1" x14ac:dyDescent="0.25">
      <c r="B63" s="1132" t="s">
        <v>825</v>
      </c>
      <c r="C63" s="1107"/>
      <c r="D63" s="1209" t="s">
        <v>895</v>
      </c>
      <c r="E63" s="1135">
        <v>1.1000000000000001</v>
      </c>
      <c r="F63" s="1173" t="s">
        <v>1660</v>
      </c>
      <c r="G63" s="1135" t="s">
        <v>2285</v>
      </c>
      <c r="H63" s="1173" t="s">
        <v>256</v>
      </c>
      <c r="I63" s="1135" t="s">
        <v>2286</v>
      </c>
      <c r="J63" s="211" t="s">
        <v>221</v>
      </c>
      <c r="K63" s="531">
        <v>1.26</v>
      </c>
    </row>
    <row r="64" spans="1:13" ht="15" hidden="1" customHeight="1" outlineLevel="1" x14ac:dyDescent="0.25">
      <c r="B64" s="1137" t="s">
        <v>827</v>
      </c>
      <c r="C64" s="1143"/>
      <c r="D64" s="1138" t="s">
        <v>850</v>
      </c>
      <c r="E64" s="954">
        <v>60.33</v>
      </c>
      <c r="F64" s="1185" t="s">
        <v>125</v>
      </c>
      <c r="G64" s="1163"/>
      <c r="H64" s="1196" t="s">
        <v>125</v>
      </c>
      <c r="I64" s="954"/>
      <c r="J64" s="955" t="s">
        <v>851</v>
      </c>
      <c r="K64" s="1170"/>
    </row>
    <row r="65" spans="2:13" ht="15" hidden="1" customHeight="1" outlineLevel="1" x14ac:dyDescent="0.25">
      <c r="B65" s="1142" t="s">
        <v>830</v>
      </c>
      <c r="C65" s="1143"/>
      <c r="D65" s="1143" t="s">
        <v>885</v>
      </c>
      <c r="E65" s="1146">
        <v>0.754</v>
      </c>
      <c r="F65" s="1174" t="s">
        <v>125</v>
      </c>
      <c r="G65" s="1146"/>
      <c r="H65" s="1174" t="s">
        <v>125</v>
      </c>
      <c r="I65" s="1146" t="s">
        <v>125</v>
      </c>
      <c r="J65" s="1148" t="s">
        <v>853</v>
      </c>
      <c r="K65" s="1170" t="s">
        <v>125</v>
      </c>
      <c r="M65" s="1" t="s">
        <v>896</v>
      </c>
    </row>
    <row r="66" spans="2:13" ht="15" hidden="1" customHeight="1" outlineLevel="1" x14ac:dyDescent="0.25">
      <c r="B66" s="1142" t="s">
        <v>830</v>
      </c>
      <c r="C66" s="1143"/>
      <c r="D66" s="1143" t="s">
        <v>897</v>
      </c>
      <c r="E66" s="1146">
        <v>37.5</v>
      </c>
      <c r="F66" s="1174" t="s">
        <v>125</v>
      </c>
      <c r="G66" s="1146"/>
      <c r="H66" s="1174" t="s">
        <v>125</v>
      </c>
      <c r="I66" s="1146" t="s">
        <v>125</v>
      </c>
      <c r="J66" s="1148" t="s">
        <v>221</v>
      </c>
      <c r="K66" s="1170" t="s">
        <v>125</v>
      </c>
      <c r="M66" s="1" t="s">
        <v>898</v>
      </c>
    </row>
    <row r="67" spans="2:13" ht="15" hidden="1" customHeight="1" outlineLevel="1" x14ac:dyDescent="0.25">
      <c r="B67" s="1142" t="s">
        <v>830</v>
      </c>
      <c r="C67" s="1143"/>
      <c r="D67" s="1143" t="s">
        <v>835</v>
      </c>
      <c r="E67" s="1146">
        <v>3.75</v>
      </c>
      <c r="F67" s="1174" t="s">
        <v>125</v>
      </c>
      <c r="G67" s="1146"/>
      <c r="H67" s="1174" t="s">
        <v>125</v>
      </c>
      <c r="I67" s="1146" t="s">
        <v>125</v>
      </c>
      <c r="J67" s="1148" t="s">
        <v>836</v>
      </c>
      <c r="K67" s="1170" t="s">
        <v>125</v>
      </c>
      <c r="M67" s="1" t="s">
        <v>837</v>
      </c>
    </row>
    <row r="68" spans="2:13" ht="15" hidden="1" customHeight="1" outlineLevel="1" x14ac:dyDescent="0.25">
      <c r="B68" s="1142" t="s">
        <v>830</v>
      </c>
      <c r="C68" s="1143"/>
      <c r="D68" s="1143" t="s">
        <v>857</v>
      </c>
      <c r="E68" s="1146">
        <v>1.7</v>
      </c>
      <c r="F68" s="1174" t="s">
        <v>1660</v>
      </c>
      <c r="G68" s="1146" t="s">
        <v>721</v>
      </c>
      <c r="H68" s="1174" t="s">
        <v>125</v>
      </c>
      <c r="I68" s="1146" t="s">
        <v>125</v>
      </c>
      <c r="J68" s="1148" t="s">
        <v>223</v>
      </c>
      <c r="K68" s="1170" t="s">
        <v>125</v>
      </c>
    </row>
    <row r="69" spans="2:13" ht="15" hidden="1" customHeight="1" outlineLevel="1" x14ac:dyDescent="0.25">
      <c r="B69" s="1142" t="s">
        <v>839</v>
      </c>
      <c r="C69" s="1143"/>
      <c r="D69" s="1143" t="s">
        <v>840</v>
      </c>
      <c r="E69" s="1146">
        <v>2.3199999999999998E-2</v>
      </c>
      <c r="F69" s="1174" t="s">
        <v>125</v>
      </c>
      <c r="G69" s="1146"/>
      <c r="H69" s="1174" t="s">
        <v>125</v>
      </c>
      <c r="I69" s="1146"/>
      <c r="J69" s="1148" t="s">
        <v>221</v>
      </c>
      <c r="K69" s="1170" t="s">
        <v>125</v>
      </c>
      <c r="M69" s="1" t="s">
        <v>842</v>
      </c>
    </row>
    <row r="70" spans="2:13" ht="15" hidden="1" customHeight="1" outlineLevel="1" x14ac:dyDescent="0.25">
      <c r="B70" s="1142" t="s">
        <v>839</v>
      </c>
      <c r="C70" s="1143"/>
      <c r="D70" s="1143" t="s">
        <v>843</v>
      </c>
      <c r="E70" s="1146">
        <v>1.0499999999999999E-3</v>
      </c>
      <c r="F70" s="1174" t="s">
        <v>125</v>
      </c>
      <c r="G70" s="1146"/>
      <c r="H70" s="1174" t="s">
        <v>125</v>
      </c>
      <c r="I70" s="1146"/>
      <c r="J70" s="1148" t="s">
        <v>221</v>
      </c>
      <c r="K70" s="1170" t="s">
        <v>125</v>
      </c>
      <c r="M70" s="1" t="s">
        <v>844</v>
      </c>
    </row>
    <row r="71" spans="2:13" ht="15" hidden="1" customHeight="1" outlineLevel="1" x14ac:dyDescent="0.25">
      <c r="B71" s="1142" t="s">
        <v>839</v>
      </c>
      <c r="C71" s="1143"/>
      <c r="D71" s="1143" t="s">
        <v>843</v>
      </c>
      <c r="E71" s="1146">
        <v>4.3899999999999998E-3</v>
      </c>
      <c r="F71" s="1174" t="s">
        <v>125</v>
      </c>
      <c r="G71" s="1146"/>
      <c r="H71" s="1174" t="s">
        <v>125</v>
      </c>
      <c r="I71" s="1146"/>
      <c r="J71" s="1148" t="s">
        <v>221</v>
      </c>
      <c r="K71" s="1170" t="s">
        <v>125</v>
      </c>
      <c r="M71" s="1" t="s">
        <v>845</v>
      </c>
    </row>
    <row r="72" spans="2:13" ht="15" hidden="1" customHeight="1" outlineLevel="1" x14ac:dyDescent="0.25">
      <c r="B72" s="1142" t="s">
        <v>839</v>
      </c>
      <c r="C72" s="1143"/>
      <c r="D72" s="1143" t="s">
        <v>846</v>
      </c>
      <c r="E72" s="1146">
        <v>0.33900000000000002</v>
      </c>
      <c r="F72" s="1174" t="s">
        <v>125</v>
      </c>
      <c r="G72" s="1146"/>
      <c r="H72" s="1174" t="s">
        <v>125</v>
      </c>
      <c r="I72" s="1146"/>
      <c r="J72" s="1148" t="s">
        <v>221</v>
      </c>
      <c r="K72" s="1170" t="s">
        <v>125</v>
      </c>
      <c r="M72" s="1" t="s">
        <v>847</v>
      </c>
    </row>
    <row r="73" spans="2:13" ht="15" hidden="1" customHeight="1" outlineLevel="1" x14ac:dyDescent="0.25">
      <c r="B73" s="1149" t="s">
        <v>839</v>
      </c>
      <c r="C73" s="1150"/>
      <c r="D73" s="1150" t="s">
        <v>848</v>
      </c>
      <c r="E73" s="1158">
        <v>18.34</v>
      </c>
      <c r="F73" s="1176" t="s">
        <v>125</v>
      </c>
      <c r="G73" s="1158"/>
      <c r="H73" s="1176" t="s">
        <v>125</v>
      </c>
      <c r="I73" s="1158"/>
      <c r="J73" s="1155" t="s">
        <v>849</v>
      </c>
      <c r="K73" s="1170" t="s">
        <v>125</v>
      </c>
      <c r="M73" s="1" t="s">
        <v>125</v>
      </c>
    </row>
    <row r="75" spans="2:13" ht="15" customHeight="1" x14ac:dyDescent="0.25">
      <c r="B75" s="1127" t="s">
        <v>825</v>
      </c>
      <c r="C75" s="1128"/>
      <c r="D75" s="1211" t="s">
        <v>2356</v>
      </c>
      <c r="E75" s="1130">
        <v>0.40400000000000003</v>
      </c>
      <c r="F75" s="1172" t="s">
        <v>125</v>
      </c>
      <c r="G75" s="1130"/>
      <c r="H75" s="1172" t="s">
        <v>125</v>
      </c>
      <c r="I75" s="1130"/>
      <c r="J75" s="208" t="s">
        <v>221</v>
      </c>
      <c r="K75" s="208">
        <v>94.58</v>
      </c>
    </row>
    <row r="76" spans="2:13" ht="15" customHeight="1" x14ac:dyDescent="0.25">
      <c r="B76" s="1183" t="s">
        <v>825</v>
      </c>
      <c r="C76" s="1171"/>
      <c r="D76" s="1212" t="s">
        <v>2357</v>
      </c>
      <c r="E76" s="1157">
        <v>0.20599999999999999</v>
      </c>
      <c r="F76" s="1184" t="s">
        <v>125</v>
      </c>
      <c r="G76" s="1157"/>
      <c r="H76" s="1184" t="s">
        <v>125</v>
      </c>
      <c r="I76" s="1157"/>
      <c r="J76" s="209" t="s">
        <v>221</v>
      </c>
      <c r="K76" s="209">
        <v>4.82</v>
      </c>
    </row>
    <row r="77" spans="2:13" ht="15" customHeight="1" x14ac:dyDescent="0.25">
      <c r="B77" s="1183" t="s">
        <v>825</v>
      </c>
      <c r="C77" s="1171"/>
      <c r="D77" s="1212" t="s">
        <v>1249</v>
      </c>
      <c r="E77" s="1157">
        <v>0.155</v>
      </c>
      <c r="F77" s="1184" t="s">
        <v>125</v>
      </c>
      <c r="G77" s="1157"/>
      <c r="H77" s="1184" t="s">
        <v>125</v>
      </c>
      <c r="I77" s="1157"/>
      <c r="J77" s="209" t="s">
        <v>221</v>
      </c>
      <c r="K77" s="209">
        <v>0.6</v>
      </c>
    </row>
    <row r="78" spans="2:13" ht="15" customHeight="1" collapsed="1" x14ac:dyDescent="0.25">
      <c r="B78" s="1132" t="s">
        <v>825</v>
      </c>
      <c r="C78" s="1107"/>
      <c r="D78" s="1209" t="s">
        <v>2358</v>
      </c>
      <c r="E78" s="1135">
        <v>0.23599999999999999</v>
      </c>
      <c r="F78" s="1173" t="s">
        <v>125</v>
      </c>
      <c r="G78" s="1135"/>
      <c r="H78" s="1173" t="s">
        <v>125</v>
      </c>
      <c r="I78" s="1135"/>
      <c r="J78" s="211" t="s">
        <v>221</v>
      </c>
      <c r="K78" s="531">
        <v>0</v>
      </c>
    </row>
    <row r="79" spans="2:13" ht="15" hidden="1" customHeight="1" outlineLevel="1" x14ac:dyDescent="0.25">
      <c r="B79" s="1137" t="s">
        <v>827</v>
      </c>
      <c r="C79" s="1138"/>
      <c r="D79" s="1138" t="s">
        <v>850</v>
      </c>
      <c r="E79" s="1163">
        <v>2</v>
      </c>
      <c r="F79" s="1196" t="s">
        <v>125</v>
      </c>
      <c r="G79" s="1163"/>
      <c r="H79" s="1196" t="s">
        <v>125</v>
      </c>
      <c r="I79" s="954"/>
      <c r="J79" s="955" t="s">
        <v>851</v>
      </c>
      <c r="K79" s="1175"/>
    </row>
    <row r="80" spans="2:13" ht="15" hidden="1" customHeight="1" outlineLevel="1" x14ac:dyDescent="0.25">
      <c r="B80" s="1142" t="s">
        <v>830</v>
      </c>
      <c r="C80" s="1143"/>
      <c r="D80" s="1143" t="s">
        <v>956</v>
      </c>
      <c r="E80" s="1146">
        <v>1</v>
      </c>
      <c r="F80" s="1174" t="s">
        <v>125</v>
      </c>
      <c r="G80" s="1146"/>
      <c r="H80" s="1174" t="s">
        <v>125</v>
      </c>
      <c r="I80" s="1146"/>
      <c r="J80" s="1148" t="s">
        <v>221</v>
      </c>
      <c r="K80" s="1175"/>
    </row>
    <row r="81" spans="2:13" ht="15" hidden="1" customHeight="1" outlineLevel="1" x14ac:dyDescent="0.25">
      <c r="B81" s="1142" t="s">
        <v>830</v>
      </c>
      <c r="C81" s="1143"/>
      <c r="D81" s="1143" t="s">
        <v>2187</v>
      </c>
      <c r="E81" s="1146">
        <v>0.1</v>
      </c>
      <c r="F81" s="1174" t="s">
        <v>125</v>
      </c>
      <c r="G81" s="1146"/>
      <c r="H81" s="1174" t="s">
        <v>125</v>
      </c>
      <c r="I81" s="1146"/>
      <c r="J81" s="1148" t="s">
        <v>836</v>
      </c>
      <c r="K81" s="1175"/>
    </row>
    <row r="82" spans="2:13" ht="15" hidden="1" customHeight="1" outlineLevel="1" x14ac:dyDescent="0.25">
      <c r="B82" s="1142" t="s">
        <v>830</v>
      </c>
      <c r="C82" s="1143"/>
      <c r="D82" s="1143" t="s">
        <v>857</v>
      </c>
      <c r="E82" s="1146">
        <v>0.39100000000000001</v>
      </c>
      <c r="F82" s="1174" t="s">
        <v>125</v>
      </c>
      <c r="G82" s="1146"/>
      <c r="H82" s="1174" t="s">
        <v>125</v>
      </c>
      <c r="I82" s="1146"/>
      <c r="J82" s="1148" t="s">
        <v>304</v>
      </c>
      <c r="K82" s="1175"/>
    </row>
    <row r="83" spans="2:13" ht="15" hidden="1" customHeight="1" outlineLevel="1" x14ac:dyDescent="0.25">
      <c r="B83" s="1142" t="s">
        <v>830</v>
      </c>
      <c r="C83" s="1143"/>
      <c r="D83" s="1143" t="s">
        <v>1252</v>
      </c>
      <c r="E83" s="1146">
        <v>0.15</v>
      </c>
      <c r="F83" s="1174" t="s">
        <v>125</v>
      </c>
      <c r="G83" s="1146"/>
      <c r="H83" s="1174" t="s">
        <v>125</v>
      </c>
      <c r="I83" s="1146"/>
      <c r="J83" s="1148" t="s">
        <v>304</v>
      </c>
      <c r="K83" s="1175"/>
    </row>
    <row r="84" spans="2:13" ht="15" hidden="1" customHeight="1" outlineLevel="1" x14ac:dyDescent="0.25">
      <c r="B84" s="1149" t="s">
        <v>1281</v>
      </c>
      <c r="C84" s="1150"/>
      <c r="D84" s="1150" t="s">
        <v>1283</v>
      </c>
      <c r="E84" s="1158">
        <v>2</v>
      </c>
      <c r="F84" s="1176" t="s">
        <v>125</v>
      </c>
      <c r="G84" s="1158"/>
      <c r="H84" s="1176" t="s">
        <v>125</v>
      </c>
      <c r="I84" s="1158"/>
      <c r="J84" s="1155" t="s">
        <v>221</v>
      </c>
      <c r="K84" s="1175"/>
    </row>
    <row r="85" spans="2:13" ht="15" customHeight="1" collapsed="1" x14ac:dyDescent="0.25">
      <c r="E85" s="1157"/>
      <c r="F85" s="1184" t="s">
        <v>125</v>
      </c>
      <c r="G85" s="1125"/>
      <c r="H85" s="1184" t="s">
        <v>125</v>
      </c>
      <c r="I85" s="1125"/>
      <c r="J85" s="1125"/>
    </row>
    <row r="86" spans="2:13" ht="15" customHeight="1" collapsed="1" x14ac:dyDescent="0.25">
      <c r="B86" s="1164" t="s">
        <v>825</v>
      </c>
      <c r="C86" s="1165"/>
      <c r="D86" s="1210" t="s">
        <v>885</v>
      </c>
      <c r="E86" s="1168">
        <v>2.61</v>
      </c>
      <c r="F86" s="1178" t="s">
        <v>1660</v>
      </c>
      <c r="G86" s="1168" t="s">
        <v>2285</v>
      </c>
      <c r="H86" s="1178" t="s">
        <v>256</v>
      </c>
      <c r="I86" s="1168" t="s">
        <v>2286</v>
      </c>
      <c r="J86" s="246" t="s">
        <v>221</v>
      </c>
      <c r="K86" s="292">
        <v>1.26</v>
      </c>
    </row>
    <row r="87" spans="2:13" ht="15" hidden="1" customHeight="1" outlineLevel="1" x14ac:dyDescent="0.25">
      <c r="B87" s="1137" t="s">
        <v>827</v>
      </c>
      <c r="C87" s="1143"/>
      <c r="D87" s="1138" t="s">
        <v>850</v>
      </c>
      <c r="E87" s="954">
        <v>26.07</v>
      </c>
      <c r="F87" s="1185" t="s">
        <v>125</v>
      </c>
      <c r="G87" s="1163"/>
      <c r="H87" s="1196" t="s">
        <v>125</v>
      </c>
      <c r="I87" s="954"/>
      <c r="J87" s="955" t="s">
        <v>851</v>
      </c>
      <c r="K87" s="1170"/>
    </row>
    <row r="88" spans="2:13" ht="15" hidden="1" customHeight="1" outlineLevel="1" x14ac:dyDescent="0.25">
      <c r="B88" s="1142" t="s">
        <v>830</v>
      </c>
      <c r="C88" s="1143"/>
      <c r="D88" s="1143" t="s">
        <v>889</v>
      </c>
      <c r="E88" s="1146">
        <v>13.69</v>
      </c>
      <c r="F88" s="1174" t="s">
        <v>125</v>
      </c>
      <c r="G88" s="1146"/>
      <c r="H88" s="1174" t="s">
        <v>125</v>
      </c>
      <c r="I88" s="1146" t="s">
        <v>125</v>
      </c>
      <c r="J88" s="1148" t="s">
        <v>221</v>
      </c>
      <c r="K88" s="1170" t="s">
        <v>125</v>
      </c>
      <c r="M88" s="1" t="s">
        <v>896</v>
      </c>
    </row>
    <row r="89" spans="2:13" ht="15" hidden="1" customHeight="1" outlineLevel="1" x14ac:dyDescent="0.25">
      <c r="B89" s="1142" t="s">
        <v>830</v>
      </c>
      <c r="C89" s="1143"/>
      <c r="D89" s="1143" t="s">
        <v>835</v>
      </c>
      <c r="E89" s="1146">
        <v>1.37</v>
      </c>
      <c r="F89" s="1174" t="s">
        <v>125</v>
      </c>
      <c r="G89" s="1146"/>
      <c r="H89" s="1174" t="s">
        <v>125</v>
      </c>
      <c r="I89" s="1146" t="s">
        <v>125</v>
      </c>
      <c r="J89" s="1148" t="s">
        <v>836</v>
      </c>
      <c r="K89" s="1170" t="s">
        <v>125</v>
      </c>
      <c r="M89" s="1" t="s">
        <v>898</v>
      </c>
    </row>
    <row r="90" spans="2:13" ht="15" hidden="1" customHeight="1" outlineLevel="1" x14ac:dyDescent="0.25">
      <c r="B90" s="1142" t="s">
        <v>830</v>
      </c>
      <c r="C90" s="1143"/>
      <c r="D90" s="1143" t="s">
        <v>857</v>
      </c>
      <c r="E90" s="1146">
        <v>1.17</v>
      </c>
      <c r="F90" s="1174" t="s">
        <v>1660</v>
      </c>
      <c r="G90" s="1146" t="s">
        <v>721</v>
      </c>
      <c r="H90" s="1174" t="s">
        <v>125</v>
      </c>
      <c r="I90" s="1146" t="s">
        <v>125</v>
      </c>
      <c r="J90" s="1148" t="s">
        <v>223</v>
      </c>
      <c r="K90" s="1170" t="s">
        <v>125</v>
      </c>
      <c r="M90" s="1" t="s">
        <v>837</v>
      </c>
    </row>
    <row r="91" spans="2:13" ht="15" hidden="1" customHeight="1" outlineLevel="1" x14ac:dyDescent="0.25">
      <c r="B91" s="1142" t="s">
        <v>830</v>
      </c>
      <c r="C91" s="1143"/>
      <c r="D91" s="1143" t="s">
        <v>858</v>
      </c>
      <c r="E91" s="1146">
        <v>0.39100000000000001</v>
      </c>
      <c r="F91" s="1174" t="s">
        <v>1660</v>
      </c>
      <c r="G91" s="1146" t="s">
        <v>721</v>
      </c>
      <c r="H91" s="1174" t="s">
        <v>125</v>
      </c>
      <c r="I91" s="1146" t="s">
        <v>125</v>
      </c>
      <c r="J91" s="1148" t="s">
        <v>304</v>
      </c>
      <c r="K91" s="1170" t="s">
        <v>125</v>
      </c>
    </row>
    <row r="92" spans="2:13" ht="15" hidden="1" customHeight="1" outlineLevel="1" x14ac:dyDescent="0.25">
      <c r="B92" s="1142" t="s">
        <v>839</v>
      </c>
      <c r="C92" s="1143"/>
      <c r="D92" s="1143" t="s">
        <v>840</v>
      </c>
      <c r="E92" s="1146">
        <v>8.2500000000000004E-3</v>
      </c>
      <c r="F92" s="1174" t="s">
        <v>125</v>
      </c>
      <c r="G92" s="1146"/>
      <c r="H92" s="1174" t="s">
        <v>125</v>
      </c>
      <c r="I92" s="1146"/>
      <c r="J92" s="1148" t="s">
        <v>221</v>
      </c>
      <c r="K92" s="1170" t="s">
        <v>125</v>
      </c>
      <c r="M92" s="1" t="s">
        <v>842</v>
      </c>
    </row>
    <row r="93" spans="2:13" ht="15" hidden="1" customHeight="1" outlineLevel="1" x14ac:dyDescent="0.25">
      <c r="B93" s="1142" t="s">
        <v>839</v>
      </c>
      <c r="C93" s="1143"/>
      <c r="D93" s="1143" t="s">
        <v>843</v>
      </c>
      <c r="E93" s="1146">
        <v>4.2299999999999998E-4</v>
      </c>
      <c r="F93" s="1174" t="s">
        <v>125</v>
      </c>
      <c r="G93" s="1146"/>
      <c r="H93" s="1174" t="s">
        <v>125</v>
      </c>
      <c r="I93" s="1146"/>
      <c r="J93" s="1148" t="s">
        <v>221</v>
      </c>
      <c r="K93" s="1170" t="s">
        <v>125</v>
      </c>
      <c r="M93" s="1" t="s">
        <v>844</v>
      </c>
    </row>
    <row r="94" spans="2:13" ht="15" hidden="1" customHeight="1" outlineLevel="1" x14ac:dyDescent="0.25">
      <c r="B94" s="1142" t="s">
        <v>839</v>
      </c>
      <c r="C94" s="1143"/>
      <c r="D94" s="1143" t="s">
        <v>843</v>
      </c>
      <c r="E94" s="1146">
        <v>1.8400000000000001E-3</v>
      </c>
      <c r="F94" s="1174" t="s">
        <v>125</v>
      </c>
      <c r="G94" s="1146"/>
      <c r="H94" s="1174" t="s">
        <v>125</v>
      </c>
      <c r="I94" s="1146"/>
      <c r="J94" s="1148" t="s">
        <v>221</v>
      </c>
      <c r="K94" s="1170" t="s">
        <v>125</v>
      </c>
      <c r="M94" s="1" t="s">
        <v>845</v>
      </c>
    </row>
    <row r="95" spans="2:13" ht="15" hidden="1" customHeight="1" outlineLevel="1" x14ac:dyDescent="0.25">
      <c r="B95" s="1142" t="s">
        <v>839</v>
      </c>
      <c r="C95" s="1143"/>
      <c r="D95" s="1143" t="s">
        <v>846</v>
      </c>
      <c r="E95" s="1146">
        <v>0.14199999999999999</v>
      </c>
      <c r="F95" s="1174" t="s">
        <v>125</v>
      </c>
      <c r="G95" s="1146"/>
      <c r="H95" s="1174" t="s">
        <v>125</v>
      </c>
      <c r="I95" s="1146"/>
      <c r="J95" s="1148" t="s">
        <v>221</v>
      </c>
      <c r="K95" s="1170" t="s">
        <v>125</v>
      </c>
      <c r="M95" s="1" t="s">
        <v>847</v>
      </c>
    </row>
    <row r="96" spans="2:13" ht="15" hidden="1" customHeight="1" outlineLevel="1" x14ac:dyDescent="0.25">
      <c r="B96" s="1149" t="s">
        <v>839</v>
      </c>
      <c r="C96" s="1150"/>
      <c r="D96" s="1150" t="s">
        <v>848</v>
      </c>
      <c r="E96" s="1158">
        <v>24.75</v>
      </c>
      <c r="F96" s="1176" t="s">
        <v>125</v>
      </c>
      <c r="G96" s="1158"/>
      <c r="H96" s="1176" t="s">
        <v>125</v>
      </c>
      <c r="I96" s="1158"/>
      <c r="J96" s="1155" t="s">
        <v>849</v>
      </c>
      <c r="K96" s="1170" t="s">
        <v>125</v>
      </c>
      <c r="M96" s="1" t="s">
        <v>125</v>
      </c>
    </row>
    <row r="98" spans="1:13" ht="15" customHeight="1" x14ac:dyDescent="0.25">
      <c r="A98" s="217"/>
      <c r="B98" s="1127" t="s">
        <v>825</v>
      </c>
      <c r="C98" s="1128"/>
      <c r="D98" s="1207" t="s">
        <v>955</v>
      </c>
      <c r="E98" s="1130">
        <v>661972</v>
      </c>
      <c r="F98" s="1172" t="s">
        <v>1660</v>
      </c>
      <c r="G98" s="1130" t="s">
        <v>2157</v>
      </c>
      <c r="H98" s="1172" t="s">
        <v>125</v>
      </c>
      <c r="I98" s="1130"/>
      <c r="J98" s="208" t="s">
        <v>221</v>
      </c>
      <c r="K98" s="208">
        <v>92.15</v>
      </c>
    </row>
    <row r="99" spans="1:13" ht="15" customHeight="1" x14ac:dyDescent="0.25">
      <c r="B99" s="1183" t="s">
        <v>825</v>
      </c>
      <c r="C99" s="1171"/>
      <c r="D99" s="1212" t="s">
        <v>956</v>
      </c>
      <c r="E99" s="1157">
        <v>14431</v>
      </c>
      <c r="F99" s="1184" t="s">
        <v>1660</v>
      </c>
      <c r="G99" s="1157" t="s">
        <v>2282</v>
      </c>
      <c r="H99" s="1184" t="s">
        <v>256</v>
      </c>
      <c r="I99" s="1157" t="s">
        <v>2283</v>
      </c>
      <c r="J99" s="209" t="s">
        <v>221</v>
      </c>
      <c r="K99" s="209">
        <v>5.26</v>
      </c>
    </row>
    <row r="100" spans="1:13" ht="15" customHeight="1" collapsed="1" x14ac:dyDescent="0.25">
      <c r="A100" s="1194"/>
      <c r="B100" s="1132" t="s">
        <v>825</v>
      </c>
      <c r="C100" s="1107"/>
      <c r="D100" s="1209" t="s">
        <v>957</v>
      </c>
      <c r="E100" s="1135">
        <v>1979.3</v>
      </c>
      <c r="F100" s="1173" t="s">
        <v>1660</v>
      </c>
      <c r="G100" s="1135" t="s">
        <v>2282</v>
      </c>
      <c r="H100" s="1173" t="s">
        <v>256</v>
      </c>
      <c r="I100" s="1135" t="s">
        <v>2284</v>
      </c>
      <c r="J100" s="211" t="s">
        <v>221</v>
      </c>
      <c r="K100" s="211">
        <v>2.59</v>
      </c>
    </row>
    <row r="101" spans="1:13" ht="15" hidden="1" customHeight="1" outlineLevel="1" x14ac:dyDescent="0.25">
      <c r="B101" s="1142" t="s">
        <v>827</v>
      </c>
      <c r="C101" s="1143"/>
      <c r="D101" s="1143" t="s">
        <v>850</v>
      </c>
      <c r="E101" s="1146">
        <v>1280000</v>
      </c>
      <c r="F101" s="1174" t="s">
        <v>125</v>
      </c>
      <c r="G101" s="1146"/>
      <c r="H101" s="1174" t="s">
        <v>125</v>
      </c>
      <c r="I101" s="1108"/>
      <c r="J101" s="1148" t="s">
        <v>851</v>
      </c>
      <c r="K101" s="1175" t="s">
        <v>125</v>
      </c>
      <c r="M101" s="1" t="s">
        <v>958</v>
      </c>
    </row>
    <row r="102" spans="1:13" ht="15" hidden="1" customHeight="1" outlineLevel="1" x14ac:dyDescent="0.25">
      <c r="B102" s="1142" t="s">
        <v>827</v>
      </c>
      <c r="C102" s="1143"/>
      <c r="D102" s="1143" t="s">
        <v>850</v>
      </c>
      <c r="E102" s="1146">
        <v>1782.71</v>
      </c>
      <c r="F102" s="1174" t="s">
        <v>125</v>
      </c>
      <c r="G102" s="1146"/>
      <c r="H102" s="1174" t="s">
        <v>125</v>
      </c>
      <c r="I102" s="1146"/>
      <c r="J102" s="1148" t="s">
        <v>186</v>
      </c>
      <c r="K102" s="1175" t="s">
        <v>125</v>
      </c>
      <c r="M102" s="1" t="s">
        <v>829</v>
      </c>
    </row>
    <row r="103" spans="1:13" ht="15" hidden="1" customHeight="1" outlineLevel="1" x14ac:dyDescent="0.25">
      <c r="B103" s="1142" t="s">
        <v>830</v>
      </c>
      <c r="C103" s="1143"/>
      <c r="D103" s="1143" t="s">
        <v>915</v>
      </c>
      <c r="E103" s="1146">
        <v>808637</v>
      </c>
      <c r="F103" s="1174" t="s">
        <v>1660</v>
      </c>
      <c r="G103" s="1146" t="s">
        <v>2158</v>
      </c>
      <c r="H103" s="1174" t="s">
        <v>125</v>
      </c>
      <c r="I103" s="1146"/>
      <c r="J103" s="1148" t="s">
        <v>221</v>
      </c>
      <c r="K103" s="1175" t="s">
        <v>125</v>
      </c>
    </row>
    <row r="104" spans="1:13" ht="15" hidden="1" customHeight="1" outlineLevel="1" x14ac:dyDescent="0.25">
      <c r="B104" s="1142" t="s">
        <v>830</v>
      </c>
      <c r="C104" s="1143"/>
      <c r="D104" s="1143" t="s">
        <v>914</v>
      </c>
      <c r="E104" s="1146">
        <v>575619</v>
      </c>
      <c r="F104" s="1174" t="s">
        <v>1660</v>
      </c>
      <c r="G104" s="1146" t="s">
        <v>2158</v>
      </c>
      <c r="H104" s="1174" t="s">
        <v>125</v>
      </c>
      <c r="I104" s="1146"/>
      <c r="J104" s="1148" t="s">
        <v>221</v>
      </c>
      <c r="K104" s="1175" t="s">
        <v>125</v>
      </c>
    </row>
    <row r="105" spans="1:13" ht="15" hidden="1" customHeight="1" outlineLevel="1" x14ac:dyDescent="0.25">
      <c r="B105" s="1142" t="s">
        <v>830</v>
      </c>
      <c r="C105" s="1143"/>
      <c r="D105" s="1143" t="s">
        <v>959</v>
      </c>
      <c r="E105" s="1146">
        <v>498482</v>
      </c>
      <c r="F105" s="1174" t="s">
        <v>1660</v>
      </c>
      <c r="G105" s="1146" t="s">
        <v>2158</v>
      </c>
      <c r="H105" s="1174" t="s">
        <v>125</v>
      </c>
      <c r="I105" s="1146"/>
      <c r="J105" s="1148" t="s">
        <v>221</v>
      </c>
      <c r="K105" s="1175" t="s">
        <v>125</v>
      </c>
    </row>
    <row r="106" spans="1:13" ht="15" hidden="1" customHeight="1" outlineLevel="1" x14ac:dyDescent="0.25">
      <c r="B106" s="1142" t="s">
        <v>830</v>
      </c>
      <c r="C106" s="1143"/>
      <c r="D106" s="1143" t="s">
        <v>901</v>
      </c>
      <c r="E106" s="1146">
        <v>158459</v>
      </c>
      <c r="F106" s="1174" t="s">
        <v>1660</v>
      </c>
      <c r="G106" s="1146" t="s">
        <v>2158</v>
      </c>
      <c r="H106" s="1174" t="s">
        <v>125</v>
      </c>
      <c r="I106" s="1146"/>
      <c r="J106" s="1148" t="s">
        <v>221</v>
      </c>
      <c r="K106" s="1175" t="s">
        <v>125</v>
      </c>
    </row>
    <row r="107" spans="1:13" ht="15" hidden="1" customHeight="1" outlineLevel="1" x14ac:dyDescent="0.25">
      <c r="B107" s="1142" t="s">
        <v>830</v>
      </c>
      <c r="C107" s="1143"/>
      <c r="D107" s="1143" t="s">
        <v>908</v>
      </c>
      <c r="E107" s="1146">
        <v>69353</v>
      </c>
      <c r="F107" s="1174" t="s">
        <v>1660</v>
      </c>
      <c r="G107" s="1146" t="s">
        <v>2158</v>
      </c>
      <c r="H107" s="1174" t="s">
        <v>125</v>
      </c>
      <c r="I107" s="1146"/>
      <c r="J107" s="1148" t="s">
        <v>221</v>
      </c>
      <c r="K107" s="1175" t="s">
        <v>125</v>
      </c>
    </row>
    <row r="108" spans="1:13" ht="15" hidden="1" customHeight="1" outlineLevel="1" x14ac:dyDescent="0.25">
      <c r="B108" s="1142" t="s">
        <v>830</v>
      </c>
      <c r="C108" s="1143"/>
      <c r="D108" s="1143" t="s">
        <v>835</v>
      </c>
      <c r="E108" s="1146">
        <v>22781.200000000001</v>
      </c>
      <c r="F108" s="1174" t="s">
        <v>1660</v>
      </c>
      <c r="G108" s="1146" t="s">
        <v>2158</v>
      </c>
      <c r="H108" s="1174" t="s">
        <v>125</v>
      </c>
      <c r="I108" s="1146"/>
      <c r="J108" s="1148" t="s">
        <v>836</v>
      </c>
      <c r="K108" s="1175" t="s">
        <v>125</v>
      </c>
      <c r="M108" s="1" t="s">
        <v>837</v>
      </c>
    </row>
    <row r="109" spans="1:13" ht="15" hidden="1" customHeight="1" outlineLevel="1" x14ac:dyDescent="0.25">
      <c r="B109" s="1142" t="s">
        <v>830</v>
      </c>
      <c r="C109" s="1143"/>
      <c r="D109" s="1143" t="s">
        <v>857</v>
      </c>
      <c r="E109" s="1146">
        <v>38300</v>
      </c>
      <c r="F109" s="1174" t="s">
        <v>1660</v>
      </c>
      <c r="G109" s="1146" t="s">
        <v>721</v>
      </c>
      <c r="H109" s="1174" t="s">
        <v>125</v>
      </c>
      <c r="I109" s="1146"/>
      <c r="J109" s="1148" t="s">
        <v>223</v>
      </c>
      <c r="K109" s="1175" t="s">
        <v>125</v>
      </c>
      <c r="M109" s="1" t="s">
        <v>125</v>
      </c>
    </row>
    <row r="110" spans="1:13" ht="15" hidden="1" customHeight="1" outlineLevel="1" x14ac:dyDescent="0.25">
      <c r="B110" s="1142" t="s">
        <v>830</v>
      </c>
      <c r="C110" s="1143"/>
      <c r="D110" s="1143" t="s">
        <v>858</v>
      </c>
      <c r="E110" s="1146">
        <v>37980</v>
      </c>
      <c r="F110" s="1174" t="s">
        <v>1660</v>
      </c>
      <c r="G110" s="1146" t="s">
        <v>721</v>
      </c>
      <c r="H110" s="1174" t="s">
        <v>125</v>
      </c>
      <c r="I110" s="1146"/>
      <c r="J110" s="1148" t="s">
        <v>304</v>
      </c>
      <c r="K110" s="1175" t="s">
        <v>125</v>
      </c>
      <c r="M110" s="1" t="s">
        <v>125</v>
      </c>
    </row>
    <row r="111" spans="1:13" ht="15" hidden="1" customHeight="1" outlineLevel="1" x14ac:dyDescent="0.25">
      <c r="B111" s="1142" t="s">
        <v>839</v>
      </c>
      <c r="C111" s="1143"/>
      <c r="D111" s="1143" t="s">
        <v>840</v>
      </c>
      <c r="E111" s="1146">
        <v>13457.07</v>
      </c>
      <c r="F111" s="1174" t="s">
        <v>125</v>
      </c>
      <c r="G111" s="1146"/>
      <c r="H111" s="1174" t="s">
        <v>125</v>
      </c>
      <c r="I111" s="1146"/>
      <c r="J111" s="1148" t="s">
        <v>221</v>
      </c>
      <c r="K111" s="1175" t="s">
        <v>125</v>
      </c>
      <c r="M111" s="1" t="s">
        <v>841</v>
      </c>
    </row>
    <row r="112" spans="1:13" ht="15" hidden="1" customHeight="1" outlineLevel="1" x14ac:dyDescent="0.25">
      <c r="B112" s="1142" t="s">
        <v>839</v>
      </c>
      <c r="C112" s="1143"/>
      <c r="D112" s="1143" t="s">
        <v>840</v>
      </c>
      <c r="E112" s="1146">
        <v>4746.9399999999996</v>
      </c>
      <c r="F112" s="1174" t="s">
        <v>125</v>
      </c>
      <c r="G112" s="1146"/>
      <c r="H112" s="1174" t="s">
        <v>125</v>
      </c>
      <c r="I112" s="1146"/>
      <c r="J112" s="1148" t="s">
        <v>221</v>
      </c>
      <c r="K112" s="1175" t="s">
        <v>125</v>
      </c>
      <c r="M112" s="1" t="s">
        <v>842</v>
      </c>
    </row>
    <row r="113" spans="1:13" ht="15" hidden="1" customHeight="1" outlineLevel="1" x14ac:dyDescent="0.25">
      <c r="B113" s="1142" t="s">
        <v>839</v>
      </c>
      <c r="C113" s="1143"/>
      <c r="D113" s="1143" t="s">
        <v>843</v>
      </c>
      <c r="E113" s="1146">
        <v>38.76</v>
      </c>
      <c r="F113" s="1174" t="s">
        <v>125</v>
      </c>
      <c r="G113" s="1146"/>
      <c r="H113" s="1174" t="s">
        <v>125</v>
      </c>
      <c r="I113" s="1146"/>
      <c r="J113" s="1148" t="s">
        <v>221</v>
      </c>
      <c r="K113" s="1175" t="s">
        <v>125</v>
      </c>
      <c r="M113" s="1" t="s">
        <v>844</v>
      </c>
    </row>
    <row r="114" spans="1:13" ht="15" hidden="1" customHeight="1" outlineLevel="1" x14ac:dyDescent="0.25">
      <c r="B114" s="1142" t="s">
        <v>839</v>
      </c>
      <c r="C114" s="1143"/>
      <c r="D114" s="1143" t="s">
        <v>843</v>
      </c>
      <c r="E114" s="1146">
        <v>54.27</v>
      </c>
      <c r="F114" s="1174" t="s">
        <v>125</v>
      </c>
      <c r="G114" s="1146"/>
      <c r="H114" s="1174" t="s">
        <v>125</v>
      </c>
      <c r="I114" s="1146"/>
      <c r="J114" s="1148" t="s">
        <v>221</v>
      </c>
      <c r="K114" s="1175" t="s">
        <v>125</v>
      </c>
      <c r="M114" s="1" t="s">
        <v>845</v>
      </c>
    </row>
    <row r="115" spans="1:13" ht="15" hidden="1" customHeight="1" outlineLevel="1" x14ac:dyDescent="0.25">
      <c r="B115" s="1142" t="s">
        <v>839</v>
      </c>
      <c r="C115" s="1143"/>
      <c r="D115" s="1143" t="s">
        <v>846</v>
      </c>
      <c r="E115" s="1146">
        <v>4193.49</v>
      </c>
      <c r="F115" s="1174" t="s">
        <v>125</v>
      </c>
      <c r="G115" s="1146"/>
      <c r="H115" s="1174" t="s">
        <v>125</v>
      </c>
      <c r="I115" s="1146"/>
      <c r="J115" s="1148" t="s">
        <v>221</v>
      </c>
      <c r="K115" s="1175" t="s">
        <v>125</v>
      </c>
      <c r="M115" s="1" t="s">
        <v>847</v>
      </c>
    </row>
    <row r="116" spans="1:13" ht="15" hidden="1" customHeight="1" outlineLevel="1" x14ac:dyDescent="0.25">
      <c r="B116" s="1142" t="s">
        <v>839</v>
      </c>
      <c r="C116" s="1143"/>
      <c r="D116" s="1143" t="s">
        <v>848</v>
      </c>
      <c r="E116" s="1146">
        <v>12231.6</v>
      </c>
      <c r="F116" s="1174" t="s">
        <v>125</v>
      </c>
      <c r="G116" s="1146"/>
      <c r="H116" s="1174" t="s">
        <v>125</v>
      </c>
      <c r="I116" s="1146"/>
      <c r="J116" s="1148" t="s">
        <v>849</v>
      </c>
      <c r="K116" s="1175" t="s">
        <v>125</v>
      </c>
      <c r="M116" s="1" t="s">
        <v>125</v>
      </c>
    </row>
    <row r="117" spans="1:13" ht="15" hidden="1" customHeight="1" outlineLevel="1" x14ac:dyDescent="0.25">
      <c r="B117" s="1142" t="s">
        <v>839</v>
      </c>
      <c r="C117" s="1143"/>
      <c r="D117" s="1143" t="s">
        <v>925</v>
      </c>
      <c r="E117" s="1146">
        <v>5425.8</v>
      </c>
      <c r="F117" s="1174" t="s">
        <v>125</v>
      </c>
      <c r="G117" s="1146"/>
      <c r="H117" s="1174" t="s">
        <v>125</v>
      </c>
      <c r="I117" s="1146"/>
      <c r="J117" s="1148" t="s">
        <v>221</v>
      </c>
      <c r="K117" s="1175" t="s">
        <v>125</v>
      </c>
      <c r="M117" s="1" t="s">
        <v>960</v>
      </c>
    </row>
    <row r="118" spans="1:13" ht="15" hidden="1" customHeight="1" outlineLevel="1" x14ac:dyDescent="0.25">
      <c r="B118" s="1149" t="s">
        <v>839</v>
      </c>
      <c r="C118" s="1150"/>
      <c r="D118" s="1150" t="s">
        <v>843</v>
      </c>
      <c r="E118" s="1158">
        <v>74.38</v>
      </c>
      <c r="F118" s="1176" t="s">
        <v>125</v>
      </c>
      <c r="G118" s="1158"/>
      <c r="H118" s="1176" t="s">
        <v>125</v>
      </c>
      <c r="I118" s="1158"/>
      <c r="J118" s="1155" t="s">
        <v>221</v>
      </c>
      <c r="K118" s="1175" t="s">
        <v>125</v>
      </c>
      <c r="M118" s="1" t="s">
        <v>961</v>
      </c>
    </row>
    <row r="120" spans="1:13" ht="15" customHeight="1" collapsed="1" x14ac:dyDescent="0.25">
      <c r="A120" s="217"/>
      <c r="B120" s="1164" t="s">
        <v>825</v>
      </c>
      <c r="C120" s="1165"/>
      <c r="D120" s="1210" t="s">
        <v>852</v>
      </c>
      <c r="E120" s="1168">
        <v>800</v>
      </c>
      <c r="F120" s="1178" t="s">
        <v>1660</v>
      </c>
      <c r="G120" s="1168" t="s">
        <v>2285</v>
      </c>
      <c r="H120" s="1178"/>
      <c r="I120" s="1168"/>
      <c r="J120" s="246" t="s">
        <v>221</v>
      </c>
      <c r="K120" s="292">
        <v>100</v>
      </c>
    </row>
    <row r="121" spans="1:13" ht="15" hidden="1" customHeight="1" outlineLevel="1" x14ac:dyDescent="0.25">
      <c r="B121" s="1137" t="s">
        <v>827</v>
      </c>
      <c r="C121" s="1143"/>
      <c r="D121" s="1138" t="s">
        <v>850</v>
      </c>
      <c r="E121" s="1163">
        <v>61.5</v>
      </c>
      <c r="F121" s="1196" t="s">
        <v>125</v>
      </c>
      <c r="G121" s="954"/>
      <c r="H121" s="1185" t="s">
        <v>125</v>
      </c>
      <c r="I121" s="954"/>
      <c r="J121" s="955" t="s">
        <v>221</v>
      </c>
      <c r="K121" s="1" t="s">
        <v>125</v>
      </c>
      <c r="M121" s="1" t="s">
        <v>125</v>
      </c>
    </row>
    <row r="122" spans="1:13" ht="15" hidden="1" customHeight="1" outlineLevel="1" x14ac:dyDescent="0.25">
      <c r="B122" s="1149" t="s">
        <v>839</v>
      </c>
      <c r="C122" s="1150"/>
      <c r="D122" s="1150" t="s">
        <v>848</v>
      </c>
      <c r="E122" s="1158">
        <v>426.04</v>
      </c>
      <c r="F122" s="1176" t="s">
        <v>1660</v>
      </c>
      <c r="G122" s="1158" t="s">
        <v>721</v>
      </c>
      <c r="H122" s="1176" t="s">
        <v>125</v>
      </c>
      <c r="I122" s="1158"/>
      <c r="J122" s="1155" t="s">
        <v>304</v>
      </c>
      <c r="K122" s="1" t="s">
        <v>125</v>
      </c>
      <c r="M122" s="1" t="s">
        <v>125</v>
      </c>
    </row>
    <row r="123" spans="1:13" ht="15" customHeight="1" collapsed="1" x14ac:dyDescent="0.25">
      <c r="D123" s="1159"/>
      <c r="E123" s="672"/>
      <c r="F123" s="1195" t="s">
        <v>125</v>
      </c>
      <c r="G123" s="672"/>
      <c r="H123" s="1195" t="s">
        <v>125</v>
      </c>
      <c r="I123" s="672"/>
      <c r="J123" s="672"/>
    </row>
    <row r="124" spans="1:13" ht="15" customHeight="1" collapsed="1" x14ac:dyDescent="0.25">
      <c r="A124" s="217"/>
      <c r="B124" s="1164" t="s">
        <v>825</v>
      </c>
      <c r="C124" s="1165"/>
      <c r="D124" s="1208" t="s">
        <v>966</v>
      </c>
      <c r="E124" s="1168">
        <v>370.52</v>
      </c>
      <c r="F124" s="1178" t="s">
        <v>1660</v>
      </c>
      <c r="G124" s="1168" t="s">
        <v>2287</v>
      </c>
      <c r="H124" s="1178" t="s">
        <v>256</v>
      </c>
      <c r="I124" s="1168" t="s">
        <v>2288</v>
      </c>
      <c r="J124" s="246" t="s">
        <v>221</v>
      </c>
      <c r="K124" s="292">
        <v>100</v>
      </c>
    </row>
    <row r="125" spans="1:13" ht="15" hidden="1" customHeight="1" outlineLevel="1" x14ac:dyDescent="0.25">
      <c r="B125" s="1142" t="s">
        <v>827</v>
      </c>
      <c r="C125" s="1143"/>
      <c r="D125" s="1143" t="s">
        <v>850</v>
      </c>
      <c r="E125" s="1146">
        <v>3179</v>
      </c>
      <c r="F125" s="1174" t="s">
        <v>125</v>
      </c>
      <c r="G125" s="1108"/>
      <c r="H125" s="1187" t="s">
        <v>125</v>
      </c>
      <c r="I125" s="1108"/>
      <c r="J125" s="1148" t="s">
        <v>851</v>
      </c>
      <c r="K125" s="1" t="s">
        <v>125</v>
      </c>
      <c r="M125" s="1" t="s">
        <v>2189</v>
      </c>
    </row>
    <row r="126" spans="1:13" ht="15" hidden="1" customHeight="1" outlineLevel="1" x14ac:dyDescent="0.25">
      <c r="B126" s="1142" t="s">
        <v>830</v>
      </c>
      <c r="C126" s="1143"/>
      <c r="D126" s="1143" t="s">
        <v>967</v>
      </c>
      <c r="E126" s="1146">
        <v>78.81</v>
      </c>
      <c r="F126" s="1174" t="s">
        <v>125</v>
      </c>
      <c r="G126" s="1146"/>
      <c r="H126" s="1174" t="s">
        <v>125</v>
      </c>
      <c r="I126" s="1146"/>
      <c r="J126" s="1148" t="s">
        <v>221</v>
      </c>
      <c r="K126" s="1" t="s">
        <v>125</v>
      </c>
      <c r="M126" s="1" t="s">
        <v>968</v>
      </c>
    </row>
    <row r="127" spans="1:13" ht="15" hidden="1" customHeight="1" outlineLevel="1" x14ac:dyDescent="0.25">
      <c r="B127" s="1142" t="s">
        <v>830</v>
      </c>
      <c r="C127" s="1143"/>
      <c r="D127" s="1143" t="s">
        <v>962</v>
      </c>
      <c r="E127" s="1146">
        <v>763</v>
      </c>
      <c r="F127" s="1174" t="s">
        <v>125</v>
      </c>
      <c r="G127" s="1146"/>
      <c r="H127" s="1174" t="s">
        <v>125</v>
      </c>
      <c r="I127" s="1146"/>
      <c r="J127" s="1148" t="s">
        <v>221</v>
      </c>
      <c r="K127" s="1" t="s">
        <v>125</v>
      </c>
      <c r="M127" s="1" t="s">
        <v>969</v>
      </c>
    </row>
    <row r="128" spans="1:13" ht="15" hidden="1" customHeight="1" outlineLevel="1" x14ac:dyDescent="0.25">
      <c r="B128" s="1142" t="s">
        <v>830</v>
      </c>
      <c r="C128" s="1143"/>
      <c r="D128" s="1143" t="s">
        <v>835</v>
      </c>
      <c r="E128" s="1146">
        <v>76.3</v>
      </c>
      <c r="F128" s="1174" t="s">
        <v>125</v>
      </c>
      <c r="G128" s="1146"/>
      <c r="H128" s="1174" t="s">
        <v>125</v>
      </c>
      <c r="I128" s="1146"/>
      <c r="J128" s="1148" t="s">
        <v>836</v>
      </c>
      <c r="K128" s="1" t="s">
        <v>125</v>
      </c>
      <c r="M128" s="1" t="s">
        <v>970</v>
      </c>
    </row>
    <row r="129" spans="2:13" ht="15" hidden="1" customHeight="1" outlineLevel="1" x14ac:dyDescent="0.25">
      <c r="B129" s="1142" t="s">
        <v>830</v>
      </c>
      <c r="C129" s="1143"/>
      <c r="D129" s="1143" t="s">
        <v>857</v>
      </c>
      <c r="E129" s="1146">
        <v>5</v>
      </c>
      <c r="F129" s="1174" t="s">
        <v>1660</v>
      </c>
      <c r="G129" s="1146" t="s">
        <v>721</v>
      </c>
      <c r="H129" s="1174" t="s">
        <v>125</v>
      </c>
      <c r="I129" s="1146"/>
      <c r="J129" s="1148" t="s">
        <v>223</v>
      </c>
      <c r="K129" s="1" t="s">
        <v>125</v>
      </c>
    </row>
    <row r="130" spans="2:13" ht="15" hidden="1" customHeight="1" outlineLevel="1" x14ac:dyDescent="0.25">
      <c r="B130" s="1142" t="s">
        <v>830</v>
      </c>
      <c r="C130" s="1143"/>
      <c r="D130" s="1143" t="s">
        <v>858</v>
      </c>
      <c r="E130" s="1146">
        <v>36.799999999999997</v>
      </c>
      <c r="F130" s="1174" t="s">
        <v>1660</v>
      </c>
      <c r="G130" s="1146" t="s">
        <v>721</v>
      </c>
      <c r="H130" s="1174" t="s">
        <v>125</v>
      </c>
      <c r="I130" s="1146"/>
      <c r="J130" s="1148" t="s">
        <v>304</v>
      </c>
      <c r="K130" s="1" t="s">
        <v>125</v>
      </c>
    </row>
    <row r="131" spans="2:13" ht="15" hidden="1" customHeight="1" outlineLevel="1" x14ac:dyDescent="0.25">
      <c r="B131" s="1142" t="s">
        <v>839</v>
      </c>
      <c r="C131" s="1143"/>
      <c r="D131" s="1143" t="s">
        <v>840</v>
      </c>
      <c r="E131" s="1146">
        <v>5.37</v>
      </c>
      <c r="F131" s="1174" t="s">
        <v>125</v>
      </c>
      <c r="G131" s="1146"/>
      <c r="H131" s="1174" t="s">
        <v>125</v>
      </c>
      <c r="I131" s="1146"/>
      <c r="J131" s="1148" t="s">
        <v>221</v>
      </c>
      <c r="K131" s="1" t="s">
        <v>125</v>
      </c>
      <c r="M131" s="1" t="s">
        <v>842</v>
      </c>
    </row>
    <row r="132" spans="2:13" ht="15" hidden="1" customHeight="1" outlineLevel="1" x14ac:dyDescent="0.25">
      <c r="B132" s="1142" t="s">
        <v>839</v>
      </c>
      <c r="C132" s="1143"/>
      <c r="D132" s="1143" t="s">
        <v>840</v>
      </c>
      <c r="E132" s="1146">
        <v>1.5</v>
      </c>
      <c r="F132" s="1174" t="s">
        <v>125</v>
      </c>
      <c r="G132" s="1146"/>
      <c r="H132" s="1174" t="s">
        <v>125</v>
      </c>
      <c r="I132" s="1146"/>
      <c r="J132" s="1148" t="s">
        <v>221</v>
      </c>
      <c r="K132" s="1" t="s">
        <v>125</v>
      </c>
      <c r="M132" s="1" t="s">
        <v>841</v>
      </c>
    </row>
    <row r="133" spans="2:13" ht="15" hidden="1" customHeight="1" outlineLevel="1" x14ac:dyDescent="0.25">
      <c r="B133" s="1142" t="s">
        <v>839</v>
      </c>
      <c r="C133" s="1143"/>
      <c r="D133" s="1143" t="s">
        <v>843</v>
      </c>
      <c r="E133" s="1146">
        <v>9.8199999999999996E-2</v>
      </c>
      <c r="F133" s="1174" t="s">
        <v>125</v>
      </c>
      <c r="G133" s="1146"/>
      <c r="H133" s="1174" t="s">
        <v>125</v>
      </c>
      <c r="I133" s="1146"/>
      <c r="J133" s="1148" t="s">
        <v>221</v>
      </c>
      <c r="K133" s="1" t="s">
        <v>125</v>
      </c>
      <c r="M133" s="1" t="s">
        <v>844</v>
      </c>
    </row>
    <row r="134" spans="2:13" ht="15" hidden="1" customHeight="1" outlineLevel="1" x14ac:dyDescent="0.25">
      <c r="B134" s="1142" t="s">
        <v>839</v>
      </c>
      <c r="C134" s="1143"/>
      <c r="D134" s="1143" t="s">
        <v>843</v>
      </c>
      <c r="E134" s="1146">
        <v>6.3500000000000001E-2</v>
      </c>
      <c r="F134" s="1174" t="s">
        <v>125</v>
      </c>
      <c r="G134" s="1146"/>
      <c r="H134" s="1174" t="s">
        <v>125</v>
      </c>
      <c r="I134" s="1146"/>
      <c r="J134" s="1148" t="s">
        <v>221</v>
      </c>
      <c r="K134" s="1" t="s">
        <v>125</v>
      </c>
      <c r="M134" s="1" t="s">
        <v>845</v>
      </c>
    </row>
    <row r="135" spans="2:13" ht="15" hidden="1" customHeight="1" outlineLevel="1" x14ac:dyDescent="0.25">
      <c r="B135" s="1142" t="s">
        <v>839</v>
      </c>
      <c r="C135" s="1143"/>
      <c r="D135" s="1143" t="s">
        <v>846</v>
      </c>
      <c r="E135" s="1146">
        <v>4.9000000000000004</v>
      </c>
      <c r="F135" s="1174" t="s">
        <v>125</v>
      </c>
      <c r="G135" s="1146"/>
      <c r="H135" s="1174" t="s">
        <v>125</v>
      </c>
      <c r="I135" s="1146"/>
      <c r="J135" s="1148" t="s">
        <v>221</v>
      </c>
      <c r="K135" s="1" t="s">
        <v>125</v>
      </c>
      <c r="M135" s="1" t="s">
        <v>847</v>
      </c>
    </row>
    <row r="136" spans="2:13" ht="15" hidden="1" customHeight="1" outlineLevel="1" x14ac:dyDescent="0.25">
      <c r="B136" s="1149" t="s">
        <v>839</v>
      </c>
      <c r="C136" s="1150"/>
      <c r="D136" s="1150" t="s">
        <v>848</v>
      </c>
      <c r="E136" s="1158">
        <v>56.06</v>
      </c>
      <c r="F136" s="1176" t="s">
        <v>125</v>
      </c>
      <c r="G136" s="1158"/>
      <c r="H136" s="1176" t="s">
        <v>125</v>
      </c>
      <c r="I136" s="1158"/>
      <c r="J136" s="1155" t="s">
        <v>849</v>
      </c>
      <c r="K136" s="1" t="s">
        <v>125</v>
      </c>
      <c r="M136" s="1" t="s">
        <v>125</v>
      </c>
    </row>
    <row r="137" spans="2:13" ht="15" customHeight="1" collapsed="1" x14ac:dyDescent="0.25">
      <c r="D137" s="1159"/>
      <c r="E137" s="672"/>
      <c r="F137" s="1195" t="s">
        <v>125</v>
      </c>
      <c r="G137" s="672"/>
      <c r="H137" s="1195" t="s">
        <v>125</v>
      </c>
      <c r="I137" s="672"/>
      <c r="J137" s="672"/>
    </row>
    <row r="138" spans="2:13" ht="15" customHeight="1" x14ac:dyDescent="0.25">
      <c r="B138" s="1127" t="s">
        <v>825</v>
      </c>
      <c r="C138" s="1128"/>
      <c r="D138" s="1211" t="s">
        <v>2359</v>
      </c>
      <c r="E138" s="1130">
        <v>0.56999999999999995</v>
      </c>
      <c r="F138" s="1172" t="s">
        <v>125</v>
      </c>
      <c r="G138" s="1130"/>
      <c r="H138" s="1172" t="s">
        <v>125</v>
      </c>
      <c r="I138" s="1130"/>
      <c r="J138" s="208" t="s">
        <v>221</v>
      </c>
      <c r="K138" s="208">
        <v>97.6</v>
      </c>
    </row>
    <row r="139" spans="2:13" ht="15" customHeight="1" x14ac:dyDescent="0.25">
      <c r="B139" s="1183" t="s">
        <v>825</v>
      </c>
      <c r="C139" s="1171"/>
      <c r="D139" s="1212" t="s">
        <v>2360</v>
      </c>
      <c r="E139" s="1157">
        <v>0.10299999999999999</v>
      </c>
      <c r="F139" s="1184" t="s">
        <v>125</v>
      </c>
      <c r="G139" s="1157"/>
      <c r="H139" s="1184" t="s">
        <v>125</v>
      </c>
      <c r="I139" s="1157"/>
      <c r="J139" s="209" t="s">
        <v>221</v>
      </c>
      <c r="K139" s="209">
        <v>1.39</v>
      </c>
    </row>
    <row r="140" spans="2:13" ht="15" customHeight="1" x14ac:dyDescent="0.25">
      <c r="B140" s="1183" t="s">
        <v>825</v>
      </c>
      <c r="C140" s="1171"/>
      <c r="D140" s="1212" t="s">
        <v>1251</v>
      </c>
      <c r="E140" s="1157">
        <v>0.28000000000000003</v>
      </c>
      <c r="F140" s="1184" t="s">
        <v>125</v>
      </c>
      <c r="G140" s="1157"/>
      <c r="H140" s="1184" t="s">
        <v>125</v>
      </c>
      <c r="I140" s="1157"/>
      <c r="J140" s="209" t="s">
        <v>221</v>
      </c>
      <c r="K140" s="209">
        <v>1.01</v>
      </c>
    </row>
    <row r="141" spans="2:13" ht="15" customHeight="1" collapsed="1" x14ac:dyDescent="0.25">
      <c r="B141" s="1132" t="s">
        <v>825</v>
      </c>
      <c r="C141" s="1107"/>
      <c r="D141" s="1209" t="s">
        <v>2361</v>
      </c>
      <c r="E141" s="1135">
        <v>4.7300000000000002E-2</v>
      </c>
      <c r="F141" s="1173" t="s">
        <v>125</v>
      </c>
      <c r="G141" s="1135"/>
      <c r="H141" s="1173" t="s">
        <v>125</v>
      </c>
      <c r="I141" s="1135"/>
      <c r="J141" s="211" t="s">
        <v>221</v>
      </c>
      <c r="K141" s="531">
        <v>0</v>
      </c>
    </row>
    <row r="142" spans="2:13" ht="15" hidden="1" customHeight="1" outlineLevel="1" x14ac:dyDescent="0.25">
      <c r="B142" s="1142" t="s">
        <v>827</v>
      </c>
      <c r="C142" s="1143"/>
      <c r="D142" s="1143" t="s">
        <v>850</v>
      </c>
      <c r="E142" s="1146">
        <v>2.4700000000000002</v>
      </c>
      <c r="F142" s="1174" t="s">
        <v>125</v>
      </c>
      <c r="G142" s="1108"/>
      <c r="H142" s="1187" t="s">
        <v>125</v>
      </c>
      <c r="I142" s="1108"/>
      <c r="J142" s="1148" t="s">
        <v>851</v>
      </c>
      <c r="K142" s="1175"/>
    </row>
    <row r="143" spans="2:13" ht="15" hidden="1" customHeight="1" outlineLevel="1" x14ac:dyDescent="0.25">
      <c r="B143" s="1142" t="s">
        <v>830</v>
      </c>
      <c r="C143" s="1143"/>
      <c r="D143" s="1143" t="s">
        <v>966</v>
      </c>
      <c r="E143" s="1146">
        <v>1</v>
      </c>
      <c r="F143" s="1174" t="s">
        <v>125</v>
      </c>
      <c r="G143" s="1146"/>
      <c r="H143" s="1174" t="s">
        <v>125</v>
      </c>
      <c r="I143" s="1146"/>
      <c r="J143" s="1148" t="s">
        <v>221</v>
      </c>
      <c r="K143" s="1175"/>
    </row>
    <row r="144" spans="2:13" ht="15" hidden="1" customHeight="1" outlineLevel="1" x14ac:dyDescent="0.25">
      <c r="B144" s="1142" t="s">
        <v>830</v>
      </c>
      <c r="C144" s="1143"/>
      <c r="D144" s="1143" t="s">
        <v>2187</v>
      </c>
      <c r="E144" s="1146">
        <v>0.1</v>
      </c>
      <c r="F144" s="1174" t="s">
        <v>125</v>
      </c>
      <c r="G144" s="1146"/>
      <c r="H144" s="1174" t="s">
        <v>125</v>
      </c>
      <c r="I144" s="1146"/>
      <c r="J144" s="1148" t="s">
        <v>836</v>
      </c>
      <c r="K144" s="1175"/>
    </row>
    <row r="145" spans="2:13" ht="15" hidden="1" customHeight="1" outlineLevel="1" x14ac:dyDescent="0.25">
      <c r="B145" s="1142" t="s">
        <v>830</v>
      </c>
      <c r="C145" s="1143"/>
      <c r="D145" s="1143" t="s">
        <v>857</v>
      </c>
      <c r="E145" s="1146">
        <v>0.38300000000000001</v>
      </c>
      <c r="F145" s="1174" t="s">
        <v>125</v>
      </c>
      <c r="G145" s="1146"/>
      <c r="H145" s="1174" t="s">
        <v>125</v>
      </c>
      <c r="I145" s="1146"/>
      <c r="J145" s="1148" t="s">
        <v>304</v>
      </c>
      <c r="K145" s="1175"/>
    </row>
    <row r="146" spans="2:13" ht="15" hidden="1" customHeight="1" outlineLevel="1" x14ac:dyDescent="0.25">
      <c r="B146" s="1142" t="s">
        <v>830</v>
      </c>
      <c r="C146" s="1143"/>
      <c r="D146" s="1143" t="s">
        <v>1252</v>
      </c>
      <c r="E146" s="1146">
        <v>0.24</v>
      </c>
      <c r="F146" s="1174" t="s">
        <v>125</v>
      </c>
      <c r="G146" s="1146"/>
      <c r="H146" s="1174" t="s">
        <v>125</v>
      </c>
      <c r="I146" s="1146"/>
      <c r="J146" s="1148" t="s">
        <v>304</v>
      </c>
      <c r="K146" s="1175"/>
    </row>
    <row r="147" spans="2:13" ht="15" hidden="1" customHeight="1" outlineLevel="1" x14ac:dyDescent="0.25">
      <c r="B147" s="1149" t="s">
        <v>1281</v>
      </c>
      <c r="C147" s="1150"/>
      <c r="D147" s="1150" t="s">
        <v>1283</v>
      </c>
      <c r="E147" s="1158">
        <v>2.4700000000000002</v>
      </c>
      <c r="F147" s="1176" t="s">
        <v>125</v>
      </c>
      <c r="G147" s="1158"/>
      <c r="H147" s="1176" t="s">
        <v>125</v>
      </c>
      <c r="I147" s="1158"/>
      <c r="J147" s="1155" t="s">
        <v>221</v>
      </c>
      <c r="K147" s="1175"/>
    </row>
    <row r="148" spans="2:13" ht="15" customHeight="1" collapsed="1" x14ac:dyDescent="0.25">
      <c r="E148" s="1130"/>
      <c r="F148" s="1184" t="s">
        <v>125</v>
      </c>
      <c r="G148" s="1125"/>
      <c r="H148" s="1184" t="s">
        <v>125</v>
      </c>
      <c r="I148" s="1125"/>
      <c r="J148" s="1125"/>
      <c r="K148" s="210"/>
    </row>
    <row r="149" spans="2:13" ht="15" customHeight="1" x14ac:dyDescent="0.25">
      <c r="B149" s="1127" t="s">
        <v>825</v>
      </c>
      <c r="C149" s="1128"/>
      <c r="D149" s="1211" t="s">
        <v>967</v>
      </c>
      <c r="E149" s="1130">
        <v>692.76</v>
      </c>
      <c r="F149" s="1172" t="s">
        <v>1660</v>
      </c>
      <c r="G149" s="1130" t="s">
        <v>2287</v>
      </c>
      <c r="H149" s="1172" t="s">
        <v>256</v>
      </c>
      <c r="I149" s="1130" t="s">
        <v>2288</v>
      </c>
      <c r="J149" s="208" t="s">
        <v>221</v>
      </c>
      <c r="K149" s="898">
        <v>92.62</v>
      </c>
    </row>
    <row r="150" spans="2:13" ht="15" customHeight="1" collapsed="1" x14ac:dyDescent="0.25">
      <c r="B150" s="1132" t="s">
        <v>825</v>
      </c>
      <c r="C150" s="1107"/>
      <c r="D150" s="1209" t="s">
        <v>974</v>
      </c>
      <c r="E150" s="1135">
        <v>94.39</v>
      </c>
      <c r="F150" s="1173" t="s">
        <v>1660</v>
      </c>
      <c r="G150" s="1135" t="s">
        <v>2287</v>
      </c>
      <c r="H150" s="1173" t="s">
        <v>256</v>
      </c>
      <c r="I150" s="1135" t="s">
        <v>2288</v>
      </c>
      <c r="J150" s="211" t="s">
        <v>221</v>
      </c>
      <c r="K150" s="531">
        <v>7.38</v>
      </c>
    </row>
    <row r="151" spans="2:13" ht="15" hidden="1" customHeight="1" outlineLevel="1" x14ac:dyDescent="0.25">
      <c r="B151" s="1137" t="s">
        <v>827</v>
      </c>
      <c r="C151" s="1143"/>
      <c r="D151" s="1138" t="s">
        <v>850</v>
      </c>
      <c r="E151" s="1163">
        <v>7594</v>
      </c>
      <c r="F151" s="1196" t="s">
        <v>125</v>
      </c>
      <c r="G151" s="954"/>
      <c r="H151" s="1185" t="s">
        <v>125</v>
      </c>
      <c r="I151" s="954"/>
      <c r="J151" s="955" t="s">
        <v>851</v>
      </c>
      <c r="K151" s="1" t="s">
        <v>125</v>
      </c>
      <c r="M151" s="1" t="s">
        <v>975</v>
      </c>
    </row>
    <row r="152" spans="2:13" ht="15" hidden="1" customHeight="1" outlineLevel="1" x14ac:dyDescent="0.25">
      <c r="B152" s="1142" t="s">
        <v>830</v>
      </c>
      <c r="C152" s="1143"/>
      <c r="D152" s="1143" t="s">
        <v>976</v>
      </c>
      <c r="E152" s="1146">
        <v>1169</v>
      </c>
      <c r="F152" s="1174" t="s">
        <v>125</v>
      </c>
      <c r="G152" s="1146"/>
      <c r="H152" s="1174" t="s">
        <v>125</v>
      </c>
      <c r="I152" s="1146"/>
      <c r="J152" s="1148" t="s">
        <v>221</v>
      </c>
      <c r="K152" s="1" t="s">
        <v>125</v>
      </c>
      <c r="M152" s="1" t="s">
        <v>125</v>
      </c>
    </row>
    <row r="153" spans="2:13" ht="15" hidden="1" customHeight="1" outlineLevel="1" x14ac:dyDescent="0.25">
      <c r="B153" s="1142" t="s">
        <v>830</v>
      </c>
      <c r="C153" s="1143"/>
      <c r="D153" s="1143" t="s">
        <v>971</v>
      </c>
      <c r="E153" s="1146">
        <v>783</v>
      </c>
      <c r="F153" s="1174" t="s">
        <v>125</v>
      </c>
      <c r="G153" s="1146"/>
      <c r="H153" s="1174" t="s">
        <v>125</v>
      </c>
      <c r="I153" s="1146"/>
      <c r="J153" s="1148" t="s">
        <v>221</v>
      </c>
      <c r="K153" s="1" t="s">
        <v>125</v>
      </c>
      <c r="M153" s="1" t="s">
        <v>125</v>
      </c>
    </row>
    <row r="154" spans="2:13" ht="15" hidden="1" customHeight="1" outlineLevel="1" x14ac:dyDescent="0.25">
      <c r="B154" s="1142" t="s">
        <v>830</v>
      </c>
      <c r="C154" s="1143"/>
      <c r="D154" s="1143" t="s">
        <v>835</v>
      </c>
      <c r="E154" s="1146">
        <v>195.2</v>
      </c>
      <c r="F154" s="1174" t="s">
        <v>125</v>
      </c>
      <c r="G154" s="1146"/>
      <c r="H154" s="1174" t="s">
        <v>125</v>
      </c>
      <c r="I154" s="1146"/>
      <c r="J154" s="1148" t="s">
        <v>836</v>
      </c>
      <c r="K154" s="1" t="s">
        <v>125</v>
      </c>
      <c r="M154" s="1" t="s">
        <v>970</v>
      </c>
    </row>
    <row r="155" spans="2:13" ht="15" hidden="1" customHeight="1" outlineLevel="1" x14ac:dyDescent="0.25">
      <c r="B155" s="1142" t="s">
        <v>830</v>
      </c>
      <c r="C155" s="1143"/>
      <c r="D155" s="1143" t="s">
        <v>857</v>
      </c>
      <c r="E155" s="1146">
        <v>150</v>
      </c>
      <c r="F155" s="1174" t="s">
        <v>1660</v>
      </c>
      <c r="G155" s="1146" t="s">
        <v>721</v>
      </c>
      <c r="H155" s="1174" t="s">
        <v>125</v>
      </c>
      <c r="I155" s="1146"/>
      <c r="J155" s="1148" t="s">
        <v>223</v>
      </c>
      <c r="K155" s="1" t="s">
        <v>125</v>
      </c>
      <c r="M155" s="1" t="s">
        <v>125</v>
      </c>
    </row>
    <row r="156" spans="2:13" ht="15" hidden="1" customHeight="1" outlineLevel="1" x14ac:dyDescent="0.25">
      <c r="B156" s="1142" t="s">
        <v>830</v>
      </c>
      <c r="C156" s="1143"/>
      <c r="D156" s="1143" t="s">
        <v>858</v>
      </c>
      <c r="E156" s="1146">
        <v>1840</v>
      </c>
      <c r="F156" s="1174" t="s">
        <v>1660</v>
      </c>
      <c r="G156" s="1146" t="s">
        <v>721</v>
      </c>
      <c r="H156" s="1174" t="s">
        <v>125</v>
      </c>
      <c r="I156" s="1146"/>
      <c r="J156" s="1148" t="s">
        <v>304</v>
      </c>
      <c r="K156" s="1" t="s">
        <v>125</v>
      </c>
      <c r="M156" s="1" t="s">
        <v>125</v>
      </c>
    </row>
    <row r="157" spans="2:13" ht="15" hidden="1" customHeight="1" outlineLevel="1" x14ac:dyDescent="0.25">
      <c r="B157" s="1142" t="s">
        <v>839</v>
      </c>
      <c r="C157" s="1143"/>
      <c r="D157" s="1143" t="s">
        <v>840</v>
      </c>
      <c r="E157" s="1146">
        <v>14.53</v>
      </c>
      <c r="F157" s="1174" t="s">
        <v>125</v>
      </c>
      <c r="G157" s="1146"/>
      <c r="H157" s="1174" t="s">
        <v>125</v>
      </c>
      <c r="I157" s="1146"/>
      <c r="J157" s="1148" t="s">
        <v>221</v>
      </c>
      <c r="K157" s="1" t="s">
        <v>125</v>
      </c>
      <c r="M157" s="1" t="s">
        <v>842</v>
      </c>
    </row>
    <row r="158" spans="2:13" ht="15" hidden="1" customHeight="1" outlineLevel="1" x14ac:dyDescent="0.25">
      <c r="B158" s="1142" t="s">
        <v>839</v>
      </c>
      <c r="C158" s="1143"/>
      <c r="D158" s="1143" t="s">
        <v>840</v>
      </c>
      <c r="E158" s="1146">
        <v>1.5</v>
      </c>
      <c r="F158" s="1174" t="s">
        <v>125</v>
      </c>
      <c r="G158" s="1146"/>
      <c r="H158" s="1174" t="s">
        <v>125</v>
      </c>
      <c r="I158" s="1146"/>
      <c r="J158" s="1148" t="s">
        <v>221</v>
      </c>
      <c r="K158" s="1" t="s">
        <v>125</v>
      </c>
      <c r="M158" s="1" t="s">
        <v>841</v>
      </c>
    </row>
    <row r="159" spans="2:13" ht="15" hidden="1" customHeight="1" outlineLevel="1" x14ac:dyDescent="0.25">
      <c r="B159" s="1142" t="s">
        <v>839</v>
      </c>
      <c r="C159" s="1143"/>
      <c r="D159" s="1143" t="s">
        <v>843</v>
      </c>
      <c r="E159" s="1146">
        <v>0.23699999999999999</v>
      </c>
      <c r="F159" s="1174" t="s">
        <v>125</v>
      </c>
      <c r="G159" s="1146"/>
      <c r="H159" s="1174" t="s">
        <v>125</v>
      </c>
      <c r="I159" s="1146"/>
      <c r="J159" s="1148" t="s">
        <v>221</v>
      </c>
      <c r="K159" s="1" t="s">
        <v>125</v>
      </c>
      <c r="M159" s="1" t="s">
        <v>844</v>
      </c>
    </row>
    <row r="160" spans="2:13" ht="15" hidden="1" customHeight="1" outlineLevel="1" x14ac:dyDescent="0.25">
      <c r="B160" s="1142" t="s">
        <v>839</v>
      </c>
      <c r="C160" s="1143"/>
      <c r="D160" s="1143" t="s">
        <v>843</v>
      </c>
      <c r="E160" s="1146">
        <v>0.152</v>
      </c>
      <c r="F160" s="1174" t="s">
        <v>125</v>
      </c>
      <c r="G160" s="1146"/>
      <c r="H160" s="1174" t="s">
        <v>125</v>
      </c>
      <c r="I160" s="1146"/>
      <c r="J160" s="1148" t="s">
        <v>221</v>
      </c>
      <c r="K160" s="1" t="s">
        <v>125</v>
      </c>
      <c r="M160" s="1" t="s">
        <v>845</v>
      </c>
    </row>
    <row r="161" spans="2:13" ht="15" hidden="1" customHeight="1" outlineLevel="1" x14ac:dyDescent="0.25">
      <c r="B161" s="1142" t="s">
        <v>839</v>
      </c>
      <c r="C161" s="1143"/>
      <c r="D161" s="1143" t="s">
        <v>846</v>
      </c>
      <c r="E161" s="1146">
        <v>11.77</v>
      </c>
      <c r="F161" s="1174" t="s">
        <v>125</v>
      </c>
      <c r="G161" s="1146"/>
      <c r="H161" s="1174" t="s">
        <v>125</v>
      </c>
      <c r="I161" s="1146"/>
      <c r="J161" s="1148" t="s">
        <v>221</v>
      </c>
      <c r="K161" s="1" t="s">
        <v>125</v>
      </c>
      <c r="M161" s="1" t="s">
        <v>847</v>
      </c>
    </row>
    <row r="162" spans="2:13" ht="15" hidden="1" customHeight="1" outlineLevel="1" x14ac:dyDescent="0.25">
      <c r="B162" s="1149" t="s">
        <v>839</v>
      </c>
      <c r="C162" s="1150"/>
      <c r="D162" s="1150" t="s">
        <v>848</v>
      </c>
      <c r="E162" s="1158">
        <v>120.8</v>
      </c>
      <c r="F162" s="1176" t="s">
        <v>125</v>
      </c>
      <c r="G162" s="1158"/>
      <c r="H162" s="1176" t="s">
        <v>125</v>
      </c>
      <c r="I162" s="1158"/>
      <c r="J162" s="1155" t="s">
        <v>849</v>
      </c>
      <c r="K162" s="1" t="s">
        <v>125</v>
      </c>
      <c r="M162" s="1" t="s">
        <v>125</v>
      </c>
    </row>
    <row r="163" spans="2:13" ht="15" customHeight="1" collapsed="1" x14ac:dyDescent="0.25">
      <c r="D163" s="1159"/>
      <c r="E163" s="672"/>
      <c r="F163" s="1195" t="s">
        <v>125</v>
      </c>
      <c r="G163" s="672"/>
      <c r="H163" s="1195" t="s">
        <v>125</v>
      </c>
      <c r="I163" s="672"/>
      <c r="J163" s="672"/>
    </row>
    <row r="164" spans="2:13" ht="15" customHeight="1" x14ac:dyDescent="0.25">
      <c r="E164" s="1157"/>
      <c r="F164" s="1157"/>
      <c r="G164" s="1157"/>
      <c r="H164" s="1157"/>
      <c r="I164" s="1157"/>
    </row>
  </sheetData>
  <mergeCells count="2">
    <mergeCell ref="E4:K4"/>
    <mergeCell ref="F5:I5"/>
  </mergeCells>
  <conditionalFormatting sqref="E1:E46 E120:E1048576 E62:E118">
    <cfRule type="expression" dxfId="30" priority="25">
      <formula>E1=0</formula>
    </cfRule>
    <cfRule type="expression" dxfId="29" priority="26">
      <formula>AND(ABS(E1)&lt;10,ABS(E1)&gt;=1)</formula>
    </cfRule>
    <cfRule type="expression" dxfId="28" priority="27">
      <formula>ABS(E1)&lt;1</formula>
    </cfRule>
    <cfRule type="expression" dxfId="27" priority="28">
      <formula>ABS(E1)&gt;=10</formula>
    </cfRule>
  </conditionalFormatting>
  <conditionalFormatting sqref="E49:E61">
    <cfRule type="expression" dxfId="26" priority="13">
      <formula>E49=0</formula>
    </cfRule>
    <cfRule type="expression" dxfId="25" priority="14">
      <formula>AND(ABS(E49)&lt;10,ABS(E49)&gt;=1)</formula>
    </cfRule>
    <cfRule type="expression" dxfId="24" priority="15">
      <formula>ABS(E49)&lt;1</formula>
    </cfRule>
    <cfRule type="expression" dxfId="23" priority="16">
      <formula>ABS(E49)&gt;=10</formula>
    </cfRule>
  </conditionalFormatting>
  <conditionalFormatting sqref="E48">
    <cfRule type="expression" dxfId="22" priority="9">
      <formula>E48=0</formula>
    </cfRule>
    <cfRule type="expression" dxfId="21" priority="10">
      <formula>AND(ABS(E48)&lt;10,ABS(E48)&gt;=1)</formula>
    </cfRule>
    <cfRule type="expression" dxfId="20" priority="11">
      <formula>ABS(E48)&lt;1</formula>
    </cfRule>
    <cfRule type="expression" dxfId="19" priority="12">
      <formula>ABS(E48)&gt;=10</formula>
    </cfRule>
  </conditionalFormatting>
  <conditionalFormatting sqref="E47">
    <cfRule type="expression" dxfId="18" priority="5">
      <formula>E47=0</formula>
    </cfRule>
    <cfRule type="expression" dxfId="17" priority="6">
      <formula>AND(ABS(E47)&lt;10,ABS(E47)&gt;=1)</formula>
    </cfRule>
    <cfRule type="expression" dxfId="16" priority="7">
      <formula>ABS(E47)&lt;1</formula>
    </cfRule>
    <cfRule type="expression" dxfId="15" priority="8">
      <formula>ABS(E47)&gt;=10</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89D38-4C68-4427-B9BF-965510A3C195}">
  <sheetPr>
    <outlinePr summaryBelow="0" summaryRight="0"/>
  </sheetPr>
  <dimension ref="A2:N51"/>
  <sheetViews>
    <sheetView zoomScaleNormal="100" workbookViewId="0"/>
  </sheetViews>
  <sheetFormatPr baseColWidth="10" defaultColWidth="11.28515625" defaultRowHeight="15" x14ac:dyDescent="0.25"/>
  <cols>
    <col min="1" max="1" width="3.7109375" style="1" customWidth="1"/>
    <col min="2" max="2" width="19.28515625" style="1" customWidth="1"/>
    <col min="3" max="3" width="11.28515625" style="1" customWidth="1"/>
    <col min="4" max="4" width="11.28515625" style="1"/>
    <col min="5" max="6" width="11.28515625" style="1" customWidth="1"/>
    <col min="7" max="7" width="11.28515625" style="1"/>
    <col min="8" max="8" width="11.28515625" style="1" customWidth="1"/>
    <col min="9" max="9" width="11.28515625" style="1"/>
    <col min="10" max="10" width="12.7109375" style="1" bestFit="1" customWidth="1"/>
    <col min="11" max="14" width="11.28515625" style="1" customWidth="1"/>
    <col min="15" max="15" width="3.7109375" style="1" customWidth="1"/>
    <col min="16" max="18" width="11.28515625" style="1" customWidth="1"/>
    <col min="19" max="16384" width="11.28515625" style="1"/>
  </cols>
  <sheetData>
    <row r="2" spans="1:14" x14ac:dyDescent="0.25">
      <c r="A2" s="673"/>
      <c r="B2" s="673" t="s">
        <v>1247</v>
      </c>
    </row>
    <row r="3" spans="1:14" x14ac:dyDescent="0.25">
      <c r="B3" s="217"/>
    </row>
    <row r="4" spans="1:14" x14ac:dyDescent="0.25">
      <c r="B4" s="842"/>
      <c r="C4" s="1386" t="s">
        <v>1494</v>
      </c>
      <c r="D4" s="1387"/>
      <c r="E4" s="1387"/>
      <c r="F4" s="1387"/>
      <c r="G4" s="1387"/>
      <c r="H4" s="1388" t="s">
        <v>1485</v>
      </c>
      <c r="I4" s="1389"/>
      <c r="J4" s="1389"/>
      <c r="K4" s="1389"/>
      <c r="L4" s="1389"/>
      <c r="M4" s="1389"/>
      <c r="N4" s="1390"/>
    </row>
    <row r="5" spans="1:14" x14ac:dyDescent="0.25">
      <c r="B5" s="843" t="s">
        <v>710</v>
      </c>
      <c r="C5" s="660" t="s">
        <v>92</v>
      </c>
      <c r="D5" s="856" t="s">
        <v>122</v>
      </c>
      <c r="E5" s="857" t="s">
        <v>244</v>
      </c>
      <c r="F5" s="1391" t="s">
        <v>1492</v>
      </c>
      <c r="G5" s="1392"/>
      <c r="H5" s="865"/>
      <c r="I5" s="870" t="s">
        <v>1492</v>
      </c>
      <c r="J5" s="1384" t="s">
        <v>797</v>
      </c>
      <c r="K5" s="1384"/>
      <c r="L5" s="1384" t="s">
        <v>1493</v>
      </c>
      <c r="M5" s="1384"/>
      <c r="N5" s="1385"/>
    </row>
    <row r="6" spans="1:14" x14ac:dyDescent="0.25">
      <c r="B6" s="844"/>
      <c r="C6" s="661" t="s">
        <v>798</v>
      </c>
      <c r="D6" s="858" t="s">
        <v>798</v>
      </c>
      <c r="E6" s="849"/>
      <c r="F6" s="665" t="s">
        <v>92</v>
      </c>
      <c r="G6" s="663" t="s">
        <v>122</v>
      </c>
      <c r="H6" s="866" t="s">
        <v>800</v>
      </c>
      <c r="I6" s="871"/>
      <c r="J6" s="872" t="s">
        <v>800</v>
      </c>
      <c r="K6" s="667" t="s">
        <v>799</v>
      </c>
      <c r="L6" s="668" t="s">
        <v>800</v>
      </c>
      <c r="M6" s="666" t="s">
        <v>801</v>
      </c>
      <c r="N6" s="669" t="s">
        <v>799</v>
      </c>
    </row>
    <row r="7" spans="1:14" x14ac:dyDescent="0.25">
      <c r="B7" s="409" t="s">
        <v>91</v>
      </c>
      <c r="C7" s="671">
        <v>0.21084</v>
      </c>
      <c r="D7" s="859">
        <v>0.43951000000000001</v>
      </c>
      <c r="E7" s="860" t="s">
        <v>802</v>
      </c>
      <c r="F7" s="850" t="s">
        <v>791</v>
      </c>
      <c r="G7" s="851" t="s">
        <v>790</v>
      </c>
      <c r="H7" s="867">
        <f t="shared" ref="H7:H29" si="0">INDEX($J7:$N7,1,MATCH($I7,$J$5:$N$5,0))</f>
        <v>3821.7059399999998</v>
      </c>
      <c r="I7" s="862" t="s">
        <v>1493</v>
      </c>
      <c r="J7" s="831">
        <v>3540</v>
      </c>
      <c r="K7" s="830" t="s">
        <v>803</v>
      </c>
      <c r="L7" s="831">
        <f t="shared" ref="L7:L24" si="1">M7*$I$31</f>
        <v>3821.7059399999998</v>
      </c>
      <c r="M7" s="832">
        <v>15.99</v>
      </c>
      <c r="N7" s="327"/>
    </row>
    <row r="8" spans="1:14" x14ac:dyDescent="0.25">
      <c r="B8" s="409" t="s">
        <v>97</v>
      </c>
      <c r="C8" s="670">
        <v>0.19115317137940699</v>
      </c>
      <c r="D8" s="861">
        <v>0.46051038847432407</v>
      </c>
      <c r="E8" s="860" t="s">
        <v>802</v>
      </c>
      <c r="F8" s="852" t="s">
        <v>791</v>
      </c>
      <c r="G8" s="853" t="s">
        <v>790</v>
      </c>
      <c r="H8" s="868">
        <f t="shared" si="0"/>
        <v>4070.2721800000004</v>
      </c>
      <c r="I8" s="860" t="s">
        <v>1493</v>
      </c>
      <c r="J8" s="834">
        <v>3650</v>
      </c>
      <c r="K8" s="833" t="s">
        <v>804</v>
      </c>
      <c r="L8" s="834">
        <f t="shared" si="1"/>
        <v>4070.2721800000004</v>
      </c>
      <c r="M8" s="846">
        <v>17.03</v>
      </c>
      <c r="N8" s="847"/>
    </row>
    <row r="9" spans="1:14" x14ac:dyDescent="0.25">
      <c r="B9" s="409" t="s">
        <v>98</v>
      </c>
      <c r="C9" s="670">
        <v>0.18564647389881783</v>
      </c>
      <c r="D9" s="859">
        <v>0.37645999999999996</v>
      </c>
      <c r="E9" s="860" t="s">
        <v>802</v>
      </c>
      <c r="F9" s="852" t="s">
        <v>791</v>
      </c>
      <c r="G9" s="853" t="s">
        <v>790</v>
      </c>
      <c r="H9" s="868">
        <f t="shared" si="0"/>
        <v>3821.7059399999998</v>
      </c>
      <c r="I9" s="860" t="s">
        <v>1493</v>
      </c>
      <c r="J9" s="834">
        <v>3890</v>
      </c>
      <c r="K9" s="833"/>
      <c r="L9" s="834">
        <f t="shared" si="1"/>
        <v>3821.7059399999998</v>
      </c>
      <c r="M9" s="846">
        <v>15.99</v>
      </c>
      <c r="N9" s="847"/>
    </row>
    <row r="10" spans="1:14" x14ac:dyDescent="0.25">
      <c r="B10" s="409" t="s">
        <v>99</v>
      </c>
      <c r="C10" s="671">
        <v>0.17004</v>
      </c>
      <c r="D10" s="859">
        <v>0.37839999999999996</v>
      </c>
      <c r="E10" s="860" t="s">
        <v>802</v>
      </c>
      <c r="F10" s="852" t="s">
        <v>791</v>
      </c>
      <c r="G10" s="853" t="s">
        <v>790</v>
      </c>
      <c r="H10" s="868">
        <f t="shared" si="0"/>
        <v>3721.3234200000002</v>
      </c>
      <c r="I10" s="860" t="s">
        <v>1493</v>
      </c>
      <c r="J10" s="834">
        <v>3380</v>
      </c>
      <c r="K10" s="833" t="s">
        <v>577</v>
      </c>
      <c r="L10" s="834">
        <f t="shared" si="1"/>
        <v>3721.3234200000002</v>
      </c>
      <c r="M10" s="846">
        <v>15.57</v>
      </c>
      <c r="N10" s="847"/>
    </row>
    <row r="11" spans="1:14" x14ac:dyDescent="0.25">
      <c r="B11" s="409" t="s">
        <v>100</v>
      </c>
      <c r="C11" s="670">
        <v>0.19027961896782761</v>
      </c>
      <c r="D11" s="861">
        <v>0.4056506487491307</v>
      </c>
      <c r="E11" s="860" t="s">
        <v>802</v>
      </c>
      <c r="F11" s="852" t="s">
        <v>791</v>
      </c>
      <c r="G11" s="853" t="s">
        <v>790</v>
      </c>
      <c r="H11" s="868">
        <f t="shared" si="0"/>
        <v>3752.3941999999997</v>
      </c>
      <c r="I11" s="860" t="s">
        <v>1493</v>
      </c>
      <c r="J11" s="834">
        <v>3360</v>
      </c>
      <c r="K11" s="833"/>
      <c r="L11" s="834">
        <f t="shared" si="1"/>
        <v>3752.3941999999997</v>
      </c>
      <c r="M11" s="846">
        <v>15.7</v>
      </c>
      <c r="N11" s="847"/>
    </row>
    <row r="12" spans="1:14" x14ac:dyDescent="0.25">
      <c r="B12" s="409" t="s">
        <v>101</v>
      </c>
      <c r="C12" s="671">
        <v>0.18195499999999998</v>
      </c>
      <c r="D12" s="859">
        <v>0.41675000000000001</v>
      </c>
      <c r="E12" s="860" t="s">
        <v>802</v>
      </c>
      <c r="F12" s="852" t="s">
        <v>791</v>
      </c>
      <c r="G12" s="853" t="s">
        <v>790</v>
      </c>
      <c r="H12" s="868">
        <f t="shared" si="0"/>
        <v>3790.6351599999998</v>
      </c>
      <c r="I12" s="860" t="s">
        <v>1493</v>
      </c>
      <c r="J12" s="834">
        <v>3420</v>
      </c>
      <c r="K12" s="833" t="s">
        <v>805</v>
      </c>
      <c r="L12" s="834">
        <f t="shared" si="1"/>
        <v>3790.6351599999998</v>
      </c>
      <c r="M12" s="846">
        <v>15.86</v>
      </c>
      <c r="N12" s="847"/>
    </row>
    <row r="13" spans="1:14" x14ac:dyDescent="0.25">
      <c r="B13" s="409" t="s">
        <v>102</v>
      </c>
      <c r="C13" s="670">
        <v>1.4249898934019873</v>
      </c>
      <c r="D13" s="859">
        <v>3.49</v>
      </c>
      <c r="E13" s="860" t="s">
        <v>802</v>
      </c>
      <c r="F13" s="852" t="s">
        <v>1487</v>
      </c>
      <c r="G13" s="853" t="s">
        <v>790</v>
      </c>
      <c r="H13" s="868">
        <f t="shared" si="0"/>
        <v>3881.4574399999997</v>
      </c>
      <c r="I13" s="860" t="s">
        <v>1493</v>
      </c>
      <c r="J13" s="834">
        <v>3410</v>
      </c>
      <c r="K13" s="833" t="s">
        <v>806</v>
      </c>
      <c r="L13" s="834">
        <f t="shared" si="1"/>
        <v>3881.4574399999997</v>
      </c>
      <c r="M13" s="846">
        <v>16.239999999999998</v>
      </c>
      <c r="N13" s="847"/>
    </row>
    <row r="14" spans="1:14" x14ac:dyDescent="0.25">
      <c r="B14" s="265" t="s">
        <v>103</v>
      </c>
      <c r="C14" s="670">
        <v>1.7680061710892687</v>
      </c>
      <c r="D14" s="859">
        <v>4.28</v>
      </c>
      <c r="E14" s="860" t="s">
        <v>802</v>
      </c>
      <c r="F14" s="852" t="s">
        <v>1488</v>
      </c>
      <c r="G14" s="853" t="s">
        <v>790</v>
      </c>
      <c r="H14" s="868">
        <f t="shared" si="0"/>
        <v>310.70780000000002</v>
      </c>
      <c r="I14" s="860" t="s">
        <v>1493</v>
      </c>
      <c r="J14" s="834">
        <v>310</v>
      </c>
      <c r="K14" s="833" t="s">
        <v>807</v>
      </c>
      <c r="L14" s="834">
        <f t="shared" si="1"/>
        <v>310.70780000000002</v>
      </c>
      <c r="M14" s="846">
        <v>1.3</v>
      </c>
      <c r="N14" s="847"/>
    </row>
    <row r="15" spans="1:14" x14ac:dyDescent="0.25">
      <c r="B15" s="409" t="s">
        <v>104</v>
      </c>
      <c r="C15" s="670">
        <v>1.5016681086919641</v>
      </c>
      <c r="D15" s="861">
        <v>3.677795697780804</v>
      </c>
      <c r="E15" s="860" t="s">
        <v>802</v>
      </c>
      <c r="F15" s="852" t="s">
        <v>1487</v>
      </c>
      <c r="G15" s="853" t="s">
        <v>790</v>
      </c>
      <c r="H15" s="868">
        <f t="shared" si="0"/>
        <v>4462.2420200000006</v>
      </c>
      <c r="I15" s="860" t="s">
        <v>1493</v>
      </c>
      <c r="J15" s="834">
        <v>3410</v>
      </c>
      <c r="K15" s="833" t="s">
        <v>806</v>
      </c>
      <c r="L15" s="834">
        <f t="shared" si="1"/>
        <v>4462.2420200000006</v>
      </c>
      <c r="M15" s="846">
        <v>18.670000000000002</v>
      </c>
      <c r="N15" s="847"/>
    </row>
    <row r="16" spans="1:14" x14ac:dyDescent="0.25">
      <c r="B16" s="376" t="s">
        <v>105</v>
      </c>
      <c r="C16" s="670">
        <v>1.2070093457943925</v>
      </c>
      <c r="D16" s="861">
        <v>3.15</v>
      </c>
      <c r="E16" s="860" t="s">
        <v>802</v>
      </c>
      <c r="F16" s="852" t="s">
        <v>792</v>
      </c>
      <c r="G16" s="853" t="s">
        <v>790</v>
      </c>
      <c r="H16" s="868">
        <f t="shared" si="0"/>
        <v>810.23034000000007</v>
      </c>
      <c r="I16" s="860" t="s">
        <v>1493</v>
      </c>
      <c r="J16" s="834">
        <v>3640</v>
      </c>
      <c r="K16" s="833" t="s">
        <v>806</v>
      </c>
      <c r="L16" s="834">
        <f t="shared" si="1"/>
        <v>810.23034000000007</v>
      </c>
      <c r="M16" s="846">
        <v>3.39</v>
      </c>
      <c r="N16" s="847"/>
    </row>
    <row r="17" spans="2:14" x14ac:dyDescent="0.25">
      <c r="B17" s="265" t="s">
        <v>629</v>
      </c>
      <c r="C17" s="671">
        <v>5.0004672897196265</v>
      </c>
      <c r="D17" s="859">
        <v>13.05</v>
      </c>
      <c r="E17" s="860" t="s">
        <v>802</v>
      </c>
      <c r="F17" s="852" t="s">
        <v>792</v>
      </c>
      <c r="G17" s="853" t="s">
        <v>790</v>
      </c>
      <c r="H17" s="868">
        <f t="shared" si="0"/>
        <v>3812.1457</v>
      </c>
      <c r="I17" s="860" t="s">
        <v>1493</v>
      </c>
      <c r="J17" s="834">
        <v>3640</v>
      </c>
      <c r="K17" s="833" t="s">
        <v>806</v>
      </c>
      <c r="L17" s="834">
        <f t="shared" si="1"/>
        <v>3812.1457</v>
      </c>
      <c r="M17" s="846">
        <v>15.95</v>
      </c>
      <c r="N17" s="847"/>
    </row>
    <row r="18" spans="2:14" x14ac:dyDescent="0.25">
      <c r="B18" s="265" t="s">
        <v>106</v>
      </c>
      <c r="C18" s="671">
        <v>0.32371000000000005</v>
      </c>
      <c r="D18" s="859">
        <v>0.70413000000000003</v>
      </c>
      <c r="E18" s="860" t="s">
        <v>802</v>
      </c>
      <c r="F18" s="852" t="s">
        <v>794</v>
      </c>
      <c r="G18" s="853" t="s">
        <v>790</v>
      </c>
      <c r="H18" s="868">
        <f>INDEX($J18:$N18,1,MATCH($I18,$J$5:$N$5,0))</f>
        <v>4980.8850400000001</v>
      </c>
      <c r="I18" s="860" t="s">
        <v>1493</v>
      </c>
      <c r="J18" s="834">
        <v>4460</v>
      </c>
      <c r="K18" s="833" t="s">
        <v>806</v>
      </c>
      <c r="L18" s="834">
        <f t="shared" si="1"/>
        <v>4980.8850400000001</v>
      </c>
      <c r="M18" s="846">
        <v>20.84</v>
      </c>
      <c r="N18" s="847"/>
    </row>
    <row r="19" spans="2:14" x14ac:dyDescent="0.25">
      <c r="B19" s="409" t="s">
        <v>107</v>
      </c>
      <c r="C19" s="671">
        <v>0.33</v>
      </c>
      <c r="D19" s="859">
        <v>3</v>
      </c>
      <c r="E19" s="860" t="s">
        <v>802</v>
      </c>
      <c r="F19" s="852" t="s">
        <v>796</v>
      </c>
      <c r="G19" s="853" t="s">
        <v>795</v>
      </c>
      <c r="H19" s="868">
        <f t="shared" si="0"/>
        <v>5932.1289200000001</v>
      </c>
      <c r="I19" s="860" t="s">
        <v>1493</v>
      </c>
      <c r="J19" s="834">
        <v>5340</v>
      </c>
      <c r="K19" s="833" t="s">
        <v>808</v>
      </c>
      <c r="L19" s="834">
        <f t="shared" si="1"/>
        <v>5932.1289200000001</v>
      </c>
      <c r="M19" s="846">
        <v>24.82</v>
      </c>
      <c r="N19" s="847"/>
    </row>
    <row r="20" spans="2:14" x14ac:dyDescent="0.25">
      <c r="B20" s="265" t="s">
        <v>108</v>
      </c>
      <c r="C20" s="670">
        <v>0.7434325684016676</v>
      </c>
      <c r="D20" s="859">
        <v>3.5</v>
      </c>
      <c r="E20" s="860" t="s">
        <v>802</v>
      </c>
      <c r="F20" s="852" t="s">
        <v>1489</v>
      </c>
      <c r="G20" s="853" t="s">
        <v>795</v>
      </c>
      <c r="H20" s="868">
        <f t="shared" si="0"/>
        <v>5081.2675600000002</v>
      </c>
      <c r="I20" s="860" t="s">
        <v>1493</v>
      </c>
      <c r="J20" s="834">
        <v>5080</v>
      </c>
      <c r="K20" s="833" t="s">
        <v>809</v>
      </c>
      <c r="L20" s="834">
        <f t="shared" si="1"/>
        <v>5081.2675600000002</v>
      </c>
      <c r="M20" s="846">
        <v>21.26</v>
      </c>
      <c r="N20" s="847"/>
    </row>
    <row r="21" spans="2:14" x14ac:dyDescent="0.25">
      <c r="B21" s="409" t="s">
        <v>109</v>
      </c>
      <c r="C21" s="671">
        <v>0.35311999999999999</v>
      </c>
      <c r="D21" s="859">
        <v>0.91249000000000002</v>
      </c>
      <c r="E21" s="860" t="s">
        <v>802</v>
      </c>
      <c r="F21" s="852" t="s">
        <v>791</v>
      </c>
      <c r="G21" s="853" t="s">
        <v>790</v>
      </c>
      <c r="H21" s="868">
        <f t="shared" si="0"/>
        <v>6419.7011599999996</v>
      </c>
      <c r="I21" s="860" t="s">
        <v>1493</v>
      </c>
      <c r="J21" s="834">
        <v>8840</v>
      </c>
      <c r="K21" s="833" t="s">
        <v>810</v>
      </c>
      <c r="L21" s="834">
        <f t="shared" si="1"/>
        <v>6419.7011599999996</v>
      </c>
      <c r="M21" s="846">
        <v>26.86</v>
      </c>
      <c r="N21" s="847"/>
    </row>
    <row r="22" spans="2:14" x14ac:dyDescent="0.25">
      <c r="B22" s="265" t="s">
        <v>110</v>
      </c>
      <c r="C22" s="671">
        <v>0.29699999999999999</v>
      </c>
      <c r="D22" s="859">
        <v>0.72726000000000002</v>
      </c>
      <c r="E22" s="860" t="s">
        <v>802</v>
      </c>
      <c r="F22" s="852" t="s">
        <v>792</v>
      </c>
      <c r="G22" s="853" t="s">
        <v>790</v>
      </c>
      <c r="H22" s="868">
        <f t="shared" si="0"/>
        <v>6362.3397199999999</v>
      </c>
      <c r="I22" s="860" t="s">
        <v>1493</v>
      </c>
      <c r="J22" s="834">
        <v>5840</v>
      </c>
      <c r="K22" s="833" t="s">
        <v>811</v>
      </c>
      <c r="L22" s="834">
        <f t="shared" si="1"/>
        <v>6362.3397199999999</v>
      </c>
      <c r="M22" s="846">
        <v>26.62</v>
      </c>
      <c r="N22" s="847"/>
    </row>
    <row r="23" spans="2:14" x14ac:dyDescent="0.25">
      <c r="B23" s="409" t="s">
        <v>111</v>
      </c>
      <c r="C23" s="671">
        <v>0.23780000000000001</v>
      </c>
      <c r="D23" s="859">
        <v>1.79</v>
      </c>
      <c r="E23" s="860" t="s">
        <v>802</v>
      </c>
      <c r="F23" s="852" t="s">
        <v>792</v>
      </c>
      <c r="G23" s="853" t="s">
        <v>790</v>
      </c>
      <c r="H23" s="868">
        <f t="shared" si="0"/>
        <v>769.59932000000003</v>
      </c>
      <c r="I23" s="860" t="s">
        <v>1493</v>
      </c>
      <c r="J23" s="834">
        <v>770</v>
      </c>
      <c r="K23" s="833" t="s">
        <v>812</v>
      </c>
      <c r="L23" s="834">
        <f t="shared" si="1"/>
        <v>769.59932000000003</v>
      </c>
      <c r="M23" s="846">
        <v>3.22</v>
      </c>
      <c r="N23" s="847"/>
    </row>
    <row r="24" spans="2:14" x14ac:dyDescent="0.25">
      <c r="B24" s="873" t="s">
        <v>112</v>
      </c>
      <c r="C24" s="874">
        <v>0.28999999999999998</v>
      </c>
      <c r="D24" s="875">
        <v>1.33</v>
      </c>
      <c r="E24" s="876" t="s">
        <v>802</v>
      </c>
      <c r="F24" s="877" t="s">
        <v>793</v>
      </c>
      <c r="G24" s="878" t="s">
        <v>790</v>
      </c>
      <c r="H24" s="879">
        <f t="shared" si="0"/>
        <v>440</v>
      </c>
      <c r="I24" s="876" t="s">
        <v>797</v>
      </c>
      <c r="J24" s="880">
        <v>440</v>
      </c>
      <c r="K24" s="881" t="s">
        <v>813</v>
      </c>
      <c r="L24" s="880">
        <f t="shared" si="1"/>
        <v>3448.8565800000001</v>
      </c>
      <c r="M24" s="882">
        <v>14.43</v>
      </c>
      <c r="N24" s="883"/>
    </row>
    <row r="25" spans="2:14" x14ac:dyDescent="0.25">
      <c r="B25" s="884" t="s">
        <v>506</v>
      </c>
      <c r="C25" s="885">
        <v>1.55</v>
      </c>
      <c r="D25" s="886">
        <v>3.53</v>
      </c>
      <c r="E25" s="887" t="s">
        <v>802</v>
      </c>
      <c r="F25" s="888" t="s">
        <v>792</v>
      </c>
      <c r="G25" s="889" t="s">
        <v>790</v>
      </c>
      <c r="H25" s="890">
        <f t="shared" si="0"/>
        <v>2110</v>
      </c>
      <c r="I25" s="887" t="s">
        <v>797</v>
      </c>
      <c r="J25" s="891">
        <v>2110</v>
      </c>
      <c r="K25" s="892" t="s">
        <v>814</v>
      </c>
      <c r="L25" s="891" t="s">
        <v>268</v>
      </c>
      <c r="M25" s="893"/>
      <c r="N25" s="894"/>
    </row>
    <row r="26" spans="2:14" x14ac:dyDescent="0.25">
      <c r="B26" s="409" t="s">
        <v>152</v>
      </c>
      <c r="C26" s="671">
        <v>0.84</v>
      </c>
      <c r="D26" s="861">
        <v>1.2788316801138424</v>
      </c>
      <c r="E26" s="860" t="s">
        <v>802</v>
      </c>
      <c r="F26" s="852" t="s">
        <v>792</v>
      </c>
      <c r="G26" s="853" t="s">
        <v>1490</v>
      </c>
      <c r="H26" s="868">
        <f t="shared" si="0"/>
        <v>1910</v>
      </c>
      <c r="I26" s="860" t="s">
        <v>797</v>
      </c>
      <c r="J26" s="834">
        <v>1910</v>
      </c>
      <c r="K26" s="833" t="s">
        <v>815</v>
      </c>
      <c r="L26" s="834" t="s">
        <v>1491</v>
      </c>
      <c r="M26" s="846"/>
      <c r="N26" s="847"/>
    </row>
    <row r="27" spans="2:14" x14ac:dyDescent="0.25">
      <c r="B27" s="409" t="s">
        <v>507</v>
      </c>
      <c r="C27" s="671">
        <v>3.63</v>
      </c>
      <c r="D27" s="859">
        <v>4.5</v>
      </c>
      <c r="E27" s="860" t="s">
        <v>802</v>
      </c>
      <c r="F27" s="852" t="s">
        <v>792</v>
      </c>
      <c r="G27" s="853" t="s">
        <v>790</v>
      </c>
      <c r="H27" s="868">
        <f t="shared" si="0"/>
        <v>2150</v>
      </c>
      <c r="I27" s="860" t="s">
        <v>797</v>
      </c>
      <c r="J27" s="834">
        <v>2150</v>
      </c>
      <c r="K27" s="833" t="s">
        <v>816</v>
      </c>
      <c r="L27" s="834" t="s">
        <v>268</v>
      </c>
      <c r="M27" s="846"/>
      <c r="N27" s="847"/>
    </row>
    <row r="28" spans="2:14" x14ac:dyDescent="0.25">
      <c r="B28" s="409" t="s">
        <v>115</v>
      </c>
      <c r="C28" s="671">
        <v>0.35299999999999998</v>
      </c>
      <c r="D28" s="859">
        <v>0.4819</v>
      </c>
      <c r="E28" s="860" t="s">
        <v>802</v>
      </c>
      <c r="F28" s="852" t="s">
        <v>792</v>
      </c>
      <c r="G28" s="853" t="s">
        <v>790</v>
      </c>
      <c r="H28" s="868">
        <f t="shared" si="0"/>
        <v>640</v>
      </c>
      <c r="I28" s="860" t="s">
        <v>797</v>
      </c>
      <c r="J28" s="834">
        <v>640</v>
      </c>
      <c r="K28" s="833" t="s">
        <v>817</v>
      </c>
      <c r="L28" s="834"/>
      <c r="M28" s="846"/>
      <c r="N28" s="847"/>
    </row>
    <row r="29" spans="2:14" x14ac:dyDescent="0.25">
      <c r="B29" s="446" t="s">
        <v>116</v>
      </c>
      <c r="C29" s="841">
        <v>2.118052738336714</v>
      </c>
      <c r="D29" s="863">
        <v>4.3927738336713995</v>
      </c>
      <c r="E29" s="864" t="s">
        <v>802</v>
      </c>
      <c r="F29" s="854" t="s">
        <v>792</v>
      </c>
      <c r="G29" s="855" t="s">
        <v>790</v>
      </c>
      <c r="H29" s="869">
        <f t="shared" si="0"/>
        <v>1550</v>
      </c>
      <c r="I29" s="864" t="s">
        <v>797</v>
      </c>
      <c r="J29" s="836">
        <v>1550</v>
      </c>
      <c r="K29" s="835" t="s">
        <v>818</v>
      </c>
      <c r="L29" s="836" t="s">
        <v>268</v>
      </c>
      <c r="M29" s="837"/>
      <c r="N29" s="848"/>
    </row>
    <row r="31" spans="2:14" x14ac:dyDescent="0.25">
      <c r="D31" s="845" t="s">
        <v>820</v>
      </c>
      <c r="H31" s="364" t="s">
        <v>819</v>
      </c>
      <c r="I31" s="246">
        <v>239.006</v>
      </c>
    </row>
    <row r="38" spans="3:8" x14ac:dyDescent="0.25">
      <c r="H38" s="323"/>
    </row>
    <row r="48" spans="3:8" x14ac:dyDescent="0.25">
      <c r="C48" s="323"/>
    </row>
    <row r="51" spans="3:3" x14ac:dyDescent="0.25">
      <c r="C51" s="838"/>
    </row>
  </sheetData>
  <mergeCells count="5">
    <mergeCell ref="J5:K5"/>
    <mergeCell ref="L5:N5"/>
    <mergeCell ref="C4:G4"/>
    <mergeCell ref="H4:N4"/>
    <mergeCell ref="F5:G5"/>
  </mergeCells>
  <pageMargins left="0.7" right="0.7" top="0.78740157499999996" bottom="0.78740157499999996"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vt:i4>
      </vt:variant>
    </vt:vector>
  </HeadingPairs>
  <TitlesOfParts>
    <vt:vector size="17" baseType="lpstr">
      <vt:lpstr>Cover sheet</vt:lpstr>
      <vt:lpstr>A7(a)</vt:lpstr>
      <vt:lpstr>A7(b)</vt:lpstr>
      <vt:lpstr>A7(c)</vt:lpstr>
      <vt:lpstr>A8</vt:lpstr>
      <vt:lpstr>A9(a)</vt:lpstr>
      <vt:lpstr>A9(b)</vt:lpstr>
      <vt:lpstr>A9(c)</vt:lpstr>
      <vt:lpstr>A10</vt:lpstr>
      <vt:lpstr>A11</vt:lpstr>
      <vt:lpstr>A12</vt:lpstr>
      <vt:lpstr>A13(a)</vt:lpstr>
      <vt:lpstr>A13(b)</vt:lpstr>
      <vt:lpstr>A13(c)</vt:lpstr>
      <vt:lpstr>A13(d)</vt:lpstr>
      <vt:lpstr>A13(e)</vt:lpstr>
      <vt:lpstr>'A7(c)'!_Ref51324995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Information S2</dc:title>
  <dc:creator>lukas.messmann@vfmos100000004982.emea.microsoftonline.com;Sandra Boldoczki;amelie.michalke@vfmos100000004982.emea.microsoftonline.com</dc:creator>
  <cp:lastModifiedBy>Sonja Härkönen</cp:lastModifiedBy>
  <dcterms:created xsi:type="dcterms:W3CDTF">2016-04-15T00:06:52Z</dcterms:created>
  <dcterms:modified xsi:type="dcterms:W3CDTF">2023-05-24T05:29:54Z</dcterms:modified>
</cp:coreProperties>
</file>